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mizuk\Desktop\"/>
    </mc:Choice>
  </mc:AlternateContent>
  <xr:revisionPtr revIDLastSave="0" documentId="13_ncr:1_{02432F71-C71C-416A-B783-F2F2699ABD32}" xr6:coauthVersionLast="47" xr6:coauthVersionMax="47" xr10:uidLastSave="{00000000-0000-0000-0000-000000000000}"/>
  <bookViews>
    <workbookView xWindow="-90" yWindow="225" windowWidth="28680" windowHeight="15180" tabRatio="500" firstSheet="13" activeTab="19" xr2:uid="{00000000-000D-0000-FFFF-FFFF00000000}"/>
  </bookViews>
  <sheets>
    <sheet name="設定" sheetId="1" r:id="rId1"/>
    <sheet name="従業員マスタ" sheetId="2" r:id="rId2"/>
    <sheet name="現場マスタ" sheetId="3" r:id="rId3"/>
    <sheet name="1月" sheetId="4" r:id="rId4"/>
    <sheet name="2月" sheetId="5" r:id="rId5"/>
    <sheet name="3月" sheetId="6" r:id="rId6"/>
    <sheet name="4月" sheetId="7" r:id="rId7"/>
    <sheet name="5月" sheetId="8" r:id="rId8"/>
    <sheet name="6月" sheetId="9" r:id="rId9"/>
    <sheet name="7月" sheetId="10" r:id="rId10"/>
    <sheet name="8月" sheetId="11" r:id="rId11"/>
    <sheet name="9月" sheetId="12" r:id="rId12"/>
    <sheet name="10月" sheetId="13" r:id="rId13"/>
    <sheet name="11月" sheetId="14" r:id="rId14"/>
    <sheet name="12月" sheetId="15" r:id="rId15"/>
    <sheet name="個人別出勤簿" sheetId="16" r:id="rId16"/>
    <sheet name="全社員一括印刷" sheetId="17" r:id="rId17"/>
    <sheet name="年間集計" sheetId="18" r:id="rId18"/>
    <sheet name="現場別集計" sheetId="19" r:id="rId19"/>
    <sheet name="月別現場集計" sheetId="20" r:id="rId20"/>
    <sheet name="現場人工表" sheetId="21" r:id="rId21"/>
  </sheets>
  <definedNames>
    <definedName name="_xlnm.Print_Area" localSheetId="15">個人別出勤簿!$A$1:$H$39</definedName>
    <definedName name="_xlnm.Print_Titles" localSheetId="12">'10月'!$1:$3</definedName>
    <definedName name="_xlnm.Print_Titles" localSheetId="13">'11月'!$1:$3</definedName>
    <definedName name="_xlnm.Print_Titles" localSheetId="14">'12月'!$1:$3</definedName>
    <definedName name="_xlnm.Print_Titles" localSheetId="3">'1月'!$1:$3</definedName>
    <definedName name="_xlnm.Print_Titles" localSheetId="4">'2月'!$1:$3</definedName>
    <definedName name="_xlnm.Print_Titles" localSheetId="5">'3月'!$1:$3</definedName>
    <definedName name="_xlnm.Print_Titles" localSheetId="6">'4月'!$1:$3</definedName>
    <definedName name="_xlnm.Print_Titles" localSheetId="7">'5月'!$1:$3</definedName>
    <definedName name="_xlnm.Print_Titles" localSheetId="8">'6月'!$1:$3</definedName>
    <definedName name="_xlnm.Print_Titles" localSheetId="9">'7月'!$1:$3</definedName>
    <definedName name="_xlnm.Print_Titles" localSheetId="10">'8月'!$1:$3</definedName>
    <definedName name="_xlnm.Print_Titles" localSheetId="11">'9月'!$1:$3</definedName>
    <definedName name="_xlnm.Print_Titles" localSheetId="18">現場別集計!$1:$2</definedName>
    <definedName name="_xlnm.Print_Titles" localSheetId="17">年間集計!$1:$3</definedName>
    <definedName name="祝日リスト">設定!$F$4:$F$92</definedName>
    <definedName name="対象年度">設定!$C$3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445" i="21" l="1"/>
  <c r="X443" i="21"/>
  <c r="P443" i="21"/>
  <c r="X442" i="21"/>
  <c r="R442" i="21"/>
  <c r="P442" i="21"/>
  <c r="B442" i="21"/>
  <c r="X441" i="21"/>
  <c r="V441" i="21"/>
  <c r="D441" i="21"/>
  <c r="X440" i="21"/>
  <c r="J440" i="21"/>
  <c r="X439" i="21"/>
  <c r="V439" i="21"/>
  <c r="R439" i="21"/>
  <c r="V438" i="21"/>
  <c r="P438" i="21"/>
  <c r="B438" i="21"/>
  <c r="X437" i="21"/>
  <c r="R437" i="21"/>
  <c r="F437" i="21"/>
  <c r="X436" i="21"/>
  <c r="V436" i="21"/>
  <c r="V435" i="21"/>
  <c r="B435" i="21"/>
  <c r="X434" i="21"/>
  <c r="V434" i="21"/>
  <c r="R434" i="21"/>
  <c r="P434" i="21"/>
  <c r="B434" i="21"/>
  <c r="X433" i="21"/>
  <c r="P433" i="21"/>
  <c r="X432" i="21"/>
  <c r="V432" i="21"/>
  <c r="B432" i="21"/>
  <c r="X431" i="21"/>
  <c r="L431" i="21"/>
  <c r="F431" i="21"/>
  <c r="B431" i="21"/>
  <c r="X430" i="21"/>
  <c r="R430" i="21"/>
  <c r="X429" i="21"/>
  <c r="R429" i="21"/>
  <c r="B429" i="21"/>
  <c r="X428" i="21"/>
  <c r="V428" i="21"/>
  <c r="F428" i="21"/>
  <c r="B428" i="21"/>
  <c r="X427" i="21"/>
  <c r="P427" i="21"/>
  <c r="F427" i="21"/>
  <c r="D427" i="21"/>
  <c r="X426" i="21"/>
  <c r="R426" i="21"/>
  <c r="B426" i="21"/>
  <c r="X425" i="21"/>
  <c r="V425" i="21"/>
  <c r="R425" i="21"/>
  <c r="B425" i="21"/>
  <c r="X424" i="21"/>
  <c r="F424" i="21"/>
  <c r="X423" i="21"/>
  <c r="V423" i="21"/>
  <c r="X422" i="21"/>
  <c r="B422" i="21"/>
  <c r="X421" i="21"/>
  <c r="V421" i="21"/>
  <c r="F421" i="21"/>
  <c r="V420" i="21"/>
  <c r="R420" i="21"/>
  <c r="X419" i="21"/>
  <c r="R419" i="21"/>
  <c r="B419" i="21"/>
  <c r="X418" i="21"/>
  <c r="V418" i="21"/>
  <c r="B418" i="21"/>
  <c r="X417" i="21"/>
  <c r="P417" i="21"/>
  <c r="X416" i="21"/>
  <c r="P416" i="21"/>
  <c r="F416" i="21"/>
  <c r="B416" i="21"/>
  <c r="X415" i="21"/>
  <c r="B415" i="21"/>
  <c r="X414" i="21"/>
  <c r="V414" i="21"/>
  <c r="J414" i="21"/>
  <c r="X413" i="21"/>
  <c r="Y413" i="21" s="1"/>
  <c r="V413" i="21"/>
  <c r="W413" i="21" s="1"/>
  <c r="R413" i="21"/>
  <c r="S413" i="21" s="1"/>
  <c r="B413" i="21"/>
  <c r="C413" i="21" s="1"/>
  <c r="X411" i="21"/>
  <c r="X438" i="21" s="1"/>
  <c r="V411" i="21"/>
  <c r="V431" i="21" s="1"/>
  <c r="T411" i="21"/>
  <c r="T423" i="21" s="1"/>
  <c r="R411" i="21"/>
  <c r="R427" i="21" s="1"/>
  <c r="P411" i="21"/>
  <c r="P426" i="21" s="1"/>
  <c r="N411" i="21"/>
  <c r="N437" i="21" s="1"/>
  <c r="L411" i="21"/>
  <c r="L427" i="21" s="1"/>
  <c r="J411" i="21"/>
  <c r="J433" i="21" s="1"/>
  <c r="H411" i="21"/>
  <c r="H436" i="21" s="1"/>
  <c r="F411" i="21"/>
  <c r="F414" i="21" s="1"/>
  <c r="D411" i="21"/>
  <c r="D439" i="21" s="1"/>
  <c r="B411" i="21"/>
  <c r="B443" i="21" s="1"/>
  <c r="A410" i="21"/>
  <c r="B408" i="21"/>
  <c r="B406" i="21"/>
  <c r="V405" i="21"/>
  <c r="B405" i="21"/>
  <c r="P404" i="21"/>
  <c r="P403" i="21"/>
  <c r="N403" i="21"/>
  <c r="B403" i="21"/>
  <c r="B402" i="21"/>
  <c r="N401" i="21"/>
  <c r="B401" i="21"/>
  <c r="N399" i="21"/>
  <c r="B399" i="21"/>
  <c r="V398" i="21"/>
  <c r="B398" i="21"/>
  <c r="X397" i="21"/>
  <c r="N397" i="21"/>
  <c r="B397" i="21"/>
  <c r="P396" i="21"/>
  <c r="N396" i="21"/>
  <c r="P395" i="21"/>
  <c r="B395" i="21"/>
  <c r="B394" i="21"/>
  <c r="H392" i="21"/>
  <c r="N391" i="21"/>
  <c r="V390" i="21"/>
  <c r="P390" i="21"/>
  <c r="B390" i="21"/>
  <c r="P389" i="21"/>
  <c r="B389" i="21"/>
  <c r="N387" i="21"/>
  <c r="B387" i="21"/>
  <c r="B386" i="21"/>
  <c r="V385" i="21"/>
  <c r="B385" i="21"/>
  <c r="P384" i="21"/>
  <c r="N384" i="21"/>
  <c r="V383" i="21"/>
  <c r="P383" i="21"/>
  <c r="B383" i="21"/>
  <c r="N382" i="21"/>
  <c r="B382" i="21"/>
  <c r="V381" i="21"/>
  <c r="B381" i="21"/>
  <c r="V379" i="21"/>
  <c r="B379" i="21"/>
  <c r="V378" i="21"/>
  <c r="P378" i="21"/>
  <c r="N378" i="21"/>
  <c r="B378" i="21"/>
  <c r="P377" i="21"/>
  <c r="Q376" i="21"/>
  <c r="Q377" i="21" s="1"/>
  <c r="Q378" i="21" s="1"/>
  <c r="P376" i="21"/>
  <c r="N376" i="21"/>
  <c r="O376" i="21" s="1"/>
  <c r="B376" i="21"/>
  <c r="C376" i="21" s="1"/>
  <c r="X374" i="21"/>
  <c r="X392" i="21" s="1"/>
  <c r="V374" i="21"/>
  <c r="V402" i="21" s="1"/>
  <c r="T374" i="21"/>
  <c r="T394" i="21" s="1"/>
  <c r="R374" i="21"/>
  <c r="R397" i="21" s="1"/>
  <c r="P374" i="21"/>
  <c r="P397" i="21" s="1"/>
  <c r="N374" i="21"/>
  <c r="N406" i="21" s="1"/>
  <c r="L374" i="21"/>
  <c r="L395" i="21" s="1"/>
  <c r="J374" i="21"/>
  <c r="J398" i="21" s="1"/>
  <c r="H374" i="21"/>
  <c r="H390" i="21" s="1"/>
  <c r="F374" i="21"/>
  <c r="F406" i="21" s="1"/>
  <c r="D374" i="21"/>
  <c r="D393" i="21" s="1"/>
  <c r="B374" i="21"/>
  <c r="B400" i="21" s="1"/>
  <c r="A373" i="21"/>
  <c r="B371" i="21"/>
  <c r="X369" i="21"/>
  <c r="V369" i="21"/>
  <c r="T369" i="21"/>
  <c r="P369" i="21"/>
  <c r="X368" i="21"/>
  <c r="D368" i="21"/>
  <c r="V367" i="21"/>
  <c r="N367" i="21"/>
  <c r="X366" i="21"/>
  <c r="X365" i="21"/>
  <c r="V365" i="21"/>
  <c r="P365" i="21"/>
  <c r="T364" i="21"/>
  <c r="X363" i="21"/>
  <c r="D363" i="21"/>
  <c r="X362" i="21"/>
  <c r="T362" i="21"/>
  <c r="N362" i="21"/>
  <c r="D362" i="21"/>
  <c r="P361" i="21"/>
  <c r="X360" i="21"/>
  <c r="N360" i="21"/>
  <c r="X359" i="21"/>
  <c r="N359" i="21"/>
  <c r="D359" i="21"/>
  <c r="T358" i="21"/>
  <c r="V357" i="21"/>
  <c r="T357" i="21"/>
  <c r="P357" i="21"/>
  <c r="D357" i="21"/>
  <c r="X356" i="21"/>
  <c r="T354" i="21"/>
  <c r="P354" i="21"/>
  <c r="D354" i="21"/>
  <c r="X353" i="21"/>
  <c r="P353" i="21"/>
  <c r="X352" i="21"/>
  <c r="D352" i="21"/>
  <c r="D351" i="21"/>
  <c r="X350" i="21"/>
  <c r="V350" i="21"/>
  <c r="T350" i="21"/>
  <c r="P350" i="21"/>
  <c r="X349" i="21"/>
  <c r="V349" i="21"/>
  <c r="T349" i="21"/>
  <c r="D349" i="21"/>
  <c r="V348" i="21"/>
  <c r="P347" i="21"/>
  <c r="D347" i="21"/>
  <c r="X346" i="21"/>
  <c r="V346" i="21"/>
  <c r="D346" i="21"/>
  <c r="V344" i="21"/>
  <c r="X343" i="21"/>
  <c r="T343" i="21"/>
  <c r="P343" i="21"/>
  <c r="D343" i="21"/>
  <c r="V342" i="21"/>
  <c r="T341" i="21"/>
  <c r="D341" i="21"/>
  <c r="X340" i="21"/>
  <c r="Y340" i="21" s="1"/>
  <c r="T340" i="21"/>
  <c r="F340" i="21"/>
  <c r="T339" i="21"/>
  <c r="P339" i="21"/>
  <c r="N339" i="21"/>
  <c r="O339" i="21" s="1"/>
  <c r="D339" i="21"/>
  <c r="E339" i="21" s="1"/>
  <c r="X337" i="21"/>
  <c r="X339" i="21" s="1"/>
  <c r="Y339" i="21" s="1"/>
  <c r="V337" i="21"/>
  <c r="V363" i="21" s="1"/>
  <c r="T337" i="21"/>
  <c r="T368" i="21" s="1"/>
  <c r="R337" i="21"/>
  <c r="R359" i="21" s="1"/>
  <c r="P337" i="21"/>
  <c r="P362" i="21" s="1"/>
  <c r="N337" i="21"/>
  <c r="N366" i="21" s="1"/>
  <c r="L337" i="21"/>
  <c r="L364" i="21" s="1"/>
  <c r="J337" i="21"/>
  <c r="J347" i="21" s="1"/>
  <c r="H337" i="21"/>
  <c r="H357" i="21" s="1"/>
  <c r="F337" i="21"/>
  <c r="F366" i="21" s="1"/>
  <c r="D337" i="21"/>
  <c r="D364" i="21" s="1"/>
  <c r="B337" i="21"/>
  <c r="B368" i="21" s="1"/>
  <c r="A336" i="21"/>
  <c r="B334" i="21"/>
  <c r="P332" i="21"/>
  <c r="X331" i="21"/>
  <c r="H328" i="21"/>
  <c r="P325" i="21"/>
  <c r="V323" i="21"/>
  <c r="P322" i="21"/>
  <c r="X320" i="21"/>
  <c r="P318" i="21"/>
  <c r="X317" i="21"/>
  <c r="T317" i="21"/>
  <c r="X316" i="21"/>
  <c r="H315" i="21"/>
  <c r="X314" i="21"/>
  <c r="P314" i="21"/>
  <c r="X313" i="21"/>
  <c r="X311" i="21"/>
  <c r="L311" i="21"/>
  <c r="X310" i="21"/>
  <c r="T309" i="21"/>
  <c r="P309" i="21"/>
  <c r="H309" i="21"/>
  <c r="X308" i="21"/>
  <c r="B308" i="21"/>
  <c r="P305" i="21"/>
  <c r="N304" i="21"/>
  <c r="V303" i="21"/>
  <c r="P302" i="21"/>
  <c r="X300" i="21"/>
  <c r="X319" i="21" s="1"/>
  <c r="V300" i="21"/>
  <c r="V317" i="21" s="1"/>
  <c r="T300" i="21"/>
  <c r="T324" i="21" s="1"/>
  <c r="R300" i="21"/>
  <c r="R303" i="21" s="1"/>
  <c r="P300" i="21"/>
  <c r="P329" i="21" s="1"/>
  <c r="N300" i="21"/>
  <c r="N331" i="21" s="1"/>
  <c r="L300" i="21"/>
  <c r="L316" i="21" s="1"/>
  <c r="J300" i="21"/>
  <c r="J312" i="21" s="1"/>
  <c r="H300" i="21"/>
  <c r="H306" i="21" s="1"/>
  <c r="F300" i="21"/>
  <c r="F327" i="21" s="1"/>
  <c r="D300" i="21"/>
  <c r="D309" i="21" s="1"/>
  <c r="B300" i="21"/>
  <c r="B312" i="21" s="1"/>
  <c r="A299" i="21"/>
  <c r="B297" i="21"/>
  <c r="X295" i="21"/>
  <c r="P295" i="21"/>
  <c r="B295" i="21"/>
  <c r="P294" i="21"/>
  <c r="B294" i="21"/>
  <c r="T293" i="21"/>
  <c r="J293" i="21"/>
  <c r="P292" i="21"/>
  <c r="B292" i="21"/>
  <c r="X291" i="21"/>
  <c r="B291" i="21"/>
  <c r="P290" i="21"/>
  <c r="B290" i="21"/>
  <c r="P289" i="21"/>
  <c r="B289" i="21"/>
  <c r="X288" i="21"/>
  <c r="D288" i="21"/>
  <c r="P286" i="21"/>
  <c r="D286" i="21"/>
  <c r="B286" i="21"/>
  <c r="X285" i="21"/>
  <c r="P285" i="21"/>
  <c r="L285" i="21"/>
  <c r="B285" i="21"/>
  <c r="P284" i="21"/>
  <c r="B284" i="21"/>
  <c r="X282" i="21"/>
  <c r="P282" i="21"/>
  <c r="P281" i="21"/>
  <c r="D281" i="21"/>
  <c r="B281" i="21"/>
  <c r="P280" i="21"/>
  <c r="J280" i="21"/>
  <c r="B280" i="21"/>
  <c r="X279" i="21"/>
  <c r="P279" i="21"/>
  <c r="H279" i="21"/>
  <c r="D279" i="21"/>
  <c r="P278" i="21"/>
  <c r="P276" i="21"/>
  <c r="D276" i="21"/>
  <c r="B276" i="21"/>
  <c r="X275" i="21"/>
  <c r="P275" i="21"/>
  <c r="B275" i="21"/>
  <c r="L274" i="21"/>
  <c r="B274" i="21"/>
  <c r="P273" i="21"/>
  <c r="L273" i="21"/>
  <c r="X272" i="21"/>
  <c r="P272" i="21"/>
  <c r="T271" i="21"/>
  <c r="P271" i="21"/>
  <c r="D270" i="21"/>
  <c r="B270" i="21"/>
  <c r="X269" i="21"/>
  <c r="B269" i="21"/>
  <c r="P268" i="21"/>
  <c r="J267" i="21"/>
  <c r="X266" i="21"/>
  <c r="P266" i="21"/>
  <c r="J265" i="21"/>
  <c r="K265" i="21" s="1"/>
  <c r="D265" i="21"/>
  <c r="E265" i="21" s="1"/>
  <c r="B265" i="21"/>
  <c r="C265" i="21" s="1"/>
  <c r="X263" i="21"/>
  <c r="V263" i="21"/>
  <c r="V284" i="21" s="1"/>
  <c r="T263" i="21"/>
  <c r="T290" i="21" s="1"/>
  <c r="R263" i="21"/>
  <c r="R286" i="21" s="1"/>
  <c r="P263" i="21"/>
  <c r="P277" i="21" s="1"/>
  <c r="N263" i="21"/>
  <c r="N282" i="21" s="1"/>
  <c r="L263" i="21"/>
  <c r="L272" i="21" s="1"/>
  <c r="J263" i="21"/>
  <c r="J278" i="21" s="1"/>
  <c r="H263" i="21"/>
  <c r="H284" i="21" s="1"/>
  <c r="F263" i="21"/>
  <c r="F265" i="21" s="1"/>
  <c r="D263" i="21"/>
  <c r="D267" i="21" s="1"/>
  <c r="B263" i="21"/>
  <c r="B283" i="21" s="1"/>
  <c r="A262" i="21"/>
  <c r="B260" i="21"/>
  <c r="V258" i="21"/>
  <c r="D258" i="21"/>
  <c r="V257" i="21"/>
  <c r="V256" i="21"/>
  <c r="P256" i="21"/>
  <c r="L256" i="21"/>
  <c r="D256" i="21"/>
  <c r="B256" i="21"/>
  <c r="V255" i="21"/>
  <c r="P255" i="21"/>
  <c r="L255" i="21"/>
  <c r="X254" i="21"/>
  <c r="V254" i="21"/>
  <c r="V253" i="21"/>
  <c r="D253" i="21"/>
  <c r="B253" i="21"/>
  <c r="X252" i="21"/>
  <c r="V252" i="21"/>
  <c r="L252" i="21"/>
  <c r="D252" i="21"/>
  <c r="V251" i="21"/>
  <c r="D251" i="21"/>
  <c r="X250" i="21"/>
  <c r="B250" i="21"/>
  <c r="V249" i="21"/>
  <c r="D249" i="21"/>
  <c r="X247" i="21"/>
  <c r="V247" i="21"/>
  <c r="X246" i="21"/>
  <c r="V246" i="21"/>
  <c r="P246" i="21"/>
  <c r="B246" i="21"/>
  <c r="X245" i="21"/>
  <c r="P245" i="21"/>
  <c r="D245" i="21"/>
  <c r="D244" i="21"/>
  <c r="V243" i="21"/>
  <c r="L243" i="21"/>
  <c r="B243" i="21"/>
  <c r="X242" i="21"/>
  <c r="D242" i="21"/>
  <c r="V241" i="21"/>
  <c r="X240" i="21"/>
  <c r="V240" i="21"/>
  <c r="B240" i="21"/>
  <c r="V239" i="21"/>
  <c r="X238" i="21"/>
  <c r="V238" i="21"/>
  <c r="L238" i="21"/>
  <c r="V237" i="21"/>
  <c r="F237" i="21"/>
  <c r="D237" i="21"/>
  <c r="V236" i="21"/>
  <c r="L236" i="21"/>
  <c r="B236" i="21"/>
  <c r="V235" i="21"/>
  <c r="V234" i="21"/>
  <c r="P234" i="21"/>
  <c r="D234" i="21"/>
  <c r="X233" i="21"/>
  <c r="P233" i="21"/>
  <c r="D233" i="21"/>
  <c r="X232" i="21"/>
  <c r="V232" i="21"/>
  <c r="P232" i="21"/>
  <c r="L232" i="21"/>
  <c r="H232" i="21"/>
  <c r="V231" i="21"/>
  <c r="T231" i="21"/>
  <c r="B231" i="21"/>
  <c r="D230" i="21"/>
  <c r="V229" i="21"/>
  <c r="W229" i="21" s="1"/>
  <c r="X228" i="21"/>
  <c r="V228" i="21"/>
  <c r="W228" i="21" s="1"/>
  <c r="L228" i="21"/>
  <c r="M228" i="21" s="1"/>
  <c r="F228" i="21"/>
  <c r="G228" i="21" s="1"/>
  <c r="D228" i="21"/>
  <c r="X226" i="21"/>
  <c r="V226" i="21"/>
  <c r="T226" i="21"/>
  <c r="T257" i="21" s="1"/>
  <c r="R226" i="21"/>
  <c r="R251" i="21" s="1"/>
  <c r="P226" i="21"/>
  <c r="N226" i="21"/>
  <c r="N249" i="21" s="1"/>
  <c r="L226" i="21"/>
  <c r="L250" i="21" s="1"/>
  <c r="J226" i="21"/>
  <c r="J252" i="21" s="1"/>
  <c r="H226" i="21"/>
  <c r="H252" i="21" s="1"/>
  <c r="F226" i="21"/>
  <c r="F236" i="21" s="1"/>
  <c r="D226" i="21"/>
  <c r="D248" i="21" s="1"/>
  <c r="B226" i="21"/>
  <c r="B252" i="21" s="1"/>
  <c r="A225" i="21"/>
  <c r="B223" i="21"/>
  <c r="X221" i="21"/>
  <c r="P221" i="21"/>
  <c r="V220" i="21"/>
  <c r="P220" i="21"/>
  <c r="L220" i="21"/>
  <c r="D220" i="21"/>
  <c r="X219" i="21"/>
  <c r="P219" i="21"/>
  <c r="X218" i="21"/>
  <c r="V218" i="21"/>
  <c r="P218" i="21"/>
  <c r="V216" i="21"/>
  <c r="P216" i="21"/>
  <c r="X215" i="21"/>
  <c r="P215" i="21"/>
  <c r="D215" i="21"/>
  <c r="X214" i="21"/>
  <c r="P213" i="21"/>
  <c r="N213" i="21"/>
  <c r="P212" i="21"/>
  <c r="X211" i="21"/>
  <c r="X210" i="21"/>
  <c r="P210" i="21"/>
  <c r="P209" i="21"/>
  <c r="D209" i="21"/>
  <c r="P208" i="21"/>
  <c r="X207" i="21"/>
  <c r="V207" i="21"/>
  <c r="D207" i="21"/>
  <c r="X206" i="21"/>
  <c r="P206" i="21"/>
  <c r="V205" i="21"/>
  <c r="P205" i="21"/>
  <c r="H205" i="21"/>
  <c r="X204" i="21"/>
  <c r="P204" i="21"/>
  <c r="V203" i="21"/>
  <c r="V202" i="21"/>
  <c r="P202" i="21"/>
  <c r="D202" i="21"/>
  <c r="P201" i="21"/>
  <c r="D201" i="21"/>
  <c r="X200" i="21"/>
  <c r="V200" i="21"/>
  <c r="X199" i="21"/>
  <c r="P199" i="21"/>
  <c r="V198" i="21"/>
  <c r="P198" i="21"/>
  <c r="V197" i="21"/>
  <c r="X196" i="21"/>
  <c r="V196" i="21"/>
  <c r="P196" i="21"/>
  <c r="D196" i="21"/>
  <c r="P194" i="21"/>
  <c r="X193" i="21"/>
  <c r="L193" i="21"/>
  <c r="X192" i="21"/>
  <c r="V192" i="21"/>
  <c r="P192" i="21"/>
  <c r="V191" i="21"/>
  <c r="D191" i="21"/>
  <c r="E191" i="21" s="1"/>
  <c r="X189" i="21"/>
  <c r="V189" i="21"/>
  <c r="V214" i="21" s="1"/>
  <c r="T189" i="21"/>
  <c r="T198" i="21" s="1"/>
  <c r="R189" i="21"/>
  <c r="R219" i="21" s="1"/>
  <c r="P189" i="21"/>
  <c r="P203" i="21" s="1"/>
  <c r="N189" i="21"/>
  <c r="N214" i="21" s="1"/>
  <c r="L189" i="21"/>
  <c r="L198" i="21" s="1"/>
  <c r="J189" i="21"/>
  <c r="J202" i="21" s="1"/>
  <c r="H189" i="21"/>
  <c r="H199" i="21" s="1"/>
  <c r="F189" i="21"/>
  <c r="F214" i="21" s="1"/>
  <c r="D189" i="21"/>
  <c r="D214" i="21" s="1"/>
  <c r="B189" i="21"/>
  <c r="A188" i="21"/>
  <c r="B186" i="21"/>
  <c r="X184" i="21"/>
  <c r="P184" i="21"/>
  <c r="F184" i="21"/>
  <c r="X183" i="21"/>
  <c r="R183" i="21"/>
  <c r="P183" i="21"/>
  <c r="B183" i="21"/>
  <c r="F182" i="21"/>
  <c r="X181" i="21"/>
  <c r="P181" i="21"/>
  <c r="X180" i="21"/>
  <c r="P180" i="21"/>
  <c r="X179" i="21"/>
  <c r="P179" i="21"/>
  <c r="B179" i="21"/>
  <c r="X178" i="21"/>
  <c r="F178" i="21"/>
  <c r="X176" i="21"/>
  <c r="P176" i="21"/>
  <c r="X175" i="21"/>
  <c r="T175" i="21"/>
  <c r="P175" i="21"/>
  <c r="F175" i="21"/>
  <c r="B175" i="21"/>
  <c r="P174" i="21"/>
  <c r="X173" i="21"/>
  <c r="P173" i="21"/>
  <c r="X172" i="21"/>
  <c r="P171" i="21"/>
  <c r="F171" i="21"/>
  <c r="B171" i="21"/>
  <c r="X170" i="21"/>
  <c r="P170" i="21"/>
  <c r="D170" i="21"/>
  <c r="R169" i="21"/>
  <c r="P169" i="21"/>
  <c r="D169" i="21"/>
  <c r="X168" i="21"/>
  <c r="R168" i="21"/>
  <c r="X167" i="21"/>
  <c r="P167" i="21"/>
  <c r="P166" i="21"/>
  <c r="F166" i="21"/>
  <c r="D166" i="21"/>
  <c r="X165" i="21"/>
  <c r="P165" i="21"/>
  <c r="B165" i="21"/>
  <c r="P164" i="21"/>
  <c r="X163" i="21"/>
  <c r="B163" i="21"/>
  <c r="X162" i="21"/>
  <c r="T162" i="21"/>
  <c r="P162" i="21"/>
  <c r="D162" i="21"/>
  <c r="X161" i="21"/>
  <c r="D161" i="21"/>
  <c r="B161" i="21"/>
  <c r="X160" i="21"/>
  <c r="P160" i="21"/>
  <c r="X159" i="21"/>
  <c r="F159" i="21"/>
  <c r="X158" i="21"/>
  <c r="P158" i="21"/>
  <c r="X157" i="21"/>
  <c r="P157" i="21"/>
  <c r="B157" i="21"/>
  <c r="R156" i="21"/>
  <c r="P156" i="21"/>
  <c r="F156" i="21"/>
  <c r="X155" i="21"/>
  <c r="P155" i="21"/>
  <c r="X154" i="21"/>
  <c r="D154" i="21"/>
  <c r="E154" i="21" s="1"/>
  <c r="X152" i="21"/>
  <c r="X177" i="21" s="1"/>
  <c r="V152" i="21"/>
  <c r="V173" i="21" s="1"/>
  <c r="T152" i="21"/>
  <c r="T168" i="21" s="1"/>
  <c r="R152" i="21"/>
  <c r="R175" i="21" s="1"/>
  <c r="P152" i="21"/>
  <c r="P182" i="21" s="1"/>
  <c r="N152" i="21"/>
  <c r="N179" i="21" s="1"/>
  <c r="L152" i="21"/>
  <c r="L170" i="21" s="1"/>
  <c r="J152" i="21"/>
  <c r="J179" i="21" s="1"/>
  <c r="H152" i="21"/>
  <c r="H174" i="21" s="1"/>
  <c r="F152" i="21"/>
  <c r="F177" i="21" s="1"/>
  <c r="D152" i="21"/>
  <c r="D183" i="21" s="1"/>
  <c r="B152" i="21"/>
  <c r="B159" i="21" s="1"/>
  <c r="A151" i="21"/>
  <c r="B149" i="21"/>
  <c r="X147" i="21"/>
  <c r="V147" i="21"/>
  <c r="B147" i="21"/>
  <c r="X146" i="21"/>
  <c r="V146" i="21"/>
  <c r="P146" i="21"/>
  <c r="H146" i="21"/>
  <c r="X145" i="21"/>
  <c r="V145" i="21"/>
  <c r="P145" i="21"/>
  <c r="X144" i="21"/>
  <c r="V144" i="21"/>
  <c r="P144" i="21"/>
  <c r="B144" i="21"/>
  <c r="V143" i="21"/>
  <c r="X142" i="21"/>
  <c r="X141" i="21"/>
  <c r="V141" i="21"/>
  <c r="P141" i="21"/>
  <c r="B141" i="21"/>
  <c r="X140" i="21"/>
  <c r="V140" i="21"/>
  <c r="B140" i="21"/>
  <c r="X139" i="21"/>
  <c r="V139" i="21"/>
  <c r="V138" i="21"/>
  <c r="X137" i="21"/>
  <c r="V137" i="21"/>
  <c r="B137" i="21"/>
  <c r="X136" i="21"/>
  <c r="P136" i="21"/>
  <c r="N136" i="21"/>
  <c r="X135" i="21"/>
  <c r="V135" i="21"/>
  <c r="H135" i="21"/>
  <c r="X134" i="21"/>
  <c r="V134" i="21"/>
  <c r="V133" i="21"/>
  <c r="B133" i="21"/>
  <c r="X132" i="21"/>
  <c r="V132" i="21"/>
  <c r="P132" i="21"/>
  <c r="X131" i="21"/>
  <c r="N131" i="21"/>
  <c r="L131" i="21"/>
  <c r="B131" i="21"/>
  <c r="X130" i="21"/>
  <c r="V130" i="21"/>
  <c r="B130" i="21"/>
  <c r="X129" i="21"/>
  <c r="V129" i="21"/>
  <c r="X128" i="21"/>
  <c r="V128" i="21"/>
  <c r="X127" i="21"/>
  <c r="V127" i="21"/>
  <c r="B127" i="21"/>
  <c r="X126" i="21"/>
  <c r="V126" i="21"/>
  <c r="B126" i="21"/>
  <c r="X125" i="21"/>
  <c r="V125" i="21"/>
  <c r="P125" i="21"/>
  <c r="X124" i="21"/>
  <c r="V124" i="21"/>
  <c r="P124" i="21"/>
  <c r="X123" i="21"/>
  <c r="V123" i="21"/>
  <c r="B123" i="21"/>
  <c r="X122" i="21"/>
  <c r="V122" i="21"/>
  <c r="P122" i="21"/>
  <c r="X121" i="21"/>
  <c r="V121" i="21"/>
  <c r="P121" i="21"/>
  <c r="X120" i="21"/>
  <c r="V120" i="21"/>
  <c r="P120" i="21"/>
  <c r="B120" i="21"/>
  <c r="X119" i="21"/>
  <c r="V119" i="21"/>
  <c r="B119" i="21"/>
  <c r="X118" i="21"/>
  <c r="V118" i="21"/>
  <c r="J118" i="21"/>
  <c r="X117" i="21"/>
  <c r="Y117" i="21" s="1"/>
  <c r="V117" i="21"/>
  <c r="W117" i="21" s="1"/>
  <c r="B117" i="21"/>
  <c r="C117" i="21" s="1"/>
  <c r="X115" i="21"/>
  <c r="X143" i="21" s="1"/>
  <c r="V115" i="21"/>
  <c r="V142" i="21" s="1"/>
  <c r="T115" i="21"/>
  <c r="T134" i="21" s="1"/>
  <c r="R115" i="21"/>
  <c r="R142" i="21" s="1"/>
  <c r="P115" i="21"/>
  <c r="N115" i="21"/>
  <c r="N147" i="21" s="1"/>
  <c r="L115" i="21"/>
  <c r="L132" i="21" s="1"/>
  <c r="J115" i="21"/>
  <c r="J138" i="21" s="1"/>
  <c r="H115" i="21"/>
  <c r="H130" i="21" s="1"/>
  <c r="F115" i="21"/>
  <c r="F142" i="21" s="1"/>
  <c r="D115" i="21"/>
  <c r="D133" i="21" s="1"/>
  <c r="B115" i="21"/>
  <c r="B146" i="21" s="1"/>
  <c r="A114" i="21"/>
  <c r="B112" i="21"/>
  <c r="V110" i="21"/>
  <c r="B110" i="21"/>
  <c r="X109" i="21"/>
  <c r="T109" i="21"/>
  <c r="R109" i="21"/>
  <c r="N109" i="21"/>
  <c r="X108" i="21"/>
  <c r="V108" i="21"/>
  <c r="P108" i="21"/>
  <c r="L108" i="21"/>
  <c r="X107" i="21"/>
  <c r="P107" i="21"/>
  <c r="N107" i="21"/>
  <c r="B107" i="21"/>
  <c r="X106" i="21"/>
  <c r="V106" i="21"/>
  <c r="R106" i="21"/>
  <c r="P106" i="21"/>
  <c r="L106" i="21"/>
  <c r="X105" i="21"/>
  <c r="V105" i="21"/>
  <c r="P105" i="21"/>
  <c r="B105" i="21"/>
  <c r="X104" i="21"/>
  <c r="B104" i="21"/>
  <c r="X103" i="21"/>
  <c r="V103" i="21"/>
  <c r="P103" i="21"/>
  <c r="L103" i="21"/>
  <c r="X102" i="21"/>
  <c r="V102" i="21"/>
  <c r="T102" i="21"/>
  <c r="R102" i="21"/>
  <c r="P102" i="21"/>
  <c r="X101" i="21"/>
  <c r="V101" i="21"/>
  <c r="T101" i="21"/>
  <c r="P101" i="21"/>
  <c r="D101" i="21"/>
  <c r="B101" i="21"/>
  <c r="X100" i="21"/>
  <c r="V100" i="21"/>
  <c r="X99" i="21"/>
  <c r="V99" i="21"/>
  <c r="P99" i="21"/>
  <c r="B99" i="21"/>
  <c r="V98" i="21"/>
  <c r="T98" i="21"/>
  <c r="P98" i="21"/>
  <c r="N98" i="21"/>
  <c r="B98" i="21"/>
  <c r="X97" i="21"/>
  <c r="R97" i="21"/>
  <c r="X96" i="21"/>
  <c r="V96" i="21"/>
  <c r="N96" i="21"/>
  <c r="X95" i="21"/>
  <c r="V95" i="21"/>
  <c r="T95" i="21"/>
  <c r="H95" i="21"/>
  <c r="B95" i="21"/>
  <c r="X94" i="21"/>
  <c r="V94" i="21"/>
  <c r="T94" i="21"/>
  <c r="D94" i="21"/>
  <c r="V93" i="21"/>
  <c r="T93" i="21"/>
  <c r="P93" i="21"/>
  <c r="X92" i="21"/>
  <c r="V92" i="21"/>
  <c r="B92" i="21"/>
  <c r="X91" i="21"/>
  <c r="V91" i="21"/>
  <c r="T91" i="21"/>
  <c r="X90" i="21"/>
  <c r="V90" i="21"/>
  <c r="T90" i="21"/>
  <c r="D90" i="21"/>
  <c r="X89" i="21"/>
  <c r="T89" i="21"/>
  <c r="P89" i="21"/>
  <c r="N89" i="21"/>
  <c r="B89" i="21"/>
  <c r="X88" i="21"/>
  <c r="V88" i="21"/>
  <c r="P88" i="21"/>
  <c r="N88" i="21"/>
  <c r="X87" i="21"/>
  <c r="P87" i="21"/>
  <c r="D87" i="21"/>
  <c r="V86" i="21"/>
  <c r="T86" i="21"/>
  <c r="R86" i="21"/>
  <c r="B86" i="21"/>
  <c r="X85" i="21"/>
  <c r="V85" i="21"/>
  <c r="P85" i="21"/>
  <c r="N85" i="21"/>
  <c r="V84" i="21"/>
  <c r="P84" i="21"/>
  <c r="X83" i="21"/>
  <c r="V83" i="21"/>
  <c r="P83" i="21"/>
  <c r="N83" i="21"/>
  <c r="D83" i="21"/>
  <c r="B83" i="21"/>
  <c r="X82" i="21"/>
  <c r="V82" i="21"/>
  <c r="T82" i="21"/>
  <c r="X81" i="21"/>
  <c r="T81" i="21"/>
  <c r="X80" i="21"/>
  <c r="V80" i="21"/>
  <c r="W80" i="21" s="1"/>
  <c r="P80" i="21"/>
  <c r="B80" i="21"/>
  <c r="C80" i="21" s="1"/>
  <c r="X78" i="21"/>
  <c r="X110" i="21" s="1"/>
  <c r="V78" i="21"/>
  <c r="V81" i="21" s="1"/>
  <c r="T78" i="21"/>
  <c r="T88" i="21" s="1"/>
  <c r="R78" i="21"/>
  <c r="R94" i="21" s="1"/>
  <c r="P78" i="21"/>
  <c r="P94" i="21" s="1"/>
  <c r="N78" i="21"/>
  <c r="N91" i="21" s="1"/>
  <c r="L78" i="21"/>
  <c r="L104" i="21" s="1"/>
  <c r="J78" i="21"/>
  <c r="J99" i="21" s="1"/>
  <c r="H78" i="21"/>
  <c r="H86" i="21" s="1"/>
  <c r="F78" i="21"/>
  <c r="F81" i="21" s="1"/>
  <c r="D78" i="21"/>
  <c r="D99" i="21" s="1"/>
  <c r="B78" i="21"/>
  <c r="B109" i="21" s="1"/>
  <c r="A77" i="21"/>
  <c r="B75" i="21"/>
  <c r="P73" i="21"/>
  <c r="L73" i="21"/>
  <c r="J73" i="21"/>
  <c r="D73" i="21"/>
  <c r="X72" i="21"/>
  <c r="P72" i="21"/>
  <c r="N72" i="21"/>
  <c r="X71" i="21"/>
  <c r="R71" i="21"/>
  <c r="P71" i="21"/>
  <c r="X69" i="21"/>
  <c r="V69" i="21"/>
  <c r="X68" i="21"/>
  <c r="P68" i="21"/>
  <c r="L68" i="21"/>
  <c r="X67" i="21"/>
  <c r="V67" i="21"/>
  <c r="P67" i="21"/>
  <c r="X66" i="21"/>
  <c r="H65" i="21"/>
  <c r="D65" i="21"/>
  <c r="X63" i="21"/>
  <c r="V63" i="21"/>
  <c r="R63" i="21"/>
  <c r="P63" i="21"/>
  <c r="V62" i="21"/>
  <c r="P62" i="21"/>
  <c r="L62" i="21"/>
  <c r="X61" i="21"/>
  <c r="X60" i="21"/>
  <c r="R59" i="21"/>
  <c r="X58" i="21"/>
  <c r="V58" i="21"/>
  <c r="P58" i="21"/>
  <c r="P57" i="21"/>
  <c r="D57" i="21"/>
  <c r="P56" i="21"/>
  <c r="L56" i="21"/>
  <c r="X55" i="21"/>
  <c r="L55" i="21"/>
  <c r="X52" i="21"/>
  <c r="V52" i="21"/>
  <c r="R52" i="21"/>
  <c r="P52" i="21"/>
  <c r="D52" i="21"/>
  <c r="V51" i="21"/>
  <c r="V50" i="21"/>
  <c r="X49" i="21"/>
  <c r="V49" i="21"/>
  <c r="V48" i="21"/>
  <c r="P48" i="21"/>
  <c r="X47" i="21"/>
  <c r="P47" i="21"/>
  <c r="X46" i="21"/>
  <c r="V46" i="21"/>
  <c r="P46" i="21"/>
  <c r="V45" i="21"/>
  <c r="R45" i="21"/>
  <c r="J45" i="21"/>
  <c r="X44" i="21"/>
  <c r="N44" i="21"/>
  <c r="P43" i="21"/>
  <c r="X41" i="21"/>
  <c r="X57" i="21" s="1"/>
  <c r="V41" i="21"/>
  <c r="T41" i="21"/>
  <c r="R41" i="21"/>
  <c r="R73" i="21" s="1"/>
  <c r="P41" i="21"/>
  <c r="P59" i="21" s="1"/>
  <c r="N41" i="21"/>
  <c r="N53" i="21" s="1"/>
  <c r="L41" i="21"/>
  <c r="L52" i="21" s="1"/>
  <c r="J41" i="21"/>
  <c r="J56" i="21" s="1"/>
  <c r="H41" i="21"/>
  <c r="H67" i="21" s="1"/>
  <c r="F41" i="21"/>
  <c r="F73" i="21" s="1"/>
  <c r="D41" i="21"/>
  <c r="D60" i="21" s="1"/>
  <c r="B41" i="21"/>
  <c r="A40" i="21"/>
  <c r="B38" i="21"/>
  <c r="X36" i="21"/>
  <c r="P36" i="21"/>
  <c r="X35" i="21"/>
  <c r="X33" i="21"/>
  <c r="X32" i="21"/>
  <c r="P32" i="21"/>
  <c r="P31" i="21"/>
  <c r="X30" i="21"/>
  <c r="X29" i="21"/>
  <c r="X28" i="21"/>
  <c r="P28" i="21"/>
  <c r="X27" i="21"/>
  <c r="P27" i="21"/>
  <c r="X26" i="21"/>
  <c r="X25" i="21"/>
  <c r="X23" i="21"/>
  <c r="P23" i="21"/>
  <c r="X22" i="21"/>
  <c r="D22" i="21"/>
  <c r="X20" i="21"/>
  <c r="P20" i="21"/>
  <c r="X19" i="21"/>
  <c r="R19" i="21"/>
  <c r="P19" i="21"/>
  <c r="X18" i="21"/>
  <c r="X17" i="21"/>
  <c r="X16" i="21"/>
  <c r="P16" i="21"/>
  <c r="P15" i="21"/>
  <c r="X14" i="21"/>
  <c r="X13" i="21"/>
  <c r="V13" i="21"/>
  <c r="X12" i="21"/>
  <c r="P12" i="21"/>
  <c r="B12" i="21"/>
  <c r="X11" i="21"/>
  <c r="P11" i="21"/>
  <c r="X10" i="21"/>
  <c r="X9" i="21"/>
  <c r="X8" i="21"/>
  <c r="P8" i="21"/>
  <c r="X7" i="21"/>
  <c r="P7" i="21"/>
  <c r="X6" i="21"/>
  <c r="P6" i="21"/>
  <c r="X4" i="21"/>
  <c r="X34" i="21" s="1"/>
  <c r="V4" i="21"/>
  <c r="V19" i="21" s="1"/>
  <c r="T4" i="21"/>
  <c r="T15" i="21" s="1"/>
  <c r="R4" i="21"/>
  <c r="R21" i="21" s="1"/>
  <c r="P4" i="21"/>
  <c r="N4" i="21"/>
  <c r="N32" i="21" s="1"/>
  <c r="L4" i="21"/>
  <c r="L32" i="21" s="1"/>
  <c r="J4" i="21"/>
  <c r="J21" i="21" s="1"/>
  <c r="H4" i="21"/>
  <c r="H30" i="21" s="1"/>
  <c r="F4" i="21"/>
  <c r="F26" i="21" s="1"/>
  <c r="D4" i="21"/>
  <c r="D27" i="21" s="1"/>
  <c r="B4" i="21"/>
  <c r="B36" i="21" s="1"/>
  <c r="A3" i="21"/>
  <c r="A1" i="21"/>
  <c r="A217" i="20"/>
  <c r="C217" i="20" s="1"/>
  <c r="B216" i="20"/>
  <c r="A216" i="20"/>
  <c r="A215" i="20"/>
  <c r="A214" i="20"/>
  <c r="B214" i="20" s="1"/>
  <c r="B213" i="20"/>
  <c r="D213" i="20" s="1"/>
  <c r="A213" i="20"/>
  <c r="C213" i="20" s="1"/>
  <c r="A212" i="20"/>
  <c r="C212" i="20" s="1"/>
  <c r="A211" i="20"/>
  <c r="A210" i="20"/>
  <c r="A209" i="20"/>
  <c r="C209" i="20" s="1"/>
  <c r="A208" i="20"/>
  <c r="A207" i="20"/>
  <c r="A206" i="20"/>
  <c r="B206" i="20" s="1"/>
  <c r="A205" i="20"/>
  <c r="A204" i="20"/>
  <c r="A203" i="20"/>
  <c r="A201" i="20"/>
  <c r="A199" i="20"/>
  <c r="A198" i="20"/>
  <c r="C198" i="20" s="1"/>
  <c r="A197" i="20"/>
  <c r="A196" i="20"/>
  <c r="B196" i="20" s="1"/>
  <c r="A195" i="20"/>
  <c r="A194" i="20"/>
  <c r="A193" i="20"/>
  <c r="A192" i="20"/>
  <c r="A191" i="20"/>
  <c r="A190" i="20"/>
  <c r="A189" i="20"/>
  <c r="A188" i="20"/>
  <c r="A187" i="20"/>
  <c r="B187" i="20" s="1"/>
  <c r="A186" i="20"/>
  <c r="C186" i="20" s="1"/>
  <c r="C185" i="20"/>
  <c r="A185" i="20"/>
  <c r="B185" i="20" s="1"/>
  <c r="D185" i="20" s="1"/>
  <c r="A183" i="20"/>
  <c r="A181" i="20"/>
  <c r="B181" i="20" s="1"/>
  <c r="C180" i="20"/>
  <c r="A180" i="20"/>
  <c r="A179" i="20"/>
  <c r="B179" i="20" s="1"/>
  <c r="A178" i="20"/>
  <c r="A177" i="20"/>
  <c r="C177" i="20" s="1"/>
  <c r="A176" i="20"/>
  <c r="A175" i="20"/>
  <c r="A174" i="20"/>
  <c r="A173" i="20"/>
  <c r="C173" i="20" s="1"/>
  <c r="A172" i="20"/>
  <c r="A171" i="20"/>
  <c r="A170" i="20"/>
  <c r="B170" i="20" s="1"/>
  <c r="A169" i="20"/>
  <c r="B169" i="20" s="1"/>
  <c r="A168" i="20"/>
  <c r="B168" i="20" s="1"/>
  <c r="A167" i="20"/>
  <c r="C167" i="20" s="1"/>
  <c r="A165" i="20"/>
  <c r="B163" i="20"/>
  <c r="A163" i="20"/>
  <c r="A162" i="20"/>
  <c r="B162" i="20" s="1"/>
  <c r="A161" i="20"/>
  <c r="B161" i="20" s="1"/>
  <c r="A160" i="20"/>
  <c r="B160" i="20" s="1"/>
  <c r="A159" i="20"/>
  <c r="C159" i="20" s="1"/>
  <c r="A158" i="20"/>
  <c r="C158" i="20" s="1"/>
  <c r="A157" i="20"/>
  <c r="A156" i="20"/>
  <c r="A155" i="20"/>
  <c r="B155" i="20" s="1"/>
  <c r="A154" i="20"/>
  <c r="A153" i="20"/>
  <c r="C153" i="20" s="1"/>
  <c r="A152" i="20"/>
  <c r="C152" i="20" s="1"/>
  <c r="A151" i="20"/>
  <c r="B151" i="20" s="1"/>
  <c r="A150" i="20"/>
  <c r="A149" i="20"/>
  <c r="C149" i="20" s="1"/>
  <c r="A147" i="20"/>
  <c r="C145" i="20"/>
  <c r="B145" i="20"/>
  <c r="D145" i="20" s="1"/>
  <c r="A145" i="20"/>
  <c r="C144" i="20"/>
  <c r="D144" i="20" s="1"/>
  <c r="A144" i="20"/>
  <c r="B144" i="20" s="1"/>
  <c r="A143" i="20"/>
  <c r="A142" i="20"/>
  <c r="A141" i="20"/>
  <c r="C141" i="20" s="1"/>
  <c r="A140" i="20"/>
  <c r="B140" i="20" s="1"/>
  <c r="A139" i="20"/>
  <c r="A138" i="20"/>
  <c r="A137" i="20"/>
  <c r="A136" i="20"/>
  <c r="A135" i="20"/>
  <c r="C135" i="20" s="1"/>
  <c r="A134" i="20"/>
  <c r="A133" i="20"/>
  <c r="A132" i="20"/>
  <c r="A131" i="20"/>
  <c r="B131" i="20" s="1"/>
  <c r="A129" i="20"/>
  <c r="A127" i="20"/>
  <c r="A126" i="20"/>
  <c r="A125" i="20"/>
  <c r="B125" i="20" s="1"/>
  <c r="A124" i="20"/>
  <c r="B124" i="20" s="1"/>
  <c r="C123" i="20"/>
  <c r="A123" i="20"/>
  <c r="B123" i="20" s="1"/>
  <c r="D123" i="20" s="1"/>
  <c r="A122" i="20"/>
  <c r="A121" i="20"/>
  <c r="A120" i="20"/>
  <c r="A119" i="20"/>
  <c r="A118" i="20"/>
  <c r="A117" i="20"/>
  <c r="A116" i="20"/>
  <c r="B116" i="20" s="1"/>
  <c r="A115" i="20"/>
  <c r="B115" i="20" s="1"/>
  <c r="A114" i="20"/>
  <c r="A113" i="20"/>
  <c r="A111" i="20"/>
  <c r="A109" i="20"/>
  <c r="A108" i="20"/>
  <c r="A107" i="20"/>
  <c r="C107" i="20" s="1"/>
  <c r="A106" i="20"/>
  <c r="C106" i="20" s="1"/>
  <c r="A105" i="20"/>
  <c r="A104" i="20"/>
  <c r="C104" i="20" s="1"/>
  <c r="A103" i="20"/>
  <c r="A102" i="20"/>
  <c r="A101" i="20"/>
  <c r="C101" i="20" s="1"/>
  <c r="A100" i="20"/>
  <c r="A99" i="20"/>
  <c r="C99" i="20" s="1"/>
  <c r="A98" i="20"/>
  <c r="B98" i="20" s="1"/>
  <c r="A97" i="20"/>
  <c r="C97" i="20" s="1"/>
  <c r="A96" i="20"/>
  <c r="A95" i="20"/>
  <c r="C95" i="20" s="1"/>
  <c r="A93" i="20"/>
  <c r="B91" i="20"/>
  <c r="A91" i="20"/>
  <c r="A90" i="20"/>
  <c r="A89" i="20"/>
  <c r="C89" i="20" s="1"/>
  <c r="A88" i="20"/>
  <c r="C87" i="20"/>
  <c r="B87" i="20"/>
  <c r="A87" i="20"/>
  <c r="D87" i="20" s="1"/>
  <c r="A86" i="20"/>
  <c r="C86" i="20" s="1"/>
  <c r="A85" i="20"/>
  <c r="A84" i="20"/>
  <c r="A83" i="20"/>
  <c r="B83" i="20" s="1"/>
  <c r="A82" i="20"/>
  <c r="A81" i="20"/>
  <c r="A80" i="20"/>
  <c r="B80" i="20" s="1"/>
  <c r="A79" i="20"/>
  <c r="B79" i="20" s="1"/>
  <c r="A78" i="20"/>
  <c r="A77" i="20"/>
  <c r="B77" i="20" s="1"/>
  <c r="A75" i="20"/>
  <c r="C73" i="20"/>
  <c r="B73" i="20"/>
  <c r="D73" i="20" s="1"/>
  <c r="A73" i="20"/>
  <c r="C72" i="20"/>
  <c r="B72" i="20"/>
  <c r="A72" i="20"/>
  <c r="A71" i="20"/>
  <c r="A70" i="20"/>
  <c r="A69" i="20"/>
  <c r="A68" i="20"/>
  <c r="C68" i="20" s="1"/>
  <c r="A67" i="20"/>
  <c r="A66" i="20"/>
  <c r="A65" i="20"/>
  <c r="A64" i="20"/>
  <c r="A63" i="20"/>
  <c r="B63" i="20" s="1"/>
  <c r="A62" i="20"/>
  <c r="C62" i="20" s="1"/>
  <c r="A61" i="20"/>
  <c r="B61" i="20" s="1"/>
  <c r="A60" i="20"/>
  <c r="C60" i="20" s="1"/>
  <c r="A59" i="20"/>
  <c r="A57" i="20"/>
  <c r="A55" i="20"/>
  <c r="C55" i="20" s="1"/>
  <c r="C54" i="20"/>
  <c r="B54" i="20"/>
  <c r="A54" i="20"/>
  <c r="A53" i="20"/>
  <c r="B53" i="20" s="1"/>
  <c r="A52" i="20"/>
  <c r="B52" i="20" s="1"/>
  <c r="A51" i="20"/>
  <c r="A50" i="20"/>
  <c r="A49" i="20"/>
  <c r="A48" i="20"/>
  <c r="A47" i="20"/>
  <c r="A46" i="20"/>
  <c r="A45" i="20"/>
  <c r="C45" i="20" s="1"/>
  <c r="A44" i="20"/>
  <c r="B44" i="20" s="1"/>
  <c r="A43" i="20"/>
  <c r="C43" i="20" s="1"/>
  <c r="A42" i="20"/>
  <c r="C42" i="20" s="1"/>
  <c r="A41" i="20"/>
  <c r="A39" i="20"/>
  <c r="A37" i="20"/>
  <c r="C36" i="20"/>
  <c r="B36" i="20"/>
  <c r="D36" i="20" s="1"/>
  <c r="A36" i="20"/>
  <c r="A35" i="20"/>
  <c r="A34" i="20"/>
  <c r="A33" i="20"/>
  <c r="A32" i="20"/>
  <c r="C32" i="20" s="1"/>
  <c r="A31" i="20"/>
  <c r="A30" i="20"/>
  <c r="A29" i="20"/>
  <c r="C29" i="20" s="1"/>
  <c r="A28" i="20"/>
  <c r="A27" i="20"/>
  <c r="B27" i="20" s="1"/>
  <c r="A26" i="20"/>
  <c r="A25" i="20"/>
  <c r="B25" i="20" s="1"/>
  <c r="A24" i="20"/>
  <c r="C24" i="20" s="1"/>
  <c r="A23" i="20"/>
  <c r="C23" i="20" s="1"/>
  <c r="A21" i="20"/>
  <c r="C19" i="20"/>
  <c r="A19" i="20"/>
  <c r="B19" i="20" s="1"/>
  <c r="D19" i="20" s="1"/>
  <c r="C18" i="20"/>
  <c r="B18" i="20"/>
  <c r="D18" i="20" s="1"/>
  <c r="A18" i="20"/>
  <c r="A17" i="20"/>
  <c r="C17" i="20" s="1"/>
  <c r="A16" i="20"/>
  <c r="B16" i="20" s="1"/>
  <c r="A15" i="20"/>
  <c r="A14" i="20"/>
  <c r="C14" i="20" s="1"/>
  <c r="A13" i="20"/>
  <c r="A12" i="20"/>
  <c r="A11" i="20"/>
  <c r="B11" i="20" s="1"/>
  <c r="A10" i="20"/>
  <c r="A9" i="20"/>
  <c r="B9" i="20" s="1"/>
  <c r="A8" i="20"/>
  <c r="A7" i="20"/>
  <c r="C7" i="20" s="1"/>
  <c r="A6" i="20"/>
  <c r="C6" i="20" s="1"/>
  <c r="C5" i="20"/>
  <c r="B5" i="20"/>
  <c r="D5" i="20" s="1"/>
  <c r="A5" i="20"/>
  <c r="A3" i="20"/>
  <c r="A1" i="20"/>
  <c r="N42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B24" i="19"/>
  <c r="E24" i="19" s="1"/>
  <c r="M23" i="19"/>
  <c r="L23" i="19"/>
  <c r="K23" i="19"/>
  <c r="I23" i="19"/>
  <c r="H23" i="19"/>
  <c r="G23" i="19"/>
  <c r="B23" i="19"/>
  <c r="C23" i="19" s="1"/>
  <c r="B22" i="19"/>
  <c r="M22" i="19" s="1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B20" i="19"/>
  <c r="B19" i="19"/>
  <c r="F19" i="19" s="1"/>
  <c r="B18" i="19"/>
  <c r="N18" i="19" s="1"/>
  <c r="N17" i="19"/>
  <c r="M17" i="19"/>
  <c r="L17" i="19"/>
  <c r="B17" i="19"/>
  <c r="F17" i="19" s="1"/>
  <c r="J16" i="19"/>
  <c r="F16" i="19"/>
  <c r="E16" i="19"/>
  <c r="B16" i="19"/>
  <c r="C16" i="19" s="1"/>
  <c r="B15" i="19"/>
  <c r="L15" i="19" s="1"/>
  <c r="B14" i="19"/>
  <c r="G14" i="19" s="1"/>
  <c r="M13" i="19"/>
  <c r="J13" i="19"/>
  <c r="I13" i="19"/>
  <c r="H13" i="19"/>
  <c r="B13" i="19"/>
  <c r="E13" i="19" s="1"/>
  <c r="B12" i="19"/>
  <c r="C12" i="19" s="1"/>
  <c r="B11" i="19"/>
  <c r="I11" i="19" s="1"/>
  <c r="B10" i="19"/>
  <c r="J10" i="19" s="1"/>
  <c r="B9" i="19"/>
  <c r="C9" i="19" s="1"/>
  <c r="N8" i="19"/>
  <c r="B8" i="19"/>
  <c r="J8" i="19" s="1"/>
  <c r="B7" i="19"/>
  <c r="B6" i="19"/>
  <c r="B5" i="19"/>
  <c r="G5" i="19" s="1"/>
  <c r="B4" i="19"/>
  <c r="J4" i="19" s="1"/>
  <c r="B3" i="19"/>
  <c r="D3" i="19" s="1"/>
  <c r="A1" i="19"/>
  <c r="N34" i="18"/>
  <c r="M34" i="18"/>
  <c r="L34" i="18"/>
  <c r="K34" i="18"/>
  <c r="J34" i="18"/>
  <c r="I34" i="18"/>
  <c r="H34" i="18"/>
  <c r="G34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S15" i="18"/>
  <c r="R15" i="18"/>
  <c r="N15" i="18"/>
  <c r="M15" i="18"/>
  <c r="L15" i="18"/>
  <c r="K15" i="18"/>
  <c r="J15" i="18"/>
  <c r="I15" i="18"/>
  <c r="H15" i="18"/>
  <c r="G15" i="18"/>
  <c r="F15" i="18"/>
  <c r="B15" i="18"/>
  <c r="N14" i="18"/>
  <c r="M14" i="18"/>
  <c r="L14" i="18"/>
  <c r="K14" i="18"/>
  <c r="J14" i="18"/>
  <c r="I14" i="18"/>
  <c r="H14" i="18"/>
  <c r="G14" i="18"/>
  <c r="B14" i="18"/>
  <c r="O13" i="18"/>
  <c r="N13" i="18"/>
  <c r="M13" i="18"/>
  <c r="L13" i="18"/>
  <c r="K13" i="18"/>
  <c r="J13" i="18"/>
  <c r="I13" i="18"/>
  <c r="H13" i="18"/>
  <c r="G13" i="18"/>
  <c r="C13" i="18"/>
  <c r="B13" i="18"/>
  <c r="N12" i="18"/>
  <c r="M12" i="18"/>
  <c r="L12" i="18"/>
  <c r="K12" i="18"/>
  <c r="J12" i="18"/>
  <c r="I12" i="18"/>
  <c r="H12" i="18"/>
  <c r="G12" i="18"/>
  <c r="E12" i="18"/>
  <c r="B12" i="18"/>
  <c r="N11" i="18"/>
  <c r="M11" i="18"/>
  <c r="L11" i="18"/>
  <c r="K11" i="18"/>
  <c r="J11" i="18"/>
  <c r="I11" i="18"/>
  <c r="H11" i="18"/>
  <c r="G11" i="18"/>
  <c r="B11" i="18"/>
  <c r="N10" i="18"/>
  <c r="M10" i="18"/>
  <c r="L10" i="18"/>
  <c r="K10" i="18"/>
  <c r="J10" i="18"/>
  <c r="I10" i="18"/>
  <c r="H10" i="18"/>
  <c r="G10" i="18"/>
  <c r="B10" i="18"/>
  <c r="R9" i="18"/>
  <c r="N9" i="18"/>
  <c r="M9" i="18"/>
  <c r="L9" i="18"/>
  <c r="K9" i="18"/>
  <c r="J9" i="18"/>
  <c r="I9" i="18"/>
  <c r="H9" i="18"/>
  <c r="G9" i="18"/>
  <c r="C9" i="18"/>
  <c r="B9" i="18"/>
  <c r="N8" i="18"/>
  <c r="M8" i="18"/>
  <c r="L8" i="18"/>
  <c r="K8" i="18"/>
  <c r="J8" i="18"/>
  <c r="I8" i="18"/>
  <c r="H8" i="18"/>
  <c r="G8" i="18"/>
  <c r="E8" i="18"/>
  <c r="C8" i="18"/>
  <c r="B8" i="18"/>
  <c r="N7" i="18"/>
  <c r="M7" i="18"/>
  <c r="L7" i="18"/>
  <c r="K7" i="18"/>
  <c r="J7" i="18"/>
  <c r="I7" i="18"/>
  <c r="H7" i="18"/>
  <c r="G7" i="18"/>
  <c r="E7" i="18"/>
  <c r="C7" i="18"/>
  <c r="B7" i="18"/>
  <c r="N6" i="18"/>
  <c r="M6" i="18"/>
  <c r="L6" i="18"/>
  <c r="K6" i="18"/>
  <c r="J6" i="18"/>
  <c r="I6" i="18"/>
  <c r="H6" i="18"/>
  <c r="G6" i="18"/>
  <c r="C6" i="18"/>
  <c r="B6" i="18"/>
  <c r="T5" i="18"/>
  <c r="N5" i="18"/>
  <c r="M5" i="18"/>
  <c r="L5" i="18"/>
  <c r="K5" i="18"/>
  <c r="J5" i="18"/>
  <c r="I5" i="18"/>
  <c r="H5" i="18"/>
  <c r="G5" i="18"/>
  <c r="C5" i="18"/>
  <c r="B5" i="18"/>
  <c r="N4" i="18"/>
  <c r="M4" i="18"/>
  <c r="L4" i="18"/>
  <c r="K4" i="18"/>
  <c r="J4" i="18"/>
  <c r="I4" i="18"/>
  <c r="H4" i="18"/>
  <c r="G4" i="18"/>
  <c r="F4" i="18"/>
  <c r="C4" i="18"/>
  <c r="B4" i="18"/>
  <c r="A1" i="18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E446" i="17"/>
  <c r="B446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E406" i="17"/>
  <c r="B406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E366" i="17"/>
  <c r="B366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E326" i="17"/>
  <c r="B326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E286" i="17"/>
  <c r="B286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E246" i="17"/>
  <c r="B246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E206" i="17"/>
  <c r="B206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E166" i="17"/>
  <c r="B166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E126" i="17"/>
  <c r="B126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E86" i="17"/>
  <c r="B86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E46" i="17"/>
  <c r="B46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E6" i="17"/>
  <c r="B6" i="17"/>
  <c r="D2" i="17"/>
  <c r="B37" i="16"/>
  <c r="A37" i="16"/>
  <c r="B36" i="16"/>
  <c r="A36" i="16"/>
  <c r="B35" i="16"/>
  <c r="A35" i="16"/>
  <c r="B34" i="16"/>
  <c r="A34" i="16"/>
  <c r="B33" i="16"/>
  <c r="A33" i="16"/>
  <c r="B32" i="16"/>
  <c r="A32" i="16"/>
  <c r="B31" i="16"/>
  <c r="A31" i="16"/>
  <c r="B30" i="16"/>
  <c r="A30" i="16"/>
  <c r="B29" i="16"/>
  <c r="A29" i="16"/>
  <c r="B28" i="16"/>
  <c r="A28" i="16"/>
  <c r="B27" i="16"/>
  <c r="A27" i="16"/>
  <c r="B26" i="16"/>
  <c r="A26" i="16"/>
  <c r="B25" i="16"/>
  <c r="A25" i="16"/>
  <c r="B24" i="16"/>
  <c r="A24" i="16"/>
  <c r="B23" i="16"/>
  <c r="A23" i="16"/>
  <c r="B22" i="16"/>
  <c r="A22" i="16"/>
  <c r="B21" i="16"/>
  <c r="A21" i="16"/>
  <c r="B20" i="16"/>
  <c r="A20" i="16"/>
  <c r="B19" i="16"/>
  <c r="A19" i="16"/>
  <c r="B18" i="16"/>
  <c r="A18" i="16"/>
  <c r="B17" i="16"/>
  <c r="A17" i="16"/>
  <c r="B16" i="16"/>
  <c r="A16" i="16"/>
  <c r="B15" i="16"/>
  <c r="A15" i="16"/>
  <c r="B14" i="16"/>
  <c r="A14" i="16"/>
  <c r="B13" i="16"/>
  <c r="A13" i="16"/>
  <c r="B12" i="16"/>
  <c r="A12" i="16"/>
  <c r="B11" i="16"/>
  <c r="A11" i="16"/>
  <c r="B10" i="16"/>
  <c r="A10" i="16"/>
  <c r="B9" i="16"/>
  <c r="A9" i="16"/>
  <c r="B8" i="16"/>
  <c r="A8" i="16"/>
  <c r="B7" i="16"/>
  <c r="A7" i="16"/>
  <c r="B3" i="16"/>
  <c r="ES40" i="15"/>
  <c r="EN40" i="15"/>
  <c r="EI40" i="15"/>
  <c r="ED40" i="15"/>
  <c r="DY40" i="15"/>
  <c r="DT40" i="15"/>
  <c r="DO40" i="15"/>
  <c r="DJ40" i="15"/>
  <c r="DE40" i="15"/>
  <c r="CZ40" i="15"/>
  <c r="CU40" i="15"/>
  <c r="CP40" i="15"/>
  <c r="CK40" i="15"/>
  <c r="CF40" i="15"/>
  <c r="CA40" i="15"/>
  <c r="BV40" i="15"/>
  <c r="BQ40" i="15"/>
  <c r="BL40" i="15"/>
  <c r="BG40" i="15"/>
  <c r="BB40" i="15"/>
  <c r="AW40" i="15"/>
  <c r="AR40" i="15"/>
  <c r="AM40" i="15"/>
  <c r="AH40" i="15"/>
  <c r="AC40" i="15"/>
  <c r="X40" i="15"/>
  <c r="S40" i="15"/>
  <c r="N40" i="15"/>
  <c r="I40" i="15"/>
  <c r="D40" i="15"/>
  <c r="ES39" i="15"/>
  <c r="EN39" i="15"/>
  <c r="EI39" i="15"/>
  <c r="ED39" i="15"/>
  <c r="DY39" i="15"/>
  <c r="DT39" i="15"/>
  <c r="DO39" i="15"/>
  <c r="DJ39" i="15"/>
  <c r="DE39" i="15"/>
  <c r="CZ39" i="15"/>
  <c r="CU39" i="15"/>
  <c r="CP39" i="15"/>
  <c r="CK39" i="15"/>
  <c r="CF39" i="15"/>
  <c r="CA39" i="15"/>
  <c r="BV39" i="15"/>
  <c r="BQ39" i="15"/>
  <c r="BL39" i="15"/>
  <c r="BG39" i="15"/>
  <c r="BB39" i="15"/>
  <c r="AW39" i="15"/>
  <c r="AR39" i="15"/>
  <c r="AM39" i="15"/>
  <c r="AH39" i="15"/>
  <c r="AC39" i="15"/>
  <c r="X39" i="15"/>
  <c r="S39" i="15"/>
  <c r="N39" i="15"/>
  <c r="I39" i="15"/>
  <c r="D39" i="15"/>
  <c r="ES38" i="15"/>
  <c r="EN38" i="15"/>
  <c r="EI38" i="15"/>
  <c r="ED38" i="15"/>
  <c r="DY38" i="15"/>
  <c r="DT38" i="15"/>
  <c r="DO38" i="15"/>
  <c r="DJ38" i="15"/>
  <c r="DE38" i="15"/>
  <c r="CZ38" i="15"/>
  <c r="CU38" i="15"/>
  <c r="CP38" i="15"/>
  <c r="CK38" i="15"/>
  <c r="CF38" i="15"/>
  <c r="CA38" i="15"/>
  <c r="BV38" i="15"/>
  <c r="BQ38" i="15"/>
  <c r="BL38" i="15"/>
  <c r="BG38" i="15"/>
  <c r="BB38" i="15"/>
  <c r="AW38" i="15"/>
  <c r="AR38" i="15"/>
  <c r="AM38" i="15"/>
  <c r="AH38" i="15"/>
  <c r="AC38" i="15"/>
  <c r="X38" i="15"/>
  <c r="S38" i="15"/>
  <c r="N38" i="15"/>
  <c r="I38" i="15"/>
  <c r="D38" i="15"/>
  <c r="ES37" i="15"/>
  <c r="EN37" i="15"/>
  <c r="EI37" i="15"/>
  <c r="ED37" i="15"/>
  <c r="DY37" i="15"/>
  <c r="DT37" i="15"/>
  <c r="DO37" i="15"/>
  <c r="DJ37" i="15"/>
  <c r="DE37" i="15"/>
  <c r="CZ37" i="15"/>
  <c r="CU37" i="15"/>
  <c r="CP37" i="15"/>
  <c r="CK37" i="15"/>
  <c r="CF37" i="15"/>
  <c r="CA37" i="15"/>
  <c r="BV37" i="15"/>
  <c r="BQ37" i="15"/>
  <c r="BL37" i="15"/>
  <c r="BG37" i="15"/>
  <c r="BB37" i="15"/>
  <c r="AW37" i="15"/>
  <c r="AR37" i="15"/>
  <c r="AM37" i="15"/>
  <c r="AH37" i="15"/>
  <c r="AC37" i="15"/>
  <c r="X37" i="15"/>
  <c r="S37" i="15"/>
  <c r="N37" i="15"/>
  <c r="I37" i="15"/>
  <c r="D37" i="15"/>
  <c r="ES36" i="15"/>
  <c r="EN36" i="15"/>
  <c r="EI36" i="15"/>
  <c r="ED36" i="15"/>
  <c r="DY36" i="15"/>
  <c r="DT36" i="15"/>
  <c r="DO36" i="15"/>
  <c r="DJ36" i="15"/>
  <c r="DE36" i="15"/>
  <c r="CZ36" i="15"/>
  <c r="CU36" i="15"/>
  <c r="CP36" i="15"/>
  <c r="CK36" i="15"/>
  <c r="CF36" i="15"/>
  <c r="CA36" i="15"/>
  <c r="BV36" i="15"/>
  <c r="BQ36" i="15"/>
  <c r="BL36" i="15"/>
  <c r="BG36" i="15"/>
  <c r="BB36" i="15"/>
  <c r="AW36" i="15"/>
  <c r="AR36" i="15"/>
  <c r="AM36" i="15"/>
  <c r="AH36" i="15"/>
  <c r="AC36" i="15"/>
  <c r="X36" i="15"/>
  <c r="S36" i="15"/>
  <c r="N36" i="15"/>
  <c r="I36" i="15"/>
  <c r="D36" i="15"/>
  <c r="ES35" i="15"/>
  <c r="EN35" i="15"/>
  <c r="EI35" i="15"/>
  <c r="ED35" i="15"/>
  <c r="DY35" i="15"/>
  <c r="DT35" i="15"/>
  <c r="DO35" i="15"/>
  <c r="DJ35" i="15"/>
  <c r="DE35" i="15"/>
  <c r="CZ35" i="15"/>
  <c r="CU35" i="15"/>
  <c r="CP35" i="15"/>
  <c r="CK35" i="15"/>
  <c r="CF35" i="15"/>
  <c r="CA35" i="15"/>
  <c r="BV35" i="15"/>
  <c r="BQ35" i="15"/>
  <c r="BL35" i="15"/>
  <c r="BG35" i="15"/>
  <c r="BB35" i="15"/>
  <c r="AW35" i="15"/>
  <c r="AR35" i="15"/>
  <c r="AM35" i="15"/>
  <c r="AH35" i="15"/>
  <c r="AC35" i="15"/>
  <c r="X35" i="15"/>
  <c r="S35" i="15"/>
  <c r="N35" i="15"/>
  <c r="I35" i="15"/>
  <c r="D35" i="15"/>
  <c r="EV34" i="15"/>
  <c r="EU34" i="15"/>
  <c r="EQ34" i="15"/>
  <c r="EP34" i="15"/>
  <c r="EL34" i="15"/>
  <c r="EK34" i="15"/>
  <c r="EG34" i="15"/>
  <c r="EF34" i="15"/>
  <c r="EB34" i="15"/>
  <c r="EA34" i="15"/>
  <c r="DW34" i="15"/>
  <c r="DV34" i="15"/>
  <c r="DR34" i="15"/>
  <c r="DQ34" i="15"/>
  <c r="DM34" i="15"/>
  <c r="DL34" i="15"/>
  <c r="DH34" i="15"/>
  <c r="DG34" i="15"/>
  <c r="DC34" i="15"/>
  <c r="DB34" i="15"/>
  <c r="CX34" i="15"/>
  <c r="CW34" i="15"/>
  <c r="CS34" i="15"/>
  <c r="CR34" i="15"/>
  <c r="CN34" i="15"/>
  <c r="CM34" i="15"/>
  <c r="CI34" i="15"/>
  <c r="CH34" i="15"/>
  <c r="CD34" i="15"/>
  <c r="CC34" i="15"/>
  <c r="BY34" i="15"/>
  <c r="BX34" i="15"/>
  <c r="BT34" i="15"/>
  <c r="BS34" i="15"/>
  <c r="BO34" i="15"/>
  <c r="BN34" i="15"/>
  <c r="BJ34" i="15"/>
  <c r="BI34" i="15"/>
  <c r="BE34" i="15"/>
  <c r="BD34" i="15"/>
  <c r="AZ34" i="15"/>
  <c r="AY34" i="15"/>
  <c r="AU34" i="15"/>
  <c r="AT34" i="15"/>
  <c r="AP34" i="15"/>
  <c r="AO34" i="15"/>
  <c r="AK34" i="15"/>
  <c r="AJ34" i="15"/>
  <c r="AF34" i="15"/>
  <c r="AE34" i="15"/>
  <c r="AA34" i="15"/>
  <c r="Z34" i="15"/>
  <c r="V34" i="15"/>
  <c r="U34" i="15"/>
  <c r="Q34" i="15"/>
  <c r="P34" i="15"/>
  <c r="L34" i="15"/>
  <c r="K34" i="15"/>
  <c r="G34" i="15"/>
  <c r="F34" i="15"/>
  <c r="C34" i="15"/>
  <c r="B34" i="15"/>
  <c r="A34" i="15"/>
  <c r="EV33" i="15"/>
  <c r="EU33" i="15"/>
  <c r="EQ33" i="15"/>
  <c r="EP33" i="15"/>
  <c r="EL33" i="15"/>
  <c r="EK33" i="15"/>
  <c r="EG33" i="15"/>
  <c r="EF33" i="15"/>
  <c r="EB33" i="15"/>
  <c r="EA33" i="15"/>
  <c r="DW33" i="15"/>
  <c r="DV33" i="15"/>
  <c r="DR33" i="15"/>
  <c r="DQ33" i="15"/>
  <c r="DM33" i="15"/>
  <c r="DL33" i="15"/>
  <c r="DH33" i="15"/>
  <c r="DG33" i="15"/>
  <c r="DC33" i="15"/>
  <c r="DB33" i="15"/>
  <c r="CX33" i="15"/>
  <c r="CW33" i="15"/>
  <c r="CS33" i="15"/>
  <c r="CR33" i="15"/>
  <c r="CN33" i="15"/>
  <c r="CM33" i="15"/>
  <c r="CI33" i="15"/>
  <c r="CH33" i="15"/>
  <c r="CD33" i="15"/>
  <c r="CC33" i="15"/>
  <c r="BY33" i="15"/>
  <c r="BX33" i="15"/>
  <c r="BT33" i="15"/>
  <c r="BS33" i="15"/>
  <c r="BO33" i="15"/>
  <c r="BN33" i="15"/>
  <c r="BJ33" i="15"/>
  <c r="BI33" i="15"/>
  <c r="BE33" i="15"/>
  <c r="BD33" i="15"/>
  <c r="AZ33" i="15"/>
  <c r="AY33" i="15"/>
  <c r="AU33" i="15"/>
  <c r="AT33" i="15"/>
  <c r="AP33" i="15"/>
  <c r="AO33" i="15"/>
  <c r="AK33" i="15"/>
  <c r="AJ33" i="15"/>
  <c r="AF33" i="15"/>
  <c r="AE33" i="15"/>
  <c r="AA33" i="15"/>
  <c r="Z33" i="15"/>
  <c r="V33" i="15"/>
  <c r="U33" i="15"/>
  <c r="Q33" i="15"/>
  <c r="P33" i="15"/>
  <c r="L33" i="15"/>
  <c r="K33" i="15"/>
  <c r="G33" i="15"/>
  <c r="F33" i="15"/>
  <c r="C33" i="15"/>
  <c r="B33" i="15"/>
  <c r="A33" i="15"/>
  <c r="EV32" i="15"/>
  <c r="EU32" i="15"/>
  <c r="EQ32" i="15"/>
  <c r="EP32" i="15"/>
  <c r="EL32" i="15"/>
  <c r="EK32" i="15"/>
  <c r="EG32" i="15"/>
  <c r="EF32" i="15"/>
  <c r="EB32" i="15"/>
  <c r="EA32" i="15"/>
  <c r="DW32" i="15"/>
  <c r="DV32" i="15"/>
  <c r="DR32" i="15"/>
  <c r="DQ32" i="15"/>
  <c r="DM32" i="15"/>
  <c r="DL32" i="15"/>
  <c r="DH32" i="15"/>
  <c r="DG32" i="15"/>
  <c r="DC32" i="15"/>
  <c r="DB32" i="15"/>
  <c r="CX32" i="15"/>
  <c r="CW32" i="15"/>
  <c r="CS32" i="15"/>
  <c r="CR32" i="15"/>
  <c r="CN32" i="15"/>
  <c r="CM32" i="15"/>
  <c r="CI32" i="15"/>
  <c r="CH32" i="15"/>
  <c r="CD32" i="15"/>
  <c r="CC32" i="15"/>
  <c r="BY32" i="15"/>
  <c r="BX32" i="15"/>
  <c r="BT32" i="15"/>
  <c r="BS32" i="15"/>
  <c r="BO32" i="15"/>
  <c r="BN32" i="15"/>
  <c r="BJ32" i="15"/>
  <c r="BI32" i="15"/>
  <c r="BE32" i="15"/>
  <c r="BD32" i="15"/>
  <c r="AZ32" i="15"/>
  <c r="AY32" i="15"/>
  <c r="AU32" i="15"/>
  <c r="AT32" i="15"/>
  <c r="AP32" i="15"/>
  <c r="AO32" i="15"/>
  <c r="AK32" i="15"/>
  <c r="AJ32" i="15"/>
  <c r="AF32" i="15"/>
  <c r="AE32" i="15"/>
  <c r="AA32" i="15"/>
  <c r="Z32" i="15"/>
  <c r="V32" i="15"/>
  <c r="U32" i="15"/>
  <c r="Q32" i="15"/>
  <c r="P32" i="15"/>
  <c r="L32" i="15"/>
  <c r="K32" i="15"/>
  <c r="G32" i="15"/>
  <c r="F32" i="15"/>
  <c r="C32" i="15"/>
  <c r="B32" i="15"/>
  <c r="A32" i="15"/>
  <c r="EV31" i="15"/>
  <c r="EU31" i="15"/>
  <c r="EQ31" i="15"/>
  <c r="EP31" i="15"/>
  <c r="EL31" i="15"/>
  <c r="EK31" i="15"/>
  <c r="EG31" i="15"/>
  <c r="EF31" i="15"/>
  <c r="EB31" i="15"/>
  <c r="EA31" i="15"/>
  <c r="DW31" i="15"/>
  <c r="DV31" i="15"/>
  <c r="DR31" i="15"/>
  <c r="DQ31" i="15"/>
  <c r="DM31" i="15"/>
  <c r="DL31" i="15"/>
  <c r="DH31" i="15"/>
  <c r="DG31" i="15"/>
  <c r="DC31" i="15"/>
  <c r="DB31" i="15"/>
  <c r="CX31" i="15"/>
  <c r="CW31" i="15"/>
  <c r="CS31" i="15"/>
  <c r="CR31" i="15"/>
  <c r="CN31" i="15"/>
  <c r="CM31" i="15"/>
  <c r="CI31" i="15"/>
  <c r="CH31" i="15"/>
  <c r="CD31" i="15"/>
  <c r="CC31" i="15"/>
  <c r="BY31" i="15"/>
  <c r="BX31" i="15"/>
  <c r="BT31" i="15"/>
  <c r="BS31" i="15"/>
  <c r="BO31" i="15"/>
  <c r="BN31" i="15"/>
  <c r="BJ31" i="15"/>
  <c r="BI31" i="15"/>
  <c r="BE31" i="15"/>
  <c r="BD31" i="15"/>
  <c r="AZ31" i="15"/>
  <c r="AY31" i="15"/>
  <c r="AU31" i="15"/>
  <c r="AT31" i="15"/>
  <c r="AP31" i="15"/>
  <c r="AO31" i="15"/>
  <c r="AK31" i="15"/>
  <c r="AJ31" i="15"/>
  <c r="AF31" i="15"/>
  <c r="AE31" i="15"/>
  <c r="AA31" i="15"/>
  <c r="Z31" i="15"/>
  <c r="V31" i="15"/>
  <c r="U31" i="15"/>
  <c r="Q31" i="15"/>
  <c r="P31" i="15"/>
  <c r="L31" i="15"/>
  <c r="K31" i="15"/>
  <c r="G31" i="15"/>
  <c r="F31" i="15"/>
  <c r="C31" i="15"/>
  <c r="B31" i="15"/>
  <c r="A31" i="15"/>
  <c r="EV30" i="15"/>
  <c r="EU30" i="15"/>
  <c r="EQ30" i="15"/>
  <c r="EP30" i="15"/>
  <c r="EL30" i="15"/>
  <c r="EK30" i="15"/>
  <c r="EG30" i="15"/>
  <c r="EF30" i="15"/>
  <c r="EB30" i="15"/>
  <c r="EA30" i="15"/>
  <c r="DW30" i="15"/>
  <c r="DV30" i="15"/>
  <c r="DR30" i="15"/>
  <c r="DQ30" i="15"/>
  <c r="DM30" i="15"/>
  <c r="DL30" i="15"/>
  <c r="DH30" i="15"/>
  <c r="DG30" i="15"/>
  <c r="DC30" i="15"/>
  <c r="DB30" i="15"/>
  <c r="CX30" i="15"/>
  <c r="CW30" i="15"/>
  <c r="CS30" i="15"/>
  <c r="CR30" i="15"/>
  <c r="CN30" i="15"/>
  <c r="CM30" i="15"/>
  <c r="CI30" i="15"/>
  <c r="CH30" i="15"/>
  <c r="CD30" i="15"/>
  <c r="CC30" i="15"/>
  <c r="BY30" i="15"/>
  <c r="BX30" i="15"/>
  <c r="BT30" i="15"/>
  <c r="BS30" i="15"/>
  <c r="BO30" i="15"/>
  <c r="BN30" i="15"/>
  <c r="BJ30" i="15"/>
  <c r="BI30" i="15"/>
  <c r="BE30" i="15"/>
  <c r="BD30" i="15"/>
  <c r="AZ30" i="15"/>
  <c r="AY30" i="15"/>
  <c r="AU30" i="15"/>
  <c r="AT30" i="15"/>
  <c r="AP30" i="15"/>
  <c r="AO30" i="15"/>
  <c r="AK30" i="15"/>
  <c r="AJ30" i="15"/>
  <c r="AF30" i="15"/>
  <c r="AE30" i="15"/>
  <c r="AA30" i="15"/>
  <c r="Z30" i="15"/>
  <c r="V30" i="15"/>
  <c r="U30" i="15"/>
  <c r="Q30" i="15"/>
  <c r="P30" i="15"/>
  <c r="L30" i="15"/>
  <c r="K30" i="15"/>
  <c r="G30" i="15"/>
  <c r="F30" i="15"/>
  <c r="C30" i="15"/>
  <c r="B30" i="15"/>
  <c r="A30" i="15"/>
  <c r="EV29" i="15"/>
  <c r="EU29" i="15"/>
  <c r="EQ29" i="15"/>
  <c r="EP29" i="15"/>
  <c r="EL29" i="15"/>
  <c r="EK29" i="15"/>
  <c r="EG29" i="15"/>
  <c r="EF29" i="15"/>
  <c r="EB29" i="15"/>
  <c r="EA29" i="15"/>
  <c r="DW29" i="15"/>
  <c r="DV29" i="15"/>
  <c r="DR29" i="15"/>
  <c r="DQ29" i="15"/>
  <c r="DM29" i="15"/>
  <c r="DL29" i="15"/>
  <c r="DH29" i="15"/>
  <c r="DG29" i="15"/>
  <c r="DC29" i="15"/>
  <c r="DB29" i="15"/>
  <c r="CX29" i="15"/>
  <c r="CW29" i="15"/>
  <c r="CS29" i="15"/>
  <c r="CR29" i="15"/>
  <c r="CN29" i="15"/>
  <c r="CM29" i="15"/>
  <c r="CI29" i="15"/>
  <c r="CH29" i="15"/>
  <c r="CD29" i="15"/>
  <c r="CC29" i="15"/>
  <c r="BY29" i="15"/>
  <c r="BX29" i="15"/>
  <c r="BT29" i="15"/>
  <c r="BS29" i="15"/>
  <c r="BO29" i="15"/>
  <c r="BN29" i="15"/>
  <c r="BJ29" i="15"/>
  <c r="BI29" i="15"/>
  <c r="BE29" i="15"/>
  <c r="BD29" i="15"/>
  <c r="AZ29" i="15"/>
  <c r="AY29" i="15"/>
  <c r="AU29" i="15"/>
  <c r="AT29" i="15"/>
  <c r="AP29" i="15"/>
  <c r="AO29" i="15"/>
  <c r="AK29" i="15"/>
  <c r="AJ29" i="15"/>
  <c r="AF29" i="15"/>
  <c r="AE29" i="15"/>
  <c r="AA29" i="15"/>
  <c r="Z29" i="15"/>
  <c r="V29" i="15"/>
  <c r="U29" i="15"/>
  <c r="Q29" i="15"/>
  <c r="P29" i="15"/>
  <c r="L29" i="15"/>
  <c r="K29" i="15"/>
  <c r="G29" i="15"/>
  <c r="F29" i="15"/>
  <c r="C29" i="15"/>
  <c r="B29" i="15"/>
  <c r="A29" i="15"/>
  <c r="EV28" i="15"/>
  <c r="EU28" i="15"/>
  <c r="EQ28" i="15"/>
  <c r="EP28" i="15"/>
  <c r="EL28" i="15"/>
  <c r="EK28" i="15"/>
  <c r="EG28" i="15"/>
  <c r="EF28" i="15"/>
  <c r="EB28" i="15"/>
  <c r="EA28" i="15"/>
  <c r="DW28" i="15"/>
  <c r="DV28" i="15"/>
  <c r="DR28" i="15"/>
  <c r="DQ28" i="15"/>
  <c r="DM28" i="15"/>
  <c r="DL28" i="15"/>
  <c r="DH28" i="15"/>
  <c r="DG28" i="15"/>
  <c r="DC28" i="15"/>
  <c r="DB28" i="15"/>
  <c r="CX28" i="15"/>
  <c r="CW28" i="15"/>
  <c r="CS28" i="15"/>
  <c r="CR28" i="15"/>
  <c r="CN28" i="15"/>
  <c r="CM28" i="15"/>
  <c r="CI28" i="15"/>
  <c r="CH28" i="15"/>
  <c r="CD28" i="15"/>
  <c r="CC28" i="15"/>
  <c r="BY28" i="15"/>
  <c r="BX28" i="15"/>
  <c r="BT28" i="15"/>
  <c r="BS28" i="15"/>
  <c r="BO28" i="15"/>
  <c r="BN28" i="15"/>
  <c r="BJ28" i="15"/>
  <c r="BI28" i="15"/>
  <c r="BE28" i="15"/>
  <c r="BD28" i="15"/>
  <c r="AZ28" i="15"/>
  <c r="AY28" i="15"/>
  <c r="AU28" i="15"/>
  <c r="AT28" i="15"/>
  <c r="AP28" i="15"/>
  <c r="AO28" i="15"/>
  <c r="AK28" i="15"/>
  <c r="AJ28" i="15"/>
  <c r="AF28" i="15"/>
  <c r="AE28" i="15"/>
  <c r="AA28" i="15"/>
  <c r="Z28" i="15"/>
  <c r="V28" i="15"/>
  <c r="U28" i="15"/>
  <c r="Q28" i="15"/>
  <c r="P28" i="15"/>
  <c r="L28" i="15"/>
  <c r="K28" i="15"/>
  <c r="G28" i="15"/>
  <c r="F28" i="15"/>
  <c r="C28" i="15"/>
  <c r="B28" i="15"/>
  <c r="A28" i="15"/>
  <c r="EV27" i="15"/>
  <c r="EU27" i="15"/>
  <c r="EQ27" i="15"/>
  <c r="EP27" i="15"/>
  <c r="EL27" i="15"/>
  <c r="EK27" i="15"/>
  <c r="EG27" i="15"/>
  <c r="EF27" i="15"/>
  <c r="EB27" i="15"/>
  <c r="EA27" i="15"/>
  <c r="DW27" i="15"/>
  <c r="DV27" i="15"/>
  <c r="DR27" i="15"/>
  <c r="DQ27" i="15"/>
  <c r="DM27" i="15"/>
  <c r="DL27" i="15"/>
  <c r="DH27" i="15"/>
  <c r="DG27" i="15"/>
  <c r="DC27" i="15"/>
  <c r="DB27" i="15"/>
  <c r="CX27" i="15"/>
  <c r="CW27" i="15"/>
  <c r="CS27" i="15"/>
  <c r="CR27" i="15"/>
  <c r="CN27" i="15"/>
  <c r="CM27" i="15"/>
  <c r="CI27" i="15"/>
  <c r="CH27" i="15"/>
  <c r="CD27" i="15"/>
  <c r="CC27" i="15"/>
  <c r="BY27" i="15"/>
  <c r="BX27" i="15"/>
  <c r="BT27" i="15"/>
  <c r="BS27" i="15"/>
  <c r="BO27" i="15"/>
  <c r="BN27" i="15"/>
  <c r="BJ27" i="15"/>
  <c r="BI27" i="15"/>
  <c r="BE27" i="15"/>
  <c r="BD27" i="15"/>
  <c r="AZ27" i="15"/>
  <c r="AY27" i="15"/>
  <c r="AU27" i="15"/>
  <c r="AT27" i="15"/>
  <c r="AP27" i="15"/>
  <c r="AO27" i="15"/>
  <c r="AK27" i="15"/>
  <c r="AJ27" i="15"/>
  <c r="AF27" i="15"/>
  <c r="AE27" i="15"/>
  <c r="AA27" i="15"/>
  <c r="Z27" i="15"/>
  <c r="V27" i="15"/>
  <c r="U27" i="15"/>
  <c r="Q27" i="15"/>
  <c r="P27" i="15"/>
  <c r="L27" i="15"/>
  <c r="K27" i="15"/>
  <c r="G27" i="15"/>
  <c r="F27" i="15"/>
  <c r="C27" i="15"/>
  <c r="B27" i="15"/>
  <c r="A27" i="15"/>
  <c r="EV26" i="15"/>
  <c r="EU26" i="15"/>
  <c r="EQ26" i="15"/>
  <c r="EP26" i="15"/>
  <c r="EL26" i="15"/>
  <c r="EK26" i="15"/>
  <c r="EG26" i="15"/>
  <c r="EF26" i="15"/>
  <c r="EB26" i="15"/>
  <c r="EA26" i="15"/>
  <c r="DW26" i="15"/>
  <c r="DV26" i="15"/>
  <c r="DR26" i="15"/>
  <c r="DQ26" i="15"/>
  <c r="DM26" i="15"/>
  <c r="DL26" i="15"/>
  <c r="DH26" i="15"/>
  <c r="DG26" i="15"/>
  <c r="DC26" i="15"/>
  <c r="DB26" i="15"/>
  <c r="CX26" i="15"/>
  <c r="CW26" i="15"/>
  <c r="CS26" i="15"/>
  <c r="CR26" i="15"/>
  <c r="CN26" i="15"/>
  <c r="CM26" i="15"/>
  <c r="CI26" i="15"/>
  <c r="CH26" i="15"/>
  <c r="CD26" i="15"/>
  <c r="CC26" i="15"/>
  <c r="BY26" i="15"/>
  <c r="BX26" i="15"/>
  <c r="BT26" i="15"/>
  <c r="BS26" i="15"/>
  <c r="BO26" i="15"/>
  <c r="BN26" i="15"/>
  <c r="BJ26" i="15"/>
  <c r="BI26" i="15"/>
  <c r="BE26" i="15"/>
  <c r="BD26" i="15"/>
  <c r="AZ26" i="15"/>
  <c r="AY26" i="15"/>
  <c r="AU26" i="15"/>
  <c r="AT26" i="15"/>
  <c r="AP26" i="15"/>
  <c r="AO26" i="15"/>
  <c r="AK26" i="15"/>
  <c r="AJ26" i="15"/>
  <c r="AF26" i="15"/>
  <c r="AE26" i="15"/>
  <c r="AA26" i="15"/>
  <c r="Z26" i="15"/>
  <c r="V26" i="15"/>
  <c r="U26" i="15"/>
  <c r="Q26" i="15"/>
  <c r="P26" i="15"/>
  <c r="L26" i="15"/>
  <c r="K26" i="15"/>
  <c r="G26" i="15"/>
  <c r="F26" i="15"/>
  <c r="C26" i="15"/>
  <c r="B26" i="15"/>
  <c r="A26" i="15"/>
  <c r="EV25" i="15"/>
  <c r="EU25" i="15"/>
  <c r="EQ25" i="15"/>
  <c r="EP25" i="15"/>
  <c r="EL25" i="15"/>
  <c r="EK25" i="15"/>
  <c r="EG25" i="15"/>
  <c r="EF25" i="15"/>
  <c r="EB25" i="15"/>
  <c r="EA25" i="15"/>
  <c r="DW25" i="15"/>
  <c r="DV25" i="15"/>
  <c r="DR25" i="15"/>
  <c r="DQ25" i="15"/>
  <c r="DM25" i="15"/>
  <c r="DL25" i="15"/>
  <c r="DH25" i="15"/>
  <c r="DG25" i="15"/>
  <c r="DC25" i="15"/>
  <c r="DB25" i="15"/>
  <c r="CX25" i="15"/>
  <c r="CW25" i="15"/>
  <c r="CS25" i="15"/>
  <c r="CR25" i="15"/>
  <c r="CN25" i="15"/>
  <c r="CM25" i="15"/>
  <c r="CI25" i="15"/>
  <c r="CH25" i="15"/>
  <c r="CD25" i="15"/>
  <c r="CC25" i="15"/>
  <c r="BY25" i="15"/>
  <c r="BX25" i="15"/>
  <c r="BT25" i="15"/>
  <c r="BS25" i="15"/>
  <c r="BO25" i="15"/>
  <c r="BN25" i="15"/>
  <c r="BJ25" i="15"/>
  <c r="BI25" i="15"/>
  <c r="BE25" i="15"/>
  <c r="BD25" i="15"/>
  <c r="AZ25" i="15"/>
  <c r="AY25" i="15"/>
  <c r="AU25" i="15"/>
  <c r="AT25" i="15"/>
  <c r="AP25" i="15"/>
  <c r="AO25" i="15"/>
  <c r="AK25" i="15"/>
  <c r="AJ25" i="15"/>
  <c r="AF25" i="15"/>
  <c r="AE25" i="15"/>
  <c r="AA25" i="15"/>
  <c r="Z25" i="15"/>
  <c r="V25" i="15"/>
  <c r="U25" i="15"/>
  <c r="Q25" i="15"/>
  <c r="P25" i="15"/>
  <c r="L25" i="15"/>
  <c r="K25" i="15"/>
  <c r="G25" i="15"/>
  <c r="F25" i="15"/>
  <c r="C25" i="15"/>
  <c r="B25" i="15"/>
  <c r="A25" i="15"/>
  <c r="EV24" i="15"/>
  <c r="EU24" i="15"/>
  <c r="EQ24" i="15"/>
  <c r="EP24" i="15"/>
  <c r="EL24" i="15"/>
  <c r="EK24" i="15"/>
  <c r="EG24" i="15"/>
  <c r="EF24" i="15"/>
  <c r="EB24" i="15"/>
  <c r="EA24" i="15"/>
  <c r="DW24" i="15"/>
  <c r="DV24" i="15"/>
  <c r="DR24" i="15"/>
  <c r="DQ24" i="15"/>
  <c r="DM24" i="15"/>
  <c r="DL24" i="15"/>
  <c r="DH24" i="15"/>
  <c r="DG24" i="15"/>
  <c r="DC24" i="15"/>
  <c r="DB24" i="15"/>
  <c r="CX24" i="15"/>
  <c r="CW24" i="15"/>
  <c r="CS24" i="15"/>
  <c r="CR24" i="15"/>
  <c r="CN24" i="15"/>
  <c r="CM24" i="15"/>
  <c r="CI24" i="15"/>
  <c r="CH24" i="15"/>
  <c r="CD24" i="15"/>
  <c r="CC24" i="15"/>
  <c r="BY24" i="15"/>
  <c r="BX24" i="15"/>
  <c r="BT24" i="15"/>
  <c r="BS24" i="15"/>
  <c r="BO24" i="15"/>
  <c r="BN24" i="15"/>
  <c r="BJ24" i="15"/>
  <c r="BI24" i="15"/>
  <c r="BE24" i="15"/>
  <c r="BD24" i="15"/>
  <c r="AZ24" i="15"/>
  <c r="AY24" i="15"/>
  <c r="AU24" i="15"/>
  <c r="AT24" i="15"/>
  <c r="AP24" i="15"/>
  <c r="AO24" i="15"/>
  <c r="AK24" i="15"/>
  <c r="AJ24" i="15"/>
  <c r="AF24" i="15"/>
  <c r="AE24" i="15"/>
  <c r="AA24" i="15"/>
  <c r="Z24" i="15"/>
  <c r="V24" i="15"/>
  <c r="U24" i="15"/>
  <c r="Q24" i="15"/>
  <c r="P24" i="15"/>
  <c r="L24" i="15"/>
  <c r="K24" i="15"/>
  <c r="G24" i="15"/>
  <c r="F24" i="15"/>
  <c r="C24" i="15"/>
  <c r="B24" i="15"/>
  <c r="A24" i="15"/>
  <c r="EV23" i="15"/>
  <c r="EU23" i="15"/>
  <c r="EQ23" i="15"/>
  <c r="EP23" i="15"/>
  <c r="EL23" i="15"/>
  <c r="EK23" i="15"/>
  <c r="EG23" i="15"/>
  <c r="EF23" i="15"/>
  <c r="EB23" i="15"/>
  <c r="EA23" i="15"/>
  <c r="DW23" i="15"/>
  <c r="DV23" i="15"/>
  <c r="DR23" i="15"/>
  <c r="DQ23" i="15"/>
  <c r="DM23" i="15"/>
  <c r="DL23" i="15"/>
  <c r="DH23" i="15"/>
  <c r="DG23" i="15"/>
  <c r="DC23" i="15"/>
  <c r="DB23" i="15"/>
  <c r="CX23" i="15"/>
  <c r="CW23" i="15"/>
  <c r="CS23" i="15"/>
  <c r="CR23" i="15"/>
  <c r="CN23" i="15"/>
  <c r="CM23" i="15"/>
  <c r="CI23" i="15"/>
  <c r="CH23" i="15"/>
  <c r="CD23" i="15"/>
  <c r="CC23" i="15"/>
  <c r="BY23" i="15"/>
  <c r="BX23" i="15"/>
  <c r="BT23" i="15"/>
  <c r="BS23" i="15"/>
  <c r="BO23" i="15"/>
  <c r="BN23" i="15"/>
  <c r="BJ23" i="15"/>
  <c r="BI23" i="15"/>
  <c r="BE23" i="15"/>
  <c r="BD23" i="15"/>
  <c r="AZ23" i="15"/>
  <c r="AY23" i="15"/>
  <c r="AU23" i="15"/>
  <c r="AT23" i="15"/>
  <c r="AP23" i="15"/>
  <c r="AO23" i="15"/>
  <c r="AK23" i="15"/>
  <c r="AJ23" i="15"/>
  <c r="AF23" i="15"/>
  <c r="AE23" i="15"/>
  <c r="AA23" i="15"/>
  <c r="Z23" i="15"/>
  <c r="V23" i="15"/>
  <c r="U23" i="15"/>
  <c r="Q23" i="15"/>
  <c r="P23" i="15"/>
  <c r="L23" i="15"/>
  <c r="K23" i="15"/>
  <c r="G23" i="15"/>
  <c r="F23" i="15"/>
  <c r="C23" i="15"/>
  <c r="B23" i="15"/>
  <c r="A23" i="15"/>
  <c r="EV22" i="15"/>
  <c r="EU22" i="15"/>
  <c r="EQ22" i="15"/>
  <c r="EP22" i="15"/>
  <c r="EL22" i="15"/>
  <c r="EK22" i="15"/>
  <c r="EG22" i="15"/>
  <c r="EF22" i="15"/>
  <c r="EB22" i="15"/>
  <c r="EA22" i="15"/>
  <c r="DW22" i="15"/>
  <c r="DV22" i="15"/>
  <c r="DR22" i="15"/>
  <c r="DQ22" i="15"/>
  <c r="DM22" i="15"/>
  <c r="DL22" i="15"/>
  <c r="DH22" i="15"/>
  <c r="DG22" i="15"/>
  <c r="DC22" i="15"/>
  <c r="DB22" i="15"/>
  <c r="CX22" i="15"/>
  <c r="CW22" i="15"/>
  <c r="CS22" i="15"/>
  <c r="CR22" i="15"/>
  <c r="CN22" i="15"/>
  <c r="CM22" i="15"/>
  <c r="CI22" i="15"/>
  <c r="CH22" i="15"/>
  <c r="CD22" i="15"/>
  <c r="CC22" i="15"/>
  <c r="BY22" i="15"/>
  <c r="BX22" i="15"/>
  <c r="BT22" i="15"/>
  <c r="BS22" i="15"/>
  <c r="BO22" i="15"/>
  <c r="BN22" i="15"/>
  <c r="BJ22" i="15"/>
  <c r="BI22" i="15"/>
  <c r="BE22" i="15"/>
  <c r="BD22" i="15"/>
  <c r="AZ22" i="15"/>
  <c r="AY22" i="15"/>
  <c r="AU22" i="15"/>
  <c r="AT22" i="15"/>
  <c r="AP22" i="15"/>
  <c r="AO22" i="15"/>
  <c r="AK22" i="15"/>
  <c r="AJ22" i="15"/>
  <c r="AF22" i="15"/>
  <c r="AE22" i="15"/>
  <c r="AA22" i="15"/>
  <c r="Z22" i="15"/>
  <c r="V22" i="15"/>
  <c r="U22" i="15"/>
  <c r="Q22" i="15"/>
  <c r="P22" i="15"/>
  <c r="L22" i="15"/>
  <c r="K22" i="15"/>
  <c r="G22" i="15"/>
  <c r="F22" i="15"/>
  <c r="C22" i="15"/>
  <c r="B22" i="15"/>
  <c r="A22" i="15"/>
  <c r="EV21" i="15"/>
  <c r="EU21" i="15"/>
  <c r="EQ21" i="15"/>
  <c r="EP21" i="15"/>
  <c r="EL21" i="15"/>
  <c r="EK21" i="15"/>
  <c r="EG21" i="15"/>
  <c r="EF21" i="15"/>
  <c r="EB21" i="15"/>
  <c r="EA21" i="15"/>
  <c r="DW21" i="15"/>
  <c r="DV21" i="15"/>
  <c r="DR21" i="15"/>
  <c r="DQ21" i="15"/>
  <c r="DM21" i="15"/>
  <c r="DL21" i="15"/>
  <c r="DH21" i="15"/>
  <c r="DG21" i="15"/>
  <c r="DC21" i="15"/>
  <c r="DB21" i="15"/>
  <c r="CX21" i="15"/>
  <c r="CW21" i="15"/>
  <c r="CS21" i="15"/>
  <c r="CR21" i="15"/>
  <c r="CN21" i="15"/>
  <c r="CM21" i="15"/>
  <c r="CI21" i="15"/>
  <c r="CH21" i="15"/>
  <c r="CD21" i="15"/>
  <c r="CC21" i="15"/>
  <c r="BY21" i="15"/>
  <c r="BX21" i="15"/>
  <c r="BT21" i="15"/>
  <c r="BS21" i="15"/>
  <c r="BO21" i="15"/>
  <c r="BN21" i="15"/>
  <c r="BJ21" i="15"/>
  <c r="BI21" i="15"/>
  <c r="BE21" i="15"/>
  <c r="BD21" i="15"/>
  <c r="AZ21" i="15"/>
  <c r="AY21" i="15"/>
  <c r="AU21" i="15"/>
  <c r="AT21" i="15"/>
  <c r="AP21" i="15"/>
  <c r="AO21" i="15"/>
  <c r="AK21" i="15"/>
  <c r="AJ21" i="15"/>
  <c r="AF21" i="15"/>
  <c r="AE21" i="15"/>
  <c r="AA21" i="15"/>
  <c r="Z21" i="15"/>
  <c r="V21" i="15"/>
  <c r="U21" i="15"/>
  <c r="Q21" i="15"/>
  <c r="P21" i="15"/>
  <c r="L21" i="15"/>
  <c r="K21" i="15"/>
  <c r="G21" i="15"/>
  <c r="F21" i="15"/>
  <c r="C21" i="15"/>
  <c r="B21" i="15"/>
  <c r="A21" i="15"/>
  <c r="EV20" i="15"/>
  <c r="EU20" i="15"/>
  <c r="EQ20" i="15"/>
  <c r="EP20" i="15"/>
  <c r="EL20" i="15"/>
  <c r="EK20" i="15"/>
  <c r="EG20" i="15"/>
  <c r="EF20" i="15"/>
  <c r="EB20" i="15"/>
  <c r="EA20" i="15"/>
  <c r="DW20" i="15"/>
  <c r="DV20" i="15"/>
  <c r="DR20" i="15"/>
  <c r="DQ20" i="15"/>
  <c r="DM20" i="15"/>
  <c r="DL20" i="15"/>
  <c r="DH20" i="15"/>
  <c r="DG20" i="15"/>
  <c r="DC20" i="15"/>
  <c r="DB20" i="15"/>
  <c r="CX20" i="15"/>
  <c r="CW20" i="15"/>
  <c r="CS20" i="15"/>
  <c r="CR20" i="15"/>
  <c r="CN20" i="15"/>
  <c r="CM20" i="15"/>
  <c r="CI20" i="15"/>
  <c r="CH20" i="15"/>
  <c r="CD20" i="15"/>
  <c r="CC20" i="15"/>
  <c r="BY20" i="15"/>
  <c r="BX20" i="15"/>
  <c r="BT20" i="15"/>
  <c r="BS20" i="15"/>
  <c r="BO20" i="15"/>
  <c r="BN20" i="15"/>
  <c r="BJ20" i="15"/>
  <c r="BI20" i="15"/>
  <c r="BE20" i="15"/>
  <c r="BD20" i="15"/>
  <c r="AZ20" i="15"/>
  <c r="AY20" i="15"/>
  <c r="AU20" i="15"/>
  <c r="AT20" i="15"/>
  <c r="AP20" i="15"/>
  <c r="AO20" i="15"/>
  <c r="AK20" i="15"/>
  <c r="AJ20" i="15"/>
  <c r="AF20" i="15"/>
  <c r="AE20" i="15"/>
  <c r="AA20" i="15"/>
  <c r="Z20" i="15"/>
  <c r="V20" i="15"/>
  <c r="U20" i="15"/>
  <c r="Q20" i="15"/>
  <c r="P20" i="15"/>
  <c r="L20" i="15"/>
  <c r="K20" i="15"/>
  <c r="G20" i="15"/>
  <c r="F20" i="15"/>
  <c r="C20" i="15"/>
  <c r="B20" i="15"/>
  <c r="A20" i="15"/>
  <c r="EV19" i="15"/>
  <c r="EU19" i="15"/>
  <c r="EQ19" i="15"/>
  <c r="EP19" i="15"/>
  <c r="EL19" i="15"/>
  <c r="EK19" i="15"/>
  <c r="EG19" i="15"/>
  <c r="EF19" i="15"/>
  <c r="EB19" i="15"/>
  <c r="EA19" i="15"/>
  <c r="DW19" i="15"/>
  <c r="DV19" i="15"/>
  <c r="DR19" i="15"/>
  <c r="DQ19" i="15"/>
  <c r="DM19" i="15"/>
  <c r="DL19" i="15"/>
  <c r="DH19" i="15"/>
  <c r="DG19" i="15"/>
  <c r="DC19" i="15"/>
  <c r="DB19" i="15"/>
  <c r="CX19" i="15"/>
  <c r="CW19" i="15"/>
  <c r="CS19" i="15"/>
  <c r="CR19" i="15"/>
  <c r="CN19" i="15"/>
  <c r="CM19" i="15"/>
  <c r="CI19" i="15"/>
  <c r="CH19" i="15"/>
  <c r="CD19" i="15"/>
  <c r="CC19" i="15"/>
  <c r="BY19" i="15"/>
  <c r="BX19" i="15"/>
  <c r="BT19" i="15"/>
  <c r="BS19" i="15"/>
  <c r="BO19" i="15"/>
  <c r="BN19" i="15"/>
  <c r="BJ19" i="15"/>
  <c r="BI19" i="15"/>
  <c r="BE19" i="15"/>
  <c r="BD19" i="15"/>
  <c r="AZ19" i="15"/>
  <c r="AY19" i="15"/>
  <c r="AU19" i="15"/>
  <c r="AT19" i="15"/>
  <c r="AP19" i="15"/>
  <c r="AO19" i="15"/>
  <c r="AK19" i="15"/>
  <c r="AJ19" i="15"/>
  <c r="AF19" i="15"/>
  <c r="AE19" i="15"/>
  <c r="AA19" i="15"/>
  <c r="Z19" i="15"/>
  <c r="V19" i="15"/>
  <c r="U19" i="15"/>
  <c r="Q19" i="15"/>
  <c r="P19" i="15"/>
  <c r="L19" i="15"/>
  <c r="K19" i="15"/>
  <c r="G19" i="15"/>
  <c r="F19" i="15"/>
  <c r="C19" i="15"/>
  <c r="B19" i="15"/>
  <c r="A19" i="15"/>
  <c r="EV18" i="15"/>
  <c r="EU18" i="15"/>
  <c r="EQ18" i="15"/>
  <c r="EP18" i="15"/>
  <c r="EL18" i="15"/>
  <c r="EK18" i="15"/>
  <c r="EG18" i="15"/>
  <c r="EF18" i="15"/>
  <c r="EB18" i="15"/>
  <c r="EA18" i="15"/>
  <c r="DW18" i="15"/>
  <c r="DV18" i="15"/>
  <c r="DR18" i="15"/>
  <c r="DQ18" i="15"/>
  <c r="DM18" i="15"/>
  <c r="DL18" i="15"/>
  <c r="DH18" i="15"/>
  <c r="DG18" i="15"/>
  <c r="DC18" i="15"/>
  <c r="DB18" i="15"/>
  <c r="CX18" i="15"/>
  <c r="CW18" i="15"/>
  <c r="CS18" i="15"/>
  <c r="CR18" i="15"/>
  <c r="CN18" i="15"/>
  <c r="CM18" i="15"/>
  <c r="CI18" i="15"/>
  <c r="CH18" i="15"/>
  <c r="CD18" i="15"/>
  <c r="CC18" i="15"/>
  <c r="BY18" i="15"/>
  <c r="BX18" i="15"/>
  <c r="BT18" i="15"/>
  <c r="BS18" i="15"/>
  <c r="BO18" i="15"/>
  <c r="BN18" i="15"/>
  <c r="BJ18" i="15"/>
  <c r="BI18" i="15"/>
  <c r="BE18" i="15"/>
  <c r="BD18" i="15"/>
  <c r="AZ18" i="15"/>
  <c r="AY18" i="15"/>
  <c r="AU18" i="15"/>
  <c r="AT18" i="15"/>
  <c r="AP18" i="15"/>
  <c r="AO18" i="15"/>
  <c r="AK18" i="15"/>
  <c r="AJ18" i="15"/>
  <c r="AF18" i="15"/>
  <c r="AE18" i="15"/>
  <c r="AA18" i="15"/>
  <c r="Z18" i="15"/>
  <c r="V18" i="15"/>
  <c r="U18" i="15"/>
  <c r="Q18" i="15"/>
  <c r="P18" i="15"/>
  <c r="L18" i="15"/>
  <c r="K18" i="15"/>
  <c r="G18" i="15"/>
  <c r="F18" i="15"/>
  <c r="C18" i="15"/>
  <c r="B18" i="15"/>
  <c r="A18" i="15"/>
  <c r="EV17" i="15"/>
  <c r="EU17" i="15"/>
  <c r="EQ17" i="15"/>
  <c r="EP17" i="15"/>
  <c r="EL17" i="15"/>
  <c r="EK17" i="15"/>
  <c r="EG17" i="15"/>
  <c r="EF17" i="15"/>
  <c r="EB17" i="15"/>
  <c r="EA17" i="15"/>
  <c r="DW17" i="15"/>
  <c r="DV17" i="15"/>
  <c r="DR17" i="15"/>
  <c r="DQ17" i="15"/>
  <c r="DM17" i="15"/>
  <c r="DL17" i="15"/>
  <c r="DH17" i="15"/>
  <c r="DG17" i="15"/>
  <c r="DC17" i="15"/>
  <c r="DB17" i="15"/>
  <c r="CX17" i="15"/>
  <c r="CW17" i="15"/>
  <c r="CS17" i="15"/>
  <c r="CR17" i="15"/>
  <c r="CN17" i="15"/>
  <c r="CM17" i="15"/>
  <c r="CI17" i="15"/>
  <c r="CH17" i="15"/>
  <c r="CD17" i="15"/>
  <c r="CC17" i="15"/>
  <c r="BY17" i="15"/>
  <c r="BX17" i="15"/>
  <c r="BT17" i="15"/>
  <c r="BS17" i="15"/>
  <c r="BO17" i="15"/>
  <c r="BN17" i="15"/>
  <c r="BJ17" i="15"/>
  <c r="BI17" i="15"/>
  <c r="BE17" i="15"/>
  <c r="BD17" i="15"/>
  <c r="AZ17" i="15"/>
  <c r="AY17" i="15"/>
  <c r="AU17" i="15"/>
  <c r="AT17" i="15"/>
  <c r="AP17" i="15"/>
  <c r="AO17" i="15"/>
  <c r="AK17" i="15"/>
  <c r="AJ17" i="15"/>
  <c r="AF17" i="15"/>
  <c r="AE17" i="15"/>
  <c r="AA17" i="15"/>
  <c r="Z17" i="15"/>
  <c r="V17" i="15"/>
  <c r="U17" i="15"/>
  <c r="Q17" i="15"/>
  <c r="P17" i="15"/>
  <c r="L17" i="15"/>
  <c r="K17" i="15"/>
  <c r="G17" i="15"/>
  <c r="F17" i="15"/>
  <c r="C17" i="15"/>
  <c r="B17" i="15"/>
  <c r="A17" i="15"/>
  <c r="EV16" i="15"/>
  <c r="EU16" i="15"/>
  <c r="EQ16" i="15"/>
  <c r="EP16" i="15"/>
  <c r="EL16" i="15"/>
  <c r="EK16" i="15"/>
  <c r="EG16" i="15"/>
  <c r="EF16" i="15"/>
  <c r="EB16" i="15"/>
  <c r="EA16" i="15"/>
  <c r="DW16" i="15"/>
  <c r="DV16" i="15"/>
  <c r="DR16" i="15"/>
  <c r="DQ16" i="15"/>
  <c r="DM16" i="15"/>
  <c r="DL16" i="15"/>
  <c r="DH16" i="15"/>
  <c r="DG16" i="15"/>
  <c r="DC16" i="15"/>
  <c r="DB16" i="15"/>
  <c r="CX16" i="15"/>
  <c r="CW16" i="15"/>
  <c r="CS16" i="15"/>
  <c r="CR16" i="15"/>
  <c r="CN16" i="15"/>
  <c r="CM16" i="15"/>
  <c r="CI16" i="15"/>
  <c r="CH16" i="15"/>
  <c r="CD16" i="15"/>
  <c r="CC16" i="15"/>
  <c r="BY16" i="15"/>
  <c r="BX16" i="15"/>
  <c r="BT16" i="15"/>
  <c r="BS16" i="15"/>
  <c r="BO16" i="15"/>
  <c r="BN16" i="15"/>
  <c r="BJ16" i="15"/>
  <c r="BI16" i="15"/>
  <c r="BE16" i="15"/>
  <c r="BD16" i="15"/>
  <c r="AZ16" i="15"/>
  <c r="AY16" i="15"/>
  <c r="AU16" i="15"/>
  <c r="AT16" i="15"/>
  <c r="AP16" i="15"/>
  <c r="AO16" i="15"/>
  <c r="AK16" i="15"/>
  <c r="AJ16" i="15"/>
  <c r="AF16" i="15"/>
  <c r="AE16" i="15"/>
  <c r="AA16" i="15"/>
  <c r="Z16" i="15"/>
  <c r="V16" i="15"/>
  <c r="U16" i="15"/>
  <c r="Q16" i="15"/>
  <c r="P16" i="15"/>
  <c r="L16" i="15"/>
  <c r="K16" i="15"/>
  <c r="G16" i="15"/>
  <c r="F16" i="15"/>
  <c r="C16" i="15"/>
  <c r="B16" i="15"/>
  <c r="A16" i="15"/>
  <c r="EV15" i="15"/>
  <c r="EU15" i="15"/>
  <c r="EQ15" i="15"/>
  <c r="EP15" i="15"/>
  <c r="EL15" i="15"/>
  <c r="EK15" i="15"/>
  <c r="EG15" i="15"/>
  <c r="EF15" i="15"/>
  <c r="EB15" i="15"/>
  <c r="EA15" i="15"/>
  <c r="DW15" i="15"/>
  <c r="DV15" i="15"/>
  <c r="DR15" i="15"/>
  <c r="DQ15" i="15"/>
  <c r="DM15" i="15"/>
  <c r="DL15" i="15"/>
  <c r="DH15" i="15"/>
  <c r="DG15" i="15"/>
  <c r="DC15" i="15"/>
  <c r="DB15" i="15"/>
  <c r="CX15" i="15"/>
  <c r="CW15" i="15"/>
  <c r="CS15" i="15"/>
  <c r="CR15" i="15"/>
  <c r="CN15" i="15"/>
  <c r="CM15" i="15"/>
  <c r="CI15" i="15"/>
  <c r="CH15" i="15"/>
  <c r="CD15" i="15"/>
  <c r="CC15" i="15"/>
  <c r="BY15" i="15"/>
  <c r="BX15" i="15"/>
  <c r="BT15" i="15"/>
  <c r="BS15" i="15"/>
  <c r="BO15" i="15"/>
  <c r="BN15" i="15"/>
  <c r="BJ15" i="15"/>
  <c r="BI15" i="15"/>
  <c r="BE15" i="15"/>
  <c r="BD15" i="15"/>
  <c r="AZ15" i="15"/>
  <c r="AY15" i="15"/>
  <c r="AU15" i="15"/>
  <c r="AT15" i="15"/>
  <c r="AP15" i="15"/>
  <c r="AO15" i="15"/>
  <c r="AK15" i="15"/>
  <c r="AJ15" i="15"/>
  <c r="AF15" i="15"/>
  <c r="AE15" i="15"/>
  <c r="AA15" i="15"/>
  <c r="Z15" i="15"/>
  <c r="V15" i="15"/>
  <c r="U15" i="15"/>
  <c r="Q15" i="15"/>
  <c r="P15" i="15"/>
  <c r="L15" i="15"/>
  <c r="K15" i="15"/>
  <c r="G15" i="15"/>
  <c r="F15" i="15"/>
  <c r="C15" i="15"/>
  <c r="B15" i="15"/>
  <c r="A15" i="15"/>
  <c r="EV14" i="15"/>
  <c r="EU14" i="15"/>
  <c r="EQ14" i="15"/>
  <c r="EP14" i="15"/>
  <c r="EL14" i="15"/>
  <c r="EK14" i="15"/>
  <c r="EG14" i="15"/>
  <c r="EF14" i="15"/>
  <c r="EB14" i="15"/>
  <c r="EA14" i="15"/>
  <c r="DW14" i="15"/>
  <c r="DV14" i="15"/>
  <c r="DR14" i="15"/>
  <c r="DQ14" i="15"/>
  <c r="DM14" i="15"/>
  <c r="DL14" i="15"/>
  <c r="DH14" i="15"/>
  <c r="DG14" i="15"/>
  <c r="DC14" i="15"/>
  <c r="DB14" i="15"/>
  <c r="CX14" i="15"/>
  <c r="CW14" i="15"/>
  <c r="CS14" i="15"/>
  <c r="CR14" i="15"/>
  <c r="CN14" i="15"/>
  <c r="CM14" i="15"/>
  <c r="CI14" i="15"/>
  <c r="CH14" i="15"/>
  <c r="CD14" i="15"/>
  <c r="CC14" i="15"/>
  <c r="BY14" i="15"/>
  <c r="BX14" i="15"/>
  <c r="BT14" i="15"/>
  <c r="BS14" i="15"/>
  <c r="BO14" i="15"/>
  <c r="BN14" i="15"/>
  <c r="BJ14" i="15"/>
  <c r="BI14" i="15"/>
  <c r="BE14" i="15"/>
  <c r="BD14" i="15"/>
  <c r="AZ14" i="15"/>
  <c r="AY14" i="15"/>
  <c r="AU14" i="15"/>
  <c r="AT14" i="15"/>
  <c r="AP14" i="15"/>
  <c r="AO14" i="15"/>
  <c r="AK14" i="15"/>
  <c r="AJ14" i="15"/>
  <c r="AF14" i="15"/>
  <c r="AE14" i="15"/>
  <c r="AA14" i="15"/>
  <c r="Z14" i="15"/>
  <c r="V14" i="15"/>
  <c r="U14" i="15"/>
  <c r="Q14" i="15"/>
  <c r="P14" i="15"/>
  <c r="L14" i="15"/>
  <c r="K14" i="15"/>
  <c r="G14" i="15"/>
  <c r="F14" i="15"/>
  <c r="C14" i="15"/>
  <c r="B14" i="15"/>
  <c r="A14" i="15"/>
  <c r="EV13" i="15"/>
  <c r="EU13" i="15"/>
  <c r="EQ13" i="15"/>
  <c r="EP13" i="15"/>
  <c r="EL13" i="15"/>
  <c r="EK13" i="15"/>
  <c r="EG13" i="15"/>
  <c r="EF13" i="15"/>
  <c r="EB13" i="15"/>
  <c r="EA13" i="15"/>
  <c r="DW13" i="15"/>
  <c r="DV13" i="15"/>
  <c r="DR13" i="15"/>
  <c r="DQ13" i="15"/>
  <c r="DM13" i="15"/>
  <c r="DL13" i="15"/>
  <c r="DH13" i="15"/>
  <c r="DG13" i="15"/>
  <c r="DC13" i="15"/>
  <c r="DB13" i="15"/>
  <c r="CX13" i="15"/>
  <c r="CW13" i="15"/>
  <c r="CS13" i="15"/>
  <c r="CR13" i="15"/>
  <c r="CN13" i="15"/>
  <c r="CM13" i="15"/>
  <c r="CI13" i="15"/>
  <c r="CH13" i="15"/>
  <c r="CD13" i="15"/>
  <c r="CC13" i="15"/>
  <c r="BY13" i="15"/>
  <c r="BX13" i="15"/>
  <c r="BT13" i="15"/>
  <c r="BS13" i="15"/>
  <c r="BO13" i="15"/>
  <c r="BN13" i="15"/>
  <c r="BJ13" i="15"/>
  <c r="BI13" i="15"/>
  <c r="BE13" i="15"/>
  <c r="BD13" i="15"/>
  <c r="AZ13" i="15"/>
  <c r="AY13" i="15"/>
  <c r="AU13" i="15"/>
  <c r="AT13" i="15"/>
  <c r="AP13" i="15"/>
  <c r="AO13" i="15"/>
  <c r="AK13" i="15"/>
  <c r="AJ13" i="15"/>
  <c r="AF13" i="15"/>
  <c r="AE13" i="15"/>
  <c r="AA13" i="15"/>
  <c r="Z13" i="15"/>
  <c r="V13" i="15"/>
  <c r="U13" i="15"/>
  <c r="Q13" i="15"/>
  <c r="P13" i="15"/>
  <c r="L13" i="15"/>
  <c r="K13" i="15"/>
  <c r="G13" i="15"/>
  <c r="F13" i="15"/>
  <c r="C13" i="15"/>
  <c r="B13" i="15"/>
  <c r="A13" i="15"/>
  <c r="EV12" i="15"/>
  <c r="EU12" i="15"/>
  <c r="EQ12" i="15"/>
  <c r="EP12" i="15"/>
  <c r="EL12" i="15"/>
  <c r="EK12" i="15"/>
  <c r="EG12" i="15"/>
  <c r="EF12" i="15"/>
  <c r="EB12" i="15"/>
  <c r="EA12" i="15"/>
  <c r="DW12" i="15"/>
  <c r="DV12" i="15"/>
  <c r="DR12" i="15"/>
  <c r="DQ12" i="15"/>
  <c r="DM12" i="15"/>
  <c r="DL12" i="15"/>
  <c r="DH12" i="15"/>
  <c r="DG12" i="15"/>
  <c r="DC12" i="15"/>
  <c r="DB12" i="15"/>
  <c r="CX12" i="15"/>
  <c r="CW12" i="15"/>
  <c r="CS12" i="15"/>
  <c r="CR12" i="15"/>
  <c r="CN12" i="15"/>
  <c r="CM12" i="15"/>
  <c r="CI12" i="15"/>
  <c r="CH12" i="15"/>
  <c r="CD12" i="15"/>
  <c r="CC12" i="15"/>
  <c r="BY12" i="15"/>
  <c r="BX12" i="15"/>
  <c r="BT12" i="15"/>
  <c r="BS12" i="15"/>
  <c r="BO12" i="15"/>
  <c r="BN12" i="15"/>
  <c r="BJ12" i="15"/>
  <c r="BI12" i="15"/>
  <c r="BE12" i="15"/>
  <c r="BD12" i="15"/>
  <c r="AZ12" i="15"/>
  <c r="AY12" i="15"/>
  <c r="AU12" i="15"/>
  <c r="AT12" i="15"/>
  <c r="AP12" i="15"/>
  <c r="AO12" i="15"/>
  <c r="AK12" i="15"/>
  <c r="AJ12" i="15"/>
  <c r="AF12" i="15"/>
  <c r="AE12" i="15"/>
  <c r="AA12" i="15"/>
  <c r="Z12" i="15"/>
  <c r="V12" i="15"/>
  <c r="U12" i="15"/>
  <c r="Q12" i="15"/>
  <c r="P12" i="15"/>
  <c r="L12" i="15"/>
  <c r="K12" i="15"/>
  <c r="G12" i="15"/>
  <c r="F12" i="15"/>
  <c r="C12" i="15"/>
  <c r="B12" i="15"/>
  <c r="A12" i="15"/>
  <c r="EV11" i="15"/>
  <c r="EU11" i="15"/>
  <c r="EQ11" i="15"/>
  <c r="EP11" i="15"/>
  <c r="EL11" i="15"/>
  <c r="EK11" i="15"/>
  <c r="EG11" i="15"/>
  <c r="EF11" i="15"/>
  <c r="EB11" i="15"/>
  <c r="EA11" i="15"/>
  <c r="DW11" i="15"/>
  <c r="DV11" i="15"/>
  <c r="DR11" i="15"/>
  <c r="DQ11" i="15"/>
  <c r="DM11" i="15"/>
  <c r="DL11" i="15"/>
  <c r="DH11" i="15"/>
  <c r="DG11" i="15"/>
  <c r="DC11" i="15"/>
  <c r="DB11" i="15"/>
  <c r="CX11" i="15"/>
  <c r="CW11" i="15"/>
  <c r="CS11" i="15"/>
  <c r="CR11" i="15"/>
  <c r="CN11" i="15"/>
  <c r="CM11" i="15"/>
  <c r="CI11" i="15"/>
  <c r="CH11" i="15"/>
  <c r="CD11" i="15"/>
  <c r="CC11" i="15"/>
  <c r="BY11" i="15"/>
  <c r="BX11" i="15"/>
  <c r="BT11" i="15"/>
  <c r="BS11" i="15"/>
  <c r="BO11" i="15"/>
  <c r="BN11" i="15"/>
  <c r="BJ11" i="15"/>
  <c r="BI11" i="15"/>
  <c r="BE11" i="15"/>
  <c r="BD11" i="15"/>
  <c r="AZ11" i="15"/>
  <c r="AY11" i="15"/>
  <c r="AU11" i="15"/>
  <c r="AT11" i="15"/>
  <c r="AP11" i="15"/>
  <c r="AO11" i="15"/>
  <c r="AK11" i="15"/>
  <c r="AJ11" i="15"/>
  <c r="AF11" i="15"/>
  <c r="AE11" i="15"/>
  <c r="AA11" i="15"/>
  <c r="Z11" i="15"/>
  <c r="V11" i="15"/>
  <c r="U11" i="15"/>
  <c r="Q11" i="15"/>
  <c r="P11" i="15"/>
  <c r="L11" i="15"/>
  <c r="K11" i="15"/>
  <c r="G11" i="15"/>
  <c r="F11" i="15"/>
  <c r="C11" i="15"/>
  <c r="B11" i="15"/>
  <c r="A11" i="15"/>
  <c r="EV10" i="15"/>
  <c r="EU10" i="15"/>
  <c r="EQ10" i="15"/>
  <c r="EP10" i="15"/>
  <c r="EL10" i="15"/>
  <c r="EK10" i="15"/>
  <c r="EG10" i="15"/>
  <c r="EF10" i="15"/>
  <c r="EB10" i="15"/>
  <c r="EA10" i="15"/>
  <c r="DW10" i="15"/>
  <c r="DV10" i="15"/>
  <c r="DR10" i="15"/>
  <c r="DQ10" i="15"/>
  <c r="DM10" i="15"/>
  <c r="DL10" i="15"/>
  <c r="DH10" i="15"/>
  <c r="DG10" i="15"/>
  <c r="DC10" i="15"/>
  <c r="DB10" i="15"/>
  <c r="CX10" i="15"/>
  <c r="CW10" i="15"/>
  <c r="CS10" i="15"/>
  <c r="CR10" i="15"/>
  <c r="CN10" i="15"/>
  <c r="CM10" i="15"/>
  <c r="CI10" i="15"/>
  <c r="CH10" i="15"/>
  <c r="CD10" i="15"/>
  <c r="CC10" i="15"/>
  <c r="BY10" i="15"/>
  <c r="BX10" i="15"/>
  <c r="BT10" i="15"/>
  <c r="BS10" i="15"/>
  <c r="BO10" i="15"/>
  <c r="BN10" i="15"/>
  <c r="BJ10" i="15"/>
  <c r="BI10" i="15"/>
  <c r="BE10" i="15"/>
  <c r="BD10" i="15"/>
  <c r="AZ10" i="15"/>
  <c r="AY10" i="15"/>
  <c r="AU10" i="15"/>
  <c r="AT10" i="15"/>
  <c r="AP10" i="15"/>
  <c r="AO10" i="15"/>
  <c r="AK10" i="15"/>
  <c r="AJ10" i="15"/>
  <c r="AF10" i="15"/>
  <c r="AE10" i="15"/>
  <c r="AA10" i="15"/>
  <c r="Z10" i="15"/>
  <c r="V10" i="15"/>
  <c r="U10" i="15"/>
  <c r="Q10" i="15"/>
  <c r="P10" i="15"/>
  <c r="L10" i="15"/>
  <c r="K10" i="15"/>
  <c r="G10" i="15"/>
  <c r="F10" i="15"/>
  <c r="C10" i="15"/>
  <c r="B10" i="15"/>
  <c r="A10" i="15"/>
  <c r="EV9" i="15"/>
  <c r="EU9" i="15"/>
  <c r="EQ9" i="15"/>
  <c r="EP9" i="15"/>
  <c r="EL9" i="15"/>
  <c r="EK9" i="15"/>
  <c r="EG9" i="15"/>
  <c r="EF9" i="15"/>
  <c r="EB9" i="15"/>
  <c r="EA9" i="15"/>
  <c r="DW9" i="15"/>
  <c r="DV9" i="15"/>
  <c r="DR9" i="15"/>
  <c r="DQ9" i="15"/>
  <c r="DM9" i="15"/>
  <c r="DL9" i="15"/>
  <c r="DH9" i="15"/>
  <c r="DG9" i="15"/>
  <c r="DC9" i="15"/>
  <c r="DB9" i="15"/>
  <c r="CX9" i="15"/>
  <c r="CW9" i="15"/>
  <c r="CS9" i="15"/>
  <c r="CR9" i="15"/>
  <c r="CN9" i="15"/>
  <c r="CM9" i="15"/>
  <c r="CI9" i="15"/>
  <c r="CH9" i="15"/>
  <c r="CD9" i="15"/>
  <c r="CC9" i="15"/>
  <c r="BY9" i="15"/>
  <c r="BX9" i="15"/>
  <c r="BT9" i="15"/>
  <c r="BS9" i="15"/>
  <c r="BO9" i="15"/>
  <c r="BN9" i="15"/>
  <c r="BJ9" i="15"/>
  <c r="BI9" i="15"/>
  <c r="BE9" i="15"/>
  <c r="BD9" i="15"/>
  <c r="AZ9" i="15"/>
  <c r="AY9" i="15"/>
  <c r="AU9" i="15"/>
  <c r="AT9" i="15"/>
  <c r="AP9" i="15"/>
  <c r="AO9" i="15"/>
  <c r="AK9" i="15"/>
  <c r="AJ9" i="15"/>
  <c r="AF9" i="15"/>
  <c r="AE9" i="15"/>
  <c r="AA9" i="15"/>
  <c r="Z9" i="15"/>
  <c r="V9" i="15"/>
  <c r="U9" i="15"/>
  <c r="Q9" i="15"/>
  <c r="P9" i="15"/>
  <c r="L9" i="15"/>
  <c r="K9" i="15"/>
  <c r="G9" i="15"/>
  <c r="F9" i="15"/>
  <c r="C9" i="15"/>
  <c r="B9" i="15"/>
  <c r="A9" i="15"/>
  <c r="EV8" i="15"/>
  <c r="EU8" i="15"/>
  <c r="EQ8" i="15"/>
  <c r="EP8" i="15"/>
  <c r="EL8" i="15"/>
  <c r="EK8" i="15"/>
  <c r="EG8" i="15"/>
  <c r="EF8" i="15"/>
  <c r="EB8" i="15"/>
  <c r="EA8" i="15"/>
  <c r="DW8" i="15"/>
  <c r="DV8" i="15"/>
  <c r="DR8" i="15"/>
  <c r="DQ8" i="15"/>
  <c r="DM8" i="15"/>
  <c r="DL8" i="15"/>
  <c r="DH8" i="15"/>
  <c r="DG8" i="15"/>
  <c r="DC8" i="15"/>
  <c r="DB8" i="15"/>
  <c r="CX8" i="15"/>
  <c r="CW8" i="15"/>
  <c r="CS8" i="15"/>
  <c r="CR8" i="15"/>
  <c r="CN8" i="15"/>
  <c r="CM8" i="15"/>
  <c r="CI8" i="15"/>
  <c r="CH8" i="15"/>
  <c r="CD8" i="15"/>
  <c r="CC8" i="15"/>
  <c r="BY8" i="15"/>
  <c r="BX8" i="15"/>
  <c r="BT8" i="15"/>
  <c r="BS8" i="15"/>
  <c r="BO8" i="15"/>
  <c r="BN8" i="15"/>
  <c r="BJ8" i="15"/>
  <c r="BI8" i="15"/>
  <c r="BE8" i="15"/>
  <c r="BD8" i="15"/>
  <c r="AZ8" i="15"/>
  <c r="AY8" i="15"/>
  <c r="AU8" i="15"/>
  <c r="AT8" i="15"/>
  <c r="AP8" i="15"/>
  <c r="AO8" i="15"/>
  <c r="AK8" i="15"/>
  <c r="AJ8" i="15"/>
  <c r="AF8" i="15"/>
  <c r="AE8" i="15"/>
  <c r="AA8" i="15"/>
  <c r="Z8" i="15"/>
  <c r="V8" i="15"/>
  <c r="U8" i="15"/>
  <c r="Q8" i="15"/>
  <c r="P8" i="15"/>
  <c r="L8" i="15"/>
  <c r="K8" i="15"/>
  <c r="G8" i="15"/>
  <c r="F8" i="15"/>
  <c r="C8" i="15"/>
  <c r="B8" i="15"/>
  <c r="A8" i="15"/>
  <c r="EV7" i="15"/>
  <c r="EU7" i="15"/>
  <c r="EQ7" i="15"/>
  <c r="EP7" i="15"/>
  <c r="EL7" i="15"/>
  <c r="EK7" i="15"/>
  <c r="EG7" i="15"/>
  <c r="EF7" i="15"/>
  <c r="EB7" i="15"/>
  <c r="EA7" i="15"/>
  <c r="DW7" i="15"/>
  <c r="DV7" i="15"/>
  <c r="DR7" i="15"/>
  <c r="DQ7" i="15"/>
  <c r="DM7" i="15"/>
  <c r="DL7" i="15"/>
  <c r="DH7" i="15"/>
  <c r="DG7" i="15"/>
  <c r="DC7" i="15"/>
  <c r="DB7" i="15"/>
  <c r="CX7" i="15"/>
  <c r="CW7" i="15"/>
  <c r="CS7" i="15"/>
  <c r="CR7" i="15"/>
  <c r="CN7" i="15"/>
  <c r="CM7" i="15"/>
  <c r="CI7" i="15"/>
  <c r="CH7" i="15"/>
  <c r="CD7" i="15"/>
  <c r="CC7" i="15"/>
  <c r="BY7" i="15"/>
  <c r="BX7" i="15"/>
  <c r="BT7" i="15"/>
  <c r="BS7" i="15"/>
  <c r="BO7" i="15"/>
  <c r="BN7" i="15"/>
  <c r="BJ7" i="15"/>
  <c r="BI7" i="15"/>
  <c r="BE7" i="15"/>
  <c r="BD7" i="15"/>
  <c r="AZ7" i="15"/>
  <c r="AY7" i="15"/>
  <c r="AU7" i="15"/>
  <c r="AT7" i="15"/>
  <c r="AP7" i="15"/>
  <c r="AO7" i="15"/>
  <c r="AK7" i="15"/>
  <c r="AJ7" i="15"/>
  <c r="AF7" i="15"/>
  <c r="AE7" i="15"/>
  <c r="AA7" i="15"/>
  <c r="Z7" i="15"/>
  <c r="V7" i="15"/>
  <c r="U7" i="15"/>
  <c r="Q7" i="15"/>
  <c r="P7" i="15"/>
  <c r="L7" i="15"/>
  <c r="K7" i="15"/>
  <c r="G7" i="15"/>
  <c r="F7" i="15"/>
  <c r="C7" i="15"/>
  <c r="B7" i="15"/>
  <c r="A7" i="15"/>
  <c r="EV6" i="15"/>
  <c r="EU6" i="15"/>
  <c r="EQ6" i="15"/>
  <c r="EP6" i="15"/>
  <c r="EL6" i="15"/>
  <c r="EK6" i="15"/>
  <c r="EG6" i="15"/>
  <c r="EF6" i="15"/>
  <c r="EB6" i="15"/>
  <c r="EA6" i="15"/>
  <c r="DW6" i="15"/>
  <c r="DV6" i="15"/>
  <c r="DR6" i="15"/>
  <c r="DQ6" i="15"/>
  <c r="DM6" i="15"/>
  <c r="DL6" i="15"/>
  <c r="DH6" i="15"/>
  <c r="DG6" i="15"/>
  <c r="DC6" i="15"/>
  <c r="DB6" i="15"/>
  <c r="CX6" i="15"/>
  <c r="CW6" i="15"/>
  <c r="CS6" i="15"/>
  <c r="CR6" i="15"/>
  <c r="CN6" i="15"/>
  <c r="CM6" i="15"/>
  <c r="CI6" i="15"/>
  <c r="CH6" i="15"/>
  <c r="CD6" i="15"/>
  <c r="CC6" i="15"/>
  <c r="BY6" i="15"/>
  <c r="BX6" i="15"/>
  <c r="BT6" i="15"/>
  <c r="BS6" i="15"/>
  <c r="BO6" i="15"/>
  <c r="BN6" i="15"/>
  <c r="BJ6" i="15"/>
  <c r="BI6" i="15"/>
  <c r="BE6" i="15"/>
  <c r="BD6" i="15"/>
  <c r="AZ6" i="15"/>
  <c r="AY6" i="15"/>
  <c r="AU6" i="15"/>
  <c r="AT6" i="15"/>
  <c r="AP6" i="15"/>
  <c r="AO6" i="15"/>
  <c r="AK6" i="15"/>
  <c r="AJ6" i="15"/>
  <c r="AF6" i="15"/>
  <c r="AE6" i="15"/>
  <c r="AA6" i="15"/>
  <c r="Z6" i="15"/>
  <c r="V6" i="15"/>
  <c r="U6" i="15"/>
  <c r="Q6" i="15"/>
  <c r="P6" i="15"/>
  <c r="L6" i="15"/>
  <c r="K6" i="15"/>
  <c r="G6" i="15"/>
  <c r="F6" i="15"/>
  <c r="C6" i="15"/>
  <c r="B6" i="15"/>
  <c r="A6" i="15"/>
  <c r="EV5" i="15"/>
  <c r="EU5" i="15"/>
  <c r="EQ5" i="15"/>
  <c r="EP5" i="15"/>
  <c r="EL5" i="15"/>
  <c r="EK5" i="15"/>
  <c r="EG5" i="15"/>
  <c r="EF5" i="15"/>
  <c r="EB5" i="15"/>
  <c r="EA5" i="15"/>
  <c r="DW5" i="15"/>
  <c r="DV5" i="15"/>
  <c r="DR5" i="15"/>
  <c r="DQ5" i="15"/>
  <c r="DM5" i="15"/>
  <c r="DL5" i="15"/>
  <c r="DH5" i="15"/>
  <c r="DG5" i="15"/>
  <c r="DC5" i="15"/>
  <c r="DB5" i="15"/>
  <c r="CX5" i="15"/>
  <c r="CW5" i="15"/>
  <c r="CS5" i="15"/>
  <c r="CR5" i="15"/>
  <c r="CN5" i="15"/>
  <c r="CM5" i="15"/>
  <c r="CI5" i="15"/>
  <c r="CH5" i="15"/>
  <c r="CD5" i="15"/>
  <c r="CC5" i="15"/>
  <c r="BY5" i="15"/>
  <c r="BX5" i="15"/>
  <c r="BT5" i="15"/>
  <c r="BS5" i="15"/>
  <c r="BO5" i="15"/>
  <c r="BN5" i="15"/>
  <c r="BJ5" i="15"/>
  <c r="BI5" i="15"/>
  <c r="BE5" i="15"/>
  <c r="BD5" i="15"/>
  <c r="AZ5" i="15"/>
  <c r="AY5" i="15"/>
  <c r="AU5" i="15"/>
  <c r="AT5" i="15"/>
  <c r="AP5" i="15"/>
  <c r="AO5" i="15"/>
  <c r="AK5" i="15"/>
  <c r="AJ5" i="15"/>
  <c r="AF5" i="15"/>
  <c r="AE5" i="15"/>
  <c r="AA5" i="15"/>
  <c r="Z5" i="15"/>
  <c r="V5" i="15"/>
  <c r="U5" i="15"/>
  <c r="Q5" i="15"/>
  <c r="P5" i="15"/>
  <c r="L5" i="15"/>
  <c r="K5" i="15"/>
  <c r="G5" i="15"/>
  <c r="F5" i="15"/>
  <c r="C5" i="15"/>
  <c r="B5" i="15"/>
  <c r="A5" i="15"/>
  <c r="EV4" i="15"/>
  <c r="EU4" i="15"/>
  <c r="EQ4" i="15"/>
  <c r="EP4" i="15"/>
  <c r="EL4" i="15"/>
  <c r="EK4" i="15"/>
  <c r="EG4" i="15"/>
  <c r="EF4" i="15"/>
  <c r="EB4" i="15"/>
  <c r="EA4" i="15"/>
  <c r="DW4" i="15"/>
  <c r="DV4" i="15"/>
  <c r="DR4" i="15"/>
  <c r="DQ4" i="15"/>
  <c r="DM4" i="15"/>
  <c r="DL4" i="15"/>
  <c r="DH4" i="15"/>
  <c r="DG4" i="15"/>
  <c r="DC4" i="15"/>
  <c r="DB4" i="15"/>
  <c r="CX4" i="15"/>
  <c r="CW4" i="15"/>
  <c r="CS4" i="15"/>
  <c r="CR4" i="15"/>
  <c r="CN4" i="15"/>
  <c r="CM4" i="15"/>
  <c r="CI4" i="15"/>
  <c r="CH4" i="15"/>
  <c r="CD4" i="15"/>
  <c r="CC4" i="15"/>
  <c r="BY4" i="15"/>
  <c r="BX4" i="15"/>
  <c r="BT4" i="15"/>
  <c r="BS4" i="15"/>
  <c r="BO4" i="15"/>
  <c r="BN4" i="15"/>
  <c r="BJ4" i="15"/>
  <c r="BI4" i="15"/>
  <c r="BE4" i="15"/>
  <c r="BD4" i="15"/>
  <c r="AZ4" i="15"/>
  <c r="AY4" i="15"/>
  <c r="AU4" i="15"/>
  <c r="AT4" i="15"/>
  <c r="AP4" i="15"/>
  <c r="AO4" i="15"/>
  <c r="AK4" i="15"/>
  <c r="AJ4" i="15"/>
  <c r="AF4" i="15"/>
  <c r="AE4" i="15"/>
  <c r="AA4" i="15"/>
  <c r="Z4" i="15"/>
  <c r="V4" i="15"/>
  <c r="U4" i="15"/>
  <c r="Q4" i="15"/>
  <c r="P4" i="15"/>
  <c r="L4" i="15"/>
  <c r="K4" i="15"/>
  <c r="G4" i="15"/>
  <c r="F4" i="15"/>
  <c r="C4" i="15"/>
  <c r="B4" i="15"/>
  <c r="A4" i="15"/>
  <c r="ES2" i="15"/>
  <c r="EN2" i="15"/>
  <c r="EI2" i="15"/>
  <c r="ED2" i="15"/>
  <c r="DY2" i="15"/>
  <c r="DT2" i="15"/>
  <c r="DO2" i="15"/>
  <c r="DJ2" i="15"/>
  <c r="DE2" i="15"/>
  <c r="CZ2" i="15"/>
  <c r="CU2" i="15"/>
  <c r="CP2" i="15"/>
  <c r="CK2" i="15"/>
  <c r="CF2" i="15"/>
  <c r="CA2" i="15"/>
  <c r="BV2" i="15"/>
  <c r="BQ2" i="15"/>
  <c r="BL2" i="15"/>
  <c r="BG2" i="15"/>
  <c r="BB2" i="15"/>
  <c r="AW2" i="15"/>
  <c r="AR2" i="15"/>
  <c r="AM2" i="15"/>
  <c r="AH2" i="15"/>
  <c r="AC2" i="15"/>
  <c r="X2" i="15"/>
  <c r="S2" i="15"/>
  <c r="N2" i="15"/>
  <c r="I2" i="15"/>
  <c r="D2" i="15"/>
  <c r="A1" i="15"/>
  <c r="ES40" i="14"/>
  <c r="EN40" i="14"/>
  <c r="EI40" i="14"/>
  <c r="ED40" i="14"/>
  <c r="DY40" i="14"/>
  <c r="DT40" i="14"/>
  <c r="DO40" i="14"/>
  <c r="DJ40" i="14"/>
  <c r="DE40" i="14"/>
  <c r="CZ40" i="14"/>
  <c r="CU40" i="14"/>
  <c r="CP40" i="14"/>
  <c r="CK40" i="14"/>
  <c r="CF40" i="14"/>
  <c r="CA40" i="14"/>
  <c r="BV40" i="14"/>
  <c r="BQ40" i="14"/>
  <c r="BL40" i="14"/>
  <c r="BG40" i="14"/>
  <c r="BB40" i="14"/>
  <c r="AW40" i="14"/>
  <c r="AR40" i="14"/>
  <c r="AM40" i="14"/>
  <c r="AH40" i="14"/>
  <c r="AC40" i="14"/>
  <c r="X40" i="14"/>
  <c r="S40" i="14"/>
  <c r="N40" i="14"/>
  <c r="I40" i="14"/>
  <c r="D40" i="14"/>
  <c r="ES39" i="14"/>
  <c r="EN39" i="14"/>
  <c r="EI39" i="14"/>
  <c r="ED39" i="14"/>
  <c r="DY39" i="14"/>
  <c r="DT39" i="14"/>
  <c r="DO39" i="14"/>
  <c r="DJ39" i="14"/>
  <c r="DE39" i="14"/>
  <c r="CZ39" i="14"/>
  <c r="CU39" i="14"/>
  <c r="CP39" i="14"/>
  <c r="CK39" i="14"/>
  <c r="CF39" i="14"/>
  <c r="CA39" i="14"/>
  <c r="BV39" i="14"/>
  <c r="BQ39" i="14"/>
  <c r="BL39" i="14"/>
  <c r="BG39" i="14"/>
  <c r="BB39" i="14"/>
  <c r="AW39" i="14"/>
  <c r="AR39" i="14"/>
  <c r="AM39" i="14"/>
  <c r="AH39" i="14"/>
  <c r="AC39" i="14"/>
  <c r="X39" i="14"/>
  <c r="S39" i="14"/>
  <c r="N39" i="14"/>
  <c r="I39" i="14"/>
  <c r="D39" i="14"/>
  <c r="ES38" i="14"/>
  <c r="EN38" i="14"/>
  <c r="EI38" i="14"/>
  <c r="ED38" i="14"/>
  <c r="DY38" i="14"/>
  <c r="DT38" i="14"/>
  <c r="DO38" i="14"/>
  <c r="DJ38" i="14"/>
  <c r="DE38" i="14"/>
  <c r="CZ38" i="14"/>
  <c r="CU38" i="14"/>
  <c r="CP38" i="14"/>
  <c r="CK38" i="14"/>
  <c r="CF38" i="14"/>
  <c r="CA38" i="14"/>
  <c r="BV38" i="14"/>
  <c r="BQ38" i="14"/>
  <c r="BL38" i="14"/>
  <c r="BG38" i="14"/>
  <c r="BB38" i="14"/>
  <c r="AW38" i="14"/>
  <c r="AR38" i="14"/>
  <c r="AM38" i="14"/>
  <c r="AH38" i="14"/>
  <c r="AC38" i="14"/>
  <c r="X38" i="14"/>
  <c r="S38" i="14"/>
  <c r="N38" i="14"/>
  <c r="I38" i="14"/>
  <c r="D38" i="14"/>
  <c r="ES37" i="14"/>
  <c r="EN37" i="14"/>
  <c r="EI37" i="14"/>
  <c r="ED37" i="14"/>
  <c r="DY37" i="14"/>
  <c r="DT37" i="14"/>
  <c r="DO37" i="14"/>
  <c r="DJ37" i="14"/>
  <c r="DE37" i="14"/>
  <c r="CZ37" i="14"/>
  <c r="CU37" i="14"/>
  <c r="CP37" i="14"/>
  <c r="CK37" i="14"/>
  <c r="CF37" i="14"/>
  <c r="CA37" i="14"/>
  <c r="BV37" i="14"/>
  <c r="BQ37" i="14"/>
  <c r="BL37" i="14"/>
  <c r="BG37" i="14"/>
  <c r="BB37" i="14"/>
  <c r="AW37" i="14"/>
  <c r="AR37" i="14"/>
  <c r="AM37" i="14"/>
  <c r="AH37" i="14"/>
  <c r="AC37" i="14"/>
  <c r="X37" i="14"/>
  <c r="S37" i="14"/>
  <c r="N37" i="14"/>
  <c r="I37" i="14"/>
  <c r="D37" i="14"/>
  <c r="ES36" i="14"/>
  <c r="EN36" i="14"/>
  <c r="EI36" i="14"/>
  <c r="ED36" i="14"/>
  <c r="DY36" i="14"/>
  <c r="DT36" i="14"/>
  <c r="DO36" i="14"/>
  <c r="DJ36" i="14"/>
  <c r="DE36" i="14"/>
  <c r="CZ36" i="14"/>
  <c r="CU36" i="14"/>
  <c r="CP36" i="14"/>
  <c r="CK36" i="14"/>
  <c r="CF36" i="14"/>
  <c r="CA36" i="14"/>
  <c r="BV36" i="14"/>
  <c r="BQ36" i="14"/>
  <c r="BL36" i="14"/>
  <c r="BG36" i="14"/>
  <c r="BB36" i="14"/>
  <c r="AW36" i="14"/>
  <c r="AR36" i="14"/>
  <c r="AM36" i="14"/>
  <c r="AH36" i="14"/>
  <c r="AC36" i="14"/>
  <c r="X36" i="14"/>
  <c r="S36" i="14"/>
  <c r="N36" i="14"/>
  <c r="I36" i="14"/>
  <c r="D36" i="14"/>
  <c r="ES35" i="14"/>
  <c r="EN35" i="14"/>
  <c r="EI35" i="14"/>
  <c r="ED35" i="14"/>
  <c r="DY35" i="14"/>
  <c r="DT35" i="14"/>
  <c r="DO35" i="14"/>
  <c r="DJ35" i="14"/>
  <c r="DE35" i="14"/>
  <c r="CZ35" i="14"/>
  <c r="CU35" i="14"/>
  <c r="CP35" i="14"/>
  <c r="CK35" i="14"/>
  <c r="CF35" i="14"/>
  <c r="CA35" i="14"/>
  <c r="BV35" i="14"/>
  <c r="BQ35" i="14"/>
  <c r="BL35" i="14"/>
  <c r="BG35" i="14"/>
  <c r="BB35" i="14"/>
  <c r="AW35" i="14"/>
  <c r="AR35" i="14"/>
  <c r="AM35" i="14"/>
  <c r="AH35" i="14"/>
  <c r="AC35" i="14"/>
  <c r="X35" i="14"/>
  <c r="S35" i="14"/>
  <c r="N35" i="14"/>
  <c r="I35" i="14"/>
  <c r="D35" i="14"/>
  <c r="EV34" i="14"/>
  <c r="EU34" i="14"/>
  <c r="EQ34" i="14"/>
  <c r="EP34" i="14"/>
  <c r="EL34" i="14"/>
  <c r="EK34" i="14"/>
  <c r="EG34" i="14"/>
  <c r="EF34" i="14"/>
  <c r="EB34" i="14"/>
  <c r="EA34" i="14"/>
  <c r="DW34" i="14"/>
  <c r="DV34" i="14"/>
  <c r="DR34" i="14"/>
  <c r="DQ34" i="14"/>
  <c r="DM34" i="14"/>
  <c r="DL34" i="14"/>
  <c r="DH34" i="14"/>
  <c r="DG34" i="14"/>
  <c r="DC34" i="14"/>
  <c r="DB34" i="14"/>
  <c r="CX34" i="14"/>
  <c r="CW34" i="14"/>
  <c r="CS34" i="14"/>
  <c r="CR34" i="14"/>
  <c r="CN34" i="14"/>
  <c r="CM34" i="14"/>
  <c r="CI34" i="14"/>
  <c r="CH34" i="14"/>
  <c r="CD34" i="14"/>
  <c r="CC34" i="14"/>
  <c r="BY34" i="14"/>
  <c r="BX34" i="14"/>
  <c r="BT34" i="14"/>
  <c r="BS34" i="14"/>
  <c r="BO34" i="14"/>
  <c r="BN34" i="14"/>
  <c r="BJ34" i="14"/>
  <c r="BI34" i="14"/>
  <c r="BE34" i="14"/>
  <c r="BD34" i="14"/>
  <c r="AZ34" i="14"/>
  <c r="AY34" i="14"/>
  <c r="AU34" i="14"/>
  <c r="AT34" i="14"/>
  <c r="AP34" i="14"/>
  <c r="AO34" i="14"/>
  <c r="AK34" i="14"/>
  <c r="AJ34" i="14"/>
  <c r="AF34" i="14"/>
  <c r="AE34" i="14"/>
  <c r="AA34" i="14"/>
  <c r="Z34" i="14"/>
  <c r="V34" i="14"/>
  <c r="U34" i="14"/>
  <c r="Q34" i="14"/>
  <c r="P34" i="14"/>
  <c r="L34" i="14"/>
  <c r="K34" i="14"/>
  <c r="G34" i="14"/>
  <c r="F34" i="14"/>
  <c r="C34" i="14"/>
  <c r="B34" i="14"/>
  <c r="A34" i="14"/>
  <c r="EV33" i="14"/>
  <c r="EU33" i="14"/>
  <c r="EQ33" i="14"/>
  <c r="EP33" i="14"/>
  <c r="EL33" i="14"/>
  <c r="EK33" i="14"/>
  <c r="EG33" i="14"/>
  <c r="EF33" i="14"/>
  <c r="EB33" i="14"/>
  <c r="EA33" i="14"/>
  <c r="DW33" i="14"/>
  <c r="DV33" i="14"/>
  <c r="DR33" i="14"/>
  <c r="DQ33" i="14"/>
  <c r="DM33" i="14"/>
  <c r="DL33" i="14"/>
  <c r="DH33" i="14"/>
  <c r="DG33" i="14"/>
  <c r="DC33" i="14"/>
  <c r="DB33" i="14"/>
  <c r="CX33" i="14"/>
  <c r="CW33" i="14"/>
  <c r="CS33" i="14"/>
  <c r="CR33" i="14"/>
  <c r="CN33" i="14"/>
  <c r="CM33" i="14"/>
  <c r="CI33" i="14"/>
  <c r="CH33" i="14"/>
  <c r="CD33" i="14"/>
  <c r="CC33" i="14"/>
  <c r="BY33" i="14"/>
  <c r="BX33" i="14"/>
  <c r="BT33" i="14"/>
  <c r="BS33" i="14"/>
  <c r="BO33" i="14"/>
  <c r="BN33" i="14"/>
  <c r="BJ33" i="14"/>
  <c r="BI33" i="14"/>
  <c r="BE33" i="14"/>
  <c r="BD33" i="14"/>
  <c r="AZ33" i="14"/>
  <c r="AY33" i="14"/>
  <c r="AU33" i="14"/>
  <c r="AT33" i="14"/>
  <c r="AP33" i="14"/>
  <c r="AO33" i="14"/>
  <c r="AK33" i="14"/>
  <c r="AJ33" i="14"/>
  <c r="AF33" i="14"/>
  <c r="AE33" i="14"/>
  <c r="AA33" i="14"/>
  <c r="Z33" i="14"/>
  <c r="V33" i="14"/>
  <c r="U33" i="14"/>
  <c r="Q33" i="14"/>
  <c r="P33" i="14"/>
  <c r="L33" i="14"/>
  <c r="K33" i="14"/>
  <c r="G33" i="14"/>
  <c r="F33" i="14"/>
  <c r="C33" i="14"/>
  <c r="B33" i="14"/>
  <c r="A33" i="14"/>
  <c r="EV32" i="14"/>
  <c r="EU32" i="14"/>
  <c r="EQ32" i="14"/>
  <c r="EP32" i="14"/>
  <c r="EL32" i="14"/>
  <c r="EK32" i="14"/>
  <c r="EG32" i="14"/>
  <c r="EF32" i="14"/>
  <c r="EB32" i="14"/>
  <c r="EA32" i="14"/>
  <c r="DW32" i="14"/>
  <c r="DV32" i="14"/>
  <c r="DR32" i="14"/>
  <c r="DQ32" i="14"/>
  <c r="DM32" i="14"/>
  <c r="DL32" i="14"/>
  <c r="DH32" i="14"/>
  <c r="DG32" i="14"/>
  <c r="DC32" i="14"/>
  <c r="DB32" i="14"/>
  <c r="CX32" i="14"/>
  <c r="CW32" i="14"/>
  <c r="CS32" i="14"/>
  <c r="CR32" i="14"/>
  <c r="CN32" i="14"/>
  <c r="CM32" i="14"/>
  <c r="CI32" i="14"/>
  <c r="CH32" i="14"/>
  <c r="CD32" i="14"/>
  <c r="CC32" i="14"/>
  <c r="BY32" i="14"/>
  <c r="BX32" i="14"/>
  <c r="BT32" i="14"/>
  <c r="BS32" i="14"/>
  <c r="BO32" i="14"/>
  <c r="BN32" i="14"/>
  <c r="BJ32" i="14"/>
  <c r="BI32" i="14"/>
  <c r="BE32" i="14"/>
  <c r="BD32" i="14"/>
  <c r="AZ32" i="14"/>
  <c r="AY32" i="14"/>
  <c r="AU32" i="14"/>
  <c r="AT32" i="14"/>
  <c r="AP32" i="14"/>
  <c r="AO32" i="14"/>
  <c r="AK32" i="14"/>
  <c r="AJ32" i="14"/>
  <c r="AF32" i="14"/>
  <c r="AE32" i="14"/>
  <c r="AA32" i="14"/>
  <c r="Z32" i="14"/>
  <c r="V32" i="14"/>
  <c r="U32" i="14"/>
  <c r="Q32" i="14"/>
  <c r="P32" i="14"/>
  <c r="L32" i="14"/>
  <c r="K32" i="14"/>
  <c r="G32" i="14"/>
  <c r="F32" i="14"/>
  <c r="C32" i="14"/>
  <c r="B32" i="14"/>
  <c r="A32" i="14"/>
  <c r="EV31" i="14"/>
  <c r="EU31" i="14"/>
  <c r="EQ31" i="14"/>
  <c r="EP31" i="14"/>
  <c r="EL31" i="14"/>
  <c r="EK31" i="14"/>
  <c r="EG31" i="14"/>
  <c r="EF31" i="14"/>
  <c r="EB31" i="14"/>
  <c r="EA31" i="14"/>
  <c r="DW31" i="14"/>
  <c r="DV31" i="14"/>
  <c r="DR31" i="14"/>
  <c r="DQ31" i="14"/>
  <c r="DM31" i="14"/>
  <c r="DL31" i="14"/>
  <c r="DH31" i="14"/>
  <c r="DG31" i="14"/>
  <c r="DC31" i="14"/>
  <c r="DB31" i="14"/>
  <c r="CX31" i="14"/>
  <c r="CW31" i="14"/>
  <c r="CS31" i="14"/>
  <c r="CR31" i="14"/>
  <c r="CN31" i="14"/>
  <c r="CM31" i="14"/>
  <c r="CI31" i="14"/>
  <c r="CH31" i="14"/>
  <c r="CD31" i="14"/>
  <c r="CC31" i="14"/>
  <c r="BY31" i="14"/>
  <c r="BX31" i="14"/>
  <c r="BT31" i="14"/>
  <c r="BS31" i="14"/>
  <c r="BO31" i="14"/>
  <c r="BN31" i="14"/>
  <c r="BJ31" i="14"/>
  <c r="BI31" i="14"/>
  <c r="BE31" i="14"/>
  <c r="BD31" i="14"/>
  <c r="AZ31" i="14"/>
  <c r="AY31" i="14"/>
  <c r="AU31" i="14"/>
  <c r="AT31" i="14"/>
  <c r="AP31" i="14"/>
  <c r="AO31" i="14"/>
  <c r="AK31" i="14"/>
  <c r="AJ31" i="14"/>
  <c r="AF31" i="14"/>
  <c r="AE31" i="14"/>
  <c r="AA31" i="14"/>
  <c r="Z31" i="14"/>
  <c r="V31" i="14"/>
  <c r="U31" i="14"/>
  <c r="Q31" i="14"/>
  <c r="P31" i="14"/>
  <c r="L31" i="14"/>
  <c r="K31" i="14"/>
  <c r="G31" i="14"/>
  <c r="F31" i="14"/>
  <c r="C31" i="14"/>
  <c r="B31" i="14"/>
  <c r="A31" i="14"/>
  <c r="EV30" i="14"/>
  <c r="EU30" i="14"/>
  <c r="EQ30" i="14"/>
  <c r="EP30" i="14"/>
  <c r="EL30" i="14"/>
  <c r="EK30" i="14"/>
  <c r="EG30" i="14"/>
  <c r="EF30" i="14"/>
  <c r="EB30" i="14"/>
  <c r="EA30" i="14"/>
  <c r="DW30" i="14"/>
  <c r="DV30" i="14"/>
  <c r="DR30" i="14"/>
  <c r="DQ30" i="14"/>
  <c r="DM30" i="14"/>
  <c r="DL30" i="14"/>
  <c r="DH30" i="14"/>
  <c r="DG30" i="14"/>
  <c r="DC30" i="14"/>
  <c r="DB30" i="14"/>
  <c r="CX30" i="14"/>
  <c r="CW30" i="14"/>
  <c r="CS30" i="14"/>
  <c r="CR30" i="14"/>
  <c r="CN30" i="14"/>
  <c r="CM30" i="14"/>
  <c r="CI30" i="14"/>
  <c r="CH30" i="14"/>
  <c r="CD30" i="14"/>
  <c r="CC30" i="14"/>
  <c r="BY30" i="14"/>
  <c r="BX30" i="14"/>
  <c r="BT30" i="14"/>
  <c r="BS30" i="14"/>
  <c r="BO30" i="14"/>
  <c r="BN30" i="14"/>
  <c r="BJ30" i="14"/>
  <c r="BI30" i="14"/>
  <c r="BE30" i="14"/>
  <c r="BD30" i="14"/>
  <c r="AZ30" i="14"/>
  <c r="AY30" i="14"/>
  <c r="AU30" i="14"/>
  <c r="AT30" i="14"/>
  <c r="AP30" i="14"/>
  <c r="AO30" i="14"/>
  <c r="AK30" i="14"/>
  <c r="AJ30" i="14"/>
  <c r="AF30" i="14"/>
  <c r="AE30" i="14"/>
  <c r="AA30" i="14"/>
  <c r="Z30" i="14"/>
  <c r="V30" i="14"/>
  <c r="U30" i="14"/>
  <c r="Q30" i="14"/>
  <c r="P30" i="14"/>
  <c r="L30" i="14"/>
  <c r="K30" i="14"/>
  <c r="G30" i="14"/>
  <c r="F30" i="14"/>
  <c r="C30" i="14"/>
  <c r="B30" i="14"/>
  <c r="A30" i="14"/>
  <c r="EV29" i="14"/>
  <c r="EU29" i="14"/>
  <c r="EQ29" i="14"/>
  <c r="EP29" i="14"/>
  <c r="EL29" i="14"/>
  <c r="EK29" i="14"/>
  <c r="EG29" i="14"/>
  <c r="EF29" i="14"/>
  <c r="EB29" i="14"/>
  <c r="EA29" i="14"/>
  <c r="DW29" i="14"/>
  <c r="DV29" i="14"/>
  <c r="DR29" i="14"/>
  <c r="DQ29" i="14"/>
  <c r="DM29" i="14"/>
  <c r="DL29" i="14"/>
  <c r="DH29" i="14"/>
  <c r="DG29" i="14"/>
  <c r="DC29" i="14"/>
  <c r="DB29" i="14"/>
  <c r="CX29" i="14"/>
  <c r="CW29" i="14"/>
  <c r="CS29" i="14"/>
  <c r="CR29" i="14"/>
  <c r="CN29" i="14"/>
  <c r="CM29" i="14"/>
  <c r="CI29" i="14"/>
  <c r="CH29" i="14"/>
  <c r="CD29" i="14"/>
  <c r="CC29" i="14"/>
  <c r="BY29" i="14"/>
  <c r="BX29" i="14"/>
  <c r="BT29" i="14"/>
  <c r="BS29" i="14"/>
  <c r="BO29" i="14"/>
  <c r="BN29" i="14"/>
  <c r="BJ29" i="14"/>
  <c r="BI29" i="14"/>
  <c r="BE29" i="14"/>
  <c r="BD29" i="14"/>
  <c r="AZ29" i="14"/>
  <c r="AY29" i="14"/>
  <c r="AU29" i="14"/>
  <c r="AT29" i="14"/>
  <c r="AP29" i="14"/>
  <c r="AO29" i="14"/>
  <c r="AK29" i="14"/>
  <c r="AJ29" i="14"/>
  <c r="AF29" i="14"/>
  <c r="AE29" i="14"/>
  <c r="AA29" i="14"/>
  <c r="Z29" i="14"/>
  <c r="V29" i="14"/>
  <c r="U29" i="14"/>
  <c r="Q29" i="14"/>
  <c r="P29" i="14"/>
  <c r="L29" i="14"/>
  <c r="K29" i="14"/>
  <c r="G29" i="14"/>
  <c r="F29" i="14"/>
  <c r="C29" i="14"/>
  <c r="B29" i="14"/>
  <c r="A29" i="14"/>
  <c r="EV28" i="14"/>
  <c r="EU28" i="14"/>
  <c r="EQ28" i="14"/>
  <c r="EP28" i="14"/>
  <c r="EL28" i="14"/>
  <c r="EK28" i="14"/>
  <c r="EG28" i="14"/>
  <c r="EF28" i="14"/>
  <c r="EB28" i="14"/>
  <c r="EA28" i="14"/>
  <c r="DW28" i="14"/>
  <c r="DV28" i="14"/>
  <c r="DR28" i="14"/>
  <c r="DQ28" i="14"/>
  <c r="DM28" i="14"/>
  <c r="DL28" i="14"/>
  <c r="DH28" i="14"/>
  <c r="DG28" i="14"/>
  <c r="DC28" i="14"/>
  <c r="DB28" i="14"/>
  <c r="CX28" i="14"/>
  <c r="CW28" i="14"/>
  <c r="CS28" i="14"/>
  <c r="CR28" i="14"/>
  <c r="CN28" i="14"/>
  <c r="CM28" i="14"/>
  <c r="CI28" i="14"/>
  <c r="CH28" i="14"/>
  <c r="CD28" i="14"/>
  <c r="CC28" i="14"/>
  <c r="BY28" i="14"/>
  <c r="BX28" i="14"/>
  <c r="BT28" i="14"/>
  <c r="BS28" i="14"/>
  <c r="BO28" i="14"/>
  <c r="BN28" i="14"/>
  <c r="BJ28" i="14"/>
  <c r="BI28" i="14"/>
  <c r="BE28" i="14"/>
  <c r="BD28" i="14"/>
  <c r="AZ28" i="14"/>
  <c r="AY28" i="14"/>
  <c r="AU28" i="14"/>
  <c r="AT28" i="14"/>
  <c r="AP28" i="14"/>
  <c r="AO28" i="14"/>
  <c r="AK28" i="14"/>
  <c r="AJ28" i="14"/>
  <c r="AF28" i="14"/>
  <c r="AE28" i="14"/>
  <c r="AA28" i="14"/>
  <c r="Z28" i="14"/>
  <c r="V28" i="14"/>
  <c r="U28" i="14"/>
  <c r="Q28" i="14"/>
  <c r="P28" i="14"/>
  <c r="L28" i="14"/>
  <c r="K28" i="14"/>
  <c r="G28" i="14"/>
  <c r="F28" i="14"/>
  <c r="C28" i="14"/>
  <c r="B28" i="14"/>
  <c r="A28" i="14"/>
  <c r="EV27" i="14"/>
  <c r="EU27" i="14"/>
  <c r="EQ27" i="14"/>
  <c r="EP27" i="14"/>
  <c r="EL27" i="14"/>
  <c r="EK27" i="14"/>
  <c r="EG27" i="14"/>
  <c r="EF27" i="14"/>
  <c r="EB27" i="14"/>
  <c r="EA27" i="14"/>
  <c r="DW27" i="14"/>
  <c r="DV27" i="14"/>
  <c r="DR27" i="14"/>
  <c r="DQ27" i="14"/>
  <c r="DM27" i="14"/>
  <c r="DL27" i="14"/>
  <c r="DH27" i="14"/>
  <c r="DG27" i="14"/>
  <c r="DC27" i="14"/>
  <c r="DB27" i="14"/>
  <c r="CX27" i="14"/>
  <c r="CW27" i="14"/>
  <c r="CS27" i="14"/>
  <c r="CR27" i="14"/>
  <c r="CN27" i="14"/>
  <c r="CM27" i="14"/>
  <c r="CI27" i="14"/>
  <c r="CH27" i="14"/>
  <c r="CD27" i="14"/>
  <c r="CC27" i="14"/>
  <c r="BY27" i="14"/>
  <c r="BX27" i="14"/>
  <c r="BT27" i="14"/>
  <c r="BS27" i="14"/>
  <c r="BO27" i="14"/>
  <c r="BN27" i="14"/>
  <c r="BJ27" i="14"/>
  <c r="BI27" i="14"/>
  <c r="BE27" i="14"/>
  <c r="BD27" i="14"/>
  <c r="AZ27" i="14"/>
  <c r="AY27" i="14"/>
  <c r="AU27" i="14"/>
  <c r="AT27" i="14"/>
  <c r="AP27" i="14"/>
  <c r="AO27" i="14"/>
  <c r="AK27" i="14"/>
  <c r="AJ27" i="14"/>
  <c r="AF27" i="14"/>
  <c r="AE27" i="14"/>
  <c r="AA27" i="14"/>
  <c r="Z27" i="14"/>
  <c r="V27" i="14"/>
  <c r="U27" i="14"/>
  <c r="Q27" i="14"/>
  <c r="P27" i="14"/>
  <c r="L27" i="14"/>
  <c r="K27" i="14"/>
  <c r="G27" i="14"/>
  <c r="F27" i="14"/>
  <c r="C27" i="14"/>
  <c r="B27" i="14"/>
  <c r="A27" i="14"/>
  <c r="EV26" i="14"/>
  <c r="EU26" i="14"/>
  <c r="EQ26" i="14"/>
  <c r="EP26" i="14"/>
  <c r="EL26" i="14"/>
  <c r="EK26" i="14"/>
  <c r="EG26" i="14"/>
  <c r="EF26" i="14"/>
  <c r="EB26" i="14"/>
  <c r="EA26" i="14"/>
  <c r="DW26" i="14"/>
  <c r="DV26" i="14"/>
  <c r="DR26" i="14"/>
  <c r="DQ26" i="14"/>
  <c r="DM26" i="14"/>
  <c r="DL26" i="14"/>
  <c r="DH26" i="14"/>
  <c r="DG26" i="14"/>
  <c r="DC26" i="14"/>
  <c r="DB26" i="14"/>
  <c r="CX26" i="14"/>
  <c r="CW26" i="14"/>
  <c r="CS26" i="14"/>
  <c r="CR26" i="14"/>
  <c r="CN26" i="14"/>
  <c r="CM26" i="14"/>
  <c r="CI26" i="14"/>
  <c r="CH26" i="14"/>
  <c r="CD26" i="14"/>
  <c r="CC26" i="14"/>
  <c r="BY26" i="14"/>
  <c r="BX26" i="14"/>
  <c r="BT26" i="14"/>
  <c r="BS26" i="14"/>
  <c r="BO26" i="14"/>
  <c r="BN26" i="14"/>
  <c r="BJ26" i="14"/>
  <c r="BI26" i="14"/>
  <c r="BE26" i="14"/>
  <c r="BD26" i="14"/>
  <c r="AZ26" i="14"/>
  <c r="AY26" i="14"/>
  <c r="AU26" i="14"/>
  <c r="AT26" i="14"/>
  <c r="AP26" i="14"/>
  <c r="AO26" i="14"/>
  <c r="AK26" i="14"/>
  <c r="AJ26" i="14"/>
  <c r="AF26" i="14"/>
  <c r="AE26" i="14"/>
  <c r="AA26" i="14"/>
  <c r="Z26" i="14"/>
  <c r="V26" i="14"/>
  <c r="U26" i="14"/>
  <c r="Q26" i="14"/>
  <c r="P26" i="14"/>
  <c r="L26" i="14"/>
  <c r="K26" i="14"/>
  <c r="G26" i="14"/>
  <c r="F26" i="14"/>
  <c r="C26" i="14"/>
  <c r="B26" i="14"/>
  <c r="A26" i="14"/>
  <c r="EV25" i="14"/>
  <c r="EU25" i="14"/>
  <c r="EQ25" i="14"/>
  <c r="EP25" i="14"/>
  <c r="EL25" i="14"/>
  <c r="EK25" i="14"/>
  <c r="EG25" i="14"/>
  <c r="EF25" i="14"/>
  <c r="EB25" i="14"/>
  <c r="EA25" i="14"/>
  <c r="DW25" i="14"/>
  <c r="DV25" i="14"/>
  <c r="DR25" i="14"/>
  <c r="DQ25" i="14"/>
  <c r="DM25" i="14"/>
  <c r="DL25" i="14"/>
  <c r="DH25" i="14"/>
  <c r="DG25" i="14"/>
  <c r="DC25" i="14"/>
  <c r="DB25" i="14"/>
  <c r="CX25" i="14"/>
  <c r="CW25" i="14"/>
  <c r="CS25" i="14"/>
  <c r="CR25" i="14"/>
  <c r="CN25" i="14"/>
  <c r="CM25" i="14"/>
  <c r="CI25" i="14"/>
  <c r="CH25" i="14"/>
  <c r="CD25" i="14"/>
  <c r="CC25" i="14"/>
  <c r="BY25" i="14"/>
  <c r="BX25" i="14"/>
  <c r="BT25" i="14"/>
  <c r="BS25" i="14"/>
  <c r="BO25" i="14"/>
  <c r="BN25" i="14"/>
  <c r="BJ25" i="14"/>
  <c r="BI25" i="14"/>
  <c r="BE25" i="14"/>
  <c r="BD25" i="14"/>
  <c r="AZ25" i="14"/>
  <c r="AY25" i="14"/>
  <c r="AU25" i="14"/>
  <c r="AT25" i="14"/>
  <c r="AP25" i="14"/>
  <c r="AO25" i="14"/>
  <c r="AK25" i="14"/>
  <c r="AJ25" i="14"/>
  <c r="AF25" i="14"/>
  <c r="AE25" i="14"/>
  <c r="AA25" i="14"/>
  <c r="Z25" i="14"/>
  <c r="V25" i="14"/>
  <c r="U25" i="14"/>
  <c r="Q25" i="14"/>
  <c r="P25" i="14"/>
  <c r="L25" i="14"/>
  <c r="K25" i="14"/>
  <c r="G25" i="14"/>
  <c r="F25" i="14"/>
  <c r="C25" i="14"/>
  <c r="B25" i="14"/>
  <c r="A25" i="14"/>
  <c r="EV24" i="14"/>
  <c r="EU24" i="14"/>
  <c r="EQ24" i="14"/>
  <c r="EP24" i="14"/>
  <c r="EL24" i="14"/>
  <c r="EK24" i="14"/>
  <c r="EG24" i="14"/>
  <c r="EF24" i="14"/>
  <c r="EB24" i="14"/>
  <c r="EA24" i="14"/>
  <c r="DW24" i="14"/>
  <c r="DV24" i="14"/>
  <c r="DR24" i="14"/>
  <c r="DQ24" i="14"/>
  <c r="DM24" i="14"/>
  <c r="DL24" i="14"/>
  <c r="DH24" i="14"/>
  <c r="DG24" i="14"/>
  <c r="DC24" i="14"/>
  <c r="DB24" i="14"/>
  <c r="CX24" i="14"/>
  <c r="CW24" i="14"/>
  <c r="CS24" i="14"/>
  <c r="CR24" i="14"/>
  <c r="CN24" i="14"/>
  <c r="CM24" i="14"/>
  <c r="CI24" i="14"/>
  <c r="CH24" i="14"/>
  <c r="CD24" i="14"/>
  <c r="CC24" i="14"/>
  <c r="BY24" i="14"/>
  <c r="BX24" i="14"/>
  <c r="BT24" i="14"/>
  <c r="BS24" i="14"/>
  <c r="BO24" i="14"/>
  <c r="BN24" i="14"/>
  <c r="BJ24" i="14"/>
  <c r="BI24" i="14"/>
  <c r="BE24" i="14"/>
  <c r="BD24" i="14"/>
  <c r="AZ24" i="14"/>
  <c r="AY24" i="14"/>
  <c r="AU24" i="14"/>
  <c r="AT24" i="14"/>
  <c r="AP24" i="14"/>
  <c r="AO24" i="14"/>
  <c r="AK24" i="14"/>
  <c r="AJ24" i="14"/>
  <c r="AF24" i="14"/>
  <c r="AE24" i="14"/>
  <c r="AA24" i="14"/>
  <c r="Z24" i="14"/>
  <c r="V24" i="14"/>
  <c r="U24" i="14"/>
  <c r="Q24" i="14"/>
  <c r="P24" i="14"/>
  <c r="L24" i="14"/>
  <c r="K24" i="14"/>
  <c r="G24" i="14"/>
  <c r="F24" i="14"/>
  <c r="C24" i="14"/>
  <c r="B24" i="14"/>
  <c r="A24" i="14"/>
  <c r="EV23" i="14"/>
  <c r="EU23" i="14"/>
  <c r="EQ23" i="14"/>
  <c r="EP23" i="14"/>
  <c r="EL23" i="14"/>
  <c r="EK23" i="14"/>
  <c r="EG23" i="14"/>
  <c r="EF23" i="14"/>
  <c r="EB23" i="14"/>
  <c r="EA23" i="14"/>
  <c r="DW23" i="14"/>
  <c r="DV23" i="14"/>
  <c r="DR23" i="14"/>
  <c r="DQ23" i="14"/>
  <c r="DM23" i="14"/>
  <c r="DL23" i="14"/>
  <c r="DH23" i="14"/>
  <c r="DG23" i="14"/>
  <c r="DC23" i="14"/>
  <c r="DB23" i="14"/>
  <c r="CX23" i="14"/>
  <c r="CW23" i="14"/>
  <c r="CS23" i="14"/>
  <c r="CR23" i="14"/>
  <c r="CN23" i="14"/>
  <c r="CM23" i="14"/>
  <c r="CI23" i="14"/>
  <c r="CH23" i="14"/>
  <c r="CD23" i="14"/>
  <c r="CC23" i="14"/>
  <c r="BY23" i="14"/>
  <c r="BX23" i="14"/>
  <c r="BT23" i="14"/>
  <c r="BS23" i="14"/>
  <c r="BO23" i="14"/>
  <c r="BN23" i="14"/>
  <c r="BJ23" i="14"/>
  <c r="BI23" i="14"/>
  <c r="BE23" i="14"/>
  <c r="BD23" i="14"/>
  <c r="AZ23" i="14"/>
  <c r="AY23" i="14"/>
  <c r="AU23" i="14"/>
  <c r="AT23" i="14"/>
  <c r="AP23" i="14"/>
  <c r="AO23" i="14"/>
  <c r="AK23" i="14"/>
  <c r="AJ23" i="14"/>
  <c r="AF23" i="14"/>
  <c r="AE23" i="14"/>
  <c r="AA23" i="14"/>
  <c r="Z23" i="14"/>
  <c r="V23" i="14"/>
  <c r="U23" i="14"/>
  <c r="Q23" i="14"/>
  <c r="P23" i="14"/>
  <c r="L23" i="14"/>
  <c r="K23" i="14"/>
  <c r="G23" i="14"/>
  <c r="F23" i="14"/>
  <c r="C23" i="14"/>
  <c r="B23" i="14"/>
  <c r="A23" i="14"/>
  <c r="EV22" i="14"/>
  <c r="EU22" i="14"/>
  <c r="EQ22" i="14"/>
  <c r="EP22" i="14"/>
  <c r="EL22" i="14"/>
  <c r="EK22" i="14"/>
  <c r="EG22" i="14"/>
  <c r="EF22" i="14"/>
  <c r="EB22" i="14"/>
  <c r="EA22" i="14"/>
  <c r="DW22" i="14"/>
  <c r="DV22" i="14"/>
  <c r="DR22" i="14"/>
  <c r="DQ22" i="14"/>
  <c r="DM22" i="14"/>
  <c r="DL22" i="14"/>
  <c r="DH22" i="14"/>
  <c r="DG22" i="14"/>
  <c r="DC22" i="14"/>
  <c r="DB22" i="14"/>
  <c r="CX22" i="14"/>
  <c r="CW22" i="14"/>
  <c r="CS22" i="14"/>
  <c r="CR22" i="14"/>
  <c r="CN22" i="14"/>
  <c r="CM22" i="14"/>
  <c r="CI22" i="14"/>
  <c r="CH22" i="14"/>
  <c r="CD22" i="14"/>
  <c r="CC22" i="14"/>
  <c r="BY22" i="14"/>
  <c r="BX22" i="14"/>
  <c r="BT22" i="14"/>
  <c r="BS22" i="14"/>
  <c r="BO22" i="14"/>
  <c r="BN22" i="14"/>
  <c r="BJ22" i="14"/>
  <c r="BI22" i="14"/>
  <c r="BE22" i="14"/>
  <c r="BD22" i="14"/>
  <c r="AZ22" i="14"/>
  <c r="AY22" i="14"/>
  <c r="AU22" i="14"/>
  <c r="AT22" i="14"/>
  <c r="AP22" i="14"/>
  <c r="AO22" i="14"/>
  <c r="AK22" i="14"/>
  <c r="AJ22" i="14"/>
  <c r="AF22" i="14"/>
  <c r="AE22" i="14"/>
  <c r="AA22" i="14"/>
  <c r="Z22" i="14"/>
  <c r="V22" i="14"/>
  <c r="U22" i="14"/>
  <c r="Q22" i="14"/>
  <c r="P22" i="14"/>
  <c r="L22" i="14"/>
  <c r="K22" i="14"/>
  <c r="G22" i="14"/>
  <c r="F22" i="14"/>
  <c r="C22" i="14"/>
  <c r="B22" i="14"/>
  <c r="A22" i="14"/>
  <c r="EV21" i="14"/>
  <c r="EU21" i="14"/>
  <c r="EQ21" i="14"/>
  <c r="EP21" i="14"/>
  <c r="EL21" i="14"/>
  <c r="EK21" i="14"/>
  <c r="EG21" i="14"/>
  <c r="EF21" i="14"/>
  <c r="EB21" i="14"/>
  <c r="EA21" i="14"/>
  <c r="DW21" i="14"/>
  <c r="DV21" i="14"/>
  <c r="DR21" i="14"/>
  <c r="DQ21" i="14"/>
  <c r="DM21" i="14"/>
  <c r="DL21" i="14"/>
  <c r="DH21" i="14"/>
  <c r="DG21" i="14"/>
  <c r="DC21" i="14"/>
  <c r="DB21" i="14"/>
  <c r="CX21" i="14"/>
  <c r="CW21" i="14"/>
  <c r="CS21" i="14"/>
  <c r="CR21" i="14"/>
  <c r="CN21" i="14"/>
  <c r="CM21" i="14"/>
  <c r="CI21" i="14"/>
  <c r="CH21" i="14"/>
  <c r="CD21" i="14"/>
  <c r="CC21" i="14"/>
  <c r="BY21" i="14"/>
  <c r="BX21" i="14"/>
  <c r="BT21" i="14"/>
  <c r="BS21" i="14"/>
  <c r="BO21" i="14"/>
  <c r="BN21" i="14"/>
  <c r="BJ21" i="14"/>
  <c r="BI21" i="14"/>
  <c r="BE21" i="14"/>
  <c r="BD21" i="14"/>
  <c r="AZ21" i="14"/>
  <c r="AY21" i="14"/>
  <c r="AU21" i="14"/>
  <c r="AT21" i="14"/>
  <c r="AP21" i="14"/>
  <c r="AO21" i="14"/>
  <c r="AK21" i="14"/>
  <c r="AJ21" i="14"/>
  <c r="AF21" i="14"/>
  <c r="AE21" i="14"/>
  <c r="AA21" i="14"/>
  <c r="Z21" i="14"/>
  <c r="V21" i="14"/>
  <c r="U21" i="14"/>
  <c r="Q21" i="14"/>
  <c r="P21" i="14"/>
  <c r="L21" i="14"/>
  <c r="K21" i="14"/>
  <c r="G21" i="14"/>
  <c r="F21" i="14"/>
  <c r="C21" i="14"/>
  <c r="B21" i="14"/>
  <c r="A21" i="14"/>
  <c r="EV20" i="14"/>
  <c r="EU20" i="14"/>
  <c r="EQ20" i="14"/>
  <c r="EP20" i="14"/>
  <c r="EL20" i="14"/>
  <c r="EK20" i="14"/>
  <c r="EG20" i="14"/>
  <c r="EF20" i="14"/>
  <c r="EB20" i="14"/>
  <c r="EA20" i="14"/>
  <c r="DW20" i="14"/>
  <c r="DV20" i="14"/>
  <c r="DR20" i="14"/>
  <c r="DQ20" i="14"/>
  <c r="DM20" i="14"/>
  <c r="DL20" i="14"/>
  <c r="DH20" i="14"/>
  <c r="DG20" i="14"/>
  <c r="DC20" i="14"/>
  <c r="DB20" i="14"/>
  <c r="CX20" i="14"/>
  <c r="CW20" i="14"/>
  <c r="CS20" i="14"/>
  <c r="CR20" i="14"/>
  <c r="CN20" i="14"/>
  <c r="CM20" i="14"/>
  <c r="CI20" i="14"/>
  <c r="CH20" i="14"/>
  <c r="CD20" i="14"/>
  <c r="CC20" i="14"/>
  <c r="BY20" i="14"/>
  <c r="BX20" i="14"/>
  <c r="BT20" i="14"/>
  <c r="BS20" i="14"/>
  <c r="BO20" i="14"/>
  <c r="BN20" i="14"/>
  <c r="BJ20" i="14"/>
  <c r="BI20" i="14"/>
  <c r="BE20" i="14"/>
  <c r="BD20" i="14"/>
  <c r="AZ20" i="14"/>
  <c r="AY20" i="14"/>
  <c r="AU20" i="14"/>
  <c r="AT20" i="14"/>
  <c r="AP20" i="14"/>
  <c r="AO20" i="14"/>
  <c r="AK20" i="14"/>
  <c r="AJ20" i="14"/>
  <c r="AF20" i="14"/>
  <c r="AE20" i="14"/>
  <c r="AA20" i="14"/>
  <c r="Z20" i="14"/>
  <c r="V20" i="14"/>
  <c r="U20" i="14"/>
  <c r="Q20" i="14"/>
  <c r="P20" i="14"/>
  <c r="L20" i="14"/>
  <c r="K20" i="14"/>
  <c r="G20" i="14"/>
  <c r="F20" i="14"/>
  <c r="C20" i="14"/>
  <c r="B20" i="14"/>
  <c r="A20" i="14"/>
  <c r="EV19" i="14"/>
  <c r="EU19" i="14"/>
  <c r="EQ19" i="14"/>
  <c r="EP19" i="14"/>
  <c r="EL19" i="14"/>
  <c r="EK19" i="14"/>
  <c r="EG19" i="14"/>
  <c r="EF19" i="14"/>
  <c r="EB19" i="14"/>
  <c r="EA19" i="14"/>
  <c r="DW19" i="14"/>
  <c r="DV19" i="14"/>
  <c r="DR19" i="14"/>
  <c r="DQ19" i="14"/>
  <c r="DM19" i="14"/>
  <c r="DL19" i="14"/>
  <c r="DH19" i="14"/>
  <c r="DG19" i="14"/>
  <c r="DC19" i="14"/>
  <c r="DB19" i="14"/>
  <c r="CX19" i="14"/>
  <c r="CW19" i="14"/>
  <c r="CS19" i="14"/>
  <c r="CR19" i="14"/>
  <c r="CN19" i="14"/>
  <c r="CM19" i="14"/>
  <c r="CI19" i="14"/>
  <c r="CH19" i="14"/>
  <c r="CD19" i="14"/>
  <c r="CC19" i="14"/>
  <c r="BY19" i="14"/>
  <c r="BX19" i="14"/>
  <c r="BT19" i="14"/>
  <c r="BS19" i="14"/>
  <c r="BO19" i="14"/>
  <c r="BN19" i="14"/>
  <c r="BJ19" i="14"/>
  <c r="BI19" i="14"/>
  <c r="BE19" i="14"/>
  <c r="BD19" i="14"/>
  <c r="AZ19" i="14"/>
  <c r="AY19" i="14"/>
  <c r="AU19" i="14"/>
  <c r="AT19" i="14"/>
  <c r="AP19" i="14"/>
  <c r="AO19" i="14"/>
  <c r="AK19" i="14"/>
  <c r="AJ19" i="14"/>
  <c r="AF19" i="14"/>
  <c r="AE19" i="14"/>
  <c r="AA19" i="14"/>
  <c r="Z19" i="14"/>
  <c r="V19" i="14"/>
  <c r="U19" i="14"/>
  <c r="Q19" i="14"/>
  <c r="P19" i="14"/>
  <c r="L19" i="14"/>
  <c r="K19" i="14"/>
  <c r="G19" i="14"/>
  <c r="F19" i="14"/>
  <c r="C19" i="14"/>
  <c r="B19" i="14"/>
  <c r="A19" i="14"/>
  <c r="EV18" i="14"/>
  <c r="EU18" i="14"/>
  <c r="EQ18" i="14"/>
  <c r="EP18" i="14"/>
  <c r="EL18" i="14"/>
  <c r="EK18" i="14"/>
  <c r="EG18" i="14"/>
  <c r="EF18" i="14"/>
  <c r="EB18" i="14"/>
  <c r="EA18" i="14"/>
  <c r="DW18" i="14"/>
  <c r="DV18" i="14"/>
  <c r="DR18" i="14"/>
  <c r="DQ18" i="14"/>
  <c r="DM18" i="14"/>
  <c r="DL18" i="14"/>
  <c r="DH18" i="14"/>
  <c r="DG18" i="14"/>
  <c r="DC18" i="14"/>
  <c r="DB18" i="14"/>
  <c r="CX18" i="14"/>
  <c r="CW18" i="14"/>
  <c r="CS18" i="14"/>
  <c r="CR18" i="14"/>
  <c r="CN18" i="14"/>
  <c r="CM18" i="14"/>
  <c r="CI18" i="14"/>
  <c r="CH18" i="14"/>
  <c r="CD18" i="14"/>
  <c r="CC18" i="14"/>
  <c r="BY18" i="14"/>
  <c r="BX18" i="14"/>
  <c r="BT18" i="14"/>
  <c r="BS18" i="14"/>
  <c r="BO18" i="14"/>
  <c r="BN18" i="14"/>
  <c r="BJ18" i="14"/>
  <c r="BI18" i="14"/>
  <c r="BE18" i="14"/>
  <c r="BD18" i="14"/>
  <c r="AZ18" i="14"/>
  <c r="AY18" i="14"/>
  <c r="AU18" i="14"/>
  <c r="AT18" i="14"/>
  <c r="AP18" i="14"/>
  <c r="AO18" i="14"/>
  <c r="AK18" i="14"/>
  <c r="AJ18" i="14"/>
  <c r="AF18" i="14"/>
  <c r="AE18" i="14"/>
  <c r="AA18" i="14"/>
  <c r="Z18" i="14"/>
  <c r="V18" i="14"/>
  <c r="U18" i="14"/>
  <c r="Q18" i="14"/>
  <c r="P18" i="14"/>
  <c r="L18" i="14"/>
  <c r="K18" i="14"/>
  <c r="G18" i="14"/>
  <c r="F18" i="14"/>
  <c r="C18" i="14"/>
  <c r="B18" i="14"/>
  <c r="A18" i="14"/>
  <c r="EV17" i="14"/>
  <c r="EU17" i="14"/>
  <c r="EQ17" i="14"/>
  <c r="EP17" i="14"/>
  <c r="EL17" i="14"/>
  <c r="EK17" i="14"/>
  <c r="EG17" i="14"/>
  <c r="EF17" i="14"/>
  <c r="EB17" i="14"/>
  <c r="EA17" i="14"/>
  <c r="DW17" i="14"/>
  <c r="DV17" i="14"/>
  <c r="DR17" i="14"/>
  <c r="DQ17" i="14"/>
  <c r="DM17" i="14"/>
  <c r="DL17" i="14"/>
  <c r="DH17" i="14"/>
  <c r="DG17" i="14"/>
  <c r="DC17" i="14"/>
  <c r="DB17" i="14"/>
  <c r="CX17" i="14"/>
  <c r="CW17" i="14"/>
  <c r="CS17" i="14"/>
  <c r="CR17" i="14"/>
  <c r="CN17" i="14"/>
  <c r="CM17" i="14"/>
  <c r="CI17" i="14"/>
  <c r="CH17" i="14"/>
  <c r="CD17" i="14"/>
  <c r="CC17" i="14"/>
  <c r="BY17" i="14"/>
  <c r="BX17" i="14"/>
  <c r="BT17" i="14"/>
  <c r="BS17" i="14"/>
  <c r="BO17" i="14"/>
  <c r="BN17" i="14"/>
  <c r="BJ17" i="14"/>
  <c r="BI17" i="14"/>
  <c r="BE17" i="14"/>
  <c r="BD17" i="14"/>
  <c r="AZ17" i="14"/>
  <c r="AY17" i="14"/>
  <c r="AU17" i="14"/>
  <c r="AT17" i="14"/>
  <c r="AP17" i="14"/>
  <c r="AO17" i="14"/>
  <c r="AK17" i="14"/>
  <c r="AJ17" i="14"/>
  <c r="AF17" i="14"/>
  <c r="AE17" i="14"/>
  <c r="AA17" i="14"/>
  <c r="Z17" i="14"/>
  <c r="V17" i="14"/>
  <c r="U17" i="14"/>
  <c r="Q17" i="14"/>
  <c r="P17" i="14"/>
  <c r="L17" i="14"/>
  <c r="K17" i="14"/>
  <c r="G17" i="14"/>
  <c r="F17" i="14"/>
  <c r="C17" i="14"/>
  <c r="B17" i="14"/>
  <c r="A17" i="14"/>
  <c r="EV16" i="14"/>
  <c r="EU16" i="14"/>
  <c r="EQ16" i="14"/>
  <c r="EP16" i="14"/>
  <c r="EL16" i="14"/>
  <c r="EK16" i="14"/>
  <c r="EG16" i="14"/>
  <c r="EF16" i="14"/>
  <c r="EB16" i="14"/>
  <c r="EA16" i="14"/>
  <c r="DW16" i="14"/>
  <c r="DV16" i="14"/>
  <c r="DR16" i="14"/>
  <c r="DQ16" i="14"/>
  <c r="DM16" i="14"/>
  <c r="DL16" i="14"/>
  <c r="DH16" i="14"/>
  <c r="DG16" i="14"/>
  <c r="DC16" i="14"/>
  <c r="DB16" i="14"/>
  <c r="CX16" i="14"/>
  <c r="CW16" i="14"/>
  <c r="CS16" i="14"/>
  <c r="CR16" i="14"/>
  <c r="CN16" i="14"/>
  <c r="CM16" i="14"/>
  <c r="CI16" i="14"/>
  <c r="CH16" i="14"/>
  <c r="CD16" i="14"/>
  <c r="CC16" i="14"/>
  <c r="BY16" i="14"/>
  <c r="BX16" i="14"/>
  <c r="BT16" i="14"/>
  <c r="BS16" i="14"/>
  <c r="BO16" i="14"/>
  <c r="BN16" i="14"/>
  <c r="BJ16" i="14"/>
  <c r="BI16" i="14"/>
  <c r="BE16" i="14"/>
  <c r="BD16" i="14"/>
  <c r="AZ16" i="14"/>
  <c r="AY16" i="14"/>
  <c r="AU16" i="14"/>
  <c r="AT16" i="14"/>
  <c r="AP16" i="14"/>
  <c r="AO16" i="14"/>
  <c r="AK16" i="14"/>
  <c r="AJ16" i="14"/>
  <c r="AF16" i="14"/>
  <c r="AE16" i="14"/>
  <c r="AA16" i="14"/>
  <c r="Z16" i="14"/>
  <c r="V16" i="14"/>
  <c r="U16" i="14"/>
  <c r="Q16" i="14"/>
  <c r="P16" i="14"/>
  <c r="L16" i="14"/>
  <c r="K16" i="14"/>
  <c r="G16" i="14"/>
  <c r="F16" i="14"/>
  <c r="C16" i="14"/>
  <c r="B16" i="14"/>
  <c r="A16" i="14"/>
  <c r="EV15" i="14"/>
  <c r="EU15" i="14"/>
  <c r="EQ15" i="14"/>
  <c r="EP15" i="14"/>
  <c r="EL15" i="14"/>
  <c r="EK15" i="14"/>
  <c r="EG15" i="14"/>
  <c r="EF15" i="14"/>
  <c r="EB15" i="14"/>
  <c r="EA15" i="14"/>
  <c r="DW15" i="14"/>
  <c r="DV15" i="14"/>
  <c r="DR15" i="14"/>
  <c r="DQ15" i="14"/>
  <c r="DM15" i="14"/>
  <c r="DL15" i="14"/>
  <c r="DH15" i="14"/>
  <c r="DG15" i="14"/>
  <c r="DC15" i="14"/>
  <c r="DB15" i="14"/>
  <c r="CX15" i="14"/>
  <c r="CW15" i="14"/>
  <c r="CS15" i="14"/>
  <c r="CR15" i="14"/>
  <c r="CN15" i="14"/>
  <c r="CM15" i="14"/>
  <c r="CI15" i="14"/>
  <c r="CH15" i="14"/>
  <c r="CD15" i="14"/>
  <c r="CC15" i="14"/>
  <c r="BY15" i="14"/>
  <c r="BX15" i="14"/>
  <c r="BT15" i="14"/>
  <c r="BS15" i="14"/>
  <c r="BO15" i="14"/>
  <c r="BN15" i="14"/>
  <c r="BJ15" i="14"/>
  <c r="BI15" i="14"/>
  <c r="BE15" i="14"/>
  <c r="BD15" i="14"/>
  <c r="AZ15" i="14"/>
  <c r="AY15" i="14"/>
  <c r="AU15" i="14"/>
  <c r="AT15" i="14"/>
  <c r="AP15" i="14"/>
  <c r="AO15" i="14"/>
  <c r="AK15" i="14"/>
  <c r="AJ15" i="14"/>
  <c r="AF15" i="14"/>
  <c r="AE15" i="14"/>
  <c r="AA15" i="14"/>
  <c r="Z15" i="14"/>
  <c r="V15" i="14"/>
  <c r="U15" i="14"/>
  <c r="Q15" i="14"/>
  <c r="P15" i="14"/>
  <c r="L15" i="14"/>
  <c r="K15" i="14"/>
  <c r="G15" i="14"/>
  <c r="F15" i="14"/>
  <c r="C15" i="14"/>
  <c r="B15" i="14"/>
  <c r="A15" i="14"/>
  <c r="EV14" i="14"/>
  <c r="EU14" i="14"/>
  <c r="EQ14" i="14"/>
  <c r="EP14" i="14"/>
  <c r="EL14" i="14"/>
  <c r="EK14" i="14"/>
  <c r="EG14" i="14"/>
  <c r="EF14" i="14"/>
  <c r="EB14" i="14"/>
  <c r="EA14" i="14"/>
  <c r="DW14" i="14"/>
  <c r="DV14" i="14"/>
  <c r="DR14" i="14"/>
  <c r="DQ14" i="14"/>
  <c r="DM14" i="14"/>
  <c r="DL14" i="14"/>
  <c r="DH14" i="14"/>
  <c r="DG14" i="14"/>
  <c r="DC14" i="14"/>
  <c r="DB14" i="14"/>
  <c r="CX14" i="14"/>
  <c r="CW14" i="14"/>
  <c r="CS14" i="14"/>
  <c r="CR14" i="14"/>
  <c r="CN14" i="14"/>
  <c r="CM14" i="14"/>
  <c r="CI14" i="14"/>
  <c r="CH14" i="14"/>
  <c r="CD14" i="14"/>
  <c r="CC14" i="14"/>
  <c r="BY14" i="14"/>
  <c r="BX14" i="14"/>
  <c r="BT14" i="14"/>
  <c r="BS14" i="14"/>
  <c r="BO14" i="14"/>
  <c r="BN14" i="14"/>
  <c r="BJ14" i="14"/>
  <c r="BI14" i="14"/>
  <c r="BE14" i="14"/>
  <c r="BD14" i="14"/>
  <c r="AZ14" i="14"/>
  <c r="AY14" i="14"/>
  <c r="AU14" i="14"/>
  <c r="AT14" i="14"/>
  <c r="AP14" i="14"/>
  <c r="AO14" i="14"/>
  <c r="AK14" i="14"/>
  <c r="AJ14" i="14"/>
  <c r="AF14" i="14"/>
  <c r="AE14" i="14"/>
  <c r="AA14" i="14"/>
  <c r="Z14" i="14"/>
  <c r="V14" i="14"/>
  <c r="U14" i="14"/>
  <c r="Q14" i="14"/>
  <c r="P14" i="14"/>
  <c r="L14" i="14"/>
  <c r="K14" i="14"/>
  <c r="G14" i="14"/>
  <c r="F14" i="14"/>
  <c r="C14" i="14"/>
  <c r="B14" i="14"/>
  <c r="A14" i="14"/>
  <c r="EV13" i="14"/>
  <c r="EU13" i="14"/>
  <c r="EQ13" i="14"/>
  <c r="EP13" i="14"/>
  <c r="EL13" i="14"/>
  <c r="EK13" i="14"/>
  <c r="EG13" i="14"/>
  <c r="EF13" i="14"/>
  <c r="EB13" i="14"/>
  <c r="EA13" i="14"/>
  <c r="DW13" i="14"/>
  <c r="DV13" i="14"/>
  <c r="DR13" i="14"/>
  <c r="DQ13" i="14"/>
  <c r="DM13" i="14"/>
  <c r="DL13" i="14"/>
  <c r="DH13" i="14"/>
  <c r="DG13" i="14"/>
  <c r="DC13" i="14"/>
  <c r="DB13" i="14"/>
  <c r="CX13" i="14"/>
  <c r="CW13" i="14"/>
  <c r="CS13" i="14"/>
  <c r="CR13" i="14"/>
  <c r="CN13" i="14"/>
  <c r="CM13" i="14"/>
  <c r="CI13" i="14"/>
  <c r="CH13" i="14"/>
  <c r="CD13" i="14"/>
  <c r="CC13" i="14"/>
  <c r="BY13" i="14"/>
  <c r="BX13" i="14"/>
  <c r="BT13" i="14"/>
  <c r="BS13" i="14"/>
  <c r="BO13" i="14"/>
  <c r="BN13" i="14"/>
  <c r="BJ13" i="14"/>
  <c r="BI13" i="14"/>
  <c r="BE13" i="14"/>
  <c r="BD13" i="14"/>
  <c r="AZ13" i="14"/>
  <c r="AY13" i="14"/>
  <c r="AU13" i="14"/>
  <c r="AT13" i="14"/>
  <c r="AP13" i="14"/>
  <c r="AO13" i="14"/>
  <c r="AK13" i="14"/>
  <c r="AJ13" i="14"/>
  <c r="AF13" i="14"/>
  <c r="AE13" i="14"/>
  <c r="AA13" i="14"/>
  <c r="Z13" i="14"/>
  <c r="V13" i="14"/>
  <c r="U13" i="14"/>
  <c r="Q13" i="14"/>
  <c r="P13" i="14"/>
  <c r="L13" i="14"/>
  <c r="K13" i="14"/>
  <c r="G13" i="14"/>
  <c r="F13" i="14"/>
  <c r="C13" i="14"/>
  <c r="B13" i="14"/>
  <c r="A13" i="14"/>
  <c r="EV12" i="14"/>
  <c r="EU12" i="14"/>
  <c r="EQ12" i="14"/>
  <c r="EP12" i="14"/>
  <c r="EL12" i="14"/>
  <c r="EK12" i="14"/>
  <c r="EG12" i="14"/>
  <c r="EF12" i="14"/>
  <c r="EB12" i="14"/>
  <c r="EA12" i="14"/>
  <c r="DW12" i="14"/>
  <c r="DV12" i="14"/>
  <c r="DR12" i="14"/>
  <c r="DQ12" i="14"/>
  <c r="DM12" i="14"/>
  <c r="DL12" i="14"/>
  <c r="DH12" i="14"/>
  <c r="DG12" i="14"/>
  <c r="DC12" i="14"/>
  <c r="DB12" i="14"/>
  <c r="CX12" i="14"/>
  <c r="CW12" i="14"/>
  <c r="CS12" i="14"/>
  <c r="CR12" i="14"/>
  <c r="CN12" i="14"/>
  <c r="CM12" i="14"/>
  <c r="CI12" i="14"/>
  <c r="CH12" i="14"/>
  <c r="CD12" i="14"/>
  <c r="CC12" i="14"/>
  <c r="BY12" i="14"/>
  <c r="BX12" i="14"/>
  <c r="BT12" i="14"/>
  <c r="BS12" i="14"/>
  <c r="BO12" i="14"/>
  <c r="BN12" i="14"/>
  <c r="BJ12" i="14"/>
  <c r="BI12" i="14"/>
  <c r="BE12" i="14"/>
  <c r="BD12" i="14"/>
  <c r="AZ12" i="14"/>
  <c r="AY12" i="14"/>
  <c r="AU12" i="14"/>
  <c r="AT12" i="14"/>
  <c r="AP12" i="14"/>
  <c r="AO12" i="14"/>
  <c r="AK12" i="14"/>
  <c r="AJ12" i="14"/>
  <c r="AF12" i="14"/>
  <c r="AE12" i="14"/>
  <c r="AA12" i="14"/>
  <c r="Z12" i="14"/>
  <c r="V12" i="14"/>
  <c r="U12" i="14"/>
  <c r="Q12" i="14"/>
  <c r="P12" i="14"/>
  <c r="L12" i="14"/>
  <c r="K12" i="14"/>
  <c r="G12" i="14"/>
  <c r="F12" i="14"/>
  <c r="C12" i="14"/>
  <c r="B12" i="14"/>
  <c r="A12" i="14"/>
  <c r="EV11" i="14"/>
  <c r="EU11" i="14"/>
  <c r="EQ11" i="14"/>
  <c r="EP11" i="14"/>
  <c r="EL11" i="14"/>
  <c r="EK11" i="14"/>
  <c r="EG11" i="14"/>
  <c r="EF11" i="14"/>
  <c r="EB11" i="14"/>
  <c r="EA11" i="14"/>
  <c r="DW11" i="14"/>
  <c r="DV11" i="14"/>
  <c r="DR11" i="14"/>
  <c r="DQ11" i="14"/>
  <c r="DM11" i="14"/>
  <c r="DL11" i="14"/>
  <c r="DH11" i="14"/>
  <c r="DG11" i="14"/>
  <c r="DC11" i="14"/>
  <c r="DB11" i="14"/>
  <c r="CX11" i="14"/>
  <c r="CW11" i="14"/>
  <c r="CS11" i="14"/>
  <c r="CR11" i="14"/>
  <c r="CN11" i="14"/>
  <c r="CM11" i="14"/>
  <c r="CI11" i="14"/>
  <c r="CH11" i="14"/>
  <c r="CD11" i="14"/>
  <c r="CC11" i="14"/>
  <c r="BY11" i="14"/>
  <c r="BX11" i="14"/>
  <c r="BT11" i="14"/>
  <c r="BS11" i="14"/>
  <c r="BO11" i="14"/>
  <c r="BN11" i="14"/>
  <c r="BJ11" i="14"/>
  <c r="BI11" i="14"/>
  <c r="BE11" i="14"/>
  <c r="BD11" i="14"/>
  <c r="AZ11" i="14"/>
  <c r="AY11" i="14"/>
  <c r="AU11" i="14"/>
  <c r="AT11" i="14"/>
  <c r="AP11" i="14"/>
  <c r="AO11" i="14"/>
  <c r="AK11" i="14"/>
  <c r="AJ11" i="14"/>
  <c r="AF11" i="14"/>
  <c r="AE11" i="14"/>
  <c r="AA11" i="14"/>
  <c r="Z11" i="14"/>
  <c r="V11" i="14"/>
  <c r="U11" i="14"/>
  <c r="Q11" i="14"/>
  <c r="P11" i="14"/>
  <c r="L11" i="14"/>
  <c r="K11" i="14"/>
  <c r="G11" i="14"/>
  <c r="F11" i="14"/>
  <c r="C11" i="14"/>
  <c r="B11" i="14"/>
  <c r="A11" i="14"/>
  <c r="EV10" i="14"/>
  <c r="EU10" i="14"/>
  <c r="EQ10" i="14"/>
  <c r="EP10" i="14"/>
  <c r="EL10" i="14"/>
  <c r="EK10" i="14"/>
  <c r="EG10" i="14"/>
  <c r="EF10" i="14"/>
  <c r="EB10" i="14"/>
  <c r="EA10" i="14"/>
  <c r="DW10" i="14"/>
  <c r="DV10" i="14"/>
  <c r="DR10" i="14"/>
  <c r="DQ10" i="14"/>
  <c r="DM10" i="14"/>
  <c r="DL10" i="14"/>
  <c r="DH10" i="14"/>
  <c r="DG10" i="14"/>
  <c r="DC10" i="14"/>
  <c r="DB10" i="14"/>
  <c r="CX10" i="14"/>
  <c r="CW10" i="14"/>
  <c r="CS10" i="14"/>
  <c r="CR10" i="14"/>
  <c r="CN10" i="14"/>
  <c r="CM10" i="14"/>
  <c r="CI10" i="14"/>
  <c r="CH10" i="14"/>
  <c r="CD10" i="14"/>
  <c r="CC10" i="14"/>
  <c r="BY10" i="14"/>
  <c r="BX10" i="14"/>
  <c r="BT10" i="14"/>
  <c r="BS10" i="14"/>
  <c r="BO10" i="14"/>
  <c r="BN10" i="14"/>
  <c r="BJ10" i="14"/>
  <c r="BI10" i="14"/>
  <c r="BE10" i="14"/>
  <c r="BD10" i="14"/>
  <c r="AZ10" i="14"/>
  <c r="AY10" i="14"/>
  <c r="AU10" i="14"/>
  <c r="AT10" i="14"/>
  <c r="AP10" i="14"/>
  <c r="AO10" i="14"/>
  <c r="AK10" i="14"/>
  <c r="AJ10" i="14"/>
  <c r="AF10" i="14"/>
  <c r="AE10" i="14"/>
  <c r="AA10" i="14"/>
  <c r="Z10" i="14"/>
  <c r="V10" i="14"/>
  <c r="U10" i="14"/>
  <c r="Q10" i="14"/>
  <c r="P10" i="14"/>
  <c r="L10" i="14"/>
  <c r="K10" i="14"/>
  <c r="G10" i="14"/>
  <c r="F10" i="14"/>
  <c r="C10" i="14"/>
  <c r="B10" i="14"/>
  <c r="A10" i="14"/>
  <c r="EV9" i="14"/>
  <c r="EU9" i="14"/>
  <c r="EQ9" i="14"/>
  <c r="EP9" i="14"/>
  <c r="EL9" i="14"/>
  <c r="EK9" i="14"/>
  <c r="EG9" i="14"/>
  <c r="EF9" i="14"/>
  <c r="EB9" i="14"/>
  <c r="EA9" i="14"/>
  <c r="DW9" i="14"/>
  <c r="DV9" i="14"/>
  <c r="DR9" i="14"/>
  <c r="DQ9" i="14"/>
  <c r="DM9" i="14"/>
  <c r="DL9" i="14"/>
  <c r="DH9" i="14"/>
  <c r="DG9" i="14"/>
  <c r="DC9" i="14"/>
  <c r="DB9" i="14"/>
  <c r="CX9" i="14"/>
  <c r="CW9" i="14"/>
  <c r="CS9" i="14"/>
  <c r="CR9" i="14"/>
  <c r="CN9" i="14"/>
  <c r="CM9" i="14"/>
  <c r="CI9" i="14"/>
  <c r="CH9" i="14"/>
  <c r="CD9" i="14"/>
  <c r="CC9" i="14"/>
  <c r="BY9" i="14"/>
  <c r="BX9" i="14"/>
  <c r="BT9" i="14"/>
  <c r="BS9" i="14"/>
  <c r="BO9" i="14"/>
  <c r="BN9" i="14"/>
  <c r="BJ9" i="14"/>
  <c r="BI9" i="14"/>
  <c r="BE9" i="14"/>
  <c r="BD9" i="14"/>
  <c r="AZ9" i="14"/>
  <c r="AY9" i="14"/>
  <c r="AU9" i="14"/>
  <c r="AT9" i="14"/>
  <c r="AP9" i="14"/>
  <c r="AO9" i="14"/>
  <c r="AK9" i="14"/>
  <c r="AJ9" i="14"/>
  <c r="AF9" i="14"/>
  <c r="AE9" i="14"/>
  <c r="AA9" i="14"/>
  <c r="Z9" i="14"/>
  <c r="V9" i="14"/>
  <c r="U9" i="14"/>
  <c r="Q9" i="14"/>
  <c r="P9" i="14"/>
  <c r="L9" i="14"/>
  <c r="K9" i="14"/>
  <c r="G9" i="14"/>
  <c r="F9" i="14"/>
  <c r="C9" i="14"/>
  <c r="B9" i="14"/>
  <c r="A9" i="14"/>
  <c r="EV8" i="14"/>
  <c r="EU8" i="14"/>
  <c r="EQ8" i="14"/>
  <c r="EP8" i="14"/>
  <c r="EL8" i="14"/>
  <c r="EK8" i="14"/>
  <c r="EG8" i="14"/>
  <c r="EF8" i="14"/>
  <c r="EB8" i="14"/>
  <c r="EA8" i="14"/>
  <c r="DW8" i="14"/>
  <c r="DV8" i="14"/>
  <c r="DR8" i="14"/>
  <c r="DQ8" i="14"/>
  <c r="DM8" i="14"/>
  <c r="DL8" i="14"/>
  <c r="DH8" i="14"/>
  <c r="DG8" i="14"/>
  <c r="DC8" i="14"/>
  <c r="DB8" i="14"/>
  <c r="CX8" i="14"/>
  <c r="CW8" i="14"/>
  <c r="CS8" i="14"/>
  <c r="CR8" i="14"/>
  <c r="CN8" i="14"/>
  <c r="CM8" i="14"/>
  <c r="CI8" i="14"/>
  <c r="CH8" i="14"/>
  <c r="CD8" i="14"/>
  <c r="CC8" i="14"/>
  <c r="BY8" i="14"/>
  <c r="BX8" i="14"/>
  <c r="BT8" i="14"/>
  <c r="BS8" i="14"/>
  <c r="BO8" i="14"/>
  <c r="BN8" i="14"/>
  <c r="BJ8" i="14"/>
  <c r="BI8" i="14"/>
  <c r="BE8" i="14"/>
  <c r="BD8" i="14"/>
  <c r="AZ8" i="14"/>
  <c r="AY8" i="14"/>
  <c r="AU8" i="14"/>
  <c r="AT8" i="14"/>
  <c r="AP8" i="14"/>
  <c r="AO8" i="14"/>
  <c r="AK8" i="14"/>
  <c r="AJ8" i="14"/>
  <c r="AF8" i="14"/>
  <c r="AE8" i="14"/>
  <c r="AA8" i="14"/>
  <c r="Z8" i="14"/>
  <c r="V8" i="14"/>
  <c r="U8" i="14"/>
  <c r="Q8" i="14"/>
  <c r="P8" i="14"/>
  <c r="L8" i="14"/>
  <c r="K8" i="14"/>
  <c r="G8" i="14"/>
  <c r="F8" i="14"/>
  <c r="C8" i="14"/>
  <c r="B8" i="14"/>
  <c r="A8" i="14"/>
  <c r="EV7" i="14"/>
  <c r="EU7" i="14"/>
  <c r="EQ7" i="14"/>
  <c r="EP7" i="14"/>
  <c r="EL7" i="14"/>
  <c r="EK7" i="14"/>
  <c r="EG7" i="14"/>
  <c r="EF7" i="14"/>
  <c r="EB7" i="14"/>
  <c r="EA7" i="14"/>
  <c r="DW7" i="14"/>
  <c r="DV7" i="14"/>
  <c r="DR7" i="14"/>
  <c r="DQ7" i="14"/>
  <c r="DM7" i="14"/>
  <c r="DL7" i="14"/>
  <c r="DH7" i="14"/>
  <c r="DG7" i="14"/>
  <c r="DC7" i="14"/>
  <c r="DB7" i="14"/>
  <c r="CX7" i="14"/>
  <c r="CW7" i="14"/>
  <c r="CS7" i="14"/>
  <c r="CR7" i="14"/>
  <c r="CN7" i="14"/>
  <c r="CM7" i="14"/>
  <c r="CI7" i="14"/>
  <c r="CH7" i="14"/>
  <c r="CD7" i="14"/>
  <c r="CC7" i="14"/>
  <c r="BY7" i="14"/>
  <c r="BX7" i="14"/>
  <c r="BT7" i="14"/>
  <c r="BS7" i="14"/>
  <c r="BO7" i="14"/>
  <c r="BN7" i="14"/>
  <c r="BJ7" i="14"/>
  <c r="BI7" i="14"/>
  <c r="BE7" i="14"/>
  <c r="BD7" i="14"/>
  <c r="AZ7" i="14"/>
  <c r="AY7" i="14"/>
  <c r="AU7" i="14"/>
  <c r="AT7" i="14"/>
  <c r="AP7" i="14"/>
  <c r="AO7" i="14"/>
  <c r="AK7" i="14"/>
  <c r="AJ7" i="14"/>
  <c r="AF7" i="14"/>
  <c r="AE7" i="14"/>
  <c r="AA7" i="14"/>
  <c r="Z7" i="14"/>
  <c r="V7" i="14"/>
  <c r="U7" i="14"/>
  <c r="Q7" i="14"/>
  <c r="P7" i="14"/>
  <c r="L7" i="14"/>
  <c r="K7" i="14"/>
  <c r="G7" i="14"/>
  <c r="F7" i="14"/>
  <c r="C7" i="14"/>
  <c r="B7" i="14"/>
  <c r="A7" i="14"/>
  <c r="EV6" i="14"/>
  <c r="EU6" i="14"/>
  <c r="EQ6" i="14"/>
  <c r="EP6" i="14"/>
  <c r="EL6" i="14"/>
  <c r="EK6" i="14"/>
  <c r="EG6" i="14"/>
  <c r="EF6" i="14"/>
  <c r="EB6" i="14"/>
  <c r="EA6" i="14"/>
  <c r="DW6" i="14"/>
  <c r="DV6" i="14"/>
  <c r="DR6" i="14"/>
  <c r="DQ6" i="14"/>
  <c r="DM6" i="14"/>
  <c r="DL6" i="14"/>
  <c r="DH6" i="14"/>
  <c r="DG6" i="14"/>
  <c r="DC6" i="14"/>
  <c r="DB6" i="14"/>
  <c r="CX6" i="14"/>
  <c r="CW6" i="14"/>
  <c r="CS6" i="14"/>
  <c r="CR6" i="14"/>
  <c r="CN6" i="14"/>
  <c r="CM6" i="14"/>
  <c r="CI6" i="14"/>
  <c r="CH6" i="14"/>
  <c r="CD6" i="14"/>
  <c r="CC6" i="14"/>
  <c r="BY6" i="14"/>
  <c r="BX6" i="14"/>
  <c r="BT6" i="14"/>
  <c r="BS6" i="14"/>
  <c r="BO6" i="14"/>
  <c r="BN6" i="14"/>
  <c r="BJ6" i="14"/>
  <c r="BI6" i="14"/>
  <c r="BE6" i="14"/>
  <c r="BD6" i="14"/>
  <c r="AZ6" i="14"/>
  <c r="AY6" i="14"/>
  <c r="AU6" i="14"/>
  <c r="AT6" i="14"/>
  <c r="AP6" i="14"/>
  <c r="AO6" i="14"/>
  <c r="AK6" i="14"/>
  <c r="AJ6" i="14"/>
  <c r="AF6" i="14"/>
  <c r="AE6" i="14"/>
  <c r="AA6" i="14"/>
  <c r="Z6" i="14"/>
  <c r="V6" i="14"/>
  <c r="U6" i="14"/>
  <c r="Q6" i="14"/>
  <c r="P6" i="14"/>
  <c r="L6" i="14"/>
  <c r="K6" i="14"/>
  <c r="G6" i="14"/>
  <c r="F6" i="14"/>
  <c r="C6" i="14"/>
  <c r="B6" i="14"/>
  <c r="A6" i="14"/>
  <c r="EV5" i="14"/>
  <c r="EU5" i="14"/>
  <c r="EQ5" i="14"/>
  <c r="EP5" i="14"/>
  <c r="EL5" i="14"/>
  <c r="EK5" i="14"/>
  <c r="EG5" i="14"/>
  <c r="EF5" i="14"/>
  <c r="EB5" i="14"/>
  <c r="EA5" i="14"/>
  <c r="DW5" i="14"/>
  <c r="DV5" i="14"/>
  <c r="DR5" i="14"/>
  <c r="DQ5" i="14"/>
  <c r="DM5" i="14"/>
  <c r="DL5" i="14"/>
  <c r="DH5" i="14"/>
  <c r="DG5" i="14"/>
  <c r="DC5" i="14"/>
  <c r="DB5" i="14"/>
  <c r="CX5" i="14"/>
  <c r="CW5" i="14"/>
  <c r="CS5" i="14"/>
  <c r="CR5" i="14"/>
  <c r="CN5" i="14"/>
  <c r="CM5" i="14"/>
  <c r="CI5" i="14"/>
  <c r="CH5" i="14"/>
  <c r="CD5" i="14"/>
  <c r="CC5" i="14"/>
  <c r="BY5" i="14"/>
  <c r="BX5" i="14"/>
  <c r="BT5" i="14"/>
  <c r="BS5" i="14"/>
  <c r="BO5" i="14"/>
  <c r="BN5" i="14"/>
  <c r="BJ5" i="14"/>
  <c r="BI5" i="14"/>
  <c r="BE5" i="14"/>
  <c r="BD5" i="14"/>
  <c r="AZ5" i="14"/>
  <c r="AY5" i="14"/>
  <c r="AU5" i="14"/>
  <c r="AT5" i="14"/>
  <c r="AP5" i="14"/>
  <c r="AO5" i="14"/>
  <c r="AK5" i="14"/>
  <c r="AJ5" i="14"/>
  <c r="AF5" i="14"/>
  <c r="AE5" i="14"/>
  <c r="AA5" i="14"/>
  <c r="Z5" i="14"/>
  <c r="V5" i="14"/>
  <c r="U5" i="14"/>
  <c r="Q5" i="14"/>
  <c r="P5" i="14"/>
  <c r="L5" i="14"/>
  <c r="K5" i="14"/>
  <c r="G5" i="14"/>
  <c r="F5" i="14"/>
  <c r="C5" i="14"/>
  <c r="B5" i="14"/>
  <c r="A5" i="14"/>
  <c r="EV4" i="14"/>
  <c r="EU4" i="14"/>
  <c r="EQ4" i="14"/>
  <c r="EP4" i="14"/>
  <c r="EL4" i="14"/>
  <c r="EK4" i="14"/>
  <c r="EG4" i="14"/>
  <c r="EF4" i="14"/>
  <c r="EB4" i="14"/>
  <c r="EA4" i="14"/>
  <c r="DW4" i="14"/>
  <c r="DV4" i="14"/>
  <c r="DR4" i="14"/>
  <c r="DQ4" i="14"/>
  <c r="DM4" i="14"/>
  <c r="DL4" i="14"/>
  <c r="DH4" i="14"/>
  <c r="DG4" i="14"/>
  <c r="DC4" i="14"/>
  <c r="DB4" i="14"/>
  <c r="CX4" i="14"/>
  <c r="CW4" i="14"/>
  <c r="CS4" i="14"/>
  <c r="CR4" i="14"/>
  <c r="CN4" i="14"/>
  <c r="CM4" i="14"/>
  <c r="CI4" i="14"/>
  <c r="CH4" i="14"/>
  <c r="CD4" i="14"/>
  <c r="CC4" i="14"/>
  <c r="BY4" i="14"/>
  <c r="BX4" i="14"/>
  <c r="BT4" i="14"/>
  <c r="BS4" i="14"/>
  <c r="BO4" i="14"/>
  <c r="BN4" i="14"/>
  <c r="BJ4" i="14"/>
  <c r="BI4" i="14"/>
  <c r="BE4" i="14"/>
  <c r="BD4" i="14"/>
  <c r="AZ4" i="14"/>
  <c r="AY4" i="14"/>
  <c r="AU4" i="14"/>
  <c r="AT4" i="14"/>
  <c r="AP4" i="14"/>
  <c r="AO4" i="14"/>
  <c r="AK4" i="14"/>
  <c r="AJ4" i="14"/>
  <c r="AF4" i="14"/>
  <c r="AE4" i="14"/>
  <c r="AA4" i="14"/>
  <c r="Z4" i="14"/>
  <c r="V4" i="14"/>
  <c r="U4" i="14"/>
  <c r="Q4" i="14"/>
  <c r="P4" i="14"/>
  <c r="L4" i="14"/>
  <c r="K4" i="14"/>
  <c r="G4" i="14"/>
  <c r="F4" i="14"/>
  <c r="C4" i="14"/>
  <c r="B4" i="14"/>
  <c r="A4" i="14"/>
  <c r="ES2" i="14"/>
  <c r="EN2" i="14"/>
  <c r="EI2" i="14"/>
  <c r="ED2" i="14"/>
  <c r="DY2" i="14"/>
  <c r="DT2" i="14"/>
  <c r="DO2" i="14"/>
  <c r="DJ2" i="14"/>
  <c r="DE2" i="14"/>
  <c r="CZ2" i="14"/>
  <c r="CU2" i="14"/>
  <c r="CP2" i="14"/>
  <c r="CK2" i="14"/>
  <c r="CF2" i="14"/>
  <c r="CA2" i="14"/>
  <c r="BV2" i="14"/>
  <c r="BQ2" i="14"/>
  <c r="BL2" i="14"/>
  <c r="BG2" i="14"/>
  <c r="BB2" i="14"/>
  <c r="AW2" i="14"/>
  <c r="AR2" i="14"/>
  <c r="AM2" i="14"/>
  <c r="AH2" i="14"/>
  <c r="AC2" i="14"/>
  <c r="X2" i="14"/>
  <c r="S2" i="14"/>
  <c r="N2" i="14"/>
  <c r="I2" i="14"/>
  <c r="D2" i="14"/>
  <c r="A1" i="14"/>
  <c r="ES40" i="13"/>
  <c r="EN40" i="13"/>
  <c r="EI40" i="13"/>
  <c r="ED40" i="13"/>
  <c r="DY40" i="13"/>
  <c r="DT40" i="13"/>
  <c r="DO40" i="13"/>
  <c r="DJ40" i="13"/>
  <c r="DE40" i="13"/>
  <c r="CZ40" i="13"/>
  <c r="CU40" i="13"/>
  <c r="CP40" i="13"/>
  <c r="CK40" i="13"/>
  <c r="CF40" i="13"/>
  <c r="CA40" i="13"/>
  <c r="BV40" i="13"/>
  <c r="BQ40" i="13"/>
  <c r="BL40" i="13"/>
  <c r="BG40" i="13"/>
  <c r="BB40" i="13"/>
  <c r="AW40" i="13"/>
  <c r="AR40" i="13"/>
  <c r="AM40" i="13"/>
  <c r="AH40" i="13"/>
  <c r="AC40" i="13"/>
  <c r="X40" i="13"/>
  <c r="S40" i="13"/>
  <c r="N40" i="13"/>
  <c r="I40" i="13"/>
  <c r="D40" i="13"/>
  <c r="ES39" i="13"/>
  <c r="EN39" i="13"/>
  <c r="EI39" i="13"/>
  <c r="ED39" i="13"/>
  <c r="DY39" i="13"/>
  <c r="DT39" i="13"/>
  <c r="DO39" i="13"/>
  <c r="DJ39" i="13"/>
  <c r="DE39" i="13"/>
  <c r="CZ39" i="13"/>
  <c r="CU39" i="13"/>
  <c r="CP39" i="13"/>
  <c r="CK39" i="13"/>
  <c r="CF39" i="13"/>
  <c r="CA39" i="13"/>
  <c r="BV39" i="13"/>
  <c r="BQ39" i="13"/>
  <c r="BL39" i="13"/>
  <c r="BG39" i="13"/>
  <c r="BB39" i="13"/>
  <c r="AW39" i="13"/>
  <c r="AR39" i="13"/>
  <c r="AM39" i="13"/>
  <c r="AH39" i="13"/>
  <c r="AC39" i="13"/>
  <c r="X39" i="13"/>
  <c r="S39" i="13"/>
  <c r="N39" i="13"/>
  <c r="I39" i="13"/>
  <c r="D39" i="13"/>
  <c r="ES38" i="13"/>
  <c r="EN38" i="13"/>
  <c r="EI38" i="13"/>
  <c r="ED38" i="13"/>
  <c r="DY38" i="13"/>
  <c r="DT38" i="13"/>
  <c r="DO38" i="13"/>
  <c r="DJ38" i="13"/>
  <c r="DE38" i="13"/>
  <c r="CZ38" i="13"/>
  <c r="CU38" i="13"/>
  <c r="CP38" i="13"/>
  <c r="CK38" i="13"/>
  <c r="CF38" i="13"/>
  <c r="CA38" i="13"/>
  <c r="BV38" i="13"/>
  <c r="BQ38" i="13"/>
  <c r="BL38" i="13"/>
  <c r="BG38" i="13"/>
  <c r="BB38" i="13"/>
  <c r="AW38" i="13"/>
  <c r="AR38" i="13"/>
  <c r="AM38" i="13"/>
  <c r="AH38" i="13"/>
  <c r="AC38" i="13"/>
  <c r="X38" i="13"/>
  <c r="S38" i="13"/>
  <c r="N38" i="13"/>
  <c r="I38" i="13"/>
  <c r="D38" i="13"/>
  <c r="ES37" i="13"/>
  <c r="EN37" i="13"/>
  <c r="EI37" i="13"/>
  <c r="ED37" i="13"/>
  <c r="DY37" i="13"/>
  <c r="DT37" i="13"/>
  <c r="DO37" i="13"/>
  <c r="DJ37" i="13"/>
  <c r="DE37" i="13"/>
  <c r="CZ37" i="13"/>
  <c r="CU37" i="13"/>
  <c r="CP37" i="13"/>
  <c r="CK37" i="13"/>
  <c r="CF37" i="13"/>
  <c r="CA37" i="13"/>
  <c r="BV37" i="13"/>
  <c r="BQ37" i="13"/>
  <c r="BL37" i="13"/>
  <c r="BG37" i="13"/>
  <c r="BB37" i="13"/>
  <c r="AW37" i="13"/>
  <c r="AR37" i="13"/>
  <c r="AM37" i="13"/>
  <c r="AH37" i="13"/>
  <c r="AC37" i="13"/>
  <c r="X37" i="13"/>
  <c r="S37" i="13"/>
  <c r="N37" i="13"/>
  <c r="I37" i="13"/>
  <c r="D37" i="13"/>
  <c r="ES36" i="13"/>
  <c r="EN36" i="13"/>
  <c r="EI36" i="13"/>
  <c r="ED36" i="13"/>
  <c r="DY36" i="13"/>
  <c r="DT36" i="13"/>
  <c r="DO36" i="13"/>
  <c r="DJ36" i="13"/>
  <c r="DE36" i="13"/>
  <c r="CZ36" i="13"/>
  <c r="CU36" i="13"/>
  <c r="CP36" i="13"/>
  <c r="CK36" i="13"/>
  <c r="CF36" i="13"/>
  <c r="CA36" i="13"/>
  <c r="BV36" i="13"/>
  <c r="BQ36" i="13"/>
  <c r="BL36" i="13"/>
  <c r="BG36" i="13"/>
  <c r="BB36" i="13"/>
  <c r="AW36" i="13"/>
  <c r="AR36" i="13"/>
  <c r="AM36" i="13"/>
  <c r="AH36" i="13"/>
  <c r="AC36" i="13"/>
  <c r="X36" i="13"/>
  <c r="S36" i="13"/>
  <c r="N36" i="13"/>
  <c r="I36" i="13"/>
  <c r="D36" i="13"/>
  <c r="ES35" i="13"/>
  <c r="EN35" i="13"/>
  <c r="EI35" i="13"/>
  <c r="ED35" i="13"/>
  <c r="DY35" i="13"/>
  <c r="DT35" i="13"/>
  <c r="DO35" i="13"/>
  <c r="DJ35" i="13"/>
  <c r="DE35" i="13"/>
  <c r="CZ35" i="13"/>
  <c r="CU35" i="13"/>
  <c r="CP35" i="13"/>
  <c r="CK35" i="13"/>
  <c r="CF35" i="13"/>
  <c r="CA35" i="13"/>
  <c r="BV35" i="13"/>
  <c r="BQ35" i="13"/>
  <c r="BL35" i="13"/>
  <c r="BG35" i="13"/>
  <c r="BB35" i="13"/>
  <c r="AW35" i="13"/>
  <c r="AR35" i="13"/>
  <c r="AM35" i="13"/>
  <c r="AH35" i="13"/>
  <c r="AC35" i="13"/>
  <c r="X35" i="13"/>
  <c r="S35" i="13"/>
  <c r="N35" i="13"/>
  <c r="I35" i="13"/>
  <c r="D35" i="13"/>
  <c r="EV34" i="13"/>
  <c r="EU34" i="13"/>
  <c r="EQ34" i="13"/>
  <c r="EP34" i="13"/>
  <c r="EL34" i="13"/>
  <c r="EK34" i="13"/>
  <c r="EG34" i="13"/>
  <c r="EF34" i="13"/>
  <c r="EB34" i="13"/>
  <c r="EA34" i="13"/>
  <c r="DW34" i="13"/>
  <c r="DV34" i="13"/>
  <c r="DR34" i="13"/>
  <c r="DQ34" i="13"/>
  <c r="DM34" i="13"/>
  <c r="DL34" i="13"/>
  <c r="DH34" i="13"/>
  <c r="DG34" i="13"/>
  <c r="DC34" i="13"/>
  <c r="DB34" i="13"/>
  <c r="CX34" i="13"/>
  <c r="CW34" i="13"/>
  <c r="CS34" i="13"/>
  <c r="CR34" i="13"/>
  <c r="CN34" i="13"/>
  <c r="CM34" i="13"/>
  <c r="CI34" i="13"/>
  <c r="CH34" i="13"/>
  <c r="CD34" i="13"/>
  <c r="CC34" i="13"/>
  <c r="BY34" i="13"/>
  <c r="BX34" i="13"/>
  <c r="BT34" i="13"/>
  <c r="BS34" i="13"/>
  <c r="BO34" i="13"/>
  <c r="BN34" i="13"/>
  <c r="BJ34" i="13"/>
  <c r="BI34" i="13"/>
  <c r="BE34" i="13"/>
  <c r="BD34" i="13"/>
  <c r="AZ34" i="13"/>
  <c r="AY34" i="13"/>
  <c r="AU34" i="13"/>
  <c r="AT34" i="13"/>
  <c r="AP34" i="13"/>
  <c r="AO34" i="13"/>
  <c r="AK34" i="13"/>
  <c r="AJ34" i="13"/>
  <c r="AF34" i="13"/>
  <c r="AE34" i="13"/>
  <c r="AA34" i="13"/>
  <c r="Z34" i="13"/>
  <c r="V34" i="13"/>
  <c r="U34" i="13"/>
  <c r="Q34" i="13"/>
  <c r="P34" i="13"/>
  <c r="L34" i="13"/>
  <c r="K34" i="13"/>
  <c r="G34" i="13"/>
  <c r="F34" i="13"/>
  <c r="C34" i="13"/>
  <c r="B34" i="13"/>
  <c r="A34" i="13"/>
  <c r="EV33" i="13"/>
  <c r="EU33" i="13"/>
  <c r="EQ33" i="13"/>
  <c r="EP33" i="13"/>
  <c r="EL33" i="13"/>
  <c r="EK33" i="13"/>
  <c r="EG33" i="13"/>
  <c r="EF33" i="13"/>
  <c r="EB33" i="13"/>
  <c r="EA33" i="13"/>
  <c r="DW33" i="13"/>
  <c r="DV33" i="13"/>
  <c r="DR33" i="13"/>
  <c r="DQ33" i="13"/>
  <c r="DM33" i="13"/>
  <c r="DL33" i="13"/>
  <c r="DH33" i="13"/>
  <c r="DG33" i="13"/>
  <c r="DC33" i="13"/>
  <c r="DB33" i="13"/>
  <c r="CX33" i="13"/>
  <c r="CW33" i="13"/>
  <c r="CS33" i="13"/>
  <c r="CR33" i="13"/>
  <c r="CN33" i="13"/>
  <c r="CM33" i="13"/>
  <c r="CI33" i="13"/>
  <c r="CH33" i="13"/>
  <c r="CD33" i="13"/>
  <c r="CC33" i="13"/>
  <c r="BY33" i="13"/>
  <c r="BX33" i="13"/>
  <c r="BT33" i="13"/>
  <c r="BS33" i="13"/>
  <c r="BO33" i="13"/>
  <c r="BN33" i="13"/>
  <c r="BJ33" i="13"/>
  <c r="BI33" i="13"/>
  <c r="BE33" i="13"/>
  <c r="BD33" i="13"/>
  <c r="AZ33" i="13"/>
  <c r="AY33" i="13"/>
  <c r="AU33" i="13"/>
  <c r="AT33" i="13"/>
  <c r="AP33" i="13"/>
  <c r="AO33" i="13"/>
  <c r="AK33" i="13"/>
  <c r="AJ33" i="13"/>
  <c r="AF33" i="13"/>
  <c r="AE33" i="13"/>
  <c r="AA33" i="13"/>
  <c r="Z33" i="13"/>
  <c r="V33" i="13"/>
  <c r="U33" i="13"/>
  <c r="Q33" i="13"/>
  <c r="P33" i="13"/>
  <c r="L33" i="13"/>
  <c r="K33" i="13"/>
  <c r="G33" i="13"/>
  <c r="F33" i="13"/>
  <c r="C33" i="13"/>
  <c r="B33" i="13"/>
  <c r="A33" i="13"/>
  <c r="EV32" i="13"/>
  <c r="EU32" i="13"/>
  <c r="EQ32" i="13"/>
  <c r="EP32" i="13"/>
  <c r="EL32" i="13"/>
  <c r="EK32" i="13"/>
  <c r="EG32" i="13"/>
  <c r="EF32" i="13"/>
  <c r="EB32" i="13"/>
  <c r="EA32" i="13"/>
  <c r="DW32" i="13"/>
  <c r="DV32" i="13"/>
  <c r="DR32" i="13"/>
  <c r="DQ32" i="13"/>
  <c r="DM32" i="13"/>
  <c r="DL32" i="13"/>
  <c r="DH32" i="13"/>
  <c r="DG32" i="13"/>
  <c r="DC32" i="13"/>
  <c r="DB32" i="13"/>
  <c r="CX32" i="13"/>
  <c r="CW32" i="13"/>
  <c r="CS32" i="13"/>
  <c r="CR32" i="13"/>
  <c r="CN32" i="13"/>
  <c r="CM32" i="13"/>
  <c r="CI32" i="13"/>
  <c r="CH32" i="13"/>
  <c r="CD32" i="13"/>
  <c r="CC32" i="13"/>
  <c r="BY32" i="13"/>
  <c r="BX32" i="13"/>
  <c r="BT32" i="13"/>
  <c r="BS32" i="13"/>
  <c r="BO32" i="13"/>
  <c r="BN32" i="13"/>
  <c r="BJ32" i="13"/>
  <c r="BI32" i="13"/>
  <c r="BE32" i="13"/>
  <c r="BD32" i="13"/>
  <c r="AZ32" i="13"/>
  <c r="AY32" i="13"/>
  <c r="AU32" i="13"/>
  <c r="AT32" i="13"/>
  <c r="AP32" i="13"/>
  <c r="AO32" i="13"/>
  <c r="AK32" i="13"/>
  <c r="AJ32" i="13"/>
  <c r="AF32" i="13"/>
  <c r="AE32" i="13"/>
  <c r="AA32" i="13"/>
  <c r="Z32" i="13"/>
  <c r="V32" i="13"/>
  <c r="U32" i="13"/>
  <c r="Q32" i="13"/>
  <c r="P32" i="13"/>
  <c r="L32" i="13"/>
  <c r="K32" i="13"/>
  <c r="G32" i="13"/>
  <c r="F32" i="13"/>
  <c r="C32" i="13"/>
  <c r="B32" i="13"/>
  <c r="A32" i="13"/>
  <c r="EV31" i="13"/>
  <c r="EU31" i="13"/>
  <c r="EQ31" i="13"/>
  <c r="EP31" i="13"/>
  <c r="EL31" i="13"/>
  <c r="EK31" i="13"/>
  <c r="EG31" i="13"/>
  <c r="EF31" i="13"/>
  <c r="EB31" i="13"/>
  <c r="EA31" i="13"/>
  <c r="DW31" i="13"/>
  <c r="DV31" i="13"/>
  <c r="DR31" i="13"/>
  <c r="DQ31" i="13"/>
  <c r="DM31" i="13"/>
  <c r="DL31" i="13"/>
  <c r="DH31" i="13"/>
  <c r="DG31" i="13"/>
  <c r="DC31" i="13"/>
  <c r="DB31" i="13"/>
  <c r="CX31" i="13"/>
  <c r="CW31" i="13"/>
  <c r="CS31" i="13"/>
  <c r="CR31" i="13"/>
  <c r="CN31" i="13"/>
  <c r="CM31" i="13"/>
  <c r="CI31" i="13"/>
  <c r="CH31" i="13"/>
  <c r="CD31" i="13"/>
  <c r="CC31" i="13"/>
  <c r="BY31" i="13"/>
  <c r="BX31" i="13"/>
  <c r="BT31" i="13"/>
  <c r="BS31" i="13"/>
  <c r="BO31" i="13"/>
  <c r="BN31" i="13"/>
  <c r="BJ31" i="13"/>
  <c r="BI31" i="13"/>
  <c r="BE31" i="13"/>
  <c r="BD31" i="13"/>
  <c r="AZ31" i="13"/>
  <c r="AY31" i="13"/>
  <c r="AU31" i="13"/>
  <c r="AT31" i="13"/>
  <c r="AP31" i="13"/>
  <c r="AO31" i="13"/>
  <c r="AK31" i="13"/>
  <c r="AJ31" i="13"/>
  <c r="AF31" i="13"/>
  <c r="AE31" i="13"/>
  <c r="AA31" i="13"/>
  <c r="Z31" i="13"/>
  <c r="V31" i="13"/>
  <c r="U31" i="13"/>
  <c r="Q31" i="13"/>
  <c r="P31" i="13"/>
  <c r="L31" i="13"/>
  <c r="K31" i="13"/>
  <c r="G31" i="13"/>
  <c r="F31" i="13"/>
  <c r="C31" i="13"/>
  <c r="B31" i="13"/>
  <c r="A31" i="13"/>
  <c r="EV30" i="13"/>
  <c r="EU30" i="13"/>
  <c r="EQ30" i="13"/>
  <c r="EP30" i="13"/>
  <c r="EL30" i="13"/>
  <c r="EK30" i="13"/>
  <c r="EG30" i="13"/>
  <c r="EF30" i="13"/>
  <c r="EB30" i="13"/>
  <c r="EA30" i="13"/>
  <c r="DW30" i="13"/>
  <c r="DV30" i="13"/>
  <c r="DR30" i="13"/>
  <c r="DQ30" i="13"/>
  <c r="DM30" i="13"/>
  <c r="DL30" i="13"/>
  <c r="DH30" i="13"/>
  <c r="DG30" i="13"/>
  <c r="DC30" i="13"/>
  <c r="DB30" i="13"/>
  <c r="CX30" i="13"/>
  <c r="CW30" i="13"/>
  <c r="CS30" i="13"/>
  <c r="CR30" i="13"/>
  <c r="CN30" i="13"/>
  <c r="CM30" i="13"/>
  <c r="CI30" i="13"/>
  <c r="CH30" i="13"/>
  <c r="CD30" i="13"/>
  <c r="CC30" i="13"/>
  <c r="BY30" i="13"/>
  <c r="BX30" i="13"/>
  <c r="BT30" i="13"/>
  <c r="BS30" i="13"/>
  <c r="BO30" i="13"/>
  <c r="BN30" i="13"/>
  <c r="BJ30" i="13"/>
  <c r="BI30" i="13"/>
  <c r="BE30" i="13"/>
  <c r="BD30" i="13"/>
  <c r="AZ30" i="13"/>
  <c r="AY30" i="13"/>
  <c r="AU30" i="13"/>
  <c r="AT30" i="13"/>
  <c r="AP30" i="13"/>
  <c r="AO30" i="13"/>
  <c r="AK30" i="13"/>
  <c r="AJ30" i="13"/>
  <c r="AF30" i="13"/>
  <c r="AE30" i="13"/>
  <c r="AA30" i="13"/>
  <c r="Z30" i="13"/>
  <c r="V30" i="13"/>
  <c r="U30" i="13"/>
  <c r="Q30" i="13"/>
  <c r="P30" i="13"/>
  <c r="L30" i="13"/>
  <c r="K30" i="13"/>
  <c r="G30" i="13"/>
  <c r="F30" i="13"/>
  <c r="C30" i="13"/>
  <c r="B30" i="13"/>
  <c r="A30" i="13"/>
  <c r="EV29" i="13"/>
  <c r="EU29" i="13"/>
  <c r="EQ29" i="13"/>
  <c r="EP29" i="13"/>
  <c r="EL29" i="13"/>
  <c r="EK29" i="13"/>
  <c r="EG29" i="13"/>
  <c r="EF29" i="13"/>
  <c r="EB29" i="13"/>
  <c r="EA29" i="13"/>
  <c r="DW29" i="13"/>
  <c r="DV29" i="13"/>
  <c r="DR29" i="13"/>
  <c r="DQ29" i="13"/>
  <c r="DM29" i="13"/>
  <c r="DL29" i="13"/>
  <c r="DH29" i="13"/>
  <c r="DG29" i="13"/>
  <c r="DC29" i="13"/>
  <c r="DB29" i="13"/>
  <c r="CX29" i="13"/>
  <c r="CW29" i="13"/>
  <c r="CS29" i="13"/>
  <c r="CR29" i="13"/>
  <c r="CN29" i="13"/>
  <c r="CM29" i="13"/>
  <c r="CI29" i="13"/>
  <c r="CH29" i="13"/>
  <c r="CD29" i="13"/>
  <c r="CC29" i="13"/>
  <c r="BY29" i="13"/>
  <c r="BX29" i="13"/>
  <c r="BT29" i="13"/>
  <c r="BS29" i="13"/>
  <c r="BO29" i="13"/>
  <c r="BN29" i="13"/>
  <c r="BJ29" i="13"/>
  <c r="BI29" i="13"/>
  <c r="BE29" i="13"/>
  <c r="BD29" i="13"/>
  <c r="AZ29" i="13"/>
  <c r="AY29" i="13"/>
  <c r="AU29" i="13"/>
  <c r="AT29" i="13"/>
  <c r="AP29" i="13"/>
  <c r="AO29" i="13"/>
  <c r="AK29" i="13"/>
  <c r="AJ29" i="13"/>
  <c r="AF29" i="13"/>
  <c r="AE29" i="13"/>
  <c r="AA29" i="13"/>
  <c r="Z29" i="13"/>
  <c r="V29" i="13"/>
  <c r="U29" i="13"/>
  <c r="Q29" i="13"/>
  <c r="P29" i="13"/>
  <c r="L29" i="13"/>
  <c r="K29" i="13"/>
  <c r="G29" i="13"/>
  <c r="F29" i="13"/>
  <c r="C29" i="13"/>
  <c r="B29" i="13"/>
  <c r="A29" i="13"/>
  <c r="EV28" i="13"/>
  <c r="EU28" i="13"/>
  <c r="EQ28" i="13"/>
  <c r="EP28" i="13"/>
  <c r="EL28" i="13"/>
  <c r="EK28" i="13"/>
  <c r="EG28" i="13"/>
  <c r="EF28" i="13"/>
  <c r="EB28" i="13"/>
  <c r="EA28" i="13"/>
  <c r="DW28" i="13"/>
  <c r="DV28" i="13"/>
  <c r="DR28" i="13"/>
  <c r="DQ28" i="13"/>
  <c r="DM28" i="13"/>
  <c r="DL28" i="13"/>
  <c r="DH28" i="13"/>
  <c r="DG28" i="13"/>
  <c r="DC28" i="13"/>
  <c r="DB28" i="13"/>
  <c r="CX28" i="13"/>
  <c r="CW28" i="13"/>
  <c r="CS28" i="13"/>
  <c r="CR28" i="13"/>
  <c r="CN28" i="13"/>
  <c r="CM28" i="13"/>
  <c r="CI28" i="13"/>
  <c r="CH28" i="13"/>
  <c r="CD28" i="13"/>
  <c r="CC28" i="13"/>
  <c r="BY28" i="13"/>
  <c r="BX28" i="13"/>
  <c r="BT28" i="13"/>
  <c r="BS28" i="13"/>
  <c r="BO28" i="13"/>
  <c r="BN28" i="13"/>
  <c r="BJ28" i="13"/>
  <c r="BI28" i="13"/>
  <c r="BE28" i="13"/>
  <c r="BD28" i="13"/>
  <c r="AZ28" i="13"/>
  <c r="AY28" i="13"/>
  <c r="AU28" i="13"/>
  <c r="AT28" i="13"/>
  <c r="AP28" i="13"/>
  <c r="AO28" i="13"/>
  <c r="AK28" i="13"/>
  <c r="AJ28" i="13"/>
  <c r="AF28" i="13"/>
  <c r="AE28" i="13"/>
  <c r="AA28" i="13"/>
  <c r="Z28" i="13"/>
  <c r="V28" i="13"/>
  <c r="U28" i="13"/>
  <c r="Q28" i="13"/>
  <c r="P28" i="13"/>
  <c r="L28" i="13"/>
  <c r="K28" i="13"/>
  <c r="G28" i="13"/>
  <c r="F28" i="13"/>
  <c r="C28" i="13"/>
  <c r="B28" i="13"/>
  <c r="A28" i="13"/>
  <c r="EV27" i="13"/>
  <c r="EU27" i="13"/>
  <c r="EQ27" i="13"/>
  <c r="EP27" i="13"/>
  <c r="EL27" i="13"/>
  <c r="EK27" i="13"/>
  <c r="EG27" i="13"/>
  <c r="EF27" i="13"/>
  <c r="EB27" i="13"/>
  <c r="EA27" i="13"/>
  <c r="DW27" i="13"/>
  <c r="DV27" i="13"/>
  <c r="DR27" i="13"/>
  <c r="DQ27" i="13"/>
  <c r="DM27" i="13"/>
  <c r="DL27" i="13"/>
  <c r="DH27" i="13"/>
  <c r="DG27" i="13"/>
  <c r="DC27" i="13"/>
  <c r="DB27" i="13"/>
  <c r="CX27" i="13"/>
  <c r="CW27" i="13"/>
  <c r="CS27" i="13"/>
  <c r="CR27" i="13"/>
  <c r="CN27" i="13"/>
  <c r="CM27" i="13"/>
  <c r="CI27" i="13"/>
  <c r="CH27" i="13"/>
  <c r="CD27" i="13"/>
  <c r="CC27" i="13"/>
  <c r="BY27" i="13"/>
  <c r="BX27" i="13"/>
  <c r="BT27" i="13"/>
  <c r="BS27" i="13"/>
  <c r="BO27" i="13"/>
  <c r="BN27" i="13"/>
  <c r="BJ27" i="13"/>
  <c r="BI27" i="13"/>
  <c r="BE27" i="13"/>
  <c r="BD27" i="13"/>
  <c r="AZ27" i="13"/>
  <c r="AY27" i="13"/>
  <c r="AU27" i="13"/>
  <c r="AT27" i="13"/>
  <c r="AP27" i="13"/>
  <c r="AO27" i="13"/>
  <c r="AK27" i="13"/>
  <c r="AJ27" i="13"/>
  <c r="AF27" i="13"/>
  <c r="AE27" i="13"/>
  <c r="AA27" i="13"/>
  <c r="Z27" i="13"/>
  <c r="V27" i="13"/>
  <c r="U27" i="13"/>
  <c r="Q27" i="13"/>
  <c r="P27" i="13"/>
  <c r="L27" i="13"/>
  <c r="K27" i="13"/>
  <c r="G27" i="13"/>
  <c r="F27" i="13"/>
  <c r="C27" i="13"/>
  <c r="B27" i="13"/>
  <c r="A27" i="13"/>
  <c r="EV26" i="13"/>
  <c r="EU26" i="13"/>
  <c r="EQ26" i="13"/>
  <c r="EP26" i="13"/>
  <c r="EL26" i="13"/>
  <c r="EK26" i="13"/>
  <c r="EG26" i="13"/>
  <c r="EF26" i="13"/>
  <c r="EB26" i="13"/>
  <c r="EA26" i="13"/>
  <c r="DW26" i="13"/>
  <c r="DV26" i="13"/>
  <c r="DR26" i="13"/>
  <c r="DQ26" i="13"/>
  <c r="DM26" i="13"/>
  <c r="DL26" i="13"/>
  <c r="DH26" i="13"/>
  <c r="DG26" i="13"/>
  <c r="DC26" i="13"/>
  <c r="DB26" i="13"/>
  <c r="CX26" i="13"/>
  <c r="CW26" i="13"/>
  <c r="CS26" i="13"/>
  <c r="CR26" i="13"/>
  <c r="CN26" i="13"/>
  <c r="CM26" i="13"/>
  <c r="CI26" i="13"/>
  <c r="CH26" i="13"/>
  <c r="CD26" i="13"/>
  <c r="CC26" i="13"/>
  <c r="BY26" i="13"/>
  <c r="BX26" i="13"/>
  <c r="BT26" i="13"/>
  <c r="BS26" i="13"/>
  <c r="BO26" i="13"/>
  <c r="BN26" i="13"/>
  <c r="BJ26" i="13"/>
  <c r="BI26" i="13"/>
  <c r="BE26" i="13"/>
  <c r="BD26" i="13"/>
  <c r="AZ26" i="13"/>
  <c r="AY26" i="13"/>
  <c r="AU26" i="13"/>
  <c r="AT26" i="13"/>
  <c r="AP26" i="13"/>
  <c r="AO26" i="13"/>
  <c r="AK26" i="13"/>
  <c r="AJ26" i="13"/>
  <c r="AF26" i="13"/>
  <c r="AE26" i="13"/>
  <c r="AA26" i="13"/>
  <c r="Z26" i="13"/>
  <c r="V26" i="13"/>
  <c r="U26" i="13"/>
  <c r="Q26" i="13"/>
  <c r="P26" i="13"/>
  <c r="L26" i="13"/>
  <c r="K26" i="13"/>
  <c r="G26" i="13"/>
  <c r="F26" i="13"/>
  <c r="C26" i="13"/>
  <c r="B26" i="13"/>
  <c r="A26" i="13"/>
  <c r="EV25" i="13"/>
  <c r="EU25" i="13"/>
  <c r="EQ25" i="13"/>
  <c r="EP25" i="13"/>
  <c r="EL25" i="13"/>
  <c r="EK25" i="13"/>
  <c r="EG25" i="13"/>
  <c r="EF25" i="13"/>
  <c r="EB25" i="13"/>
  <c r="EA25" i="13"/>
  <c r="DW25" i="13"/>
  <c r="DV25" i="13"/>
  <c r="DR25" i="13"/>
  <c r="DQ25" i="13"/>
  <c r="DM25" i="13"/>
  <c r="DL25" i="13"/>
  <c r="DH25" i="13"/>
  <c r="DG25" i="13"/>
  <c r="DC25" i="13"/>
  <c r="DB25" i="13"/>
  <c r="CX25" i="13"/>
  <c r="CW25" i="13"/>
  <c r="CS25" i="13"/>
  <c r="CR25" i="13"/>
  <c r="CN25" i="13"/>
  <c r="CM25" i="13"/>
  <c r="CI25" i="13"/>
  <c r="CH25" i="13"/>
  <c r="CD25" i="13"/>
  <c r="CC25" i="13"/>
  <c r="BY25" i="13"/>
  <c r="BX25" i="13"/>
  <c r="BT25" i="13"/>
  <c r="BS25" i="13"/>
  <c r="BO25" i="13"/>
  <c r="BN25" i="13"/>
  <c r="BJ25" i="13"/>
  <c r="BI25" i="13"/>
  <c r="BE25" i="13"/>
  <c r="BD25" i="13"/>
  <c r="AZ25" i="13"/>
  <c r="AY25" i="13"/>
  <c r="AU25" i="13"/>
  <c r="AT25" i="13"/>
  <c r="AP25" i="13"/>
  <c r="AO25" i="13"/>
  <c r="AK25" i="13"/>
  <c r="AJ25" i="13"/>
  <c r="AF25" i="13"/>
  <c r="AE25" i="13"/>
  <c r="AA25" i="13"/>
  <c r="Z25" i="13"/>
  <c r="V25" i="13"/>
  <c r="U25" i="13"/>
  <c r="Q25" i="13"/>
  <c r="P25" i="13"/>
  <c r="L25" i="13"/>
  <c r="K25" i="13"/>
  <c r="G25" i="13"/>
  <c r="F25" i="13"/>
  <c r="C25" i="13"/>
  <c r="B25" i="13"/>
  <c r="A25" i="13"/>
  <c r="EV24" i="13"/>
  <c r="EU24" i="13"/>
  <c r="EQ24" i="13"/>
  <c r="EP24" i="13"/>
  <c r="EL24" i="13"/>
  <c r="EK24" i="13"/>
  <c r="EG24" i="13"/>
  <c r="EF24" i="13"/>
  <c r="EB24" i="13"/>
  <c r="EA24" i="13"/>
  <c r="DW24" i="13"/>
  <c r="DV24" i="13"/>
  <c r="DR24" i="13"/>
  <c r="DQ24" i="13"/>
  <c r="DM24" i="13"/>
  <c r="DL24" i="13"/>
  <c r="DH24" i="13"/>
  <c r="DG24" i="13"/>
  <c r="DC24" i="13"/>
  <c r="DB24" i="13"/>
  <c r="CX24" i="13"/>
  <c r="CW24" i="13"/>
  <c r="CS24" i="13"/>
  <c r="CR24" i="13"/>
  <c r="CN24" i="13"/>
  <c r="CM24" i="13"/>
  <c r="CI24" i="13"/>
  <c r="CH24" i="13"/>
  <c r="CD24" i="13"/>
  <c r="CC24" i="13"/>
  <c r="BY24" i="13"/>
  <c r="BX24" i="13"/>
  <c r="BT24" i="13"/>
  <c r="BS24" i="13"/>
  <c r="BO24" i="13"/>
  <c r="BN24" i="13"/>
  <c r="BJ24" i="13"/>
  <c r="BI24" i="13"/>
  <c r="BE24" i="13"/>
  <c r="BD24" i="13"/>
  <c r="AZ24" i="13"/>
  <c r="AY24" i="13"/>
  <c r="AU24" i="13"/>
  <c r="AT24" i="13"/>
  <c r="AP24" i="13"/>
  <c r="AO24" i="13"/>
  <c r="AK24" i="13"/>
  <c r="AJ24" i="13"/>
  <c r="AF24" i="13"/>
  <c r="AE24" i="13"/>
  <c r="AA24" i="13"/>
  <c r="Z24" i="13"/>
  <c r="V24" i="13"/>
  <c r="U24" i="13"/>
  <c r="Q24" i="13"/>
  <c r="P24" i="13"/>
  <c r="L24" i="13"/>
  <c r="K24" i="13"/>
  <c r="G24" i="13"/>
  <c r="F24" i="13"/>
  <c r="C24" i="13"/>
  <c r="B24" i="13"/>
  <c r="A24" i="13"/>
  <c r="EV23" i="13"/>
  <c r="EU23" i="13"/>
  <c r="EQ23" i="13"/>
  <c r="EP23" i="13"/>
  <c r="EL23" i="13"/>
  <c r="EK23" i="13"/>
  <c r="EG23" i="13"/>
  <c r="EF23" i="13"/>
  <c r="EB23" i="13"/>
  <c r="EA23" i="13"/>
  <c r="DW23" i="13"/>
  <c r="DV23" i="13"/>
  <c r="DR23" i="13"/>
  <c r="DQ23" i="13"/>
  <c r="DM23" i="13"/>
  <c r="DL23" i="13"/>
  <c r="DH23" i="13"/>
  <c r="DG23" i="13"/>
  <c r="DC23" i="13"/>
  <c r="DB23" i="13"/>
  <c r="CX23" i="13"/>
  <c r="CW23" i="13"/>
  <c r="CS23" i="13"/>
  <c r="CR23" i="13"/>
  <c r="CN23" i="13"/>
  <c r="CM23" i="13"/>
  <c r="CI23" i="13"/>
  <c r="CH23" i="13"/>
  <c r="CD23" i="13"/>
  <c r="CC23" i="13"/>
  <c r="BY23" i="13"/>
  <c r="BX23" i="13"/>
  <c r="BT23" i="13"/>
  <c r="BS23" i="13"/>
  <c r="BO23" i="13"/>
  <c r="BN23" i="13"/>
  <c r="BJ23" i="13"/>
  <c r="BI23" i="13"/>
  <c r="BE23" i="13"/>
  <c r="BD23" i="13"/>
  <c r="AZ23" i="13"/>
  <c r="AY23" i="13"/>
  <c r="AU23" i="13"/>
  <c r="AT23" i="13"/>
  <c r="AP23" i="13"/>
  <c r="AO23" i="13"/>
  <c r="AK23" i="13"/>
  <c r="AJ23" i="13"/>
  <c r="AF23" i="13"/>
  <c r="AE23" i="13"/>
  <c r="AA23" i="13"/>
  <c r="Z23" i="13"/>
  <c r="V23" i="13"/>
  <c r="U23" i="13"/>
  <c r="Q23" i="13"/>
  <c r="P23" i="13"/>
  <c r="L23" i="13"/>
  <c r="K23" i="13"/>
  <c r="G23" i="13"/>
  <c r="F23" i="13"/>
  <c r="C23" i="13"/>
  <c r="B23" i="13"/>
  <c r="A23" i="13"/>
  <c r="EV22" i="13"/>
  <c r="EU22" i="13"/>
  <c r="EQ22" i="13"/>
  <c r="EP22" i="13"/>
  <c r="EL22" i="13"/>
  <c r="EK22" i="13"/>
  <c r="EG22" i="13"/>
  <c r="EF22" i="13"/>
  <c r="EB22" i="13"/>
  <c r="EA22" i="13"/>
  <c r="DW22" i="13"/>
  <c r="DV22" i="13"/>
  <c r="DR22" i="13"/>
  <c r="DQ22" i="13"/>
  <c r="DM22" i="13"/>
  <c r="DL22" i="13"/>
  <c r="DH22" i="13"/>
  <c r="DG22" i="13"/>
  <c r="DC22" i="13"/>
  <c r="DB22" i="13"/>
  <c r="CX22" i="13"/>
  <c r="CW22" i="13"/>
  <c r="CS22" i="13"/>
  <c r="CR22" i="13"/>
  <c r="CN22" i="13"/>
  <c r="CM22" i="13"/>
  <c r="CI22" i="13"/>
  <c r="CH22" i="13"/>
  <c r="CD22" i="13"/>
  <c r="CC22" i="13"/>
  <c r="BY22" i="13"/>
  <c r="BX22" i="13"/>
  <c r="BT22" i="13"/>
  <c r="BS22" i="13"/>
  <c r="BO22" i="13"/>
  <c r="BN22" i="13"/>
  <c r="BJ22" i="13"/>
  <c r="BI22" i="13"/>
  <c r="BE22" i="13"/>
  <c r="BD22" i="13"/>
  <c r="AZ22" i="13"/>
  <c r="AY22" i="13"/>
  <c r="AU22" i="13"/>
  <c r="AT22" i="13"/>
  <c r="AP22" i="13"/>
  <c r="AO22" i="13"/>
  <c r="AK22" i="13"/>
  <c r="AJ22" i="13"/>
  <c r="AF22" i="13"/>
  <c r="AE22" i="13"/>
  <c r="AA22" i="13"/>
  <c r="Z22" i="13"/>
  <c r="V22" i="13"/>
  <c r="U22" i="13"/>
  <c r="Q22" i="13"/>
  <c r="P22" i="13"/>
  <c r="L22" i="13"/>
  <c r="K22" i="13"/>
  <c r="G22" i="13"/>
  <c r="F22" i="13"/>
  <c r="C22" i="13"/>
  <c r="B22" i="13"/>
  <c r="A22" i="13"/>
  <c r="EV21" i="13"/>
  <c r="EU21" i="13"/>
  <c r="EQ21" i="13"/>
  <c r="EP21" i="13"/>
  <c r="EL21" i="13"/>
  <c r="EK21" i="13"/>
  <c r="EG21" i="13"/>
  <c r="EF21" i="13"/>
  <c r="EB21" i="13"/>
  <c r="EA21" i="13"/>
  <c r="DW21" i="13"/>
  <c r="DV21" i="13"/>
  <c r="DR21" i="13"/>
  <c r="DQ21" i="13"/>
  <c r="DM21" i="13"/>
  <c r="DL21" i="13"/>
  <c r="DH21" i="13"/>
  <c r="DG21" i="13"/>
  <c r="DC21" i="13"/>
  <c r="DB21" i="13"/>
  <c r="CX21" i="13"/>
  <c r="CW21" i="13"/>
  <c r="CS21" i="13"/>
  <c r="CR21" i="13"/>
  <c r="CN21" i="13"/>
  <c r="CM21" i="13"/>
  <c r="CI21" i="13"/>
  <c r="CH21" i="13"/>
  <c r="CD21" i="13"/>
  <c r="CC21" i="13"/>
  <c r="BY21" i="13"/>
  <c r="BX21" i="13"/>
  <c r="BT21" i="13"/>
  <c r="BS21" i="13"/>
  <c r="BO21" i="13"/>
  <c r="BN21" i="13"/>
  <c r="BJ21" i="13"/>
  <c r="BI21" i="13"/>
  <c r="BE21" i="13"/>
  <c r="BD21" i="13"/>
  <c r="AZ21" i="13"/>
  <c r="AY21" i="13"/>
  <c r="AU21" i="13"/>
  <c r="AT21" i="13"/>
  <c r="AP21" i="13"/>
  <c r="AO21" i="13"/>
  <c r="AK21" i="13"/>
  <c r="AJ21" i="13"/>
  <c r="AF21" i="13"/>
  <c r="AE21" i="13"/>
  <c r="AA21" i="13"/>
  <c r="Z21" i="13"/>
  <c r="V21" i="13"/>
  <c r="U21" i="13"/>
  <c r="Q21" i="13"/>
  <c r="P21" i="13"/>
  <c r="L21" i="13"/>
  <c r="K21" i="13"/>
  <c r="G21" i="13"/>
  <c r="F21" i="13"/>
  <c r="C21" i="13"/>
  <c r="B21" i="13"/>
  <c r="A21" i="13"/>
  <c r="EV20" i="13"/>
  <c r="EU20" i="13"/>
  <c r="EQ20" i="13"/>
  <c r="EP20" i="13"/>
  <c r="EL20" i="13"/>
  <c r="EK20" i="13"/>
  <c r="EG20" i="13"/>
  <c r="EF20" i="13"/>
  <c r="EB20" i="13"/>
  <c r="EA20" i="13"/>
  <c r="DW20" i="13"/>
  <c r="DV20" i="13"/>
  <c r="DR20" i="13"/>
  <c r="DQ20" i="13"/>
  <c r="DM20" i="13"/>
  <c r="DL20" i="13"/>
  <c r="DH20" i="13"/>
  <c r="DG20" i="13"/>
  <c r="DC20" i="13"/>
  <c r="DB20" i="13"/>
  <c r="CX20" i="13"/>
  <c r="CW20" i="13"/>
  <c r="CS20" i="13"/>
  <c r="CR20" i="13"/>
  <c r="CN20" i="13"/>
  <c r="CM20" i="13"/>
  <c r="CI20" i="13"/>
  <c r="CH20" i="13"/>
  <c r="CD20" i="13"/>
  <c r="CC20" i="13"/>
  <c r="BY20" i="13"/>
  <c r="BX20" i="13"/>
  <c r="BT20" i="13"/>
  <c r="BS20" i="13"/>
  <c r="BO20" i="13"/>
  <c r="BN20" i="13"/>
  <c r="BJ20" i="13"/>
  <c r="BI20" i="13"/>
  <c r="BE20" i="13"/>
  <c r="BD20" i="13"/>
  <c r="AZ20" i="13"/>
  <c r="AY20" i="13"/>
  <c r="AU20" i="13"/>
  <c r="AT20" i="13"/>
  <c r="AP20" i="13"/>
  <c r="AO20" i="13"/>
  <c r="AK20" i="13"/>
  <c r="AJ20" i="13"/>
  <c r="AF20" i="13"/>
  <c r="AE20" i="13"/>
  <c r="AA20" i="13"/>
  <c r="Z20" i="13"/>
  <c r="V20" i="13"/>
  <c r="U20" i="13"/>
  <c r="Q20" i="13"/>
  <c r="P20" i="13"/>
  <c r="L20" i="13"/>
  <c r="K20" i="13"/>
  <c r="G20" i="13"/>
  <c r="F20" i="13"/>
  <c r="C20" i="13"/>
  <c r="B20" i="13"/>
  <c r="A20" i="13"/>
  <c r="EV19" i="13"/>
  <c r="EU19" i="13"/>
  <c r="EQ19" i="13"/>
  <c r="EP19" i="13"/>
  <c r="EL19" i="13"/>
  <c r="EK19" i="13"/>
  <c r="EG19" i="13"/>
  <c r="EF19" i="13"/>
  <c r="EB19" i="13"/>
  <c r="EA19" i="13"/>
  <c r="DW19" i="13"/>
  <c r="DV19" i="13"/>
  <c r="DR19" i="13"/>
  <c r="DQ19" i="13"/>
  <c r="DM19" i="13"/>
  <c r="DL19" i="13"/>
  <c r="DH19" i="13"/>
  <c r="DG19" i="13"/>
  <c r="DC19" i="13"/>
  <c r="DB19" i="13"/>
  <c r="CX19" i="13"/>
  <c r="CW19" i="13"/>
  <c r="CS19" i="13"/>
  <c r="CR19" i="13"/>
  <c r="CN19" i="13"/>
  <c r="CM19" i="13"/>
  <c r="CI19" i="13"/>
  <c r="CH19" i="13"/>
  <c r="CD19" i="13"/>
  <c r="CC19" i="13"/>
  <c r="BY19" i="13"/>
  <c r="BX19" i="13"/>
  <c r="BT19" i="13"/>
  <c r="BS19" i="13"/>
  <c r="BO19" i="13"/>
  <c r="BN19" i="13"/>
  <c r="BJ19" i="13"/>
  <c r="BI19" i="13"/>
  <c r="BE19" i="13"/>
  <c r="BD19" i="13"/>
  <c r="AZ19" i="13"/>
  <c r="AY19" i="13"/>
  <c r="AU19" i="13"/>
  <c r="AT19" i="13"/>
  <c r="AP19" i="13"/>
  <c r="AO19" i="13"/>
  <c r="AK19" i="13"/>
  <c r="AJ19" i="13"/>
  <c r="AF19" i="13"/>
  <c r="AE19" i="13"/>
  <c r="AA19" i="13"/>
  <c r="Z19" i="13"/>
  <c r="V19" i="13"/>
  <c r="U19" i="13"/>
  <c r="Q19" i="13"/>
  <c r="P19" i="13"/>
  <c r="L19" i="13"/>
  <c r="K19" i="13"/>
  <c r="G19" i="13"/>
  <c r="F19" i="13"/>
  <c r="C19" i="13"/>
  <c r="B19" i="13"/>
  <c r="A19" i="13"/>
  <c r="EV18" i="13"/>
  <c r="EU18" i="13"/>
  <c r="EQ18" i="13"/>
  <c r="EP18" i="13"/>
  <c r="EL18" i="13"/>
  <c r="EK18" i="13"/>
  <c r="EG18" i="13"/>
  <c r="EF18" i="13"/>
  <c r="EB18" i="13"/>
  <c r="EA18" i="13"/>
  <c r="DW18" i="13"/>
  <c r="DV18" i="13"/>
  <c r="DR18" i="13"/>
  <c r="DQ18" i="13"/>
  <c r="DM18" i="13"/>
  <c r="DL18" i="13"/>
  <c r="DH18" i="13"/>
  <c r="DG18" i="13"/>
  <c r="DC18" i="13"/>
  <c r="DB18" i="13"/>
  <c r="CX18" i="13"/>
  <c r="CW18" i="13"/>
  <c r="CS18" i="13"/>
  <c r="CR18" i="13"/>
  <c r="CN18" i="13"/>
  <c r="CM18" i="13"/>
  <c r="CI18" i="13"/>
  <c r="CH18" i="13"/>
  <c r="CD18" i="13"/>
  <c r="CC18" i="13"/>
  <c r="BY18" i="13"/>
  <c r="BX18" i="13"/>
  <c r="BT18" i="13"/>
  <c r="BS18" i="13"/>
  <c r="BO18" i="13"/>
  <c r="BN18" i="13"/>
  <c r="BJ18" i="13"/>
  <c r="BI18" i="13"/>
  <c r="BE18" i="13"/>
  <c r="BD18" i="13"/>
  <c r="AZ18" i="13"/>
  <c r="AY18" i="13"/>
  <c r="AU18" i="13"/>
  <c r="AT18" i="13"/>
  <c r="AP18" i="13"/>
  <c r="AO18" i="13"/>
  <c r="AK18" i="13"/>
  <c r="AJ18" i="13"/>
  <c r="AF18" i="13"/>
  <c r="AE18" i="13"/>
  <c r="AA18" i="13"/>
  <c r="Z18" i="13"/>
  <c r="V18" i="13"/>
  <c r="U18" i="13"/>
  <c r="Q18" i="13"/>
  <c r="P18" i="13"/>
  <c r="L18" i="13"/>
  <c r="K18" i="13"/>
  <c r="G18" i="13"/>
  <c r="F18" i="13"/>
  <c r="C18" i="13"/>
  <c r="B18" i="13"/>
  <c r="A18" i="13"/>
  <c r="EV17" i="13"/>
  <c r="EU17" i="13"/>
  <c r="EQ17" i="13"/>
  <c r="EP17" i="13"/>
  <c r="EL17" i="13"/>
  <c r="EK17" i="13"/>
  <c r="EG17" i="13"/>
  <c r="EF17" i="13"/>
  <c r="EB17" i="13"/>
  <c r="EA17" i="13"/>
  <c r="DW17" i="13"/>
  <c r="DV17" i="13"/>
  <c r="DR17" i="13"/>
  <c r="DQ17" i="13"/>
  <c r="DM17" i="13"/>
  <c r="DL17" i="13"/>
  <c r="DH17" i="13"/>
  <c r="DG17" i="13"/>
  <c r="DC17" i="13"/>
  <c r="DB17" i="13"/>
  <c r="CX17" i="13"/>
  <c r="CW17" i="13"/>
  <c r="CS17" i="13"/>
  <c r="CR17" i="13"/>
  <c r="CN17" i="13"/>
  <c r="CM17" i="13"/>
  <c r="CI17" i="13"/>
  <c r="CH17" i="13"/>
  <c r="CD17" i="13"/>
  <c r="CC17" i="13"/>
  <c r="BY17" i="13"/>
  <c r="BX17" i="13"/>
  <c r="BT17" i="13"/>
  <c r="BS17" i="13"/>
  <c r="BO17" i="13"/>
  <c r="BN17" i="13"/>
  <c r="BJ17" i="13"/>
  <c r="BI17" i="13"/>
  <c r="BE17" i="13"/>
  <c r="BD17" i="13"/>
  <c r="AZ17" i="13"/>
  <c r="AY17" i="13"/>
  <c r="AU17" i="13"/>
  <c r="AT17" i="13"/>
  <c r="AP17" i="13"/>
  <c r="AO17" i="13"/>
  <c r="AK17" i="13"/>
  <c r="AJ17" i="13"/>
  <c r="AF17" i="13"/>
  <c r="AE17" i="13"/>
  <c r="AA17" i="13"/>
  <c r="Z17" i="13"/>
  <c r="V17" i="13"/>
  <c r="U17" i="13"/>
  <c r="Q17" i="13"/>
  <c r="P17" i="13"/>
  <c r="L17" i="13"/>
  <c r="K17" i="13"/>
  <c r="G17" i="13"/>
  <c r="F17" i="13"/>
  <c r="C17" i="13"/>
  <c r="B17" i="13"/>
  <c r="A17" i="13"/>
  <c r="EV16" i="13"/>
  <c r="EU16" i="13"/>
  <c r="EQ16" i="13"/>
  <c r="EP16" i="13"/>
  <c r="EL16" i="13"/>
  <c r="EK16" i="13"/>
  <c r="EG16" i="13"/>
  <c r="EF16" i="13"/>
  <c r="EB16" i="13"/>
  <c r="EA16" i="13"/>
  <c r="DW16" i="13"/>
  <c r="DV16" i="13"/>
  <c r="DR16" i="13"/>
  <c r="DQ16" i="13"/>
  <c r="DM16" i="13"/>
  <c r="DL16" i="13"/>
  <c r="DH16" i="13"/>
  <c r="DG16" i="13"/>
  <c r="DC16" i="13"/>
  <c r="DB16" i="13"/>
  <c r="CX16" i="13"/>
  <c r="CW16" i="13"/>
  <c r="CS16" i="13"/>
  <c r="CR16" i="13"/>
  <c r="CN16" i="13"/>
  <c r="CM16" i="13"/>
  <c r="CI16" i="13"/>
  <c r="CH16" i="13"/>
  <c r="CD16" i="13"/>
  <c r="CC16" i="13"/>
  <c r="BY16" i="13"/>
  <c r="BX16" i="13"/>
  <c r="BT16" i="13"/>
  <c r="BS16" i="13"/>
  <c r="BO16" i="13"/>
  <c r="BN16" i="13"/>
  <c r="BJ16" i="13"/>
  <c r="BI16" i="13"/>
  <c r="BE16" i="13"/>
  <c r="BD16" i="13"/>
  <c r="AZ16" i="13"/>
  <c r="AY16" i="13"/>
  <c r="AU16" i="13"/>
  <c r="AT16" i="13"/>
  <c r="AP16" i="13"/>
  <c r="AO16" i="13"/>
  <c r="AK16" i="13"/>
  <c r="AJ16" i="13"/>
  <c r="AF16" i="13"/>
  <c r="AE16" i="13"/>
  <c r="AA16" i="13"/>
  <c r="Z16" i="13"/>
  <c r="V16" i="13"/>
  <c r="U16" i="13"/>
  <c r="Q16" i="13"/>
  <c r="P16" i="13"/>
  <c r="L16" i="13"/>
  <c r="K16" i="13"/>
  <c r="G16" i="13"/>
  <c r="F16" i="13"/>
  <c r="C16" i="13"/>
  <c r="B16" i="13"/>
  <c r="A16" i="13"/>
  <c r="EV15" i="13"/>
  <c r="EU15" i="13"/>
  <c r="EQ15" i="13"/>
  <c r="EP15" i="13"/>
  <c r="EL15" i="13"/>
  <c r="EK15" i="13"/>
  <c r="EG15" i="13"/>
  <c r="EF15" i="13"/>
  <c r="EB15" i="13"/>
  <c r="EA15" i="13"/>
  <c r="DW15" i="13"/>
  <c r="DV15" i="13"/>
  <c r="DR15" i="13"/>
  <c r="DQ15" i="13"/>
  <c r="DM15" i="13"/>
  <c r="DL15" i="13"/>
  <c r="DH15" i="13"/>
  <c r="DG15" i="13"/>
  <c r="DC15" i="13"/>
  <c r="DB15" i="13"/>
  <c r="CX15" i="13"/>
  <c r="CW15" i="13"/>
  <c r="CS15" i="13"/>
  <c r="CR15" i="13"/>
  <c r="CN15" i="13"/>
  <c r="CM15" i="13"/>
  <c r="CI15" i="13"/>
  <c r="CH15" i="13"/>
  <c r="CD15" i="13"/>
  <c r="CC15" i="13"/>
  <c r="BY15" i="13"/>
  <c r="BX15" i="13"/>
  <c r="BT15" i="13"/>
  <c r="BS15" i="13"/>
  <c r="BO15" i="13"/>
  <c r="BN15" i="13"/>
  <c r="BJ15" i="13"/>
  <c r="BI15" i="13"/>
  <c r="BE15" i="13"/>
  <c r="BD15" i="13"/>
  <c r="AZ15" i="13"/>
  <c r="AY15" i="13"/>
  <c r="AU15" i="13"/>
  <c r="AT15" i="13"/>
  <c r="AP15" i="13"/>
  <c r="AO15" i="13"/>
  <c r="AK15" i="13"/>
  <c r="AJ15" i="13"/>
  <c r="AF15" i="13"/>
  <c r="AE15" i="13"/>
  <c r="AA15" i="13"/>
  <c r="Z15" i="13"/>
  <c r="V15" i="13"/>
  <c r="U15" i="13"/>
  <c r="Q15" i="13"/>
  <c r="P15" i="13"/>
  <c r="L15" i="13"/>
  <c r="K15" i="13"/>
  <c r="G15" i="13"/>
  <c r="F15" i="13"/>
  <c r="C15" i="13"/>
  <c r="B15" i="13"/>
  <c r="A15" i="13"/>
  <c r="EV14" i="13"/>
  <c r="EU14" i="13"/>
  <c r="EQ14" i="13"/>
  <c r="EP14" i="13"/>
  <c r="EL14" i="13"/>
  <c r="EK14" i="13"/>
  <c r="EG14" i="13"/>
  <c r="EF14" i="13"/>
  <c r="EB14" i="13"/>
  <c r="EA14" i="13"/>
  <c r="DW14" i="13"/>
  <c r="DV14" i="13"/>
  <c r="DR14" i="13"/>
  <c r="DQ14" i="13"/>
  <c r="DM14" i="13"/>
  <c r="DL14" i="13"/>
  <c r="DH14" i="13"/>
  <c r="DG14" i="13"/>
  <c r="DC14" i="13"/>
  <c r="DB14" i="13"/>
  <c r="CX14" i="13"/>
  <c r="CW14" i="13"/>
  <c r="CS14" i="13"/>
  <c r="CR14" i="13"/>
  <c r="CN14" i="13"/>
  <c r="CM14" i="13"/>
  <c r="CI14" i="13"/>
  <c r="CH14" i="13"/>
  <c r="CD14" i="13"/>
  <c r="CC14" i="13"/>
  <c r="BY14" i="13"/>
  <c r="BX14" i="13"/>
  <c r="BT14" i="13"/>
  <c r="BS14" i="13"/>
  <c r="BO14" i="13"/>
  <c r="BN14" i="13"/>
  <c r="BJ14" i="13"/>
  <c r="BI14" i="13"/>
  <c r="BE14" i="13"/>
  <c r="BD14" i="13"/>
  <c r="AZ14" i="13"/>
  <c r="AY14" i="13"/>
  <c r="AU14" i="13"/>
  <c r="AT14" i="13"/>
  <c r="AP14" i="13"/>
  <c r="AO14" i="13"/>
  <c r="AK14" i="13"/>
  <c r="AJ14" i="13"/>
  <c r="AF14" i="13"/>
  <c r="AE14" i="13"/>
  <c r="AA14" i="13"/>
  <c r="Z14" i="13"/>
  <c r="V14" i="13"/>
  <c r="U14" i="13"/>
  <c r="Q14" i="13"/>
  <c r="P14" i="13"/>
  <c r="L14" i="13"/>
  <c r="K14" i="13"/>
  <c r="G14" i="13"/>
  <c r="F14" i="13"/>
  <c r="C14" i="13"/>
  <c r="B14" i="13"/>
  <c r="A14" i="13"/>
  <c r="EV13" i="13"/>
  <c r="EU13" i="13"/>
  <c r="EQ13" i="13"/>
  <c r="EP13" i="13"/>
  <c r="EL13" i="13"/>
  <c r="EK13" i="13"/>
  <c r="EG13" i="13"/>
  <c r="EF13" i="13"/>
  <c r="EB13" i="13"/>
  <c r="EA13" i="13"/>
  <c r="DW13" i="13"/>
  <c r="DV13" i="13"/>
  <c r="DR13" i="13"/>
  <c r="DQ13" i="13"/>
  <c r="DM13" i="13"/>
  <c r="DL13" i="13"/>
  <c r="DH13" i="13"/>
  <c r="DG13" i="13"/>
  <c r="DC13" i="13"/>
  <c r="DB13" i="13"/>
  <c r="CX13" i="13"/>
  <c r="CW13" i="13"/>
  <c r="CS13" i="13"/>
  <c r="CR13" i="13"/>
  <c r="CN13" i="13"/>
  <c r="CM13" i="13"/>
  <c r="CI13" i="13"/>
  <c r="CH13" i="13"/>
  <c r="CD13" i="13"/>
  <c r="CC13" i="13"/>
  <c r="BY13" i="13"/>
  <c r="BX13" i="13"/>
  <c r="BT13" i="13"/>
  <c r="BS13" i="13"/>
  <c r="BO13" i="13"/>
  <c r="BN13" i="13"/>
  <c r="BJ13" i="13"/>
  <c r="BI13" i="13"/>
  <c r="BE13" i="13"/>
  <c r="BD13" i="13"/>
  <c r="AZ13" i="13"/>
  <c r="AY13" i="13"/>
  <c r="AU13" i="13"/>
  <c r="AT13" i="13"/>
  <c r="AP13" i="13"/>
  <c r="AO13" i="13"/>
  <c r="AK13" i="13"/>
  <c r="AJ13" i="13"/>
  <c r="AF13" i="13"/>
  <c r="AE13" i="13"/>
  <c r="AA13" i="13"/>
  <c r="Z13" i="13"/>
  <c r="V13" i="13"/>
  <c r="U13" i="13"/>
  <c r="Q13" i="13"/>
  <c r="P13" i="13"/>
  <c r="L13" i="13"/>
  <c r="K13" i="13"/>
  <c r="G13" i="13"/>
  <c r="F13" i="13"/>
  <c r="C13" i="13"/>
  <c r="B13" i="13"/>
  <c r="A13" i="13"/>
  <c r="EV12" i="13"/>
  <c r="EU12" i="13"/>
  <c r="EQ12" i="13"/>
  <c r="EP12" i="13"/>
  <c r="EL12" i="13"/>
  <c r="EK12" i="13"/>
  <c r="EG12" i="13"/>
  <c r="EF12" i="13"/>
  <c r="EB12" i="13"/>
  <c r="EA12" i="13"/>
  <c r="DW12" i="13"/>
  <c r="DV12" i="13"/>
  <c r="DR12" i="13"/>
  <c r="DQ12" i="13"/>
  <c r="DM12" i="13"/>
  <c r="DL12" i="13"/>
  <c r="DH12" i="13"/>
  <c r="DG12" i="13"/>
  <c r="DC12" i="13"/>
  <c r="DB12" i="13"/>
  <c r="CX12" i="13"/>
  <c r="CW12" i="13"/>
  <c r="CS12" i="13"/>
  <c r="CR12" i="13"/>
  <c r="CN12" i="13"/>
  <c r="CM12" i="13"/>
  <c r="CI12" i="13"/>
  <c r="CH12" i="13"/>
  <c r="CD12" i="13"/>
  <c r="CC12" i="13"/>
  <c r="BY12" i="13"/>
  <c r="BX12" i="13"/>
  <c r="BT12" i="13"/>
  <c r="BS12" i="13"/>
  <c r="BO12" i="13"/>
  <c r="BN12" i="13"/>
  <c r="BJ12" i="13"/>
  <c r="BI12" i="13"/>
  <c r="BE12" i="13"/>
  <c r="BD12" i="13"/>
  <c r="AZ12" i="13"/>
  <c r="AY12" i="13"/>
  <c r="AU12" i="13"/>
  <c r="AT12" i="13"/>
  <c r="AP12" i="13"/>
  <c r="AO12" i="13"/>
  <c r="AK12" i="13"/>
  <c r="AJ12" i="13"/>
  <c r="AF12" i="13"/>
  <c r="AE12" i="13"/>
  <c r="AA12" i="13"/>
  <c r="Z12" i="13"/>
  <c r="V12" i="13"/>
  <c r="U12" i="13"/>
  <c r="Q12" i="13"/>
  <c r="P12" i="13"/>
  <c r="L12" i="13"/>
  <c r="K12" i="13"/>
  <c r="G12" i="13"/>
  <c r="F12" i="13"/>
  <c r="C12" i="13"/>
  <c r="B12" i="13"/>
  <c r="A12" i="13"/>
  <c r="EV11" i="13"/>
  <c r="EU11" i="13"/>
  <c r="EQ11" i="13"/>
  <c r="EP11" i="13"/>
  <c r="EL11" i="13"/>
  <c r="EK11" i="13"/>
  <c r="EG11" i="13"/>
  <c r="EF11" i="13"/>
  <c r="EB11" i="13"/>
  <c r="EA11" i="13"/>
  <c r="DW11" i="13"/>
  <c r="DV11" i="13"/>
  <c r="DR11" i="13"/>
  <c r="DQ11" i="13"/>
  <c r="DM11" i="13"/>
  <c r="DL11" i="13"/>
  <c r="DH11" i="13"/>
  <c r="DG11" i="13"/>
  <c r="DC11" i="13"/>
  <c r="DB11" i="13"/>
  <c r="CX11" i="13"/>
  <c r="CW11" i="13"/>
  <c r="CS11" i="13"/>
  <c r="CR11" i="13"/>
  <c r="CN11" i="13"/>
  <c r="CM11" i="13"/>
  <c r="CI11" i="13"/>
  <c r="CH11" i="13"/>
  <c r="CD11" i="13"/>
  <c r="CC11" i="13"/>
  <c r="BY11" i="13"/>
  <c r="BX11" i="13"/>
  <c r="BT11" i="13"/>
  <c r="BS11" i="13"/>
  <c r="BO11" i="13"/>
  <c r="BN11" i="13"/>
  <c r="BJ11" i="13"/>
  <c r="BI11" i="13"/>
  <c r="BE11" i="13"/>
  <c r="BD11" i="13"/>
  <c r="AZ11" i="13"/>
  <c r="AY11" i="13"/>
  <c r="AU11" i="13"/>
  <c r="AT11" i="13"/>
  <c r="AP11" i="13"/>
  <c r="AO11" i="13"/>
  <c r="AK11" i="13"/>
  <c r="AJ11" i="13"/>
  <c r="AF11" i="13"/>
  <c r="AE11" i="13"/>
  <c r="AA11" i="13"/>
  <c r="Z11" i="13"/>
  <c r="V11" i="13"/>
  <c r="U11" i="13"/>
  <c r="Q11" i="13"/>
  <c r="P11" i="13"/>
  <c r="L11" i="13"/>
  <c r="K11" i="13"/>
  <c r="G11" i="13"/>
  <c r="F11" i="13"/>
  <c r="C11" i="13"/>
  <c r="B11" i="13"/>
  <c r="A11" i="13"/>
  <c r="EV10" i="13"/>
  <c r="EU10" i="13"/>
  <c r="EQ10" i="13"/>
  <c r="EP10" i="13"/>
  <c r="EL10" i="13"/>
  <c r="EK10" i="13"/>
  <c r="EG10" i="13"/>
  <c r="EF10" i="13"/>
  <c r="EB10" i="13"/>
  <c r="EA10" i="13"/>
  <c r="DW10" i="13"/>
  <c r="DV10" i="13"/>
  <c r="DR10" i="13"/>
  <c r="DQ10" i="13"/>
  <c r="DM10" i="13"/>
  <c r="DL10" i="13"/>
  <c r="DH10" i="13"/>
  <c r="DG10" i="13"/>
  <c r="DC10" i="13"/>
  <c r="DB10" i="13"/>
  <c r="CX10" i="13"/>
  <c r="CW10" i="13"/>
  <c r="CS10" i="13"/>
  <c r="CR10" i="13"/>
  <c r="CN10" i="13"/>
  <c r="CM10" i="13"/>
  <c r="CI10" i="13"/>
  <c r="CH10" i="13"/>
  <c r="CD10" i="13"/>
  <c r="CC10" i="13"/>
  <c r="BY10" i="13"/>
  <c r="BX10" i="13"/>
  <c r="BT10" i="13"/>
  <c r="BS10" i="13"/>
  <c r="BO10" i="13"/>
  <c r="BN10" i="13"/>
  <c r="BJ10" i="13"/>
  <c r="BI10" i="13"/>
  <c r="BE10" i="13"/>
  <c r="BD10" i="13"/>
  <c r="AZ10" i="13"/>
  <c r="AY10" i="13"/>
  <c r="AU10" i="13"/>
  <c r="AT10" i="13"/>
  <c r="AP10" i="13"/>
  <c r="AO10" i="13"/>
  <c r="AK10" i="13"/>
  <c r="AJ10" i="13"/>
  <c r="AF10" i="13"/>
  <c r="AE10" i="13"/>
  <c r="AA10" i="13"/>
  <c r="Z10" i="13"/>
  <c r="V10" i="13"/>
  <c r="U10" i="13"/>
  <c r="Q10" i="13"/>
  <c r="P10" i="13"/>
  <c r="L10" i="13"/>
  <c r="K10" i="13"/>
  <c r="G10" i="13"/>
  <c r="F10" i="13"/>
  <c r="C10" i="13"/>
  <c r="B10" i="13"/>
  <c r="A10" i="13"/>
  <c r="EV9" i="13"/>
  <c r="EU9" i="13"/>
  <c r="EQ9" i="13"/>
  <c r="EP9" i="13"/>
  <c r="EL9" i="13"/>
  <c r="EK9" i="13"/>
  <c r="EG9" i="13"/>
  <c r="EF9" i="13"/>
  <c r="EB9" i="13"/>
  <c r="EA9" i="13"/>
  <c r="DW9" i="13"/>
  <c r="DV9" i="13"/>
  <c r="DR9" i="13"/>
  <c r="DQ9" i="13"/>
  <c r="DM9" i="13"/>
  <c r="DL9" i="13"/>
  <c r="DH9" i="13"/>
  <c r="DG9" i="13"/>
  <c r="DC9" i="13"/>
  <c r="DB9" i="13"/>
  <c r="CX9" i="13"/>
  <c r="CW9" i="13"/>
  <c r="CS9" i="13"/>
  <c r="CR9" i="13"/>
  <c r="CN9" i="13"/>
  <c r="CM9" i="13"/>
  <c r="CI9" i="13"/>
  <c r="CH9" i="13"/>
  <c r="CD9" i="13"/>
  <c r="CC9" i="13"/>
  <c r="BY9" i="13"/>
  <c r="BX9" i="13"/>
  <c r="BT9" i="13"/>
  <c r="BS9" i="13"/>
  <c r="BO9" i="13"/>
  <c r="BN9" i="13"/>
  <c r="BJ9" i="13"/>
  <c r="BI9" i="13"/>
  <c r="BE9" i="13"/>
  <c r="BD9" i="13"/>
  <c r="AZ9" i="13"/>
  <c r="AY9" i="13"/>
  <c r="AU9" i="13"/>
  <c r="AT9" i="13"/>
  <c r="AP9" i="13"/>
  <c r="AO9" i="13"/>
  <c r="AK9" i="13"/>
  <c r="AJ9" i="13"/>
  <c r="AF9" i="13"/>
  <c r="AE9" i="13"/>
  <c r="AA9" i="13"/>
  <c r="Z9" i="13"/>
  <c r="V9" i="13"/>
  <c r="U9" i="13"/>
  <c r="Q9" i="13"/>
  <c r="P9" i="13"/>
  <c r="L9" i="13"/>
  <c r="K9" i="13"/>
  <c r="G9" i="13"/>
  <c r="F9" i="13"/>
  <c r="C9" i="13"/>
  <c r="B9" i="13"/>
  <c r="A9" i="13"/>
  <c r="EV8" i="13"/>
  <c r="EU8" i="13"/>
  <c r="EQ8" i="13"/>
  <c r="EP8" i="13"/>
  <c r="EL8" i="13"/>
  <c r="EK8" i="13"/>
  <c r="EG8" i="13"/>
  <c r="EF8" i="13"/>
  <c r="EB8" i="13"/>
  <c r="EA8" i="13"/>
  <c r="DW8" i="13"/>
  <c r="DV8" i="13"/>
  <c r="DR8" i="13"/>
  <c r="DQ8" i="13"/>
  <c r="DM8" i="13"/>
  <c r="DL8" i="13"/>
  <c r="DH8" i="13"/>
  <c r="DG8" i="13"/>
  <c r="DC8" i="13"/>
  <c r="DB8" i="13"/>
  <c r="CX8" i="13"/>
  <c r="CW8" i="13"/>
  <c r="CS8" i="13"/>
  <c r="CR8" i="13"/>
  <c r="CN8" i="13"/>
  <c r="CM8" i="13"/>
  <c r="CI8" i="13"/>
  <c r="CH8" i="13"/>
  <c r="CD8" i="13"/>
  <c r="CC8" i="13"/>
  <c r="BY8" i="13"/>
  <c r="BX8" i="13"/>
  <c r="BT8" i="13"/>
  <c r="BS8" i="13"/>
  <c r="BO8" i="13"/>
  <c r="BN8" i="13"/>
  <c r="BJ8" i="13"/>
  <c r="BI8" i="13"/>
  <c r="BE8" i="13"/>
  <c r="BD8" i="13"/>
  <c r="AZ8" i="13"/>
  <c r="AY8" i="13"/>
  <c r="AU8" i="13"/>
  <c r="AT8" i="13"/>
  <c r="AP8" i="13"/>
  <c r="AO8" i="13"/>
  <c r="AK8" i="13"/>
  <c r="AJ8" i="13"/>
  <c r="AF8" i="13"/>
  <c r="AE8" i="13"/>
  <c r="AA8" i="13"/>
  <c r="Z8" i="13"/>
  <c r="V8" i="13"/>
  <c r="U8" i="13"/>
  <c r="Q8" i="13"/>
  <c r="P8" i="13"/>
  <c r="L8" i="13"/>
  <c r="K8" i="13"/>
  <c r="G8" i="13"/>
  <c r="F8" i="13"/>
  <c r="C8" i="13"/>
  <c r="B8" i="13"/>
  <c r="A8" i="13"/>
  <c r="EV7" i="13"/>
  <c r="EU7" i="13"/>
  <c r="EQ7" i="13"/>
  <c r="EP7" i="13"/>
  <c r="EL7" i="13"/>
  <c r="EK7" i="13"/>
  <c r="EG7" i="13"/>
  <c r="EF7" i="13"/>
  <c r="EB7" i="13"/>
  <c r="EA7" i="13"/>
  <c r="DW7" i="13"/>
  <c r="DV7" i="13"/>
  <c r="DR7" i="13"/>
  <c r="DQ7" i="13"/>
  <c r="DM7" i="13"/>
  <c r="DL7" i="13"/>
  <c r="DH7" i="13"/>
  <c r="DG7" i="13"/>
  <c r="DC7" i="13"/>
  <c r="DB7" i="13"/>
  <c r="CX7" i="13"/>
  <c r="CW7" i="13"/>
  <c r="CS7" i="13"/>
  <c r="CR7" i="13"/>
  <c r="CN7" i="13"/>
  <c r="CM7" i="13"/>
  <c r="CI7" i="13"/>
  <c r="CH7" i="13"/>
  <c r="CD7" i="13"/>
  <c r="CC7" i="13"/>
  <c r="BY7" i="13"/>
  <c r="BX7" i="13"/>
  <c r="BT7" i="13"/>
  <c r="BS7" i="13"/>
  <c r="BO7" i="13"/>
  <c r="BN7" i="13"/>
  <c r="BJ7" i="13"/>
  <c r="BI7" i="13"/>
  <c r="BE7" i="13"/>
  <c r="BD7" i="13"/>
  <c r="AZ7" i="13"/>
  <c r="AY7" i="13"/>
  <c r="AU7" i="13"/>
  <c r="AT7" i="13"/>
  <c r="AP7" i="13"/>
  <c r="AO7" i="13"/>
  <c r="AK7" i="13"/>
  <c r="AJ7" i="13"/>
  <c r="AF7" i="13"/>
  <c r="AE7" i="13"/>
  <c r="AA7" i="13"/>
  <c r="Z7" i="13"/>
  <c r="V7" i="13"/>
  <c r="U7" i="13"/>
  <c r="Q7" i="13"/>
  <c r="P7" i="13"/>
  <c r="L7" i="13"/>
  <c r="K7" i="13"/>
  <c r="G7" i="13"/>
  <c r="F7" i="13"/>
  <c r="C7" i="13"/>
  <c r="B7" i="13"/>
  <c r="A7" i="13"/>
  <c r="EV6" i="13"/>
  <c r="EU6" i="13"/>
  <c r="EQ6" i="13"/>
  <c r="EP6" i="13"/>
  <c r="EL6" i="13"/>
  <c r="EK6" i="13"/>
  <c r="EG6" i="13"/>
  <c r="EF6" i="13"/>
  <c r="EB6" i="13"/>
  <c r="EA6" i="13"/>
  <c r="DW6" i="13"/>
  <c r="DV6" i="13"/>
  <c r="DR6" i="13"/>
  <c r="DQ6" i="13"/>
  <c r="DM6" i="13"/>
  <c r="DL6" i="13"/>
  <c r="DH6" i="13"/>
  <c r="DG6" i="13"/>
  <c r="DC6" i="13"/>
  <c r="DB6" i="13"/>
  <c r="CX6" i="13"/>
  <c r="CW6" i="13"/>
  <c r="CS6" i="13"/>
  <c r="CR6" i="13"/>
  <c r="CN6" i="13"/>
  <c r="CM6" i="13"/>
  <c r="CI6" i="13"/>
  <c r="CH6" i="13"/>
  <c r="CD6" i="13"/>
  <c r="CC6" i="13"/>
  <c r="BY6" i="13"/>
  <c r="BX6" i="13"/>
  <c r="BT6" i="13"/>
  <c r="BS6" i="13"/>
  <c r="BO6" i="13"/>
  <c r="BN6" i="13"/>
  <c r="BJ6" i="13"/>
  <c r="BI6" i="13"/>
  <c r="BE6" i="13"/>
  <c r="BD6" i="13"/>
  <c r="AZ6" i="13"/>
  <c r="AY6" i="13"/>
  <c r="AU6" i="13"/>
  <c r="AT6" i="13"/>
  <c r="AP6" i="13"/>
  <c r="AO6" i="13"/>
  <c r="AK6" i="13"/>
  <c r="AJ6" i="13"/>
  <c r="AF6" i="13"/>
  <c r="AE6" i="13"/>
  <c r="AA6" i="13"/>
  <c r="Z6" i="13"/>
  <c r="V6" i="13"/>
  <c r="U6" i="13"/>
  <c r="Q6" i="13"/>
  <c r="P6" i="13"/>
  <c r="L6" i="13"/>
  <c r="K6" i="13"/>
  <c r="G6" i="13"/>
  <c r="F6" i="13"/>
  <c r="C6" i="13"/>
  <c r="B6" i="13"/>
  <c r="A6" i="13"/>
  <c r="EV5" i="13"/>
  <c r="EU5" i="13"/>
  <c r="EQ5" i="13"/>
  <c r="EP5" i="13"/>
  <c r="EL5" i="13"/>
  <c r="EK5" i="13"/>
  <c r="EG5" i="13"/>
  <c r="EF5" i="13"/>
  <c r="EB5" i="13"/>
  <c r="EA5" i="13"/>
  <c r="DW5" i="13"/>
  <c r="DV5" i="13"/>
  <c r="DR5" i="13"/>
  <c r="DQ5" i="13"/>
  <c r="DM5" i="13"/>
  <c r="DL5" i="13"/>
  <c r="DH5" i="13"/>
  <c r="DG5" i="13"/>
  <c r="DC5" i="13"/>
  <c r="DB5" i="13"/>
  <c r="CX5" i="13"/>
  <c r="CW5" i="13"/>
  <c r="CS5" i="13"/>
  <c r="CR5" i="13"/>
  <c r="CN5" i="13"/>
  <c r="CM5" i="13"/>
  <c r="CI5" i="13"/>
  <c r="CH5" i="13"/>
  <c r="CD5" i="13"/>
  <c r="CC5" i="13"/>
  <c r="BY5" i="13"/>
  <c r="BX5" i="13"/>
  <c r="BT5" i="13"/>
  <c r="BS5" i="13"/>
  <c r="BO5" i="13"/>
  <c r="BN5" i="13"/>
  <c r="BJ5" i="13"/>
  <c r="BI5" i="13"/>
  <c r="BE5" i="13"/>
  <c r="BD5" i="13"/>
  <c r="AZ5" i="13"/>
  <c r="AY5" i="13"/>
  <c r="AU5" i="13"/>
  <c r="AT5" i="13"/>
  <c r="AP5" i="13"/>
  <c r="AO5" i="13"/>
  <c r="AK5" i="13"/>
  <c r="AJ5" i="13"/>
  <c r="AF5" i="13"/>
  <c r="AE5" i="13"/>
  <c r="AA5" i="13"/>
  <c r="Z5" i="13"/>
  <c r="V5" i="13"/>
  <c r="U5" i="13"/>
  <c r="Q5" i="13"/>
  <c r="P5" i="13"/>
  <c r="L5" i="13"/>
  <c r="K5" i="13"/>
  <c r="G5" i="13"/>
  <c r="F5" i="13"/>
  <c r="C5" i="13"/>
  <c r="B5" i="13"/>
  <c r="A5" i="13"/>
  <c r="EV4" i="13"/>
  <c r="EU4" i="13"/>
  <c r="EQ4" i="13"/>
  <c r="EP4" i="13"/>
  <c r="EL4" i="13"/>
  <c r="EK4" i="13"/>
  <c r="EG4" i="13"/>
  <c r="EF4" i="13"/>
  <c r="EB4" i="13"/>
  <c r="EA4" i="13"/>
  <c r="DW4" i="13"/>
  <c r="DV4" i="13"/>
  <c r="DR4" i="13"/>
  <c r="DQ4" i="13"/>
  <c r="DM4" i="13"/>
  <c r="DL4" i="13"/>
  <c r="DH4" i="13"/>
  <c r="DG4" i="13"/>
  <c r="DC4" i="13"/>
  <c r="DB4" i="13"/>
  <c r="CX4" i="13"/>
  <c r="CW4" i="13"/>
  <c r="CS4" i="13"/>
  <c r="CR4" i="13"/>
  <c r="CN4" i="13"/>
  <c r="CM4" i="13"/>
  <c r="CI4" i="13"/>
  <c r="CH4" i="13"/>
  <c r="CD4" i="13"/>
  <c r="CC4" i="13"/>
  <c r="BY4" i="13"/>
  <c r="BX4" i="13"/>
  <c r="BT4" i="13"/>
  <c r="BS4" i="13"/>
  <c r="BO4" i="13"/>
  <c r="BN4" i="13"/>
  <c r="BJ4" i="13"/>
  <c r="BI4" i="13"/>
  <c r="BE4" i="13"/>
  <c r="BD4" i="13"/>
  <c r="AZ4" i="13"/>
  <c r="AY4" i="13"/>
  <c r="AU4" i="13"/>
  <c r="AT4" i="13"/>
  <c r="AP4" i="13"/>
  <c r="AO4" i="13"/>
  <c r="AK4" i="13"/>
  <c r="AJ4" i="13"/>
  <c r="AF4" i="13"/>
  <c r="AE4" i="13"/>
  <c r="AA4" i="13"/>
  <c r="Z4" i="13"/>
  <c r="V4" i="13"/>
  <c r="U4" i="13"/>
  <c r="Q4" i="13"/>
  <c r="P4" i="13"/>
  <c r="L4" i="13"/>
  <c r="K4" i="13"/>
  <c r="G4" i="13"/>
  <c r="F4" i="13"/>
  <c r="C4" i="13"/>
  <c r="B4" i="13"/>
  <c r="A4" i="13"/>
  <c r="ES2" i="13"/>
  <c r="EN2" i="13"/>
  <c r="EI2" i="13"/>
  <c r="ED2" i="13"/>
  <c r="DY2" i="13"/>
  <c r="DT2" i="13"/>
  <c r="DO2" i="13"/>
  <c r="DJ2" i="13"/>
  <c r="DE2" i="13"/>
  <c r="CZ2" i="13"/>
  <c r="CU2" i="13"/>
  <c r="CP2" i="13"/>
  <c r="CK2" i="13"/>
  <c r="CF2" i="13"/>
  <c r="CA2" i="13"/>
  <c r="BV2" i="13"/>
  <c r="BQ2" i="13"/>
  <c r="BL2" i="13"/>
  <c r="BG2" i="13"/>
  <c r="BB2" i="13"/>
  <c r="AW2" i="13"/>
  <c r="AR2" i="13"/>
  <c r="AM2" i="13"/>
  <c r="AH2" i="13"/>
  <c r="AC2" i="13"/>
  <c r="X2" i="13"/>
  <c r="S2" i="13"/>
  <c r="N2" i="13"/>
  <c r="I2" i="13"/>
  <c r="D2" i="13"/>
  <c r="A1" i="13"/>
  <c r="ES40" i="12"/>
  <c r="EN40" i="12"/>
  <c r="EI40" i="12"/>
  <c r="ED40" i="12"/>
  <c r="DY40" i="12"/>
  <c r="DT40" i="12"/>
  <c r="DO40" i="12"/>
  <c r="DJ40" i="12"/>
  <c r="DE40" i="12"/>
  <c r="CZ40" i="12"/>
  <c r="CU40" i="12"/>
  <c r="CP40" i="12"/>
  <c r="CK40" i="12"/>
  <c r="CF40" i="12"/>
  <c r="CA40" i="12"/>
  <c r="BV40" i="12"/>
  <c r="BQ40" i="12"/>
  <c r="BL40" i="12"/>
  <c r="BG40" i="12"/>
  <c r="BB40" i="12"/>
  <c r="AW40" i="12"/>
  <c r="AR40" i="12"/>
  <c r="AM40" i="12"/>
  <c r="AH40" i="12"/>
  <c r="AC40" i="12"/>
  <c r="X40" i="12"/>
  <c r="S40" i="12"/>
  <c r="N40" i="12"/>
  <c r="I40" i="12"/>
  <c r="D40" i="12"/>
  <c r="ES39" i="12"/>
  <c r="EN39" i="12"/>
  <c r="EI39" i="12"/>
  <c r="ED39" i="12"/>
  <c r="DY39" i="12"/>
  <c r="DT39" i="12"/>
  <c r="DO39" i="12"/>
  <c r="DJ39" i="12"/>
  <c r="DE39" i="12"/>
  <c r="CZ39" i="12"/>
  <c r="CU39" i="12"/>
  <c r="CP39" i="12"/>
  <c r="CK39" i="12"/>
  <c r="CF39" i="12"/>
  <c r="CA39" i="12"/>
  <c r="BV39" i="12"/>
  <c r="BQ39" i="12"/>
  <c r="BL39" i="12"/>
  <c r="BG39" i="12"/>
  <c r="BB39" i="12"/>
  <c r="AW39" i="12"/>
  <c r="AR39" i="12"/>
  <c r="AM39" i="12"/>
  <c r="AH39" i="12"/>
  <c r="AC39" i="12"/>
  <c r="X39" i="12"/>
  <c r="S39" i="12"/>
  <c r="N39" i="12"/>
  <c r="I39" i="12"/>
  <c r="D39" i="12"/>
  <c r="ES38" i="12"/>
  <c r="EN38" i="12"/>
  <c r="EI38" i="12"/>
  <c r="ED38" i="12"/>
  <c r="DY38" i="12"/>
  <c r="DT38" i="12"/>
  <c r="DO38" i="12"/>
  <c r="DJ38" i="12"/>
  <c r="DE38" i="12"/>
  <c r="CZ38" i="12"/>
  <c r="CU38" i="12"/>
  <c r="CP38" i="12"/>
  <c r="CK38" i="12"/>
  <c r="CF38" i="12"/>
  <c r="CA38" i="12"/>
  <c r="BV38" i="12"/>
  <c r="BQ38" i="12"/>
  <c r="BL38" i="12"/>
  <c r="BG38" i="12"/>
  <c r="BB38" i="12"/>
  <c r="AW38" i="12"/>
  <c r="AR38" i="12"/>
  <c r="AM38" i="12"/>
  <c r="AH38" i="12"/>
  <c r="AC38" i="12"/>
  <c r="X38" i="12"/>
  <c r="S38" i="12"/>
  <c r="N38" i="12"/>
  <c r="I38" i="12"/>
  <c r="D38" i="12"/>
  <c r="ES37" i="12"/>
  <c r="EN37" i="12"/>
  <c r="EI37" i="12"/>
  <c r="ED37" i="12"/>
  <c r="DY37" i="12"/>
  <c r="DT37" i="12"/>
  <c r="DO37" i="12"/>
  <c r="DJ37" i="12"/>
  <c r="DE37" i="12"/>
  <c r="CZ37" i="12"/>
  <c r="CU37" i="12"/>
  <c r="CP37" i="12"/>
  <c r="CK37" i="12"/>
  <c r="CF37" i="12"/>
  <c r="CA37" i="12"/>
  <c r="BV37" i="12"/>
  <c r="BQ37" i="12"/>
  <c r="BL37" i="12"/>
  <c r="BG37" i="12"/>
  <c r="BB37" i="12"/>
  <c r="AW37" i="12"/>
  <c r="AR37" i="12"/>
  <c r="AM37" i="12"/>
  <c r="AH37" i="12"/>
  <c r="AC37" i="12"/>
  <c r="X37" i="12"/>
  <c r="S37" i="12"/>
  <c r="N37" i="12"/>
  <c r="I37" i="12"/>
  <c r="D37" i="12"/>
  <c r="ES36" i="12"/>
  <c r="EN36" i="12"/>
  <c r="EI36" i="12"/>
  <c r="ED36" i="12"/>
  <c r="DY36" i="12"/>
  <c r="DT36" i="12"/>
  <c r="DO36" i="12"/>
  <c r="DJ36" i="12"/>
  <c r="DE36" i="12"/>
  <c r="CZ36" i="12"/>
  <c r="CU36" i="12"/>
  <c r="CP36" i="12"/>
  <c r="CK36" i="12"/>
  <c r="CF36" i="12"/>
  <c r="CA36" i="12"/>
  <c r="BV36" i="12"/>
  <c r="BQ36" i="12"/>
  <c r="BL36" i="12"/>
  <c r="BG36" i="12"/>
  <c r="BB36" i="12"/>
  <c r="AW36" i="12"/>
  <c r="AR36" i="12"/>
  <c r="AM36" i="12"/>
  <c r="AH36" i="12"/>
  <c r="AC36" i="12"/>
  <c r="X36" i="12"/>
  <c r="S36" i="12"/>
  <c r="N36" i="12"/>
  <c r="I36" i="12"/>
  <c r="D36" i="12"/>
  <c r="ES35" i="12"/>
  <c r="EN35" i="12"/>
  <c r="EI35" i="12"/>
  <c r="ED35" i="12"/>
  <c r="DY35" i="12"/>
  <c r="DT35" i="12"/>
  <c r="DO35" i="12"/>
  <c r="DJ35" i="12"/>
  <c r="DE35" i="12"/>
  <c r="CZ35" i="12"/>
  <c r="CU35" i="12"/>
  <c r="CP35" i="12"/>
  <c r="CK35" i="12"/>
  <c r="CF35" i="12"/>
  <c r="CA35" i="12"/>
  <c r="BV35" i="12"/>
  <c r="BQ35" i="12"/>
  <c r="BL35" i="12"/>
  <c r="BG35" i="12"/>
  <c r="BB35" i="12"/>
  <c r="AW35" i="12"/>
  <c r="AR35" i="12"/>
  <c r="AM35" i="12"/>
  <c r="AH35" i="12"/>
  <c r="AC35" i="12"/>
  <c r="X35" i="12"/>
  <c r="S35" i="12"/>
  <c r="N35" i="12"/>
  <c r="I35" i="12"/>
  <c r="D35" i="12"/>
  <c r="EV34" i="12"/>
  <c r="EU34" i="12"/>
  <c r="EQ34" i="12"/>
  <c r="EP34" i="12"/>
  <c r="EL34" i="12"/>
  <c r="EK34" i="12"/>
  <c r="EG34" i="12"/>
  <c r="EF34" i="12"/>
  <c r="EB34" i="12"/>
  <c r="EA34" i="12"/>
  <c r="DW34" i="12"/>
  <c r="DV34" i="12"/>
  <c r="DR34" i="12"/>
  <c r="DQ34" i="12"/>
  <c r="DM34" i="12"/>
  <c r="DL34" i="12"/>
  <c r="DH34" i="12"/>
  <c r="DG34" i="12"/>
  <c r="DC34" i="12"/>
  <c r="DB34" i="12"/>
  <c r="CX34" i="12"/>
  <c r="CW34" i="12"/>
  <c r="CS34" i="12"/>
  <c r="CR34" i="12"/>
  <c r="CN34" i="12"/>
  <c r="CM34" i="12"/>
  <c r="CI34" i="12"/>
  <c r="CH34" i="12"/>
  <c r="CD34" i="12"/>
  <c r="CC34" i="12"/>
  <c r="BY34" i="12"/>
  <c r="BX34" i="12"/>
  <c r="BT34" i="12"/>
  <c r="BS34" i="12"/>
  <c r="BO34" i="12"/>
  <c r="BN34" i="12"/>
  <c r="BJ34" i="12"/>
  <c r="BI34" i="12"/>
  <c r="BE34" i="12"/>
  <c r="BD34" i="12"/>
  <c r="AZ34" i="12"/>
  <c r="AY34" i="12"/>
  <c r="AU34" i="12"/>
  <c r="AT34" i="12"/>
  <c r="AP34" i="12"/>
  <c r="AO34" i="12"/>
  <c r="AK34" i="12"/>
  <c r="AJ34" i="12"/>
  <c r="AF34" i="12"/>
  <c r="AE34" i="12"/>
  <c r="AA34" i="12"/>
  <c r="Z34" i="12"/>
  <c r="V34" i="12"/>
  <c r="U34" i="12"/>
  <c r="Q34" i="12"/>
  <c r="P34" i="12"/>
  <c r="L34" i="12"/>
  <c r="K34" i="12"/>
  <c r="G34" i="12"/>
  <c r="F34" i="12"/>
  <c r="C34" i="12"/>
  <c r="B34" i="12"/>
  <c r="A34" i="12"/>
  <c r="EV33" i="12"/>
  <c r="EU33" i="12"/>
  <c r="EQ33" i="12"/>
  <c r="EP33" i="12"/>
  <c r="EL33" i="12"/>
  <c r="EK33" i="12"/>
  <c r="EG33" i="12"/>
  <c r="EF33" i="12"/>
  <c r="EB33" i="12"/>
  <c r="EA33" i="12"/>
  <c r="DW33" i="12"/>
  <c r="DV33" i="12"/>
  <c r="DR33" i="12"/>
  <c r="DQ33" i="12"/>
  <c r="DM33" i="12"/>
  <c r="DL33" i="12"/>
  <c r="DH33" i="12"/>
  <c r="DG33" i="12"/>
  <c r="DC33" i="12"/>
  <c r="DB33" i="12"/>
  <c r="CX33" i="12"/>
  <c r="CW33" i="12"/>
  <c r="CS33" i="12"/>
  <c r="CR33" i="12"/>
  <c r="CN33" i="12"/>
  <c r="CM33" i="12"/>
  <c r="CI33" i="12"/>
  <c r="CH33" i="12"/>
  <c r="CD33" i="12"/>
  <c r="CC33" i="12"/>
  <c r="BY33" i="12"/>
  <c r="BX33" i="12"/>
  <c r="BT33" i="12"/>
  <c r="BS33" i="12"/>
  <c r="BO33" i="12"/>
  <c r="BN33" i="12"/>
  <c r="BJ33" i="12"/>
  <c r="BI33" i="12"/>
  <c r="BE33" i="12"/>
  <c r="BD33" i="12"/>
  <c r="AZ33" i="12"/>
  <c r="AY33" i="12"/>
  <c r="AU33" i="12"/>
  <c r="AT33" i="12"/>
  <c r="AP33" i="12"/>
  <c r="AO33" i="12"/>
  <c r="AK33" i="12"/>
  <c r="AJ33" i="12"/>
  <c r="AF33" i="12"/>
  <c r="AE33" i="12"/>
  <c r="AA33" i="12"/>
  <c r="Z33" i="12"/>
  <c r="V33" i="12"/>
  <c r="U33" i="12"/>
  <c r="Q33" i="12"/>
  <c r="P33" i="12"/>
  <c r="L33" i="12"/>
  <c r="K33" i="12"/>
  <c r="G33" i="12"/>
  <c r="F33" i="12"/>
  <c r="C33" i="12"/>
  <c r="B33" i="12"/>
  <c r="A33" i="12"/>
  <c r="EV32" i="12"/>
  <c r="EU32" i="12"/>
  <c r="EQ32" i="12"/>
  <c r="EP32" i="12"/>
  <c r="EL32" i="12"/>
  <c r="EK32" i="12"/>
  <c r="EG32" i="12"/>
  <c r="EF32" i="12"/>
  <c r="EB32" i="12"/>
  <c r="EA32" i="12"/>
  <c r="DW32" i="12"/>
  <c r="DV32" i="12"/>
  <c r="DR32" i="12"/>
  <c r="DQ32" i="12"/>
  <c r="DM32" i="12"/>
  <c r="DL32" i="12"/>
  <c r="DH32" i="12"/>
  <c r="DG32" i="12"/>
  <c r="DC32" i="12"/>
  <c r="DB32" i="12"/>
  <c r="CX32" i="12"/>
  <c r="CW32" i="12"/>
  <c r="CS32" i="12"/>
  <c r="CR32" i="12"/>
  <c r="CN32" i="12"/>
  <c r="CM32" i="12"/>
  <c r="CI32" i="12"/>
  <c r="CH32" i="12"/>
  <c r="CD32" i="12"/>
  <c r="CC32" i="12"/>
  <c r="BY32" i="12"/>
  <c r="BX32" i="12"/>
  <c r="BT32" i="12"/>
  <c r="BS32" i="12"/>
  <c r="BO32" i="12"/>
  <c r="BN32" i="12"/>
  <c r="BJ32" i="12"/>
  <c r="BI32" i="12"/>
  <c r="BE32" i="12"/>
  <c r="BD32" i="12"/>
  <c r="AZ32" i="12"/>
  <c r="AY32" i="12"/>
  <c r="AU32" i="12"/>
  <c r="AT32" i="12"/>
  <c r="AP32" i="12"/>
  <c r="AO32" i="12"/>
  <c r="AK32" i="12"/>
  <c r="AJ32" i="12"/>
  <c r="AF32" i="12"/>
  <c r="AE32" i="12"/>
  <c r="AA32" i="12"/>
  <c r="Z32" i="12"/>
  <c r="V32" i="12"/>
  <c r="U32" i="12"/>
  <c r="Q32" i="12"/>
  <c r="P32" i="12"/>
  <c r="L32" i="12"/>
  <c r="K32" i="12"/>
  <c r="G32" i="12"/>
  <c r="F32" i="12"/>
  <c r="C32" i="12"/>
  <c r="B32" i="12"/>
  <c r="A32" i="12"/>
  <c r="EV31" i="12"/>
  <c r="EU31" i="12"/>
  <c r="EQ31" i="12"/>
  <c r="EP31" i="12"/>
  <c r="EL31" i="12"/>
  <c r="EK31" i="12"/>
  <c r="EG31" i="12"/>
  <c r="EF31" i="12"/>
  <c r="EB31" i="12"/>
  <c r="EA31" i="12"/>
  <c r="DW31" i="12"/>
  <c r="DV31" i="12"/>
  <c r="DR31" i="12"/>
  <c r="DQ31" i="12"/>
  <c r="DM31" i="12"/>
  <c r="DL31" i="12"/>
  <c r="DH31" i="12"/>
  <c r="DG31" i="12"/>
  <c r="DC31" i="12"/>
  <c r="DB31" i="12"/>
  <c r="CX31" i="12"/>
  <c r="CW31" i="12"/>
  <c r="CS31" i="12"/>
  <c r="CR31" i="12"/>
  <c r="CN31" i="12"/>
  <c r="CM31" i="12"/>
  <c r="CI31" i="12"/>
  <c r="CH31" i="12"/>
  <c r="CD31" i="12"/>
  <c r="CC31" i="12"/>
  <c r="BY31" i="12"/>
  <c r="BX31" i="12"/>
  <c r="BT31" i="12"/>
  <c r="BS31" i="12"/>
  <c r="BO31" i="12"/>
  <c r="BN31" i="12"/>
  <c r="BJ31" i="12"/>
  <c r="BI31" i="12"/>
  <c r="BE31" i="12"/>
  <c r="BD31" i="12"/>
  <c r="AZ31" i="12"/>
  <c r="AY31" i="12"/>
  <c r="AU31" i="12"/>
  <c r="AT31" i="12"/>
  <c r="AP31" i="12"/>
  <c r="AO31" i="12"/>
  <c r="AK31" i="12"/>
  <c r="AJ31" i="12"/>
  <c r="AF31" i="12"/>
  <c r="AE31" i="12"/>
  <c r="AA31" i="12"/>
  <c r="Z31" i="12"/>
  <c r="V31" i="12"/>
  <c r="U31" i="12"/>
  <c r="Q31" i="12"/>
  <c r="P31" i="12"/>
  <c r="L31" i="12"/>
  <c r="K31" i="12"/>
  <c r="G31" i="12"/>
  <c r="F31" i="12"/>
  <c r="C31" i="12"/>
  <c r="B31" i="12"/>
  <c r="A31" i="12"/>
  <c r="EV30" i="12"/>
  <c r="EU30" i="12"/>
  <c r="EQ30" i="12"/>
  <c r="EP30" i="12"/>
  <c r="EL30" i="12"/>
  <c r="EK30" i="12"/>
  <c r="EG30" i="12"/>
  <c r="EF30" i="12"/>
  <c r="EB30" i="12"/>
  <c r="EA30" i="12"/>
  <c r="DW30" i="12"/>
  <c r="DV30" i="12"/>
  <c r="DR30" i="12"/>
  <c r="DQ30" i="12"/>
  <c r="DM30" i="12"/>
  <c r="DL30" i="12"/>
  <c r="DH30" i="12"/>
  <c r="DG30" i="12"/>
  <c r="DC30" i="12"/>
  <c r="DB30" i="12"/>
  <c r="CX30" i="12"/>
  <c r="CW30" i="12"/>
  <c r="CS30" i="12"/>
  <c r="CR30" i="12"/>
  <c r="CN30" i="12"/>
  <c r="CM30" i="12"/>
  <c r="CI30" i="12"/>
  <c r="CH30" i="12"/>
  <c r="CD30" i="12"/>
  <c r="CC30" i="12"/>
  <c r="BY30" i="12"/>
  <c r="BX30" i="12"/>
  <c r="BT30" i="12"/>
  <c r="BS30" i="12"/>
  <c r="BO30" i="12"/>
  <c r="BN30" i="12"/>
  <c r="BJ30" i="12"/>
  <c r="BI30" i="12"/>
  <c r="BE30" i="12"/>
  <c r="BD30" i="12"/>
  <c r="AZ30" i="12"/>
  <c r="AY30" i="12"/>
  <c r="AU30" i="12"/>
  <c r="AT30" i="12"/>
  <c r="AP30" i="12"/>
  <c r="AO30" i="12"/>
  <c r="AK30" i="12"/>
  <c r="AJ30" i="12"/>
  <c r="AF30" i="12"/>
  <c r="AE30" i="12"/>
  <c r="AA30" i="12"/>
  <c r="Z30" i="12"/>
  <c r="V30" i="12"/>
  <c r="U30" i="12"/>
  <c r="Q30" i="12"/>
  <c r="P30" i="12"/>
  <c r="L30" i="12"/>
  <c r="K30" i="12"/>
  <c r="G30" i="12"/>
  <c r="F30" i="12"/>
  <c r="C30" i="12"/>
  <c r="B30" i="12"/>
  <c r="A30" i="12"/>
  <c r="EV29" i="12"/>
  <c r="EU29" i="12"/>
  <c r="EQ29" i="12"/>
  <c r="EP29" i="12"/>
  <c r="EL29" i="12"/>
  <c r="EK29" i="12"/>
  <c r="EG29" i="12"/>
  <c r="EF29" i="12"/>
  <c r="EB29" i="12"/>
  <c r="EA29" i="12"/>
  <c r="DW29" i="12"/>
  <c r="DV29" i="12"/>
  <c r="DR29" i="12"/>
  <c r="DQ29" i="12"/>
  <c r="DM29" i="12"/>
  <c r="DL29" i="12"/>
  <c r="DH29" i="12"/>
  <c r="DG29" i="12"/>
  <c r="DC29" i="12"/>
  <c r="DB29" i="12"/>
  <c r="CX29" i="12"/>
  <c r="CW29" i="12"/>
  <c r="CS29" i="12"/>
  <c r="CR29" i="12"/>
  <c r="CN29" i="12"/>
  <c r="CM29" i="12"/>
  <c r="CI29" i="12"/>
  <c r="CH29" i="12"/>
  <c r="CD29" i="12"/>
  <c r="CC29" i="12"/>
  <c r="BY29" i="12"/>
  <c r="BX29" i="12"/>
  <c r="BT29" i="12"/>
  <c r="BS29" i="12"/>
  <c r="BO29" i="12"/>
  <c r="BN29" i="12"/>
  <c r="BJ29" i="12"/>
  <c r="BI29" i="12"/>
  <c r="BE29" i="12"/>
  <c r="BD29" i="12"/>
  <c r="AZ29" i="12"/>
  <c r="AY29" i="12"/>
  <c r="AU29" i="12"/>
  <c r="AT29" i="12"/>
  <c r="AP29" i="12"/>
  <c r="AO29" i="12"/>
  <c r="AK29" i="12"/>
  <c r="AJ29" i="12"/>
  <c r="AF29" i="12"/>
  <c r="AE29" i="12"/>
  <c r="AA29" i="12"/>
  <c r="Z29" i="12"/>
  <c r="V29" i="12"/>
  <c r="U29" i="12"/>
  <c r="Q29" i="12"/>
  <c r="P29" i="12"/>
  <c r="L29" i="12"/>
  <c r="K29" i="12"/>
  <c r="G29" i="12"/>
  <c r="F29" i="12"/>
  <c r="C29" i="12"/>
  <c r="B29" i="12"/>
  <c r="A29" i="12"/>
  <c r="EV28" i="12"/>
  <c r="EU28" i="12"/>
  <c r="EQ28" i="12"/>
  <c r="EP28" i="12"/>
  <c r="EL28" i="12"/>
  <c r="EK28" i="12"/>
  <c r="EG28" i="12"/>
  <c r="EF28" i="12"/>
  <c r="EB28" i="12"/>
  <c r="EA28" i="12"/>
  <c r="DW28" i="12"/>
  <c r="DV28" i="12"/>
  <c r="DR28" i="12"/>
  <c r="DQ28" i="12"/>
  <c r="DM28" i="12"/>
  <c r="DL28" i="12"/>
  <c r="DH28" i="12"/>
  <c r="DG28" i="12"/>
  <c r="DC28" i="12"/>
  <c r="DB28" i="12"/>
  <c r="CX28" i="12"/>
  <c r="CW28" i="12"/>
  <c r="CS28" i="12"/>
  <c r="CR28" i="12"/>
  <c r="CN28" i="12"/>
  <c r="CM28" i="12"/>
  <c r="CI28" i="12"/>
  <c r="CH28" i="12"/>
  <c r="CD28" i="12"/>
  <c r="CC28" i="12"/>
  <c r="BY28" i="12"/>
  <c r="BX28" i="12"/>
  <c r="BT28" i="12"/>
  <c r="BS28" i="12"/>
  <c r="BO28" i="12"/>
  <c r="BN28" i="12"/>
  <c r="BJ28" i="12"/>
  <c r="BI28" i="12"/>
  <c r="BE28" i="12"/>
  <c r="BD28" i="12"/>
  <c r="AZ28" i="12"/>
  <c r="AY28" i="12"/>
  <c r="AU28" i="12"/>
  <c r="AT28" i="12"/>
  <c r="AP28" i="12"/>
  <c r="AO28" i="12"/>
  <c r="AK28" i="12"/>
  <c r="AJ28" i="12"/>
  <c r="AF28" i="12"/>
  <c r="AE28" i="12"/>
  <c r="AA28" i="12"/>
  <c r="Z28" i="12"/>
  <c r="V28" i="12"/>
  <c r="U28" i="12"/>
  <c r="Q28" i="12"/>
  <c r="P28" i="12"/>
  <c r="L28" i="12"/>
  <c r="K28" i="12"/>
  <c r="G28" i="12"/>
  <c r="F28" i="12"/>
  <c r="C28" i="12"/>
  <c r="B28" i="12"/>
  <c r="A28" i="12"/>
  <c r="EV27" i="12"/>
  <c r="EU27" i="12"/>
  <c r="EQ27" i="12"/>
  <c r="EP27" i="12"/>
  <c r="EL27" i="12"/>
  <c r="EK27" i="12"/>
  <c r="EG27" i="12"/>
  <c r="EF27" i="12"/>
  <c r="EB27" i="12"/>
  <c r="EA27" i="12"/>
  <c r="DW27" i="12"/>
  <c r="DV27" i="12"/>
  <c r="DR27" i="12"/>
  <c r="DQ27" i="12"/>
  <c r="DM27" i="12"/>
  <c r="DL27" i="12"/>
  <c r="DH27" i="12"/>
  <c r="DG27" i="12"/>
  <c r="DC27" i="12"/>
  <c r="DB27" i="12"/>
  <c r="CX27" i="12"/>
  <c r="CW27" i="12"/>
  <c r="CS27" i="12"/>
  <c r="CR27" i="12"/>
  <c r="CN27" i="12"/>
  <c r="CM27" i="12"/>
  <c r="CI27" i="12"/>
  <c r="CH27" i="12"/>
  <c r="CD27" i="12"/>
  <c r="CC27" i="12"/>
  <c r="BY27" i="12"/>
  <c r="BX27" i="12"/>
  <c r="BT27" i="12"/>
  <c r="BS27" i="12"/>
  <c r="BO27" i="12"/>
  <c r="BN27" i="12"/>
  <c r="BJ27" i="12"/>
  <c r="BI27" i="12"/>
  <c r="BE27" i="12"/>
  <c r="BD27" i="12"/>
  <c r="AZ27" i="12"/>
  <c r="AY27" i="12"/>
  <c r="AU27" i="12"/>
  <c r="AT27" i="12"/>
  <c r="AP27" i="12"/>
  <c r="AO27" i="12"/>
  <c r="AK27" i="12"/>
  <c r="AJ27" i="12"/>
  <c r="AF27" i="12"/>
  <c r="AE27" i="12"/>
  <c r="AA27" i="12"/>
  <c r="Z27" i="12"/>
  <c r="V27" i="12"/>
  <c r="U27" i="12"/>
  <c r="Q27" i="12"/>
  <c r="P27" i="12"/>
  <c r="L27" i="12"/>
  <c r="K27" i="12"/>
  <c r="G27" i="12"/>
  <c r="F27" i="12"/>
  <c r="C27" i="12"/>
  <c r="B27" i="12"/>
  <c r="A27" i="12"/>
  <c r="EV26" i="12"/>
  <c r="EU26" i="12"/>
  <c r="EQ26" i="12"/>
  <c r="EP26" i="12"/>
  <c r="EL26" i="12"/>
  <c r="EK26" i="12"/>
  <c r="EG26" i="12"/>
  <c r="EF26" i="12"/>
  <c r="EB26" i="12"/>
  <c r="EA26" i="12"/>
  <c r="DW26" i="12"/>
  <c r="DV26" i="12"/>
  <c r="DR26" i="12"/>
  <c r="DQ26" i="12"/>
  <c r="DM26" i="12"/>
  <c r="DL26" i="12"/>
  <c r="DH26" i="12"/>
  <c r="DG26" i="12"/>
  <c r="DC26" i="12"/>
  <c r="DB26" i="12"/>
  <c r="CX26" i="12"/>
  <c r="CW26" i="12"/>
  <c r="CS26" i="12"/>
  <c r="CR26" i="12"/>
  <c r="CN26" i="12"/>
  <c r="CM26" i="12"/>
  <c r="CI26" i="12"/>
  <c r="CH26" i="12"/>
  <c r="CD26" i="12"/>
  <c r="CC26" i="12"/>
  <c r="BY26" i="12"/>
  <c r="BX26" i="12"/>
  <c r="BT26" i="12"/>
  <c r="BS26" i="12"/>
  <c r="BO26" i="12"/>
  <c r="BN26" i="12"/>
  <c r="BJ26" i="12"/>
  <c r="BI26" i="12"/>
  <c r="BE26" i="12"/>
  <c r="BD26" i="12"/>
  <c r="AZ26" i="12"/>
  <c r="AY26" i="12"/>
  <c r="AU26" i="12"/>
  <c r="AT26" i="12"/>
  <c r="AP26" i="12"/>
  <c r="AO26" i="12"/>
  <c r="AK26" i="12"/>
  <c r="AJ26" i="12"/>
  <c r="AF26" i="12"/>
  <c r="AE26" i="12"/>
  <c r="AA26" i="12"/>
  <c r="Z26" i="12"/>
  <c r="V26" i="12"/>
  <c r="U26" i="12"/>
  <c r="Q26" i="12"/>
  <c r="P26" i="12"/>
  <c r="L26" i="12"/>
  <c r="K26" i="12"/>
  <c r="G26" i="12"/>
  <c r="F26" i="12"/>
  <c r="C26" i="12"/>
  <c r="B26" i="12"/>
  <c r="A26" i="12"/>
  <c r="EV25" i="12"/>
  <c r="EU25" i="12"/>
  <c r="EQ25" i="12"/>
  <c r="EP25" i="12"/>
  <c r="EL25" i="12"/>
  <c r="EK25" i="12"/>
  <c r="EG25" i="12"/>
  <c r="EF25" i="12"/>
  <c r="EB25" i="12"/>
  <c r="EA25" i="12"/>
  <c r="DW25" i="12"/>
  <c r="DV25" i="12"/>
  <c r="DR25" i="12"/>
  <c r="DQ25" i="12"/>
  <c r="DM25" i="12"/>
  <c r="DL25" i="12"/>
  <c r="DH25" i="12"/>
  <c r="DG25" i="12"/>
  <c r="DC25" i="12"/>
  <c r="DB25" i="12"/>
  <c r="CX25" i="12"/>
  <c r="CW25" i="12"/>
  <c r="CS25" i="12"/>
  <c r="CR25" i="12"/>
  <c r="CN25" i="12"/>
  <c r="CM25" i="12"/>
  <c r="CI25" i="12"/>
  <c r="CH25" i="12"/>
  <c r="CD25" i="12"/>
  <c r="CC25" i="12"/>
  <c r="BY25" i="12"/>
  <c r="BX25" i="12"/>
  <c r="BT25" i="12"/>
  <c r="BS25" i="12"/>
  <c r="BO25" i="12"/>
  <c r="BN25" i="12"/>
  <c r="BJ25" i="12"/>
  <c r="BI25" i="12"/>
  <c r="BE25" i="12"/>
  <c r="BD25" i="12"/>
  <c r="AZ25" i="12"/>
  <c r="AY25" i="12"/>
  <c r="AU25" i="12"/>
  <c r="AT25" i="12"/>
  <c r="AP25" i="12"/>
  <c r="AO25" i="12"/>
  <c r="AK25" i="12"/>
  <c r="AJ25" i="12"/>
  <c r="AF25" i="12"/>
  <c r="AE25" i="12"/>
  <c r="AA25" i="12"/>
  <c r="Z25" i="12"/>
  <c r="V25" i="12"/>
  <c r="U25" i="12"/>
  <c r="Q25" i="12"/>
  <c r="P25" i="12"/>
  <c r="L25" i="12"/>
  <c r="K25" i="12"/>
  <c r="G25" i="12"/>
  <c r="F25" i="12"/>
  <c r="C25" i="12"/>
  <c r="B25" i="12"/>
  <c r="A25" i="12"/>
  <c r="EV24" i="12"/>
  <c r="EU24" i="12"/>
  <c r="EQ24" i="12"/>
  <c r="EP24" i="12"/>
  <c r="EL24" i="12"/>
  <c r="EK24" i="12"/>
  <c r="EG24" i="12"/>
  <c r="EF24" i="12"/>
  <c r="EB24" i="12"/>
  <c r="EA24" i="12"/>
  <c r="DW24" i="12"/>
  <c r="DV24" i="12"/>
  <c r="DR24" i="12"/>
  <c r="DQ24" i="12"/>
  <c r="DM24" i="12"/>
  <c r="DL24" i="12"/>
  <c r="DH24" i="12"/>
  <c r="DG24" i="12"/>
  <c r="DC24" i="12"/>
  <c r="DB24" i="12"/>
  <c r="CX24" i="12"/>
  <c r="CW24" i="12"/>
  <c r="CS24" i="12"/>
  <c r="CR24" i="12"/>
  <c r="CN24" i="12"/>
  <c r="CM24" i="12"/>
  <c r="CI24" i="12"/>
  <c r="CH24" i="12"/>
  <c r="CD24" i="12"/>
  <c r="CC24" i="12"/>
  <c r="BY24" i="12"/>
  <c r="BX24" i="12"/>
  <c r="BT24" i="12"/>
  <c r="BS24" i="12"/>
  <c r="BO24" i="12"/>
  <c r="BN24" i="12"/>
  <c r="BJ24" i="12"/>
  <c r="BI24" i="12"/>
  <c r="BE24" i="12"/>
  <c r="BD24" i="12"/>
  <c r="AZ24" i="12"/>
  <c r="AY24" i="12"/>
  <c r="AU24" i="12"/>
  <c r="AT24" i="12"/>
  <c r="AP24" i="12"/>
  <c r="AO24" i="12"/>
  <c r="AK24" i="12"/>
  <c r="AJ24" i="12"/>
  <c r="AF24" i="12"/>
  <c r="AE24" i="12"/>
  <c r="AA24" i="12"/>
  <c r="Z24" i="12"/>
  <c r="V24" i="12"/>
  <c r="U24" i="12"/>
  <c r="Q24" i="12"/>
  <c r="P24" i="12"/>
  <c r="L24" i="12"/>
  <c r="K24" i="12"/>
  <c r="G24" i="12"/>
  <c r="F24" i="12"/>
  <c r="C24" i="12"/>
  <c r="B24" i="12"/>
  <c r="A24" i="12"/>
  <c r="EV23" i="12"/>
  <c r="EU23" i="12"/>
  <c r="EQ23" i="12"/>
  <c r="EP23" i="12"/>
  <c r="EL23" i="12"/>
  <c r="EK23" i="12"/>
  <c r="EG23" i="12"/>
  <c r="EF23" i="12"/>
  <c r="EB23" i="12"/>
  <c r="EA23" i="12"/>
  <c r="DW23" i="12"/>
  <c r="DV23" i="12"/>
  <c r="DR23" i="12"/>
  <c r="DQ23" i="12"/>
  <c r="DM23" i="12"/>
  <c r="DL23" i="12"/>
  <c r="DH23" i="12"/>
  <c r="DG23" i="12"/>
  <c r="DC23" i="12"/>
  <c r="DB23" i="12"/>
  <c r="CX23" i="12"/>
  <c r="CW23" i="12"/>
  <c r="CS23" i="12"/>
  <c r="CR23" i="12"/>
  <c r="CN23" i="12"/>
  <c r="CM23" i="12"/>
  <c r="CI23" i="12"/>
  <c r="CH23" i="12"/>
  <c r="CD23" i="12"/>
  <c r="CC23" i="12"/>
  <c r="BY23" i="12"/>
  <c r="BX23" i="12"/>
  <c r="BT23" i="12"/>
  <c r="BS23" i="12"/>
  <c r="BO23" i="12"/>
  <c r="BN23" i="12"/>
  <c r="BJ23" i="12"/>
  <c r="BI23" i="12"/>
  <c r="BE23" i="12"/>
  <c r="BD23" i="12"/>
  <c r="AZ23" i="12"/>
  <c r="AY23" i="12"/>
  <c r="AU23" i="12"/>
  <c r="AT23" i="12"/>
  <c r="AP23" i="12"/>
  <c r="AO23" i="12"/>
  <c r="AK23" i="12"/>
  <c r="AJ23" i="12"/>
  <c r="AF23" i="12"/>
  <c r="AE23" i="12"/>
  <c r="AA23" i="12"/>
  <c r="Z23" i="12"/>
  <c r="V23" i="12"/>
  <c r="U23" i="12"/>
  <c r="Q23" i="12"/>
  <c r="P23" i="12"/>
  <c r="L23" i="12"/>
  <c r="K23" i="12"/>
  <c r="G23" i="12"/>
  <c r="F23" i="12"/>
  <c r="C23" i="12"/>
  <c r="B23" i="12"/>
  <c r="A23" i="12"/>
  <c r="EV22" i="12"/>
  <c r="EU22" i="12"/>
  <c r="EQ22" i="12"/>
  <c r="EP22" i="12"/>
  <c r="EL22" i="12"/>
  <c r="EK22" i="12"/>
  <c r="EG22" i="12"/>
  <c r="EF22" i="12"/>
  <c r="EB22" i="12"/>
  <c r="EA22" i="12"/>
  <c r="DW22" i="12"/>
  <c r="DV22" i="12"/>
  <c r="DR22" i="12"/>
  <c r="DQ22" i="12"/>
  <c r="DM22" i="12"/>
  <c r="DL22" i="12"/>
  <c r="DH22" i="12"/>
  <c r="DG22" i="12"/>
  <c r="DC22" i="12"/>
  <c r="DB22" i="12"/>
  <c r="CX22" i="12"/>
  <c r="CW22" i="12"/>
  <c r="CS22" i="12"/>
  <c r="CR22" i="12"/>
  <c r="CN22" i="12"/>
  <c r="CM22" i="12"/>
  <c r="CI22" i="12"/>
  <c r="CH22" i="12"/>
  <c r="CD22" i="12"/>
  <c r="CC22" i="12"/>
  <c r="BY22" i="12"/>
  <c r="BX22" i="12"/>
  <c r="BT22" i="12"/>
  <c r="BS22" i="12"/>
  <c r="BO22" i="12"/>
  <c r="BN22" i="12"/>
  <c r="BJ22" i="12"/>
  <c r="BI22" i="12"/>
  <c r="BE22" i="12"/>
  <c r="BD22" i="12"/>
  <c r="AZ22" i="12"/>
  <c r="AY22" i="12"/>
  <c r="AU22" i="12"/>
  <c r="AT22" i="12"/>
  <c r="AP22" i="12"/>
  <c r="AO22" i="12"/>
  <c r="AK22" i="12"/>
  <c r="AJ22" i="12"/>
  <c r="AF22" i="12"/>
  <c r="AE22" i="12"/>
  <c r="AA22" i="12"/>
  <c r="Z22" i="12"/>
  <c r="V22" i="12"/>
  <c r="U22" i="12"/>
  <c r="Q22" i="12"/>
  <c r="P22" i="12"/>
  <c r="L22" i="12"/>
  <c r="K22" i="12"/>
  <c r="G22" i="12"/>
  <c r="F22" i="12"/>
  <c r="C22" i="12"/>
  <c r="B22" i="12"/>
  <c r="A22" i="12"/>
  <c r="EV21" i="12"/>
  <c r="EU21" i="12"/>
  <c r="EQ21" i="12"/>
  <c r="EP21" i="12"/>
  <c r="EL21" i="12"/>
  <c r="EK21" i="12"/>
  <c r="EG21" i="12"/>
  <c r="EF21" i="12"/>
  <c r="EB21" i="12"/>
  <c r="EA21" i="12"/>
  <c r="DW21" i="12"/>
  <c r="DV21" i="12"/>
  <c r="DR21" i="12"/>
  <c r="DQ21" i="12"/>
  <c r="DM21" i="12"/>
  <c r="DL21" i="12"/>
  <c r="DH21" i="12"/>
  <c r="DG21" i="12"/>
  <c r="DC21" i="12"/>
  <c r="DB21" i="12"/>
  <c r="CX21" i="12"/>
  <c r="CW21" i="12"/>
  <c r="CS21" i="12"/>
  <c r="CR21" i="12"/>
  <c r="CN21" i="12"/>
  <c r="CM21" i="12"/>
  <c r="CI21" i="12"/>
  <c r="CH21" i="12"/>
  <c r="CD21" i="12"/>
  <c r="CC21" i="12"/>
  <c r="BY21" i="12"/>
  <c r="BX21" i="12"/>
  <c r="BT21" i="12"/>
  <c r="BS21" i="12"/>
  <c r="BO21" i="12"/>
  <c r="BN21" i="12"/>
  <c r="BJ21" i="12"/>
  <c r="BI21" i="12"/>
  <c r="BE21" i="12"/>
  <c r="BD21" i="12"/>
  <c r="AZ21" i="12"/>
  <c r="AY21" i="12"/>
  <c r="AU21" i="12"/>
  <c r="AT21" i="12"/>
  <c r="AP21" i="12"/>
  <c r="AO21" i="12"/>
  <c r="AK21" i="12"/>
  <c r="AJ21" i="12"/>
  <c r="AF21" i="12"/>
  <c r="AE21" i="12"/>
  <c r="AA21" i="12"/>
  <c r="Z21" i="12"/>
  <c r="V21" i="12"/>
  <c r="U21" i="12"/>
  <c r="Q21" i="12"/>
  <c r="P21" i="12"/>
  <c r="L21" i="12"/>
  <c r="K21" i="12"/>
  <c r="G21" i="12"/>
  <c r="F21" i="12"/>
  <c r="C21" i="12"/>
  <c r="B21" i="12"/>
  <c r="A21" i="12"/>
  <c r="EV20" i="12"/>
  <c r="EU20" i="12"/>
  <c r="EQ20" i="12"/>
  <c r="EP20" i="12"/>
  <c r="EL20" i="12"/>
  <c r="EK20" i="12"/>
  <c r="EG20" i="12"/>
  <c r="EF20" i="12"/>
  <c r="EB20" i="12"/>
  <c r="EA20" i="12"/>
  <c r="DW20" i="12"/>
  <c r="DV20" i="12"/>
  <c r="DR20" i="12"/>
  <c r="DQ20" i="12"/>
  <c r="DM20" i="12"/>
  <c r="DL20" i="12"/>
  <c r="DH20" i="12"/>
  <c r="DG20" i="12"/>
  <c r="DC20" i="12"/>
  <c r="DB20" i="12"/>
  <c r="CX20" i="12"/>
  <c r="CW20" i="12"/>
  <c r="CS20" i="12"/>
  <c r="CR20" i="12"/>
  <c r="CN20" i="12"/>
  <c r="CM20" i="12"/>
  <c r="CI20" i="12"/>
  <c r="CH20" i="12"/>
  <c r="CD20" i="12"/>
  <c r="CC20" i="12"/>
  <c r="BY20" i="12"/>
  <c r="BX20" i="12"/>
  <c r="BT20" i="12"/>
  <c r="BS20" i="12"/>
  <c r="BO20" i="12"/>
  <c r="BN20" i="12"/>
  <c r="BJ20" i="12"/>
  <c r="BI20" i="12"/>
  <c r="BE20" i="12"/>
  <c r="BD20" i="12"/>
  <c r="AZ20" i="12"/>
  <c r="AY20" i="12"/>
  <c r="AU20" i="12"/>
  <c r="AT20" i="12"/>
  <c r="AP20" i="12"/>
  <c r="AO20" i="12"/>
  <c r="AK20" i="12"/>
  <c r="AJ20" i="12"/>
  <c r="AF20" i="12"/>
  <c r="AE20" i="12"/>
  <c r="AA20" i="12"/>
  <c r="Z20" i="12"/>
  <c r="V20" i="12"/>
  <c r="U20" i="12"/>
  <c r="Q20" i="12"/>
  <c r="P20" i="12"/>
  <c r="L20" i="12"/>
  <c r="K20" i="12"/>
  <c r="G20" i="12"/>
  <c r="F20" i="12"/>
  <c r="C20" i="12"/>
  <c r="B20" i="12"/>
  <c r="A20" i="12"/>
  <c r="EV19" i="12"/>
  <c r="EU19" i="12"/>
  <c r="EQ19" i="12"/>
  <c r="EP19" i="12"/>
  <c r="EL19" i="12"/>
  <c r="EK19" i="12"/>
  <c r="EG19" i="12"/>
  <c r="EF19" i="12"/>
  <c r="EB19" i="12"/>
  <c r="EA19" i="12"/>
  <c r="DW19" i="12"/>
  <c r="DV19" i="12"/>
  <c r="DR19" i="12"/>
  <c r="DQ19" i="12"/>
  <c r="DM19" i="12"/>
  <c r="DL19" i="12"/>
  <c r="DH19" i="12"/>
  <c r="DG19" i="12"/>
  <c r="DC19" i="12"/>
  <c r="DB19" i="12"/>
  <c r="CX19" i="12"/>
  <c r="CW19" i="12"/>
  <c r="CS19" i="12"/>
  <c r="CR19" i="12"/>
  <c r="CN19" i="12"/>
  <c r="CM19" i="12"/>
  <c r="CI19" i="12"/>
  <c r="CH19" i="12"/>
  <c r="CD19" i="12"/>
  <c r="CC19" i="12"/>
  <c r="BY19" i="12"/>
  <c r="BX19" i="12"/>
  <c r="BT19" i="12"/>
  <c r="BS19" i="12"/>
  <c r="BO19" i="12"/>
  <c r="BN19" i="12"/>
  <c r="BJ19" i="12"/>
  <c r="BI19" i="12"/>
  <c r="BE19" i="12"/>
  <c r="BD19" i="12"/>
  <c r="AZ19" i="12"/>
  <c r="AY19" i="12"/>
  <c r="AU19" i="12"/>
  <c r="AT19" i="12"/>
  <c r="AP19" i="12"/>
  <c r="AO19" i="12"/>
  <c r="AK19" i="12"/>
  <c r="AJ19" i="12"/>
  <c r="AF19" i="12"/>
  <c r="AE19" i="12"/>
  <c r="AA19" i="12"/>
  <c r="Z19" i="12"/>
  <c r="V19" i="12"/>
  <c r="U19" i="12"/>
  <c r="Q19" i="12"/>
  <c r="P19" i="12"/>
  <c r="L19" i="12"/>
  <c r="K19" i="12"/>
  <c r="G19" i="12"/>
  <c r="F19" i="12"/>
  <c r="C19" i="12"/>
  <c r="B19" i="12"/>
  <c r="A19" i="12"/>
  <c r="EV18" i="12"/>
  <c r="EU18" i="12"/>
  <c r="EQ18" i="12"/>
  <c r="EP18" i="12"/>
  <c r="EL18" i="12"/>
  <c r="EK18" i="12"/>
  <c r="EG18" i="12"/>
  <c r="EF18" i="12"/>
  <c r="EB18" i="12"/>
  <c r="EA18" i="12"/>
  <c r="DW18" i="12"/>
  <c r="DV18" i="12"/>
  <c r="DR18" i="12"/>
  <c r="DQ18" i="12"/>
  <c r="DM18" i="12"/>
  <c r="DL18" i="12"/>
  <c r="DH18" i="12"/>
  <c r="DG18" i="12"/>
  <c r="DC18" i="12"/>
  <c r="DB18" i="12"/>
  <c r="CX18" i="12"/>
  <c r="CW18" i="12"/>
  <c r="CS18" i="12"/>
  <c r="CR18" i="12"/>
  <c r="CN18" i="12"/>
  <c r="CM18" i="12"/>
  <c r="CI18" i="12"/>
  <c r="CH18" i="12"/>
  <c r="CD18" i="12"/>
  <c r="CC18" i="12"/>
  <c r="BY18" i="12"/>
  <c r="BX18" i="12"/>
  <c r="BT18" i="12"/>
  <c r="BS18" i="12"/>
  <c r="BO18" i="12"/>
  <c r="BN18" i="12"/>
  <c r="BJ18" i="12"/>
  <c r="BI18" i="12"/>
  <c r="BE18" i="12"/>
  <c r="BD18" i="12"/>
  <c r="AZ18" i="12"/>
  <c r="AY18" i="12"/>
  <c r="AU18" i="12"/>
  <c r="AT18" i="12"/>
  <c r="AP18" i="12"/>
  <c r="AO18" i="12"/>
  <c r="AK18" i="12"/>
  <c r="AJ18" i="12"/>
  <c r="AF18" i="12"/>
  <c r="AE18" i="12"/>
  <c r="AA18" i="12"/>
  <c r="Z18" i="12"/>
  <c r="V18" i="12"/>
  <c r="U18" i="12"/>
  <c r="Q18" i="12"/>
  <c r="P18" i="12"/>
  <c r="L18" i="12"/>
  <c r="K18" i="12"/>
  <c r="G18" i="12"/>
  <c r="F18" i="12"/>
  <c r="C18" i="12"/>
  <c r="B18" i="12"/>
  <c r="A18" i="12"/>
  <c r="EV17" i="12"/>
  <c r="EU17" i="12"/>
  <c r="EQ17" i="12"/>
  <c r="EP17" i="12"/>
  <c r="EL17" i="12"/>
  <c r="EK17" i="12"/>
  <c r="EG17" i="12"/>
  <c r="EF17" i="12"/>
  <c r="EB17" i="12"/>
  <c r="EA17" i="12"/>
  <c r="DW17" i="12"/>
  <c r="DV17" i="12"/>
  <c r="DR17" i="12"/>
  <c r="DQ17" i="12"/>
  <c r="DM17" i="12"/>
  <c r="DL17" i="12"/>
  <c r="DH17" i="12"/>
  <c r="DG17" i="12"/>
  <c r="DC17" i="12"/>
  <c r="DB17" i="12"/>
  <c r="CX17" i="12"/>
  <c r="CW17" i="12"/>
  <c r="CS17" i="12"/>
  <c r="CR17" i="12"/>
  <c r="CN17" i="12"/>
  <c r="CM17" i="12"/>
  <c r="CI17" i="12"/>
  <c r="CH17" i="12"/>
  <c r="CD17" i="12"/>
  <c r="CC17" i="12"/>
  <c r="BY17" i="12"/>
  <c r="BX17" i="12"/>
  <c r="BT17" i="12"/>
  <c r="BS17" i="12"/>
  <c r="BO17" i="12"/>
  <c r="BN17" i="12"/>
  <c r="BJ17" i="12"/>
  <c r="BI17" i="12"/>
  <c r="BE17" i="12"/>
  <c r="BD17" i="12"/>
  <c r="AZ17" i="12"/>
  <c r="AY17" i="12"/>
  <c r="AU17" i="12"/>
  <c r="AT17" i="12"/>
  <c r="AP17" i="12"/>
  <c r="AO17" i="12"/>
  <c r="AK17" i="12"/>
  <c r="AJ17" i="12"/>
  <c r="AF17" i="12"/>
  <c r="AE17" i="12"/>
  <c r="AA17" i="12"/>
  <c r="Z17" i="12"/>
  <c r="V17" i="12"/>
  <c r="U17" i="12"/>
  <c r="Q17" i="12"/>
  <c r="P17" i="12"/>
  <c r="L17" i="12"/>
  <c r="K17" i="12"/>
  <c r="G17" i="12"/>
  <c r="F17" i="12"/>
  <c r="C17" i="12"/>
  <c r="B17" i="12"/>
  <c r="A17" i="12"/>
  <c r="EV16" i="12"/>
  <c r="EU16" i="12"/>
  <c r="EQ16" i="12"/>
  <c r="EP16" i="12"/>
  <c r="EL16" i="12"/>
  <c r="EK16" i="12"/>
  <c r="EG16" i="12"/>
  <c r="EF16" i="12"/>
  <c r="EB16" i="12"/>
  <c r="EA16" i="12"/>
  <c r="DW16" i="12"/>
  <c r="DV16" i="12"/>
  <c r="DR16" i="12"/>
  <c r="DQ16" i="12"/>
  <c r="DM16" i="12"/>
  <c r="DL16" i="12"/>
  <c r="DH16" i="12"/>
  <c r="DG16" i="12"/>
  <c r="DC16" i="12"/>
  <c r="DB16" i="12"/>
  <c r="CX16" i="12"/>
  <c r="CW16" i="12"/>
  <c r="CS16" i="12"/>
  <c r="CR16" i="12"/>
  <c r="CN16" i="12"/>
  <c r="CM16" i="12"/>
  <c r="CI16" i="12"/>
  <c r="CH16" i="12"/>
  <c r="CD16" i="12"/>
  <c r="CC16" i="12"/>
  <c r="BY16" i="12"/>
  <c r="BX16" i="12"/>
  <c r="BT16" i="12"/>
  <c r="BS16" i="12"/>
  <c r="BO16" i="12"/>
  <c r="BN16" i="12"/>
  <c r="BJ16" i="12"/>
  <c r="BI16" i="12"/>
  <c r="BE16" i="12"/>
  <c r="BD16" i="12"/>
  <c r="AZ16" i="12"/>
  <c r="AY16" i="12"/>
  <c r="AU16" i="12"/>
  <c r="AT16" i="12"/>
  <c r="AP16" i="12"/>
  <c r="AO16" i="12"/>
  <c r="AK16" i="12"/>
  <c r="AJ16" i="12"/>
  <c r="AF16" i="12"/>
  <c r="AE16" i="12"/>
  <c r="AA16" i="12"/>
  <c r="Z16" i="12"/>
  <c r="V16" i="12"/>
  <c r="U16" i="12"/>
  <c r="Q16" i="12"/>
  <c r="P16" i="12"/>
  <c r="L16" i="12"/>
  <c r="K16" i="12"/>
  <c r="G16" i="12"/>
  <c r="F16" i="12"/>
  <c r="C16" i="12"/>
  <c r="B16" i="12"/>
  <c r="A16" i="12"/>
  <c r="EV15" i="12"/>
  <c r="EU15" i="12"/>
  <c r="EQ15" i="12"/>
  <c r="EP15" i="12"/>
  <c r="EL15" i="12"/>
  <c r="EK15" i="12"/>
  <c r="EG15" i="12"/>
  <c r="EF15" i="12"/>
  <c r="EB15" i="12"/>
  <c r="EA15" i="12"/>
  <c r="DW15" i="12"/>
  <c r="DV15" i="12"/>
  <c r="DR15" i="12"/>
  <c r="DQ15" i="12"/>
  <c r="DM15" i="12"/>
  <c r="DL15" i="12"/>
  <c r="DH15" i="12"/>
  <c r="DG15" i="12"/>
  <c r="DC15" i="12"/>
  <c r="DB15" i="12"/>
  <c r="CX15" i="12"/>
  <c r="CW15" i="12"/>
  <c r="CS15" i="12"/>
  <c r="CR15" i="12"/>
  <c r="CN15" i="12"/>
  <c r="CM15" i="12"/>
  <c r="CI15" i="12"/>
  <c r="CH15" i="12"/>
  <c r="CD15" i="12"/>
  <c r="CC15" i="12"/>
  <c r="BY15" i="12"/>
  <c r="BX15" i="12"/>
  <c r="BT15" i="12"/>
  <c r="BS15" i="12"/>
  <c r="BO15" i="12"/>
  <c r="BN15" i="12"/>
  <c r="BJ15" i="12"/>
  <c r="BI15" i="12"/>
  <c r="BE15" i="12"/>
  <c r="BD15" i="12"/>
  <c r="AZ15" i="12"/>
  <c r="AY15" i="12"/>
  <c r="AU15" i="12"/>
  <c r="AT15" i="12"/>
  <c r="AP15" i="12"/>
  <c r="AO15" i="12"/>
  <c r="AK15" i="12"/>
  <c r="AJ15" i="12"/>
  <c r="AF15" i="12"/>
  <c r="AE15" i="12"/>
  <c r="AA15" i="12"/>
  <c r="Z15" i="12"/>
  <c r="V15" i="12"/>
  <c r="U15" i="12"/>
  <c r="Q15" i="12"/>
  <c r="P15" i="12"/>
  <c r="L15" i="12"/>
  <c r="K15" i="12"/>
  <c r="G15" i="12"/>
  <c r="F15" i="12"/>
  <c r="C15" i="12"/>
  <c r="B15" i="12"/>
  <c r="A15" i="12"/>
  <c r="EV14" i="12"/>
  <c r="EU14" i="12"/>
  <c r="EQ14" i="12"/>
  <c r="EP14" i="12"/>
  <c r="EL14" i="12"/>
  <c r="EK14" i="12"/>
  <c r="EG14" i="12"/>
  <c r="EF14" i="12"/>
  <c r="EB14" i="12"/>
  <c r="EA14" i="12"/>
  <c r="DW14" i="12"/>
  <c r="DV14" i="12"/>
  <c r="DR14" i="12"/>
  <c r="DQ14" i="12"/>
  <c r="DM14" i="12"/>
  <c r="DL14" i="12"/>
  <c r="DH14" i="12"/>
  <c r="DG14" i="12"/>
  <c r="DC14" i="12"/>
  <c r="DB14" i="12"/>
  <c r="CX14" i="12"/>
  <c r="CW14" i="12"/>
  <c r="CS14" i="12"/>
  <c r="CR14" i="12"/>
  <c r="CN14" i="12"/>
  <c r="CM14" i="12"/>
  <c r="CI14" i="12"/>
  <c r="CH14" i="12"/>
  <c r="CD14" i="12"/>
  <c r="CC14" i="12"/>
  <c r="BY14" i="12"/>
  <c r="BX14" i="12"/>
  <c r="BT14" i="12"/>
  <c r="BS14" i="12"/>
  <c r="BO14" i="12"/>
  <c r="BN14" i="12"/>
  <c r="BJ14" i="12"/>
  <c r="BI14" i="12"/>
  <c r="BE14" i="12"/>
  <c r="BD14" i="12"/>
  <c r="AZ14" i="12"/>
  <c r="AY14" i="12"/>
  <c r="AU14" i="12"/>
  <c r="AT14" i="12"/>
  <c r="AP14" i="12"/>
  <c r="AO14" i="12"/>
  <c r="AK14" i="12"/>
  <c r="AJ14" i="12"/>
  <c r="AF14" i="12"/>
  <c r="AE14" i="12"/>
  <c r="AA14" i="12"/>
  <c r="Z14" i="12"/>
  <c r="V14" i="12"/>
  <c r="U14" i="12"/>
  <c r="Q14" i="12"/>
  <c r="P14" i="12"/>
  <c r="L14" i="12"/>
  <c r="K14" i="12"/>
  <c r="G14" i="12"/>
  <c r="F14" i="12"/>
  <c r="C14" i="12"/>
  <c r="B14" i="12"/>
  <c r="A14" i="12"/>
  <c r="EV13" i="12"/>
  <c r="EU13" i="12"/>
  <c r="EQ13" i="12"/>
  <c r="EP13" i="12"/>
  <c r="EL13" i="12"/>
  <c r="EK13" i="12"/>
  <c r="EG13" i="12"/>
  <c r="EF13" i="12"/>
  <c r="EB13" i="12"/>
  <c r="EA13" i="12"/>
  <c r="DW13" i="12"/>
  <c r="DV13" i="12"/>
  <c r="DR13" i="12"/>
  <c r="DQ13" i="12"/>
  <c r="DM13" i="12"/>
  <c r="DL13" i="12"/>
  <c r="DH13" i="12"/>
  <c r="DG13" i="12"/>
  <c r="DC13" i="12"/>
  <c r="DB13" i="12"/>
  <c r="CX13" i="12"/>
  <c r="CW13" i="12"/>
  <c r="CS13" i="12"/>
  <c r="CR13" i="12"/>
  <c r="CN13" i="12"/>
  <c r="CM13" i="12"/>
  <c r="CI13" i="12"/>
  <c r="CH13" i="12"/>
  <c r="CD13" i="12"/>
  <c r="CC13" i="12"/>
  <c r="BY13" i="12"/>
  <c r="BX13" i="12"/>
  <c r="BT13" i="12"/>
  <c r="BS13" i="12"/>
  <c r="BO13" i="12"/>
  <c r="BN13" i="12"/>
  <c r="BJ13" i="12"/>
  <c r="BI13" i="12"/>
  <c r="BE13" i="12"/>
  <c r="BD13" i="12"/>
  <c r="AZ13" i="12"/>
  <c r="AY13" i="12"/>
  <c r="AU13" i="12"/>
  <c r="AT13" i="12"/>
  <c r="AP13" i="12"/>
  <c r="AO13" i="12"/>
  <c r="AK13" i="12"/>
  <c r="AJ13" i="12"/>
  <c r="AF13" i="12"/>
  <c r="AE13" i="12"/>
  <c r="AA13" i="12"/>
  <c r="Z13" i="12"/>
  <c r="V13" i="12"/>
  <c r="U13" i="12"/>
  <c r="Q13" i="12"/>
  <c r="P13" i="12"/>
  <c r="L13" i="12"/>
  <c r="K13" i="12"/>
  <c r="G13" i="12"/>
  <c r="F13" i="12"/>
  <c r="C13" i="12"/>
  <c r="B13" i="12"/>
  <c r="A13" i="12"/>
  <c r="EV12" i="12"/>
  <c r="EU12" i="12"/>
  <c r="EQ12" i="12"/>
  <c r="EP12" i="12"/>
  <c r="EL12" i="12"/>
  <c r="EK12" i="12"/>
  <c r="EG12" i="12"/>
  <c r="EF12" i="12"/>
  <c r="EB12" i="12"/>
  <c r="EA12" i="12"/>
  <c r="DW12" i="12"/>
  <c r="DV12" i="12"/>
  <c r="DR12" i="12"/>
  <c r="DQ12" i="12"/>
  <c r="DM12" i="12"/>
  <c r="DL12" i="12"/>
  <c r="DH12" i="12"/>
  <c r="DG12" i="12"/>
  <c r="DC12" i="12"/>
  <c r="DB12" i="12"/>
  <c r="CX12" i="12"/>
  <c r="CW12" i="12"/>
  <c r="CS12" i="12"/>
  <c r="CR12" i="12"/>
  <c r="CN12" i="12"/>
  <c r="CM12" i="12"/>
  <c r="CI12" i="12"/>
  <c r="CH12" i="12"/>
  <c r="CD12" i="12"/>
  <c r="CC12" i="12"/>
  <c r="BY12" i="12"/>
  <c r="BX12" i="12"/>
  <c r="BT12" i="12"/>
  <c r="BS12" i="12"/>
  <c r="BO12" i="12"/>
  <c r="BN12" i="12"/>
  <c r="BJ12" i="12"/>
  <c r="BI12" i="12"/>
  <c r="BE12" i="12"/>
  <c r="BD12" i="12"/>
  <c r="AZ12" i="12"/>
  <c r="AY12" i="12"/>
  <c r="AU12" i="12"/>
  <c r="AT12" i="12"/>
  <c r="AP12" i="12"/>
  <c r="AO12" i="12"/>
  <c r="AK12" i="12"/>
  <c r="AJ12" i="12"/>
  <c r="AF12" i="12"/>
  <c r="AE12" i="12"/>
  <c r="AA12" i="12"/>
  <c r="Z12" i="12"/>
  <c r="V12" i="12"/>
  <c r="U12" i="12"/>
  <c r="Q12" i="12"/>
  <c r="P12" i="12"/>
  <c r="L12" i="12"/>
  <c r="K12" i="12"/>
  <c r="G12" i="12"/>
  <c r="F12" i="12"/>
  <c r="C12" i="12"/>
  <c r="B12" i="12"/>
  <c r="A12" i="12"/>
  <c r="EV11" i="12"/>
  <c r="EU11" i="12"/>
  <c r="EQ11" i="12"/>
  <c r="EP11" i="12"/>
  <c r="EL11" i="12"/>
  <c r="EK11" i="12"/>
  <c r="EG11" i="12"/>
  <c r="EF11" i="12"/>
  <c r="EB11" i="12"/>
  <c r="EA11" i="12"/>
  <c r="DW11" i="12"/>
  <c r="DV11" i="12"/>
  <c r="DR11" i="12"/>
  <c r="DQ11" i="12"/>
  <c r="DM11" i="12"/>
  <c r="DL11" i="12"/>
  <c r="DH11" i="12"/>
  <c r="DG11" i="12"/>
  <c r="DC11" i="12"/>
  <c r="DB11" i="12"/>
  <c r="CX11" i="12"/>
  <c r="CW11" i="12"/>
  <c r="CS11" i="12"/>
  <c r="CR11" i="12"/>
  <c r="CN11" i="12"/>
  <c r="CM11" i="12"/>
  <c r="CI11" i="12"/>
  <c r="CH11" i="12"/>
  <c r="CD11" i="12"/>
  <c r="CC11" i="12"/>
  <c r="BY11" i="12"/>
  <c r="BX11" i="12"/>
  <c r="BT11" i="12"/>
  <c r="BS11" i="12"/>
  <c r="BO11" i="12"/>
  <c r="BN11" i="12"/>
  <c r="BJ11" i="12"/>
  <c r="BI11" i="12"/>
  <c r="BE11" i="12"/>
  <c r="BD11" i="12"/>
  <c r="AZ11" i="12"/>
  <c r="AY11" i="12"/>
  <c r="AU11" i="12"/>
  <c r="AT11" i="12"/>
  <c r="AP11" i="12"/>
  <c r="AO11" i="12"/>
  <c r="AK11" i="12"/>
  <c r="AJ11" i="12"/>
  <c r="AF11" i="12"/>
  <c r="AE11" i="12"/>
  <c r="AA11" i="12"/>
  <c r="Z11" i="12"/>
  <c r="V11" i="12"/>
  <c r="U11" i="12"/>
  <c r="Q11" i="12"/>
  <c r="P11" i="12"/>
  <c r="L11" i="12"/>
  <c r="K11" i="12"/>
  <c r="G11" i="12"/>
  <c r="F11" i="12"/>
  <c r="C11" i="12"/>
  <c r="B11" i="12"/>
  <c r="A11" i="12"/>
  <c r="EV10" i="12"/>
  <c r="EU10" i="12"/>
  <c r="EQ10" i="12"/>
  <c r="EP10" i="12"/>
  <c r="EL10" i="12"/>
  <c r="EK10" i="12"/>
  <c r="EG10" i="12"/>
  <c r="EF10" i="12"/>
  <c r="EB10" i="12"/>
  <c r="EA10" i="12"/>
  <c r="DW10" i="12"/>
  <c r="DV10" i="12"/>
  <c r="DR10" i="12"/>
  <c r="DQ10" i="12"/>
  <c r="DM10" i="12"/>
  <c r="DL10" i="12"/>
  <c r="DH10" i="12"/>
  <c r="DG10" i="12"/>
  <c r="DC10" i="12"/>
  <c r="DB10" i="12"/>
  <c r="CX10" i="12"/>
  <c r="CW10" i="12"/>
  <c r="CS10" i="12"/>
  <c r="CR10" i="12"/>
  <c r="CN10" i="12"/>
  <c r="CM10" i="12"/>
  <c r="CI10" i="12"/>
  <c r="CH10" i="12"/>
  <c r="CD10" i="12"/>
  <c r="CC10" i="12"/>
  <c r="BY10" i="12"/>
  <c r="BX10" i="12"/>
  <c r="BT10" i="12"/>
  <c r="BS10" i="12"/>
  <c r="BO10" i="12"/>
  <c r="BN10" i="12"/>
  <c r="BJ10" i="12"/>
  <c r="BI10" i="12"/>
  <c r="BE10" i="12"/>
  <c r="BD10" i="12"/>
  <c r="AZ10" i="12"/>
  <c r="AY10" i="12"/>
  <c r="AU10" i="12"/>
  <c r="AT10" i="12"/>
  <c r="AP10" i="12"/>
  <c r="AO10" i="12"/>
  <c r="AK10" i="12"/>
  <c r="AJ10" i="12"/>
  <c r="AF10" i="12"/>
  <c r="AE10" i="12"/>
  <c r="AA10" i="12"/>
  <c r="Z10" i="12"/>
  <c r="V10" i="12"/>
  <c r="U10" i="12"/>
  <c r="Q10" i="12"/>
  <c r="P10" i="12"/>
  <c r="L10" i="12"/>
  <c r="K10" i="12"/>
  <c r="G10" i="12"/>
  <c r="F10" i="12"/>
  <c r="C10" i="12"/>
  <c r="B10" i="12"/>
  <c r="A10" i="12"/>
  <c r="EV9" i="12"/>
  <c r="EU9" i="12"/>
  <c r="EQ9" i="12"/>
  <c r="EP9" i="12"/>
  <c r="EL9" i="12"/>
  <c r="EK9" i="12"/>
  <c r="EG9" i="12"/>
  <c r="EF9" i="12"/>
  <c r="EB9" i="12"/>
  <c r="EA9" i="12"/>
  <c r="DW9" i="12"/>
  <c r="DV9" i="12"/>
  <c r="DR9" i="12"/>
  <c r="DQ9" i="12"/>
  <c r="DM9" i="12"/>
  <c r="DL9" i="12"/>
  <c r="DH9" i="12"/>
  <c r="DG9" i="12"/>
  <c r="DC9" i="12"/>
  <c r="DB9" i="12"/>
  <c r="CX9" i="12"/>
  <c r="CW9" i="12"/>
  <c r="CS9" i="12"/>
  <c r="CR9" i="12"/>
  <c r="CN9" i="12"/>
  <c r="CM9" i="12"/>
  <c r="CI9" i="12"/>
  <c r="CH9" i="12"/>
  <c r="CD9" i="12"/>
  <c r="CC9" i="12"/>
  <c r="BY9" i="12"/>
  <c r="BX9" i="12"/>
  <c r="BT9" i="12"/>
  <c r="BS9" i="12"/>
  <c r="BO9" i="12"/>
  <c r="BN9" i="12"/>
  <c r="BJ9" i="12"/>
  <c r="BI9" i="12"/>
  <c r="BE9" i="12"/>
  <c r="BD9" i="12"/>
  <c r="AZ9" i="12"/>
  <c r="AY9" i="12"/>
  <c r="AU9" i="12"/>
  <c r="AT9" i="12"/>
  <c r="AP9" i="12"/>
  <c r="AO9" i="12"/>
  <c r="AK9" i="12"/>
  <c r="AJ9" i="12"/>
  <c r="AF9" i="12"/>
  <c r="AE9" i="12"/>
  <c r="AA9" i="12"/>
  <c r="Z9" i="12"/>
  <c r="V9" i="12"/>
  <c r="U9" i="12"/>
  <c r="Q9" i="12"/>
  <c r="P9" i="12"/>
  <c r="L9" i="12"/>
  <c r="K9" i="12"/>
  <c r="G9" i="12"/>
  <c r="F9" i="12"/>
  <c r="C9" i="12"/>
  <c r="B9" i="12"/>
  <c r="A9" i="12"/>
  <c r="EV8" i="12"/>
  <c r="EU8" i="12"/>
  <c r="EQ8" i="12"/>
  <c r="EP8" i="12"/>
  <c r="EL8" i="12"/>
  <c r="EK8" i="12"/>
  <c r="EG8" i="12"/>
  <c r="EF8" i="12"/>
  <c r="EB8" i="12"/>
  <c r="EA8" i="12"/>
  <c r="DW8" i="12"/>
  <c r="DV8" i="12"/>
  <c r="DR8" i="12"/>
  <c r="DQ8" i="12"/>
  <c r="DM8" i="12"/>
  <c r="DL8" i="12"/>
  <c r="DH8" i="12"/>
  <c r="DG8" i="12"/>
  <c r="DC8" i="12"/>
  <c r="DB8" i="12"/>
  <c r="CX8" i="12"/>
  <c r="CW8" i="12"/>
  <c r="CS8" i="12"/>
  <c r="CR8" i="12"/>
  <c r="CN8" i="12"/>
  <c r="CM8" i="12"/>
  <c r="CI8" i="12"/>
  <c r="CH8" i="12"/>
  <c r="CD8" i="12"/>
  <c r="CC8" i="12"/>
  <c r="BY8" i="12"/>
  <c r="BX8" i="12"/>
  <c r="BT8" i="12"/>
  <c r="BS8" i="12"/>
  <c r="BO8" i="12"/>
  <c r="BN8" i="12"/>
  <c r="BJ8" i="12"/>
  <c r="BI8" i="12"/>
  <c r="BE8" i="12"/>
  <c r="BD8" i="12"/>
  <c r="AZ8" i="12"/>
  <c r="AY8" i="12"/>
  <c r="AU8" i="12"/>
  <c r="AT8" i="12"/>
  <c r="AP8" i="12"/>
  <c r="AO8" i="12"/>
  <c r="AK8" i="12"/>
  <c r="AJ8" i="12"/>
  <c r="AF8" i="12"/>
  <c r="AE8" i="12"/>
  <c r="AA8" i="12"/>
  <c r="Z8" i="12"/>
  <c r="V8" i="12"/>
  <c r="U8" i="12"/>
  <c r="Q8" i="12"/>
  <c r="P8" i="12"/>
  <c r="L8" i="12"/>
  <c r="K8" i="12"/>
  <c r="G8" i="12"/>
  <c r="F8" i="12"/>
  <c r="C8" i="12"/>
  <c r="B8" i="12"/>
  <c r="A8" i="12"/>
  <c r="EV7" i="12"/>
  <c r="EU7" i="12"/>
  <c r="EQ7" i="12"/>
  <c r="EP7" i="12"/>
  <c r="EL7" i="12"/>
  <c r="EK7" i="12"/>
  <c r="EG7" i="12"/>
  <c r="EF7" i="12"/>
  <c r="EB7" i="12"/>
  <c r="EA7" i="12"/>
  <c r="DW7" i="12"/>
  <c r="DV7" i="12"/>
  <c r="DR7" i="12"/>
  <c r="DQ7" i="12"/>
  <c r="DM7" i="12"/>
  <c r="DL7" i="12"/>
  <c r="DH7" i="12"/>
  <c r="DG7" i="12"/>
  <c r="DC7" i="12"/>
  <c r="DB7" i="12"/>
  <c r="CX7" i="12"/>
  <c r="CW7" i="12"/>
  <c r="CS7" i="12"/>
  <c r="CR7" i="12"/>
  <c r="CN7" i="12"/>
  <c r="CM7" i="12"/>
  <c r="CI7" i="12"/>
  <c r="CH7" i="12"/>
  <c r="CD7" i="12"/>
  <c r="CC7" i="12"/>
  <c r="BY7" i="12"/>
  <c r="BX7" i="12"/>
  <c r="BT7" i="12"/>
  <c r="BS7" i="12"/>
  <c r="BO7" i="12"/>
  <c r="BN7" i="12"/>
  <c r="BJ7" i="12"/>
  <c r="BI7" i="12"/>
  <c r="BE7" i="12"/>
  <c r="BD7" i="12"/>
  <c r="AZ7" i="12"/>
  <c r="AY7" i="12"/>
  <c r="AU7" i="12"/>
  <c r="AT7" i="12"/>
  <c r="AP7" i="12"/>
  <c r="AO7" i="12"/>
  <c r="AK7" i="12"/>
  <c r="AJ7" i="12"/>
  <c r="AF7" i="12"/>
  <c r="AE7" i="12"/>
  <c r="AA7" i="12"/>
  <c r="Z7" i="12"/>
  <c r="V7" i="12"/>
  <c r="U7" i="12"/>
  <c r="Q7" i="12"/>
  <c r="P7" i="12"/>
  <c r="L7" i="12"/>
  <c r="K7" i="12"/>
  <c r="G7" i="12"/>
  <c r="F7" i="12"/>
  <c r="C7" i="12"/>
  <c r="B7" i="12"/>
  <c r="A7" i="12"/>
  <c r="EV6" i="12"/>
  <c r="EU6" i="12"/>
  <c r="EQ6" i="12"/>
  <c r="EP6" i="12"/>
  <c r="EL6" i="12"/>
  <c r="EK6" i="12"/>
  <c r="EG6" i="12"/>
  <c r="EF6" i="12"/>
  <c r="EB6" i="12"/>
  <c r="EA6" i="12"/>
  <c r="DW6" i="12"/>
  <c r="DV6" i="12"/>
  <c r="DR6" i="12"/>
  <c r="DQ6" i="12"/>
  <c r="DM6" i="12"/>
  <c r="DL6" i="12"/>
  <c r="DH6" i="12"/>
  <c r="DG6" i="12"/>
  <c r="DC6" i="12"/>
  <c r="DB6" i="12"/>
  <c r="CX6" i="12"/>
  <c r="CW6" i="12"/>
  <c r="CS6" i="12"/>
  <c r="CR6" i="12"/>
  <c r="CN6" i="12"/>
  <c r="CM6" i="12"/>
  <c r="CI6" i="12"/>
  <c r="CH6" i="12"/>
  <c r="CD6" i="12"/>
  <c r="CC6" i="12"/>
  <c r="BY6" i="12"/>
  <c r="BX6" i="12"/>
  <c r="BT6" i="12"/>
  <c r="BS6" i="12"/>
  <c r="BO6" i="12"/>
  <c r="BN6" i="12"/>
  <c r="BJ6" i="12"/>
  <c r="BI6" i="12"/>
  <c r="BE6" i="12"/>
  <c r="BD6" i="12"/>
  <c r="AZ6" i="12"/>
  <c r="AY6" i="12"/>
  <c r="AU6" i="12"/>
  <c r="AT6" i="12"/>
  <c r="AP6" i="12"/>
  <c r="AO6" i="12"/>
  <c r="AK6" i="12"/>
  <c r="AJ6" i="12"/>
  <c r="AF6" i="12"/>
  <c r="AE6" i="12"/>
  <c r="AA6" i="12"/>
  <c r="Z6" i="12"/>
  <c r="V6" i="12"/>
  <c r="U6" i="12"/>
  <c r="Q6" i="12"/>
  <c r="P6" i="12"/>
  <c r="L6" i="12"/>
  <c r="K6" i="12"/>
  <c r="G6" i="12"/>
  <c r="F6" i="12"/>
  <c r="C6" i="12"/>
  <c r="B6" i="12"/>
  <c r="A6" i="12"/>
  <c r="EV5" i="12"/>
  <c r="EU5" i="12"/>
  <c r="EQ5" i="12"/>
  <c r="EP5" i="12"/>
  <c r="EL5" i="12"/>
  <c r="EK5" i="12"/>
  <c r="EG5" i="12"/>
  <c r="EF5" i="12"/>
  <c r="EB5" i="12"/>
  <c r="EA5" i="12"/>
  <c r="DW5" i="12"/>
  <c r="DV5" i="12"/>
  <c r="DR5" i="12"/>
  <c r="DQ5" i="12"/>
  <c r="DM5" i="12"/>
  <c r="DL5" i="12"/>
  <c r="DH5" i="12"/>
  <c r="DG5" i="12"/>
  <c r="DC5" i="12"/>
  <c r="DB5" i="12"/>
  <c r="CX5" i="12"/>
  <c r="CW5" i="12"/>
  <c r="CS5" i="12"/>
  <c r="CR5" i="12"/>
  <c r="CN5" i="12"/>
  <c r="CM5" i="12"/>
  <c r="CI5" i="12"/>
  <c r="CH5" i="12"/>
  <c r="CD5" i="12"/>
  <c r="CC5" i="12"/>
  <c r="BY5" i="12"/>
  <c r="BX5" i="12"/>
  <c r="BT5" i="12"/>
  <c r="BS5" i="12"/>
  <c r="BO5" i="12"/>
  <c r="BN5" i="12"/>
  <c r="BJ5" i="12"/>
  <c r="BI5" i="12"/>
  <c r="BE5" i="12"/>
  <c r="BD5" i="12"/>
  <c r="AZ5" i="12"/>
  <c r="AY5" i="12"/>
  <c r="AU5" i="12"/>
  <c r="AT5" i="12"/>
  <c r="AP5" i="12"/>
  <c r="AO5" i="12"/>
  <c r="AK5" i="12"/>
  <c r="AJ5" i="12"/>
  <c r="AF5" i="12"/>
  <c r="AE5" i="12"/>
  <c r="AA5" i="12"/>
  <c r="Z5" i="12"/>
  <c r="V5" i="12"/>
  <c r="U5" i="12"/>
  <c r="Q5" i="12"/>
  <c r="P5" i="12"/>
  <c r="L5" i="12"/>
  <c r="K5" i="12"/>
  <c r="G5" i="12"/>
  <c r="F5" i="12"/>
  <c r="C5" i="12"/>
  <c r="B5" i="12"/>
  <c r="A5" i="12"/>
  <c r="EV4" i="12"/>
  <c r="EU4" i="12"/>
  <c r="EQ4" i="12"/>
  <c r="EP4" i="12"/>
  <c r="EL4" i="12"/>
  <c r="EK4" i="12"/>
  <c r="EG4" i="12"/>
  <c r="EF4" i="12"/>
  <c r="EB4" i="12"/>
  <c r="EA4" i="12"/>
  <c r="DW4" i="12"/>
  <c r="DV4" i="12"/>
  <c r="DR4" i="12"/>
  <c r="DQ4" i="12"/>
  <c r="DM4" i="12"/>
  <c r="DL4" i="12"/>
  <c r="DH4" i="12"/>
  <c r="DG4" i="12"/>
  <c r="DC4" i="12"/>
  <c r="DB4" i="12"/>
  <c r="CX4" i="12"/>
  <c r="CW4" i="12"/>
  <c r="CS4" i="12"/>
  <c r="CR4" i="12"/>
  <c r="CN4" i="12"/>
  <c r="CM4" i="12"/>
  <c r="CI4" i="12"/>
  <c r="CH4" i="12"/>
  <c r="CD4" i="12"/>
  <c r="CC4" i="12"/>
  <c r="BY4" i="12"/>
  <c r="BX4" i="12"/>
  <c r="BT4" i="12"/>
  <c r="BS4" i="12"/>
  <c r="BO4" i="12"/>
  <c r="BN4" i="12"/>
  <c r="BJ4" i="12"/>
  <c r="BI4" i="12"/>
  <c r="BE4" i="12"/>
  <c r="BD4" i="12"/>
  <c r="AZ4" i="12"/>
  <c r="AY4" i="12"/>
  <c r="AU4" i="12"/>
  <c r="AT4" i="12"/>
  <c r="AP4" i="12"/>
  <c r="AO4" i="12"/>
  <c r="AK4" i="12"/>
  <c r="AJ4" i="12"/>
  <c r="AF4" i="12"/>
  <c r="AE4" i="12"/>
  <c r="AA4" i="12"/>
  <c r="Z4" i="12"/>
  <c r="V4" i="12"/>
  <c r="U4" i="12"/>
  <c r="Q4" i="12"/>
  <c r="P4" i="12"/>
  <c r="L4" i="12"/>
  <c r="K4" i="12"/>
  <c r="G4" i="12"/>
  <c r="F4" i="12"/>
  <c r="C4" i="12"/>
  <c r="B4" i="12"/>
  <c r="A4" i="12"/>
  <c r="ES2" i="12"/>
  <c r="EN2" i="12"/>
  <c r="EI2" i="12"/>
  <c r="ED2" i="12"/>
  <c r="DY2" i="12"/>
  <c r="DT2" i="12"/>
  <c r="DO2" i="12"/>
  <c r="DJ2" i="12"/>
  <c r="DE2" i="12"/>
  <c r="CZ2" i="12"/>
  <c r="CU2" i="12"/>
  <c r="CP2" i="12"/>
  <c r="CK2" i="12"/>
  <c r="CF2" i="12"/>
  <c r="CA2" i="12"/>
  <c r="BV2" i="12"/>
  <c r="BQ2" i="12"/>
  <c r="BL2" i="12"/>
  <c r="BG2" i="12"/>
  <c r="BB2" i="12"/>
  <c r="AW2" i="12"/>
  <c r="AR2" i="12"/>
  <c r="AM2" i="12"/>
  <c r="AH2" i="12"/>
  <c r="AC2" i="12"/>
  <c r="X2" i="12"/>
  <c r="S2" i="12"/>
  <c r="N2" i="12"/>
  <c r="I2" i="12"/>
  <c r="D2" i="12"/>
  <c r="A1" i="12"/>
  <c r="ES40" i="11"/>
  <c r="EN40" i="11"/>
  <c r="EI40" i="11"/>
  <c r="ED40" i="11"/>
  <c r="DY40" i="11"/>
  <c r="DT40" i="11"/>
  <c r="DO40" i="11"/>
  <c r="DJ40" i="11"/>
  <c r="DE40" i="11"/>
  <c r="CZ40" i="11"/>
  <c r="CU40" i="11"/>
  <c r="CP40" i="11"/>
  <c r="CK40" i="11"/>
  <c r="CF40" i="11"/>
  <c r="CA40" i="11"/>
  <c r="BV40" i="11"/>
  <c r="BQ40" i="11"/>
  <c r="BL40" i="11"/>
  <c r="BG40" i="11"/>
  <c r="BB40" i="11"/>
  <c r="AW40" i="11"/>
  <c r="AR40" i="11"/>
  <c r="AM40" i="11"/>
  <c r="AH40" i="11"/>
  <c r="AC40" i="11"/>
  <c r="X40" i="11"/>
  <c r="S40" i="11"/>
  <c r="N40" i="11"/>
  <c r="I40" i="11"/>
  <c r="D40" i="11"/>
  <c r="ES39" i="11"/>
  <c r="EN39" i="11"/>
  <c r="EI39" i="11"/>
  <c r="ED39" i="11"/>
  <c r="DY39" i="11"/>
  <c r="DT39" i="11"/>
  <c r="DO39" i="11"/>
  <c r="DJ39" i="11"/>
  <c r="DE39" i="11"/>
  <c r="CZ39" i="11"/>
  <c r="CU39" i="11"/>
  <c r="CP39" i="11"/>
  <c r="CK39" i="11"/>
  <c r="CF39" i="11"/>
  <c r="CA39" i="11"/>
  <c r="BV39" i="11"/>
  <c r="BQ39" i="11"/>
  <c r="BL39" i="11"/>
  <c r="BG39" i="11"/>
  <c r="BB39" i="11"/>
  <c r="AW39" i="11"/>
  <c r="AR39" i="11"/>
  <c r="AM39" i="11"/>
  <c r="AH39" i="11"/>
  <c r="AC39" i="11"/>
  <c r="X39" i="11"/>
  <c r="S39" i="11"/>
  <c r="N39" i="11"/>
  <c r="I39" i="11"/>
  <c r="D39" i="11"/>
  <c r="ES38" i="11"/>
  <c r="EN38" i="11"/>
  <c r="EI38" i="11"/>
  <c r="ED38" i="11"/>
  <c r="DY38" i="11"/>
  <c r="DT38" i="11"/>
  <c r="DO38" i="11"/>
  <c r="DJ38" i="11"/>
  <c r="DE38" i="11"/>
  <c r="CZ38" i="11"/>
  <c r="CU38" i="11"/>
  <c r="CP38" i="11"/>
  <c r="CK38" i="11"/>
  <c r="CF38" i="11"/>
  <c r="CA38" i="11"/>
  <c r="BV38" i="11"/>
  <c r="BQ38" i="11"/>
  <c r="BL38" i="11"/>
  <c r="BG38" i="11"/>
  <c r="BB38" i="11"/>
  <c r="AW38" i="11"/>
  <c r="AR38" i="11"/>
  <c r="AM38" i="11"/>
  <c r="AH38" i="11"/>
  <c r="AC38" i="11"/>
  <c r="X38" i="11"/>
  <c r="S38" i="11"/>
  <c r="N38" i="11"/>
  <c r="I38" i="11"/>
  <c r="D38" i="11"/>
  <c r="ES37" i="11"/>
  <c r="EN37" i="11"/>
  <c r="EI37" i="11"/>
  <c r="ED37" i="11"/>
  <c r="DY37" i="11"/>
  <c r="DT37" i="11"/>
  <c r="DO37" i="11"/>
  <c r="DJ37" i="11"/>
  <c r="DE37" i="11"/>
  <c r="CZ37" i="11"/>
  <c r="CU37" i="11"/>
  <c r="CP37" i="11"/>
  <c r="CK37" i="11"/>
  <c r="CF37" i="11"/>
  <c r="CA37" i="11"/>
  <c r="BV37" i="11"/>
  <c r="BQ37" i="11"/>
  <c r="BL37" i="11"/>
  <c r="BG37" i="11"/>
  <c r="BB37" i="11"/>
  <c r="AW37" i="11"/>
  <c r="AR37" i="11"/>
  <c r="AM37" i="11"/>
  <c r="AH37" i="11"/>
  <c r="AC37" i="11"/>
  <c r="X37" i="11"/>
  <c r="S37" i="11"/>
  <c r="N37" i="11"/>
  <c r="I37" i="11"/>
  <c r="D37" i="11"/>
  <c r="ES36" i="11"/>
  <c r="EN36" i="11"/>
  <c r="EI36" i="11"/>
  <c r="ED36" i="11"/>
  <c r="DY36" i="11"/>
  <c r="DT36" i="11"/>
  <c r="DO36" i="11"/>
  <c r="DJ36" i="11"/>
  <c r="DE36" i="11"/>
  <c r="CZ36" i="11"/>
  <c r="CU36" i="11"/>
  <c r="CP36" i="11"/>
  <c r="CK36" i="11"/>
  <c r="CF36" i="11"/>
  <c r="CA36" i="11"/>
  <c r="BV36" i="11"/>
  <c r="BQ36" i="11"/>
  <c r="BL36" i="11"/>
  <c r="BG36" i="11"/>
  <c r="BB36" i="11"/>
  <c r="AW36" i="11"/>
  <c r="AR36" i="11"/>
  <c r="AM36" i="11"/>
  <c r="AH36" i="11"/>
  <c r="AC36" i="11"/>
  <c r="X36" i="11"/>
  <c r="S36" i="11"/>
  <c r="N36" i="11"/>
  <c r="I36" i="11"/>
  <c r="D36" i="11"/>
  <c r="ES35" i="11"/>
  <c r="EN35" i="11"/>
  <c r="EI35" i="11"/>
  <c r="ED35" i="11"/>
  <c r="DY35" i="11"/>
  <c r="DT35" i="11"/>
  <c r="DO35" i="11"/>
  <c r="DJ35" i="11"/>
  <c r="DE35" i="11"/>
  <c r="CZ35" i="11"/>
  <c r="CU35" i="11"/>
  <c r="CP35" i="11"/>
  <c r="CK35" i="11"/>
  <c r="CF35" i="11"/>
  <c r="CA35" i="11"/>
  <c r="BV35" i="11"/>
  <c r="BQ35" i="11"/>
  <c r="BL35" i="11"/>
  <c r="BG35" i="11"/>
  <c r="BB35" i="11"/>
  <c r="AW35" i="11"/>
  <c r="AR35" i="11"/>
  <c r="AM35" i="11"/>
  <c r="AH35" i="11"/>
  <c r="AC35" i="11"/>
  <c r="X35" i="11"/>
  <c r="S35" i="11"/>
  <c r="N35" i="11"/>
  <c r="I35" i="11"/>
  <c r="D35" i="11"/>
  <c r="EV34" i="11"/>
  <c r="EU34" i="11"/>
  <c r="EQ34" i="11"/>
  <c r="EP34" i="11"/>
  <c r="EL34" i="11"/>
  <c r="EK34" i="11"/>
  <c r="EG34" i="11"/>
  <c r="EF34" i="11"/>
  <c r="EB34" i="11"/>
  <c r="EA34" i="11"/>
  <c r="DW34" i="11"/>
  <c r="DV34" i="11"/>
  <c r="DR34" i="11"/>
  <c r="DQ34" i="11"/>
  <c r="DM34" i="11"/>
  <c r="DL34" i="11"/>
  <c r="DH34" i="11"/>
  <c r="DG34" i="11"/>
  <c r="DC34" i="11"/>
  <c r="DB34" i="11"/>
  <c r="CX34" i="11"/>
  <c r="CW34" i="11"/>
  <c r="CS34" i="11"/>
  <c r="CR34" i="11"/>
  <c r="CN34" i="11"/>
  <c r="CM34" i="11"/>
  <c r="CI34" i="11"/>
  <c r="CH34" i="11"/>
  <c r="CD34" i="11"/>
  <c r="CC34" i="11"/>
  <c r="BY34" i="11"/>
  <c r="BX34" i="11"/>
  <c r="BT34" i="11"/>
  <c r="BS34" i="11"/>
  <c r="BO34" i="11"/>
  <c r="BN34" i="11"/>
  <c r="BJ34" i="11"/>
  <c r="BI34" i="11"/>
  <c r="BE34" i="11"/>
  <c r="BD34" i="11"/>
  <c r="AZ34" i="11"/>
  <c r="AY34" i="11"/>
  <c r="AU34" i="11"/>
  <c r="AT34" i="11"/>
  <c r="AP34" i="11"/>
  <c r="AO34" i="11"/>
  <c r="AK34" i="11"/>
  <c r="AJ34" i="11"/>
  <c r="AF34" i="11"/>
  <c r="AE34" i="11"/>
  <c r="AA34" i="11"/>
  <c r="Z34" i="11"/>
  <c r="V34" i="11"/>
  <c r="U34" i="11"/>
  <c r="Q34" i="11"/>
  <c r="P34" i="11"/>
  <c r="L34" i="11"/>
  <c r="K34" i="11"/>
  <c r="G34" i="11"/>
  <c r="F34" i="11"/>
  <c r="C34" i="11"/>
  <c r="B34" i="11"/>
  <c r="A34" i="11"/>
  <c r="EV33" i="11"/>
  <c r="EU33" i="11"/>
  <c r="EQ33" i="11"/>
  <c r="EP33" i="11"/>
  <c r="EL33" i="11"/>
  <c r="EK33" i="11"/>
  <c r="EG33" i="11"/>
  <c r="EF33" i="11"/>
  <c r="EB33" i="11"/>
  <c r="EA33" i="11"/>
  <c r="DW33" i="11"/>
  <c r="DV33" i="11"/>
  <c r="DR33" i="11"/>
  <c r="DQ33" i="11"/>
  <c r="DM33" i="11"/>
  <c r="DL33" i="11"/>
  <c r="DH33" i="11"/>
  <c r="DG33" i="11"/>
  <c r="DC33" i="11"/>
  <c r="DB33" i="11"/>
  <c r="CX33" i="11"/>
  <c r="CW33" i="11"/>
  <c r="CS33" i="11"/>
  <c r="CR33" i="11"/>
  <c r="CN33" i="11"/>
  <c r="CM33" i="11"/>
  <c r="CI33" i="11"/>
  <c r="CH33" i="11"/>
  <c r="CD33" i="11"/>
  <c r="CC33" i="11"/>
  <c r="BY33" i="11"/>
  <c r="BX33" i="11"/>
  <c r="BT33" i="11"/>
  <c r="BS33" i="11"/>
  <c r="BO33" i="11"/>
  <c r="BN33" i="11"/>
  <c r="BJ33" i="11"/>
  <c r="BI33" i="11"/>
  <c r="BE33" i="11"/>
  <c r="BD33" i="11"/>
  <c r="AZ33" i="11"/>
  <c r="AY33" i="11"/>
  <c r="AU33" i="11"/>
  <c r="AT33" i="11"/>
  <c r="AP33" i="11"/>
  <c r="AO33" i="11"/>
  <c r="AK33" i="11"/>
  <c r="AJ33" i="11"/>
  <c r="AF33" i="11"/>
  <c r="AE33" i="11"/>
  <c r="AA33" i="11"/>
  <c r="Z33" i="11"/>
  <c r="V33" i="11"/>
  <c r="U33" i="11"/>
  <c r="Q33" i="11"/>
  <c r="P33" i="11"/>
  <c r="L33" i="11"/>
  <c r="K33" i="11"/>
  <c r="G33" i="11"/>
  <c r="F33" i="11"/>
  <c r="C33" i="11"/>
  <c r="B33" i="11"/>
  <c r="A33" i="11"/>
  <c r="EV32" i="11"/>
  <c r="EU32" i="11"/>
  <c r="EQ32" i="11"/>
  <c r="EP32" i="11"/>
  <c r="EL32" i="11"/>
  <c r="EK32" i="11"/>
  <c r="EG32" i="11"/>
  <c r="EF32" i="11"/>
  <c r="EB32" i="11"/>
  <c r="EA32" i="11"/>
  <c r="DW32" i="11"/>
  <c r="DV32" i="11"/>
  <c r="DR32" i="11"/>
  <c r="DQ32" i="11"/>
  <c r="DM32" i="11"/>
  <c r="DL32" i="11"/>
  <c r="DH32" i="11"/>
  <c r="DG32" i="11"/>
  <c r="DC32" i="11"/>
  <c r="DB32" i="11"/>
  <c r="CX32" i="11"/>
  <c r="CW32" i="11"/>
  <c r="CS32" i="11"/>
  <c r="CR32" i="11"/>
  <c r="CN32" i="11"/>
  <c r="CM32" i="11"/>
  <c r="CI32" i="11"/>
  <c r="CH32" i="11"/>
  <c r="CD32" i="11"/>
  <c r="CC32" i="11"/>
  <c r="BY32" i="11"/>
  <c r="BX32" i="11"/>
  <c r="BT32" i="11"/>
  <c r="BS32" i="11"/>
  <c r="BO32" i="11"/>
  <c r="BN32" i="11"/>
  <c r="BJ32" i="11"/>
  <c r="BI32" i="11"/>
  <c r="BE32" i="11"/>
  <c r="BD32" i="11"/>
  <c r="AZ32" i="11"/>
  <c r="AY32" i="11"/>
  <c r="AU32" i="11"/>
  <c r="AT32" i="11"/>
  <c r="AP32" i="11"/>
  <c r="AO32" i="11"/>
  <c r="AK32" i="11"/>
  <c r="AJ32" i="11"/>
  <c r="AF32" i="11"/>
  <c r="AE32" i="11"/>
  <c r="AA32" i="11"/>
  <c r="Z32" i="11"/>
  <c r="V32" i="11"/>
  <c r="U32" i="11"/>
  <c r="Q32" i="11"/>
  <c r="P32" i="11"/>
  <c r="L32" i="11"/>
  <c r="K32" i="11"/>
  <c r="G32" i="11"/>
  <c r="F32" i="11"/>
  <c r="C32" i="11"/>
  <c r="B32" i="11"/>
  <c r="A32" i="11"/>
  <c r="EV31" i="11"/>
  <c r="EU31" i="11"/>
  <c r="EQ31" i="11"/>
  <c r="EP31" i="11"/>
  <c r="EL31" i="11"/>
  <c r="EK31" i="11"/>
  <c r="EG31" i="11"/>
  <c r="EF31" i="11"/>
  <c r="EB31" i="11"/>
  <c r="EA31" i="11"/>
  <c r="DW31" i="11"/>
  <c r="DV31" i="11"/>
  <c r="DR31" i="11"/>
  <c r="DQ31" i="11"/>
  <c r="DM31" i="11"/>
  <c r="DL31" i="11"/>
  <c r="DH31" i="11"/>
  <c r="DG31" i="11"/>
  <c r="DC31" i="11"/>
  <c r="DB31" i="11"/>
  <c r="CX31" i="11"/>
  <c r="CW31" i="11"/>
  <c r="CS31" i="11"/>
  <c r="CR31" i="11"/>
  <c r="CN31" i="11"/>
  <c r="CM31" i="11"/>
  <c r="CI31" i="11"/>
  <c r="CH31" i="11"/>
  <c r="CD31" i="11"/>
  <c r="CC31" i="11"/>
  <c r="BY31" i="11"/>
  <c r="BX31" i="11"/>
  <c r="BT31" i="11"/>
  <c r="BS31" i="11"/>
  <c r="BO31" i="11"/>
  <c r="BN31" i="11"/>
  <c r="BJ31" i="11"/>
  <c r="BI31" i="11"/>
  <c r="BE31" i="11"/>
  <c r="BD31" i="11"/>
  <c r="AZ31" i="11"/>
  <c r="AY31" i="11"/>
  <c r="AU31" i="11"/>
  <c r="AT31" i="11"/>
  <c r="AP31" i="11"/>
  <c r="AO31" i="11"/>
  <c r="AK31" i="11"/>
  <c r="AJ31" i="11"/>
  <c r="AF31" i="11"/>
  <c r="AE31" i="11"/>
  <c r="AA31" i="11"/>
  <c r="Z31" i="11"/>
  <c r="V31" i="11"/>
  <c r="U31" i="11"/>
  <c r="Q31" i="11"/>
  <c r="P31" i="11"/>
  <c r="L31" i="11"/>
  <c r="K31" i="11"/>
  <c r="G31" i="11"/>
  <c r="F31" i="11"/>
  <c r="C31" i="11"/>
  <c r="B31" i="11"/>
  <c r="A31" i="11"/>
  <c r="EV30" i="11"/>
  <c r="EU30" i="11"/>
  <c r="EQ30" i="11"/>
  <c r="EP30" i="11"/>
  <c r="EL30" i="11"/>
  <c r="EK30" i="11"/>
  <c r="EG30" i="11"/>
  <c r="EF30" i="11"/>
  <c r="EB30" i="11"/>
  <c r="EA30" i="11"/>
  <c r="DW30" i="11"/>
  <c r="DV30" i="11"/>
  <c r="DR30" i="11"/>
  <c r="DQ30" i="11"/>
  <c r="DM30" i="11"/>
  <c r="DL30" i="11"/>
  <c r="DH30" i="11"/>
  <c r="DG30" i="11"/>
  <c r="DC30" i="11"/>
  <c r="DB30" i="11"/>
  <c r="CX30" i="11"/>
  <c r="CW30" i="11"/>
  <c r="CS30" i="11"/>
  <c r="CR30" i="11"/>
  <c r="CN30" i="11"/>
  <c r="CM30" i="11"/>
  <c r="CI30" i="11"/>
  <c r="CH30" i="11"/>
  <c r="CD30" i="11"/>
  <c r="CC30" i="11"/>
  <c r="BY30" i="11"/>
  <c r="BX30" i="11"/>
  <c r="BT30" i="11"/>
  <c r="BS30" i="11"/>
  <c r="BO30" i="11"/>
  <c r="BN30" i="11"/>
  <c r="BJ30" i="11"/>
  <c r="BI30" i="11"/>
  <c r="BE30" i="11"/>
  <c r="BD30" i="11"/>
  <c r="AZ30" i="11"/>
  <c r="AY30" i="11"/>
  <c r="AU30" i="11"/>
  <c r="AT30" i="11"/>
  <c r="AP30" i="11"/>
  <c r="AO30" i="11"/>
  <c r="AK30" i="11"/>
  <c r="AJ30" i="11"/>
  <c r="AF30" i="11"/>
  <c r="AE30" i="11"/>
  <c r="AA30" i="11"/>
  <c r="Z30" i="11"/>
  <c r="V30" i="11"/>
  <c r="U30" i="11"/>
  <c r="Q30" i="11"/>
  <c r="P30" i="11"/>
  <c r="L30" i="11"/>
  <c r="K30" i="11"/>
  <c r="G30" i="11"/>
  <c r="F30" i="11"/>
  <c r="C30" i="11"/>
  <c r="B30" i="11"/>
  <c r="A30" i="11"/>
  <c r="EV29" i="11"/>
  <c r="EU29" i="11"/>
  <c r="EQ29" i="11"/>
  <c r="EP29" i="11"/>
  <c r="EL29" i="11"/>
  <c r="EK29" i="11"/>
  <c r="EG29" i="11"/>
  <c r="EF29" i="11"/>
  <c r="EB29" i="11"/>
  <c r="EA29" i="11"/>
  <c r="DW29" i="11"/>
  <c r="DV29" i="11"/>
  <c r="DR29" i="11"/>
  <c r="DQ29" i="11"/>
  <c r="DM29" i="11"/>
  <c r="DL29" i="11"/>
  <c r="DH29" i="11"/>
  <c r="DG29" i="11"/>
  <c r="DC29" i="11"/>
  <c r="DB29" i="11"/>
  <c r="CX29" i="11"/>
  <c r="CW29" i="11"/>
  <c r="CS29" i="11"/>
  <c r="CR29" i="11"/>
  <c r="CN29" i="11"/>
  <c r="CM29" i="11"/>
  <c r="CI29" i="11"/>
  <c r="CH29" i="11"/>
  <c r="CD29" i="11"/>
  <c r="CC29" i="11"/>
  <c r="BY29" i="11"/>
  <c r="BX29" i="11"/>
  <c r="BT29" i="11"/>
  <c r="BS29" i="11"/>
  <c r="BO29" i="11"/>
  <c r="BN29" i="11"/>
  <c r="BJ29" i="11"/>
  <c r="BI29" i="11"/>
  <c r="BE29" i="11"/>
  <c r="BD29" i="11"/>
  <c r="AZ29" i="11"/>
  <c r="AY29" i="11"/>
  <c r="AU29" i="11"/>
  <c r="AT29" i="11"/>
  <c r="AP29" i="11"/>
  <c r="AO29" i="11"/>
  <c r="AK29" i="11"/>
  <c r="AJ29" i="11"/>
  <c r="AF29" i="11"/>
  <c r="AE29" i="11"/>
  <c r="AA29" i="11"/>
  <c r="Z29" i="11"/>
  <c r="V29" i="11"/>
  <c r="U29" i="11"/>
  <c r="Q29" i="11"/>
  <c r="P29" i="11"/>
  <c r="L29" i="11"/>
  <c r="K29" i="11"/>
  <c r="G29" i="11"/>
  <c r="F29" i="11"/>
  <c r="C29" i="11"/>
  <c r="B29" i="11"/>
  <c r="A29" i="11"/>
  <c r="EV28" i="11"/>
  <c r="EU28" i="11"/>
  <c r="EQ28" i="11"/>
  <c r="EP28" i="11"/>
  <c r="EL28" i="11"/>
  <c r="EK28" i="11"/>
  <c r="EG28" i="11"/>
  <c r="EF28" i="11"/>
  <c r="EB28" i="11"/>
  <c r="EA28" i="11"/>
  <c r="DW28" i="11"/>
  <c r="DV28" i="11"/>
  <c r="DR28" i="11"/>
  <c r="DQ28" i="11"/>
  <c r="DM28" i="11"/>
  <c r="DL28" i="11"/>
  <c r="DH28" i="11"/>
  <c r="DG28" i="11"/>
  <c r="DC28" i="11"/>
  <c r="DB28" i="11"/>
  <c r="CX28" i="11"/>
  <c r="CW28" i="11"/>
  <c r="CS28" i="11"/>
  <c r="CR28" i="11"/>
  <c r="CN28" i="11"/>
  <c r="CM28" i="11"/>
  <c r="CI28" i="11"/>
  <c r="CH28" i="11"/>
  <c r="CD28" i="11"/>
  <c r="CC28" i="11"/>
  <c r="BY28" i="11"/>
  <c r="BX28" i="11"/>
  <c r="BT28" i="11"/>
  <c r="BS28" i="11"/>
  <c r="BO28" i="11"/>
  <c r="BN28" i="11"/>
  <c r="BJ28" i="11"/>
  <c r="BI28" i="11"/>
  <c r="BE28" i="11"/>
  <c r="BD28" i="11"/>
  <c r="AZ28" i="11"/>
  <c r="AY28" i="11"/>
  <c r="AU28" i="11"/>
  <c r="AT28" i="11"/>
  <c r="AP28" i="11"/>
  <c r="AO28" i="11"/>
  <c r="AK28" i="11"/>
  <c r="AJ28" i="11"/>
  <c r="AF28" i="11"/>
  <c r="AE28" i="11"/>
  <c r="AA28" i="11"/>
  <c r="Z28" i="11"/>
  <c r="V28" i="11"/>
  <c r="U28" i="11"/>
  <c r="Q28" i="11"/>
  <c r="P28" i="11"/>
  <c r="L28" i="11"/>
  <c r="K28" i="11"/>
  <c r="G28" i="11"/>
  <c r="F28" i="11"/>
  <c r="C28" i="11"/>
  <c r="B28" i="11"/>
  <c r="A28" i="11"/>
  <c r="EV27" i="11"/>
  <c r="EU27" i="11"/>
  <c r="EQ27" i="11"/>
  <c r="EP27" i="11"/>
  <c r="EL27" i="11"/>
  <c r="EK27" i="11"/>
  <c r="EG27" i="11"/>
  <c r="EF27" i="11"/>
  <c r="EB27" i="11"/>
  <c r="EA27" i="11"/>
  <c r="DW27" i="11"/>
  <c r="DV27" i="11"/>
  <c r="DR27" i="11"/>
  <c r="DQ27" i="11"/>
  <c r="DM27" i="11"/>
  <c r="DL27" i="11"/>
  <c r="DH27" i="11"/>
  <c r="DG27" i="11"/>
  <c r="DC27" i="11"/>
  <c r="DB27" i="11"/>
  <c r="CX27" i="11"/>
  <c r="CW27" i="11"/>
  <c r="CS27" i="11"/>
  <c r="CR27" i="11"/>
  <c r="CN27" i="11"/>
  <c r="CM27" i="11"/>
  <c r="CI27" i="11"/>
  <c r="CH27" i="11"/>
  <c r="CD27" i="11"/>
  <c r="CC27" i="11"/>
  <c r="BY27" i="11"/>
  <c r="BX27" i="11"/>
  <c r="BT27" i="11"/>
  <c r="BS27" i="11"/>
  <c r="BO27" i="11"/>
  <c r="BN27" i="11"/>
  <c r="BJ27" i="11"/>
  <c r="BI27" i="11"/>
  <c r="BE27" i="11"/>
  <c r="BD27" i="11"/>
  <c r="AZ27" i="11"/>
  <c r="AY27" i="11"/>
  <c r="AU27" i="11"/>
  <c r="AT27" i="11"/>
  <c r="AP27" i="11"/>
  <c r="AO27" i="11"/>
  <c r="AK27" i="11"/>
  <c r="AJ27" i="11"/>
  <c r="AF27" i="11"/>
  <c r="AE27" i="11"/>
  <c r="AA27" i="11"/>
  <c r="Z27" i="11"/>
  <c r="V27" i="11"/>
  <c r="U27" i="11"/>
  <c r="Q27" i="11"/>
  <c r="P27" i="11"/>
  <c r="L27" i="11"/>
  <c r="K27" i="11"/>
  <c r="G27" i="11"/>
  <c r="F27" i="11"/>
  <c r="C27" i="11"/>
  <c r="B27" i="11"/>
  <c r="A27" i="11"/>
  <c r="EV26" i="11"/>
  <c r="EU26" i="11"/>
  <c r="EQ26" i="11"/>
  <c r="EP26" i="11"/>
  <c r="EL26" i="11"/>
  <c r="EK26" i="11"/>
  <c r="EG26" i="11"/>
  <c r="EF26" i="11"/>
  <c r="EB26" i="11"/>
  <c r="EA26" i="11"/>
  <c r="DW26" i="11"/>
  <c r="DV26" i="11"/>
  <c r="DR26" i="11"/>
  <c r="DQ26" i="11"/>
  <c r="DM26" i="11"/>
  <c r="DL26" i="11"/>
  <c r="DH26" i="11"/>
  <c r="DG26" i="11"/>
  <c r="DC26" i="11"/>
  <c r="DB26" i="11"/>
  <c r="CX26" i="11"/>
  <c r="CW26" i="11"/>
  <c r="CS26" i="11"/>
  <c r="CR26" i="11"/>
  <c r="CN26" i="11"/>
  <c r="CM26" i="11"/>
  <c r="CI26" i="11"/>
  <c r="CH26" i="11"/>
  <c r="CD26" i="11"/>
  <c r="CC26" i="11"/>
  <c r="BY26" i="11"/>
  <c r="BX26" i="11"/>
  <c r="BT26" i="11"/>
  <c r="BS26" i="11"/>
  <c r="BO26" i="11"/>
  <c r="BN26" i="11"/>
  <c r="BJ26" i="11"/>
  <c r="BI26" i="11"/>
  <c r="BE26" i="11"/>
  <c r="BD26" i="11"/>
  <c r="AZ26" i="11"/>
  <c r="AY26" i="11"/>
  <c r="AU26" i="11"/>
  <c r="AT26" i="11"/>
  <c r="AP26" i="11"/>
  <c r="AO26" i="11"/>
  <c r="AK26" i="11"/>
  <c r="AJ26" i="11"/>
  <c r="AF26" i="11"/>
  <c r="AE26" i="11"/>
  <c r="AA26" i="11"/>
  <c r="Z26" i="11"/>
  <c r="V26" i="11"/>
  <c r="U26" i="11"/>
  <c r="Q26" i="11"/>
  <c r="P26" i="11"/>
  <c r="L26" i="11"/>
  <c r="K26" i="11"/>
  <c r="G26" i="11"/>
  <c r="F26" i="11"/>
  <c r="C26" i="11"/>
  <c r="B26" i="11"/>
  <c r="A26" i="11"/>
  <c r="EV25" i="11"/>
  <c r="EU25" i="11"/>
  <c r="EQ25" i="11"/>
  <c r="EP25" i="11"/>
  <c r="EL25" i="11"/>
  <c r="EK25" i="11"/>
  <c r="EG25" i="11"/>
  <c r="EF25" i="11"/>
  <c r="EB25" i="11"/>
  <c r="EA25" i="11"/>
  <c r="DW25" i="11"/>
  <c r="DV25" i="11"/>
  <c r="DR25" i="11"/>
  <c r="DQ25" i="11"/>
  <c r="DM25" i="11"/>
  <c r="DL25" i="11"/>
  <c r="DH25" i="11"/>
  <c r="DG25" i="11"/>
  <c r="DC25" i="11"/>
  <c r="DB25" i="11"/>
  <c r="CX25" i="11"/>
  <c r="CW25" i="11"/>
  <c r="CS25" i="11"/>
  <c r="CR25" i="11"/>
  <c r="CN25" i="11"/>
  <c r="CM25" i="11"/>
  <c r="CI25" i="11"/>
  <c r="CH25" i="11"/>
  <c r="CD25" i="11"/>
  <c r="CC25" i="11"/>
  <c r="BY25" i="11"/>
  <c r="BX25" i="11"/>
  <c r="BT25" i="11"/>
  <c r="BS25" i="11"/>
  <c r="BO25" i="11"/>
  <c r="BN25" i="11"/>
  <c r="BJ25" i="11"/>
  <c r="BI25" i="11"/>
  <c r="BE25" i="11"/>
  <c r="BD25" i="11"/>
  <c r="AZ25" i="11"/>
  <c r="AY25" i="11"/>
  <c r="AU25" i="11"/>
  <c r="AT25" i="11"/>
  <c r="AP25" i="11"/>
  <c r="AO25" i="11"/>
  <c r="AK25" i="11"/>
  <c r="AJ25" i="11"/>
  <c r="AF25" i="11"/>
  <c r="AE25" i="11"/>
  <c r="AA25" i="11"/>
  <c r="Z25" i="11"/>
  <c r="V25" i="11"/>
  <c r="U25" i="11"/>
  <c r="Q25" i="11"/>
  <c r="P25" i="11"/>
  <c r="L25" i="11"/>
  <c r="K25" i="11"/>
  <c r="G25" i="11"/>
  <c r="F25" i="11"/>
  <c r="C25" i="11"/>
  <c r="B25" i="11"/>
  <c r="A25" i="11"/>
  <c r="EV24" i="11"/>
  <c r="EU24" i="11"/>
  <c r="EQ24" i="11"/>
  <c r="EP24" i="11"/>
  <c r="EL24" i="11"/>
  <c r="EK24" i="11"/>
  <c r="EG24" i="11"/>
  <c r="EF24" i="11"/>
  <c r="EB24" i="11"/>
  <c r="EA24" i="11"/>
  <c r="DW24" i="11"/>
  <c r="DV24" i="11"/>
  <c r="DR24" i="11"/>
  <c r="DQ24" i="11"/>
  <c r="DM24" i="11"/>
  <c r="DL24" i="11"/>
  <c r="DH24" i="11"/>
  <c r="DG24" i="11"/>
  <c r="DC24" i="11"/>
  <c r="DB24" i="11"/>
  <c r="CX24" i="11"/>
  <c r="CW24" i="11"/>
  <c r="CS24" i="11"/>
  <c r="CR24" i="11"/>
  <c r="CN24" i="11"/>
  <c r="CM24" i="11"/>
  <c r="CI24" i="11"/>
  <c r="CH24" i="11"/>
  <c r="CD24" i="11"/>
  <c r="CC24" i="11"/>
  <c r="BY24" i="11"/>
  <c r="BX24" i="11"/>
  <c r="BT24" i="11"/>
  <c r="BS24" i="11"/>
  <c r="BO24" i="11"/>
  <c r="BN24" i="11"/>
  <c r="BJ24" i="11"/>
  <c r="BI24" i="11"/>
  <c r="BE24" i="11"/>
  <c r="BD24" i="11"/>
  <c r="AZ24" i="11"/>
  <c r="AY24" i="11"/>
  <c r="AU24" i="11"/>
  <c r="AT24" i="11"/>
  <c r="AP24" i="11"/>
  <c r="AO24" i="11"/>
  <c r="AK24" i="11"/>
  <c r="AJ24" i="11"/>
  <c r="AF24" i="11"/>
  <c r="AE24" i="11"/>
  <c r="AA24" i="11"/>
  <c r="Z24" i="11"/>
  <c r="V24" i="11"/>
  <c r="U24" i="11"/>
  <c r="Q24" i="11"/>
  <c r="P24" i="11"/>
  <c r="L24" i="11"/>
  <c r="K24" i="11"/>
  <c r="G24" i="11"/>
  <c r="F24" i="11"/>
  <c r="C24" i="11"/>
  <c r="B24" i="11"/>
  <c r="A24" i="11"/>
  <c r="EV23" i="11"/>
  <c r="EU23" i="11"/>
  <c r="EQ23" i="11"/>
  <c r="EP23" i="11"/>
  <c r="EL23" i="11"/>
  <c r="EK23" i="11"/>
  <c r="EG23" i="11"/>
  <c r="EF23" i="11"/>
  <c r="EB23" i="11"/>
  <c r="EA23" i="11"/>
  <c r="DW23" i="11"/>
  <c r="DV23" i="11"/>
  <c r="DR23" i="11"/>
  <c r="DQ23" i="11"/>
  <c r="DM23" i="11"/>
  <c r="DL23" i="11"/>
  <c r="DH23" i="11"/>
  <c r="DG23" i="11"/>
  <c r="DC23" i="11"/>
  <c r="DB23" i="11"/>
  <c r="CX23" i="11"/>
  <c r="CW23" i="11"/>
  <c r="CS23" i="11"/>
  <c r="CR23" i="11"/>
  <c r="CN23" i="11"/>
  <c r="CM23" i="11"/>
  <c r="CI23" i="11"/>
  <c r="CH23" i="11"/>
  <c r="CD23" i="11"/>
  <c r="CC23" i="11"/>
  <c r="BY23" i="11"/>
  <c r="BX23" i="11"/>
  <c r="BT23" i="11"/>
  <c r="BS23" i="11"/>
  <c r="BO23" i="11"/>
  <c r="BN23" i="11"/>
  <c r="BJ23" i="11"/>
  <c r="BI23" i="11"/>
  <c r="BE23" i="11"/>
  <c r="BD23" i="11"/>
  <c r="AZ23" i="11"/>
  <c r="AY23" i="11"/>
  <c r="AU23" i="11"/>
  <c r="AT23" i="11"/>
  <c r="AP23" i="11"/>
  <c r="AO23" i="11"/>
  <c r="AK23" i="11"/>
  <c r="AJ23" i="11"/>
  <c r="AF23" i="11"/>
  <c r="AE23" i="11"/>
  <c r="AA23" i="11"/>
  <c r="Z23" i="11"/>
  <c r="V23" i="11"/>
  <c r="U23" i="11"/>
  <c r="Q23" i="11"/>
  <c r="P23" i="11"/>
  <c r="L23" i="11"/>
  <c r="K23" i="11"/>
  <c r="G23" i="11"/>
  <c r="F23" i="11"/>
  <c r="C23" i="11"/>
  <c r="B23" i="11"/>
  <c r="A23" i="11"/>
  <c r="EV22" i="11"/>
  <c r="EU22" i="11"/>
  <c r="EQ22" i="11"/>
  <c r="EP22" i="11"/>
  <c r="EL22" i="11"/>
  <c r="EK22" i="11"/>
  <c r="EG22" i="11"/>
  <c r="EF22" i="11"/>
  <c r="EB22" i="11"/>
  <c r="EA22" i="11"/>
  <c r="DW22" i="11"/>
  <c r="DV22" i="11"/>
  <c r="DR22" i="11"/>
  <c r="DQ22" i="11"/>
  <c r="DM22" i="11"/>
  <c r="DL22" i="11"/>
  <c r="DH22" i="11"/>
  <c r="DG22" i="11"/>
  <c r="DC22" i="11"/>
  <c r="DB22" i="11"/>
  <c r="CX22" i="11"/>
  <c r="CW22" i="11"/>
  <c r="CS22" i="11"/>
  <c r="CR22" i="11"/>
  <c r="CN22" i="11"/>
  <c r="CM22" i="11"/>
  <c r="CI22" i="11"/>
  <c r="CH22" i="11"/>
  <c r="CD22" i="11"/>
  <c r="CC22" i="11"/>
  <c r="BY22" i="11"/>
  <c r="BX22" i="11"/>
  <c r="BT22" i="11"/>
  <c r="BS22" i="11"/>
  <c r="BO22" i="11"/>
  <c r="BN22" i="11"/>
  <c r="BJ22" i="11"/>
  <c r="BI22" i="11"/>
  <c r="BE22" i="11"/>
  <c r="BD22" i="11"/>
  <c r="AZ22" i="11"/>
  <c r="AY22" i="11"/>
  <c r="AU22" i="11"/>
  <c r="AT22" i="11"/>
  <c r="AP22" i="11"/>
  <c r="AO22" i="11"/>
  <c r="AK22" i="11"/>
  <c r="AJ22" i="11"/>
  <c r="AF22" i="11"/>
  <c r="AE22" i="11"/>
  <c r="AA22" i="11"/>
  <c r="Z22" i="11"/>
  <c r="V22" i="11"/>
  <c r="U22" i="11"/>
  <c r="Q22" i="11"/>
  <c r="P22" i="11"/>
  <c r="L22" i="11"/>
  <c r="K22" i="11"/>
  <c r="G22" i="11"/>
  <c r="F22" i="11"/>
  <c r="C22" i="11"/>
  <c r="B22" i="11"/>
  <c r="A22" i="11"/>
  <c r="EV21" i="11"/>
  <c r="EU21" i="11"/>
  <c r="EQ21" i="11"/>
  <c r="EP21" i="11"/>
  <c r="EL21" i="11"/>
  <c r="EK21" i="11"/>
  <c r="EG21" i="11"/>
  <c r="EF21" i="11"/>
  <c r="EB21" i="11"/>
  <c r="EA21" i="11"/>
  <c r="DW21" i="11"/>
  <c r="DV21" i="11"/>
  <c r="DR21" i="11"/>
  <c r="DQ21" i="11"/>
  <c r="DM21" i="11"/>
  <c r="DL21" i="11"/>
  <c r="DH21" i="11"/>
  <c r="DG21" i="11"/>
  <c r="DC21" i="11"/>
  <c r="DB21" i="11"/>
  <c r="CX21" i="11"/>
  <c r="CW21" i="11"/>
  <c r="CS21" i="11"/>
  <c r="CR21" i="11"/>
  <c r="CN21" i="11"/>
  <c r="CM21" i="11"/>
  <c r="CI21" i="11"/>
  <c r="CH21" i="11"/>
  <c r="CD21" i="11"/>
  <c r="CC21" i="11"/>
  <c r="BY21" i="11"/>
  <c r="BX21" i="11"/>
  <c r="BT21" i="11"/>
  <c r="BS21" i="11"/>
  <c r="BO21" i="11"/>
  <c r="BN21" i="11"/>
  <c r="BJ21" i="11"/>
  <c r="BI21" i="11"/>
  <c r="BE21" i="11"/>
  <c r="BD21" i="11"/>
  <c r="AZ21" i="11"/>
  <c r="AY21" i="11"/>
  <c r="AU21" i="11"/>
  <c r="AT21" i="11"/>
  <c r="AP21" i="11"/>
  <c r="AO21" i="11"/>
  <c r="AK21" i="11"/>
  <c r="AJ21" i="11"/>
  <c r="AF21" i="11"/>
  <c r="AE21" i="11"/>
  <c r="AA21" i="11"/>
  <c r="Z21" i="11"/>
  <c r="V21" i="11"/>
  <c r="U21" i="11"/>
  <c r="Q21" i="11"/>
  <c r="P21" i="11"/>
  <c r="L21" i="11"/>
  <c r="K21" i="11"/>
  <c r="G21" i="11"/>
  <c r="F21" i="11"/>
  <c r="C21" i="11"/>
  <c r="B21" i="11"/>
  <c r="A21" i="11"/>
  <c r="EV20" i="11"/>
  <c r="EU20" i="11"/>
  <c r="EQ20" i="11"/>
  <c r="EP20" i="11"/>
  <c r="EL20" i="11"/>
  <c r="EK20" i="11"/>
  <c r="EG20" i="11"/>
  <c r="EF20" i="11"/>
  <c r="EB20" i="11"/>
  <c r="EA20" i="11"/>
  <c r="DW20" i="11"/>
  <c r="DV20" i="11"/>
  <c r="DR20" i="11"/>
  <c r="DQ20" i="11"/>
  <c r="DM20" i="11"/>
  <c r="DL20" i="11"/>
  <c r="DH20" i="11"/>
  <c r="DG20" i="11"/>
  <c r="DC20" i="11"/>
  <c r="DB20" i="11"/>
  <c r="CX20" i="11"/>
  <c r="CW20" i="11"/>
  <c r="CS20" i="11"/>
  <c r="CR20" i="11"/>
  <c r="CN20" i="11"/>
  <c r="CM20" i="11"/>
  <c r="CI20" i="11"/>
  <c r="CH20" i="11"/>
  <c r="CD20" i="11"/>
  <c r="CC20" i="11"/>
  <c r="BY20" i="11"/>
  <c r="BX20" i="11"/>
  <c r="BT20" i="11"/>
  <c r="BS20" i="11"/>
  <c r="BO20" i="11"/>
  <c r="BN20" i="11"/>
  <c r="BJ20" i="11"/>
  <c r="BI20" i="11"/>
  <c r="BE20" i="11"/>
  <c r="BD20" i="11"/>
  <c r="AZ20" i="11"/>
  <c r="AY20" i="11"/>
  <c r="AU20" i="11"/>
  <c r="AT20" i="11"/>
  <c r="AP20" i="11"/>
  <c r="AO20" i="11"/>
  <c r="AK20" i="11"/>
  <c r="AJ20" i="11"/>
  <c r="AF20" i="11"/>
  <c r="AE20" i="11"/>
  <c r="AA20" i="11"/>
  <c r="Z20" i="11"/>
  <c r="V20" i="11"/>
  <c r="U20" i="11"/>
  <c r="Q20" i="11"/>
  <c r="P20" i="11"/>
  <c r="L20" i="11"/>
  <c r="K20" i="11"/>
  <c r="G20" i="11"/>
  <c r="F20" i="11"/>
  <c r="C20" i="11"/>
  <c r="B20" i="11"/>
  <c r="A20" i="11"/>
  <c r="EV19" i="11"/>
  <c r="EU19" i="11"/>
  <c r="EQ19" i="11"/>
  <c r="EP19" i="11"/>
  <c r="EL19" i="11"/>
  <c r="EK19" i="11"/>
  <c r="EG19" i="11"/>
  <c r="EF19" i="11"/>
  <c r="EB19" i="11"/>
  <c r="EA19" i="11"/>
  <c r="DW19" i="11"/>
  <c r="DV19" i="11"/>
  <c r="DR19" i="11"/>
  <c r="DQ19" i="11"/>
  <c r="DM19" i="11"/>
  <c r="DL19" i="11"/>
  <c r="DH19" i="11"/>
  <c r="DG19" i="11"/>
  <c r="DC19" i="11"/>
  <c r="DB19" i="11"/>
  <c r="CX19" i="11"/>
  <c r="CW19" i="11"/>
  <c r="CS19" i="11"/>
  <c r="CR19" i="11"/>
  <c r="CN19" i="11"/>
  <c r="CM19" i="11"/>
  <c r="CI19" i="11"/>
  <c r="CH19" i="11"/>
  <c r="CD19" i="11"/>
  <c r="CC19" i="11"/>
  <c r="BY19" i="11"/>
  <c r="BX19" i="11"/>
  <c r="BT19" i="11"/>
  <c r="BS19" i="11"/>
  <c r="BO19" i="11"/>
  <c r="BN19" i="11"/>
  <c r="BJ19" i="11"/>
  <c r="BI19" i="11"/>
  <c r="BE19" i="11"/>
  <c r="BD19" i="11"/>
  <c r="AZ19" i="11"/>
  <c r="AY19" i="11"/>
  <c r="AU19" i="11"/>
  <c r="AT19" i="11"/>
  <c r="AP19" i="11"/>
  <c r="AO19" i="11"/>
  <c r="AK19" i="11"/>
  <c r="AJ19" i="11"/>
  <c r="AF19" i="11"/>
  <c r="AE19" i="11"/>
  <c r="AA19" i="11"/>
  <c r="Z19" i="11"/>
  <c r="V19" i="11"/>
  <c r="U19" i="11"/>
  <c r="Q19" i="11"/>
  <c r="P19" i="11"/>
  <c r="L19" i="11"/>
  <c r="K19" i="11"/>
  <c r="G19" i="11"/>
  <c r="F19" i="11"/>
  <c r="C19" i="11"/>
  <c r="B19" i="11"/>
  <c r="A19" i="11"/>
  <c r="EV18" i="11"/>
  <c r="EU18" i="11"/>
  <c r="EQ18" i="11"/>
  <c r="EP18" i="11"/>
  <c r="EL18" i="11"/>
  <c r="EK18" i="11"/>
  <c r="EG18" i="11"/>
  <c r="EF18" i="11"/>
  <c r="EB18" i="11"/>
  <c r="EA18" i="11"/>
  <c r="DW18" i="11"/>
  <c r="DV18" i="11"/>
  <c r="DR18" i="11"/>
  <c r="DQ18" i="11"/>
  <c r="DM18" i="11"/>
  <c r="DL18" i="11"/>
  <c r="DH18" i="11"/>
  <c r="DG18" i="11"/>
  <c r="DC18" i="11"/>
  <c r="DB18" i="11"/>
  <c r="CX18" i="11"/>
  <c r="CW18" i="11"/>
  <c r="CS18" i="11"/>
  <c r="CR18" i="11"/>
  <c r="CN18" i="11"/>
  <c r="CM18" i="11"/>
  <c r="CI18" i="11"/>
  <c r="CH18" i="11"/>
  <c r="CD18" i="11"/>
  <c r="CC18" i="11"/>
  <c r="BY18" i="11"/>
  <c r="BX18" i="11"/>
  <c r="BT18" i="11"/>
  <c r="BS18" i="11"/>
  <c r="BO18" i="11"/>
  <c r="BN18" i="11"/>
  <c r="BJ18" i="11"/>
  <c r="BI18" i="11"/>
  <c r="BE18" i="11"/>
  <c r="BD18" i="11"/>
  <c r="AZ18" i="11"/>
  <c r="AY18" i="11"/>
  <c r="AU18" i="11"/>
  <c r="AT18" i="11"/>
  <c r="AP18" i="11"/>
  <c r="AO18" i="11"/>
  <c r="AK18" i="11"/>
  <c r="AJ18" i="11"/>
  <c r="AF18" i="11"/>
  <c r="AE18" i="11"/>
  <c r="AA18" i="11"/>
  <c r="Z18" i="11"/>
  <c r="V18" i="11"/>
  <c r="U18" i="11"/>
  <c r="Q18" i="11"/>
  <c r="P18" i="11"/>
  <c r="L18" i="11"/>
  <c r="K18" i="11"/>
  <c r="G18" i="11"/>
  <c r="F18" i="11"/>
  <c r="C18" i="11"/>
  <c r="B18" i="11"/>
  <c r="A18" i="11"/>
  <c r="EV17" i="11"/>
  <c r="EU17" i="11"/>
  <c r="EQ17" i="11"/>
  <c r="EP17" i="11"/>
  <c r="EL17" i="11"/>
  <c r="EK17" i="11"/>
  <c r="EG17" i="11"/>
  <c r="EF17" i="11"/>
  <c r="EB17" i="11"/>
  <c r="EA17" i="11"/>
  <c r="DW17" i="11"/>
  <c r="DV17" i="11"/>
  <c r="DR17" i="11"/>
  <c r="DQ17" i="11"/>
  <c r="DM17" i="11"/>
  <c r="DL17" i="11"/>
  <c r="DH17" i="11"/>
  <c r="DG17" i="11"/>
  <c r="DC17" i="11"/>
  <c r="DB17" i="11"/>
  <c r="CX17" i="11"/>
  <c r="CW17" i="11"/>
  <c r="CS17" i="11"/>
  <c r="CR17" i="11"/>
  <c r="CN17" i="11"/>
  <c r="CM17" i="11"/>
  <c r="CI17" i="11"/>
  <c r="CH17" i="11"/>
  <c r="CD17" i="11"/>
  <c r="CC17" i="11"/>
  <c r="BY17" i="11"/>
  <c r="BX17" i="11"/>
  <c r="BT17" i="11"/>
  <c r="BS17" i="11"/>
  <c r="BO17" i="11"/>
  <c r="BN17" i="11"/>
  <c r="BJ17" i="11"/>
  <c r="BI17" i="11"/>
  <c r="BE17" i="11"/>
  <c r="BD17" i="11"/>
  <c r="AZ17" i="11"/>
  <c r="AY17" i="11"/>
  <c r="AU17" i="11"/>
  <c r="AT17" i="11"/>
  <c r="AP17" i="11"/>
  <c r="AO17" i="11"/>
  <c r="AK17" i="11"/>
  <c r="AJ17" i="11"/>
  <c r="AF17" i="11"/>
  <c r="AE17" i="11"/>
  <c r="AA17" i="11"/>
  <c r="Z17" i="11"/>
  <c r="V17" i="11"/>
  <c r="U17" i="11"/>
  <c r="Q17" i="11"/>
  <c r="P17" i="11"/>
  <c r="L17" i="11"/>
  <c r="K17" i="11"/>
  <c r="G17" i="11"/>
  <c r="F17" i="11"/>
  <c r="C17" i="11"/>
  <c r="B17" i="11"/>
  <c r="A17" i="11"/>
  <c r="EV16" i="11"/>
  <c r="EU16" i="11"/>
  <c r="EQ16" i="11"/>
  <c r="EP16" i="11"/>
  <c r="EL16" i="11"/>
  <c r="EK16" i="11"/>
  <c r="EG16" i="11"/>
  <c r="EF16" i="11"/>
  <c r="EB16" i="11"/>
  <c r="EA16" i="11"/>
  <c r="DW16" i="11"/>
  <c r="DV16" i="11"/>
  <c r="DR16" i="11"/>
  <c r="DQ16" i="11"/>
  <c r="DM16" i="11"/>
  <c r="DL16" i="11"/>
  <c r="DH16" i="11"/>
  <c r="DG16" i="11"/>
  <c r="DC16" i="11"/>
  <c r="DB16" i="11"/>
  <c r="CX16" i="11"/>
  <c r="CW16" i="11"/>
  <c r="CS16" i="11"/>
  <c r="CR16" i="11"/>
  <c r="CN16" i="11"/>
  <c r="CM16" i="11"/>
  <c r="CI16" i="11"/>
  <c r="CH16" i="11"/>
  <c r="CD16" i="11"/>
  <c r="CC16" i="11"/>
  <c r="BY16" i="11"/>
  <c r="BX16" i="11"/>
  <c r="BT16" i="11"/>
  <c r="BS16" i="11"/>
  <c r="BO16" i="11"/>
  <c r="BN16" i="11"/>
  <c r="BJ16" i="11"/>
  <c r="BI16" i="11"/>
  <c r="BE16" i="11"/>
  <c r="BD16" i="11"/>
  <c r="AZ16" i="11"/>
  <c r="AY16" i="11"/>
  <c r="AU16" i="11"/>
  <c r="AT16" i="11"/>
  <c r="AP16" i="11"/>
  <c r="AO16" i="11"/>
  <c r="AK16" i="11"/>
  <c r="AJ16" i="11"/>
  <c r="AF16" i="11"/>
  <c r="AE16" i="11"/>
  <c r="AA16" i="11"/>
  <c r="Z16" i="11"/>
  <c r="V16" i="11"/>
  <c r="U16" i="11"/>
  <c r="Q16" i="11"/>
  <c r="P16" i="11"/>
  <c r="L16" i="11"/>
  <c r="K16" i="11"/>
  <c r="G16" i="11"/>
  <c r="F16" i="11"/>
  <c r="C16" i="11"/>
  <c r="B16" i="11"/>
  <c r="A16" i="11"/>
  <c r="EV15" i="11"/>
  <c r="EU15" i="11"/>
  <c r="EQ15" i="11"/>
  <c r="EP15" i="11"/>
  <c r="EL15" i="11"/>
  <c r="EK15" i="11"/>
  <c r="EG15" i="11"/>
  <c r="EF15" i="11"/>
  <c r="EB15" i="11"/>
  <c r="EA15" i="11"/>
  <c r="DW15" i="11"/>
  <c r="DV15" i="11"/>
  <c r="DR15" i="11"/>
  <c r="DQ15" i="11"/>
  <c r="DM15" i="11"/>
  <c r="DL15" i="11"/>
  <c r="DH15" i="11"/>
  <c r="DG15" i="11"/>
  <c r="DC15" i="11"/>
  <c r="DB15" i="11"/>
  <c r="CX15" i="11"/>
  <c r="CW15" i="11"/>
  <c r="CS15" i="11"/>
  <c r="CR15" i="11"/>
  <c r="CN15" i="11"/>
  <c r="CM15" i="11"/>
  <c r="CI15" i="11"/>
  <c r="CH15" i="11"/>
  <c r="CD15" i="11"/>
  <c r="CC15" i="11"/>
  <c r="BY15" i="11"/>
  <c r="BX15" i="11"/>
  <c r="BT15" i="11"/>
  <c r="BS15" i="11"/>
  <c r="BO15" i="11"/>
  <c r="BN15" i="11"/>
  <c r="BJ15" i="11"/>
  <c r="BI15" i="11"/>
  <c r="BE15" i="11"/>
  <c r="BD15" i="11"/>
  <c r="AZ15" i="11"/>
  <c r="AY15" i="11"/>
  <c r="AU15" i="11"/>
  <c r="AT15" i="11"/>
  <c r="AP15" i="11"/>
  <c r="AO15" i="11"/>
  <c r="AK15" i="11"/>
  <c r="AJ15" i="11"/>
  <c r="AF15" i="11"/>
  <c r="AE15" i="11"/>
  <c r="AA15" i="11"/>
  <c r="Z15" i="11"/>
  <c r="V15" i="11"/>
  <c r="U15" i="11"/>
  <c r="Q15" i="11"/>
  <c r="P15" i="11"/>
  <c r="L15" i="11"/>
  <c r="K15" i="11"/>
  <c r="G15" i="11"/>
  <c r="F15" i="11"/>
  <c r="C15" i="11"/>
  <c r="B15" i="11"/>
  <c r="A15" i="11"/>
  <c r="EV14" i="11"/>
  <c r="EU14" i="11"/>
  <c r="EQ14" i="11"/>
  <c r="EP14" i="11"/>
  <c r="EL14" i="11"/>
  <c r="EK14" i="11"/>
  <c r="EG14" i="11"/>
  <c r="EF14" i="11"/>
  <c r="EB14" i="11"/>
  <c r="EA14" i="11"/>
  <c r="DW14" i="11"/>
  <c r="DV14" i="11"/>
  <c r="DR14" i="11"/>
  <c r="DQ14" i="11"/>
  <c r="DM14" i="11"/>
  <c r="DL14" i="11"/>
  <c r="DH14" i="11"/>
  <c r="DG14" i="11"/>
  <c r="DC14" i="11"/>
  <c r="DB14" i="11"/>
  <c r="CX14" i="11"/>
  <c r="CW14" i="11"/>
  <c r="CS14" i="11"/>
  <c r="CR14" i="11"/>
  <c r="CN14" i="11"/>
  <c r="CM14" i="11"/>
  <c r="CI14" i="11"/>
  <c r="CH14" i="11"/>
  <c r="CD14" i="11"/>
  <c r="CC14" i="11"/>
  <c r="BY14" i="11"/>
  <c r="BX14" i="11"/>
  <c r="BT14" i="11"/>
  <c r="BS14" i="11"/>
  <c r="BO14" i="11"/>
  <c r="BN14" i="11"/>
  <c r="BJ14" i="11"/>
  <c r="BI14" i="11"/>
  <c r="BE14" i="11"/>
  <c r="BD14" i="11"/>
  <c r="AZ14" i="11"/>
  <c r="AY14" i="11"/>
  <c r="AU14" i="11"/>
  <c r="AT14" i="11"/>
  <c r="AP14" i="11"/>
  <c r="AO14" i="11"/>
  <c r="AK14" i="11"/>
  <c r="AJ14" i="11"/>
  <c r="AF14" i="11"/>
  <c r="AE14" i="11"/>
  <c r="AA14" i="11"/>
  <c r="Z14" i="11"/>
  <c r="V14" i="11"/>
  <c r="U14" i="11"/>
  <c r="Q14" i="11"/>
  <c r="P14" i="11"/>
  <c r="L14" i="11"/>
  <c r="K14" i="11"/>
  <c r="G14" i="11"/>
  <c r="F14" i="11"/>
  <c r="C14" i="11"/>
  <c r="B14" i="11"/>
  <c r="A14" i="11"/>
  <c r="EV13" i="11"/>
  <c r="EU13" i="11"/>
  <c r="EQ13" i="11"/>
  <c r="EP13" i="11"/>
  <c r="EL13" i="11"/>
  <c r="EK13" i="11"/>
  <c r="EG13" i="11"/>
  <c r="EF13" i="11"/>
  <c r="EB13" i="11"/>
  <c r="EA13" i="11"/>
  <c r="DW13" i="11"/>
  <c r="DV13" i="11"/>
  <c r="DR13" i="11"/>
  <c r="DQ13" i="11"/>
  <c r="DM13" i="11"/>
  <c r="DL13" i="11"/>
  <c r="DH13" i="11"/>
  <c r="DG13" i="11"/>
  <c r="DC13" i="11"/>
  <c r="DB13" i="11"/>
  <c r="CX13" i="11"/>
  <c r="CW13" i="11"/>
  <c r="CS13" i="11"/>
  <c r="CR13" i="11"/>
  <c r="CN13" i="11"/>
  <c r="CM13" i="11"/>
  <c r="CI13" i="11"/>
  <c r="CH13" i="11"/>
  <c r="CD13" i="11"/>
  <c r="CC13" i="11"/>
  <c r="BY13" i="11"/>
  <c r="BX13" i="11"/>
  <c r="BT13" i="11"/>
  <c r="BS13" i="11"/>
  <c r="BO13" i="11"/>
  <c r="BN13" i="11"/>
  <c r="BJ13" i="11"/>
  <c r="BI13" i="11"/>
  <c r="BE13" i="11"/>
  <c r="BD13" i="11"/>
  <c r="AZ13" i="11"/>
  <c r="AY13" i="11"/>
  <c r="AU13" i="11"/>
  <c r="AT13" i="11"/>
  <c r="AP13" i="11"/>
  <c r="AO13" i="11"/>
  <c r="AK13" i="11"/>
  <c r="AJ13" i="11"/>
  <c r="AF13" i="11"/>
  <c r="AE13" i="11"/>
  <c r="AA13" i="11"/>
  <c r="Z13" i="11"/>
  <c r="V13" i="11"/>
  <c r="U13" i="11"/>
  <c r="Q13" i="11"/>
  <c r="P13" i="11"/>
  <c r="L13" i="11"/>
  <c r="K13" i="11"/>
  <c r="G13" i="11"/>
  <c r="F13" i="11"/>
  <c r="C13" i="11"/>
  <c r="B13" i="11"/>
  <c r="A13" i="11"/>
  <c r="EV12" i="11"/>
  <c r="EU12" i="11"/>
  <c r="EQ12" i="11"/>
  <c r="EP12" i="11"/>
  <c r="EL12" i="11"/>
  <c r="EK12" i="11"/>
  <c r="EG12" i="11"/>
  <c r="EF12" i="11"/>
  <c r="EB12" i="11"/>
  <c r="EA12" i="11"/>
  <c r="DW12" i="11"/>
  <c r="DV12" i="11"/>
  <c r="DR12" i="11"/>
  <c r="DQ12" i="11"/>
  <c r="DM12" i="11"/>
  <c r="DL12" i="11"/>
  <c r="DH12" i="11"/>
  <c r="DG12" i="11"/>
  <c r="DC12" i="11"/>
  <c r="DB12" i="11"/>
  <c r="CX12" i="11"/>
  <c r="CW12" i="11"/>
  <c r="CS12" i="11"/>
  <c r="CR12" i="11"/>
  <c r="CN12" i="11"/>
  <c r="CM12" i="11"/>
  <c r="CI12" i="11"/>
  <c r="CH12" i="11"/>
  <c r="CD12" i="11"/>
  <c r="CC12" i="11"/>
  <c r="BY12" i="11"/>
  <c r="BX12" i="11"/>
  <c r="BT12" i="11"/>
  <c r="BS12" i="11"/>
  <c r="BO12" i="11"/>
  <c r="BN12" i="11"/>
  <c r="BJ12" i="11"/>
  <c r="BI12" i="11"/>
  <c r="BE12" i="11"/>
  <c r="BD12" i="11"/>
  <c r="AZ12" i="11"/>
  <c r="AY12" i="11"/>
  <c r="AU12" i="11"/>
  <c r="AT12" i="11"/>
  <c r="AP12" i="11"/>
  <c r="AO12" i="11"/>
  <c r="AK12" i="11"/>
  <c r="AJ12" i="11"/>
  <c r="AF12" i="11"/>
  <c r="AE12" i="11"/>
  <c r="AA12" i="11"/>
  <c r="Z12" i="11"/>
  <c r="V12" i="11"/>
  <c r="U12" i="11"/>
  <c r="Q12" i="11"/>
  <c r="P12" i="11"/>
  <c r="L12" i="11"/>
  <c r="K12" i="11"/>
  <c r="G12" i="11"/>
  <c r="F12" i="11"/>
  <c r="C12" i="11"/>
  <c r="B12" i="11"/>
  <c r="A12" i="11"/>
  <c r="EV11" i="11"/>
  <c r="EU11" i="11"/>
  <c r="EQ11" i="11"/>
  <c r="EP11" i="11"/>
  <c r="EL11" i="11"/>
  <c r="EK11" i="11"/>
  <c r="EG11" i="11"/>
  <c r="EF11" i="11"/>
  <c r="EB11" i="11"/>
  <c r="EA11" i="11"/>
  <c r="DW11" i="11"/>
  <c r="DV11" i="11"/>
  <c r="DR11" i="11"/>
  <c r="DQ11" i="11"/>
  <c r="DM11" i="11"/>
  <c r="DL11" i="11"/>
  <c r="DH11" i="11"/>
  <c r="DG11" i="11"/>
  <c r="DC11" i="11"/>
  <c r="DB11" i="11"/>
  <c r="CX11" i="11"/>
  <c r="CW11" i="11"/>
  <c r="CS11" i="11"/>
  <c r="CR11" i="11"/>
  <c r="CN11" i="11"/>
  <c r="CM11" i="11"/>
  <c r="CI11" i="11"/>
  <c r="CH11" i="11"/>
  <c r="CD11" i="11"/>
  <c r="CC11" i="11"/>
  <c r="BY11" i="11"/>
  <c r="BX11" i="11"/>
  <c r="BT11" i="11"/>
  <c r="BS11" i="11"/>
  <c r="BO11" i="11"/>
  <c r="BN11" i="11"/>
  <c r="BJ11" i="11"/>
  <c r="BI11" i="11"/>
  <c r="BE11" i="11"/>
  <c r="BD11" i="11"/>
  <c r="AZ11" i="11"/>
  <c r="AY11" i="11"/>
  <c r="AU11" i="11"/>
  <c r="AT11" i="11"/>
  <c r="AP11" i="11"/>
  <c r="AO11" i="11"/>
  <c r="AK11" i="11"/>
  <c r="AJ11" i="11"/>
  <c r="AF11" i="11"/>
  <c r="AE11" i="11"/>
  <c r="AA11" i="11"/>
  <c r="Z11" i="11"/>
  <c r="V11" i="11"/>
  <c r="U11" i="11"/>
  <c r="Q11" i="11"/>
  <c r="P11" i="11"/>
  <c r="L11" i="11"/>
  <c r="K11" i="11"/>
  <c r="G11" i="11"/>
  <c r="F11" i="11"/>
  <c r="C11" i="11"/>
  <c r="B11" i="11"/>
  <c r="A11" i="11"/>
  <c r="EV10" i="11"/>
  <c r="EU10" i="11"/>
  <c r="EQ10" i="11"/>
  <c r="EP10" i="11"/>
  <c r="EL10" i="11"/>
  <c r="EK10" i="11"/>
  <c r="EG10" i="11"/>
  <c r="EF10" i="11"/>
  <c r="EB10" i="11"/>
  <c r="EA10" i="11"/>
  <c r="DW10" i="11"/>
  <c r="DV10" i="11"/>
  <c r="DR10" i="11"/>
  <c r="DQ10" i="11"/>
  <c r="DM10" i="11"/>
  <c r="DL10" i="11"/>
  <c r="DH10" i="11"/>
  <c r="DG10" i="11"/>
  <c r="DC10" i="11"/>
  <c r="DB10" i="11"/>
  <c r="CX10" i="11"/>
  <c r="CW10" i="11"/>
  <c r="CS10" i="11"/>
  <c r="CR10" i="11"/>
  <c r="CN10" i="11"/>
  <c r="CM10" i="11"/>
  <c r="CI10" i="11"/>
  <c r="CH10" i="11"/>
  <c r="CD10" i="11"/>
  <c r="CC10" i="11"/>
  <c r="BY10" i="11"/>
  <c r="BX10" i="11"/>
  <c r="BT10" i="11"/>
  <c r="BS10" i="11"/>
  <c r="BO10" i="11"/>
  <c r="BN10" i="11"/>
  <c r="BJ10" i="11"/>
  <c r="BI10" i="11"/>
  <c r="BE10" i="11"/>
  <c r="BD10" i="11"/>
  <c r="AZ10" i="11"/>
  <c r="AY10" i="11"/>
  <c r="AU10" i="11"/>
  <c r="AT10" i="11"/>
  <c r="AP10" i="11"/>
  <c r="AO10" i="11"/>
  <c r="AK10" i="11"/>
  <c r="AJ10" i="11"/>
  <c r="AF10" i="11"/>
  <c r="AE10" i="11"/>
  <c r="AA10" i="11"/>
  <c r="Z10" i="11"/>
  <c r="V10" i="11"/>
  <c r="U10" i="11"/>
  <c r="Q10" i="11"/>
  <c r="P10" i="11"/>
  <c r="L10" i="11"/>
  <c r="K10" i="11"/>
  <c r="G10" i="11"/>
  <c r="F10" i="11"/>
  <c r="C10" i="11"/>
  <c r="B10" i="11"/>
  <c r="A10" i="11"/>
  <c r="EV9" i="11"/>
  <c r="EU9" i="11"/>
  <c r="EQ9" i="11"/>
  <c r="EP9" i="11"/>
  <c r="EL9" i="11"/>
  <c r="EK9" i="11"/>
  <c r="EG9" i="11"/>
  <c r="EF9" i="11"/>
  <c r="EB9" i="11"/>
  <c r="EA9" i="11"/>
  <c r="DW9" i="11"/>
  <c r="DV9" i="11"/>
  <c r="DR9" i="11"/>
  <c r="DQ9" i="11"/>
  <c r="DM9" i="11"/>
  <c r="DL9" i="11"/>
  <c r="DH9" i="11"/>
  <c r="DG9" i="11"/>
  <c r="DC9" i="11"/>
  <c r="DB9" i="11"/>
  <c r="CX9" i="11"/>
  <c r="CW9" i="11"/>
  <c r="CS9" i="11"/>
  <c r="CR9" i="11"/>
  <c r="CN9" i="11"/>
  <c r="CM9" i="11"/>
  <c r="CI9" i="11"/>
  <c r="CH9" i="11"/>
  <c r="CD9" i="11"/>
  <c r="CC9" i="11"/>
  <c r="BY9" i="11"/>
  <c r="BX9" i="11"/>
  <c r="BT9" i="11"/>
  <c r="BS9" i="11"/>
  <c r="BO9" i="11"/>
  <c r="BN9" i="11"/>
  <c r="BJ9" i="11"/>
  <c r="BI9" i="11"/>
  <c r="BE9" i="11"/>
  <c r="BD9" i="11"/>
  <c r="AZ9" i="11"/>
  <c r="AY9" i="11"/>
  <c r="AU9" i="11"/>
  <c r="AT9" i="11"/>
  <c r="AP9" i="11"/>
  <c r="AO9" i="11"/>
  <c r="AK9" i="11"/>
  <c r="AJ9" i="11"/>
  <c r="AF9" i="11"/>
  <c r="AE9" i="11"/>
  <c r="AA9" i="11"/>
  <c r="Z9" i="11"/>
  <c r="V9" i="11"/>
  <c r="U9" i="11"/>
  <c r="Q9" i="11"/>
  <c r="P9" i="11"/>
  <c r="L9" i="11"/>
  <c r="K9" i="11"/>
  <c r="G9" i="11"/>
  <c r="F9" i="11"/>
  <c r="C9" i="11"/>
  <c r="B9" i="11"/>
  <c r="A9" i="11"/>
  <c r="EV8" i="11"/>
  <c r="EU8" i="11"/>
  <c r="EQ8" i="11"/>
  <c r="EP8" i="11"/>
  <c r="EL8" i="11"/>
  <c r="EK8" i="11"/>
  <c r="EG8" i="11"/>
  <c r="EF8" i="11"/>
  <c r="EB8" i="11"/>
  <c r="EA8" i="11"/>
  <c r="DW8" i="11"/>
  <c r="DV8" i="11"/>
  <c r="DR8" i="11"/>
  <c r="DQ8" i="11"/>
  <c r="DM8" i="11"/>
  <c r="DL8" i="11"/>
  <c r="DH8" i="11"/>
  <c r="DG8" i="11"/>
  <c r="DC8" i="11"/>
  <c r="DB8" i="11"/>
  <c r="CX8" i="11"/>
  <c r="CW8" i="11"/>
  <c r="CS8" i="11"/>
  <c r="CR8" i="11"/>
  <c r="CN8" i="11"/>
  <c r="CM8" i="11"/>
  <c r="CI8" i="11"/>
  <c r="CH8" i="11"/>
  <c r="CD8" i="11"/>
  <c r="CC8" i="11"/>
  <c r="BY8" i="11"/>
  <c r="BX8" i="11"/>
  <c r="BT8" i="11"/>
  <c r="BS8" i="11"/>
  <c r="BO8" i="11"/>
  <c r="BN8" i="11"/>
  <c r="BJ8" i="11"/>
  <c r="BI8" i="11"/>
  <c r="BE8" i="11"/>
  <c r="BD8" i="11"/>
  <c r="AZ8" i="11"/>
  <c r="AY8" i="11"/>
  <c r="AU8" i="11"/>
  <c r="AT8" i="11"/>
  <c r="AP8" i="11"/>
  <c r="AO8" i="11"/>
  <c r="AK8" i="11"/>
  <c r="AJ8" i="11"/>
  <c r="AF8" i="11"/>
  <c r="AE8" i="11"/>
  <c r="AA8" i="11"/>
  <c r="Z8" i="11"/>
  <c r="V8" i="11"/>
  <c r="U8" i="11"/>
  <c r="Q8" i="11"/>
  <c r="P8" i="11"/>
  <c r="L8" i="11"/>
  <c r="K8" i="11"/>
  <c r="G8" i="11"/>
  <c r="F8" i="11"/>
  <c r="C8" i="11"/>
  <c r="B8" i="11"/>
  <c r="A8" i="11"/>
  <c r="EV7" i="11"/>
  <c r="EU7" i="11"/>
  <c r="EQ7" i="11"/>
  <c r="EP7" i="11"/>
  <c r="EL7" i="11"/>
  <c r="EK7" i="11"/>
  <c r="EG7" i="11"/>
  <c r="EF7" i="11"/>
  <c r="EB7" i="11"/>
  <c r="EA7" i="11"/>
  <c r="DW7" i="11"/>
  <c r="DV7" i="11"/>
  <c r="DR7" i="11"/>
  <c r="DQ7" i="11"/>
  <c r="DM7" i="11"/>
  <c r="DL7" i="11"/>
  <c r="DH7" i="11"/>
  <c r="DG7" i="11"/>
  <c r="DC7" i="11"/>
  <c r="DB7" i="11"/>
  <c r="CX7" i="11"/>
  <c r="CW7" i="11"/>
  <c r="CS7" i="11"/>
  <c r="CR7" i="11"/>
  <c r="CN7" i="11"/>
  <c r="CM7" i="11"/>
  <c r="CI7" i="11"/>
  <c r="CH7" i="11"/>
  <c r="CD7" i="11"/>
  <c r="CC7" i="11"/>
  <c r="BY7" i="11"/>
  <c r="BX7" i="11"/>
  <c r="BT7" i="11"/>
  <c r="BS7" i="11"/>
  <c r="BO7" i="11"/>
  <c r="BN7" i="11"/>
  <c r="BJ7" i="11"/>
  <c r="BI7" i="11"/>
  <c r="BE7" i="11"/>
  <c r="BD7" i="11"/>
  <c r="AZ7" i="11"/>
  <c r="AY7" i="11"/>
  <c r="AU7" i="11"/>
  <c r="AT7" i="11"/>
  <c r="AP7" i="11"/>
  <c r="AO7" i="11"/>
  <c r="AK7" i="11"/>
  <c r="AJ7" i="11"/>
  <c r="AF7" i="11"/>
  <c r="AE7" i="11"/>
  <c r="AA7" i="11"/>
  <c r="Z7" i="11"/>
  <c r="V7" i="11"/>
  <c r="U7" i="11"/>
  <c r="Q7" i="11"/>
  <c r="P7" i="11"/>
  <c r="L7" i="11"/>
  <c r="K7" i="11"/>
  <c r="G7" i="11"/>
  <c r="F7" i="11"/>
  <c r="C7" i="11"/>
  <c r="B7" i="11"/>
  <c r="A7" i="11"/>
  <c r="EV6" i="11"/>
  <c r="EU6" i="11"/>
  <c r="EQ6" i="11"/>
  <c r="EP6" i="11"/>
  <c r="EL6" i="11"/>
  <c r="EK6" i="11"/>
  <c r="EG6" i="11"/>
  <c r="EF6" i="11"/>
  <c r="EB6" i="11"/>
  <c r="EA6" i="11"/>
  <c r="DW6" i="11"/>
  <c r="DV6" i="11"/>
  <c r="DR6" i="11"/>
  <c r="DQ6" i="11"/>
  <c r="DM6" i="11"/>
  <c r="DL6" i="11"/>
  <c r="DH6" i="11"/>
  <c r="DG6" i="11"/>
  <c r="DC6" i="11"/>
  <c r="DB6" i="11"/>
  <c r="CX6" i="11"/>
  <c r="CW6" i="11"/>
  <c r="CS6" i="11"/>
  <c r="CR6" i="11"/>
  <c r="CN6" i="11"/>
  <c r="CM6" i="11"/>
  <c r="CI6" i="11"/>
  <c r="CH6" i="11"/>
  <c r="CD6" i="11"/>
  <c r="CC6" i="11"/>
  <c r="BY6" i="11"/>
  <c r="BX6" i="11"/>
  <c r="BT6" i="11"/>
  <c r="BS6" i="11"/>
  <c r="BO6" i="11"/>
  <c r="BN6" i="11"/>
  <c r="BJ6" i="11"/>
  <c r="BI6" i="11"/>
  <c r="BE6" i="11"/>
  <c r="BD6" i="11"/>
  <c r="AZ6" i="11"/>
  <c r="AY6" i="11"/>
  <c r="AU6" i="11"/>
  <c r="AT6" i="11"/>
  <c r="AP6" i="11"/>
  <c r="AO6" i="11"/>
  <c r="AK6" i="11"/>
  <c r="AJ6" i="11"/>
  <c r="AF6" i="11"/>
  <c r="AE6" i="11"/>
  <c r="AA6" i="11"/>
  <c r="Z6" i="11"/>
  <c r="V6" i="11"/>
  <c r="U6" i="11"/>
  <c r="Q6" i="11"/>
  <c r="P6" i="11"/>
  <c r="L6" i="11"/>
  <c r="K6" i="11"/>
  <c r="G6" i="11"/>
  <c r="F6" i="11"/>
  <c r="C6" i="11"/>
  <c r="B6" i="11"/>
  <c r="A6" i="11"/>
  <c r="EV5" i="11"/>
  <c r="EU5" i="11"/>
  <c r="EQ5" i="11"/>
  <c r="EP5" i="11"/>
  <c r="EL5" i="11"/>
  <c r="EK5" i="11"/>
  <c r="EG5" i="11"/>
  <c r="EF5" i="11"/>
  <c r="EB5" i="11"/>
  <c r="EA5" i="11"/>
  <c r="DW5" i="11"/>
  <c r="DV5" i="11"/>
  <c r="DR5" i="11"/>
  <c r="DQ5" i="11"/>
  <c r="DM5" i="11"/>
  <c r="DL5" i="11"/>
  <c r="DH5" i="11"/>
  <c r="DG5" i="11"/>
  <c r="DC5" i="11"/>
  <c r="DB5" i="11"/>
  <c r="CX5" i="11"/>
  <c r="CW5" i="11"/>
  <c r="CS5" i="11"/>
  <c r="CR5" i="11"/>
  <c r="CN5" i="11"/>
  <c r="CM5" i="11"/>
  <c r="CI5" i="11"/>
  <c r="CH5" i="11"/>
  <c r="CD5" i="11"/>
  <c r="CC5" i="11"/>
  <c r="BY5" i="11"/>
  <c r="BX5" i="11"/>
  <c r="BT5" i="11"/>
  <c r="BS5" i="11"/>
  <c r="BO5" i="11"/>
  <c r="BN5" i="11"/>
  <c r="BJ5" i="11"/>
  <c r="BI5" i="11"/>
  <c r="BE5" i="11"/>
  <c r="BD5" i="11"/>
  <c r="AZ5" i="11"/>
  <c r="AY5" i="11"/>
  <c r="AU5" i="11"/>
  <c r="AT5" i="11"/>
  <c r="AP5" i="11"/>
  <c r="AO5" i="11"/>
  <c r="AK5" i="11"/>
  <c r="AJ5" i="11"/>
  <c r="AF5" i="11"/>
  <c r="AE5" i="11"/>
  <c r="AA5" i="11"/>
  <c r="Z5" i="11"/>
  <c r="V5" i="11"/>
  <c r="U5" i="11"/>
  <c r="Q5" i="11"/>
  <c r="P5" i="11"/>
  <c r="L5" i="11"/>
  <c r="K5" i="11"/>
  <c r="G5" i="11"/>
  <c r="F5" i="11"/>
  <c r="C5" i="11"/>
  <c r="B5" i="11"/>
  <c r="A5" i="11"/>
  <c r="EV4" i="11"/>
  <c r="EU4" i="11"/>
  <c r="EQ4" i="11"/>
  <c r="EP4" i="11"/>
  <c r="EL4" i="11"/>
  <c r="EK4" i="11"/>
  <c r="EG4" i="11"/>
  <c r="EF4" i="11"/>
  <c r="EB4" i="11"/>
  <c r="EA4" i="11"/>
  <c r="DW4" i="11"/>
  <c r="DV4" i="11"/>
  <c r="DR4" i="11"/>
  <c r="DQ4" i="11"/>
  <c r="DM4" i="11"/>
  <c r="DL4" i="11"/>
  <c r="DH4" i="11"/>
  <c r="DG4" i="11"/>
  <c r="DC4" i="11"/>
  <c r="DB4" i="11"/>
  <c r="CX4" i="11"/>
  <c r="CW4" i="11"/>
  <c r="CS4" i="11"/>
  <c r="CR4" i="11"/>
  <c r="CN4" i="11"/>
  <c r="CM4" i="11"/>
  <c r="CI4" i="11"/>
  <c r="CH4" i="11"/>
  <c r="CD4" i="11"/>
  <c r="CC4" i="11"/>
  <c r="BY4" i="11"/>
  <c r="BX4" i="11"/>
  <c r="BT4" i="11"/>
  <c r="BS4" i="11"/>
  <c r="BO4" i="11"/>
  <c r="BN4" i="11"/>
  <c r="BJ4" i="11"/>
  <c r="BI4" i="11"/>
  <c r="BE4" i="11"/>
  <c r="BD4" i="11"/>
  <c r="AZ4" i="11"/>
  <c r="AY4" i="11"/>
  <c r="AU4" i="11"/>
  <c r="AT4" i="11"/>
  <c r="AP4" i="11"/>
  <c r="AO4" i="11"/>
  <c r="AK4" i="11"/>
  <c r="AJ4" i="11"/>
  <c r="AF4" i="11"/>
  <c r="AE4" i="11"/>
  <c r="AA4" i="11"/>
  <c r="Z4" i="11"/>
  <c r="V4" i="11"/>
  <c r="U4" i="11"/>
  <c r="Q4" i="11"/>
  <c r="P4" i="11"/>
  <c r="L4" i="11"/>
  <c r="K4" i="11"/>
  <c r="G4" i="11"/>
  <c r="F4" i="11"/>
  <c r="C4" i="11"/>
  <c r="B4" i="11"/>
  <c r="A4" i="11"/>
  <c r="ES2" i="11"/>
  <c r="EN2" i="11"/>
  <c r="EI2" i="11"/>
  <c r="ED2" i="11"/>
  <c r="DY2" i="11"/>
  <c r="DT2" i="11"/>
  <c r="DO2" i="11"/>
  <c r="DJ2" i="11"/>
  <c r="DE2" i="11"/>
  <c r="CZ2" i="11"/>
  <c r="CU2" i="11"/>
  <c r="CP2" i="11"/>
  <c r="CK2" i="11"/>
  <c r="CF2" i="11"/>
  <c r="CA2" i="11"/>
  <c r="BV2" i="11"/>
  <c r="BQ2" i="11"/>
  <c r="BL2" i="11"/>
  <c r="BG2" i="11"/>
  <c r="BB2" i="11"/>
  <c r="AW2" i="11"/>
  <c r="AR2" i="11"/>
  <c r="AM2" i="11"/>
  <c r="AH2" i="11"/>
  <c r="AC2" i="11"/>
  <c r="X2" i="11"/>
  <c r="S2" i="11"/>
  <c r="N2" i="11"/>
  <c r="I2" i="11"/>
  <c r="D2" i="11"/>
  <c r="A1" i="11"/>
  <c r="ES40" i="10"/>
  <c r="EN40" i="10"/>
  <c r="EI40" i="10"/>
  <c r="ED40" i="10"/>
  <c r="DY40" i="10"/>
  <c r="DT40" i="10"/>
  <c r="DO40" i="10"/>
  <c r="DJ40" i="10"/>
  <c r="DE40" i="10"/>
  <c r="CZ40" i="10"/>
  <c r="CU40" i="10"/>
  <c r="CP40" i="10"/>
  <c r="CK40" i="10"/>
  <c r="CF40" i="10"/>
  <c r="CA40" i="10"/>
  <c r="BV40" i="10"/>
  <c r="BQ40" i="10"/>
  <c r="BL40" i="10"/>
  <c r="BG40" i="10"/>
  <c r="BB40" i="10"/>
  <c r="AW40" i="10"/>
  <c r="AR40" i="10"/>
  <c r="AM40" i="10"/>
  <c r="AH40" i="10"/>
  <c r="AC40" i="10"/>
  <c r="X40" i="10"/>
  <c r="S40" i="10"/>
  <c r="N40" i="10"/>
  <c r="I40" i="10"/>
  <c r="D40" i="10"/>
  <c r="ES39" i="10"/>
  <c r="EN39" i="10"/>
  <c r="EI39" i="10"/>
  <c r="ED39" i="10"/>
  <c r="DY39" i="10"/>
  <c r="DT39" i="10"/>
  <c r="DO39" i="10"/>
  <c r="DJ39" i="10"/>
  <c r="DE39" i="10"/>
  <c r="CZ39" i="10"/>
  <c r="CU39" i="10"/>
  <c r="CP39" i="10"/>
  <c r="CK39" i="10"/>
  <c r="CF39" i="10"/>
  <c r="CA39" i="10"/>
  <c r="BV39" i="10"/>
  <c r="BQ39" i="10"/>
  <c r="BL39" i="10"/>
  <c r="BG39" i="10"/>
  <c r="BB39" i="10"/>
  <c r="AW39" i="10"/>
  <c r="AR39" i="10"/>
  <c r="AM39" i="10"/>
  <c r="AH39" i="10"/>
  <c r="AC39" i="10"/>
  <c r="X39" i="10"/>
  <c r="S39" i="10"/>
  <c r="N39" i="10"/>
  <c r="I39" i="10"/>
  <c r="D39" i="10"/>
  <c r="ES38" i="10"/>
  <c r="EN38" i="10"/>
  <c r="EI38" i="10"/>
  <c r="ED38" i="10"/>
  <c r="DY38" i="10"/>
  <c r="DT38" i="10"/>
  <c r="DO38" i="10"/>
  <c r="DJ38" i="10"/>
  <c r="DE38" i="10"/>
  <c r="CZ38" i="10"/>
  <c r="CU38" i="10"/>
  <c r="CP38" i="10"/>
  <c r="CK38" i="10"/>
  <c r="CF38" i="10"/>
  <c r="CA38" i="10"/>
  <c r="BV38" i="10"/>
  <c r="BQ38" i="10"/>
  <c r="BL38" i="10"/>
  <c r="BG38" i="10"/>
  <c r="BB38" i="10"/>
  <c r="AW38" i="10"/>
  <c r="AR38" i="10"/>
  <c r="AM38" i="10"/>
  <c r="AH38" i="10"/>
  <c r="AC38" i="10"/>
  <c r="X38" i="10"/>
  <c r="S38" i="10"/>
  <c r="N38" i="10"/>
  <c r="I38" i="10"/>
  <c r="D38" i="10"/>
  <c r="ES37" i="10"/>
  <c r="EN37" i="10"/>
  <c r="EI37" i="10"/>
  <c r="ED37" i="10"/>
  <c r="DY37" i="10"/>
  <c r="DT37" i="10"/>
  <c r="DO37" i="10"/>
  <c r="DJ37" i="10"/>
  <c r="DE37" i="10"/>
  <c r="CZ37" i="10"/>
  <c r="CU37" i="10"/>
  <c r="CP37" i="10"/>
  <c r="CK37" i="10"/>
  <c r="CF37" i="10"/>
  <c r="CA37" i="10"/>
  <c r="BV37" i="10"/>
  <c r="BQ37" i="10"/>
  <c r="BL37" i="10"/>
  <c r="BG37" i="10"/>
  <c r="BB37" i="10"/>
  <c r="AW37" i="10"/>
  <c r="AR37" i="10"/>
  <c r="AM37" i="10"/>
  <c r="AH37" i="10"/>
  <c r="AC37" i="10"/>
  <c r="X37" i="10"/>
  <c r="S37" i="10"/>
  <c r="N37" i="10"/>
  <c r="I37" i="10"/>
  <c r="D37" i="10"/>
  <c r="ES36" i="10"/>
  <c r="EN36" i="10"/>
  <c r="EI36" i="10"/>
  <c r="ED36" i="10"/>
  <c r="DY36" i="10"/>
  <c r="DT36" i="10"/>
  <c r="DO36" i="10"/>
  <c r="DJ36" i="10"/>
  <c r="DE36" i="10"/>
  <c r="CZ36" i="10"/>
  <c r="CU36" i="10"/>
  <c r="CP36" i="10"/>
  <c r="CK36" i="10"/>
  <c r="CF36" i="10"/>
  <c r="CA36" i="10"/>
  <c r="BV36" i="10"/>
  <c r="BQ36" i="10"/>
  <c r="BL36" i="10"/>
  <c r="BG36" i="10"/>
  <c r="BB36" i="10"/>
  <c r="AW36" i="10"/>
  <c r="AR36" i="10"/>
  <c r="AM36" i="10"/>
  <c r="AH36" i="10"/>
  <c r="AC36" i="10"/>
  <c r="X36" i="10"/>
  <c r="S36" i="10"/>
  <c r="N36" i="10"/>
  <c r="I36" i="10"/>
  <c r="D36" i="10"/>
  <c r="ES35" i="10"/>
  <c r="EN35" i="10"/>
  <c r="EI35" i="10"/>
  <c r="ED35" i="10"/>
  <c r="DY35" i="10"/>
  <c r="DT35" i="10"/>
  <c r="DO35" i="10"/>
  <c r="DJ35" i="10"/>
  <c r="DE35" i="10"/>
  <c r="CZ35" i="10"/>
  <c r="CU35" i="10"/>
  <c r="CP35" i="10"/>
  <c r="CK35" i="10"/>
  <c r="CF35" i="10"/>
  <c r="CA35" i="10"/>
  <c r="BV35" i="10"/>
  <c r="BQ35" i="10"/>
  <c r="BL35" i="10"/>
  <c r="BG35" i="10"/>
  <c r="BB35" i="10"/>
  <c r="AW35" i="10"/>
  <c r="AR35" i="10"/>
  <c r="AM35" i="10"/>
  <c r="AH35" i="10"/>
  <c r="AC35" i="10"/>
  <c r="X35" i="10"/>
  <c r="S35" i="10"/>
  <c r="N35" i="10"/>
  <c r="I35" i="10"/>
  <c r="D35" i="10"/>
  <c r="EV34" i="10"/>
  <c r="EU34" i="10"/>
  <c r="EQ34" i="10"/>
  <c r="EP34" i="10"/>
  <c r="EL34" i="10"/>
  <c r="EK34" i="10"/>
  <c r="EG34" i="10"/>
  <c r="EF34" i="10"/>
  <c r="EB34" i="10"/>
  <c r="EA34" i="10"/>
  <c r="DW34" i="10"/>
  <c r="DV34" i="10"/>
  <c r="DR34" i="10"/>
  <c r="DQ34" i="10"/>
  <c r="DM34" i="10"/>
  <c r="DL34" i="10"/>
  <c r="DH34" i="10"/>
  <c r="DG34" i="10"/>
  <c r="DC34" i="10"/>
  <c r="DB34" i="10"/>
  <c r="CX34" i="10"/>
  <c r="CW34" i="10"/>
  <c r="CS34" i="10"/>
  <c r="CR34" i="10"/>
  <c r="CN34" i="10"/>
  <c r="CM34" i="10"/>
  <c r="CI34" i="10"/>
  <c r="CH34" i="10"/>
  <c r="CD34" i="10"/>
  <c r="CC34" i="10"/>
  <c r="BY34" i="10"/>
  <c r="BX34" i="10"/>
  <c r="BT34" i="10"/>
  <c r="BS34" i="10"/>
  <c r="BO34" i="10"/>
  <c r="BN34" i="10"/>
  <c r="BJ34" i="10"/>
  <c r="BI34" i="10"/>
  <c r="BE34" i="10"/>
  <c r="BD34" i="10"/>
  <c r="AZ34" i="10"/>
  <c r="AY34" i="10"/>
  <c r="AU34" i="10"/>
  <c r="AT34" i="10"/>
  <c r="AP34" i="10"/>
  <c r="AO34" i="10"/>
  <c r="AK34" i="10"/>
  <c r="AJ34" i="10"/>
  <c r="AF34" i="10"/>
  <c r="AE34" i="10"/>
  <c r="AA34" i="10"/>
  <c r="Z34" i="10"/>
  <c r="V34" i="10"/>
  <c r="U34" i="10"/>
  <c r="Q34" i="10"/>
  <c r="P34" i="10"/>
  <c r="L34" i="10"/>
  <c r="K34" i="10"/>
  <c r="G34" i="10"/>
  <c r="F34" i="10"/>
  <c r="C34" i="10"/>
  <c r="B34" i="10"/>
  <c r="A34" i="10"/>
  <c r="EV33" i="10"/>
  <c r="EU33" i="10"/>
  <c r="EQ33" i="10"/>
  <c r="EP33" i="10"/>
  <c r="EL33" i="10"/>
  <c r="EK33" i="10"/>
  <c r="EG33" i="10"/>
  <c r="EF33" i="10"/>
  <c r="EB33" i="10"/>
  <c r="EA33" i="10"/>
  <c r="DW33" i="10"/>
  <c r="DV33" i="10"/>
  <c r="DR33" i="10"/>
  <c r="DQ33" i="10"/>
  <c r="DM33" i="10"/>
  <c r="DL33" i="10"/>
  <c r="DH33" i="10"/>
  <c r="DG33" i="10"/>
  <c r="DC33" i="10"/>
  <c r="DB33" i="10"/>
  <c r="CX33" i="10"/>
  <c r="CW33" i="10"/>
  <c r="CS33" i="10"/>
  <c r="CR33" i="10"/>
  <c r="CN33" i="10"/>
  <c r="CM33" i="10"/>
  <c r="CI33" i="10"/>
  <c r="CH33" i="10"/>
  <c r="CD33" i="10"/>
  <c r="CC33" i="10"/>
  <c r="BY33" i="10"/>
  <c r="BX33" i="10"/>
  <c r="BT33" i="10"/>
  <c r="BS33" i="10"/>
  <c r="BO33" i="10"/>
  <c r="BN33" i="10"/>
  <c r="BJ33" i="10"/>
  <c r="BI33" i="10"/>
  <c r="BE33" i="10"/>
  <c r="BD33" i="10"/>
  <c r="AZ33" i="10"/>
  <c r="AY33" i="10"/>
  <c r="AU33" i="10"/>
  <c r="AT33" i="10"/>
  <c r="AP33" i="10"/>
  <c r="AO33" i="10"/>
  <c r="AK33" i="10"/>
  <c r="AJ33" i="10"/>
  <c r="AF33" i="10"/>
  <c r="AE33" i="10"/>
  <c r="AA33" i="10"/>
  <c r="Z33" i="10"/>
  <c r="V33" i="10"/>
  <c r="U33" i="10"/>
  <c r="Q33" i="10"/>
  <c r="P33" i="10"/>
  <c r="L33" i="10"/>
  <c r="K33" i="10"/>
  <c r="G33" i="10"/>
  <c r="F33" i="10"/>
  <c r="C33" i="10"/>
  <c r="B33" i="10"/>
  <c r="A33" i="10"/>
  <c r="EV32" i="10"/>
  <c r="EU32" i="10"/>
  <c r="EQ32" i="10"/>
  <c r="EP32" i="10"/>
  <c r="EL32" i="10"/>
  <c r="EK32" i="10"/>
  <c r="EG32" i="10"/>
  <c r="EF32" i="10"/>
  <c r="EB32" i="10"/>
  <c r="EA32" i="10"/>
  <c r="DW32" i="10"/>
  <c r="DV32" i="10"/>
  <c r="DR32" i="10"/>
  <c r="DQ32" i="10"/>
  <c r="DM32" i="10"/>
  <c r="DL32" i="10"/>
  <c r="DH32" i="10"/>
  <c r="DG32" i="10"/>
  <c r="DC32" i="10"/>
  <c r="DB32" i="10"/>
  <c r="CX32" i="10"/>
  <c r="CW32" i="10"/>
  <c r="CS32" i="10"/>
  <c r="CR32" i="10"/>
  <c r="CN32" i="10"/>
  <c r="CM32" i="10"/>
  <c r="CI32" i="10"/>
  <c r="CH32" i="10"/>
  <c r="CD32" i="10"/>
  <c r="CC32" i="10"/>
  <c r="BY32" i="10"/>
  <c r="BX32" i="10"/>
  <c r="BT32" i="10"/>
  <c r="BS32" i="10"/>
  <c r="BO32" i="10"/>
  <c r="BN32" i="10"/>
  <c r="BJ32" i="10"/>
  <c r="BI32" i="10"/>
  <c r="BE32" i="10"/>
  <c r="BD32" i="10"/>
  <c r="AZ32" i="10"/>
  <c r="AY32" i="10"/>
  <c r="AU32" i="10"/>
  <c r="AT32" i="10"/>
  <c r="AP32" i="10"/>
  <c r="AO32" i="10"/>
  <c r="AK32" i="10"/>
  <c r="AJ32" i="10"/>
  <c r="AF32" i="10"/>
  <c r="AE32" i="10"/>
  <c r="AA32" i="10"/>
  <c r="Z32" i="10"/>
  <c r="V32" i="10"/>
  <c r="U32" i="10"/>
  <c r="Q32" i="10"/>
  <c r="P32" i="10"/>
  <c r="L32" i="10"/>
  <c r="K32" i="10"/>
  <c r="G32" i="10"/>
  <c r="F32" i="10"/>
  <c r="C32" i="10"/>
  <c r="B32" i="10"/>
  <c r="A32" i="10"/>
  <c r="EV31" i="10"/>
  <c r="EU31" i="10"/>
  <c r="EQ31" i="10"/>
  <c r="EP31" i="10"/>
  <c r="EL31" i="10"/>
  <c r="EK31" i="10"/>
  <c r="EG31" i="10"/>
  <c r="EF31" i="10"/>
  <c r="EB31" i="10"/>
  <c r="EA31" i="10"/>
  <c r="DW31" i="10"/>
  <c r="DV31" i="10"/>
  <c r="DR31" i="10"/>
  <c r="DQ31" i="10"/>
  <c r="DM31" i="10"/>
  <c r="DL31" i="10"/>
  <c r="DH31" i="10"/>
  <c r="DG31" i="10"/>
  <c r="DC31" i="10"/>
  <c r="DB31" i="10"/>
  <c r="CX31" i="10"/>
  <c r="CW31" i="10"/>
  <c r="CS31" i="10"/>
  <c r="CR31" i="10"/>
  <c r="CN31" i="10"/>
  <c r="CM31" i="10"/>
  <c r="CI31" i="10"/>
  <c r="CH31" i="10"/>
  <c r="CD31" i="10"/>
  <c r="CC31" i="10"/>
  <c r="BY31" i="10"/>
  <c r="BX31" i="10"/>
  <c r="BT31" i="10"/>
  <c r="BS31" i="10"/>
  <c r="BO31" i="10"/>
  <c r="BN31" i="10"/>
  <c r="BJ31" i="10"/>
  <c r="BI31" i="10"/>
  <c r="BE31" i="10"/>
  <c r="BD31" i="10"/>
  <c r="AZ31" i="10"/>
  <c r="AY31" i="10"/>
  <c r="AU31" i="10"/>
  <c r="AT31" i="10"/>
  <c r="AP31" i="10"/>
  <c r="AO31" i="10"/>
  <c r="AK31" i="10"/>
  <c r="AJ31" i="10"/>
  <c r="AF31" i="10"/>
  <c r="AE31" i="10"/>
  <c r="AA31" i="10"/>
  <c r="Z31" i="10"/>
  <c r="V31" i="10"/>
  <c r="U31" i="10"/>
  <c r="Q31" i="10"/>
  <c r="P31" i="10"/>
  <c r="L31" i="10"/>
  <c r="K31" i="10"/>
  <c r="G31" i="10"/>
  <c r="F31" i="10"/>
  <c r="C31" i="10"/>
  <c r="B31" i="10"/>
  <c r="A31" i="10"/>
  <c r="EV30" i="10"/>
  <c r="EU30" i="10"/>
  <c r="EQ30" i="10"/>
  <c r="EP30" i="10"/>
  <c r="EL30" i="10"/>
  <c r="EK30" i="10"/>
  <c r="EG30" i="10"/>
  <c r="EF30" i="10"/>
  <c r="EB30" i="10"/>
  <c r="EA30" i="10"/>
  <c r="DW30" i="10"/>
  <c r="DV30" i="10"/>
  <c r="DR30" i="10"/>
  <c r="DQ30" i="10"/>
  <c r="DM30" i="10"/>
  <c r="DL30" i="10"/>
  <c r="DH30" i="10"/>
  <c r="DG30" i="10"/>
  <c r="DC30" i="10"/>
  <c r="DB30" i="10"/>
  <c r="CX30" i="10"/>
  <c r="CW30" i="10"/>
  <c r="CS30" i="10"/>
  <c r="CR30" i="10"/>
  <c r="CN30" i="10"/>
  <c r="CM30" i="10"/>
  <c r="CI30" i="10"/>
  <c r="CH30" i="10"/>
  <c r="CD30" i="10"/>
  <c r="CC30" i="10"/>
  <c r="BY30" i="10"/>
  <c r="BX30" i="10"/>
  <c r="BT30" i="10"/>
  <c r="BS30" i="10"/>
  <c r="BO30" i="10"/>
  <c r="BN30" i="10"/>
  <c r="BJ30" i="10"/>
  <c r="BI30" i="10"/>
  <c r="BE30" i="10"/>
  <c r="BD30" i="10"/>
  <c r="AZ30" i="10"/>
  <c r="AY30" i="10"/>
  <c r="AU30" i="10"/>
  <c r="AT30" i="10"/>
  <c r="AP30" i="10"/>
  <c r="AO30" i="10"/>
  <c r="AK30" i="10"/>
  <c r="AJ30" i="10"/>
  <c r="AF30" i="10"/>
  <c r="AE30" i="10"/>
  <c r="AA30" i="10"/>
  <c r="Z30" i="10"/>
  <c r="V30" i="10"/>
  <c r="U30" i="10"/>
  <c r="Q30" i="10"/>
  <c r="P30" i="10"/>
  <c r="L30" i="10"/>
  <c r="K30" i="10"/>
  <c r="G30" i="10"/>
  <c r="F30" i="10"/>
  <c r="C30" i="10"/>
  <c r="B30" i="10"/>
  <c r="A30" i="10"/>
  <c r="EV29" i="10"/>
  <c r="EU29" i="10"/>
  <c r="EQ29" i="10"/>
  <c r="EP29" i="10"/>
  <c r="EL29" i="10"/>
  <c r="EK29" i="10"/>
  <c r="EG29" i="10"/>
  <c r="EF29" i="10"/>
  <c r="EB29" i="10"/>
  <c r="EA29" i="10"/>
  <c r="DW29" i="10"/>
  <c r="DV29" i="10"/>
  <c r="DR29" i="10"/>
  <c r="DQ29" i="10"/>
  <c r="DM29" i="10"/>
  <c r="DL29" i="10"/>
  <c r="DH29" i="10"/>
  <c r="DG29" i="10"/>
  <c r="DC29" i="10"/>
  <c r="DB29" i="10"/>
  <c r="CX29" i="10"/>
  <c r="CW29" i="10"/>
  <c r="CS29" i="10"/>
  <c r="CR29" i="10"/>
  <c r="CN29" i="10"/>
  <c r="CM29" i="10"/>
  <c r="CI29" i="10"/>
  <c r="CH29" i="10"/>
  <c r="CD29" i="10"/>
  <c r="CC29" i="10"/>
  <c r="BY29" i="10"/>
  <c r="BX29" i="10"/>
  <c r="BT29" i="10"/>
  <c r="BS29" i="10"/>
  <c r="BO29" i="10"/>
  <c r="BN29" i="10"/>
  <c r="BJ29" i="10"/>
  <c r="BI29" i="10"/>
  <c r="BE29" i="10"/>
  <c r="BD29" i="10"/>
  <c r="AZ29" i="10"/>
  <c r="AY29" i="10"/>
  <c r="AU29" i="10"/>
  <c r="AT29" i="10"/>
  <c r="AP29" i="10"/>
  <c r="AO29" i="10"/>
  <c r="AK29" i="10"/>
  <c r="AJ29" i="10"/>
  <c r="AF29" i="10"/>
  <c r="AE29" i="10"/>
  <c r="AA29" i="10"/>
  <c r="Z29" i="10"/>
  <c r="V29" i="10"/>
  <c r="U29" i="10"/>
  <c r="Q29" i="10"/>
  <c r="P29" i="10"/>
  <c r="L29" i="10"/>
  <c r="K29" i="10"/>
  <c r="G29" i="10"/>
  <c r="F29" i="10"/>
  <c r="C29" i="10"/>
  <c r="B29" i="10"/>
  <c r="A29" i="10"/>
  <c r="EV28" i="10"/>
  <c r="EU28" i="10"/>
  <c r="EQ28" i="10"/>
  <c r="EP28" i="10"/>
  <c r="EL28" i="10"/>
  <c r="EK28" i="10"/>
  <c r="EG28" i="10"/>
  <c r="EF28" i="10"/>
  <c r="EB28" i="10"/>
  <c r="EA28" i="10"/>
  <c r="DW28" i="10"/>
  <c r="DV28" i="10"/>
  <c r="DR28" i="10"/>
  <c r="DQ28" i="10"/>
  <c r="DM28" i="10"/>
  <c r="DL28" i="10"/>
  <c r="DH28" i="10"/>
  <c r="DG28" i="10"/>
  <c r="DC28" i="10"/>
  <c r="DB28" i="10"/>
  <c r="CX28" i="10"/>
  <c r="CW28" i="10"/>
  <c r="CS28" i="10"/>
  <c r="CR28" i="10"/>
  <c r="CN28" i="10"/>
  <c r="CM28" i="10"/>
  <c r="CI28" i="10"/>
  <c r="CH28" i="10"/>
  <c r="CD28" i="10"/>
  <c r="CC28" i="10"/>
  <c r="BY28" i="10"/>
  <c r="BX28" i="10"/>
  <c r="BT28" i="10"/>
  <c r="BS28" i="10"/>
  <c r="BO28" i="10"/>
  <c r="BN28" i="10"/>
  <c r="BJ28" i="10"/>
  <c r="BI28" i="10"/>
  <c r="BE28" i="10"/>
  <c r="BD28" i="10"/>
  <c r="AZ28" i="10"/>
  <c r="AY28" i="10"/>
  <c r="AU28" i="10"/>
  <c r="AT28" i="10"/>
  <c r="AP28" i="10"/>
  <c r="AO28" i="10"/>
  <c r="AK28" i="10"/>
  <c r="AJ28" i="10"/>
  <c r="AF28" i="10"/>
  <c r="AE28" i="10"/>
  <c r="AA28" i="10"/>
  <c r="Z28" i="10"/>
  <c r="V28" i="10"/>
  <c r="U28" i="10"/>
  <c r="Q28" i="10"/>
  <c r="P28" i="10"/>
  <c r="L28" i="10"/>
  <c r="K28" i="10"/>
  <c r="G28" i="10"/>
  <c r="F28" i="10"/>
  <c r="C28" i="10"/>
  <c r="B28" i="10"/>
  <c r="A28" i="10"/>
  <c r="EV27" i="10"/>
  <c r="EU27" i="10"/>
  <c r="EQ27" i="10"/>
  <c r="EP27" i="10"/>
  <c r="EL27" i="10"/>
  <c r="EK27" i="10"/>
  <c r="EG27" i="10"/>
  <c r="EF27" i="10"/>
  <c r="EB27" i="10"/>
  <c r="EA27" i="10"/>
  <c r="DW27" i="10"/>
  <c r="DV27" i="10"/>
  <c r="DR27" i="10"/>
  <c r="DQ27" i="10"/>
  <c r="DM27" i="10"/>
  <c r="DL27" i="10"/>
  <c r="DH27" i="10"/>
  <c r="DG27" i="10"/>
  <c r="DC27" i="10"/>
  <c r="DB27" i="10"/>
  <c r="CX27" i="10"/>
  <c r="CW27" i="10"/>
  <c r="CS27" i="10"/>
  <c r="CR27" i="10"/>
  <c r="CN27" i="10"/>
  <c r="CM27" i="10"/>
  <c r="CI27" i="10"/>
  <c r="CH27" i="10"/>
  <c r="CD27" i="10"/>
  <c r="CC27" i="10"/>
  <c r="BY27" i="10"/>
  <c r="BX27" i="10"/>
  <c r="BT27" i="10"/>
  <c r="BS27" i="10"/>
  <c r="BO27" i="10"/>
  <c r="BN27" i="10"/>
  <c r="BJ27" i="10"/>
  <c r="BI27" i="10"/>
  <c r="BE27" i="10"/>
  <c r="BD27" i="10"/>
  <c r="AZ27" i="10"/>
  <c r="AY27" i="10"/>
  <c r="AU27" i="10"/>
  <c r="AT27" i="10"/>
  <c r="AP27" i="10"/>
  <c r="AO27" i="10"/>
  <c r="AK27" i="10"/>
  <c r="AJ27" i="10"/>
  <c r="AF27" i="10"/>
  <c r="AE27" i="10"/>
  <c r="AA27" i="10"/>
  <c r="Z27" i="10"/>
  <c r="V27" i="10"/>
  <c r="U27" i="10"/>
  <c r="Q27" i="10"/>
  <c r="P27" i="10"/>
  <c r="L27" i="10"/>
  <c r="K27" i="10"/>
  <c r="G27" i="10"/>
  <c r="F27" i="10"/>
  <c r="C27" i="10"/>
  <c r="B27" i="10"/>
  <c r="A27" i="10"/>
  <c r="EV26" i="10"/>
  <c r="EU26" i="10"/>
  <c r="EQ26" i="10"/>
  <c r="EP26" i="10"/>
  <c r="EL26" i="10"/>
  <c r="EK26" i="10"/>
  <c r="EG26" i="10"/>
  <c r="EF26" i="10"/>
  <c r="EB26" i="10"/>
  <c r="EA26" i="10"/>
  <c r="DW26" i="10"/>
  <c r="DV26" i="10"/>
  <c r="DR26" i="10"/>
  <c r="DQ26" i="10"/>
  <c r="DM26" i="10"/>
  <c r="DL26" i="10"/>
  <c r="DH26" i="10"/>
  <c r="DG26" i="10"/>
  <c r="DC26" i="10"/>
  <c r="DB26" i="10"/>
  <c r="CX26" i="10"/>
  <c r="CW26" i="10"/>
  <c r="CS26" i="10"/>
  <c r="CR26" i="10"/>
  <c r="CN26" i="10"/>
  <c r="CM26" i="10"/>
  <c r="CI26" i="10"/>
  <c r="CH26" i="10"/>
  <c r="CD26" i="10"/>
  <c r="CC26" i="10"/>
  <c r="BY26" i="10"/>
  <c r="BX26" i="10"/>
  <c r="BT26" i="10"/>
  <c r="BS26" i="10"/>
  <c r="BO26" i="10"/>
  <c r="BN26" i="10"/>
  <c r="BJ26" i="10"/>
  <c r="BI26" i="10"/>
  <c r="BE26" i="10"/>
  <c r="BD26" i="10"/>
  <c r="AZ26" i="10"/>
  <c r="AY26" i="10"/>
  <c r="AU26" i="10"/>
  <c r="AT26" i="10"/>
  <c r="AP26" i="10"/>
  <c r="AO26" i="10"/>
  <c r="AK26" i="10"/>
  <c r="AJ26" i="10"/>
  <c r="AF26" i="10"/>
  <c r="AE26" i="10"/>
  <c r="AA26" i="10"/>
  <c r="Z26" i="10"/>
  <c r="V26" i="10"/>
  <c r="U26" i="10"/>
  <c r="Q26" i="10"/>
  <c r="P26" i="10"/>
  <c r="L26" i="10"/>
  <c r="K26" i="10"/>
  <c r="G26" i="10"/>
  <c r="F26" i="10"/>
  <c r="C26" i="10"/>
  <c r="B26" i="10"/>
  <c r="A26" i="10"/>
  <c r="EV25" i="10"/>
  <c r="EU25" i="10"/>
  <c r="EQ25" i="10"/>
  <c r="EP25" i="10"/>
  <c r="EL25" i="10"/>
  <c r="EK25" i="10"/>
  <c r="EG25" i="10"/>
  <c r="EF25" i="10"/>
  <c r="EB25" i="10"/>
  <c r="EA25" i="10"/>
  <c r="DW25" i="10"/>
  <c r="DV25" i="10"/>
  <c r="DR25" i="10"/>
  <c r="DQ25" i="10"/>
  <c r="DM25" i="10"/>
  <c r="DL25" i="10"/>
  <c r="DH25" i="10"/>
  <c r="DG25" i="10"/>
  <c r="DC25" i="10"/>
  <c r="DB25" i="10"/>
  <c r="CX25" i="10"/>
  <c r="CW25" i="10"/>
  <c r="CS25" i="10"/>
  <c r="CR25" i="10"/>
  <c r="CN25" i="10"/>
  <c r="CM25" i="10"/>
  <c r="CI25" i="10"/>
  <c r="CH25" i="10"/>
  <c r="CD25" i="10"/>
  <c r="CC25" i="10"/>
  <c r="BY25" i="10"/>
  <c r="BX25" i="10"/>
  <c r="BT25" i="10"/>
  <c r="BS25" i="10"/>
  <c r="BO25" i="10"/>
  <c r="BN25" i="10"/>
  <c r="BJ25" i="10"/>
  <c r="BI25" i="10"/>
  <c r="BE25" i="10"/>
  <c r="BD25" i="10"/>
  <c r="AZ25" i="10"/>
  <c r="AY25" i="10"/>
  <c r="AU25" i="10"/>
  <c r="AT25" i="10"/>
  <c r="AP25" i="10"/>
  <c r="AO25" i="10"/>
  <c r="AK25" i="10"/>
  <c r="AJ25" i="10"/>
  <c r="AF25" i="10"/>
  <c r="AE25" i="10"/>
  <c r="AA25" i="10"/>
  <c r="Z25" i="10"/>
  <c r="V25" i="10"/>
  <c r="U25" i="10"/>
  <c r="Q25" i="10"/>
  <c r="P25" i="10"/>
  <c r="L25" i="10"/>
  <c r="K25" i="10"/>
  <c r="G25" i="10"/>
  <c r="F25" i="10"/>
  <c r="C25" i="10"/>
  <c r="B25" i="10"/>
  <c r="A25" i="10"/>
  <c r="EV24" i="10"/>
  <c r="EU24" i="10"/>
  <c r="EQ24" i="10"/>
  <c r="EP24" i="10"/>
  <c r="EL24" i="10"/>
  <c r="EK24" i="10"/>
  <c r="EG24" i="10"/>
  <c r="EF24" i="10"/>
  <c r="EB24" i="10"/>
  <c r="EA24" i="10"/>
  <c r="DW24" i="10"/>
  <c r="DV24" i="10"/>
  <c r="DR24" i="10"/>
  <c r="DQ24" i="10"/>
  <c r="DM24" i="10"/>
  <c r="DL24" i="10"/>
  <c r="DH24" i="10"/>
  <c r="DG24" i="10"/>
  <c r="DC24" i="10"/>
  <c r="DB24" i="10"/>
  <c r="CX24" i="10"/>
  <c r="CW24" i="10"/>
  <c r="CS24" i="10"/>
  <c r="CR24" i="10"/>
  <c r="CN24" i="10"/>
  <c r="CM24" i="10"/>
  <c r="CI24" i="10"/>
  <c r="CH24" i="10"/>
  <c r="CD24" i="10"/>
  <c r="CC24" i="10"/>
  <c r="BY24" i="10"/>
  <c r="BX24" i="10"/>
  <c r="BT24" i="10"/>
  <c r="BS24" i="10"/>
  <c r="BO24" i="10"/>
  <c r="BN24" i="10"/>
  <c r="BJ24" i="10"/>
  <c r="BI24" i="10"/>
  <c r="BE24" i="10"/>
  <c r="BD24" i="10"/>
  <c r="AZ24" i="10"/>
  <c r="AY24" i="10"/>
  <c r="AU24" i="10"/>
  <c r="AT24" i="10"/>
  <c r="AP24" i="10"/>
  <c r="AO24" i="10"/>
  <c r="AK24" i="10"/>
  <c r="AJ24" i="10"/>
  <c r="AF24" i="10"/>
  <c r="AE24" i="10"/>
  <c r="AA24" i="10"/>
  <c r="Z24" i="10"/>
  <c r="V24" i="10"/>
  <c r="U24" i="10"/>
  <c r="Q24" i="10"/>
  <c r="P24" i="10"/>
  <c r="L24" i="10"/>
  <c r="K24" i="10"/>
  <c r="G24" i="10"/>
  <c r="F24" i="10"/>
  <c r="C24" i="10"/>
  <c r="B24" i="10"/>
  <c r="A24" i="10"/>
  <c r="EV23" i="10"/>
  <c r="EU23" i="10"/>
  <c r="EQ23" i="10"/>
  <c r="EP23" i="10"/>
  <c r="EL23" i="10"/>
  <c r="EK23" i="10"/>
  <c r="EG23" i="10"/>
  <c r="EF23" i="10"/>
  <c r="EB23" i="10"/>
  <c r="EA23" i="10"/>
  <c r="DW23" i="10"/>
  <c r="DV23" i="10"/>
  <c r="DR23" i="10"/>
  <c r="DQ23" i="10"/>
  <c r="DM23" i="10"/>
  <c r="DL23" i="10"/>
  <c r="DH23" i="10"/>
  <c r="DG23" i="10"/>
  <c r="DC23" i="10"/>
  <c r="DB23" i="10"/>
  <c r="CX23" i="10"/>
  <c r="CW23" i="10"/>
  <c r="CS23" i="10"/>
  <c r="CR23" i="10"/>
  <c r="CN23" i="10"/>
  <c r="CM23" i="10"/>
  <c r="CI23" i="10"/>
  <c r="CH23" i="10"/>
  <c r="CD23" i="10"/>
  <c r="CC23" i="10"/>
  <c r="BY23" i="10"/>
  <c r="BX23" i="10"/>
  <c r="BT23" i="10"/>
  <c r="BS23" i="10"/>
  <c r="BO23" i="10"/>
  <c r="BN23" i="10"/>
  <c r="BJ23" i="10"/>
  <c r="BI23" i="10"/>
  <c r="BE23" i="10"/>
  <c r="BD23" i="10"/>
  <c r="AZ23" i="10"/>
  <c r="AY23" i="10"/>
  <c r="AU23" i="10"/>
  <c r="AT23" i="10"/>
  <c r="AP23" i="10"/>
  <c r="AO23" i="10"/>
  <c r="AK23" i="10"/>
  <c r="AJ23" i="10"/>
  <c r="AF23" i="10"/>
  <c r="AE23" i="10"/>
  <c r="AA23" i="10"/>
  <c r="Z23" i="10"/>
  <c r="V23" i="10"/>
  <c r="U23" i="10"/>
  <c r="Q23" i="10"/>
  <c r="P23" i="10"/>
  <c r="L23" i="10"/>
  <c r="K23" i="10"/>
  <c r="G23" i="10"/>
  <c r="F23" i="10"/>
  <c r="C23" i="10"/>
  <c r="B23" i="10"/>
  <c r="A23" i="10"/>
  <c r="EV22" i="10"/>
  <c r="EU22" i="10"/>
  <c r="EQ22" i="10"/>
  <c r="EP22" i="10"/>
  <c r="EL22" i="10"/>
  <c r="EK22" i="10"/>
  <c r="EG22" i="10"/>
  <c r="EF22" i="10"/>
  <c r="EB22" i="10"/>
  <c r="EA22" i="10"/>
  <c r="DW22" i="10"/>
  <c r="DV22" i="10"/>
  <c r="DR22" i="10"/>
  <c r="DQ22" i="10"/>
  <c r="DM22" i="10"/>
  <c r="DL22" i="10"/>
  <c r="DH22" i="10"/>
  <c r="DG22" i="10"/>
  <c r="DC22" i="10"/>
  <c r="DB22" i="10"/>
  <c r="CX22" i="10"/>
  <c r="CW22" i="10"/>
  <c r="CS22" i="10"/>
  <c r="CR22" i="10"/>
  <c r="CN22" i="10"/>
  <c r="CM22" i="10"/>
  <c r="CI22" i="10"/>
  <c r="CH22" i="10"/>
  <c r="CD22" i="10"/>
  <c r="CC22" i="10"/>
  <c r="BY22" i="10"/>
  <c r="BX22" i="10"/>
  <c r="BT22" i="10"/>
  <c r="BS22" i="10"/>
  <c r="BO22" i="10"/>
  <c r="BN22" i="10"/>
  <c r="BJ22" i="10"/>
  <c r="BI22" i="10"/>
  <c r="BE22" i="10"/>
  <c r="BD22" i="10"/>
  <c r="AZ22" i="10"/>
  <c r="AY22" i="10"/>
  <c r="AU22" i="10"/>
  <c r="AT22" i="10"/>
  <c r="AP22" i="10"/>
  <c r="AO22" i="10"/>
  <c r="AK22" i="10"/>
  <c r="AJ22" i="10"/>
  <c r="AF22" i="10"/>
  <c r="AE22" i="10"/>
  <c r="AA22" i="10"/>
  <c r="Z22" i="10"/>
  <c r="V22" i="10"/>
  <c r="U22" i="10"/>
  <c r="Q22" i="10"/>
  <c r="P22" i="10"/>
  <c r="L22" i="10"/>
  <c r="K22" i="10"/>
  <c r="G22" i="10"/>
  <c r="F22" i="10"/>
  <c r="C22" i="10"/>
  <c r="B22" i="10"/>
  <c r="A22" i="10"/>
  <c r="EV21" i="10"/>
  <c r="EU21" i="10"/>
  <c r="EQ21" i="10"/>
  <c r="EP21" i="10"/>
  <c r="EL21" i="10"/>
  <c r="EK21" i="10"/>
  <c r="EG21" i="10"/>
  <c r="EF21" i="10"/>
  <c r="EB21" i="10"/>
  <c r="EA21" i="10"/>
  <c r="DW21" i="10"/>
  <c r="DV21" i="10"/>
  <c r="DR21" i="10"/>
  <c r="DQ21" i="10"/>
  <c r="DM21" i="10"/>
  <c r="DL21" i="10"/>
  <c r="DH21" i="10"/>
  <c r="DG21" i="10"/>
  <c r="DC21" i="10"/>
  <c r="DB21" i="10"/>
  <c r="CX21" i="10"/>
  <c r="CW21" i="10"/>
  <c r="CS21" i="10"/>
  <c r="CR21" i="10"/>
  <c r="CN21" i="10"/>
  <c r="CM21" i="10"/>
  <c r="CI21" i="10"/>
  <c r="CH21" i="10"/>
  <c r="CD21" i="10"/>
  <c r="CC21" i="10"/>
  <c r="BY21" i="10"/>
  <c r="BX21" i="10"/>
  <c r="BT21" i="10"/>
  <c r="BS21" i="10"/>
  <c r="BO21" i="10"/>
  <c r="BN21" i="10"/>
  <c r="BJ21" i="10"/>
  <c r="BI21" i="10"/>
  <c r="BE21" i="10"/>
  <c r="BD21" i="10"/>
  <c r="AZ21" i="10"/>
  <c r="AY21" i="10"/>
  <c r="AU21" i="10"/>
  <c r="AT21" i="10"/>
  <c r="AP21" i="10"/>
  <c r="AO21" i="10"/>
  <c r="AK21" i="10"/>
  <c r="AJ21" i="10"/>
  <c r="AF21" i="10"/>
  <c r="AE21" i="10"/>
  <c r="AA21" i="10"/>
  <c r="Z21" i="10"/>
  <c r="V21" i="10"/>
  <c r="U21" i="10"/>
  <c r="Q21" i="10"/>
  <c r="P21" i="10"/>
  <c r="L21" i="10"/>
  <c r="K21" i="10"/>
  <c r="G21" i="10"/>
  <c r="F21" i="10"/>
  <c r="C21" i="10"/>
  <c r="B21" i="10"/>
  <c r="A21" i="10"/>
  <c r="EV20" i="10"/>
  <c r="EU20" i="10"/>
  <c r="EQ20" i="10"/>
  <c r="EP20" i="10"/>
  <c r="EL20" i="10"/>
  <c r="EK20" i="10"/>
  <c r="EG20" i="10"/>
  <c r="EF20" i="10"/>
  <c r="EB20" i="10"/>
  <c r="EA20" i="10"/>
  <c r="DW20" i="10"/>
  <c r="DV20" i="10"/>
  <c r="DR20" i="10"/>
  <c r="DQ20" i="10"/>
  <c r="DM20" i="10"/>
  <c r="DL20" i="10"/>
  <c r="DH20" i="10"/>
  <c r="DG20" i="10"/>
  <c r="DC20" i="10"/>
  <c r="DB20" i="10"/>
  <c r="CX20" i="10"/>
  <c r="CW20" i="10"/>
  <c r="CS20" i="10"/>
  <c r="CR20" i="10"/>
  <c r="CN20" i="10"/>
  <c r="CM20" i="10"/>
  <c r="CI20" i="10"/>
  <c r="CH20" i="10"/>
  <c r="CD20" i="10"/>
  <c r="CC20" i="10"/>
  <c r="BY20" i="10"/>
  <c r="BX20" i="10"/>
  <c r="BT20" i="10"/>
  <c r="BS20" i="10"/>
  <c r="BO20" i="10"/>
  <c r="BN20" i="10"/>
  <c r="BJ20" i="10"/>
  <c r="BI20" i="10"/>
  <c r="BE20" i="10"/>
  <c r="BD20" i="10"/>
  <c r="AZ20" i="10"/>
  <c r="AY20" i="10"/>
  <c r="AU20" i="10"/>
  <c r="AT20" i="10"/>
  <c r="AP20" i="10"/>
  <c r="AO20" i="10"/>
  <c r="AK20" i="10"/>
  <c r="AJ20" i="10"/>
  <c r="AF20" i="10"/>
  <c r="AE20" i="10"/>
  <c r="AA20" i="10"/>
  <c r="Z20" i="10"/>
  <c r="V20" i="10"/>
  <c r="U20" i="10"/>
  <c r="Q20" i="10"/>
  <c r="P20" i="10"/>
  <c r="L20" i="10"/>
  <c r="K20" i="10"/>
  <c r="G20" i="10"/>
  <c r="F20" i="10"/>
  <c r="C20" i="10"/>
  <c r="B20" i="10"/>
  <c r="A20" i="10"/>
  <c r="EV19" i="10"/>
  <c r="EU19" i="10"/>
  <c r="EQ19" i="10"/>
  <c r="EP19" i="10"/>
  <c r="EL19" i="10"/>
  <c r="EK19" i="10"/>
  <c r="EG19" i="10"/>
  <c r="EF19" i="10"/>
  <c r="EB19" i="10"/>
  <c r="EA19" i="10"/>
  <c r="DW19" i="10"/>
  <c r="DV19" i="10"/>
  <c r="DR19" i="10"/>
  <c r="DQ19" i="10"/>
  <c r="DM19" i="10"/>
  <c r="DL19" i="10"/>
  <c r="DH19" i="10"/>
  <c r="DG19" i="10"/>
  <c r="DC19" i="10"/>
  <c r="DB19" i="10"/>
  <c r="CX19" i="10"/>
  <c r="CW19" i="10"/>
  <c r="CS19" i="10"/>
  <c r="CR19" i="10"/>
  <c r="CN19" i="10"/>
  <c r="CM19" i="10"/>
  <c r="CI19" i="10"/>
  <c r="CH19" i="10"/>
  <c r="CD19" i="10"/>
  <c r="CC19" i="10"/>
  <c r="BY19" i="10"/>
  <c r="BX19" i="10"/>
  <c r="BT19" i="10"/>
  <c r="BS19" i="10"/>
  <c r="BO19" i="10"/>
  <c r="BN19" i="10"/>
  <c r="BJ19" i="10"/>
  <c r="BI19" i="10"/>
  <c r="BE19" i="10"/>
  <c r="BD19" i="10"/>
  <c r="AZ19" i="10"/>
  <c r="AY19" i="10"/>
  <c r="AU19" i="10"/>
  <c r="AT19" i="10"/>
  <c r="AP19" i="10"/>
  <c r="AO19" i="10"/>
  <c r="AK19" i="10"/>
  <c r="AJ19" i="10"/>
  <c r="AF19" i="10"/>
  <c r="AE19" i="10"/>
  <c r="AA19" i="10"/>
  <c r="Z19" i="10"/>
  <c r="V19" i="10"/>
  <c r="U19" i="10"/>
  <c r="Q19" i="10"/>
  <c r="P19" i="10"/>
  <c r="L19" i="10"/>
  <c r="K19" i="10"/>
  <c r="G19" i="10"/>
  <c r="F19" i="10"/>
  <c r="C19" i="10"/>
  <c r="B19" i="10"/>
  <c r="A19" i="10"/>
  <c r="EV18" i="10"/>
  <c r="EU18" i="10"/>
  <c r="EQ18" i="10"/>
  <c r="EP18" i="10"/>
  <c r="EL18" i="10"/>
  <c r="EK18" i="10"/>
  <c r="EG18" i="10"/>
  <c r="EF18" i="10"/>
  <c r="EB18" i="10"/>
  <c r="EA18" i="10"/>
  <c r="DW18" i="10"/>
  <c r="DV18" i="10"/>
  <c r="DR18" i="10"/>
  <c r="DQ18" i="10"/>
  <c r="DM18" i="10"/>
  <c r="DL18" i="10"/>
  <c r="DH18" i="10"/>
  <c r="DG18" i="10"/>
  <c r="DC18" i="10"/>
  <c r="DB18" i="10"/>
  <c r="CX18" i="10"/>
  <c r="CW18" i="10"/>
  <c r="CS18" i="10"/>
  <c r="CR18" i="10"/>
  <c r="CN18" i="10"/>
  <c r="CM18" i="10"/>
  <c r="CI18" i="10"/>
  <c r="CH18" i="10"/>
  <c r="CD18" i="10"/>
  <c r="CC18" i="10"/>
  <c r="BY18" i="10"/>
  <c r="BX18" i="10"/>
  <c r="BT18" i="10"/>
  <c r="BS18" i="10"/>
  <c r="BO18" i="10"/>
  <c r="BN18" i="10"/>
  <c r="BJ18" i="10"/>
  <c r="BI18" i="10"/>
  <c r="BE18" i="10"/>
  <c r="BD18" i="10"/>
  <c r="AZ18" i="10"/>
  <c r="AY18" i="10"/>
  <c r="AU18" i="10"/>
  <c r="AT18" i="10"/>
  <c r="AP18" i="10"/>
  <c r="AO18" i="10"/>
  <c r="AK18" i="10"/>
  <c r="AJ18" i="10"/>
  <c r="AF18" i="10"/>
  <c r="AE18" i="10"/>
  <c r="AA18" i="10"/>
  <c r="Z18" i="10"/>
  <c r="V18" i="10"/>
  <c r="U18" i="10"/>
  <c r="Q18" i="10"/>
  <c r="P18" i="10"/>
  <c r="L18" i="10"/>
  <c r="K18" i="10"/>
  <c r="G18" i="10"/>
  <c r="F18" i="10"/>
  <c r="C18" i="10"/>
  <c r="B18" i="10"/>
  <c r="A18" i="10"/>
  <c r="EV17" i="10"/>
  <c r="EU17" i="10"/>
  <c r="EQ17" i="10"/>
  <c r="EP17" i="10"/>
  <c r="EL17" i="10"/>
  <c r="EK17" i="10"/>
  <c r="EG17" i="10"/>
  <c r="EF17" i="10"/>
  <c r="EB17" i="10"/>
  <c r="EA17" i="10"/>
  <c r="DW17" i="10"/>
  <c r="DV17" i="10"/>
  <c r="DR17" i="10"/>
  <c r="DQ17" i="10"/>
  <c r="DM17" i="10"/>
  <c r="DL17" i="10"/>
  <c r="DH17" i="10"/>
  <c r="DG17" i="10"/>
  <c r="DC17" i="10"/>
  <c r="DB17" i="10"/>
  <c r="CX17" i="10"/>
  <c r="CW17" i="10"/>
  <c r="CS17" i="10"/>
  <c r="CR17" i="10"/>
  <c r="CN17" i="10"/>
  <c r="CM17" i="10"/>
  <c r="CI17" i="10"/>
  <c r="CH17" i="10"/>
  <c r="CD17" i="10"/>
  <c r="CC17" i="10"/>
  <c r="BY17" i="10"/>
  <c r="BX17" i="10"/>
  <c r="BT17" i="10"/>
  <c r="BS17" i="10"/>
  <c r="BO17" i="10"/>
  <c r="BN17" i="10"/>
  <c r="BJ17" i="10"/>
  <c r="BI17" i="10"/>
  <c r="BE17" i="10"/>
  <c r="BD17" i="10"/>
  <c r="AZ17" i="10"/>
  <c r="AY17" i="10"/>
  <c r="AU17" i="10"/>
  <c r="AT17" i="10"/>
  <c r="AP17" i="10"/>
  <c r="AO17" i="10"/>
  <c r="AK17" i="10"/>
  <c r="AJ17" i="10"/>
  <c r="AF17" i="10"/>
  <c r="AE17" i="10"/>
  <c r="AA17" i="10"/>
  <c r="Z17" i="10"/>
  <c r="V17" i="10"/>
  <c r="U17" i="10"/>
  <c r="Q17" i="10"/>
  <c r="P17" i="10"/>
  <c r="L17" i="10"/>
  <c r="K17" i="10"/>
  <c r="G17" i="10"/>
  <c r="F17" i="10"/>
  <c r="C17" i="10"/>
  <c r="B17" i="10"/>
  <c r="A17" i="10"/>
  <c r="EV16" i="10"/>
  <c r="EU16" i="10"/>
  <c r="EQ16" i="10"/>
  <c r="EP16" i="10"/>
  <c r="EL16" i="10"/>
  <c r="EK16" i="10"/>
  <c r="EG16" i="10"/>
  <c r="EF16" i="10"/>
  <c r="EB16" i="10"/>
  <c r="EA16" i="10"/>
  <c r="DW16" i="10"/>
  <c r="DV16" i="10"/>
  <c r="DR16" i="10"/>
  <c r="DQ16" i="10"/>
  <c r="DM16" i="10"/>
  <c r="DL16" i="10"/>
  <c r="DH16" i="10"/>
  <c r="DG16" i="10"/>
  <c r="DC16" i="10"/>
  <c r="DB16" i="10"/>
  <c r="CX16" i="10"/>
  <c r="CW16" i="10"/>
  <c r="CS16" i="10"/>
  <c r="CR16" i="10"/>
  <c r="CN16" i="10"/>
  <c r="CM16" i="10"/>
  <c r="CI16" i="10"/>
  <c r="CH16" i="10"/>
  <c r="CD16" i="10"/>
  <c r="CC16" i="10"/>
  <c r="BY16" i="10"/>
  <c r="BX16" i="10"/>
  <c r="BT16" i="10"/>
  <c r="BS16" i="10"/>
  <c r="BO16" i="10"/>
  <c r="BN16" i="10"/>
  <c r="BJ16" i="10"/>
  <c r="BI16" i="10"/>
  <c r="BE16" i="10"/>
  <c r="BD16" i="10"/>
  <c r="AZ16" i="10"/>
  <c r="AY16" i="10"/>
  <c r="AU16" i="10"/>
  <c r="AT16" i="10"/>
  <c r="AP16" i="10"/>
  <c r="AO16" i="10"/>
  <c r="AK16" i="10"/>
  <c r="AJ16" i="10"/>
  <c r="AF16" i="10"/>
  <c r="AE16" i="10"/>
  <c r="AA16" i="10"/>
  <c r="Z16" i="10"/>
  <c r="V16" i="10"/>
  <c r="U16" i="10"/>
  <c r="Q16" i="10"/>
  <c r="P16" i="10"/>
  <c r="L16" i="10"/>
  <c r="K16" i="10"/>
  <c r="G16" i="10"/>
  <c r="F16" i="10"/>
  <c r="C16" i="10"/>
  <c r="B16" i="10"/>
  <c r="A16" i="10"/>
  <c r="EV15" i="10"/>
  <c r="EU15" i="10"/>
  <c r="EQ15" i="10"/>
  <c r="EP15" i="10"/>
  <c r="EL15" i="10"/>
  <c r="EK15" i="10"/>
  <c r="EG15" i="10"/>
  <c r="EF15" i="10"/>
  <c r="EB15" i="10"/>
  <c r="EA15" i="10"/>
  <c r="DW15" i="10"/>
  <c r="DV15" i="10"/>
  <c r="DR15" i="10"/>
  <c r="DQ15" i="10"/>
  <c r="DM15" i="10"/>
  <c r="DL15" i="10"/>
  <c r="DH15" i="10"/>
  <c r="DG15" i="10"/>
  <c r="DC15" i="10"/>
  <c r="DB15" i="10"/>
  <c r="CX15" i="10"/>
  <c r="CW15" i="10"/>
  <c r="CS15" i="10"/>
  <c r="CR15" i="10"/>
  <c r="CN15" i="10"/>
  <c r="CM15" i="10"/>
  <c r="CI15" i="10"/>
  <c r="CH15" i="10"/>
  <c r="CD15" i="10"/>
  <c r="CC15" i="10"/>
  <c r="BY15" i="10"/>
  <c r="BX15" i="10"/>
  <c r="BT15" i="10"/>
  <c r="BS15" i="10"/>
  <c r="BO15" i="10"/>
  <c r="BN15" i="10"/>
  <c r="BJ15" i="10"/>
  <c r="BI15" i="10"/>
  <c r="BE15" i="10"/>
  <c r="BD15" i="10"/>
  <c r="AZ15" i="10"/>
  <c r="AY15" i="10"/>
  <c r="AU15" i="10"/>
  <c r="AT15" i="10"/>
  <c r="AP15" i="10"/>
  <c r="AO15" i="10"/>
  <c r="AK15" i="10"/>
  <c r="AJ15" i="10"/>
  <c r="AF15" i="10"/>
  <c r="AE15" i="10"/>
  <c r="AA15" i="10"/>
  <c r="Z15" i="10"/>
  <c r="V15" i="10"/>
  <c r="U15" i="10"/>
  <c r="Q15" i="10"/>
  <c r="P15" i="10"/>
  <c r="L15" i="10"/>
  <c r="K15" i="10"/>
  <c r="G15" i="10"/>
  <c r="F15" i="10"/>
  <c r="C15" i="10"/>
  <c r="B15" i="10"/>
  <c r="A15" i="10"/>
  <c r="EV14" i="10"/>
  <c r="EU14" i="10"/>
  <c r="EQ14" i="10"/>
  <c r="EP14" i="10"/>
  <c r="EL14" i="10"/>
  <c r="EK14" i="10"/>
  <c r="EG14" i="10"/>
  <c r="EF14" i="10"/>
  <c r="EB14" i="10"/>
  <c r="EA14" i="10"/>
  <c r="DW14" i="10"/>
  <c r="DV14" i="10"/>
  <c r="DR14" i="10"/>
  <c r="DQ14" i="10"/>
  <c r="DM14" i="10"/>
  <c r="DL14" i="10"/>
  <c r="DH14" i="10"/>
  <c r="DG14" i="10"/>
  <c r="DC14" i="10"/>
  <c r="DB14" i="10"/>
  <c r="CX14" i="10"/>
  <c r="CW14" i="10"/>
  <c r="CS14" i="10"/>
  <c r="CR14" i="10"/>
  <c r="CN14" i="10"/>
  <c r="CM14" i="10"/>
  <c r="CI14" i="10"/>
  <c r="CH14" i="10"/>
  <c r="CD14" i="10"/>
  <c r="CC14" i="10"/>
  <c r="BY14" i="10"/>
  <c r="BX14" i="10"/>
  <c r="BT14" i="10"/>
  <c r="BS14" i="10"/>
  <c r="BO14" i="10"/>
  <c r="BN14" i="10"/>
  <c r="BJ14" i="10"/>
  <c r="BI14" i="10"/>
  <c r="BE14" i="10"/>
  <c r="BD14" i="10"/>
  <c r="AZ14" i="10"/>
  <c r="AY14" i="10"/>
  <c r="AU14" i="10"/>
  <c r="AT14" i="10"/>
  <c r="AP14" i="10"/>
  <c r="AO14" i="10"/>
  <c r="AK14" i="10"/>
  <c r="AJ14" i="10"/>
  <c r="AF14" i="10"/>
  <c r="AE14" i="10"/>
  <c r="AA14" i="10"/>
  <c r="Z14" i="10"/>
  <c r="V14" i="10"/>
  <c r="U14" i="10"/>
  <c r="Q14" i="10"/>
  <c r="P14" i="10"/>
  <c r="L14" i="10"/>
  <c r="K14" i="10"/>
  <c r="G14" i="10"/>
  <c r="F14" i="10"/>
  <c r="C14" i="10"/>
  <c r="B14" i="10"/>
  <c r="A14" i="10"/>
  <c r="EV13" i="10"/>
  <c r="EU13" i="10"/>
  <c r="EQ13" i="10"/>
  <c r="EP13" i="10"/>
  <c r="EL13" i="10"/>
  <c r="EK13" i="10"/>
  <c r="EG13" i="10"/>
  <c r="EF13" i="10"/>
  <c r="EB13" i="10"/>
  <c r="EA13" i="10"/>
  <c r="DW13" i="10"/>
  <c r="DV13" i="10"/>
  <c r="DR13" i="10"/>
  <c r="DQ13" i="10"/>
  <c r="DM13" i="10"/>
  <c r="DL13" i="10"/>
  <c r="DH13" i="10"/>
  <c r="DG13" i="10"/>
  <c r="DC13" i="10"/>
  <c r="DB13" i="10"/>
  <c r="CX13" i="10"/>
  <c r="CW13" i="10"/>
  <c r="CS13" i="10"/>
  <c r="CR13" i="10"/>
  <c r="CN13" i="10"/>
  <c r="CM13" i="10"/>
  <c r="CI13" i="10"/>
  <c r="CH13" i="10"/>
  <c r="CD13" i="10"/>
  <c r="CC13" i="10"/>
  <c r="BY13" i="10"/>
  <c r="BX13" i="10"/>
  <c r="BT13" i="10"/>
  <c r="BS13" i="10"/>
  <c r="BO13" i="10"/>
  <c r="BN13" i="10"/>
  <c r="BJ13" i="10"/>
  <c r="BI13" i="10"/>
  <c r="BE13" i="10"/>
  <c r="BD13" i="10"/>
  <c r="AZ13" i="10"/>
  <c r="AY13" i="10"/>
  <c r="AU13" i="10"/>
  <c r="AT13" i="10"/>
  <c r="AP13" i="10"/>
  <c r="AO13" i="10"/>
  <c r="AK13" i="10"/>
  <c r="AJ13" i="10"/>
  <c r="AF13" i="10"/>
  <c r="AE13" i="10"/>
  <c r="AA13" i="10"/>
  <c r="Z13" i="10"/>
  <c r="V13" i="10"/>
  <c r="U13" i="10"/>
  <c r="Q13" i="10"/>
  <c r="P13" i="10"/>
  <c r="L13" i="10"/>
  <c r="K13" i="10"/>
  <c r="G13" i="10"/>
  <c r="F13" i="10"/>
  <c r="C13" i="10"/>
  <c r="B13" i="10"/>
  <c r="A13" i="10"/>
  <c r="EV12" i="10"/>
  <c r="EU12" i="10"/>
  <c r="EQ12" i="10"/>
  <c r="EP12" i="10"/>
  <c r="EL12" i="10"/>
  <c r="EK12" i="10"/>
  <c r="EG12" i="10"/>
  <c r="EF12" i="10"/>
  <c r="EB12" i="10"/>
  <c r="EA12" i="10"/>
  <c r="DW12" i="10"/>
  <c r="DV12" i="10"/>
  <c r="DR12" i="10"/>
  <c r="DQ12" i="10"/>
  <c r="DM12" i="10"/>
  <c r="DL12" i="10"/>
  <c r="DH12" i="10"/>
  <c r="DG12" i="10"/>
  <c r="DC12" i="10"/>
  <c r="DB12" i="10"/>
  <c r="CX12" i="10"/>
  <c r="CW12" i="10"/>
  <c r="CS12" i="10"/>
  <c r="CR12" i="10"/>
  <c r="CN12" i="10"/>
  <c r="CM12" i="10"/>
  <c r="CI12" i="10"/>
  <c r="CH12" i="10"/>
  <c r="CD12" i="10"/>
  <c r="CC12" i="10"/>
  <c r="BY12" i="10"/>
  <c r="BX12" i="10"/>
  <c r="BT12" i="10"/>
  <c r="BS12" i="10"/>
  <c r="BO12" i="10"/>
  <c r="BN12" i="10"/>
  <c r="BJ12" i="10"/>
  <c r="BI12" i="10"/>
  <c r="BE12" i="10"/>
  <c r="BD12" i="10"/>
  <c r="AZ12" i="10"/>
  <c r="AY12" i="10"/>
  <c r="AU12" i="10"/>
  <c r="AT12" i="10"/>
  <c r="AP12" i="10"/>
  <c r="AO12" i="10"/>
  <c r="AK12" i="10"/>
  <c r="AJ12" i="10"/>
  <c r="AF12" i="10"/>
  <c r="AE12" i="10"/>
  <c r="AA12" i="10"/>
  <c r="Z12" i="10"/>
  <c r="V12" i="10"/>
  <c r="U12" i="10"/>
  <c r="Q12" i="10"/>
  <c r="P12" i="10"/>
  <c r="L12" i="10"/>
  <c r="K12" i="10"/>
  <c r="G12" i="10"/>
  <c r="F12" i="10"/>
  <c r="C12" i="10"/>
  <c r="B12" i="10"/>
  <c r="A12" i="10"/>
  <c r="EV11" i="10"/>
  <c r="EU11" i="10"/>
  <c r="EQ11" i="10"/>
  <c r="EP11" i="10"/>
  <c r="EL11" i="10"/>
  <c r="EK11" i="10"/>
  <c r="EG11" i="10"/>
  <c r="EF11" i="10"/>
  <c r="EB11" i="10"/>
  <c r="EA11" i="10"/>
  <c r="DW11" i="10"/>
  <c r="DV11" i="10"/>
  <c r="DR11" i="10"/>
  <c r="DQ11" i="10"/>
  <c r="DM11" i="10"/>
  <c r="DL11" i="10"/>
  <c r="DH11" i="10"/>
  <c r="DG11" i="10"/>
  <c r="DC11" i="10"/>
  <c r="DB11" i="10"/>
  <c r="CX11" i="10"/>
  <c r="CW11" i="10"/>
  <c r="CS11" i="10"/>
  <c r="CR11" i="10"/>
  <c r="CN11" i="10"/>
  <c r="CM11" i="10"/>
  <c r="CI11" i="10"/>
  <c r="CH11" i="10"/>
  <c r="CD11" i="10"/>
  <c r="CC11" i="10"/>
  <c r="BY11" i="10"/>
  <c r="BX11" i="10"/>
  <c r="BT11" i="10"/>
  <c r="BS11" i="10"/>
  <c r="BO11" i="10"/>
  <c r="BN11" i="10"/>
  <c r="BJ11" i="10"/>
  <c r="BI11" i="10"/>
  <c r="BE11" i="10"/>
  <c r="BD11" i="10"/>
  <c r="AZ11" i="10"/>
  <c r="AY11" i="10"/>
  <c r="AU11" i="10"/>
  <c r="AT11" i="10"/>
  <c r="AP11" i="10"/>
  <c r="AO11" i="10"/>
  <c r="AK11" i="10"/>
  <c r="AJ11" i="10"/>
  <c r="AF11" i="10"/>
  <c r="AE11" i="10"/>
  <c r="AA11" i="10"/>
  <c r="Z11" i="10"/>
  <c r="V11" i="10"/>
  <c r="U11" i="10"/>
  <c r="Q11" i="10"/>
  <c r="P11" i="10"/>
  <c r="L11" i="10"/>
  <c r="K11" i="10"/>
  <c r="G11" i="10"/>
  <c r="F11" i="10"/>
  <c r="C11" i="10"/>
  <c r="B11" i="10"/>
  <c r="A11" i="10"/>
  <c r="EV10" i="10"/>
  <c r="EU10" i="10"/>
  <c r="EQ10" i="10"/>
  <c r="EP10" i="10"/>
  <c r="EL10" i="10"/>
  <c r="EK10" i="10"/>
  <c r="EG10" i="10"/>
  <c r="EF10" i="10"/>
  <c r="EB10" i="10"/>
  <c r="EA10" i="10"/>
  <c r="DW10" i="10"/>
  <c r="DV10" i="10"/>
  <c r="DR10" i="10"/>
  <c r="DQ10" i="10"/>
  <c r="DM10" i="10"/>
  <c r="DL10" i="10"/>
  <c r="DH10" i="10"/>
  <c r="DG10" i="10"/>
  <c r="DC10" i="10"/>
  <c r="DB10" i="10"/>
  <c r="CX10" i="10"/>
  <c r="CW10" i="10"/>
  <c r="CS10" i="10"/>
  <c r="CR10" i="10"/>
  <c r="CN10" i="10"/>
  <c r="CM10" i="10"/>
  <c r="CI10" i="10"/>
  <c r="CH10" i="10"/>
  <c r="CD10" i="10"/>
  <c r="CC10" i="10"/>
  <c r="BY10" i="10"/>
  <c r="BX10" i="10"/>
  <c r="BT10" i="10"/>
  <c r="BS10" i="10"/>
  <c r="BO10" i="10"/>
  <c r="BN10" i="10"/>
  <c r="BJ10" i="10"/>
  <c r="BI10" i="10"/>
  <c r="BE10" i="10"/>
  <c r="BD10" i="10"/>
  <c r="AZ10" i="10"/>
  <c r="AY10" i="10"/>
  <c r="AU10" i="10"/>
  <c r="AT10" i="10"/>
  <c r="AP10" i="10"/>
  <c r="AO10" i="10"/>
  <c r="AK10" i="10"/>
  <c r="AJ10" i="10"/>
  <c r="AF10" i="10"/>
  <c r="AE10" i="10"/>
  <c r="AA10" i="10"/>
  <c r="Z10" i="10"/>
  <c r="V10" i="10"/>
  <c r="U10" i="10"/>
  <c r="Q10" i="10"/>
  <c r="P10" i="10"/>
  <c r="L10" i="10"/>
  <c r="K10" i="10"/>
  <c r="G10" i="10"/>
  <c r="F10" i="10"/>
  <c r="C10" i="10"/>
  <c r="B10" i="10"/>
  <c r="A10" i="10"/>
  <c r="EV9" i="10"/>
  <c r="EU9" i="10"/>
  <c r="EQ9" i="10"/>
  <c r="EP9" i="10"/>
  <c r="EL9" i="10"/>
  <c r="EK9" i="10"/>
  <c r="EG9" i="10"/>
  <c r="EF9" i="10"/>
  <c r="EB9" i="10"/>
  <c r="EA9" i="10"/>
  <c r="DW9" i="10"/>
  <c r="DV9" i="10"/>
  <c r="DR9" i="10"/>
  <c r="DQ9" i="10"/>
  <c r="DM9" i="10"/>
  <c r="DL9" i="10"/>
  <c r="DH9" i="10"/>
  <c r="DG9" i="10"/>
  <c r="DC9" i="10"/>
  <c r="DB9" i="10"/>
  <c r="CX9" i="10"/>
  <c r="CW9" i="10"/>
  <c r="CS9" i="10"/>
  <c r="CR9" i="10"/>
  <c r="CN9" i="10"/>
  <c r="CM9" i="10"/>
  <c r="CI9" i="10"/>
  <c r="CH9" i="10"/>
  <c r="CD9" i="10"/>
  <c r="CC9" i="10"/>
  <c r="BY9" i="10"/>
  <c r="BX9" i="10"/>
  <c r="BT9" i="10"/>
  <c r="BS9" i="10"/>
  <c r="BO9" i="10"/>
  <c r="BN9" i="10"/>
  <c r="BJ9" i="10"/>
  <c r="BI9" i="10"/>
  <c r="BE9" i="10"/>
  <c r="BD9" i="10"/>
  <c r="AZ9" i="10"/>
  <c r="AY9" i="10"/>
  <c r="AU9" i="10"/>
  <c r="AT9" i="10"/>
  <c r="AP9" i="10"/>
  <c r="AO9" i="10"/>
  <c r="AK9" i="10"/>
  <c r="AJ9" i="10"/>
  <c r="AF9" i="10"/>
  <c r="AE9" i="10"/>
  <c r="AA9" i="10"/>
  <c r="Z9" i="10"/>
  <c r="V9" i="10"/>
  <c r="U9" i="10"/>
  <c r="Q9" i="10"/>
  <c r="P9" i="10"/>
  <c r="L9" i="10"/>
  <c r="K9" i="10"/>
  <c r="G9" i="10"/>
  <c r="F9" i="10"/>
  <c r="C9" i="10"/>
  <c r="B9" i="10"/>
  <c r="A9" i="10"/>
  <c r="EV8" i="10"/>
  <c r="EU8" i="10"/>
  <c r="EQ8" i="10"/>
  <c r="EP8" i="10"/>
  <c r="EL8" i="10"/>
  <c r="EK8" i="10"/>
  <c r="EG8" i="10"/>
  <c r="EF8" i="10"/>
  <c r="EB8" i="10"/>
  <c r="EA8" i="10"/>
  <c r="DW8" i="10"/>
  <c r="DV8" i="10"/>
  <c r="DR8" i="10"/>
  <c r="DQ8" i="10"/>
  <c r="DM8" i="10"/>
  <c r="DL8" i="10"/>
  <c r="DH8" i="10"/>
  <c r="DG8" i="10"/>
  <c r="DC8" i="10"/>
  <c r="DB8" i="10"/>
  <c r="CX8" i="10"/>
  <c r="CW8" i="10"/>
  <c r="CS8" i="10"/>
  <c r="CR8" i="10"/>
  <c r="CN8" i="10"/>
  <c r="CM8" i="10"/>
  <c r="CI8" i="10"/>
  <c r="CH8" i="10"/>
  <c r="CD8" i="10"/>
  <c r="CC8" i="10"/>
  <c r="BY8" i="10"/>
  <c r="BX8" i="10"/>
  <c r="BT8" i="10"/>
  <c r="BS8" i="10"/>
  <c r="BO8" i="10"/>
  <c r="BN8" i="10"/>
  <c r="BJ8" i="10"/>
  <c r="BI8" i="10"/>
  <c r="BE8" i="10"/>
  <c r="BD8" i="10"/>
  <c r="AZ8" i="10"/>
  <c r="AY8" i="10"/>
  <c r="AU8" i="10"/>
  <c r="AT8" i="10"/>
  <c r="AP8" i="10"/>
  <c r="AO8" i="10"/>
  <c r="AK8" i="10"/>
  <c r="AJ8" i="10"/>
  <c r="AF8" i="10"/>
  <c r="AE8" i="10"/>
  <c r="AA8" i="10"/>
  <c r="Z8" i="10"/>
  <c r="V8" i="10"/>
  <c r="U8" i="10"/>
  <c r="Q8" i="10"/>
  <c r="P8" i="10"/>
  <c r="L8" i="10"/>
  <c r="K8" i="10"/>
  <c r="G8" i="10"/>
  <c r="F8" i="10"/>
  <c r="C8" i="10"/>
  <c r="B8" i="10"/>
  <c r="A8" i="10"/>
  <c r="EV7" i="10"/>
  <c r="EU7" i="10"/>
  <c r="EQ7" i="10"/>
  <c r="EP7" i="10"/>
  <c r="EL7" i="10"/>
  <c r="EK7" i="10"/>
  <c r="EG7" i="10"/>
  <c r="EF7" i="10"/>
  <c r="EB7" i="10"/>
  <c r="EA7" i="10"/>
  <c r="DW7" i="10"/>
  <c r="DV7" i="10"/>
  <c r="DR7" i="10"/>
  <c r="DQ7" i="10"/>
  <c r="DM7" i="10"/>
  <c r="DL7" i="10"/>
  <c r="DH7" i="10"/>
  <c r="DG7" i="10"/>
  <c r="DC7" i="10"/>
  <c r="DB7" i="10"/>
  <c r="CX7" i="10"/>
  <c r="CW7" i="10"/>
  <c r="CS7" i="10"/>
  <c r="CR7" i="10"/>
  <c r="CN7" i="10"/>
  <c r="CM7" i="10"/>
  <c r="CI7" i="10"/>
  <c r="CH7" i="10"/>
  <c r="CD7" i="10"/>
  <c r="CC7" i="10"/>
  <c r="BY7" i="10"/>
  <c r="BX7" i="10"/>
  <c r="BT7" i="10"/>
  <c r="BS7" i="10"/>
  <c r="BO7" i="10"/>
  <c r="BN7" i="10"/>
  <c r="BJ7" i="10"/>
  <c r="BI7" i="10"/>
  <c r="BE7" i="10"/>
  <c r="BD7" i="10"/>
  <c r="AZ7" i="10"/>
  <c r="AY7" i="10"/>
  <c r="AU7" i="10"/>
  <c r="AT7" i="10"/>
  <c r="AP7" i="10"/>
  <c r="AO7" i="10"/>
  <c r="AK7" i="10"/>
  <c r="AJ7" i="10"/>
  <c r="AF7" i="10"/>
  <c r="AE7" i="10"/>
  <c r="AA7" i="10"/>
  <c r="Z7" i="10"/>
  <c r="V7" i="10"/>
  <c r="U7" i="10"/>
  <c r="Q7" i="10"/>
  <c r="P7" i="10"/>
  <c r="L7" i="10"/>
  <c r="K7" i="10"/>
  <c r="G7" i="10"/>
  <c r="F7" i="10"/>
  <c r="C7" i="10"/>
  <c r="B7" i="10"/>
  <c r="A7" i="10"/>
  <c r="EV6" i="10"/>
  <c r="EU6" i="10"/>
  <c r="EQ6" i="10"/>
  <c r="EP6" i="10"/>
  <c r="EL6" i="10"/>
  <c r="EK6" i="10"/>
  <c r="EG6" i="10"/>
  <c r="EF6" i="10"/>
  <c r="EB6" i="10"/>
  <c r="EA6" i="10"/>
  <c r="DW6" i="10"/>
  <c r="DV6" i="10"/>
  <c r="DR6" i="10"/>
  <c r="DQ6" i="10"/>
  <c r="DM6" i="10"/>
  <c r="DL6" i="10"/>
  <c r="DH6" i="10"/>
  <c r="DG6" i="10"/>
  <c r="DC6" i="10"/>
  <c r="DB6" i="10"/>
  <c r="CX6" i="10"/>
  <c r="CW6" i="10"/>
  <c r="CS6" i="10"/>
  <c r="CR6" i="10"/>
  <c r="CN6" i="10"/>
  <c r="CM6" i="10"/>
  <c r="CI6" i="10"/>
  <c r="CH6" i="10"/>
  <c r="CD6" i="10"/>
  <c r="CC6" i="10"/>
  <c r="BY6" i="10"/>
  <c r="BX6" i="10"/>
  <c r="BT6" i="10"/>
  <c r="BS6" i="10"/>
  <c r="BO6" i="10"/>
  <c r="BN6" i="10"/>
  <c r="BJ6" i="10"/>
  <c r="BI6" i="10"/>
  <c r="BE6" i="10"/>
  <c r="BD6" i="10"/>
  <c r="AZ6" i="10"/>
  <c r="AY6" i="10"/>
  <c r="AU6" i="10"/>
  <c r="AT6" i="10"/>
  <c r="AP6" i="10"/>
  <c r="AO6" i="10"/>
  <c r="AK6" i="10"/>
  <c r="AJ6" i="10"/>
  <c r="AF6" i="10"/>
  <c r="AE6" i="10"/>
  <c r="AA6" i="10"/>
  <c r="Z6" i="10"/>
  <c r="V6" i="10"/>
  <c r="U6" i="10"/>
  <c r="Q6" i="10"/>
  <c r="P6" i="10"/>
  <c r="L6" i="10"/>
  <c r="K6" i="10"/>
  <c r="G6" i="10"/>
  <c r="F6" i="10"/>
  <c r="C6" i="10"/>
  <c r="B6" i="10"/>
  <c r="A6" i="10"/>
  <c r="EV5" i="10"/>
  <c r="EU5" i="10"/>
  <c r="EQ5" i="10"/>
  <c r="EP5" i="10"/>
  <c r="EL5" i="10"/>
  <c r="EK5" i="10"/>
  <c r="EG5" i="10"/>
  <c r="EF5" i="10"/>
  <c r="EB5" i="10"/>
  <c r="EA5" i="10"/>
  <c r="DW5" i="10"/>
  <c r="DV5" i="10"/>
  <c r="DR5" i="10"/>
  <c r="DQ5" i="10"/>
  <c r="DM5" i="10"/>
  <c r="DL5" i="10"/>
  <c r="DH5" i="10"/>
  <c r="DG5" i="10"/>
  <c r="DC5" i="10"/>
  <c r="DB5" i="10"/>
  <c r="CX5" i="10"/>
  <c r="CW5" i="10"/>
  <c r="CS5" i="10"/>
  <c r="CR5" i="10"/>
  <c r="CN5" i="10"/>
  <c r="CM5" i="10"/>
  <c r="CI5" i="10"/>
  <c r="CH5" i="10"/>
  <c r="CD5" i="10"/>
  <c r="CC5" i="10"/>
  <c r="BY5" i="10"/>
  <c r="BX5" i="10"/>
  <c r="BT5" i="10"/>
  <c r="BS5" i="10"/>
  <c r="BO5" i="10"/>
  <c r="BN5" i="10"/>
  <c r="BJ5" i="10"/>
  <c r="BI5" i="10"/>
  <c r="BE5" i="10"/>
  <c r="BD5" i="10"/>
  <c r="AZ5" i="10"/>
  <c r="AY5" i="10"/>
  <c r="AU5" i="10"/>
  <c r="AT5" i="10"/>
  <c r="AP5" i="10"/>
  <c r="AO5" i="10"/>
  <c r="AK5" i="10"/>
  <c r="AJ5" i="10"/>
  <c r="AF5" i="10"/>
  <c r="AE5" i="10"/>
  <c r="AA5" i="10"/>
  <c r="Z5" i="10"/>
  <c r="V5" i="10"/>
  <c r="U5" i="10"/>
  <c r="Q5" i="10"/>
  <c r="P5" i="10"/>
  <c r="L5" i="10"/>
  <c r="K5" i="10"/>
  <c r="G5" i="10"/>
  <c r="F5" i="10"/>
  <c r="C5" i="10"/>
  <c r="B5" i="10"/>
  <c r="A5" i="10"/>
  <c r="EV4" i="10"/>
  <c r="EU4" i="10"/>
  <c r="EQ4" i="10"/>
  <c r="EP4" i="10"/>
  <c r="EL4" i="10"/>
  <c r="EK4" i="10"/>
  <c r="EG4" i="10"/>
  <c r="EF4" i="10"/>
  <c r="EB4" i="10"/>
  <c r="EA4" i="10"/>
  <c r="DW4" i="10"/>
  <c r="DV4" i="10"/>
  <c r="DR4" i="10"/>
  <c r="DQ4" i="10"/>
  <c r="DM4" i="10"/>
  <c r="DL4" i="10"/>
  <c r="DH4" i="10"/>
  <c r="DG4" i="10"/>
  <c r="DC4" i="10"/>
  <c r="DB4" i="10"/>
  <c r="CX4" i="10"/>
  <c r="CW4" i="10"/>
  <c r="CS4" i="10"/>
  <c r="CR4" i="10"/>
  <c r="CN4" i="10"/>
  <c r="CM4" i="10"/>
  <c r="CI4" i="10"/>
  <c r="CH4" i="10"/>
  <c r="CD4" i="10"/>
  <c r="CC4" i="10"/>
  <c r="BY4" i="10"/>
  <c r="BX4" i="10"/>
  <c r="BT4" i="10"/>
  <c r="BS4" i="10"/>
  <c r="BO4" i="10"/>
  <c r="BN4" i="10"/>
  <c r="BJ4" i="10"/>
  <c r="BI4" i="10"/>
  <c r="BE4" i="10"/>
  <c r="BD4" i="10"/>
  <c r="AZ4" i="10"/>
  <c r="AY4" i="10"/>
  <c r="AU4" i="10"/>
  <c r="AT4" i="10"/>
  <c r="AP4" i="10"/>
  <c r="AO4" i="10"/>
  <c r="AK4" i="10"/>
  <c r="AJ4" i="10"/>
  <c r="AF4" i="10"/>
  <c r="AE4" i="10"/>
  <c r="AA4" i="10"/>
  <c r="Z4" i="10"/>
  <c r="V4" i="10"/>
  <c r="U4" i="10"/>
  <c r="Q4" i="10"/>
  <c r="P4" i="10"/>
  <c r="L4" i="10"/>
  <c r="K4" i="10"/>
  <c r="G4" i="10"/>
  <c r="F4" i="10"/>
  <c r="C4" i="10"/>
  <c r="B4" i="10"/>
  <c r="A4" i="10"/>
  <c r="ES2" i="10"/>
  <c r="EN2" i="10"/>
  <c r="EI2" i="10"/>
  <c r="ED2" i="10"/>
  <c r="DY2" i="10"/>
  <c r="DT2" i="10"/>
  <c r="DO2" i="10"/>
  <c r="DJ2" i="10"/>
  <c r="DE2" i="10"/>
  <c r="CZ2" i="10"/>
  <c r="CU2" i="10"/>
  <c r="CP2" i="10"/>
  <c r="CK2" i="10"/>
  <c r="CF2" i="10"/>
  <c r="CA2" i="10"/>
  <c r="BV2" i="10"/>
  <c r="BQ2" i="10"/>
  <c r="BL2" i="10"/>
  <c r="BG2" i="10"/>
  <c r="BB2" i="10"/>
  <c r="AW2" i="10"/>
  <c r="AR2" i="10"/>
  <c r="AM2" i="10"/>
  <c r="AH2" i="10"/>
  <c r="AC2" i="10"/>
  <c r="X2" i="10"/>
  <c r="S2" i="10"/>
  <c r="N2" i="10"/>
  <c r="I2" i="10"/>
  <c r="D2" i="10"/>
  <c r="A1" i="10"/>
  <c r="ES40" i="9"/>
  <c r="EN40" i="9"/>
  <c r="EI40" i="9"/>
  <c r="ED40" i="9"/>
  <c r="DY40" i="9"/>
  <c r="DT40" i="9"/>
  <c r="DO40" i="9"/>
  <c r="DJ40" i="9"/>
  <c r="DE40" i="9"/>
  <c r="CZ40" i="9"/>
  <c r="CU40" i="9"/>
  <c r="CP40" i="9"/>
  <c r="CK40" i="9"/>
  <c r="CF40" i="9"/>
  <c r="CA40" i="9"/>
  <c r="BV40" i="9"/>
  <c r="BQ40" i="9"/>
  <c r="BL40" i="9"/>
  <c r="BG40" i="9"/>
  <c r="BB40" i="9"/>
  <c r="AW40" i="9"/>
  <c r="AR40" i="9"/>
  <c r="AM40" i="9"/>
  <c r="AH40" i="9"/>
  <c r="AC40" i="9"/>
  <c r="X40" i="9"/>
  <c r="S40" i="9"/>
  <c r="N40" i="9"/>
  <c r="I40" i="9"/>
  <c r="D40" i="9"/>
  <c r="ES39" i="9"/>
  <c r="EN39" i="9"/>
  <c r="EI39" i="9"/>
  <c r="ED39" i="9"/>
  <c r="DY39" i="9"/>
  <c r="DT39" i="9"/>
  <c r="DO39" i="9"/>
  <c r="DJ39" i="9"/>
  <c r="DE39" i="9"/>
  <c r="CZ39" i="9"/>
  <c r="CU39" i="9"/>
  <c r="CP39" i="9"/>
  <c r="CK39" i="9"/>
  <c r="CF39" i="9"/>
  <c r="CA39" i="9"/>
  <c r="BV39" i="9"/>
  <c r="BQ39" i="9"/>
  <c r="BL39" i="9"/>
  <c r="BG39" i="9"/>
  <c r="BB39" i="9"/>
  <c r="AW39" i="9"/>
  <c r="AR39" i="9"/>
  <c r="AM39" i="9"/>
  <c r="AH39" i="9"/>
  <c r="AC39" i="9"/>
  <c r="X39" i="9"/>
  <c r="S39" i="9"/>
  <c r="N39" i="9"/>
  <c r="I39" i="9"/>
  <c r="D39" i="9"/>
  <c r="ES38" i="9"/>
  <c r="EN38" i="9"/>
  <c r="EI38" i="9"/>
  <c r="ED38" i="9"/>
  <c r="DY38" i="9"/>
  <c r="DT38" i="9"/>
  <c r="DO38" i="9"/>
  <c r="DJ38" i="9"/>
  <c r="DE38" i="9"/>
  <c r="CZ38" i="9"/>
  <c r="CU38" i="9"/>
  <c r="CP38" i="9"/>
  <c r="CK38" i="9"/>
  <c r="CF38" i="9"/>
  <c r="CA38" i="9"/>
  <c r="BV38" i="9"/>
  <c r="BQ38" i="9"/>
  <c r="BL38" i="9"/>
  <c r="BG38" i="9"/>
  <c r="BB38" i="9"/>
  <c r="AW38" i="9"/>
  <c r="AR38" i="9"/>
  <c r="AM38" i="9"/>
  <c r="AH38" i="9"/>
  <c r="AC38" i="9"/>
  <c r="X38" i="9"/>
  <c r="S38" i="9"/>
  <c r="N38" i="9"/>
  <c r="I38" i="9"/>
  <c r="D38" i="9"/>
  <c r="ES37" i="9"/>
  <c r="EN37" i="9"/>
  <c r="EI37" i="9"/>
  <c r="ED37" i="9"/>
  <c r="DY37" i="9"/>
  <c r="DT37" i="9"/>
  <c r="DO37" i="9"/>
  <c r="DJ37" i="9"/>
  <c r="DE37" i="9"/>
  <c r="CZ37" i="9"/>
  <c r="CU37" i="9"/>
  <c r="CP37" i="9"/>
  <c r="CK37" i="9"/>
  <c r="CF37" i="9"/>
  <c r="CA37" i="9"/>
  <c r="BV37" i="9"/>
  <c r="BQ37" i="9"/>
  <c r="BL37" i="9"/>
  <c r="BG37" i="9"/>
  <c r="BB37" i="9"/>
  <c r="AW37" i="9"/>
  <c r="AR37" i="9"/>
  <c r="AM37" i="9"/>
  <c r="AH37" i="9"/>
  <c r="AC37" i="9"/>
  <c r="X37" i="9"/>
  <c r="S37" i="9"/>
  <c r="N37" i="9"/>
  <c r="I37" i="9"/>
  <c r="D37" i="9"/>
  <c r="ES36" i="9"/>
  <c r="EN36" i="9"/>
  <c r="EI36" i="9"/>
  <c r="ED36" i="9"/>
  <c r="DY36" i="9"/>
  <c r="DT36" i="9"/>
  <c r="DO36" i="9"/>
  <c r="DJ36" i="9"/>
  <c r="DE36" i="9"/>
  <c r="CZ36" i="9"/>
  <c r="CU36" i="9"/>
  <c r="CP36" i="9"/>
  <c r="CK36" i="9"/>
  <c r="CF36" i="9"/>
  <c r="CA36" i="9"/>
  <c r="BV36" i="9"/>
  <c r="BQ36" i="9"/>
  <c r="BL36" i="9"/>
  <c r="BG36" i="9"/>
  <c r="BB36" i="9"/>
  <c r="AW36" i="9"/>
  <c r="AR36" i="9"/>
  <c r="AM36" i="9"/>
  <c r="AH36" i="9"/>
  <c r="AC36" i="9"/>
  <c r="X36" i="9"/>
  <c r="S36" i="9"/>
  <c r="N36" i="9"/>
  <c r="I36" i="9"/>
  <c r="D36" i="9"/>
  <c r="ES35" i="9"/>
  <c r="EN35" i="9"/>
  <c r="EI35" i="9"/>
  <c r="ED35" i="9"/>
  <c r="DY35" i="9"/>
  <c r="DT35" i="9"/>
  <c r="DO35" i="9"/>
  <c r="DJ35" i="9"/>
  <c r="DE35" i="9"/>
  <c r="CZ35" i="9"/>
  <c r="CU35" i="9"/>
  <c r="CP35" i="9"/>
  <c r="CK35" i="9"/>
  <c r="CF35" i="9"/>
  <c r="CA35" i="9"/>
  <c r="BV35" i="9"/>
  <c r="BQ35" i="9"/>
  <c r="BL35" i="9"/>
  <c r="BG35" i="9"/>
  <c r="BB35" i="9"/>
  <c r="AW35" i="9"/>
  <c r="AR35" i="9"/>
  <c r="AM35" i="9"/>
  <c r="AH35" i="9"/>
  <c r="AC35" i="9"/>
  <c r="X35" i="9"/>
  <c r="S35" i="9"/>
  <c r="N35" i="9"/>
  <c r="I35" i="9"/>
  <c r="D35" i="9"/>
  <c r="EV34" i="9"/>
  <c r="EU34" i="9"/>
  <c r="EQ34" i="9"/>
  <c r="EP34" i="9"/>
  <c r="EL34" i="9"/>
  <c r="EK34" i="9"/>
  <c r="EG34" i="9"/>
  <c r="EF34" i="9"/>
  <c r="EB34" i="9"/>
  <c r="EA34" i="9"/>
  <c r="DW34" i="9"/>
  <c r="DV34" i="9"/>
  <c r="DR34" i="9"/>
  <c r="DQ34" i="9"/>
  <c r="DM34" i="9"/>
  <c r="DL34" i="9"/>
  <c r="DH34" i="9"/>
  <c r="DG34" i="9"/>
  <c r="DC34" i="9"/>
  <c r="DB34" i="9"/>
  <c r="CX34" i="9"/>
  <c r="CW34" i="9"/>
  <c r="CS34" i="9"/>
  <c r="CR34" i="9"/>
  <c r="CN34" i="9"/>
  <c r="CM34" i="9"/>
  <c r="CI34" i="9"/>
  <c r="CH34" i="9"/>
  <c r="CD34" i="9"/>
  <c r="CC34" i="9"/>
  <c r="BY34" i="9"/>
  <c r="BX34" i="9"/>
  <c r="BT34" i="9"/>
  <c r="BS34" i="9"/>
  <c r="BO34" i="9"/>
  <c r="BN34" i="9"/>
  <c r="BJ34" i="9"/>
  <c r="BI34" i="9"/>
  <c r="BE34" i="9"/>
  <c r="BD34" i="9"/>
  <c r="AZ34" i="9"/>
  <c r="AY34" i="9"/>
  <c r="AU34" i="9"/>
  <c r="AT34" i="9"/>
  <c r="AP34" i="9"/>
  <c r="AO34" i="9"/>
  <c r="AK34" i="9"/>
  <c r="AJ34" i="9"/>
  <c r="AF34" i="9"/>
  <c r="AE34" i="9"/>
  <c r="AA34" i="9"/>
  <c r="Z34" i="9"/>
  <c r="V34" i="9"/>
  <c r="U34" i="9"/>
  <c r="Q34" i="9"/>
  <c r="P34" i="9"/>
  <c r="L34" i="9"/>
  <c r="K34" i="9"/>
  <c r="G34" i="9"/>
  <c r="F34" i="9"/>
  <c r="C34" i="9"/>
  <c r="B34" i="9"/>
  <c r="A34" i="9"/>
  <c r="EV33" i="9"/>
  <c r="EU33" i="9"/>
  <c r="EQ33" i="9"/>
  <c r="EP33" i="9"/>
  <c r="EL33" i="9"/>
  <c r="EK33" i="9"/>
  <c r="EG33" i="9"/>
  <c r="EF33" i="9"/>
  <c r="EB33" i="9"/>
  <c r="EA33" i="9"/>
  <c r="DW33" i="9"/>
  <c r="DV33" i="9"/>
  <c r="DR33" i="9"/>
  <c r="DQ33" i="9"/>
  <c r="DM33" i="9"/>
  <c r="DL33" i="9"/>
  <c r="DH33" i="9"/>
  <c r="DG33" i="9"/>
  <c r="DC33" i="9"/>
  <c r="DB33" i="9"/>
  <c r="CX33" i="9"/>
  <c r="CW33" i="9"/>
  <c r="CS33" i="9"/>
  <c r="CR33" i="9"/>
  <c r="CN33" i="9"/>
  <c r="CM33" i="9"/>
  <c r="CI33" i="9"/>
  <c r="CH33" i="9"/>
  <c r="CD33" i="9"/>
  <c r="CC33" i="9"/>
  <c r="BY33" i="9"/>
  <c r="BX33" i="9"/>
  <c r="BT33" i="9"/>
  <c r="BS33" i="9"/>
  <c r="BO33" i="9"/>
  <c r="BN33" i="9"/>
  <c r="BJ33" i="9"/>
  <c r="BI33" i="9"/>
  <c r="BE33" i="9"/>
  <c r="BD33" i="9"/>
  <c r="AZ33" i="9"/>
  <c r="AY33" i="9"/>
  <c r="AU33" i="9"/>
  <c r="AT33" i="9"/>
  <c r="AP33" i="9"/>
  <c r="AO33" i="9"/>
  <c r="AK33" i="9"/>
  <c r="AJ33" i="9"/>
  <c r="AF33" i="9"/>
  <c r="AE33" i="9"/>
  <c r="AA33" i="9"/>
  <c r="Z33" i="9"/>
  <c r="V33" i="9"/>
  <c r="U33" i="9"/>
  <c r="Q33" i="9"/>
  <c r="P33" i="9"/>
  <c r="L33" i="9"/>
  <c r="K33" i="9"/>
  <c r="G33" i="9"/>
  <c r="F33" i="9"/>
  <c r="C33" i="9"/>
  <c r="B33" i="9"/>
  <c r="A33" i="9"/>
  <c r="EV32" i="9"/>
  <c r="EU32" i="9"/>
  <c r="EQ32" i="9"/>
  <c r="EP32" i="9"/>
  <c r="EL32" i="9"/>
  <c r="EK32" i="9"/>
  <c r="EG32" i="9"/>
  <c r="EF32" i="9"/>
  <c r="EB32" i="9"/>
  <c r="EA32" i="9"/>
  <c r="DW32" i="9"/>
  <c r="DV32" i="9"/>
  <c r="DR32" i="9"/>
  <c r="DQ32" i="9"/>
  <c r="DM32" i="9"/>
  <c r="DL32" i="9"/>
  <c r="DH32" i="9"/>
  <c r="DG32" i="9"/>
  <c r="DC32" i="9"/>
  <c r="DB32" i="9"/>
  <c r="CX32" i="9"/>
  <c r="CW32" i="9"/>
  <c r="CS32" i="9"/>
  <c r="CR32" i="9"/>
  <c r="CN32" i="9"/>
  <c r="CM32" i="9"/>
  <c r="CI32" i="9"/>
  <c r="CH32" i="9"/>
  <c r="CD32" i="9"/>
  <c r="CC32" i="9"/>
  <c r="BY32" i="9"/>
  <c r="BX32" i="9"/>
  <c r="BT32" i="9"/>
  <c r="BS32" i="9"/>
  <c r="BO32" i="9"/>
  <c r="BN32" i="9"/>
  <c r="BJ32" i="9"/>
  <c r="BI32" i="9"/>
  <c r="BE32" i="9"/>
  <c r="BD32" i="9"/>
  <c r="AZ32" i="9"/>
  <c r="AY32" i="9"/>
  <c r="AU32" i="9"/>
  <c r="AT32" i="9"/>
  <c r="AP32" i="9"/>
  <c r="AO32" i="9"/>
  <c r="AK32" i="9"/>
  <c r="AJ32" i="9"/>
  <c r="AF32" i="9"/>
  <c r="AE32" i="9"/>
  <c r="AA32" i="9"/>
  <c r="Z32" i="9"/>
  <c r="V32" i="9"/>
  <c r="U32" i="9"/>
  <c r="Q32" i="9"/>
  <c r="P32" i="9"/>
  <c r="L32" i="9"/>
  <c r="K32" i="9"/>
  <c r="G32" i="9"/>
  <c r="F32" i="9"/>
  <c r="C32" i="9"/>
  <c r="B32" i="9"/>
  <c r="A32" i="9"/>
  <c r="EV31" i="9"/>
  <c r="EU31" i="9"/>
  <c r="EQ31" i="9"/>
  <c r="EP31" i="9"/>
  <c r="EL31" i="9"/>
  <c r="EK31" i="9"/>
  <c r="EG31" i="9"/>
  <c r="EF31" i="9"/>
  <c r="EB31" i="9"/>
  <c r="EA31" i="9"/>
  <c r="DW31" i="9"/>
  <c r="DV31" i="9"/>
  <c r="DR31" i="9"/>
  <c r="DQ31" i="9"/>
  <c r="DM31" i="9"/>
  <c r="DL31" i="9"/>
  <c r="DH31" i="9"/>
  <c r="DG31" i="9"/>
  <c r="DC31" i="9"/>
  <c r="DB31" i="9"/>
  <c r="CX31" i="9"/>
  <c r="CW31" i="9"/>
  <c r="CS31" i="9"/>
  <c r="CR31" i="9"/>
  <c r="CN31" i="9"/>
  <c r="CM31" i="9"/>
  <c r="CI31" i="9"/>
  <c r="CH31" i="9"/>
  <c r="CD31" i="9"/>
  <c r="CC31" i="9"/>
  <c r="BY31" i="9"/>
  <c r="BX31" i="9"/>
  <c r="BT31" i="9"/>
  <c r="BS31" i="9"/>
  <c r="BO31" i="9"/>
  <c r="BN31" i="9"/>
  <c r="BJ31" i="9"/>
  <c r="BI31" i="9"/>
  <c r="BE31" i="9"/>
  <c r="BD31" i="9"/>
  <c r="AZ31" i="9"/>
  <c r="AY31" i="9"/>
  <c r="AU31" i="9"/>
  <c r="AT31" i="9"/>
  <c r="AP31" i="9"/>
  <c r="AO31" i="9"/>
  <c r="AK31" i="9"/>
  <c r="AJ31" i="9"/>
  <c r="AF31" i="9"/>
  <c r="AE31" i="9"/>
  <c r="AA31" i="9"/>
  <c r="Z31" i="9"/>
  <c r="V31" i="9"/>
  <c r="U31" i="9"/>
  <c r="Q31" i="9"/>
  <c r="P31" i="9"/>
  <c r="L31" i="9"/>
  <c r="K31" i="9"/>
  <c r="G31" i="9"/>
  <c r="F31" i="9"/>
  <c r="C31" i="9"/>
  <c r="B31" i="9"/>
  <c r="A31" i="9"/>
  <c r="EV30" i="9"/>
  <c r="EU30" i="9"/>
  <c r="EQ30" i="9"/>
  <c r="EP30" i="9"/>
  <c r="EL30" i="9"/>
  <c r="EK30" i="9"/>
  <c r="EG30" i="9"/>
  <c r="EF30" i="9"/>
  <c r="EB30" i="9"/>
  <c r="EA30" i="9"/>
  <c r="DW30" i="9"/>
  <c r="DV30" i="9"/>
  <c r="DR30" i="9"/>
  <c r="DQ30" i="9"/>
  <c r="DM30" i="9"/>
  <c r="DL30" i="9"/>
  <c r="DH30" i="9"/>
  <c r="DG30" i="9"/>
  <c r="DC30" i="9"/>
  <c r="DB30" i="9"/>
  <c r="CX30" i="9"/>
  <c r="CW30" i="9"/>
  <c r="CS30" i="9"/>
  <c r="CR30" i="9"/>
  <c r="CN30" i="9"/>
  <c r="CM30" i="9"/>
  <c r="CI30" i="9"/>
  <c r="CH30" i="9"/>
  <c r="CD30" i="9"/>
  <c r="CC30" i="9"/>
  <c r="BY30" i="9"/>
  <c r="BX30" i="9"/>
  <c r="BT30" i="9"/>
  <c r="BS30" i="9"/>
  <c r="BO30" i="9"/>
  <c r="BN30" i="9"/>
  <c r="BJ30" i="9"/>
  <c r="BI30" i="9"/>
  <c r="BE30" i="9"/>
  <c r="BD30" i="9"/>
  <c r="AZ30" i="9"/>
  <c r="AY30" i="9"/>
  <c r="AU30" i="9"/>
  <c r="AT30" i="9"/>
  <c r="AP30" i="9"/>
  <c r="AO30" i="9"/>
  <c r="AK30" i="9"/>
  <c r="AJ30" i="9"/>
  <c r="AF30" i="9"/>
  <c r="AE30" i="9"/>
  <c r="AA30" i="9"/>
  <c r="Z30" i="9"/>
  <c r="V30" i="9"/>
  <c r="U30" i="9"/>
  <c r="Q30" i="9"/>
  <c r="P30" i="9"/>
  <c r="L30" i="9"/>
  <c r="K30" i="9"/>
  <c r="G30" i="9"/>
  <c r="F30" i="9"/>
  <c r="C30" i="9"/>
  <c r="B30" i="9"/>
  <c r="A30" i="9"/>
  <c r="EV29" i="9"/>
  <c r="EU29" i="9"/>
  <c r="EQ29" i="9"/>
  <c r="EP29" i="9"/>
  <c r="EL29" i="9"/>
  <c r="EK29" i="9"/>
  <c r="EG29" i="9"/>
  <c r="EF29" i="9"/>
  <c r="EB29" i="9"/>
  <c r="EA29" i="9"/>
  <c r="DW29" i="9"/>
  <c r="DV29" i="9"/>
  <c r="DR29" i="9"/>
  <c r="DQ29" i="9"/>
  <c r="DM29" i="9"/>
  <c r="DL29" i="9"/>
  <c r="DH29" i="9"/>
  <c r="DG29" i="9"/>
  <c r="DC29" i="9"/>
  <c r="DB29" i="9"/>
  <c r="CX29" i="9"/>
  <c r="CW29" i="9"/>
  <c r="CS29" i="9"/>
  <c r="CR29" i="9"/>
  <c r="CN29" i="9"/>
  <c r="CM29" i="9"/>
  <c r="CI29" i="9"/>
  <c r="CH29" i="9"/>
  <c r="CD29" i="9"/>
  <c r="CC29" i="9"/>
  <c r="BY29" i="9"/>
  <c r="BX29" i="9"/>
  <c r="BT29" i="9"/>
  <c r="BS29" i="9"/>
  <c r="BO29" i="9"/>
  <c r="BN29" i="9"/>
  <c r="BJ29" i="9"/>
  <c r="BI29" i="9"/>
  <c r="BE29" i="9"/>
  <c r="BD29" i="9"/>
  <c r="AZ29" i="9"/>
  <c r="AY29" i="9"/>
  <c r="AU29" i="9"/>
  <c r="AT29" i="9"/>
  <c r="AP29" i="9"/>
  <c r="AO29" i="9"/>
  <c r="AK29" i="9"/>
  <c r="AJ29" i="9"/>
  <c r="AF29" i="9"/>
  <c r="AE29" i="9"/>
  <c r="AA29" i="9"/>
  <c r="Z29" i="9"/>
  <c r="V29" i="9"/>
  <c r="U29" i="9"/>
  <c r="Q29" i="9"/>
  <c r="P29" i="9"/>
  <c r="L29" i="9"/>
  <c r="K29" i="9"/>
  <c r="G29" i="9"/>
  <c r="F29" i="9"/>
  <c r="C29" i="9"/>
  <c r="B29" i="9"/>
  <c r="A29" i="9"/>
  <c r="EV28" i="9"/>
  <c r="EU28" i="9"/>
  <c r="EQ28" i="9"/>
  <c r="EP28" i="9"/>
  <c r="EL28" i="9"/>
  <c r="EK28" i="9"/>
  <c r="EG28" i="9"/>
  <c r="EF28" i="9"/>
  <c r="EB28" i="9"/>
  <c r="EA28" i="9"/>
  <c r="DW28" i="9"/>
  <c r="DV28" i="9"/>
  <c r="DR28" i="9"/>
  <c r="DQ28" i="9"/>
  <c r="DM28" i="9"/>
  <c r="DL28" i="9"/>
  <c r="DH28" i="9"/>
  <c r="DG28" i="9"/>
  <c r="DC28" i="9"/>
  <c r="DB28" i="9"/>
  <c r="CX28" i="9"/>
  <c r="CW28" i="9"/>
  <c r="CS28" i="9"/>
  <c r="CR28" i="9"/>
  <c r="CN28" i="9"/>
  <c r="CM28" i="9"/>
  <c r="CI28" i="9"/>
  <c r="CH28" i="9"/>
  <c r="CD28" i="9"/>
  <c r="CC28" i="9"/>
  <c r="BY28" i="9"/>
  <c r="BX28" i="9"/>
  <c r="BT28" i="9"/>
  <c r="BS28" i="9"/>
  <c r="BO28" i="9"/>
  <c r="BN28" i="9"/>
  <c r="BJ28" i="9"/>
  <c r="BI28" i="9"/>
  <c r="BE28" i="9"/>
  <c r="BD28" i="9"/>
  <c r="AZ28" i="9"/>
  <c r="AY28" i="9"/>
  <c r="AU28" i="9"/>
  <c r="AT28" i="9"/>
  <c r="AP28" i="9"/>
  <c r="AO28" i="9"/>
  <c r="AK28" i="9"/>
  <c r="AJ28" i="9"/>
  <c r="AF28" i="9"/>
  <c r="AE28" i="9"/>
  <c r="AA28" i="9"/>
  <c r="Z28" i="9"/>
  <c r="V28" i="9"/>
  <c r="U28" i="9"/>
  <c r="Q28" i="9"/>
  <c r="P28" i="9"/>
  <c r="L28" i="9"/>
  <c r="K28" i="9"/>
  <c r="G28" i="9"/>
  <c r="F28" i="9"/>
  <c r="C28" i="9"/>
  <c r="B28" i="9"/>
  <c r="A28" i="9"/>
  <c r="EV27" i="9"/>
  <c r="EU27" i="9"/>
  <c r="EQ27" i="9"/>
  <c r="EP27" i="9"/>
  <c r="EL27" i="9"/>
  <c r="EK27" i="9"/>
  <c r="EG27" i="9"/>
  <c r="EF27" i="9"/>
  <c r="EB27" i="9"/>
  <c r="EA27" i="9"/>
  <c r="DW27" i="9"/>
  <c r="DV27" i="9"/>
  <c r="DR27" i="9"/>
  <c r="DQ27" i="9"/>
  <c r="DM27" i="9"/>
  <c r="DL27" i="9"/>
  <c r="DH27" i="9"/>
  <c r="DG27" i="9"/>
  <c r="DC27" i="9"/>
  <c r="DB27" i="9"/>
  <c r="CX27" i="9"/>
  <c r="CW27" i="9"/>
  <c r="CS27" i="9"/>
  <c r="CR27" i="9"/>
  <c r="CN27" i="9"/>
  <c r="CM27" i="9"/>
  <c r="CI27" i="9"/>
  <c r="CH27" i="9"/>
  <c r="CD27" i="9"/>
  <c r="CC27" i="9"/>
  <c r="BY27" i="9"/>
  <c r="BX27" i="9"/>
  <c r="BT27" i="9"/>
  <c r="BS27" i="9"/>
  <c r="BO27" i="9"/>
  <c r="BN27" i="9"/>
  <c r="BJ27" i="9"/>
  <c r="BI27" i="9"/>
  <c r="BE27" i="9"/>
  <c r="BD27" i="9"/>
  <c r="AZ27" i="9"/>
  <c r="AY27" i="9"/>
  <c r="AU27" i="9"/>
  <c r="AT27" i="9"/>
  <c r="AP27" i="9"/>
  <c r="AO27" i="9"/>
  <c r="AK27" i="9"/>
  <c r="AJ27" i="9"/>
  <c r="AF27" i="9"/>
  <c r="AE27" i="9"/>
  <c r="AA27" i="9"/>
  <c r="Z27" i="9"/>
  <c r="V27" i="9"/>
  <c r="U27" i="9"/>
  <c r="Q27" i="9"/>
  <c r="P27" i="9"/>
  <c r="L27" i="9"/>
  <c r="K27" i="9"/>
  <c r="G27" i="9"/>
  <c r="F27" i="9"/>
  <c r="C27" i="9"/>
  <c r="B27" i="9"/>
  <c r="A27" i="9"/>
  <c r="EV26" i="9"/>
  <c r="EU26" i="9"/>
  <c r="EQ26" i="9"/>
  <c r="EP26" i="9"/>
  <c r="EL26" i="9"/>
  <c r="EK26" i="9"/>
  <c r="EG26" i="9"/>
  <c r="EF26" i="9"/>
  <c r="EB26" i="9"/>
  <c r="EA26" i="9"/>
  <c r="DW26" i="9"/>
  <c r="DV26" i="9"/>
  <c r="DR26" i="9"/>
  <c r="DQ26" i="9"/>
  <c r="DM26" i="9"/>
  <c r="DL26" i="9"/>
  <c r="DH26" i="9"/>
  <c r="DG26" i="9"/>
  <c r="DC26" i="9"/>
  <c r="DB26" i="9"/>
  <c r="CX26" i="9"/>
  <c r="CW26" i="9"/>
  <c r="CS26" i="9"/>
  <c r="CR26" i="9"/>
  <c r="CN26" i="9"/>
  <c r="CM26" i="9"/>
  <c r="CI26" i="9"/>
  <c r="CH26" i="9"/>
  <c r="CD26" i="9"/>
  <c r="CC26" i="9"/>
  <c r="BY26" i="9"/>
  <c r="BX26" i="9"/>
  <c r="BT26" i="9"/>
  <c r="BS26" i="9"/>
  <c r="BO26" i="9"/>
  <c r="BN26" i="9"/>
  <c r="BJ26" i="9"/>
  <c r="BI26" i="9"/>
  <c r="BE26" i="9"/>
  <c r="BD26" i="9"/>
  <c r="AZ26" i="9"/>
  <c r="AY26" i="9"/>
  <c r="AU26" i="9"/>
  <c r="AT26" i="9"/>
  <c r="AP26" i="9"/>
  <c r="AO26" i="9"/>
  <c r="AK26" i="9"/>
  <c r="AJ26" i="9"/>
  <c r="AF26" i="9"/>
  <c r="AE26" i="9"/>
  <c r="AA26" i="9"/>
  <c r="Z26" i="9"/>
  <c r="V26" i="9"/>
  <c r="U26" i="9"/>
  <c r="Q26" i="9"/>
  <c r="P26" i="9"/>
  <c r="L26" i="9"/>
  <c r="K26" i="9"/>
  <c r="G26" i="9"/>
  <c r="F26" i="9"/>
  <c r="C26" i="9"/>
  <c r="B26" i="9"/>
  <c r="A26" i="9"/>
  <c r="EV25" i="9"/>
  <c r="EU25" i="9"/>
  <c r="EQ25" i="9"/>
  <c r="EP25" i="9"/>
  <c r="EL25" i="9"/>
  <c r="EK25" i="9"/>
  <c r="EG25" i="9"/>
  <c r="EF25" i="9"/>
  <c r="EB25" i="9"/>
  <c r="EA25" i="9"/>
  <c r="DW25" i="9"/>
  <c r="DV25" i="9"/>
  <c r="DR25" i="9"/>
  <c r="DQ25" i="9"/>
  <c r="DM25" i="9"/>
  <c r="DL25" i="9"/>
  <c r="DH25" i="9"/>
  <c r="DG25" i="9"/>
  <c r="DC25" i="9"/>
  <c r="DB25" i="9"/>
  <c r="CX25" i="9"/>
  <c r="CW25" i="9"/>
  <c r="CS25" i="9"/>
  <c r="CR25" i="9"/>
  <c r="CN25" i="9"/>
  <c r="CM25" i="9"/>
  <c r="CI25" i="9"/>
  <c r="CH25" i="9"/>
  <c r="CD25" i="9"/>
  <c r="CC25" i="9"/>
  <c r="BY25" i="9"/>
  <c r="BX25" i="9"/>
  <c r="BT25" i="9"/>
  <c r="BS25" i="9"/>
  <c r="BO25" i="9"/>
  <c r="BN25" i="9"/>
  <c r="BJ25" i="9"/>
  <c r="BI25" i="9"/>
  <c r="BE25" i="9"/>
  <c r="BD25" i="9"/>
  <c r="AZ25" i="9"/>
  <c r="AY25" i="9"/>
  <c r="AU25" i="9"/>
  <c r="AT25" i="9"/>
  <c r="AP25" i="9"/>
  <c r="AO25" i="9"/>
  <c r="AK25" i="9"/>
  <c r="AJ25" i="9"/>
  <c r="AF25" i="9"/>
  <c r="AE25" i="9"/>
  <c r="AA25" i="9"/>
  <c r="Z25" i="9"/>
  <c r="V25" i="9"/>
  <c r="U25" i="9"/>
  <c r="Q25" i="9"/>
  <c r="P25" i="9"/>
  <c r="L25" i="9"/>
  <c r="K25" i="9"/>
  <c r="G25" i="9"/>
  <c r="F25" i="9"/>
  <c r="C25" i="9"/>
  <c r="B25" i="9"/>
  <c r="A25" i="9"/>
  <c r="EV24" i="9"/>
  <c r="EU24" i="9"/>
  <c r="EQ24" i="9"/>
  <c r="EP24" i="9"/>
  <c r="EL24" i="9"/>
  <c r="EK24" i="9"/>
  <c r="EG24" i="9"/>
  <c r="EF24" i="9"/>
  <c r="EB24" i="9"/>
  <c r="EA24" i="9"/>
  <c r="DW24" i="9"/>
  <c r="DV24" i="9"/>
  <c r="DR24" i="9"/>
  <c r="DQ24" i="9"/>
  <c r="DM24" i="9"/>
  <c r="DL24" i="9"/>
  <c r="DH24" i="9"/>
  <c r="DG24" i="9"/>
  <c r="DC24" i="9"/>
  <c r="DB24" i="9"/>
  <c r="CX24" i="9"/>
  <c r="CW24" i="9"/>
  <c r="CS24" i="9"/>
  <c r="CR24" i="9"/>
  <c r="CN24" i="9"/>
  <c r="CM24" i="9"/>
  <c r="CI24" i="9"/>
  <c r="CH24" i="9"/>
  <c r="CD24" i="9"/>
  <c r="CC24" i="9"/>
  <c r="BY24" i="9"/>
  <c r="BX24" i="9"/>
  <c r="BT24" i="9"/>
  <c r="BS24" i="9"/>
  <c r="BO24" i="9"/>
  <c r="BN24" i="9"/>
  <c r="BJ24" i="9"/>
  <c r="BI24" i="9"/>
  <c r="BE24" i="9"/>
  <c r="BD24" i="9"/>
  <c r="AZ24" i="9"/>
  <c r="AY24" i="9"/>
  <c r="AU24" i="9"/>
  <c r="AT24" i="9"/>
  <c r="AP24" i="9"/>
  <c r="AO24" i="9"/>
  <c r="AK24" i="9"/>
  <c r="AJ24" i="9"/>
  <c r="AF24" i="9"/>
  <c r="AE24" i="9"/>
  <c r="AA24" i="9"/>
  <c r="Z24" i="9"/>
  <c r="V24" i="9"/>
  <c r="U24" i="9"/>
  <c r="Q24" i="9"/>
  <c r="P24" i="9"/>
  <c r="L24" i="9"/>
  <c r="K24" i="9"/>
  <c r="G24" i="9"/>
  <c r="F24" i="9"/>
  <c r="C24" i="9"/>
  <c r="B24" i="9"/>
  <c r="A24" i="9"/>
  <c r="EV23" i="9"/>
  <c r="EU23" i="9"/>
  <c r="EQ23" i="9"/>
  <c r="EP23" i="9"/>
  <c r="EL23" i="9"/>
  <c r="EK23" i="9"/>
  <c r="EG23" i="9"/>
  <c r="EF23" i="9"/>
  <c r="EB23" i="9"/>
  <c r="EA23" i="9"/>
  <c r="DW23" i="9"/>
  <c r="DV23" i="9"/>
  <c r="DR23" i="9"/>
  <c r="DQ23" i="9"/>
  <c r="DM23" i="9"/>
  <c r="DL23" i="9"/>
  <c r="DH23" i="9"/>
  <c r="DG23" i="9"/>
  <c r="DC23" i="9"/>
  <c r="DB23" i="9"/>
  <c r="CX23" i="9"/>
  <c r="CW23" i="9"/>
  <c r="CS23" i="9"/>
  <c r="CR23" i="9"/>
  <c r="CN23" i="9"/>
  <c r="CM23" i="9"/>
  <c r="CI23" i="9"/>
  <c r="CH23" i="9"/>
  <c r="CD23" i="9"/>
  <c r="CC23" i="9"/>
  <c r="BY23" i="9"/>
  <c r="BX23" i="9"/>
  <c r="BT23" i="9"/>
  <c r="BS23" i="9"/>
  <c r="BO23" i="9"/>
  <c r="BN23" i="9"/>
  <c r="BJ23" i="9"/>
  <c r="BI23" i="9"/>
  <c r="BE23" i="9"/>
  <c r="BD23" i="9"/>
  <c r="AZ23" i="9"/>
  <c r="AY23" i="9"/>
  <c r="AU23" i="9"/>
  <c r="AT23" i="9"/>
  <c r="AP23" i="9"/>
  <c r="AO23" i="9"/>
  <c r="AK23" i="9"/>
  <c r="AJ23" i="9"/>
  <c r="AF23" i="9"/>
  <c r="AE23" i="9"/>
  <c r="AA23" i="9"/>
  <c r="Z23" i="9"/>
  <c r="V23" i="9"/>
  <c r="U23" i="9"/>
  <c r="Q23" i="9"/>
  <c r="P23" i="9"/>
  <c r="L23" i="9"/>
  <c r="K23" i="9"/>
  <c r="G23" i="9"/>
  <c r="F23" i="9"/>
  <c r="C23" i="9"/>
  <c r="B23" i="9"/>
  <c r="A23" i="9"/>
  <c r="EV22" i="9"/>
  <c r="EU22" i="9"/>
  <c r="EQ22" i="9"/>
  <c r="EP22" i="9"/>
  <c r="EL22" i="9"/>
  <c r="EK22" i="9"/>
  <c r="EG22" i="9"/>
  <c r="EF22" i="9"/>
  <c r="EB22" i="9"/>
  <c r="EA22" i="9"/>
  <c r="DW22" i="9"/>
  <c r="DV22" i="9"/>
  <c r="DR22" i="9"/>
  <c r="DQ22" i="9"/>
  <c r="DM22" i="9"/>
  <c r="DL22" i="9"/>
  <c r="DH22" i="9"/>
  <c r="DG22" i="9"/>
  <c r="DC22" i="9"/>
  <c r="DB22" i="9"/>
  <c r="CX22" i="9"/>
  <c r="CW22" i="9"/>
  <c r="CS22" i="9"/>
  <c r="CR22" i="9"/>
  <c r="CN22" i="9"/>
  <c r="CM22" i="9"/>
  <c r="CI22" i="9"/>
  <c r="CH22" i="9"/>
  <c r="CD22" i="9"/>
  <c r="CC22" i="9"/>
  <c r="BY22" i="9"/>
  <c r="BX22" i="9"/>
  <c r="BT22" i="9"/>
  <c r="BS22" i="9"/>
  <c r="BO22" i="9"/>
  <c r="BN22" i="9"/>
  <c r="BJ22" i="9"/>
  <c r="BI22" i="9"/>
  <c r="BE22" i="9"/>
  <c r="BD22" i="9"/>
  <c r="AZ22" i="9"/>
  <c r="AY22" i="9"/>
  <c r="AU22" i="9"/>
  <c r="AT22" i="9"/>
  <c r="AP22" i="9"/>
  <c r="AO22" i="9"/>
  <c r="AK22" i="9"/>
  <c r="AJ22" i="9"/>
  <c r="AF22" i="9"/>
  <c r="AE22" i="9"/>
  <c r="AA22" i="9"/>
  <c r="Z22" i="9"/>
  <c r="V22" i="9"/>
  <c r="U22" i="9"/>
  <c r="Q22" i="9"/>
  <c r="P22" i="9"/>
  <c r="L22" i="9"/>
  <c r="K22" i="9"/>
  <c r="G22" i="9"/>
  <c r="F22" i="9"/>
  <c r="C22" i="9"/>
  <c r="B22" i="9"/>
  <c r="A22" i="9"/>
  <c r="EV21" i="9"/>
  <c r="EU21" i="9"/>
  <c r="EQ21" i="9"/>
  <c r="EP21" i="9"/>
  <c r="EL21" i="9"/>
  <c r="EK21" i="9"/>
  <c r="EG21" i="9"/>
  <c r="EF21" i="9"/>
  <c r="EB21" i="9"/>
  <c r="EA21" i="9"/>
  <c r="DW21" i="9"/>
  <c r="DV21" i="9"/>
  <c r="DR21" i="9"/>
  <c r="DQ21" i="9"/>
  <c r="DM21" i="9"/>
  <c r="DL21" i="9"/>
  <c r="DH21" i="9"/>
  <c r="DG21" i="9"/>
  <c r="DC21" i="9"/>
  <c r="DB21" i="9"/>
  <c r="CX21" i="9"/>
  <c r="CW21" i="9"/>
  <c r="CS21" i="9"/>
  <c r="CR21" i="9"/>
  <c r="CN21" i="9"/>
  <c r="CM21" i="9"/>
  <c r="CI21" i="9"/>
  <c r="CH21" i="9"/>
  <c r="CD21" i="9"/>
  <c r="CC21" i="9"/>
  <c r="BY21" i="9"/>
  <c r="BX21" i="9"/>
  <c r="BT21" i="9"/>
  <c r="BS21" i="9"/>
  <c r="BO21" i="9"/>
  <c r="BN21" i="9"/>
  <c r="BJ21" i="9"/>
  <c r="BI21" i="9"/>
  <c r="BE21" i="9"/>
  <c r="BD21" i="9"/>
  <c r="AZ21" i="9"/>
  <c r="AY21" i="9"/>
  <c r="AU21" i="9"/>
  <c r="AT21" i="9"/>
  <c r="AP21" i="9"/>
  <c r="AO21" i="9"/>
  <c r="AK21" i="9"/>
  <c r="AJ21" i="9"/>
  <c r="AF21" i="9"/>
  <c r="AE21" i="9"/>
  <c r="AA21" i="9"/>
  <c r="Z21" i="9"/>
  <c r="V21" i="9"/>
  <c r="U21" i="9"/>
  <c r="Q21" i="9"/>
  <c r="P21" i="9"/>
  <c r="L21" i="9"/>
  <c r="K21" i="9"/>
  <c r="G21" i="9"/>
  <c r="F21" i="9"/>
  <c r="C21" i="9"/>
  <c r="B21" i="9"/>
  <c r="A21" i="9"/>
  <c r="EV20" i="9"/>
  <c r="EU20" i="9"/>
  <c r="EQ20" i="9"/>
  <c r="EP20" i="9"/>
  <c r="EL20" i="9"/>
  <c r="EK20" i="9"/>
  <c r="EG20" i="9"/>
  <c r="EF20" i="9"/>
  <c r="EB20" i="9"/>
  <c r="EA20" i="9"/>
  <c r="DW20" i="9"/>
  <c r="DV20" i="9"/>
  <c r="DR20" i="9"/>
  <c r="DQ20" i="9"/>
  <c r="DM20" i="9"/>
  <c r="DL20" i="9"/>
  <c r="DH20" i="9"/>
  <c r="DG20" i="9"/>
  <c r="DC20" i="9"/>
  <c r="DB20" i="9"/>
  <c r="CX20" i="9"/>
  <c r="CW20" i="9"/>
  <c r="CS20" i="9"/>
  <c r="CR20" i="9"/>
  <c r="CN20" i="9"/>
  <c r="CM20" i="9"/>
  <c r="CI20" i="9"/>
  <c r="CH20" i="9"/>
  <c r="CD20" i="9"/>
  <c r="CC20" i="9"/>
  <c r="BY20" i="9"/>
  <c r="BX20" i="9"/>
  <c r="BT20" i="9"/>
  <c r="BS20" i="9"/>
  <c r="BO20" i="9"/>
  <c r="BN20" i="9"/>
  <c r="BJ20" i="9"/>
  <c r="BI20" i="9"/>
  <c r="BE20" i="9"/>
  <c r="BD20" i="9"/>
  <c r="AZ20" i="9"/>
  <c r="AY20" i="9"/>
  <c r="AU20" i="9"/>
  <c r="AT20" i="9"/>
  <c r="AP20" i="9"/>
  <c r="AO20" i="9"/>
  <c r="AK20" i="9"/>
  <c r="AJ20" i="9"/>
  <c r="AF20" i="9"/>
  <c r="AE20" i="9"/>
  <c r="AA20" i="9"/>
  <c r="Z20" i="9"/>
  <c r="V20" i="9"/>
  <c r="U20" i="9"/>
  <c r="Q20" i="9"/>
  <c r="P20" i="9"/>
  <c r="L20" i="9"/>
  <c r="K20" i="9"/>
  <c r="G20" i="9"/>
  <c r="F20" i="9"/>
  <c r="C20" i="9"/>
  <c r="B20" i="9"/>
  <c r="A20" i="9"/>
  <c r="EV19" i="9"/>
  <c r="EU19" i="9"/>
  <c r="EQ19" i="9"/>
  <c r="EP19" i="9"/>
  <c r="EL19" i="9"/>
  <c r="EK19" i="9"/>
  <c r="EG19" i="9"/>
  <c r="EF19" i="9"/>
  <c r="EB19" i="9"/>
  <c r="EA19" i="9"/>
  <c r="DW19" i="9"/>
  <c r="DV19" i="9"/>
  <c r="DR19" i="9"/>
  <c r="DQ19" i="9"/>
  <c r="DM19" i="9"/>
  <c r="DL19" i="9"/>
  <c r="DH19" i="9"/>
  <c r="DG19" i="9"/>
  <c r="DC19" i="9"/>
  <c r="DB19" i="9"/>
  <c r="CX19" i="9"/>
  <c r="CW19" i="9"/>
  <c r="CS19" i="9"/>
  <c r="CR19" i="9"/>
  <c r="CN19" i="9"/>
  <c r="CM19" i="9"/>
  <c r="CI19" i="9"/>
  <c r="CH19" i="9"/>
  <c r="CD19" i="9"/>
  <c r="CC19" i="9"/>
  <c r="BY19" i="9"/>
  <c r="BX19" i="9"/>
  <c r="BT19" i="9"/>
  <c r="BS19" i="9"/>
  <c r="BO19" i="9"/>
  <c r="BN19" i="9"/>
  <c r="BJ19" i="9"/>
  <c r="BI19" i="9"/>
  <c r="BE19" i="9"/>
  <c r="BD19" i="9"/>
  <c r="AZ19" i="9"/>
  <c r="AY19" i="9"/>
  <c r="AU19" i="9"/>
  <c r="AT19" i="9"/>
  <c r="AP19" i="9"/>
  <c r="AO19" i="9"/>
  <c r="AK19" i="9"/>
  <c r="AJ19" i="9"/>
  <c r="AF19" i="9"/>
  <c r="AE19" i="9"/>
  <c r="AA19" i="9"/>
  <c r="Z19" i="9"/>
  <c r="V19" i="9"/>
  <c r="U19" i="9"/>
  <c r="Q19" i="9"/>
  <c r="P19" i="9"/>
  <c r="L19" i="9"/>
  <c r="K19" i="9"/>
  <c r="G19" i="9"/>
  <c r="F19" i="9"/>
  <c r="C19" i="9"/>
  <c r="B19" i="9"/>
  <c r="A19" i="9"/>
  <c r="EV18" i="9"/>
  <c r="EU18" i="9"/>
  <c r="EQ18" i="9"/>
  <c r="EP18" i="9"/>
  <c r="EL18" i="9"/>
  <c r="EK18" i="9"/>
  <c r="EG18" i="9"/>
  <c r="EF18" i="9"/>
  <c r="EB18" i="9"/>
  <c r="EA18" i="9"/>
  <c r="DW18" i="9"/>
  <c r="DV18" i="9"/>
  <c r="DR18" i="9"/>
  <c r="DQ18" i="9"/>
  <c r="DM18" i="9"/>
  <c r="DL18" i="9"/>
  <c r="DH18" i="9"/>
  <c r="DG18" i="9"/>
  <c r="DC18" i="9"/>
  <c r="DB18" i="9"/>
  <c r="CX18" i="9"/>
  <c r="CW18" i="9"/>
  <c r="CS18" i="9"/>
  <c r="CR18" i="9"/>
  <c r="CN18" i="9"/>
  <c r="CM18" i="9"/>
  <c r="CI18" i="9"/>
  <c r="CH18" i="9"/>
  <c r="CD18" i="9"/>
  <c r="CC18" i="9"/>
  <c r="BY18" i="9"/>
  <c r="BX18" i="9"/>
  <c r="BT18" i="9"/>
  <c r="BS18" i="9"/>
  <c r="BO18" i="9"/>
  <c r="BN18" i="9"/>
  <c r="BJ18" i="9"/>
  <c r="BI18" i="9"/>
  <c r="BE18" i="9"/>
  <c r="BD18" i="9"/>
  <c r="AZ18" i="9"/>
  <c r="AY18" i="9"/>
  <c r="AU18" i="9"/>
  <c r="AT18" i="9"/>
  <c r="AP18" i="9"/>
  <c r="AO18" i="9"/>
  <c r="AK18" i="9"/>
  <c r="AJ18" i="9"/>
  <c r="AF18" i="9"/>
  <c r="AE18" i="9"/>
  <c r="AA18" i="9"/>
  <c r="Z18" i="9"/>
  <c r="V18" i="9"/>
  <c r="U18" i="9"/>
  <c r="Q18" i="9"/>
  <c r="P18" i="9"/>
  <c r="L18" i="9"/>
  <c r="K18" i="9"/>
  <c r="G18" i="9"/>
  <c r="F18" i="9"/>
  <c r="C18" i="9"/>
  <c r="B18" i="9"/>
  <c r="A18" i="9"/>
  <c r="EV17" i="9"/>
  <c r="EU17" i="9"/>
  <c r="EQ17" i="9"/>
  <c r="EP17" i="9"/>
  <c r="EL17" i="9"/>
  <c r="EK17" i="9"/>
  <c r="EG17" i="9"/>
  <c r="EF17" i="9"/>
  <c r="EB17" i="9"/>
  <c r="EA17" i="9"/>
  <c r="DW17" i="9"/>
  <c r="DV17" i="9"/>
  <c r="DR17" i="9"/>
  <c r="DQ17" i="9"/>
  <c r="DM17" i="9"/>
  <c r="DL17" i="9"/>
  <c r="DH17" i="9"/>
  <c r="DG17" i="9"/>
  <c r="DC17" i="9"/>
  <c r="DB17" i="9"/>
  <c r="CX17" i="9"/>
  <c r="CW17" i="9"/>
  <c r="CS17" i="9"/>
  <c r="CR17" i="9"/>
  <c r="CN17" i="9"/>
  <c r="CM17" i="9"/>
  <c r="CI17" i="9"/>
  <c r="CH17" i="9"/>
  <c r="CD17" i="9"/>
  <c r="CC17" i="9"/>
  <c r="BY17" i="9"/>
  <c r="BX17" i="9"/>
  <c r="BT17" i="9"/>
  <c r="BS17" i="9"/>
  <c r="BO17" i="9"/>
  <c r="BN17" i="9"/>
  <c r="BJ17" i="9"/>
  <c r="BI17" i="9"/>
  <c r="BE17" i="9"/>
  <c r="BD17" i="9"/>
  <c r="AZ17" i="9"/>
  <c r="AY17" i="9"/>
  <c r="AU17" i="9"/>
  <c r="AT17" i="9"/>
  <c r="AP17" i="9"/>
  <c r="AO17" i="9"/>
  <c r="AK17" i="9"/>
  <c r="AJ17" i="9"/>
  <c r="AF17" i="9"/>
  <c r="AE17" i="9"/>
  <c r="AA17" i="9"/>
  <c r="Z17" i="9"/>
  <c r="V17" i="9"/>
  <c r="U17" i="9"/>
  <c r="Q17" i="9"/>
  <c r="P17" i="9"/>
  <c r="L17" i="9"/>
  <c r="K17" i="9"/>
  <c r="G17" i="9"/>
  <c r="F17" i="9"/>
  <c r="C17" i="9"/>
  <c r="B17" i="9"/>
  <c r="A17" i="9"/>
  <c r="EV16" i="9"/>
  <c r="EU16" i="9"/>
  <c r="EQ16" i="9"/>
  <c r="EP16" i="9"/>
  <c r="EL16" i="9"/>
  <c r="EK16" i="9"/>
  <c r="EG16" i="9"/>
  <c r="EF16" i="9"/>
  <c r="EB16" i="9"/>
  <c r="EA16" i="9"/>
  <c r="DW16" i="9"/>
  <c r="DV16" i="9"/>
  <c r="DR16" i="9"/>
  <c r="DQ16" i="9"/>
  <c r="DM16" i="9"/>
  <c r="DL16" i="9"/>
  <c r="DH16" i="9"/>
  <c r="DG16" i="9"/>
  <c r="DC16" i="9"/>
  <c r="DB16" i="9"/>
  <c r="CX16" i="9"/>
  <c r="CW16" i="9"/>
  <c r="CS16" i="9"/>
  <c r="CR16" i="9"/>
  <c r="CN16" i="9"/>
  <c r="CM16" i="9"/>
  <c r="CI16" i="9"/>
  <c r="CH16" i="9"/>
  <c r="CD16" i="9"/>
  <c r="CC16" i="9"/>
  <c r="BY16" i="9"/>
  <c r="BX16" i="9"/>
  <c r="BT16" i="9"/>
  <c r="BS16" i="9"/>
  <c r="BO16" i="9"/>
  <c r="BN16" i="9"/>
  <c r="BJ16" i="9"/>
  <c r="BI16" i="9"/>
  <c r="BE16" i="9"/>
  <c r="BD16" i="9"/>
  <c r="AZ16" i="9"/>
  <c r="AY16" i="9"/>
  <c r="AU16" i="9"/>
  <c r="AT16" i="9"/>
  <c r="AP16" i="9"/>
  <c r="AO16" i="9"/>
  <c r="AK16" i="9"/>
  <c r="AJ16" i="9"/>
  <c r="AF16" i="9"/>
  <c r="AE16" i="9"/>
  <c r="AA16" i="9"/>
  <c r="Z16" i="9"/>
  <c r="V16" i="9"/>
  <c r="U16" i="9"/>
  <c r="Q16" i="9"/>
  <c r="P16" i="9"/>
  <c r="L16" i="9"/>
  <c r="K16" i="9"/>
  <c r="G16" i="9"/>
  <c r="F16" i="9"/>
  <c r="C16" i="9"/>
  <c r="B16" i="9"/>
  <c r="A16" i="9"/>
  <c r="EV15" i="9"/>
  <c r="EU15" i="9"/>
  <c r="EQ15" i="9"/>
  <c r="EP15" i="9"/>
  <c r="EL15" i="9"/>
  <c r="EK15" i="9"/>
  <c r="EG15" i="9"/>
  <c r="EF15" i="9"/>
  <c r="EB15" i="9"/>
  <c r="EA15" i="9"/>
  <c r="DW15" i="9"/>
  <c r="DV15" i="9"/>
  <c r="DR15" i="9"/>
  <c r="DQ15" i="9"/>
  <c r="DM15" i="9"/>
  <c r="DL15" i="9"/>
  <c r="DH15" i="9"/>
  <c r="DG15" i="9"/>
  <c r="DC15" i="9"/>
  <c r="DB15" i="9"/>
  <c r="CX15" i="9"/>
  <c r="CW15" i="9"/>
  <c r="CS15" i="9"/>
  <c r="CR15" i="9"/>
  <c r="CN15" i="9"/>
  <c r="CM15" i="9"/>
  <c r="CI15" i="9"/>
  <c r="CH15" i="9"/>
  <c r="CD15" i="9"/>
  <c r="CC15" i="9"/>
  <c r="BY15" i="9"/>
  <c r="BX15" i="9"/>
  <c r="BT15" i="9"/>
  <c r="BS15" i="9"/>
  <c r="BO15" i="9"/>
  <c r="BN15" i="9"/>
  <c r="BJ15" i="9"/>
  <c r="BI15" i="9"/>
  <c r="BE15" i="9"/>
  <c r="BD15" i="9"/>
  <c r="AZ15" i="9"/>
  <c r="AY15" i="9"/>
  <c r="AU15" i="9"/>
  <c r="AT15" i="9"/>
  <c r="AP15" i="9"/>
  <c r="AO15" i="9"/>
  <c r="AK15" i="9"/>
  <c r="AJ15" i="9"/>
  <c r="AF15" i="9"/>
  <c r="AE15" i="9"/>
  <c r="AA15" i="9"/>
  <c r="Z15" i="9"/>
  <c r="V15" i="9"/>
  <c r="U15" i="9"/>
  <c r="Q15" i="9"/>
  <c r="P15" i="9"/>
  <c r="L15" i="9"/>
  <c r="K15" i="9"/>
  <c r="G15" i="9"/>
  <c r="F15" i="9"/>
  <c r="C15" i="9"/>
  <c r="B15" i="9"/>
  <c r="A15" i="9"/>
  <c r="EV14" i="9"/>
  <c r="EU14" i="9"/>
  <c r="EQ14" i="9"/>
  <c r="EP14" i="9"/>
  <c r="EL14" i="9"/>
  <c r="EK14" i="9"/>
  <c r="EG14" i="9"/>
  <c r="EF14" i="9"/>
  <c r="EB14" i="9"/>
  <c r="EA14" i="9"/>
  <c r="DW14" i="9"/>
  <c r="DV14" i="9"/>
  <c r="DR14" i="9"/>
  <c r="DQ14" i="9"/>
  <c r="DM14" i="9"/>
  <c r="DL14" i="9"/>
  <c r="DH14" i="9"/>
  <c r="DG14" i="9"/>
  <c r="DC14" i="9"/>
  <c r="DB14" i="9"/>
  <c r="CX14" i="9"/>
  <c r="CW14" i="9"/>
  <c r="CS14" i="9"/>
  <c r="CR14" i="9"/>
  <c r="CN14" i="9"/>
  <c r="CM14" i="9"/>
  <c r="CI14" i="9"/>
  <c r="CH14" i="9"/>
  <c r="CD14" i="9"/>
  <c r="CC14" i="9"/>
  <c r="BY14" i="9"/>
  <c r="BX14" i="9"/>
  <c r="BT14" i="9"/>
  <c r="BS14" i="9"/>
  <c r="BO14" i="9"/>
  <c r="BN14" i="9"/>
  <c r="BJ14" i="9"/>
  <c r="BI14" i="9"/>
  <c r="BE14" i="9"/>
  <c r="BD14" i="9"/>
  <c r="AZ14" i="9"/>
  <c r="AY14" i="9"/>
  <c r="AU14" i="9"/>
  <c r="AT14" i="9"/>
  <c r="AP14" i="9"/>
  <c r="AO14" i="9"/>
  <c r="AK14" i="9"/>
  <c r="AJ14" i="9"/>
  <c r="AF14" i="9"/>
  <c r="AE14" i="9"/>
  <c r="AA14" i="9"/>
  <c r="Z14" i="9"/>
  <c r="V14" i="9"/>
  <c r="U14" i="9"/>
  <c r="Q14" i="9"/>
  <c r="P14" i="9"/>
  <c r="L14" i="9"/>
  <c r="K14" i="9"/>
  <c r="G14" i="9"/>
  <c r="F14" i="9"/>
  <c r="C14" i="9"/>
  <c r="B14" i="9"/>
  <c r="A14" i="9"/>
  <c r="EV13" i="9"/>
  <c r="EU13" i="9"/>
  <c r="EQ13" i="9"/>
  <c r="EP13" i="9"/>
  <c r="EL13" i="9"/>
  <c r="EK13" i="9"/>
  <c r="EG13" i="9"/>
  <c r="EF13" i="9"/>
  <c r="EB13" i="9"/>
  <c r="EA13" i="9"/>
  <c r="DW13" i="9"/>
  <c r="DV13" i="9"/>
  <c r="DR13" i="9"/>
  <c r="DQ13" i="9"/>
  <c r="DM13" i="9"/>
  <c r="DL13" i="9"/>
  <c r="DH13" i="9"/>
  <c r="DG13" i="9"/>
  <c r="DC13" i="9"/>
  <c r="DB13" i="9"/>
  <c r="CX13" i="9"/>
  <c r="CW13" i="9"/>
  <c r="CS13" i="9"/>
  <c r="CR13" i="9"/>
  <c r="CN13" i="9"/>
  <c r="CM13" i="9"/>
  <c r="CI13" i="9"/>
  <c r="CH13" i="9"/>
  <c r="CD13" i="9"/>
  <c r="CC13" i="9"/>
  <c r="BY13" i="9"/>
  <c r="BX13" i="9"/>
  <c r="BT13" i="9"/>
  <c r="BS13" i="9"/>
  <c r="BO13" i="9"/>
  <c r="BN13" i="9"/>
  <c r="BJ13" i="9"/>
  <c r="BI13" i="9"/>
  <c r="BE13" i="9"/>
  <c r="BD13" i="9"/>
  <c r="AZ13" i="9"/>
  <c r="AY13" i="9"/>
  <c r="AU13" i="9"/>
  <c r="AT13" i="9"/>
  <c r="AP13" i="9"/>
  <c r="AO13" i="9"/>
  <c r="AK13" i="9"/>
  <c r="AJ13" i="9"/>
  <c r="AF13" i="9"/>
  <c r="AE13" i="9"/>
  <c r="AA13" i="9"/>
  <c r="Z13" i="9"/>
  <c r="V13" i="9"/>
  <c r="U13" i="9"/>
  <c r="Q13" i="9"/>
  <c r="P13" i="9"/>
  <c r="L13" i="9"/>
  <c r="K13" i="9"/>
  <c r="G13" i="9"/>
  <c r="F13" i="9"/>
  <c r="C13" i="9"/>
  <c r="B13" i="9"/>
  <c r="A13" i="9"/>
  <c r="EV12" i="9"/>
  <c r="EU12" i="9"/>
  <c r="EQ12" i="9"/>
  <c r="EP12" i="9"/>
  <c r="EL12" i="9"/>
  <c r="EK12" i="9"/>
  <c r="EG12" i="9"/>
  <c r="EF12" i="9"/>
  <c r="EB12" i="9"/>
  <c r="EA12" i="9"/>
  <c r="DW12" i="9"/>
  <c r="DV12" i="9"/>
  <c r="DR12" i="9"/>
  <c r="DQ12" i="9"/>
  <c r="DM12" i="9"/>
  <c r="DL12" i="9"/>
  <c r="DH12" i="9"/>
  <c r="DG12" i="9"/>
  <c r="DC12" i="9"/>
  <c r="DB12" i="9"/>
  <c r="CX12" i="9"/>
  <c r="CW12" i="9"/>
  <c r="CS12" i="9"/>
  <c r="CR12" i="9"/>
  <c r="CN12" i="9"/>
  <c r="CM12" i="9"/>
  <c r="CI12" i="9"/>
  <c r="CH12" i="9"/>
  <c r="CD12" i="9"/>
  <c r="CC12" i="9"/>
  <c r="BY12" i="9"/>
  <c r="BX12" i="9"/>
  <c r="BT12" i="9"/>
  <c r="BS12" i="9"/>
  <c r="BO12" i="9"/>
  <c r="BN12" i="9"/>
  <c r="BJ12" i="9"/>
  <c r="BI12" i="9"/>
  <c r="BE12" i="9"/>
  <c r="BD12" i="9"/>
  <c r="AZ12" i="9"/>
  <c r="AY12" i="9"/>
  <c r="AU12" i="9"/>
  <c r="AT12" i="9"/>
  <c r="AP12" i="9"/>
  <c r="AO12" i="9"/>
  <c r="AK12" i="9"/>
  <c r="AJ12" i="9"/>
  <c r="AF12" i="9"/>
  <c r="AE12" i="9"/>
  <c r="AA12" i="9"/>
  <c r="Z12" i="9"/>
  <c r="V12" i="9"/>
  <c r="U12" i="9"/>
  <c r="Q12" i="9"/>
  <c r="P12" i="9"/>
  <c r="L12" i="9"/>
  <c r="K12" i="9"/>
  <c r="G12" i="9"/>
  <c r="F12" i="9"/>
  <c r="C12" i="9"/>
  <c r="B12" i="9"/>
  <c r="A12" i="9"/>
  <c r="EV11" i="9"/>
  <c r="EU11" i="9"/>
  <c r="EQ11" i="9"/>
  <c r="EP11" i="9"/>
  <c r="EL11" i="9"/>
  <c r="EK11" i="9"/>
  <c r="EG11" i="9"/>
  <c r="EF11" i="9"/>
  <c r="EB11" i="9"/>
  <c r="EA11" i="9"/>
  <c r="DW11" i="9"/>
  <c r="DV11" i="9"/>
  <c r="DR11" i="9"/>
  <c r="DQ11" i="9"/>
  <c r="DM11" i="9"/>
  <c r="DL11" i="9"/>
  <c r="DH11" i="9"/>
  <c r="DG11" i="9"/>
  <c r="DC11" i="9"/>
  <c r="DB11" i="9"/>
  <c r="CX11" i="9"/>
  <c r="CW11" i="9"/>
  <c r="CS11" i="9"/>
  <c r="CR11" i="9"/>
  <c r="CN11" i="9"/>
  <c r="CM11" i="9"/>
  <c r="CI11" i="9"/>
  <c r="CH11" i="9"/>
  <c r="CD11" i="9"/>
  <c r="CC11" i="9"/>
  <c r="BY11" i="9"/>
  <c r="BX11" i="9"/>
  <c r="BT11" i="9"/>
  <c r="BS11" i="9"/>
  <c r="BO11" i="9"/>
  <c r="BN11" i="9"/>
  <c r="BJ11" i="9"/>
  <c r="BI11" i="9"/>
  <c r="BE11" i="9"/>
  <c r="BD11" i="9"/>
  <c r="AZ11" i="9"/>
  <c r="AY11" i="9"/>
  <c r="AU11" i="9"/>
  <c r="AT11" i="9"/>
  <c r="AP11" i="9"/>
  <c r="AO11" i="9"/>
  <c r="AK11" i="9"/>
  <c r="AJ11" i="9"/>
  <c r="AF11" i="9"/>
  <c r="AE11" i="9"/>
  <c r="AA11" i="9"/>
  <c r="Z11" i="9"/>
  <c r="V11" i="9"/>
  <c r="U11" i="9"/>
  <c r="Q11" i="9"/>
  <c r="P11" i="9"/>
  <c r="L11" i="9"/>
  <c r="K11" i="9"/>
  <c r="G11" i="9"/>
  <c r="F11" i="9"/>
  <c r="C11" i="9"/>
  <c r="B11" i="9"/>
  <c r="A11" i="9"/>
  <c r="EV10" i="9"/>
  <c r="EU10" i="9"/>
  <c r="EQ10" i="9"/>
  <c r="EP10" i="9"/>
  <c r="EL10" i="9"/>
  <c r="EK10" i="9"/>
  <c r="EG10" i="9"/>
  <c r="EF10" i="9"/>
  <c r="EB10" i="9"/>
  <c r="EA10" i="9"/>
  <c r="DW10" i="9"/>
  <c r="DV10" i="9"/>
  <c r="DR10" i="9"/>
  <c r="DQ10" i="9"/>
  <c r="DM10" i="9"/>
  <c r="DL10" i="9"/>
  <c r="DH10" i="9"/>
  <c r="DG10" i="9"/>
  <c r="DC10" i="9"/>
  <c r="DB10" i="9"/>
  <c r="CX10" i="9"/>
  <c r="CW10" i="9"/>
  <c r="CS10" i="9"/>
  <c r="CR10" i="9"/>
  <c r="CN10" i="9"/>
  <c r="CM10" i="9"/>
  <c r="CI10" i="9"/>
  <c r="CH10" i="9"/>
  <c r="CD10" i="9"/>
  <c r="CC10" i="9"/>
  <c r="BY10" i="9"/>
  <c r="BX10" i="9"/>
  <c r="BT10" i="9"/>
  <c r="BS10" i="9"/>
  <c r="BO10" i="9"/>
  <c r="BN10" i="9"/>
  <c r="BJ10" i="9"/>
  <c r="BI10" i="9"/>
  <c r="BE10" i="9"/>
  <c r="BD10" i="9"/>
  <c r="AZ10" i="9"/>
  <c r="AY10" i="9"/>
  <c r="AU10" i="9"/>
  <c r="AT10" i="9"/>
  <c r="AP10" i="9"/>
  <c r="AO10" i="9"/>
  <c r="AK10" i="9"/>
  <c r="AJ10" i="9"/>
  <c r="AF10" i="9"/>
  <c r="AE10" i="9"/>
  <c r="AA10" i="9"/>
  <c r="Z10" i="9"/>
  <c r="V10" i="9"/>
  <c r="U10" i="9"/>
  <c r="Q10" i="9"/>
  <c r="P10" i="9"/>
  <c r="L10" i="9"/>
  <c r="K10" i="9"/>
  <c r="G10" i="9"/>
  <c r="F10" i="9"/>
  <c r="C10" i="9"/>
  <c r="B10" i="9"/>
  <c r="A10" i="9"/>
  <c r="EV9" i="9"/>
  <c r="EU9" i="9"/>
  <c r="EQ9" i="9"/>
  <c r="EP9" i="9"/>
  <c r="EL9" i="9"/>
  <c r="EK9" i="9"/>
  <c r="EG9" i="9"/>
  <c r="EF9" i="9"/>
  <c r="EB9" i="9"/>
  <c r="EA9" i="9"/>
  <c r="DW9" i="9"/>
  <c r="DV9" i="9"/>
  <c r="DR9" i="9"/>
  <c r="DQ9" i="9"/>
  <c r="DM9" i="9"/>
  <c r="DL9" i="9"/>
  <c r="DH9" i="9"/>
  <c r="DG9" i="9"/>
  <c r="DC9" i="9"/>
  <c r="DB9" i="9"/>
  <c r="CX9" i="9"/>
  <c r="CW9" i="9"/>
  <c r="CS9" i="9"/>
  <c r="CR9" i="9"/>
  <c r="CN9" i="9"/>
  <c r="CM9" i="9"/>
  <c r="CI9" i="9"/>
  <c r="CH9" i="9"/>
  <c r="CD9" i="9"/>
  <c r="CC9" i="9"/>
  <c r="BY9" i="9"/>
  <c r="BX9" i="9"/>
  <c r="BT9" i="9"/>
  <c r="BS9" i="9"/>
  <c r="BO9" i="9"/>
  <c r="BN9" i="9"/>
  <c r="BJ9" i="9"/>
  <c r="BI9" i="9"/>
  <c r="BE9" i="9"/>
  <c r="BD9" i="9"/>
  <c r="AZ9" i="9"/>
  <c r="AY9" i="9"/>
  <c r="AU9" i="9"/>
  <c r="AT9" i="9"/>
  <c r="AP9" i="9"/>
  <c r="AO9" i="9"/>
  <c r="AK9" i="9"/>
  <c r="AJ9" i="9"/>
  <c r="AF9" i="9"/>
  <c r="AE9" i="9"/>
  <c r="AA9" i="9"/>
  <c r="Z9" i="9"/>
  <c r="V9" i="9"/>
  <c r="U9" i="9"/>
  <c r="Q9" i="9"/>
  <c r="P9" i="9"/>
  <c r="L9" i="9"/>
  <c r="K9" i="9"/>
  <c r="G9" i="9"/>
  <c r="F9" i="9"/>
  <c r="C9" i="9"/>
  <c r="B9" i="9"/>
  <c r="A9" i="9"/>
  <c r="EV8" i="9"/>
  <c r="EU8" i="9"/>
  <c r="EQ8" i="9"/>
  <c r="EP8" i="9"/>
  <c r="EL8" i="9"/>
  <c r="EK8" i="9"/>
  <c r="EG8" i="9"/>
  <c r="EF8" i="9"/>
  <c r="EB8" i="9"/>
  <c r="EA8" i="9"/>
  <c r="DW8" i="9"/>
  <c r="DV8" i="9"/>
  <c r="DR8" i="9"/>
  <c r="DQ8" i="9"/>
  <c r="DM8" i="9"/>
  <c r="DL8" i="9"/>
  <c r="DH8" i="9"/>
  <c r="DG8" i="9"/>
  <c r="DC8" i="9"/>
  <c r="DB8" i="9"/>
  <c r="CX8" i="9"/>
  <c r="CW8" i="9"/>
  <c r="CS8" i="9"/>
  <c r="CR8" i="9"/>
  <c r="CN8" i="9"/>
  <c r="CM8" i="9"/>
  <c r="CI8" i="9"/>
  <c r="CH8" i="9"/>
  <c r="CD8" i="9"/>
  <c r="CC8" i="9"/>
  <c r="BY8" i="9"/>
  <c r="BX8" i="9"/>
  <c r="BT8" i="9"/>
  <c r="BS8" i="9"/>
  <c r="BO8" i="9"/>
  <c r="BN8" i="9"/>
  <c r="BJ8" i="9"/>
  <c r="BI8" i="9"/>
  <c r="BE8" i="9"/>
  <c r="BD8" i="9"/>
  <c r="AZ8" i="9"/>
  <c r="AY8" i="9"/>
  <c r="AU8" i="9"/>
  <c r="AT8" i="9"/>
  <c r="AP8" i="9"/>
  <c r="AO8" i="9"/>
  <c r="AK8" i="9"/>
  <c r="AJ8" i="9"/>
  <c r="AF8" i="9"/>
  <c r="AE8" i="9"/>
  <c r="AA8" i="9"/>
  <c r="Z8" i="9"/>
  <c r="V8" i="9"/>
  <c r="U8" i="9"/>
  <c r="Q8" i="9"/>
  <c r="P8" i="9"/>
  <c r="L8" i="9"/>
  <c r="K8" i="9"/>
  <c r="G8" i="9"/>
  <c r="F8" i="9"/>
  <c r="C8" i="9"/>
  <c r="B8" i="9"/>
  <c r="A8" i="9"/>
  <c r="EV7" i="9"/>
  <c r="EU7" i="9"/>
  <c r="EQ7" i="9"/>
  <c r="EP7" i="9"/>
  <c r="EL7" i="9"/>
  <c r="EK7" i="9"/>
  <c r="EG7" i="9"/>
  <c r="EF7" i="9"/>
  <c r="EB7" i="9"/>
  <c r="EA7" i="9"/>
  <c r="DW7" i="9"/>
  <c r="DV7" i="9"/>
  <c r="DR7" i="9"/>
  <c r="DQ7" i="9"/>
  <c r="DM7" i="9"/>
  <c r="DL7" i="9"/>
  <c r="DH7" i="9"/>
  <c r="DG7" i="9"/>
  <c r="DC7" i="9"/>
  <c r="DB7" i="9"/>
  <c r="CX7" i="9"/>
  <c r="CW7" i="9"/>
  <c r="CS7" i="9"/>
  <c r="CR7" i="9"/>
  <c r="CN7" i="9"/>
  <c r="CM7" i="9"/>
  <c r="CI7" i="9"/>
  <c r="CH7" i="9"/>
  <c r="CD7" i="9"/>
  <c r="CC7" i="9"/>
  <c r="BY7" i="9"/>
  <c r="BX7" i="9"/>
  <c r="BT7" i="9"/>
  <c r="BS7" i="9"/>
  <c r="BO7" i="9"/>
  <c r="BN7" i="9"/>
  <c r="BJ7" i="9"/>
  <c r="BI7" i="9"/>
  <c r="BE7" i="9"/>
  <c r="BD7" i="9"/>
  <c r="AZ7" i="9"/>
  <c r="AY7" i="9"/>
  <c r="AU7" i="9"/>
  <c r="AT7" i="9"/>
  <c r="AP7" i="9"/>
  <c r="AO7" i="9"/>
  <c r="AK7" i="9"/>
  <c r="AJ7" i="9"/>
  <c r="AF7" i="9"/>
  <c r="AE7" i="9"/>
  <c r="AA7" i="9"/>
  <c r="Z7" i="9"/>
  <c r="V7" i="9"/>
  <c r="U7" i="9"/>
  <c r="Q7" i="9"/>
  <c r="P7" i="9"/>
  <c r="L7" i="9"/>
  <c r="K7" i="9"/>
  <c r="G7" i="9"/>
  <c r="F7" i="9"/>
  <c r="C7" i="9"/>
  <c r="B7" i="9"/>
  <c r="A7" i="9"/>
  <c r="EV6" i="9"/>
  <c r="EU6" i="9"/>
  <c r="EQ6" i="9"/>
  <c r="EP6" i="9"/>
  <c r="EL6" i="9"/>
  <c r="EK6" i="9"/>
  <c r="EG6" i="9"/>
  <c r="EF6" i="9"/>
  <c r="EB6" i="9"/>
  <c r="EA6" i="9"/>
  <c r="DW6" i="9"/>
  <c r="DV6" i="9"/>
  <c r="DR6" i="9"/>
  <c r="DQ6" i="9"/>
  <c r="DM6" i="9"/>
  <c r="DL6" i="9"/>
  <c r="DH6" i="9"/>
  <c r="DG6" i="9"/>
  <c r="DC6" i="9"/>
  <c r="DB6" i="9"/>
  <c r="CX6" i="9"/>
  <c r="CW6" i="9"/>
  <c r="CS6" i="9"/>
  <c r="CR6" i="9"/>
  <c r="CN6" i="9"/>
  <c r="CM6" i="9"/>
  <c r="CI6" i="9"/>
  <c r="CH6" i="9"/>
  <c r="CD6" i="9"/>
  <c r="CC6" i="9"/>
  <c r="BY6" i="9"/>
  <c r="BX6" i="9"/>
  <c r="BT6" i="9"/>
  <c r="BS6" i="9"/>
  <c r="BO6" i="9"/>
  <c r="BN6" i="9"/>
  <c r="BJ6" i="9"/>
  <c r="BI6" i="9"/>
  <c r="BE6" i="9"/>
  <c r="BD6" i="9"/>
  <c r="AZ6" i="9"/>
  <c r="AY6" i="9"/>
  <c r="AU6" i="9"/>
  <c r="AT6" i="9"/>
  <c r="AP6" i="9"/>
  <c r="AO6" i="9"/>
  <c r="AK6" i="9"/>
  <c r="AJ6" i="9"/>
  <c r="AF6" i="9"/>
  <c r="AE6" i="9"/>
  <c r="AA6" i="9"/>
  <c r="Z6" i="9"/>
  <c r="V6" i="9"/>
  <c r="U6" i="9"/>
  <c r="Q6" i="9"/>
  <c r="P6" i="9"/>
  <c r="L6" i="9"/>
  <c r="K6" i="9"/>
  <c r="G6" i="9"/>
  <c r="F6" i="9"/>
  <c r="C6" i="9"/>
  <c r="B6" i="9"/>
  <c r="A6" i="9"/>
  <c r="EV5" i="9"/>
  <c r="EU5" i="9"/>
  <c r="EQ5" i="9"/>
  <c r="EP5" i="9"/>
  <c r="EL5" i="9"/>
  <c r="EK5" i="9"/>
  <c r="EG5" i="9"/>
  <c r="EF5" i="9"/>
  <c r="EB5" i="9"/>
  <c r="EA5" i="9"/>
  <c r="DW5" i="9"/>
  <c r="DV5" i="9"/>
  <c r="DR5" i="9"/>
  <c r="DQ5" i="9"/>
  <c r="DM5" i="9"/>
  <c r="DL5" i="9"/>
  <c r="DH5" i="9"/>
  <c r="DG5" i="9"/>
  <c r="DC5" i="9"/>
  <c r="DB5" i="9"/>
  <c r="CX5" i="9"/>
  <c r="CW5" i="9"/>
  <c r="CS5" i="9"/>
  <c r="CR5" i="9"/>
  <c r="CN5" i="9"/>
  <c r="CM5" i="9"/>
  <c r="CI5" i="9"/>
  <c r="CH5" i="9"/>
  <c r="CD5" i="9"/>
  <c r="CC5" i="9"/>
  <c r="BY5" i="9"/>
  <c r="BX5" i="9"/>
  <c r="BT5" i="9"/>
  <c r="BS5" i="9"/>
  <c r="BO5" i="9"/>
  <c r="BN5" i="9"/>
  <c r="BJ5" i="9"/>
  <c r="BI5" i="9"/>
  <c r="BE5" i="9"/>
  <c r="BD5" i="9"/>
  <c r="AZ5" i="9"/>
  <c r="AY5" i="9"/>
  <c r="AU5" i="9"/>
  <c r="AT5" i="9"/>
  <c r="AP5" i="9"/>
  <c r="AO5" i="9"/>
  <c r="AK5" i="9"/>
  <c r="AJ5" i="9"/>
  <c r="AF5" i="9"/>
  <c r="AE5" i="9"/>
  <c r="AA5" i="9"/>
  <c r="Z5" i="9"/>
  <c r="V5" i="9"/>
  <c r="U5" i="9"/>
  <c r="Q5" i="9"/>
  <c r="P5" i="9"/>
  <c r="L5" i="9"/>
  <c r="K5" i="9"/>
  <c r="G5" i="9"/>
  <c r="F5" i="9"/>
  <c r="C5" i="9"/>
  <c r="B5" i="9"/>
  <c r="A5" i="9"/>
  <c r="EV4" i="9"/>
  <c r="EU4" i="9"/>
  <c r="EQ4" i="9"/>
  <c r="EP4" i="9"/>
  <c r="EL4" i="9"/>
  <c r="EK4" i="9"/>
  <c r="EG4" i="9"/>
  <c r="EF4" i="9"/>
  <c r="EB4" i="9"/>
  <c r="EA4" i="9"/>
  <c r="DW4" i="9"/>
  <c r="DV4" i="9"/>
  <c r="DR4" i="9"/>
  <c r="DQ4" i="9"/>
  <c r="DM4" i="9"/>
  <c r="DL4" i="9"/>
  <c r="DH4" i="9"/>
  <c r="DG4" i="9"/>
  <c r="DC4" i="9"/>
  <c r="DB4" i="9"/>
  <c r="CX4" i="9"/>
  <c r="CW4" i="9"/>
  <c r="CS4" i="9"/>
  <c r="CR4" i="9"/>
  <c r="CN4" i="9"/>
  <c r="CM4" i="9"/>
  <c r="CI4" i="9"/>
  <c r="CH4" i="9"/>
  <c r="CD4" i="9"/>
  <c r="CC4" i="9"/>
  <c r="BY4" i="9"/>
  <c r="BX4" i="9"/>
  <c r="BT4" i="9"/>
  <c r="BS4" i="9"/>
  <c r="BO4" i="9"/>
  <c r="BN4" i="9"/>
  <c r="BJ4" i="9"/>
  <c r="BI4" i="9"/>
  <c r="BE4" i="9"/>
  <c r="BD4" i="9"/>
  <c r="AZ4" i="9"/>
  <c r="AY4" i="9"/>
  <c r="AU4" i="9"/>
  <c r="AT4" i="9"/>
  <c r="AP4" i="9"/>
  <c r="AO4" i="9"/>
  <c r="AK4" i="9"/>
  <c r="AJ4" i="9"/>
  <c r="AF4" i="9"/>
  <c r="AE4" i="9"/>
  <c r="AA4" i="9"/>
  <c r="Z4" i="9"/>
  <c r="V4" i="9"/>
  <c r="U4" i="9"/>
  <c r="Q4" i="9"/>
  <c r="P4" i="9"/>
  <c r="L4" i="9"/>
  <c r="K4" i="9"/>
  <c r="G4" i="9"/>
  <c r="F4" i="9"/>
  <c r="C4" i="9"/>
  <c r="B4" i="9"/>
  <c r="A4" i="9"/>
  <c r="ES2" i="9"/>
  <c r="EN2" i="9"/>
  <c r="EI2" i="9"/>
  <c r="ED2" i="9"/>
  <c r="DY2" i="9"/>
  <c r="DT2" i="9"/>
  <c r="DO2" i="9"/>
  <c r="DJ2" i="9"/>
  <c r="DE2" i="9"/>
  <c r="CZ2" i="9"/>
  <c r="CU2" i="9"/>
  <c r="CP2" i="9"/>
  <c r="CK2" i="9"/>
  <c r="CF2" i="9"/>
  <c r="CA2" i="9"/>
  <c r="BV2" i="9"/>
  <c r="BQ2" i="9"/>
  <c r="BL2" i="9"/>
  <c r="BG2" i="9"/>
  <c r="BB2" i="9"/>
  <c r="AW2" i="9"/>
  <c r="AR2" i="9"/>
  <c r="AM2" i="9"/>
  <c r="AH2" i="9"/>
  <c r="AC2" i="9"/>
  <c r="X2" i="9"/>
  <c r="S2" i="9"/>
  <c r="N2" i="9"/>
  <c r="I2" i="9"/>
  <c r="D2" i="9"/>
  <c r="A1" i="9"/>
  <c r="ES40" i="8"/>
  <c r="EN40" i="8"/>
  <c r="EI40" i="8"/>
  <c r="ED40" i="8"/>
  <c r="DY40" i="8"/>
  <c r="DT40" i="8"/>
  <c r="DO40" i="8"/>
  <c r="DJ40" i="8"/>
  <c r="DE40" i="8"/>
  <c r="CZ40" i="8"/>
  <c r="CU40" i="8"/>
  <c r="CP40" i="8"/>
  <c r="CK40" i="8"/>
  <c r="CF40" i="8"/>
  <c r="CA40" i="8"/>
  <c r="BV40" i="8"/>
  <c r="BQ40" i="8"/>
  <c r="BL40" i="8"/>
  <c r="BG40" i="8"/>
  <c r="BB40" i="8"/>
  <c r="AW40" i="8"/>
  <c r="AR40" i="8"/>
  <c r="AM40" i="8"/>
  <c r="AH40" i="8"/>
  <c r="AC40" i="8"/>
  <c r="X40" i="8"/>
  <c r="S40" i="8"/>
  <c r="N40" i="8"/>
  <c r="I40" i="8"/>
  <c r="D40" i="8"/>
  <c r="ES39" i="8"/>
  <c r="EN39" i="8"/>
  <c r="EI39" i="8"/>
  <c r="ED39" i="8"/>
  <c r="DY39" i="8"/>
  <c r="DT39" i="8"/>
  <c r="DO39" i="8"/>
  <c r="DJ39" i="8"/>
  <c r="DE39" i="8"/>
  <c r="CZ39" i="8"/>
  <c r="CU39" i="8"/>
  <c r="CP39" i="8"/>
  <c r="CK39" i="8"/>
  <c r="CF39" i="8"/>
  <c r="CA39" i="8"/>
  <c r="BV39" i="8"/>
  <c r="BQ39" i="8"/>
  <c r="BL39" i="8"/>
  <c r="BG39" i="8"/>
  <c r="BB39" i="8"/>
  <c r="AW39" i="8"/>
  <c r="AR39" i="8"/>
  <c r="AM39" i="8"/>
  <c r="AH39" i="8"/>
  <c r="AC39" i="8"/>
  <c r="X39" i="8"/>
  <c r="S39" i="8"/>
  <c r="N39" i="8"/>
  <c r="I39" i="8"/>
  <c r="D39" i="8"/>
  <c r="ES38" i="8"/>
  <c r="EN38" i="8"/>
  <c r="EI38" i="8"/>
  <c r="ED38" i="8"/>
  <c r="DY38" i="8"/>
  <c r="DT38" i="8"/>
  <c r="DO38" i="8"/>
  <c r="DJ38" i="8"/>
  <c r="DE38" i="8"/>
  <c r="CZ38" i="8"/>
  <c r="CU38" i="8"/>
  <c r="CP38" i="8"/>
  <c r="CK38" i="8"/>
  <c r="CF38" i="8"/>
  <c r="CA38" i="8"/>
  <c r="BV38" i="8"/>
  <c r="BQ38" i="8"/>
  <c r="BL38" i="8"/>
  <c r="BG38" i="8"/>
  <c r="BB38" i="8"/>
  <c r="AW38" i="8"/>
  <c r="AR38" i="8"/>
  <c r="AM38" i="8"/>
  <c r="AH38" i="8"/>
  <c r="AC38" i="8"/>
  <c r="X38" i="8"/>
  <c r="S38" i="8"/>
  <c r="N38" i="8"/>
  <c r="I38" i="8"/>
  <c r="D38" i="8"/>
  <c r="ES37" i="8"/>
  <c r="EN37" i="8"/>
  <c r="EI37" i="8"/>
  <c r="ED37" i="8"/>
  <c r="DY37" i="8"/>
  <c r="DT37" i="8"/>
  <c r="DO37" i="8"/>
  <c r="DJ37" i="8"/>
  <c r="DE37" i="8"/>
  <c r="CZ37" i="8"/>
  <c r="CU37" i="8"/>
  <c r="CP37" i="8"/>
  <c r="CK37" i="8"/>
  <c r="CF37" i="8"/>
  <c r="CA37" i="8"/>
  <c r="BV37" i="8"/>
  <c r="BQ37" i="8"/>
  <c r="BL37" i="8"/>
  <c r="BG37" i="8"/>
  <c r="BB37" i="8"/>
  <c r="AW37" i="8"/>
  <c r="AR37" i="8"/>
  <c r="AM37" i="8"/>
  <c r="AH37" i="8"/>
  <c r="AC37" i="8"/>
  <c r="X37" i="8"/>
  <c r="S37" i="8"/>
  <c r="N37" i="8"/>
  <c r="I37" i="8"/>
  <c r="D37" i="8"/>
  <c r="ES36" i="8"/>
  <c r="EN36" i="8"/>
  <c r="EI36" i="8"/>
  <c r="ED36" i="8"/>
  <c r="DY36" i="8"/>
  <c r="DT36" i="8"/>
  <c r="DO36" i="8"/>
  <c r="DJ36" i="8"/>
  <c r="DE36" i="8"/>
  <c r="CZ36" i="8"/>
  <c r="CU36" i="8"/>
  <c r="CP36" i="8"/>
  <c r="CK36" i="8"/>
  <c r="CF36" i="8"/>
  <c r="CA36" i="8"/>
  <c r="BV36" i="8"/>
  <c r="BQ36" i="8"/>
  <c r="BL36" i="8"/>
  <c r="BG36" i="8"/>
  <c r="BB36" i="8"/>
  <c r="AW36" i="8"/>
  <c r="AR36" i="8"/>
  <c r="AM36" i="8"/>
  <c r="AH36" i="8"/>
  <c r="AC36" i="8"/>
  <c r="X36" i="8"/>
  <c r="S36" i="8"/>
  <c r="N36" i="8"/>
  <c r="I36" i="8"/>
  <c r="D36" i="8"/>
  <c r="ES35" i="8"/>
  <c r="EN35" i="8"/>
  <c r="EI35" i="8"/>
  <c r="ED35" i="8"/>
  <c r="DY35" i="8"/>
  <c r="DT35" i="8"/>
  <c r="DO35" i="8"/>
  <c r="DJ35" i="8"/>
  <c r="DE35" i="8"/>
  <c r="CZ35" i="8"/>
  <c r="CU35" i="8"/>
  <c r="CP35" i="8"/>
  <c r="CK35" i="8"/>
  <c r="CF35" i="8"/>
  <c r="CA35" i="8"/>
  <c r="BV35" i="8"/>
  <c r="BQ35" i="8"/>
  <c r="BL35" i="8"/>
  <c r="BG35" i="8"/>
  <c r="BB35" i="8"/>
  <c r="AW35" i="8"/>
  <c r="AR35" i="8"/>
  <c r="AM35" i="8"/>
  <c r="AH35" i="8"/>
  <c r="AC35" i="8"/>
  <c r="X35" i="8"/>
  <c r="S35" i="8"/>
  <c r="N35" i="8"/>
  <c r="I35" i="8"/>
  <c r="D35" i="8"/>
  <c r="EV34" i="8"/>
  <c r="EU34" i="8"/>
  <c r="EQ34" i="8"/>
  <c r="EP34" i="8"/>
  <c r="EL34" i="8"/>
  <c r="EK34" i="8"/>
  <c r="EG34" i="8"/>
  <c r="EF34" i="8"/>
  <c r="EB34" i="8"/>
  <c r="EA34" i="8"/>
  <c r="DW34" i="8"/>
  <c r="DV34" i="8"/>
  <c r="DR34" i="8"/>
  <c r="DQ34" i="8"/>
  <c r="DM34" i="8"/>
  <c r="DL34" i="8"/>
  <c r="DH34" i="8"/>
  <c r="DG34" i="8"/>
  <c r="DC34" i="8"/>
  <c r="DB34" i="8"/>
  <c r="CX34" i="8"/>
  <c r="CW34" i="8"/>
  <c r="CS34" i="8"/>
  <c r="CR34" i="8"/>
  <c r="CN34" i="8"/>
  <c r="CM34" i="8"/>
  <c r="CI34" i="8"/>
  <c r="CH34" i="8"/>
  <c r="CD34" i="8"/>
  <c r="CC34" i="8"/>
  <c r="BY34" i="8"/>
  <c r="BX34" i="8"/>
  <c r="BT34" i="8"/>
  <c r="BS34" i="8"/>
  <c r="BO34" i="8"/>
  <c r="BN34" i="8"/>
  <c r="BJ34" i="8"/>
  <c r="BI34" i="8"/>
  <c r="BE34" i="8"/>
  <c r="BD34" i="8"/>
  <c r="AZ34" i="8"/>
  <c r="AY34" i="8"/>
  <c r="AU34" i="8"/>
  <c r="AT34" i="8"/>
  <c r="AP34" i="8"/>
  <c r="AO34" i="8"/>
  <c r="AK34" i="8"/>
  <c r="AJ34" i="8"/>
  <c r="AF34" i="8"/>
  <c r="AE34" i="8"/>
  <c r="AA34" i="8"/>
  <c r="Z34" i="8"/>
  <c r="V34" i="8"/>
  <c r="U34" i="8"/>
  <c r="Q34" i="8"/>
  <c r="P34" i="8"/>
  <c r="L34" i="8"/>
  <c r="K34" i="8"/>
  <c r="G34" i="8"/>
  <c r="F34" i="8"/>
  <c r="C34" i="8"/>
  <c r="B34" i="8"/>
  <c r="A34" i="8"/>
  <c r="EV33" i="8"/>
  <c r="EU33" i="8"/>
  <c r="EQ33" i="8"/>
  <c r="EP33" i="8"/>
  <c r="EL33" i="8"/>
  <c r="EK33" i="8"/>
  <c r="EG33" i="8"/>
  <c r="EF33" i="8"/>
  <c r="EB33" i="8"/>
  <c r="EA33" i="8"/>
  <c r="DW33" i="8"/>
  <c r="DV33" i="8"/>
  <c r="DR33" i="8"/>
  <c r="DQ33" i="8"/>
  <c r="DM33" i="8"/>
  <c r="DL33" i="8"/>
  <c r="DH33" i="8"/>
  <c r="DG33" i="8"/>
  <c r="DC33" i="8"/>
  <c r="DB33" i="8"/>
  <c r="CX33" i="8"/>
  <c r="CW33" i="8"/>
  <c r="CS33" i="8"/>
  <c r="CR33" i="8"/>
  <c r="CN33" i="8"/>
  <c r="CM33" i="8"/>
  <c r="CI33" i="8"/>
  <c r="CH33" i="8"/>
  <c r="CD33" i="8"/>
  <c r="CC33" i="8"/>
  <c r="BY33" i="8"/>
  <c r="BX33" i="8"/>
  <c r="BT33" i="8"/>
  <c r="BS33" i="8"/>
  <c r="BO33" i="8"/>
  <c r="BN33" i="8"/>
  <c r="BJ33" i="8"/>
  <c r="BI33" i="8"/>
  <c r="BE33" i="8"/>
  <c r="BD33" i="8"/>
  <c r="AZ33" i="8"/>
  <c r="AY33" i="8"/>
  <c r="AU33" i="8"/>
  <c r="AT33" i="8"/>
  <c r="AP33" i="8"/>
  <c r="AO33" i="8"/>
  <c r="AK33" i="8"/>
  <c r="AJ33" i="8"/>
  <c r="AF33" i="8"/>
  <c r="AE33" i="8"/>
  <c r="AA33" i="8"/>
  <c r="Z33" i="8"/>
  <c r="V33" i="8"/>
  <c r="U33" i="8"/>
  <c r="Q33" i="8"/>
  <c r="P33" i="8"/>
  <c r="L33" i="8"/>
  <c r="K33" i="8"/>
  <c r="G33" i="8"/>
  <c r="F33" i="8"/>
  <c r="C33" i="8"/>
  <c r="B33" i="8"/>
  <c r="A33" i="8"/>
  <c r="EV32" i="8"/>
  <c r="EU32" i="8"/>
  <c r="EQ32" i="8"/>
  <c r="EP32" i="8"/>
  <c r="EL32" i="8"/>
  <c r="EK32" i="8"/>
  <c r="EG32" i="8"/>
  <c r="EF32" i="8"/>
  <c r="EB32" i="8"/>
  <c r="EA32" i="8"/>
  <c r="DW32" i="8"/>
  <c r="DV32" i="8"/>
  <c r="DR32" i="8"/>
  <c r="DQ32" i="8"/>
  <c r="DM32" i="8"/>
  <c r="DL32" i="8"/>
  <c r="DH32" i="8"/>
  <c r="DG32" i="8"/>
  <c r="DC32" i="8"/>
  <c r="DB32" i="8"/>
  <c r="CX32" i="8"/>
  <c r="CW32" i="8"/>
  <c r="CS32" i="8"/>
  <c r="CR32" i="8"/>
  <c r="CN32" i="8"/>
  <c r="CM32" i="8"/>
  <c r="CI32" i="8"/>
  <c r="CH32" i="8"/>
  <c r="CD32" i="8"/>
  <c r="CC32" i="8"/>
  <c r="BY32" i="8"/>
  <c r="BX32" i="8"/>
  <c r="BT32" i="8"/>
  <c r="BS32" i="8"/>
  <c r="BO32" i="8"/>
  <c r="BN32" i="8"/>
  <c r="BJ32" i="8"/>
  <c r="BI32" i="8"/>
  <c r="BE32" i="8"/>
  <c r="BD32" i="8"/>
  <c r="AZ32" i="8"/>
  <c r="AY32" i="8"/>
  <c r="AU32" i="8"/>
  <c r="AT32" i="8"/>
  <c r="AP32" i="8"/>
  <c r="AO32" i="8"/>
  <c r="AK32" i="8"/>
  <c r="AJ32" i="8"/>
  <c r="AF32" i="8"/>
  <c r="AE32" i="8"/>
  <c r="AA32" i="8"/>
  <c r="Z32" i="8"/>
  <c r="V32" i="8"/>
  <c r="U32" i="8"/>
  <c r="Q32" i="8"/>
  <c r="P32" i="8"/>
  <c r="L32" i="8"/>
  <c r="K32" i="8"/>
  <c r="G32" i="8"/>
  <c r="F32" i="8"/>
  <c r="C32" i="8"/>
  <c r="B32" i="8"/>
  <c r="A32" i="8"/>
  <c r="EV31" i="8"/>
  <c r="EU31" i="8"/>
  <c r="EQ31" i="8"/>
  <c r="EP31" i="8"/>
  <c r="EL31" i="8"/>
  <c r="EK31" i="8"/>
  <c r="EG31" i="8"/>
  <c r="EF31" i="8"/>
  <c r="EB31" i="8"/>
  <c r="EA31" i="8"/>
  <c r="DW31" i="8"/>
  <c r="DV31" i="8"/>
  <c r="DR31" i="8"/>
  <c r="DQ31" i="8"/>
  <c r="DM31" i="8"/>
  <c r="DL31" i="8"/>
  <c r="DH31" i="8"/>
  <c r="DG31" i="8"/>
  <c r="DC31" i="8"/>
  <c r="DB31" i="8"/>
  <c r="CX31" i="8"/>
  <c r="CW31" i="8"/>
  <c r="CS31" i="8"/>
  <c r="CR31" i="8"/>
  <c r="CN31" i="8"/>
  <c r="CM31" i="8"/>
  <c r="CI31" i="8"/>
  <c r="CH31" i="8"/>
  <c r="CD31" i="8"/>
  <c r="CC31" i="8"/>
  <c r="BY31" i="8"/>
  <c r="BX31" i="8"/>
  <c r="BT31" i="8"/>
  <c r="BS31" i="8"/>
  <c r="BO31" i="8"/>
  <c r="BN31" i="8"/>
  <c r="BJ31" i="8"/>
  <c r="BI31" i="8"/>
  <c r="BE31" i="8"/>
  <c r="BD31" i="8"/>
  <c r="AZ31" i="8"/>
  <c r="AY31" i="8"/>
  <c r="AU31" i="8"/>
  <c r="AT31" i="8"/>
  <c r="AP31" i="8"/>
  <c r="AO31" i="8"/>
  <c r="AK31" i="8"/>
  <c r="AJ31" i="8"/>
  <c r="AF31" i="8"/>
  <c r="AE31" i="8"/>
  <c r="AA31" i="8"/>
  <c r="Z31" i="8"/>
  <c r="V31" i="8"/>
  <c r="U31" i="8"/>
  <c r="Q31" i="8"/>
  <c r="P31" i="8"/>
  <c r="L31" i="8"/>
  <c r="K31" i="8"/>
  <c r="G31" i="8"/>
  <c r="F31" i="8"/>
  <c r="C31" i="8"/>
  <c r="B31" i="8"/>
  <c r="A31" i="8"/>
  <c r="EV30" i="8"/>
  <c r="EU30" i="8"/>
  <c r="EQ30" i="8"/>
  <c r="EP30" i="8"/>
  <c r="EL30" i="8"/>
  <c r="EK30" i="8"/>
  <c r="EG30" i="8"/>
  <c r="EF30" i="8"/>
  <c r="EB30" i="8"/>
  <c r="EA30" i="8"/>
  <c r="DW30" i="8"/>
  <c r="DV30" i="8"/>
  <c r="DR30" i="8"/>
  <c r="DQ30" i="8"/>
  <c r="DM30" i="8"/>
  <c r="DL30" i="8"/>
  <c r="DH30" i="8"/>
  <c r="DG30" i="8"/>
  <c r="DC30" i="8"/>
  <c r="DB30" i="8"/>
  <c r="CX30" i="8"/>
  <c r="CW30" i="8"/>
  <c r="CS30" i="8"/>
  <c r="CR30" i="8"/>
  <c r="CN30" i="8"/>
  <c r="CM30" i="8"/>
  <c r="CI30" i="8"/>
  <c r="CH30" i="8"/>
  <c r="CD30" i="8"/>
  <c r="CC30" i="8"/>
  <c r="BY30" i="8"/>
  <c r="BX30" i="8"/>
  <c r="BT30" i="8"/>
  <c r="BS30" i="8"/>
  <c r="BO30" i="8"/>
  <c r="BN30" i="8"/>
  <c r="BJ30" i="8"/>
  <c r="BI30" i="8"/>
  <c r="BE30" i="8"/>
  <c r="BD30" i="8"/>
  <c r="AZ30" i="8"/>
  <c r="AY30" i="8"/>
  <c r="AU30" i="8"/>
  <c r="AT30" i="8"/>
  <c r="AP30" i="8"/>
  <c r="AO30" i="8"/>
  <c r="AK30" i="8"/>
  <c r="AJ30" i="8"/>
  <c r="AF30" i="8"/>
  <c r="AE30" i="8"/>
  <c r="AA30" i="8"/>
  <c r="Z30" i="8"/>
  <c r="V30" i="8"/>
  <c r="U30" i="8"/>
  <c r="Q30" i="8"/>
  <c r="P30" i="8"/>
  <c r="L30" i="8"/>
  <c r="K30" i="8"/>
  <c r="G30" i="8"/>
  <c r="F30" i="8"/>
  <c r="C30" i="8"/>
  <c r="B30" i="8"/>
  <c r="A30" i="8"/>
  <c r="EV29" i="8"/>
  <c r="EU29" i="8"/>
  <c r="EQ29" i="8"/>
  <c r="EP29" i="8"/>
  <c r="EL29" i="8"/>
  <c r="EK29" i="8"/>
  <c r="EG29" i="8"/>
  <c r="EF29" i="8"/>
  <c r="EB29" i="8"/>
  <c r="EA29" i="8"/>
  <c r="DW29" i="8"/>
  <c r="DV29" i="8"/>
  <c r="DR29" i="8"/>
  <c r="DQ29" i="8"/>
  <c r="DM29" i="8"/>
  <c r="DL29" i="8"/>
  <c r="DH29" i="8"/>
  <c r="DG29" i="8"/>
  <c r="DC29" i="8"/>
  <c r="DB29" i="8"/>
  <c r="CX29" i="8"/>
  <c r="CW29" i="8"/>
  <c r="CS29" i="8"/>
  <c r="CR29" i="8"/>
  <c r="CN29" i="8"/>
  <c r="CM29" i="8"/>
  <c r="CI29" i="8"/>
  <c r="CH29" i="8"/>
  <c r="CD29" i="8"/>
  <c r="CC29" i="8"/>
  <c r="BY29" i="8"/>
  <c r="BX29" i="8"/>
  <c r="BT29" i="8"/>
  <c r="BS29" i="8"/>
  <c r="BO29" i="8"/>
  <c r="BN29" i="8"/>
  <c r="BJ29" i="8"/>
  <c r="BI29" i="8"/>
  <c r="BE29" i="8"/>
  <c r="BD29" i="8"/>
  <c r="AZ29" i="8"/>
  <c r="AY29" i="8"/>
  <c r="AU29" i="8"/>
  <c r="AT29" i="8"/>
  <c r="AP29" i="8"/>
  <c r="AO29" i="8"/>
  <c r="AK29" i="8"/>
  <c r="AJ29" i="8"/>
  <c r="AF29" i="8"/>
  <c r="AE29" i="8"/>
  <c r="AA29" i="8"/>
  <c r="Z29" i="8"/>
  <c r="V29" i="8"/>
  <c r="U29" i="8"/>
  <c r="Q29" i="8"/>
  <c r="P29" i="8"/>
  <c r="L29" i="8"/>
  <c r="K29" i="8"/>
  <c r="G29" i="8"/>
  <c r="F29" i="8"/>
  <c r="C29" i="8"/>
  <c r="B29" i="8"/>
  <c r="A29" i="8"/>
  <c r="EV28" i="8"/>
  <c r="EU28" i="8"/>
  <c r="EQ28" i="8"/>
  <c r="EP28" i="8"/>
  <c r="EL28" i="8"/>
  <c r="EK28" i="8"/>
  <c r="EG28" i="8"/>
  <c r="EF28" i="8"/>
  <c r="EB28" i="8"/>
  <c r="EA28" i="8"/>
  <c r="DW28" i="8"/>
  <c r="DV28" i="8"/>
  <c r="DR28" i="8"/>
  <c r="DQ28" i="8"/>
  <c r="DM28" i="8"/>
  <c r="DL28" i="8"/>
  <c r="DH28" i="8"/>
  <c r="DG28" i="8"/>
  <c r="DC28" i="8"/>
  <c r="DB28" i="8"/>
  <c r="CX28" i="8"/>
  <c r="CW28" i="8"/>
  <c r="CS28" i="8"/>
  <c r="CR28" i="8"/>
  <c r="CN28" i="8"/>
  <c r="CM28" i="8"/>
  <c r="CI28" i="8"/>
  <c r="CH28" i="8"/>
  <c r="CD28" i="8"/>
  <c r="CC28" i="8"/>
  <c r="BY28" i="8"/>
  <c r="BX28" i="8"/>
  <c r="BT28" i="8"/>
  <c r="BS28" i="8"/>
  <c r="BO28" i="8"/>
  <c r="BN28" i="8"/>
  <c r="BJ28" i="8"/>
  <c r="BI28" i="8"/>
  <c r="BE28" i="8"/>
  <c r="BD28" i="8"/>
  <c r="AZ28" i="8"/>
  <c r="AY28" i="8"/>
  <c r="AU28" i="8"/>
  <c r="AT28" i="8"/>
  <c r="AP28" i="8"/>
  <c r="AO28" i="8"/>
  <c r="AK28" i="8"/>
  <c r="AJ28" i="8"/>
  <c r="AF28" i="8"/>
  <c r="AE28" i="8"/>
  <c r="AA28" i="8"/>
  <c r="Z28" i="8"/>
  <c r="V28" i="8"/>
  <c r="U28" i="8"/>
  <c r="Q28" i="8"/>
  <c r="P28" i="8"/>
  <c r="L28" i="8"/>
  <c r="K28" i="8"/>
  <c r="G28" i="8"/>
  <c r="F28" i="8"/>
  <c r="C28" i="8"/>
  <c r="B28" i="8"/>
  <c r="A28" i="8"/>
  <c r="EV27" i="8"/>
  <c r="EU27" i="8"/>
  <c r="EQ27" i="8"/>
  <c r="EP27" i="8"/>
  <c r="EL27" i="8"/>
  <c r="EK27" i="8"/>
  <c r="EG27" i="8"/>
  <c r="EF27" i="8"/>
  <c r="EB27" i="8"/>
  <c r="EA27" i="8"/>
  <c r="DW27" i="8"/>
  <c r="DV27" i="8"/>
  <c r="DR27" i="8"/>
  <c r="DQ27" i="8"/>
  <c r="DM27" i="8"/>
  <c r="DL27" i="8"/>
  <c r="DH27" i="8"/>
  <c r="DG27" i="8"/>
  <c r="DC27" i="8"/>
  <c r="DB27" i="8"/>
  <c r="CX27" i="8"/>
  <c r="CW27" i="8"/>
  <c r="CS27" i="8"/>
  <c r="CR27" i="8"/>
  <c r="CN27" i="8"/>
  <c r="CM27" i="8"/>
  <c r="CI27" i="8"/>
  <c r="CH27" i="8"/>
  <c r="CD27" i="8"/>
  <c r="CC27" i="8"/>
  <c r="BY27" i="8"/>
  <c r="BX27" i="8"/>
  <c r="BT27" i="8"/>
  <c r="BS27" i="8"/>
  <c r="BO27" i="8"/>
  <c r="BN27" i="8"/>
  <c r="BJ27" i="8"/>
  <c r="BI27" i="8"/>
  <c r="BE27" i="8"/>
  <c r="BD27" i="8"/>
  <c r="AZ27" i="8"/>
  <c r="AY27" i="8"/>
  <c r="AU27" i="8"/>
  <c r="AT27" i="8"/>
  <c r="AP27" i="8"/>
  <c r="AO27" i="8"/>
  <c r="AK27" i="8"/>
  <c r="AJ27" i="8"/>
  <c r="AF27" i="8"/>
  <c r="AE27" i="8"/>
  <c r="AA27" i="8"/>
  <c r="Z27" i="8"/>
  <c r="V27" i="8"/>
  <c r="U27" i="8"/>
  <c r="Q27" i="8"/>
  <c r="P27" i="8"/>
  <c r="L27" i="8"/>
  <c r="K27" i="8"/>
  <c r="G27" i="8"/>
  <c r="F27" i="8"/>
  <c r="C27" i="8"/>
  <c r="B27" i="8"/>
  <c r="A27" i="8"/>
  <c r="EV26" i="8"/>
  <c r="EU26" i="8"/>
  <c r="EQ26" i="8"/>
  <c r="EP26" i="8"/>
  <c r="EL26" i="8"/>
  <c r="EK26" i="8"/>
  <c r="EG26" i="8"/>
  <c r="EF26" i="8"/>
  <c r="EB26" i="8"/>
  <c r="EA26" i="8"/>
  <c r="DW26" i="8"/>
  <c r="DV26" i="8"/>
  <c r="DR26" i="8"/>
  <c r="DQ26" i="8"/>
  <c r="DM26" i="8"/>
  <c r="DL26" i="8"/>
  <c r="DH26" i="8"/>
  <c r="DG26" i="8"/>
  <c r="DC26" i="8"/>
  <c r="DB26" i="8"/>
  <c r="CX26" i="8"/>
  <c r="CW26" i="8"/>
  <c r="CS26" i="8"/>
  <c r="CR26" i="8"/>
  <c r="CN26" i="8"/>
  <c r="CM26" i="8"/>
  <c r="CI26" i="8"/>
  <c r="CH26" i="8"/>
  <c r="CD26" i="8"/>
  <c r="CC26" i="8"/>
  <c r="BY26" i="8"/>
  <c r="BX26" i="8"/>
  <c r="BT26" i="8"/>
  <c r="BS26" i="8"/>
  <c r="BO26" i="8"/>
  <c r="BN26" i="8"/>
  <c r="BJ26" i="8"/>
  <c r="BI26" i="8"/>
  <c r="BE26" i="8"/>
  <c r="BD26" i="8"/>
  <c r="AZ26" i="8"/>
  <c r="AY26" i="8"/>
  <c r="AU26" i="8"/>
  <c r="AT26" i="8"/>
  <c r="AP26" i="8"/>
  <c r="AO26" i="8"/>
  <c r="AK26" i="8"/>
  <c r="AJ26" i="8"/>
  <c r="AF26" i="8"/>
  <c r="AE26" i="8"/>
  <c r="AA26" i="8"/>
  <c r="Z26" i="8"/>
  <c r="V26" i="8"/>
  <c r="U26" i="8"/>
  <c r="Q26" i="8"/>
  <c r="P26" i="8"/>
  <c r="L26" i="8"/>
  <c r="K26" i="8"/>
  <c r="G26" i="8"/>
  <c r="F26" i="8"/>
  <c r="C26" i="8"/>
  <c r="B26" i="8"/>
  <c r="A26" i="8"/>
  <c r="EV25" i="8"/>
  <c r="EU25" i="8"/>
  <c r="EQ25" i="8"/>
  <c r="EP25" i="8"/>
  <c r="EL25" i="8"/>
  <c r="EK25" i="8"/>
  <c r="EG25" i="8"/>
  <c r="EF25" i="8"/>
  <c r="EB25" i="8"/>
  <c r="EA25" i="8"/>
  <c r="DW25" i="8"/>
  <c r="DV25" i="8"/>
  <c r="DR25" i="8"/>
  <c r="DQ25" i="8"/>
  <c r="DM25" i="8"/>
  <c r="DL25" i="8"/>
  <c r="DH25" i="8"/>
  <c r="DG25" i="8"/>
  <c r="DC25" i="8"/>
  <c r="DB25" i="8"/>
  <c r="CX25" i="8"/>
  <c r="CW25" i="8"/>
  <c r="CS25" i="8"/>
  <c r="CR25" i="8"/>
  <c r="CN25" i="8"/>
  <c r="CM25" i="8"/>
  <c r="CI25" i="8"/>
  <c r="CH25" i="8"/>
  <c r="CD25" i="8"/>
  <c r="CC25" i="8"/>
  <c r="BY25" i="8"/>
  <c r="BX25" i="8"/>
  <c r="BT25" i="8"/>
  <c r="BS25" i="8"/>
  <c r="BO25" i="8"/>
  <c r="BN25" i="8"/>
  <c r="BJ25" i="8"/>
  <c r="BI25" i="8"/>
  <c r="BE25" i="8"/>
  <c r="BD25" i="8"/>
  <c r="AZ25" i="8"/>
  <c r="AY25" i="8"/>
  <c r="AU25" i="8"/>
  <c r="AT25" i="8"/>
  <c r="AP25" i="8"/>
  <c r="AO25" i="8"/>
  <c r="AK25" i="8"/>
  <c r="AJ25" i="8"/>
  <c r="AF25" i="8"/>
  <c r="AE25" i="8"/>
  <c r="AA25" i="8"/>
  <c r="Z25" i="8"/>
  <c r="V25" i="8"/>
  <c r="U25" i="8"/>
  <c r="Q25" i="8"/>
  <c r="P25" i="8"/>
  <c r="L25" i="8"/>
  <c r="K25" i="8"/>
  <c r="G25" i="8"/>
  <c r="F25" i="8"/>
  <c r="C25" i="8"/>
  <c r="B25" i="8"/>
  <c r="A25" i="8"/>
  <c r="EV24" i="8"/>
  <c r="EU24" i="8"/>
  <c r="EQ24" i="8"/>
  <c r="EP24" i="8"/>
  <c r="EL24" i="8"/>
  <c r="EK24" i="8"/>
  <c r="EG24" i="8"/>
  <c r="EF24" i="8"/>
  <c r="EB24" i="8"/>
  <c r="EA24" i="8"/>
  <c r="DW24" i="8"/>
  <c r="DV24" i="8"/>
  <c r="DR24" i="8"/>
  <c r="DQ24" i="8"/>
  <c r="DM24" i="8"/>
  <c r="DL24" i="8"/>
  <c r="DH24" i="8"/>
  <c r="DG24" i="8"/>
  <c r="DC24" i="8"/>
  <c r="DB24" i="8"/>
  <c r="CX24" i="8"/>
  <c r="CW24" i="8"/>
  <c r="CS24" i="8"/>
  <c r="CR24" i="8"/>
  <c r="CN24" i="8"/>
  <c r="CM24" i="8"/>
  <c r="CI24" i="8"/>
  <c r="CH24" i="8"/>
  <c r="CD24" i="8"/>
  <c r="CC24" i="8"/>
  <c r="BY24" i="8"/>
  <c r="BX24" i="8"/>
  <c r="BT24" i="8"/>
  <c r="BS24" i="8"/>
  <c r="BO24" i="8"/>
  <c r="BN24" i="8"/>
  <c r="BJ24" i="8"/>
  <c r="BI24" i="8"/>
  <c r="BE24" i="8"/>
  <c r="BD24" i="8"/>
  <c r="AZ24" i="8"/>
  <c r="AY24" i="8"/>
  <c r="AU24" i="8"/>
  <c r="AT24" i="8"/>
  <c r="AP24" i="8"/>
  <c r="AO24" i="8"/>
  <c r="AK24" i="8"/>
  <c r="AJ24" i="8"/>
  <c r="AF24" i="8"/>
  <c r="AE24" i="8"/>
  <c r="AA24" i="8"/>
  <c r="Z24" i="8"/>
  <c r="V24" i="8"/>
  <c r="U24" i="8"/>
  <c r="Q24" i="8"/>
  <c r="P24" i="8"/>
  <c r="L24" i="8"/>
  <c r="K24" i="8"/>
  <c r="G24" i="8"/>
  <c r="F24" i="8"/>
  <c r="C24" i="8"/>
  <c r="B24" i="8"/>
  <c r="A24" i="8"/>
  <c r="EV23" i="8"/>
  <c r="EU23" i="8"/>
  <c r="EQ23" i="8"/>
  <c r="EP23" i="8"/>
  <c r="EL23" i="8"/>
  <c r="EK23" i="8"/>
  <c r="EG23" i="8"/>
  <c r="EF23" i="8"/>
  <c r="EB23" i="8"/>
  <c r="EA23" i="8"/>
  <c r="DW23" i="8"/>
  <c r="DV23" i="8"/>
  <c r="DR23" i="8"/>
  <c r="DQ23" i="8"/>
  <c r="DM23" i="8"/>
  <c r="DL23" i="8"/>
  <c r="DH23" i="8"/>
  <c r="DG23" i="8"/>
  <c r="DC23" i="8"/>
  <c r="DB23" i="8"/>
  <c r="CX23" i="8"/>
  <c r="CW23" i="8"/>
  <c r="CS23" i="8"/>
  <c r="CR23" i="8"/>
  <c r="CN23" i="8"/>
  <c r="CM23" i="8"/>
  <c r="CI23" i="8"/>
  <c r="CH23" i="8"/>
  <c r="CD23" i="8"/>
  <c r="CC23" i="8"/>
  <c r="BY23" i="8"/>
  <c r="BX23" i="8"/>
  <c r="BT23" i="8"/>
  <c r="BS23" i="8"/>
  <c r="BO23" i="8"/>
  <c r="BN23" i="8"/>
  <c r="BJ23" i="8"/>
  <c r="BI23" i="8"/>
  <c r="BE23" i="8"/>
  <c r="BD23" i="8"/>
  <c r="AZ23" i="8"/>
  <c r="AY23" i="8"/>
  <c r="AU23" i="8"/>
  <c r="AT23" i="8"/>
  <c r="AP23" i="8"/>
  <c r="AO23" i="8"/>
  <c r="AK23" i="8"/>
  <c r="AJ23" i="8"/>
  <c r="AF23" i="8"/>
  <c r="AE23" i="8"/>
  <c r="AA23" i="8"/>
  <c r="Z23" i="8"/>
  <c r="V23" i="8"/>
  <c r="U23" i="8"/>
  <c r="Q23" i="8"/>
  <c r="P23" i="8"/>
  <c r="L23" i="8"/>
  <c r="K23" i="8"/>
  <c r="G23" i="8"/>
  <c r="F23" i="8"/>
  <c r="C23" i="8"/>
  <c r="B23" i="8"/>
  <c r="A23" i="8"/>
  <c r="EV22" i="8"/>
  <c r="EU22" i="8"/>
  <c r="EQ22" i="8"/>
  <c r="EP22" i="8"/>
  <c r="EL22" i="8"/>
  <c r="EK22" i="8"/>
  <c r="EG22" i="8"/>
  <c r="EF22" i="8"/>
  <c r="EB22" i="8"/>
  <c r="EA22" i="8"/>
  <c r="DW22" i="8"/>
  <c r="DV22" i="8"/>
  <c r="DR22" i="8"/>
  <c r="DQ22" i="8"/>
  <c r="DM22" i="8"/>
  <c r="DL22" i="8"/>
  <c r="DH22" i="8"/>
  <c r="DG22" i="8"/>
  <c r="DC22" i="8"/>
  <c r="DB22" i="8"/>
  <c r="CX22" i="8"/>
  <c r="CW22" i="8"/>
  <c r="CS22" i="8"/>
  <c r="CR22" i="8"/>
  <c r="CN22" i="8"/>
  <c r="CM22" i="8"/>
  <c r="CI22" i="8"/>
  <c r="CH22" i="8"/>
  <c r="CD22" i="8"/>
  <c r="CC22" i="8"/>
  <c r="BY22" i="8"/>
  <c r="BX22" i="8"/>
  <c r="BT22" i="8"/>
  <c r="BS22" i="8"/>
  <c r="BO22" i="8"/>
  <c r="BN22" i="8"/>
  <c r="BJ22" i="8"/>
  <c r="BI22" i="8"/>
  <c r="BE22" i="8"/>
  <c r="BD22" i="8"/>
  <c r="AZ22" i="8"/>
  <c r="AY22" i="8"/>
  <c r="AU22" i="8"/>
  <c r="AT22" i="8"/>
  <c r="AP22" i="8"/>
  <c r="AO22" i="8"/>
  <c r="AK22" i="8"/>
  <c r="AJ22" i="8"/>
  <c r="AF22" i="8"/>
  <c r="AE22" i="8"/>
  <c r="AA22" i="8"/>
  <c r="Z22" i="8"/>
  <c r="V22" i="8"/>
  <c r="U22" i="8"/>
  <c r="Q22" i="8"/>
  <c r="P22" i="8"/>
  <c r="L22" i="8"/>
  <c r="K22" i="8"/>
  <c r="G22" i="8"/>
  <c r="F22" i="8"/>
  <c r="C22" i="8"/>
  <c r="B22" i="8"/>
  <c r="A22" i="8"/>
  <c r="EV21" i="8"/>
  <c r="EU21" i="8"/>
  <c r="EQ21" i="8"/>
  <c r="EP21" i="8"/>
  <c r="EL21" i="8"/>
  <c r="EK21" i="8"/>
  <c r="EG21" i="8"/>
  <c r="EF21" i="8"/>
  <c r="EB21" i="8"/>
  <c r="EA21" i="8"/>
  <c r="DW21" i="8"/>
  <c r="DV21" i="8"/>
  <c r="DR21" i="8"/>
  <c r="DQ21" i="8"/>
  <c r="DM21" i="8"/>
  <c r="DL21" i="8"/>
  <c r="DH21" i="8"/>
  <c r="DG21" i="8"/>
  <c r="DC21" i="8"/>
  <c r="DB21" i="8"/>
  <c r="CX21" i="8"/>
  <c r="CW21" i="8"/>
  <c r="CS21" i="8"/>
  <c r="CR21" i="8"/>
  <c r="CN21" i="8"/>
  <c r="CM21" i="8"/>
  <c r="CI21" i="8"/>
  <c r="CH21" i="8"/>
  <c r="CD21" i="8"/>
  <c r="CC21" i="8"/>
  <c r="BY21" i="8"/>
  <c r="BX21" i="8"/>
  <c r="BT21" i="8"/>
  <c r="BS21" i="8"/>
  <c r="BO21" i="8"/>
  <c r="BN21" i="8"/>
  <c r="BJ21" i="8"/>
  <c r="BI21" i="8"/>
  <c r="BE21" i="8"/>
  <c r="BD21" i="8"/>
  <c r="AZ21" i="8"/>
  <c r="AY21" i="8"/>
  <c r="AU21" i="8"/>
  <c r="AT21" i="8"/>
  <c r="AP21" i="8"/>
  <c r="AO21" i="8"/>
  <c r="AK21" i="8"/>
  <c r="AJ21" i="8"/>
  <c r="AF21" i="8"/>
  <c r="AE21" i="8"/>
  <c r="AA21" i="8"/>
  <c r="Z21" i="8"/>
  <c r="V21" i="8"/>
  <c r="U21" i="8"/>
  <c r="Q21" i="8"/>
  <c r="P21" i="8"/>
  <c r="L21" i="8"/>
  <c r="K21" i="8"/>
  <c r="G21" i="8"/>
  <c r="F21" i="8"/>
  <c r="C21" i="8"/>
  <c r="B21" i="8"/>
  <c r="A21" i="8"/>
  <c r="EV20" i="8"/>
  <c r="EU20" i="8"/>
  <c r="EQ20" i="8"/>
  <c r="EP20" i="8"/>
  <c r="EL20" i="8"/>
  <c r="EK20" i="8"/>
  <c r="EG20" i="8"/>
  <c r="EF20" i="8"/>
  <c r="EB20" i="8"/>
  <c r="EA20" i="8"/>
  <c r="DW20" i="8"/>
  <c r="DV20" i="8"/>
  <c r="DR20" i="8"/>
  <c r="DQ20" i="8"/>
  <c r="DM20" i="8"/>
  <c r="DL20" i="8"/>
  <c r="DH20" i="8"/>
  <c r="DG20" i="8"/>
  <c r="DC20" i="8"/>
  <c r="DB20" i="8"/>
  <c r="CX20" i="8"/>
  <c r="CW20" i="8"/>
  <c r="CS20" i="8"/>
  <c r="CR20" i="8"/>
  <c r="CN20" i="8"/>
  <c r="CM20" i="8"/>
  <c r="CI20" i="8"/>
  <c r="CH20" i="8"/>
  <c r="CD20" i="8"/>
  <c r="CC20" i="8"/>
  <c r="BY20" i="8"/>
  <c r="BX20" i="8"/>
  <c r="BT20" i="8"/>
  <c r="BS20" i="8"/>
  <c r="BO20" i="8"/>
  <c r="BN20" i="8"/>
  <c r="BJ20" i="8"/>
  <c r="BI20" i="8"/>
  <c r="BE20" i="8"/>
  <c r="BD20" i="8"/>
  <c r="AZ20" i="8"/>
  <c r="AY20" i="8"/>
  <c r="AU20" i="8"/>
  <c r="AT20" i="8"/>
  <c r="AP20" i="8"/>
  <c r="AO20" i="8"/>
  <c r="AK20" i="8"/>
  <c r="AJ20" i="8"/>
  <c r="AF20" i="8"/>
  <c r="AE20" i="8"/>
  <c r="AA20" i="8"/>
  <c r="Z20" i="8"/>
  <c r="V20" i="8"/>
  <c r="U20" i="8"/>
  <c r="Q20" i="8"/>
  <c r="P20" i="8"/>
  <c r="L20" i="8"/>
  <c r="K20" i="8"/>
  <c r="G20" i="8"/>
  <c r="F20" i="8"/>
  <c r="C20" i="8"/>
  <c r="B20" i="8"/>
  <c r="A20" i="8"/>
  <c r="EV19" i="8"/>
  <c r="EU19" i="8"/>
  <c r="EQ19" i="8"/>
  <c r="EP19" i="8"/>
  <c r="EL19" i="8"/>
  <c r="EK19" i="8"/>
  <c r="EG19" i="8"/>
  <c r="EF19" i="8"/>
  <c r="EB19" i="8"/>
  <c r="EA19" i="8"/>
  <c r="DW19" i="8"/>
  <c r="DV19" i="8"/>
  <c r="DR19" i="8"/>
  <c r="DQ19" i="8"/>
  <c r="DM19" i="8"/>
  <c r="DL19" i="8"/>
  <c r="DH19" i="8"/>
  <c r="DG19" i="8"/>
  <c r="DC19" i="8"/>
  <c r="DB19" i="8"/>
  <c r="CX19" i="8"/>
  <c r="CW19" i="8"/>
  <c r="CS19" i="8"/>
  <c r="CR19" i="8"/>
  <c r="CN19" i="8"/>
  <c r="CM19" i="8"/>
  <c r="CI19" i="8"/>
  <c r="CH19" i="8"/>
  <c r="CD19" i="8"/>
  <c r="CC19" i="8"/>
  <c r="BY19" i="8"/>
  <c r="BX19" i="8"/>
  <c r="BT19" i="8"/>
  <c r="BS19" i="8"/>
  <c r="BO19" i="8"/>
  <c r="BN19" i="8"/>
  <c r="BJ19" i="8"/>
  <c r="BI19" i="8"/>
  <c r="BE19" i="8"/>
  <c r="BD19" i="8"/>
  <c r="AZ19" i="8"/>
  <c r="AY19" i="8"/>
  <c r="AU19" i="8"/>
  <c r="AT19" i="8"/>
  <c r="AP19" i="8"/>
  <c r="AO19" i="8"/>
  <c r="AK19" i="8"/>
  <c r="AJ19" i="8"/>
  <c r="AF19" i="8"/>
  <c r="AE19" i="8"/>
  <c r="AA19" i="8"/>
  <c r="Z19" i="8"/>
  <c r="V19" i="8"/>
  <c r="U19" i="8"/>
  <c r="Q19" i="8"/>
  <c r="P19" i="8"/>
  <c r="L19" i="8"/>
  <c r="K19" i="8"/>
  <c r="G19" i="8"/>
  <c r="F19" i="8"/>
  <c r="C19" i="8"/>
  <c r="B19" i="8"/>
  <c r="A19" i="8"/>
  <c r="EV18" i="8"/>
  <c r="EU18" i="8"/>
  <c r="EQ18" i="8"/>
  <c r="EP18" i="8"/>
  <c r="EL18" i="8"/>
  <c r="EK18" i="8"/>
  <c r="EG18" i="8"/>
  <c r="EF18" i="8"/>
  <c r="EB18" i="8"/>
  <c r="EA18" i="8"/>
  <c r="DW18" i="8"/>
  <c r="DV18" i="8"/>
  <c r="DR18" i="8"/>
  <c r="DQ18" i="8"/>
  <c r="DM18" i="8"/>
  <c r="DL18" i="8"/>
  <c r="DH18" i="8"/>
  <c r="DG18" i="8"/>
  <c r="DC18" i="8"/>
  <c r="DB18" i="8"/>
  <c r="CX18" i="8"/>
  <c r="CW18" i="8"/>
  <c r="CS18" i="8"/>
  <c r="CR18" i="8"/>
  <c r="CN18" i="8"/>
  <c r="CM18" i="8"/>
  <c r="CI18" i="8"/>
  <c r="CH18" i="8"/>
  <c r="CD18" i="8"/>
  <c r="CC18" i="8"/>
  <c r="BY18" i="8"/>
  <c r="BX18" i="8"/>
  <c r="BT18" i="8"/>
  <c r="BS18" i="8"/>
  <c r="BO18" i="8"/>
  <c r="BN18" i="8"/>
  <c r="BJ18" i="8"/>
  <c r="BI18" i="8"/>
  <c r="BE18" i="8"/>
  <c r="BD18" i="8"/>
  <c r="AZ18" i="8"/>
  <c r="AY18" i="8"/>
  <c r="AU18" i="8"/>
  <c r="AT18" i="8"/>
  <c r="AP18" i="8"/>
  <c r="AO18" i="8"/>
  <c r="AK18" i="8"/>
  <c r="AJ18" i="8"/>
  <c r="AF18" i="8"/>
  <c r="AE18" i="8"/>
  <c r="AA18" i="8"/>
  <c r="Z18" i="8"/>
  <c r="V18" i="8"/>
  <c r="U18" i="8"/>
  <c r="Q18" i="8"/>
  <c r="P18" i="8"/>
  <c r="L18" i="8"/>
  <c r="K18" i="8"/>
  <c r="G18" i="8"/>
  <c r="F18" i="8"/>
  <c r="C18" i="8"/>
  <c r="B18" i="8"/>
  <c r="A18" i="8"/>
  <c r="EV17" i="8"/>
  <c r="EU17" i="8"/>
  <c r="EQ17" i="8"/>
  <c r="EP17" i="8"/>
  <c r="EL17" i="8"/>
  <c r="EK17" i="8"/>
  <c r="EG17" i="8"/>
  <c r="EF17" i="8"/>
  <c r="EB17" i="8"/>
  <c r="EA17" i="8"/>
  <c r="DW17" i="8"/>
  <c r="DV17" i="8"/>
  <c r="DR17" i="8"/>
  <c r="DQ17" i="8"/>
  <c r="DM17" i="8"/>
  <c r="DL17" i="8"/>
  <c r="DH17" i="8"/>
  <c r="DG17" i="8"/>
  <c r="DC17" i="8"/>
  <c r="DB17" i="8"/>
  <c r="CX17" i="8"/>
  <c r="CW17" i="8"/>
  <c r="CS17" i="8"/>
  <c r="CR17" i="8"/>
  <c r="CN17" i="8"/>
  <c r="CM17" i="8"/>
  <c r="CI17" i="8"/>
  <c r="CH17" i="8"/>
  <c r="CD17" i="8"/>
  <c r="CC17" i="8"/>
  <c r="BY17" i="8"/>
  <c r="BX17" i="8"/>
  <c r="BT17" i="8"/>
  <c r="BS17" i="8"/>
  <c r="BO17" i="8"/>
  <c r="BN17" i="8"/>
  <c r="BJ17" i="8"/>
  <c r="BI17" i="8"/>
  <c r="BE17" i="8"/>
  <c r="BD17" i="8"/>
  <c r="AZ17" i="8"/>
  <c r="AY17" i="8"/>
  <c r="AU17" i="8"/>
  <c r="AT17" i="8"/>
  <c r="AP17" i="8"/>
  <c r="AO17" i="8"/>
  <c r="AK17" i="8"/>
  <c r="AJ17" i="8"/>
  <c r="AF17" i="8"/>
  <c r="AE17" i="8"/>
  <c r="AA17" i="8"/>
  <c r="Z17" i="8"/>
  <c r="V17" i="8"/>
  <c r="U17" i="8"/>
  <c r="Q17" i="8"/>
  <c r="P17" i="8"/>
  <c r="L17" i="8"/>
  <c r="K17" i="8"/>
  <c r="G17" i="8"/>
  <c r="F17" i="8"/>
  <c r="C17" i="8"/>
  <c r="B17" i="8"/>
  <c r="A17" i="8"/>
  <c r="EV16" i="8"/>
  <c r="EU16" i="8"/>
  <c r="EQ16" i="8"/>
  <c r="EP16" i="8"/>
  <c r="EL16" i="8"/>
  <c r="EK16" i="8"/>
  <c r="EG16" i="8"/>
  <c r="EF16" i="8"/>
  <c r="EB16" i="8"/>
  <c r="EA16" i="8"/>
  <c r="DW16" i="8"/>
  <c r="DV16" i="8"/>
  <c r="DR16" i="8"/>
  <c r="DQ16" i="8"/>
  <c r="DM16" i="8"/>
  <c r="DL16" i="8"/>
  <c r="DH16" i="8"/>
  <c r="DG16" i="8"/>
  <c r="DC16" i="8"/>
  <c r="DB16" i="8"/>
  <c r="CX16" i="8"/>
  <c r="CW16" i="8"/>
  <c r="CS16" i="8"/>
  <c r="CR16" i="8"/>
  <c r="CN16" i="8"/>
  <c r="CM16" i="8"/>
  <c r="CI16" i="8"/>
  <c r="CH16" i="8"/>
  <c r="CD16" i="8"/>
  <c r="CC16" i="8"/>
  <c r="BY16" i="8"/>
  <c r="BX16" i="8"/>
  <c r="BT16" i="8"/>
  <c r="BS16" i="8"/>
  <c r="BO16" i="8"/>
  <c r="BN16" i="8"/>
  <c r="BJ16" i="8"/>
  <c r="BI16" i="8"/>
  <c r="BE16" i="8"/>
  <c r="BD16" i="8"/>
  <c r="AZ16" i="8"/>
  <c r="AY16" i="8"/>
  <c r="AU16" i="8"/>
  <c r="AT16" i="8"/>
  <c r="AP16" i="8"/>
  <c r="AO16" i="8"/>
  <c r="AK16" i="8"/>
  <c r="AJ16" i="8"/>
  <c r="AF16" i="8"/>
  <c r="AE16" i="8"/>
  <c r="AA16" i="8"/>
  <c r="Z16" i="8"/>
  <c r="V16" i="8"/>
  <c r="U16" i="8"/>
  <c r="Q16" i="8"/>
  <c r="P16" i="8"/>
  <c r="L16" i="8"/>
  <c r="K16" i="8"/>
  <c r="G16" i="8"/>
  <c r="F16" i="8"/>
  <c r="C16" i="8"/>
  <c r="B16" i="8"/>
  <c r="A16" i="8"/>
  <c r="EV15" i="8"/>
  <c r="EU15" i="8"/>
  <c r="EQ15" i="8"/>
  <c r="EP15" i="8"/>
  <c r="EL15" i="8"/>
  <c r="EK15" i="8"/>
  <c r="EG15" i="8"/>
  <c r="EF15" i="8"/>
  <c r="EB15" i="8"/>
  <c r="EA15" i="8"/>
  <c r="DW15" i="8"/>
  <c r="DV15" i="8"/>
  <c r="DR15" i="8"/>
  <c r="DQ15" i="8"/>
  <c r="DM15" i="8"/>
  <c r="DL15" i="8"/>
  <c r="DH15" i="8"/>
  <c r="DG15" i="8"/>
  <c r="DC15" i="8"/>
  <c r="DB15" i="8"/>
  <c r="CX15" i="8"/>
  <c r="CW15" i="8"/>
  <c r="CS15" i="8"/>
  <c r="CR15" i="8"/>
  <c r="CN15" i="8"/>
  <c r="CM15" i="8"/>
  <c r="CI15" i="8"/>
  <c r="CH15" i="8"/>
  <c r="CD15" i="8"/>
  <c r="CC15" i="8"/>
  <c r="BY15" i="8"/>
  <c r="BX15" i="8"/>
  <c r="BT15" i="8"/>
  <c r="BS15" i="8"/>
  <c r="BO15" i="8"/>
  <c r="BN15" i="8"/>
  <c r="BJ15" i="8"/>
  <c r="BI15" i="8"/>
  <c r="BE15" i="8"/>
  <c r="BD15" i="8"/>
  <c r="AZ15" i="8"/>
  <c r="AY15" i="8"/>
  <c r="AU15" i="8"/>
  <c r="AT15" i="8"/>
  <c r="AP15" i="8"/>
  <c r="AO15" i="8"/>
  <c r="AK15" i="8"/>
  <c r="AJ15" i="8"/>
  <c r="AF15" i="8"/>
  <c r="AE15" i="8"/>
  <c r="AA15" i="8"/>
  <c r="Z15" i="8"/>
  <c r="V15" i="8"/>
  <c r="U15" i="8"/>
  <c r="Q15" i="8"/>
  <c r="P15" i="8"/>
  <c r="L15" i="8"/>
  <c r="K15" i="8"/>
  <c r="G15" i="8"/>
  <c r="F15" i="8"/>
  <c r="C15" i="8"/>
  <c r="B15" i="8"/>
  <c r="A15" i="8"/>
  <c r="EV14" i="8"/>
  <c r="EU14" i="8"/>
  <c r="EQ14" i="8"/>
  <c r="EP14" i="8"/>
  <c r="EL14" i="8"/>
  <c r="EK14" i="8"/>
  <c r="EG14" i="8"/>
  <c r="EF14" i="8"/>
  <c r="EB14" i="8"/>
  <c r="EA14" i="8"/>
  <c r="DW14" i="8"/>
  <c r="DV14" i="8"/>
  <c r="DR14" i="8"/>
  <c r="DQ14" i="8"/>
  <c r="DM14" i="8"/>
  <c r="DL14" i="8"/>
  <c r="DH14" i="8"/>
  <c r="DG14" i="8"/>
  <c r="DC14" i="8"/>
  <c r="DB14" i="8"/>
  <c r="CX14" i="8"/>
  <c r="CW14" i="8"/>
  <c r="CS14" i="8"/>
  <c r="CR14" i="8"/>
  <c r="CN14" i="8"/>
  <c r="CM14" i="8"/>
  <c r="CI14" i="8"/>
  <c r="CH14" i="8"/>
  <c r="CD14" i="8"/>
  <c r="CC14" i="8"/>
  <c r="BY14" i="8"/>
  <c r="BX14" i="8"/>
  <c r="BT14" i="8"/>
  <c r="BS14" i="8"/>
  <c r="BO14" i="8"/>
  <c r="BN14" i="8"/>
  <c r="BJ14" i="8"/>
  <c r="BI14" i="8"/>
  <c r="BE14" i="8"/>
  <c r="BD14" i="8"/>
  <c r="AZ14" i="8"/>
  <c r="AY14" i="8"/>
  <c r="AU14" i="8"/>
  <c r="AT14" i="8"/>
  <c r="AP14" i="8"/>
  <c r="AO14" i="8"/>
  <c r="AK14" i="8"/>
  <c r="AJ14" i="8"/>
  <c r="AF14" i="8"/>
  <c r="AE14" i="8"/>
  <c r="AA14" i="8"/>
  <c r="Z14" i="8"/>
  <c r="V14" i="8"/>
  <c r="U14" i="8"/>
  <c r="Q14" i="8"/>
  <c r="P14" i="8"/>
  <c r="L14" i="8"/>
  <c r="K14" i="8"/>
  <c r="G14" i="8"/>
  <c r="F14" i="8"/>
  <c r="C14" i="8"/>
  <c r="B14" i="8"/>
  <c r="A14" i="8"/>
  <c r="EV13" i="8"/>
  <c r="EU13" i="8"/>
  <c r="EQ13" i="8"/>
  <c r="EP13" i="8"/>
  <c r="EL13" i="8"/>
  <c r="EK13" i="8"/>
  <c r="EG13" i="8"/>
  <c r="EF13" i="8"/>
  <c r="EB13" i="8"/>
  <c r="EA13" i="8"/>
  <c r="DW13" i="8"/>
  <c r="DV13" i="8"/>
  <c r="DR13" i="8"/>
  <c r="DQ13" i="8"/>
  <c r="DM13" i="8"/>
  <c r="DL13" i="8"/>
  <c r="DH13" i="8"/>
  <c r="DG13" i="8"/>
  <c r="DC13" i="8"/>
  <c r="DB13" i="8"/>
  <c r="CX13" i="8"/>
  <c r="CW13" i="8"/>
  <c r="CS13" i="8"/>
  <c r="CR13" i="8"/>
  <c r="CN13" i="8"/>
  <c r="CM13" i="8"/>
  <c r="CI13" i="8"/>
  <c r="CH13" i="8"/>
  <c r="CD13" i="8"/>
  <c r="CC13" i="8"/>
  <c r="BY13" i="8"/>
  <c r="BX13" i="8"/>
  <c r="BT13" i="8"/>
  <c r="BS13" i="8"/>
  <c r="BO13" i="8"/>
  <c r="BN13" i="8"/>
  <c r="BJ13" i="8"/>
  <c r="BI13" i="8"/>
  <c r="BE13" i="8"/>
  <c r="BD13" i="8"/>
  <c r="AZ13" i="8"/>
  <c r="AY13" i="8"/>
  <c r="AU13" i="8"/>
  <c r="AT13" i="8"/>
  <c r="AP13" i="8"/>
  <c r="AO13" i="8"/>
  <c r="AK13" i="8"/>
  <c r="AJ13" i="8"/>
  <c r="AF13" i="8"/>
  <c r="AE13" i="8"/>
  <c r="AA13" i="8"/>
  <c r="Z13" i="8"/>
  <c r="V13" i="8"/>
  <c r="U13" i="8"/>
  <c r="Q13" i="8"/>
  <c r="P13" i="8"/>
  <c r="L13" i="8"/>
  <c r="K13" i="8"/>
  <c r="G13" i="8"/>
  <c r="F13" i="8"/>
  <c r="C13" i="8"/>
  <c r="B13" i="8"/>
  <c r="A13" i="8"/>
  <c r="EV12" i="8"/>
  <c r="EU12" i="8"/>
  <c r="EQ12" i="8"/>
  <c r="EP12" i="8"/>
  <c r="EL12" i="8"/>
  <c r="EK12" i="8"/>
  <c r="EG12" i="8"/>
  <c r="EF12" i="8"/>
  <c r="EB12" i="8"/>
  <c r="EA12" i="8"/>
  <c r="DW12" i="8"/>
  <c r="DV12" i="8"/>
  <c r="DR12" i="8"/>
  <c r="DQ12" i="8"/>
  <c r="DM12" i="8"/>
  <c r="DL12" i="8"/>
  <c r="DH12" i="8"/>
  <c r="DG12" i="8"/>
  <c r="DC12" i="8"/>
  <c r="DB12" i="8"/>
  <c r="CX12" i="8"/>
  <c r="CW12" i="8"/>
  <c r="CS12" i="8"/>
  <c r="CR12" i="8"/>
  <c r="CN12" i="8"/>
  <c r="CM12" i="8"/>
  <c r="CI12" i="8"/>
  <c r="CH12" i="8"/>
  <c r="CD12" i="8"/>
  <c r="CC12" i="8"/>
  <c r="BY12" i="8"/>
  <c r="BX12" i="8"/>
  <c r="BT12" i="8"/>
  <c r="BS12" i="8"/>
  <c r="BO12" i="8"/>
  <c r="BN12" i="8"/>
  <c r="BJ12" i="8"/>
  <c r="BI12" i="8"/>
  <c r="BE12" i="8"/>
  <c r="BD12" i="8"/>
  <c r="AZ12" i="8"/>
  <c r="AY12" i="8"/>
  <c r="AU12" i="8"/>
  <c r="AT12" i="8"/>
  <c r="AP12" i="8"/>
  <c r="AO12" i="8"/>
  <c r="AK12" i="8"/>
  <c r="AJ12" i="8"/>
  <c r="AF12" i="8"/>
  <c r="AE12" i="8"/>
  <c r="AA12" i="8"/>
  <c r="Z12" i="8"/>
  <c r="V12" i="8"/>
  <c r="U12" i="8"/>
  <c r="Q12" i="8"/>
  <c r="P12" i="8"/>
  <c r="L12" i="8"/>
  <c r="K12" i="8"/>
  <c r="G12" i="8"/>
  <c r="F12" i="8"/>
  <c r="C12" i="8"/>
  <c r="B12" i="8"/>
  <c r="A12" i="8"/>
  <c r="EV11" i="8"/>
  <c r="EU11" i="8"/>
  <c r="EQ11" i="8"/>
  <c r="EP11" i="8"/>
  <c r="EL11" i="8"/>
  <c r="EK11" i="8"/>
  <c r="EG11" i="8"/>
  <c r="EF11" i="8"/>
  <c r="EB11" i="8"/>
  <c r="EA11" i="8"/>
  <c r="DW11" i="8"/>
  <c r="DV11" i="8"/>
  <c r="DR11" i="8"/>
  <c r="DQ11" i="8"/>
  <c r="DM11" i="8"/>
  <c r="DL11" i="8"/>
  <c r="DH11" i="8"/>
  <c r="DG11" i="8"/>
  <c r="DC11" i="8"/>
  <c r="DB11" i="8"/>
  <c r="CX11" i="8"/>
  <c r="CW11" i="8"/>
  <c r="CS11" i="8"/>
  <c r="CR11" i="8"/>
  <c r="CN11" i="8"/>
  <c r="CM11" i="8"/>
  <c r="CI11" i="8"/>
  <c r="CH11" i="8"/>
  <c r="CD11" i="8"/>
  <c r="CC11" i="8"/>
  <c r="BY11" i="8"/>
  <c r="BX11" i="8"/>
  <c r="BT11" i="8"/>
  <c r="BS11" i="8"/>
  <c r="BO11" i="8"/>
  <c r="BN11" i="8"/>
  <c r="BJ11" i="8"/>
  <c r="BI11" i="8"/>
  <c r="BE11" i="8"/>
  <c r="BD11" i="8"/>
  <c r="AZ11" i="8"/>
  <c r="AY11" i="8"/>
  <c r="AU11" i="8"/>
  <c r="AT11" i="8"/>
  <c r="AP11" i="8"/>
  <c r="AO11" i="8"/>
  <c r="AK11" i="8"/>
  <c r="AJ11" i="8"/>
  <c r="AF11" i="8"/>
  <c r="AE11" i="8"/>
  <c r="AA11" i="8"/>
  <c r="Z11" i="8"/>
  <c r="V11" i="8"/>
  <c r="U11" i="8"/>
  <c r="Q11" i="8"/>
  <c r="P11" i="8"/>
  <c r="L11" i="8"/>
  <c r="K11" i="8"/>
  <c r="G11" i="8"/>
  <c r="F11" i="8"/>
  <c r="C11" i="8"/>
  <c r="B11" i="8"/>
  <c r="A11" i="8"/>
  <c r="EV10" i="8"/>
  <c r="EU10" i="8"/>
  <c r="EQ10" i="8"/>
  <c r="EP10" i="8"/>
  <c r="EL10" i="8"/>
  <c r="EK10" i="8"/>
  <c r="EG10" i="8"/>
  <c r="EF10" i="8"/>
  <c r="EB10" i="8"/>
  <c r="EA10" i="8"/>
  <c r="DW10" i="8"/>
  <c r="DV10" i="8"/>
  <c r="DR10" i="8"/>
  <c r="DQ10" i="8"/>
  <c r="DM10" i="8"/>
  <c r="DL10" i="8"/>
  <c r="DH10" i="8"/>
  <c r="DG10" i="8"/>
  <c r="DC10" i="8"/>
  <c r="DB10" i="8"/>
  <c r="CX10" i="8"/>
  <c r="CW10" i="8"/>
  <c r="CS10" i="8"/>
  <c r="CR10" i="8"/>
  <c r="CN10" i="8"/>
  <c r="CM10" i="8"/>
  <c r="CI10" i="8"/>
  <c r="CH10" i="8"/>
  <c r="CD10" i="8"/>
  <c r="CC10" i="8"/>
  <c r="BY10" i="8"/>
  <c r="BX10" i="8"/>
  <c r="BT10" i="8"/>
  <c r="BS10" i="8"/>
  <c r="BO10" i="8"/>
  <c r="BN10" i="8"/>
  <c r="BJ10" i="8"/>
  <c r="BI10" i="8"/>
  <c r="BE10" i="8"/>
  <c r="BD10" i="8"/>
  <c r="AZ10" i="8"/>
  <c r="AY10" i="8"/>
  <c r="AU10" i="8"/>
  <c r="AT10" i="8"/>
  <c r="AP10" i="8"/>
  <c r="AO10" i="8"/>
  <c r="AK10" i="8"/>
  <c r="AJ10" i="8"/>
  <c r="AF10" i="8"/>
  <c r="AE10" i="8"/>
  <c r="AA10" i="8"/>
  <c r="Z10" i="8"/>
  <c r="V10" i="8"/>
  <c r="U10" i="8"/>
  <c r="Q10" i="8"/>
  <c r="P10" i="8"/>
  <c r="L10" i="8"/>
  <c r="K10" i="8"/>
  <c r="G10" i="8"/>
  <c r="F10" i="8"/>
  <c r="C10" i="8"/>
  <c r="B10" i="8"/>
  <c r="A10" i="8"/>
  <c r="EV9" i="8"/>
  <c r="EU9" i="8"/>
  <c r="EQ9" i="8"/>
  <c r="EP9" i="8"/>
  <c r="EL9" i="8"/>
  <c r="EK9" i="8"/>
  <c r="EG9" i="8"/>
  <c r="EF9" i="8"/>
  <c r="EB9" i="8"/>
  <c r="EA9" i="8"/>
  <c r="DW9" i="8"/>
  <c r="DV9" i="8"/>
  <c r="DR9" i="8"/>
  <c r="DQ9" i="8"/>
  <c r="DM9" i="8"/>
  <c r="DL9" i="8"/>
  <c r="DH9" i="8"/>
  <c r="DG9" i="8"/>
  <c r="DC9" i="8"/>
  <c r="DB9" i="8"/>
  <c r="CX9" i="8"/>
  <c r="CW9" i="8"/>
  <c r="CS9" i="8"/>
  <c r="CR9" i="8"/>
  <c r="CN9" i="8"/>
  <c r="CM9" i="8"/>
  <c r="CI9" i="8"/>
  <c r="CH9" i="8"/>
  <c r="CD9" i="8"/>
  <c r="CC9" i="8"/>
  <c r="BY9" i="8"/>
  <c r="BX9" i="8"/>
  <c r="BT9" i="8"/>
  <c r="BS9" i="8"/>
  <c r="BO9" i="8"/>
  <c r="BN9" i="8"/>
  <c r="BJ9" i="8"/>
  <c r="BI9" i="8"/>
  <c r="BE9" i="8"/>
  <c r="BD9" i="8"/>
  <c r="AZ9" i="8"/>
  <c r="AY9" i="8"/>
  <c r="AU9" i="8"/>
  <c r="AT9" i="8"/>
  <c r="AP9" i="8"/>
  <c r="AO9" i="8"/>
  <c r="AK9" i="8"/>
  <c r="AJ9" i="8"/>
  <c r="AF9" i="8"/>
  <c r="AE9" i="8"/>
  <c r="AA9" i="8"/>
  <c r="Z9" i="8"/>
  <c r="V9" i="8"/>
  <c r="U9" i="8"/>
  <c r="Q9" i="8"/>
  <c r="P9" i="8"/>
  <c r="L9" i="8"/>
  <c r="K9" i="8"/>
  <c r="G9" i="8"/>
  <c r="F9" i="8"/>
  <c r="C9" i="8"/>
  <c r="B9" i="8"/>
  <c r="A9" i="8"/>
  <c r="EV8" i="8"/>
  <c r="EU8" i="8"/>
  <c r="EQ8" i="8"/>
  <c r="EP8" i="8"/>
  <c r="EL8" i="8"/>
  <c r="EK8" i="8"/>
  <c r="EG8" i="8"/>
  <c r="EF8" i="8"/>
  <c r="EB8" i="8"/>
  <c r="EA8" i="8"/>
  <c r="DW8" i="8"/>
  <c r="DV8" i="8"/>
  <c r="DR8" i="8"/>
  <c r="DQ8" i="8"/>
  <c r="DM8" i="8"/>
  <c r="DL8" i="8"/>
  <c r="DH8" i="8"/>
  <c r="DG8" i="8"/>
  <c r="DC8" i="8"/>
  <c r="DB8" i="8"/>
  <c r="CX8" i="8"/>
  <c r="CW8" i="8"/>
  <c r="CS8" i="8"/>
  <c r="CR8" i="8"/>
  <c r="CN8" i="8"/>
  <c r="CM8" i="8"/>
  <c r="CI8" i="8"/>
  <c r="CH8" i="8"/>
  <c r="CD8" i="8"/>
  <c r="CC8" i="8"/>
  <c r="BY8" i="8"/>
  <c r="BX8" i="8"/>
  <c r="BT8" i="8"/>
  <c r="BS8" i="8"/>
  <c r="BO8" i="8"/>
  <c r="BN8" i="8"/>
  <c r="BJ8" i="8"/>
  <c r="BI8" i="8"/>
  <c r="BE8" i="8"/>
  <c r="BD8" i="8"/>
  <c r="AZ8" i="8"/>
  <c r="AY8" i="8"/>
  <c r="AU8" i="8"/>
  <c r="AT8" i="8"/>
  <c r="AP8" i="8"/>
  <c r="AO8" i="8"/>
  <c r="AK8" i="8"/>
  <c r="AJ8" i="8"/>
  <c r="AF8" i="8"/>
  <c r="AE8" i="8"/>
  <c r="AA8" i="8"/>
  <c r="Z8" i="8"/>
  <c r="V8" i="8"/>
  <c r="U8" i="8"/>
  <c r="Q8" i="8"/>
  <c r="P8" i="8"/>
  <c r="L8" i="8"/>
  <c r="K8" i="8"/>
  <c r="G8" i="8"/>
  <c r="F8" i="8"/>
  <c r="C8" i="8"/>
  <c r="B8" i="8"/>
  <c r="A8" i="8"/>
  <c r="EV7" i="8"/>
  <c r="EU7" i="8"/>
  <c r="EQ7" i="8"/>
  <c r="EP7" i="8"/>
  <c r="EL7" i="8"/>
  <c r="EK7" i="8"/>
  <c r="EG7" i="8"/>
  <c r="EF7" i="8"/>
  <c r="EB7" i="8"/>
  <c r="EA7" i="8"/>
  <c r="DW7" i="8"/>
  <c r="DV7" i="8"/>
  <c r="DR7" i="8"/>
  <c r="DQ7" i="8"/>
  <c r="DM7" i="8"/>
  <c r="DL7" i="8"/>
  <c r="DH7" i="8"/>
  <c r="DG7" i="8"/>
  <c r="DC7" i="8"/>
  <c r="DB7" i="8"/>
  <c r="CX7" i="8"/>
  <c r="CW7" i="8"/>
  <c r="CS7" i="8"/>
  <c r="CR7" i="8"/>
  <c r="CN7" i="8"/>
  <c r="CM7" i="8"/>
  <c r="CI7" i="8"/>
  <c r="CH7" i="8"/>
  <c r="CD7" i="8"/>
  <c r="CC7" i="8"/>
  <c r="BY7" i="8"/>
  <c r="BX7" i="8"/>
  <c r="BT7" i="8"/>
  <c r="BS7" i="8"/>
  <c r="BO7" i="8"/>
  <c r="BN7" i="8"/>
  <c r="BJ7" i="8"/>
  <c r="BI7" i="8"/>
  <c r="BE7" i="8"/>
  <c r="BD7" i="8"/>
  <c r="AZ7" i="8"/>
  <c r="AY7" i="8"/>
  <c r="AU7" i="8"/>
  <c r="AT7" i="8"/>
  <c r="AP7" i="8"/>
  <c r="AO7" i="8"/>
  <c r="AK7" i="8"/>
  <c r="AJ7" i="8"/>
  <c r="AF7" i="8"/>
  <c r="AE7" i="8"/>
  <c r="AA7" i="8"/>
  <c r="Z7" i="8"/>
  <c r="V7" i="8"/>
  <c r="U7" i="8"/>
  <c r="Q7" i="8"/>
  <c r="P7" i="8"/>
  <c r="L7" i="8"/>
  <c r="K7" i="8"/>
  <c r="G7" i="8"/>
  <c r="F7" i="8"/>
  <c r="C7" i="8"/>
  <c r="B7" i="8"/>
  <c r="A7" i="8"/>
  <c r="EV6" i="8"/>
  <c r="EU6" i="8"/>
  <c r="EQ6" i="8"/>
  <c r="EP6" i="8"/>
  <c r="EL6" i="8"/>
  <c r="EK6" i="8"/>
  <c r="EG6" i="8"/>
  <c r="EF6" i="8"/>
  <c r="EB6" i="8"/>
  <c r="EA6" i="8"/>
  <c r="DW6" i="8"/>
  <c r="DV6" i="8"/>
  <c r="DR6" i="8"/>
  <c r="DQ6" i="8"/>
  <c r="DM6" i="8"/>
  <c r="DL6" i="8"/>
  <c r="DH6" i="8"/>
  <c r="DG6" i="8"/>
  <c r="DC6" i="8"/>
  <c r="DB6" i="8"/>
  <c r="CX6" i="8"/>
  <c r="CW6" i="8"/>
  <c r="CS6" i="8"/>
  <c r="CR6" i="8"/>
  <c r="CN6" i="8"/>
  <c r="CM6" i="8"/>
  <c r="CI6" i="8"/>
  <c r="CH6" i="8"/>
  <c r="CD6" i="8"/>
  <c r="CC6" i="8"/>
  <c r="BY6" i="8"/>
  <c r="BX6" i="8"/>
  <c r="BT6" i="8"/>
  <c r="BS6" i="8"/>
  <c r="BO6" i="8"/>
  <c r="BN6" i="8"/>
  <c r="BJ6" i="8"/>
  <c r="BI6" i="8"/>
  <c r="BE6" i="8"/>
  <c r="BD6" i="8"/>
  <c r="AZ6" i="8"/>
  <c r="AY6" i="8"/>
  <c r="AU6" i="8"/>
  <c r="AT6" i="8"/>
  <c r="AP6" i="8"/>
  <c r="AO6" i="8"/>
  <c r="AK6" i="8"/>
  <c r="AJ6" i="8"/>
  <c r="AF6" i="8"/>
  <c r="AE6" i="8"/>
  <c r="AA6" i="8"/>
  <c r="Z6" i="8"/>
  <c r="V6" i="8"/>
  <c r="U6" i="8"/>
  <c r="Q6" i="8"/>
  <c r="P6" i="8"/>
  <c r="L6" i="8"/>
  <c r="K6" i="8"/>
  <c r="G6" i="8"/>
  <c r="F6" i="8"/>
  <c r="C6" i="8"/>
  <c r="B6" i="8"/>
  <c r="A6" i="8"/>
  <c r="EV5" i="8"/>
  <c r="EU5" i="8"/>
  <c r="EQ5" i="8"/>
  <c r="EP5" i="8"/>
  <c r="EL5" i="8"/>
  <c r="EK5" i="8"/>
  <c r="EG5" i="8"/>
  <c r="EF5" i="8"/>
  <c r="EB5" i="8"/>
  <c r="EA5" i="8"/>
  <c r="DW5" i="8"/>
  <c r="DV5" i="8"/>
  <c r="DR5" i="8"/>
  <c r="DQ5" i="8"/>
  <c r="DM5" i="8"/>
  <c r="DL5" i="8"/>
  <c r="DH5" i="8"/>
  <c r="DG5" i="8"/>
  <c r="DC5" i="8"/>
  <c r="DB5" i="8"/>
  <c r="CX5" i="8"/>
  <c r="CW5" i="8"/>
  <c r="CS5" i="8"/>
  <c r="CR5" i="8"/>
  <c r="CN5" i="8"/>
  <c r="CM5" i="8"/>
  <c r="CI5" i="8"/>
  <c r="CH5" i="8"/>
  <c r="CD5" i="8"/>
  <c r="CC5" i="8"/>
  <c r="BY5" i="8"/>
  <c r="BX5" i="8"/>
  <c r="BT5" i="8"/>
  <c r="BS5" i="8"/>
  <c r="BO5" i="8"/>
  <c r="BN5" i="8"/>
  <c r="BJ5" i="8"/>
  <c r="BI5" i="8"/>
  <c r="BE5" i="8"/>
  <c r="BD5" i="8"/>
  <c r="AZ5" i="8"/>
  <c r="AY5" i="8"/>
  <c r="AU5" i="8"/>
  <c r="AT5" i="8"/>
  <c r="AP5" i="8"/>
  <c r="AO5" i="8"/>
  <c r="AK5" i="8"/>
  <c r="AJ5" i="8"/>
  <c r="AF5" i="8"/>
  <c r="AE5" i="8"/>
  <c r="AA5" i="8"/>
  <c r="Z5" i="8"/>
  <c r="V5" i="8"/>
  <c r="U5" i="8"/>
  <c r="Q5" i="8"/>
  <c r="P5" i="8"/>
  <c r="L5" i="8"/>
  <c r="K5" i="8"/>
  <c r="G5" i="8"/>
  <c r="F5" i="8"/>
  <c r="C5" i="8"/>
  <c r="B5" i="8"/>
  <c r="A5" i="8"/>
  <c r="EV4" i="8"/>
  <c r="EU4" i="8"/>
  <c r="EQ4" i="8"/>
  <c r="EP4" i="8"/>
  <c r="EL4" i="8"/>
  <c r="EK4" i="8"/>
  <c r="EG4" i="8"/>
  <c r="EF4" i="8"/>
  <c r="EB4" i="8"/>
  <c r="EA4" i="8"/>
  <c r="DW4" i="8"/>
  <c r="DV4" i="8"/>
  <c r="DR4" i="8"/>
  <c r="DQ4" i="8"/>
  <c r="DM4" i="8"/>
  <c r="DL4" i="8"/>
  <c r="DH4" i="8"/>
  <c r="DG4" i="8"/>
  <c r="DC4" i="8"/>
  <c r="DB4" i="8"/>
  <c r="CX4" i="8"/>
  <c r="CW4" i="8"/>
  <c r="CS4" i="8"/>
  <c r="CR4" i="8"/>
  <c r="CN4" i="8"/>
  <c r="CM4" i="8"/>
  <c r="CI4" i="8"/>
  <c r="CH4" i="8"/>
  <c r="CD4" i="8"/>
  <c r="CC4" i="8"/>
  <c r="BY4" i="8"/>
  <c r="BX4" i="8"/>
  <c r="BT4" i="8"/>
  <c r="BS4" i="8"/>
  <c r="BO4" i="8"/>
  <c r="BN4" i="8"/>
  <c r="BJ4" i="8"/>
  <c r="BI4" i="8"/>
  <c r="BE4" i="8"/>
  <c r="BD4" i="8"/>
  <c r="AZ4" i="8"/>
  <c r="AY4" i="8"/>
  <c r="AU4" i="8"/>
  <c r="AT4" i="8"/>
  <c r="AP4" i="8"/>
  <c r="AO4" i="8"/>
  <c r="AK4" i="8"/>
  <c r="AJ4" i="8"/>
  <c r="AF4" i="8"/>
  <c r="AE4" i="8"/>
  <c r="AA4" i="8"/>
  <c r="Z4" i="8"/>
  <c r="V4" i="8"/>
  <c r="U4" i="8"/>
  <c r="Q4" i="8"/>
  <c r="P4" i="8"/>
  <c r="L4" i="8"/>
  <c r="K4" i="8"/>
  <c r="G4" i="8"/>
  <c r="F4" i="8"/>
  <c r="C4" i="8"/>
  <c r="B4" i="8"/>
  <c r="A4" i="8"/>
  <c r="ES2" i="8"/>
  <c r="EN2" i="8"/>
  <c r="EI2" i="8"/>
  <c r="ED2" i="8"/>
  <c r="DY2" i="8"/>
  <c r="DT2" i="8"/>
  <c r="DO2" i="8"/>
  <c r="DJ2" i="8"/>
  <c r="DE2" i="8"/>
  <c r="CZ2" i="8"/>
  <c r="CU2" i="8"/>
  <c r="CP2" i="8"/>
  <c r="CK2" i="8"/>
  <c r="CF2" i="8"/>
  <c r="CA2" i="8"/>
  <c r="BV2" i="8"/>
  <c r="BQ2" i="8"/>
  <c r="BL2" i="8"/>
  <c r="BG2" i="8"/>
  <c r="BB2" i="8"/>
  <c r="AW2" i="8"/>
  <c r="AR2" i="8"/>
  <c r="AM2" i="8"/>
  <c r="AH2" i="8"/>
  <c r="AC2" i="8"/>
  <c r="X2" i="8"/>
  <c r="S2" i="8"/>
  <c r="N2" i="8"/>
  <c r="I2" i="8"/>
  <c r="D2" i="8"/>
  <c r="A1" i="8"/>
  <c r="ES40" i="6"/>
  <c r="EN40" i="6"/>
  <c r="EI40" i="6"/>
  <c r="ED40" i="6"/>
  <c r="DY40" i="6"/>
  <c r="DT40" i="6"/>
  <c r="DO40" i="6"/>
  <c r="DJ40" i="6"/>
  <c r="DE40" i="6"/>
  <c r="CZ40" i="6"/>
  <c r="CU40" i="6"/>
  <c r="CP40" i="6"/>
  <c r="CK40" i="6"/>
  <c r="CF40" i="6"/>
  <c r="CA40" i="6"/>
  <c r="BV40" i="6"/>
  <c r="BQ40" i="6"/>
  <c r="BL40" i="6"/>
  <c r="BG40" i="6"/>
  <c r="BB40" i="6"/>
  <c r="AW40" i="6"/>
  <c r="AR40" i="6"/>
  <c r="AM40" i="6"/>
  <c r="AH40" i="6"/>
  <c r="AC40" i="6"/>
  <c r="X40" i="6"/>
  <c r="S40" i="6"/>
  <c r="N40" i="6"/>
  <c r="I40" i="6"/>
  <c r="D40" i="6"/>
  <c r="ES39" i="6"/>
  <c r="EN39" i="6"/>
  <c r="EI39" i="6"/>
  <c r="ED39" i="6"/>
  <c r="DY39" i="6"/>
  <c r="DT39" i="6"/>
  <c r="DO39" i="6"/>
  <c r="DJ39" i="6"/>
  <c r="DE39" i="6"/>
  <c r="CZ39" i="6"/>
  <c r="CU39" i="6"/>
  <c r="CP39" i="6"/>
  <c r="CK39" i="6"/>
  <c r="CF39" i="6"/>
  <c r="CA39" i="6"/>
  <c r="BV39" i="6"/>
  <c r="BQ39" i="6"/>
  <c r="BL39" i="6"/>
  <c r="BG39" i="6"/>
  <c r="BB39" i="6"/>
  <c r="S14" i="18" s="1"/>
  <c r="AW39" i="6"/>
  <c r="S13" i="18" s="1"/>
  <c r="AR39" i="6"/>
  <c r="AM39" i="6"/>
  <c r="AH39" i="6"/>
  <c r="AC39" i="6"/>
  <c r="X39" i="6"/>
  <c r="S39" i="6"/>
  <c r="N39" i="6"/>
  <c r="I39" i="6"/>
  <c r="S5" i="18" s="1"/>
  <c r="D39" i="6"/>
  <c r="S4" i="18" s="1"/>
  <c r="ES38" i="6"/>
  <c r="EN38" i="6"/>
  <c r="EI38" i="6"/>
  <c r="ED38" i="6"/>
  <c r="DY38" i="6"/>
  <c r="DT38" i="6"/>
  <c r="DO38" i="6"/>
  <c r="DJ38" i="6"/>
  <c r="DE38" i="6"/>
  <c r="CZ38" i="6"/>
  <c r="CU38" i="6"/>
  <c r="CP38" i="6"/>
  <c r="CK38" i="6"/>
  <c r="CF38" i="6"/>
  <c r="CA38" i="6"/>
  <c r="BV38" i="6"/>
  <c r="BQ38" i="6"/>
  <c r="BL38" i="6"/>
  <c r="BG38" i="6"/>
  <c r="BB38" i="6"/>
  <c r="AW38" i="6"/>
  <c r="R13" i="18" s="1"/>
  <c r="AR38" i="6"/>
  <c r="R12" i="18" s="1"/>
  <c r="AM38" i="6"/>
  <c r="R11" i="18" s="1"/>
  <c r="AH38" i="6"/>
  <c r="AC38" i="6"/>
  <c r="X38" i="6"/>
  <c r="S38" i="6"/>
  <c r="N38" i="6"/>
  <c r="I38" i="6"/>
  <c r="R5" i="18" s="1"/>
  <c r="D38" i="6"/>
  <c r="R4" i="18" s="1"/>
  <c r="ES37" i="6"/>
  <c r="EN37" i="6"/>
  <c r="EI37" i="6"/>
  <c r="ED37" i="6"/>
  <c r="DY37" i="6"/>
  <c r="DT37" i="6"/>
  <c r="DO37" i="6"/>
  <c r="DJ37" i="6"/>
  <c r="DE37" i="6"/>
  <c r="CZ37" i="6"/>
  <c r="CU37" i="6"/>
  <c r="CP37" i="6"/>
  <c r="CK37" i="6"/>
  <c r="CF37" i="6"/>
  <c r="CA37" i="6"/>
  <c r="BV37" i="6"/>
  <c r="BQ37" i="6"/>
  <c r="BL37" i="6"/>
  <c r="AW37" i="6"/>
  <c r="E13" i="18" s="1"/>
  <c r="AR37" i="6"/>
  <c r="AH37" i="6"/>
  <c r="E10" i="18" s="1"/>
  <c r="X37" i="6"/>
  <c r="S37" i="6"/>
  <c r="N37" i="6"/>
  <c r="E6" i="18" s="1"/>
  <c r="I37" i="6"/>
  <c r="E5" i="18" s="1"/>
  <c r="D37" i="6"/>
  <c r="E4" i="18" s="1"/>
  <c r="ES36" i="6"/>
  <c r="EN36" i="6"/>
  <c r="EI36" i="6"/>
  <c r="ED36" i="6"/>
  <c r="DY36" i="6"/>
  <c r="DT36" i="6"/>
  <c r="DO36" i="6"/>
  <c r="DJ36" i="6"/>
  <c r="DE36" i="6"/>
  <c r="CZ36" i="6"/>
  <c r="CU36" i="6"/>
  <c r="CP36" i="6"/>
  <c r="CK36" i="6"/>
  <c r="CF36" i="6"/>
  <c r="CA36" i="6"/>
  <c r="BV36" i="6"/>
  <c r="BQ36" i="6"/>
  <c r="BL36" i="6"/>
  <c r="AW36" i="6"/>
  <c r="AR36" i="6"/>
  <c r="AH36" i="6"/>
  <c r="X36" i="6"/>
  <c r="S36" i="6"/>
  <c r="N36" i="6"/>
  <c r="I36" i="6"/>
  <c r="D36" i="6"/>
  <c r="ES35" i="6"/>
  <c r="EN35" i="6"/>
  <c r="EI35" i="6"/>
  <c r="ED35" i="6"/>
  <c r="DY35" i="6"/>
  <c r="DT35" i="6"/>
  <c r="DO35" i="6"/>
  <c r="DJ35" i="6"/>
  <c r="DE35" i="6"/>
  <c r="CZ35" i="6"/>
  <c r="CU35" i="6"/>
  <c r="CP35" i="6"/>
  <c r="CK35" i="6"/>
  <c r="CF35" i="6"/>
  <c r="CA35" i="6"/>
  <c r="BV35" i="6"/>
  <c r="BQ35" i="6"/>
  <c r="BL35" i="6"/>
  <c r="BB35" i="6"/>
  <c r="AW35" i="6"/>
  <c r="AR35" i="6"/>
  <c r="AM35" i="6"/>
  <c r="AH35" i="6"/>
  <c r="X35" i="6"/>
  <c r="S35" i="6"/>
  <c r="N35" i="6"/>
  <c r="I35" i="6"/>
  <c r="D35" i="6"/>
  <c r="EV34" i="6"/>
  <c r="EU34" i="6"/>
  <c r="EQ34" i="6"/>
  <c r="EP34" i="6"/>
  <c r="EL34" i="6"/>
  <c r="EK34" i="6"/>
  <c r="EG34" i="6"/>
  <c r="EF34" i="6"/>
  <c r="EB34" i="6"/>
  <c r="EA34" i="6"/>
  <c r="DW34" i="6"/>
  <c r="DV34" i="6"/>
  <c r="DR34" i="6"/>
  <c r="DQ34" i="6"/>
  <c r="DM34" i="6"/>
  <c r="DL34" i="6"/>
  <c r="DH34" i="6"/>
  <c r="DG34" i="6"/>
  <c r="DC34" i="6"/>
  <c r="DB34" i="6"/>
  <c r="CX34" i="6"/>
  <c r="CW34" i="6"/>
  <c r="CS34" i="6"/>
  <c r="CR34" i="6"/>
  <c r="CN34" i="6"/>
  <c r="CM34" i="6"/>
  <c r="CI34" i="6"/>
  <c r="CH34" i="6"/>
  <c r="CD34" i="6"/>
  <c r="CC34" i="6"/>
  <c r="BY34" i="6"/>
  <c r="BX34" i="6"/>
  <c r="BT34" i="6"/>
  <c r="BS34" i="6"/>
  <c r="BO34" i="6"/>
  <c r="BN34" i="6"/>
  <c r="BJ34" i="6"/>
  <c r="BI34" i="6"/>
  <c r="BE34" i="6"/>
  <c r="AF34" i="6"/>
  <c r="AE34" i="6"/>
  <c r="C34" i="6"/>
  <c r="B34" i="6"/>
  <c r="A34" i="6"/>
  <c r="EV33" i="6"/>
  <c r="EU33" i="6"/>
  <c r="EQ33" i="6"/>
  <c r="EP33" i="6"/>
  <c r="EL33" i="6"/>
  <c r="EK33" i="6"/>
  <c r="EG33" i="6"/>
  <c r="EF33" i="6"/>
  <c r="EB33" i="6"/>
  <c r="EA33" i="6"/>
  <c r="DW33" i="6"/>
  <c r="DV33" i="6"/>
  <c r="DR33" i="6"/>
  <c r="DQ33" i="6"/>
  <c r="DM33" i="6"/>
  <c r="DL33" i="6"/>
  <c r="DH33" i="6"/>
  <c r="DG33" i="6"/>
  <c r="DC33" i="6"/>
  <c r="DB33" i="6"/>
  <c r="CX33" i="6"/>
  <c r="CW33" i="6"/>
  <c r="CS33" i="6"/>
  <c r="CR33" i="6"/>
  <c r="CN33" i="6"/>
  <c r="CM33" i="6"/>
  <c r="CI33" i="6"/>
  <c r="CH33" i="6"/>
  <c r="CD33" i="6"/>
  <c r="CC33" i="6"/>
  <c r="BY33" i="6"/>
  <c r="BX33" i="6"/>
  <c r="BT33" i="6"/>
  <c r="BS33" i="6"/>
  <c r="BO33" i="6"/>
  <c r="BN33" i="6"/>
  <c r="BJ33" i="6"/>
  <c r="BI33" i="6"/>
  <c r="BE33" i="6"/>
  <c r="AF33" i="6"/>
  <c r="AE33" i="6"/>
  <c r="C33" i="6"/>
  <c r="B33" i="6"/>
  <c r="A33" i="6"/>
  <c r="EV32" i="6"/>
  <c r="EU32" i="6"/>
  <c r="EQ32" i="6"/>
  <c r="EP32" i="6"/>
  <c r="EL32" i="6"/>
  <c r="EK32" i="6"/>
  <c r="EG32" i="6"/>
  <c r="EF32" i="6"/>
  <c r="EB32" i="6"/>
  <c r="EA32" i="6"/>
  <c r="DW32" i="6"/>
  <c r="DV32" i="6"/>
  <c r="DR32" i="6"/>
  <c r="DQ32" i="6"/>
  <c r="DM32" i="6"/>
  <c r="DL32" i="6"/>
  <c r="DH32" i="6"/>
  <c r="DG32" i="6"/>
  <c r="DC32" i="6"/>
  <c r="DB32" i="6"/>
  <c r="CX32" i="6"/>
  <c r="CW32" i="6"/>
  <c r="CS32" i="6"/>
  <c r="CR32" i="6"/>
  <c r="CN32" i="6"/>
  <c r="CM32" i="6"/>
  <c r="CI32" i="6"/>
  <c r="CH32" i="6"/>
  <c r="CD32" i="6"/>
  <c r="CC32" i="6"/>
  <c r="BY32" i="6"/>
  <c r="BX32" i="6"/>
  <c r="BT32" i="6"/>
  <c r="BS32" i="6"/>
  <c r="BO32" i="6"/>
  <c r="BN32" i="6"/>
  <c r="BJ32" i="6"/>
  <c r="BI32" i="6"/>
  <c r="BE32" i="6"/>
  <c r="AF32" i="6"/>
  <c r="AE32" i="6"/>
  <c r="C32" i="6"/>
  <c r="B32" i="6"/>
  <c r="A32" i="6"/>
  <c r="EV31" i="6"/>
  <c r="EU31" i="6"/>
  <c r="EQ31" i="6"/>
  <c r="EP31" i="6"/>
  <c r="EL31" i="6"/>
  <c r="EK31" i="6"/>
  <c r="EG31" i="6"/>
  <c r="EF31" i="6"/>
  <c r="EB31" i="6"/>
  <c r="EA31" i="6"/>
  <c r="DW31" i="6"/>
  <c r="DV31" i="6"/>
  <c r="DR31" i="6"/>
  <c r="DQ31" i="6"/>
  <c r="DM31" i="6"/>
  <c r="DL31" i="6"/>
  <c r="DH31" i="6"/>
  <c r="DG31" i="6"/>
  <c r="DC31" i="6"/>
  <c r="DB31" i="6"/>
  <c r="CX31" i="6"/>
  <c r="CW31" i="6"/>
  <c r="CS31" i="6"/>
  <c r="CR31" i="6"/>
  <c r="CN31" i="6"/>
  <c r="CM31" i="6"/>
  <c r="CI31" i="6"/>
  <c r="CH31" i="6"/>
  <c r="CD31" i="6"/>
  <c r="CC31" i="6"/>
  <c r="BY31" i="6"/>
  <c r="BX31" i="6"/>
  <c r="BT31" i="6"/>
  <c r="BS31" i="6"/>
  <c r="BO31" i="6"/>
  <c r="BN31" i="6"/>
  <c r="BJ31" i="6"/>
  <c r="BI31" i="6"/>
  <c r="BE31" i="6"/>
  <c r="AF31" i="6"/>
  <c r="AE31" i="6"/>
  <c r="C31" i="6"/>
  <c r="B31" i="6"/>
  <c r="A31" i="6"/>
  <c r="EV30" i="6"/>
  <c r="EU30" i="6"/>
  <c r="EQ30" i="6"/>
  <c r="EP30" i="6"/>
  <c r="EL30" i="6"/>
  <c r="EK30" i="6"/>
  <c r="EG30" i="6"/>
  <c r="EF30" i="6"/>
  <c r="EB30" i="6"/>
  <c r="EA30" i="6"/>
  <c r="DW30" i="6"/>
  <c r="DV30" i="6"/>
  <c r="DR30" i="6"/>
  <c r="DQ30" i="6"/>
  <c r="DM30" i="6"/>
  <c r="DL30" i="6"/>
  <c r="DH30" i="6"/>
  <c r="DG30" i="6"/>
  <c r="DC30" i="6"/>
  <c r="DB30" i="6"/>
  <c r="CX30" i="6"/>
  <c r="CW30" i="6"/>
  <c r="CS30" i="6"/>
  <c r="CR30" i="6"/>
  <c r="CN30" i="6"/>
  <c r="CM30" i="6"/>
  <c r="CI30" i="6"/>
  <c r="CH30" i="6"/>
  <c r="CD30" i="6"/>
  <c r="CC30" i="6"/>
  <c r="BY30" i="6"/>
  <c r="BX30" i="6"/>
  <c r="BT30" i="6"/>
  <c r="BS30" i="6"/>
  <c r="BO30" i="6"/>
  <c r="BN30" i="6"/>
  <c r="BJ30" i="6"/>
  <c r="BI30" i="6"/>
  <c r="BE30" i="6"/>
  <c r="AF30" i="6"/>
  <c r="AE30" i="6"/>
  <c r="C30" i="6"/>
  <c r="B30" i="6"/>
  <c r="A30" i="6"/>
  <c r="EV29" i="6"/>
  <c r="EU29" i="6"/>
  <c r="EQ29" i="6"/>
  <c r="EP29" i="6"/>
  <c r="EL29" i="6"/>
  <c r="EK29" i="6"/>
  <c r="EG29" i="6"/>
  <c r="EF29" i="6"/>
  <c r="EB29" i="6"/>
  <c r="EA29" i="6"/>
  <c r="DW29" i="6"/>
  <c r="DV29" i="6"/>
  <c r="DR29" i="6"/>
  <c r="DQ29" i="6"/>
  <c r="DM29" i="6"/>
  <c r="DL29" i="6"/>
  <c r="DH29" i="6"/>
  <c r="DG29" i="6"/>
  <c r="DC29" i="6"/>
  <c r="DB29" i="6"/>
  <c r="CX29" i="6"/>
  <c r="CW29" i="6"/>
  <c r="CS29" i="6"/>
  <c r="CR29" i="6"/>
  <c r="CN29" i="6"/>
  <c r="CM29" i="6"/>
  <c r="CI29" i="6"/>
  <c r="CH29" i="6"/>
  <c r="CD29" i="6"/>
  <c r="CC29" i="6"/>
  <c r="BY29" i="6"/>
  <c r="BX29" i="6"/>
  <c r="BT29" i="6"/>
  <c r="BS29" i="6"/>
  <c r="BO29" i="6"/>
  <c r="BN29" i="6"/>
  <c r="BJ29" i="6"/>
  <c r="BI29" i="6"/>
  <c r="BE29" i="6"/>
  <c r="AF29" i="6"/>
  <c r="AE29" i="6"/>
  <c r="C29" i="6"/>
  <c r="B29" i="6"/>
  <c r="A29" i="6"/>
  <c r="EV28" i="6"/>
  <c r="EU28" i="6"/>
  <c r="EQ28" i="6"/>
  <c r="EP28" i="6"/>
  <c r="EL28" i="6"/>
  <c r="EK28" i="6"/>
  <c r="EG28" i="6"/>
  <c r="EF28" i="6"/>
  <c r="EB28" i="6"/>
  <c r="EA28" i="6"/>
  <c r="DW28" i="6"/>
  <c r="DV28" i="6"/>
  <c r="DR28" i="6"/>
  <c r="DQ28" i="6"/>
  <c r="DM28" i="6"/>
  <c r="DL28" i="6"/>
  <c r="DH28" i="6"/>
  <c r="DG28" i="6"/>
  <c r="DC28" i="6"/>
  <c r="DB28" i="6"/>
  <c r="CX28" i="6"/>
  <c r="CW28" i="6"/>
  <c r="CS28" i="6"/>
  <c r="CR28" i="6"/>
  <c r="CN28" i="6"/>
  <c r="CM28" i="6"/>
  <c r="CI28" i="6"/>
  <c r="CH28" i="6"/>
  <c r="CD28" i="6"/>
  <c r="CC28" i="6"/>
  <c r="BY28" i="6"/>
  <c r="BX28" i="6"/>
  <c r="BT28" i="6"/>
  <c r="BS28" i="6"/>
  <c r="BO28" i="6"/>
  <c r="BN28" i="6"/>
  <c r="BJ28" i="6"/>
  <c r="BI28" i="6"/>
  <c r="BE28" i="6"/>
  <c r="AF28" i="6"/>
  <c r="AE28" i="6"/>
  <c r="C28" i="6"/>
  <c r="B28" i="6"/>
  <c r="A28" i="6"/>
  <c r="EV27" i="6"/>
  <c r="EU27" i="6"/>
  <c r="EQ27" i="6"/>
  <c r="EP27" i="6"/>
  <c r="EL27" i="6"/>
  <c r="EK27" i="6"/>
  <c r="EG27" i="6"/>
  <c r="EF27" i="6"/>
  <c r="EB27" i="6"/>
  <c r="EA27" i="6"/>
  <c r="DW27" i="6"/>
  <c r="DV27" i="6"/>
  <c r="DR27" i="6"/>
  <c r="DQ27" i="6"/>
  <c r="DM27" i="6"/>
  <c r="DL27" i="6"/>
  <c r="DH27" i="6"/>
  <c r="DG27" i="6"/>
  <c r="DC27" i="6"/>
  <c r="DB27" i="6"/>
  <c r="CX27" i="6"/>
  <c r="CW27" i="6"/>
  <c r="CS27" i="6"/>
  <c r="CR27" i="6"/>
  <c r="CN27" i="6"/>
  <c r="CM27" i="6"/>
  <c r="CI27" i="6"/>
  <c r="CH27" i="6"/>
  <c r="CD27" i="6"/>
  <c r="CC27" i="6"/>
  <c r="BY27" i="6"/>
  <c r="BX27" i="6"/>
  <c r="BT27" i="6"/>
  <c r="BS27" i="6"/>
  <c r="BO27" i="6"/>
  <c r="BN27" i="6"/>
  <c r="BJ27" i="6"/>
  <c r="BI27" i="6"/>
  <c r="BE27" i="6"/>
  <c r="AF27" i="6"/>
  <c r="AE27" i="6"/>
  <c r="C27" i="6"/>
  <c r="B27" i="6"/>
  <c r="A27" i="6"/>
  <c r="EV26" i="6"/>
  <c r="EU26" i="6"/>
  <c r="EQ26" i="6"/>
  <c r="EP26" i="6"/>
  <c r="EL26" i="6"/>
  <c r="EK26" i="6"/>
  <c r="EG26" i="6"/>
  <c r="EF26" i="6"/>
  <c r="EB26" i="6"/>
  <c r="EA26" i="6"/>
  <c r="DW26" i="6"/>
  <c r="DV26" i="6"/>
  <c r="DR26" i="6"/>
  <c r="DQ26" i="6"/>
  <c r="DM26" i="6"/>
  <c r="DL26" i="6"/>
  <c r="DH26" i="6"/>
  <c r="DG26" i="6"/>
  <c r="DC26" i="6"/>
  <c r="DB26" i="6"/>
  <c r="CX26" i="6"/>
  <c r="CW26" i="6"/>
  <c r="CS26" i="6"/>
  <c r="CR26" i="6"/>
  <c r="CN26" i="6"/>
  <c r="CM26" i="6"/>
  <c r="CI26" i="6"/>
  <c r="CH26" i="6"/>
  <c r="CD26" i="6"/>
  <c r="CC26" i="6"/>
  <c r="BY26" i="6"/>
  <c r="BX26" i="6"/>
  <c r="BT26" i="6"/>
  <c r="BS26" i="6"/>
  <c r="BO26" i="6"/>
  <c r="BN26" i="6"/>
  <c r="BJ26" i="6"/>
  <c r="BI26" i="6"/>
  <c r="BE26" i="6"/>
  <c r="AF26" i="6"/>
  <c r="AE26" i="6"/>
  <c r="C26" i="6"/>
  <c r="B26" i="6"/>
  <c r="A26" i="6"/>
  <c r="EV25" i="6"/>
  <c r="EU25" i="6"/>
  <c r="EQ25" i="6"/>
  <c r="EP25" i="6"/>
  <c r="EL25" i="6"/>
  <c r="EK25" i="6"/>
  <c r="EG25" i="6"/>
  <c r="EF25" i="6"/>
  <c r="EB25" i="6"/>
  <c r="EA25" i="6"/>
  <c r="DW25" i="6"/>
  <c r="DV25" i="6"/>
  <c r="DR25" i="6"/>
  <c r="DQ25" i="6"/>
  <c r="DM25" i="6"/>
  <c r="DL25" i="6"/>
  <c r="DH25" i="6"/>
  <c r="DG25" i="6"/>
  <c r="DC25" i="6"/>
  <c r="DB25" i="6"/>
  <c r="CX25" i="6"/>
  <c r="CW25" i="6"/>
  <c r="CS25" i="6"/>
  <c r="CR25" i="6"/>
  <c r="CN25" i="6"/>
  <c r="CM25" i="6"/>
  <c r="CI25" i="6"/>
  <c r="CH25" i="6"/>
  <c r="CD25" i="6"/>
  <c r="CC25" i="6"/>
  <c r="BY25" i="6"/>
  <c r="BX25" i="6"/>
  <c r="BT25" i="6"/>
  <c r="BS25" i="6"/>
  <c r="BO25" i="6"/>
  <c r="BN25" i="6"/>
  <c r="BJ25" i="6"/>
  <c r="BI25" i="6"/>
  <c r="BE25" i="6"/>
  <c r="AF25" i="6"/>
  <c r="AE25" i="6"/>
  <c r="C25" i="6"/>
  <c r="B25" i="6"/>
  <c r="A25" i="6"/>
  <c r="EV24" i="6"/>
  <c r="EU24" i="6"/>
  <c r="EQ24" i="6"/>
  <c r="EP24" i="6"/>
  <c r="EL24" i="6"/>
  <c r="EK24" i="6"/>
  <c r="EG24" i="6"/>
  <c r="EF24" i="6"/>
  <c r="EB24" i="6"/>
  <c r="EA24" i="6"/>
  <c r="DW24" i="6"/>
  <c r="DV24" i="6"/>
  <c r="DR24" i="6"/>
  <c r="DQ24" i="6"/>
  <c r="DM24" i="6"/>
  <c r="DL24" i="6"/>
  <c r="DH24" i="6"/>
  <c r="DG24" i="6"/>
  <c r="DC24" i="6"/>
  <c r="DB24" i="6"/>
  <c r="CX24" i="6"/>
  <c r="CW24" i="6"/>
  <c r="CS24" i="6"/>
  <c r="CR24" i="6"/>
  <c r="CN24" i="6"/>
  <c r="CM24" i="6"/>
  <c r="CI24" i="6"/>
  <c r="CH24" i="6"/>
  <c r="CD24" i="6"/>
  <c r="CC24" i="6"/>
  <c r="BY24" i="6"/>
  <c r="BX24" i="6"/>
  <c r="BT24" i="6"/>
  <c r="BS24" i="6"/>
  <c r="BO24" i="6"/>
  <c r="BN24" i="6"/>
  <c r="BJ24" i="6"/>
  <c r="BI24" i="6"/>
  <c r="BE24" i="6"/>
  <c r="AF24" i="6"/>
  <c r="AE24" i="6"/>
  <c r="C24" i="6"/>
  <c r="B24" i="6"/>
  <c r="A24" i="6"/>
  <c r="EV23" i="6"/>
  <c r="EU23" i="6"/>
  <c r="EQ23" i="6"/>
  <c r="EP23" i="6"/>
  <c r="EL23" i="6"/>
  <c r="EK23" i="6"/>
  <c r="EG23" i="6"/>
  <c r="EF23" i="6"/>
  <c r="EB23" i="6"/>
  <c r="EA23" i="6"/>
  <c r="DW23" i="6"/>
  <c r="DV23" i="6"/>
  <c r="DR23" i="6"/>
  <c r="DQ23" i="6"/>
  <c r="DM23" i="6"/>
  <c r="DL23" i="6"/>
  <c r="DH23" i="6"/>
  <c r="DG23" i="6"/>
  <c r="DC23" i="6"/>
  <c r="DB23" i="6"/>
  <c r="CX23" i="6"/>
  <c r="CW23" i="6"/>
  <c r="CS23" i="6"/>
  <c r="CR23" i="6"/>
  <c r="CN23" i="6"/>
  <c r="CM23" i="6"/>
  <c r="CI23" i="6"/>
  <c r="CH23" i="6"/>
  <c r="CD23" i="6"/>
  <c r="CC23" i="6"/>
  <c r="BY23" i="6"/>
  <c r="BX23" i="6"/>
  <c r="BT23" i="6"/>
  <c r="BS23" i="6"/>
  <c r="BO23" i="6"/>
  <c r="BN23" i="6"/>
  <c r="BJ23" i="6"/>
  <c r="BI23" i="6"/>
  <c r="BE23" i="6"/>
  <c r="AF23" i="6"/>
  <c r="AE23" i="6"/>
  <c r="C23" i="6"/>
  <c r="B23" i="6"/>
  <c r="A23" i="6"/>
  <c r="EV22" i="6"/>
  <c r="EU22" i="6"/>
  <c r="EQ22" i="6"/>
  <c r="EP22" i="6"/>
  <c r="EL22" i="6"/>
  <c r="EK22" i="6"/>
  <c r="EG22" i="6"/>
  <c r="EF22" i="6"/>
  <c r="EB22" i="6"/>
  <c r="EA22" i="6"/>
  <c r="DW22" i="6"/>
  <c r="DV22" i="6"/>
  <c r="DR22" i="6"/>
  <c r="DQ22" i="6"/>
  <c r="DM22" i="6"/>
  <c r="DL22" i="6"/>
  <c r="DH22" i="6"/>
  <c r="DG22" i="6"/>
  <c r="DC22" i="6"/>
  <c r="DB22" i="6"/>
  <c r="CX22" i="6"/>
  <c r="CW22" i="6"/>
  <c r="CS22" i="6"/>
  <c r="CR22" i="6"/>
  <c r="CN22" i="6"/>
  <c r="CM22" i="6"/>
  <c r="CI22" i="6"/>
  <c r="CH22" i="6"/>
  <c r="CD22" i="6"/>
  <c r="CC22" i="6"/>
  <c r="BY22" i="6"/>
  <c r="BX22" i="6"/>
  <c r="BT22" i="6"/>
  <c r="BS22" i="6"/>
  <c r="BO22" i="6"/>
  <c r="BN22" i="6"/>
  <c r="BJ22" i="6"/>
  <c r="BI22" i="6"/>
  <c r="BE22" i="6"/>
  <c r="AF22" i="6"/>
  <c r="AE22" i="6"/>
  <c r="C22" i="6"/>
  <c r="B22" i="6"/>
  <c r="A22" i="6"/>
  <c r="EV21" i="6"/>
  <c r="EU21" i="6"/>
  <c r="EQ21" i="6"/>
  <c r="EP21" i="6"/>
  <c r="EL21" i="6"/>
  <c r="EK21" i="6"/>
  <c r="EG21" i="6"/>
  <c r="EF21" i="6"/>
  <c r="EB21" i="6"/>
  <c r="EA21" i="6"/>
  <c r="DW21" i="6"/>
  <c r="DV21" i="6"/>
  <c r="DR21" i="6"/>
  <c r="DQ21" i="6"/>
  <c r="DM21" i="6"/>
  <c r="DL21" i="6"/>
  <c r="DH21" i="6"/>
  <c r="DG21" i="6"/>
  <c r="DC21" i="6"/>
  <c r="DB21" i="6"/>
  <c r="CX21" i="6"/>
  <c r="CW21" i="6"/>
  <c r="CS21" i="6"/>
  <c r="CR21" i="6"/>
  <c r="CN21" i="6"/>
  <c r="CM21" i="6"/>
  <c r="CI21" i="6"/>
  <c r="CH21" i="6"/>
  <c r="CD21" i="6"/>
  <c r="CC21" i="6"/>
  <c r="BY21" i="6"/>
  <c r="BX21" i="6"/>
  <c r="BT21" i="6"/>
  <c r="BS21" i="6"/>
  <c r="BO21" i="6"/>
  <c r="BN21" i="6"/>
  <c r="BJ21" i="6"/>
  <c r="BI21" i="6"/>
  <c r="BE21" i="6"/>
  <c r="AF21" i="6"/>
  <c r="AE21" i="6"/>
  <c r="C21" i="6"/>
  <c r="B21" i="6"/>
  <c r="A21" i="6"/>
  <c r="EV20" i="6"/>
  <c r="EU20" i="6"/>
  <c r="EQ20" i="6"/>
  <c r="EP20" i="6"/>
  <c r="EL20" i="6"/>
  <c r="EK20" i="6"/>
  <c r="EG20" i="6"/>
  <c r="EF20" i="6"/>
  <c r="EB20" i="6"/>
  <c r="EA20" i="6"/>
  <c r="DW20" i="6"/>
  <c r="DV20" i="6"/>
  <c r="DR20" i="6"/>
  <c r="DQ20" i="6"/>
  <c r="DM20" i="6"/>
  <c r="DL20" i="6"/>
  <c r="DH20" i="6"/>
  <c r="DG20" i="6"/>
  <c r="DC20" i="6"/>
  <c r="DB20" i="6"/>
  <c r="CX20" i="6"/>
  <c r="CW20" i="6"/>
  <c r="CS20" i="6"/>
  <c r="CR20" i="6"/>
  <c r="CN20" i="6"/>
  <c r="CM20" i="6"/>
  <c r="CI20" i="6"/>
  <c r="CH20" i="6"/>
  <c r="CD20" i="6"/>
  <c r="CC20" i="6"/>
  <c r="BY20" i="6"/>
  <c r="BX20" i="6"/>
  <c r="BT20" i="6"/>
  <c r="BS20" i="6"/>
  <c r="BO20" i="6"/>
  <c r="BN20" i="6"/>
  <c r="BJ20" i="6"/>
  <c r="BI20" i="6"/>
  <c r="BE20" i="6"/>
  <c r="AF20" i="6"/>
  <c r="AE20" i="6"/>
  <c r="C20" i="6"/>
  <c r="B20" i="6"/>
  <c r="A20" i="6"/>
  <c r="EV19" i="6"/>
  <c r="EU19" i="6"/>
  <c r="EQ19" i="6"/>
  <c r="EP19" i="6"/>
  <c r="EL19" i="6"/>
  <c r="EK19" i="6"/>
  <c r="EG19" i="6"/>
  <c r="EF19" i="6"/>
  <c r="EB19" i="6"/>
  <c r="EA19" i="6"/>
  <c r="DW19" i="6"/>
  <c r="DV19" i="6"/>
  <c r="DR19" i="6"/>
  <c r="DQ19" i="6"/>
  <c r="DM19" i="6"/>
  <c r="DL19" i="6"/>
  <c r="DH19" i="6"/>
  <c r="DG19" i="6"/>
  <c r="DC19" i="6"/>
  <c r="DB19" i="6"/>
  <c r="CX19" i="6"/>
  <c r="CW19" i="6"/>
  <c r="CS19" i="6"/>
  <c r="CR19" i="6"/>
  <c r="CN19" i="6"/>
  <c r="CM19" i="6"/>
  <c r="CI19" i="6"/>
  <c r="CH19" i="6"/>
  <c r="CD19" i="6"/>
  <c r="CC19" i="6"/>
  <c r="BY19" i="6"/>
  <c r="BX19" i="6"/>
  <c r="BT19" i="6"/>
  <c r="BS19" i="6"/>
  <c r="BO19" i="6"/>
  <c r="BN19" i="6"/>
  <c r="BJ19" i="6"/>
  <c r="BI19" i="6"/>
  <c r="BE19" i="6"/>
  <c r="AF19" i="6"/>
  <c r="AE19" i="6"/>
  <c r="C19" i="6"/>
  <c r="B19" i="6"/>
  <c r="A19" i="6"/>
  <c r="EV18" i="6"/>
  <c r="EU18" i="6"/>
  <c r="EQ18" i="6"/>
  <c r="EP18" i="6"/>
  <c r="EL18" i="6"/>
  <c r="EK18" i="6"/>
  <c r="EG18" i="6"/>
  <c r="EF18" i="6"/>
  <c r="EB18" i="6"/>
  <c r="EA18" i="6"/>
  <c r="DW18" i="6"/>
  <c r="DV18" i="6"/>
  <c r="DR18" i="6"/>
  <c r="DQ18" i="6"/>
  <c r="DM18" i="6"/>
  <c r="DL18" i="6"/>
  <c r="DH18" i="6"/>
  <c r="DG18" i="6"/>
  <c r="DC18" i="6"/>
  <c r="DB18" i="6"/>
  <c r="CX18" i="6"/>
  <c r="CW18" i="6"/>
  <c r="CS18" i="6"/>
  <c r="CR18" i="6"/>
  <c r="CN18" i="6"/>
  <c r="CM18" i="6"/>
  <c r="CI18" i="6"/>
  <c r="CH18" i="6"/>
  <c r="CD18" i="6"/>
  <c r="CC18" i="6"/>
  <c r="BY18" i="6"/>
  <c r="BX18" i="6"/>
  <c r="BT18" i="6"/>
  <c r="BS18" i="6"/>
  <c r="BO18" i="6"/>
  <c r="BN18" i="6"/>
  <c r="BJ18" i="6"/>
  <c r="BI18" i="6"/>
  <c r="BE18" i="6"/>
  <c r="AF18" i="6"/>
  <c r="AE18" i="6"/>
  <c r="C18" i="6"/>
  <c r="B18" i="6"/>
  <c r="A18" i="6"/>
  <c r="EV17" i="6"/>
  <c r="EU17" i="6"/>
  <c r="EQ17" i="6"/>
  <c r="EP17" i="6"/>
  <c r="EL17" i="6"/>
  <c r="EK17" i="6"/>
  <c r="EG17" i="6"/>
  <c r="EF17" i="6"/>
  <c r="EB17" i="6"/>
  <c r="EA17" i="6"/>
  <c r="DW17" i="6"/>
  <c r="DV17" i="6"/>
  <c r="DR17" i="6"/>
  <c r="DQ17" i="6"/>
  <c r="DM17" i="6"/>
  <c r="DL17" i="6"/>
  <c r="DH17" i="6"/>
  <c r="DG17" i="6"/>
  <c r="DC17" i="6"/>
  <c r="DB17" i="6"/>
  <c r="CX17" i="6"/>
  <c r="CW17" i="6"/>
  <c r="CS17" i="6"/>
  <c r="CR17" i="6"/>
  <c r="CN17" i="6"/>
  <c r="CM17" i="6"/>
  <c r="CI17" i="6"/>
  <c r="CH17" i="6"/>
  <c r="CD17" i="6"/>
  <c r="CC17" i="6"/>
  <c r="BY17" i="6"/>
  <c r="BX17" i="6"/>
  <c r="BT17" i="6"/>
  <c r="BS17" i="6"/>
  <c r="BO17" i="6"/>
  <c r="BN17" i="6"/>
  <c r="BJ17" i="6"/>
  <c r="BI17" i="6"/>
  <c r="BE17" i="6"/>
  <c r="AF17" i="6"/>
  <c r="AE17" i="6"/>
  <c r="C17" i="6"/>
  <c r="B17" i="6"/>
  <c r="A17" i="6"/>
  <c r="EV16" i="6"/>
  <c r="EU16" i="6"/>
  <c r="EQ16" i="6"/>
  <c r="EP16" i="6"/>
  <c r="EL16" i="6"/>
  <c r="EK16" i="6"/>
  <c r="EG16" i="6"/>
  <c r="EF16" i="6"/>
  <c r="EB16" i="6"/>
  <c r="EA16" i="6"/>
  <c r="DW16" i="6"/>
  <c r="DV16" i="6"/>
  <c r="DR16" i="6"/>
  <c r="DQ16" i="6"/>
  <c r="DM16" i="6"/>
  <c r="DL16" i="6"/>
  <c r="DH16" i="6"/>
  <c r="DG16" i="6"/>
  <c r="DC16" i="6"/>
  <c r="DB16" i="6"/>
  <c r="CX16" i="6"/>
  <c r="CW16" i="6"/>
  <c r="CS16" i="6"/>
  <c r="CR16" i="6"/>
  <c r="CN16" i="6"/>
  <c r="CM16" i="6"/>
  <c r="CI16" i="6"/>
  <c r="CH16" i="6"/>
  <c r="CD16" i="6"/>
  <c r="CC16" i="6"/>
  <c r="BY16" i="6"/>
  <c r="BX16" i="6"/>
  <c r="BT16" i="6"/>
  <c r="BS16" i="6"/>
  <c r="BO16" i="6"/>
  <c r="BN16" i="6"/>
  <c r="BJ16" i="6"/>
  <c r="BI16" i="6"/>
  <c r="BE16" i="6"/>
  <c r="AF16" i="6"/>
  <c r="AE16" i="6"/>
  <c r="C16" i="6"/>
  <c r="B16" i="6"/>
  <c r="A16" i="6"/>
  <c r="EV15" i="6"/>
  <c r="EU15" i="6"/>
  <c r="EQ15" i="6"/>
  <c r="EP15" i="6"/>
  <c r="EL15" i="6"/>
  <c r="EK15" i="6"/>
  <c r="EG15" i="6"/>
  <c r="EF15" i="6"/>
  <c r="EB15" i="6"/>
  <c r="EA15" i="6"/>
  <c r="DW15" i="6"/>
  <c r="DV15" i="6"/>
  <c r="DR15" i="6"/>
  <c r="DQ15" i="6"/>
  <c r="DM15" i="6"/>
  <c r="DL15" i="6"/>
  <c r="DH15" i="6"/>
  <c r="DG15" i="6"/>
  <c r="DC15" i="6"/>
  <c r="DB15" i="6"/>
  <c r="CX15" i="6"/>
  <c r="CW15" i="6"/>
  <c r="CS15" i="6"/>
  <c r="CR15" i="6"/>
  <c r="CN15" i="6"/>
  <c r="CM15" i="6"/>
  <c r="CI15" i="6"/>
  <c r="CH15" i="6"/>
  <c r="CD15" i="6"/>
  <c r="CC15" i="6"/>
  <c r="BY15" i="6"/>
  <c r="BX15" i="6"/>
  <c r="BT15" i="6"/>
  <c r="BS15" i="6"/>
  <c r="BO15" i="6"/>
  <c r="BN15" i="6"/>
  <c r="BJ15" i="6"/>
  <c r="BI15" i="6"/>
  <c r="BE15" i="6"/>
  <c r="AF15" i="6"/>
  <c r="AE15" i="6"/>
  <c r="C15" i="6"/>
  <c r="B15" i="6"/>
  <c r="A15" i="6"/>
  <c r="EV14" i="6"/>
  <c r="EU14" i="6"/>
  <c r="EQ14" i="6"/>
  <c r="EP14" i="6"/>
  <c r="EL14" i="6"/>
  <c r="EK14" i="6"/>
  <c r="EG14" i="6"/>
  <c r="EF14" i="6"/>
  <c r="EB14" i="6"/>
  <c r="EA14" i="6"/>
  <c r="DW14" i="6"/>
  <c r="DV14" i="6"/>
  <c r="DR14" i="6"/>
  <c r="DQ14" i="6"/>
  <c r="DM14" i="6"/>
  <c r="DL14" i="6"/>
  <c r="DH14" i="6"/>
  <c r="DG14" i="6"/>
  <c r="DC14" i="6"/>
  <c r="DB14" i="6"/>
  <c r="CX14" i="6"/>
  <c r="CW14" i="6"/>
  <c r="CS14" i="6"/>
  <c r="CR14" i="6"/>
  <c r="CN14" i="6"/>
  <c r="CM14" i="6"/>
  <c r="CI14" i="6"/>
  <c r="CH14" i="6"/>
  <c r="CD14" i="6"/>
  <c r="CC14" i="6"/>
  <c r="BY14" i="6"/>
  <c r="BX14" i="6"/>
  <c r="BT14" i="6"/>
  <c r="BS14" i="6"/>
  <c r="BO14" i="6"/>
  <c r="BN14" i="6"/>
  <c r="BJ14" i="6"/>
  <c r="BI14" i="6"/>
  <c r="BE14" i="6"/>
  <c r="AF14" i="6"/>
  <c r="AE14" i="6"/>
  <c r="C14" i="6"/>
  <c r="B14" i="6"/>
  <c r="A14" i="6"/>
  <c r="EV13" i="6"/>
  <c r="EU13" i="6"/>
  <c r="EQ13" i="6"/>
  <c r="EP13" i="6"/>
  <c r="EL13" i="6"/>
  <c r="EK13" i="6"/>
  <c r="EG13" i="6"/>
  <c r="EF13" i="6"/>
  <c r="EB13" i="6"/>
  <c r="EA13" i="6"/>
  <c r="DW13" i="6"/>
  <c r="DV13" i="6"/>
  <c r="DR13" i="6"/>
  <c r="DQ13" i="6"/>
  <c r="DM13" i="6"/>
  <c r="DL13" i="6"/>
  <c r="DH13" i="6"/>
  <c r="DG13" i="6"/>
  <c r="DC13" i="6"/>
  <c r="DB13" i="6"/>
  <c r="CX13" i="6"/>
  <c r="CW13" i="6"/>
  <c r="CS13" i="6"/>
  <c r="CR13" i="6"/>
  <c r="CN13" i="6"/>
  <c r="CM13" i="6"/>
  <c r="CI13" i="6"/>
  <c r="CH13" i="6"/>
  <c r="CD13" i="6"/>
  <c r="CC13" i="6"/>
  <c r="BY13" i="6"/>
  <c r="BX13" i="6"/>
  <c r="BT13" i="6"/>
  <c r="BS13" i="6"/>
  <c r="BO13" i="6"/>
  <c r="BN13" i="6"/>
  <c r="BJ13" i="6"/>
  <c r="BI13" i="6"/>
  <c r="BE13" i="6"/>
  <c r="AF13" i="6"/>
  <c r="AE13" i="6"/>
  <c r="C13" i="6"/>
  <c r="B13" i="6"/>
  <c r="A13" i="6"/>
  <c r="EV12" i="6"/>
  <c r="EU12" i="6"/>
  <c r="EQ12" i="6"/>
  <c r="EP12" i="6"/>
  <c r="EL12" i="6"/>
  <c r="EK12" i="6"/>
  <c r="EG12" i="6"/>
  <c r="EF12" i="6"/>
  <c r="EB12" i="6"/>
  <c r="EA12" i="6"/>
  <c r="DW12" i="6"/>
  <c r="DV12" i="6"/>
  <c r="DR12" i="6"/>
  <c r="DQ12" i="6"/>
  <c r="DM12" i="6"/>
  <c r="DL12" i="6"/>
  <c r="DH12" i="6"/>
  <c r="DG12" i="6"/>
  <c r="DC12" i="6"/>
  <c r="DB12" i="6"/>
  <c r="CX12" i="6"/>
  <c r="CW12" i="6"/>
  <c r="CS12" i="6"/>
  <c r="CR12" i="6"/>
  <c r="CN12" i="6"/>
  <c r="CM12" i="6"/>
  <c r="CI12" i="6"/>
  <c r="CH12" i="6"/>
  <c r="CD12" i="6"/>
  <c r="CC12" i="6"/>
  <c r="BY12" i="6"/>
  <c r="BX12" i="6"/>
  <c r="BT12" i="6"/>
  <c r="BS12" i="6"/>
  <c r="BO12" i="6"/>
  <c r="BN12" i="6"/>
  <c r="BJ12" i="6"/>
  <c r="BI12" i="6"/>
  <c r="BE12" i="6"/>
  <c r="AF12" i="6"/>
  <c r="AE12" i="6"/>
  <c r="C12" i="6"/>
  <c r="B12" i="6"/>
  <c r="A12" i="6"/>
  <c r="EV11" i="6"/>
  <c r="EU11" i="6"/>
  <c r="EQ11" i="6"/>
  <c r="EP11" i="6"/>
  <c r="EL11" i="6"/>
  <c r="EK11" i="6"/>
  <c r="EG11" i="6"/>
  <c r="EF11" i="6"/>
  <c r="EB11" i="6"/>
  <c r="EA11" i="6"/>
  <c r="DW11" i="6"/>
  <c r="DV11" i="6"/>
  <c r="DR11" i="6"/>
  <c r="DQ11" i="6"/>
  <c r="DM11" i="6"/>
  <c r="DL11" i="6"/>
  <c r="DH11" i="6"/>
  <c r="DG11" i="6"/>
  <c r="DC11" i="6"/>
  <c r="DB11" i="6"/>
  <c r="CX11" i="6"/>
  <c r="CW11" i="6"/>
  <c r="CS11" i="6"/>
  <c r="CR11" i="6"/>
  <c r="CN11" i="6"/>
  <c r="CM11" i="6"/>
  <c r="CI11" i="6"/>
  <c r="CH11" i="6"/>
  <c r="CD11" i="6"/>
  <c r="CC11" i="6"/>
  <c r="BY11" i="6"/>
  <c r="BX11" i="6"/>
  <c r="BT11" i="6"/>
  <c r="BS11" i="6"/>
  <c r="BO11" i="6"/>
  <c r="BN11" i="6"/>
  <c r="BJ11" i="6"/>
  <c r="BI11" i="6"/>
  <c r="BE11" i="6"/>
  <c r="AF11" i="6"/>
  <c r="AE11" i="6"/>
  <c r="C11" i="6"/>
  <c r="B11" i="6"/>
  <c r="A11" i="6"/>
  <c r="EV10" i="6"/>
  <c r="EU10" i="6"/>
  <c r="EQ10" i="6"/>
  <c r="EP10" i="6"/>
  <c r="EL10" i="6"/>
  <c r="EK10" i="6"/>
  <c r="EG10" i="6"/>
  <c r="EF10" i="6"/>
  <c r="EB10" i="6"/>
  <c r="EA10" i="6"/>
  <c r="DW10" i="6"/>
  <c r="DV10" i="6"/>
  <c r="DR10" i="6"/>
  <c r="DQ10" i="6"/>
  <c r="DM10" i="6"/>
  <c r="DL10" i="6"/>
  <c r="DH10" i="6"/>
  <c r="DG10" i="6"/>
  <c r="DC10" i="6"/>
  <c r="DB10" i="6"/>
  <c r="CX10" i="6"/>
  <c r="CW10" i="6"/>
  <c r="CS10" i="6"/>
  <c r="CR10" i="6"/>
  <c r="CN10" i="6"/>
  <c r="CM10" i="6"/>
  <c r="CI10" i="6"/>
  <c r="CH10" i="6"/>
  <c r="CD10" i="6"/>
  <c r="CC10" i="6"/>
  <c r="BY10" i="6"/>
  <c r="BX10" i="6"/>
  <c r="BT10" i="6"/>
  <c r="BS10" i="6"/>
  <c r="BO10" i="6"/>
  <c r="BN10" i="6"/>
  <c r="BJ10" i="6"/>
  <c r="BI10" i="6"/>
  <c r="BE10" i="6"/>
  <c r="AF10" i="6"/>
  <c r="AE10" i="6"/>
  <c r="C10" i="6"/>
  <c r="B10" i="6"/>
  <c r="A10" i="6"/>
  <c r="EV9" i="6"/>
  <c r="EU9" i="6"/>
  <c r="EQ9" i="6"/>
  <c r="EP9" i="6"/>
  <c r="EL9" i="6"/>
  <c r="EK9" i="6"/>
  <c r="EG9" i="6"/>
  <c r="EF9" i="6"/>
  <c r="EB9" i="6"/>
  <c r="EA9" i="6"/>
  <c r="DW9" i="6"/>
  <c r="DV9" i="6"/>
  <c r="DR9" i="6"/>
  <c r="DQ9" i="6"/>
  <c r="DM9" i="6"/>
  <c r="DL9" i="6"/>
  <c r="DH9" i="6"/>
  <c r="DG9" i="6"/>
  <c r="DC9" i="6"/>
  <c r="DB9" i="6"/>
  <c r="CX9" i="6"/>
  <c r="CW9" i="6"/>
  <c r="CS9" i="6"/>
  <c r="CR9" i="6"/>
  <c r="CN9" i="6"/>
  <c r="CM9" i="6"/>
  <c r="CI9" i="6"/>
  <c r="CH9" i="6"/>
  <c r="CD9" i="6"/>
  <c r="CC9" i="6"/>
  <c r="BY9" i="6"/>
  <c r="BX9" i="6"/>
  <c r="BT9" i="6"/>
  <c r="BS9" i="6"/>
  <c r="BO9" i="6"/>
  <c r="BN9" i="6"/>
  <c r="BJ9" i="6"/>
  <c r="BI9" i="6"/>
  <c r="BE9" i="6"/>
  <c r="AF9" i="6"/>
  <c r="AE9" i="6"/>
  <c r="C9" i="6"/>
  <c r="B9" i="6"/>
  <c r="A9" i="6"/>
  <c r="EV8" i="6"/>
  <c r="EU8" i="6"/>
  <c r="EQ8" i="6"/>
  <c r="EP8" i="6"/>
  <c r="EL8" i="6"/>
  <c r="EK8" i="6"/>
  <c r="EG8" i="6"/>
  <c r="EF8" i="6"/>
  <c r="EB8" i="6"/>
  <c r="EA8" i="6"/>
  <c r="DW8" i="6"/>
  <c r="DV8" i="6"/>
  <c r="DR8" i="6"/>
  <c r="DQ8" i="6"/>
  <c r="DM8" i="6"/>
  <c r="DL8" i="6"/>
  <c r="DH8" i="6"/>
  <c r="DG8" i="6"/>
  <c r="DC8" i="6"/>
  <c r="DB8" i="6"/>
  <c r="CX8" i="6"/>
  <c r="CW8" i="6"/>
  <c r="CS8" i="6"/>
  <c r="CR8" i="6"/>
  <c r="CN8" i="6"/>
  <c r="CM8" i="6"/>
  <c r="CI8" i="6"/>
  <c r="CH8" i="6"/>
  <c r="CD8" i="6"/>
  <c r="CC8" i="6"/>
  <c r="BY8" i="6"/>
  <c r="BX8" i="6"/>
  <c r="BT8" i="6"/>
  <c r="BS8" i="6"/>
  <c r="BO8" i="6"/>
  <c r="BN8" i="6"/>
  <c r="BJ8" i="6"/>
  <c r="BG36" i="6" s="1"/>
  <c r="BI8" i="6"/>
  <c r="BE8" i="6"/>
  <c r="AM36" i="6"/>
  <c r="AF8" i="6"/>
  <c r="AE8" i="6"/>
  <c r="C8" i="6"/>
  <c r="B8" i="6"/>
  <c r="A8" i="6"/>
  <c r="EV7" i="6"/>
  <c r="EU7" i="6"/>
  <c r="EQ7" i="6"/>
  <c r="EP7" i="6"/>
  <c r="EL7" i="6"/>
  <c r="EK7" i="6"/>
  <c r="EG7" i="6"/>
  <c r="EF7" i="6"/>
  <c r="EB7" i="6"/>
  <c r="EA7" i="6"/>
  <c r="DW7" i="6"/>
  <c r="DV7" i="6"/>
  <c r="DR7" i="6"/>
  <c r="DQ7" i="6"/>
  <c r="DM7" i="6"/>
  <c r="DL7" i="6"/>
  <c r="DH7" i="6"/>
  <c r="DG7" i="6"/>
  <c r="DC7" i="6"/>
  <c r="DB7" i="6"/>
  <c r="CX7" i="6"/>
  <c r="CW7" i="6"/>
  <c r="CS7" i="6"/>
  <c r="CR7" i="6"/>
  <c r="CN7" i="6"/>
  <c r="CM7" i="6"/>
  <c r="CI7" i="6"/>
  <c r="CH7" i="6"/>
  <c r="CD7" i="6"/>
  <c r="CC7" i="6"/>
  <c r="BY7" i="6"/>
  <c r="BX7" i="6"/>
  <c r="BT7" i="6"/>
  <c r="BS7" i="6"/>
  <c r="BO7" i="6"/>
  <c r="BN7" i="6"/>
  <c r="BJ7" i="6"/>
  <c r="BI7" i="6"/>
  <c r="BE7" i="6"/>
  <c r="AF7" i="6"/>
  <c r="AE7" i="6"/>
  <c r="C7" i="6"/>
  <c r="B7" i="6"/>
  <c r="A7" i="6"/>
  <c r="EV6" i="6"/>
  <c r="EU6" i="6"/>
  <c r="EQ6" i="6"/>
  <c r="EP6" i="6"/>
  <c r="EL6" i="6"/>
  <c r="EK6" i="6"/>
  <c r="EG6" i="6"/>
  <c r="EF6" i="6"/>
  <c r="EB6" i="6"/>
  <c r="EA6" i="6"/>
  <c r="DW6" i="6"/>
  <c r="DV6" i="6"/>
  <c r="DR6" i="6"/>
  <c r="DQ6" i="6"/>
  <c r="DM6" i="6"/>
  <c r="DL6" i="6"/>
  <c r="DH6" i="6"/>
  <c r="DG6" i="6"/>
  <c r="DC6" i="6"/>
  <c r="DB6" i="6"/>
  <c r="CX6" i="6"/>
  <c r="CW6" i="6"/>
  <c r="CS6" i="6"/>
  <c r="CR6" i="6"/>
  <c r="CN6" i="6"/>
  <c r="CM6" i="6"/>
  <c r="CI6" i="6"/>
  <c r="CH6" i="6"/>
  <c r="CD6" i="6"/>
  <c r="CC6" i="6"/>
  <c r="BY6" i="6"/>
  <c r="BX6" i="6"/>
  <c r="BT6" i="6"/>
  <c r="BS6" i="6"/>
  <c r="BO6" i="6"/>
  <c r="BN6" i="6"/>
  <c r="BJ6" i="6"/>
  <c r="BI6" i="6"/>
  <c r="BG35" i="6" s="1"/>
  <c r="BE6" i="6"/>
  <c r="AF6" i="6"/>
  <c r="AE6" i="6"/>
  <c r="C6" i="6"/>
  <c r="B6" i="6"/>
  <c r="A6" i="6"/>
  <c r="EV5" i="6"/>
  <c r="EU5" i="6"/>
  <c r="EQ5" i="6"/>
  <c r="EP5" i="6"/>
  <c r="EL5" i="6"/>
  <c r="EK5" i="6"/>
  <c r="EG5" i="6"/>
  <c r="EF5" i="6"/>
  <c r="EB5" i="6"/>
  <c r="EA5" i="6"/>
  <c r="DW5" i="6"/>
  <c r="DV5" i="6"/>
  <c r="DR5" i="6"/>
  <c r="DQ5" i="6"/>
  <c r="DM5" i="6"/>
  <c r="DL5" i="6"/>
  <c r="DH5" i="6"/>
  <c r="DG5" i="6"/>
  <c r="DC5" i="6"/>
  <c r="DB5" i="6"/>
  <c r="CX5" i="6"/>
  <c r="CW5" i="6"/>
  <c r="CS5" i="6"/>
  <c r="CR5" i="6"/>
  <c r="CN5" i="6"/>
  <c r="CM5" i="6"/>
  <c r="CI5" i="6"/>
  <c r="CH5" i="6"/>
  <c r="CD5" i="6"/>
  <c r="CC5" i="6"/>
  <c r="BY5" i="6"/>
  <c r="BX5" i="6"/>
  <c r="BT5" i="6"/>
  <c r="BS5" i="6"/>
  <c r="BO5" i="6"/>
  <c r="BN5" i="6"/>
  <c r="BJ5" i="6"/>
  <c r="BI5" i="6"/>
  <c r="BE5" i="6"/>
  <c r="BB36" i="6" s="1"/>
  <c r="BB37" i="6" s="1"/>
  <c r="E14" i="18" s="1"/>
  <c r="AF5" i="6"/>
  <c r="AE5" i="6"/>
  <c r="C5" i="6"/>
  <c r="B5" i="6"/>
  <c r="A5" i="6"/>
  <c r="EV4" i="6"/>
  <c r="EU4" i="6"/>
  <c r="EQ4" i="6"/>
  <c r="EP4" i="6"/>
  <c r="EL4" i="6"/>
  <c r="EK4" i="6"/>
  <c r="EG4" i="6"/>
  <c r="EF4" i="6"/>
  <c r="EB4" i="6"/>
  <c r="EA4" i="6"/>
  <c r="DW4" i="6"/>
  <c r="DV4" i="6"/>
  <c r="DR4" i="6"/>
  <c r="DQ4" i="6"/>
  <c r="DM4" i="6"/>
  <c r="DL4" i="6"/>
  <c r="DH4" i="6"/>
  <c r="DG4" i="6"/>
  <c r="DC4" i="6"/>
  <c r="DB4" i="6"/>
  <c r="CX4" i="6"/>
  <c r="CW4" i="6"/>
  <c r="CS4" i="6"/>
  <c r="CR4" i="6"/>
  <c r="CN4" i="6"/>
  <c r="CM4" i="6"/>
  <c r="CI4" i="6"/>
  <c r="CH4" i="6"/>
  <c r="CD4" i="6"/>
  <c r="CC4" i="6"/>
  <c r="BY4" i="6"/>
  <c r="BX4" i="6"/>
  <c r="BT4" i="6"/>
  <c r="BS4" i="6"/>
  <c r="BO4" i="6"/>
  <c r="BN4" i="6"/>
  <c r="BJ4" i="6"/>
  <c r="BI4" i="6"/>
  <c r="BE4" i="6"/>
  <c r="BD4" i="6"/>
  <c r="AZ4" i="6"/>
  <c r="AY4" i="6"/>
  <c r="AU4" i="6"/>
  <c r="AT4" i="6"/>
  <c r="AP4" i="6"/>
  <c r="AO4" i="6"/>
  <c r="AK4" i="6"/>
  <c r="AJ4" i="6"/>
  <c r="AF4" i="6"/>
  <c r="AC36" i="6" s="1"/>
  <c r="AE4" i="6"/>
  <c r="AC35" i="6" s="1"/>
  <c r="AC37" i="6" s="1"/>
  <c r="E9" i="18" s="1"/>
  <c r="C4" i="6"/>
  <c r="B4" i="6"/>
  <c r="A4" i="6"/>
  <c r="ES2" i="6"/>
  <c r="EN2" i="6"/>
  <c r="EI2" i="6"/>
  <c r="ED2" i="6"/>
  <c r="DY2" i="6"/>
  <c r="DT2" i="6"/>
  <c r="DO2" i="6"/>
  <c r="DJ2" i="6"/>
  <c r="DE2" i="6"/>
  <c r="CZ2" i="6"/>
  <c r="CU2" i="6"/>
  <c r="CP2" i="6"/>
  <c r="CK2" i="6"/>
  <c r="CF2" i="6"/>
  <c r="CA2" i="6"/>
  <c r="BV2" i="6"/>
  <c r="BQ2" i="6"/>
  <c r="BL2" i="6"/>
  <c r="BG2" i="6"/>
  <c r="BB2" i="6"/>
  <c r="AW2" i="6"/>
  <c r="AR2" i="6"/>
  <c r="AM2" i="6"/>
  <c r="AH2" i="6"/>
  <c r="AC2" i="6"/>
  <c r="X2" i="6"/>
  <c r="S2" i="6"/>
  <c r="N2" i="6"/>
  <c r="I2" i="6"/>
  <c r="D2" i="6"/>
  <c r="A1" i="6"/>
  <c r="ES40" i="5"/>
  <c r="EN40" i="5"/>
  <c r="EI40" i="5"/>
  <c r="ED40" i="5"/>
  <c r="DY40" i="5"/>
  <c r="DT40" i="5"/>
  <c r="DO40" i="5"/>
  <c r="DJ40" i="5"/>
  <c r="DE40" i="5"/>
  <c r="CZ40" i="5"/>
  <c r="CU40" i="5"/>
  <c r="CP40" i="5"/>
  <c r="CK40" i="5"/>
  <c r="CF40" i="5"/>
  <c r="CA40" i="5"/>
  <c r="BV40" i="5"/>
  <c r="BQ40" i="5"/>
  <c r="BL40" i="5"/>
  <c r="BG40" i="5"/>
  <c r="BB40" i="5"/>
  <c r="AW40" i="5"/>
  <c r="AR40" i="5"/>
  <c r="AM40" i="5"/>
  <c r="AH40" i="5"/>
  <c r="AC40" i="5"/>
  <c r="X40" i="5"/>
  <c r="S40" i="5"/>
  <c r="N40" i="5"/>
  <c r="I40" i="5"/>
  <c r="D40" i="5"/>
  <c r="ES39" i="5"/>
  <c r="EN39" i="5"/>
  <c r="EI39" i="5"/>
  <c r="ED39" i="5"/>
  <c r="DY39" i="5"/>
  <c r="DT39" i="5"/>
  <c r="DO39" i="5"/>
  <c r="DJ39" i="5"/>
  <c r="DE39" i="5"/>
  <c r="CZ39" i="5"/>
  <c r="CU39" i="5"/>
  <c r="CP39" i="5"/>
  <c r="CK39" i="5"/>
  <c r="CF39" i="5"/>
  <c r="CA39" i="5"/>
  <c r="BV39" i="5"/>
  <c r="BQ39" i="5"/>
  <c r="BL39" i="5"/>
  <c r="BG39" i="5"/>
  <c r="BB39" i="5"/>
  <c r="AW39" i="5"/>
  <c r="AR39" i="5"/>
  <c r="AM39" i="5"/>
  <c r="AH39" i="5"/>
  <c r="S10" i="18" s="1"/>
  <c r="AC39" i="5"/>
  <c r="X39" i="5"/>
  <c r="S39" i="5"/>
  <c r="N39" i="5"/>
  <c r="I39" i="5"/>
  <c r="D39" i="5"/>
  <c r="ES38" i="5"/>
  <c r="EN38" i="5"/>
  <c r="EI38" i="5"/>
  <c r="ED38" i="5"/>
  <c r="DY38" i="5"/>
  <c r="DT38" i="5"/>
  <c r="DO38" i="5"/>
  <c r="DJ38" i="5"/>
  <c r="DE38" i="5"/>
  <c r="CZ38" i="5"/>
  <c r="CU38" i="5"/>
  <c r="CP38" i="5"/>
  <c r="CK38" i="5"/>
  <c r="CF38" i="5"/>
  <c r="CA38" i="5"/>
  <c r="BV38" i="5"/>
  <c r="BQ38" i="5"/>
  <c r="BL38" i="5"/>
  <c r="BG38" i="5"/>
  <c r="BB38" i="5"/>
  <c r="AW38" i="5"/>
  <c r="AR38" i="5"/>
  <c r="AM38" i="5"/>
  <c r="AH38" i="5"/>
  <c r="R10" i="18" s="1"/>
  <c r="AC38" i="5"/>
  <c r="X38" i="5"/>
  <c r="S38" i="5"/>
  <c r="N38" i="5"/>
  <c r="I38" i="5"/>
  <c r="D38" i="5"/>
  <c r="ES37" i="5"/>
  <c r="EN37" i="5"/>
  <c r="EI37" i="5"/>
  <c r="ED37" i="5"/>
  <c r="DY37" i="5"/>
  <c r="DT37" i="5"/>
  <c r="DO37" i="5"/>
  <c r="DJ37" i="5"/>
  <c r="DE37" i="5"/>
  <c r="CZ37" i="5"/>
  <c r="CU37" i="5"/>
  <c r="CP37" i="5"/>
  <c r="CK37" i="5"/>
  <c r="CF37" i="5"/>
  <c r="CA37" i="5"/>
  <c r="BV37" i="5"/>
  <c r="BQ37" i="5"/>
  <c r="BL37" i="5"/>
  <c r="ES36" i="5"/>
  <c r="EN36" i="5"/>
  <c r="EI36" i="5"/>
  <c r="ED36" i="5"/>
  <c r="DY36" i="5"/>
  <c r="DT36" i="5"/>
  <c r="DO36" i="5"/>
  <c r="DJ36" i="5"/>
  <c r="DE36" i="5"/>
  <c r="CZ36" i="5"/>
  <c r="CU36" i="5"/>
  <c r="CP36" i="5"/>
  <c r="CK36" i="5"/>
  <c r="CF36" i="5"/>
  <c r="CA36" i="5"/>
  <c r="BV36" i="5"/>
  <c r="BQ36" i="5"/>
  <c r="BL36" i="5"/>
  <c r="AW36" i="5"/>
  <c r="AR36" i="5"/>
  <c r="AM36" i="5"/>
  <c r="AH36" i="5"/>
  <c r="ES35" i="5"/>
  <c r="EN35" i="5"/>
  <c r="EI35" i="5"/>
  <c r="ED35" i="5"/>
  <c r="DY35" i="5"/>
  <c r="DT35" i="5"/>
  <c r="DO35" i="5"/>
  <c r="DJ35" i="5"/>
  <c r="DE35" i="5"/>
  <c r="CZ35" i="5"/>
  <c r="CU35" i="5"/>
  <c r="CP35" i="5"/>
  <c r="CK35" i="5"/>
  <c r="CF35" i="5"/>
  <c r="CA35" i="5"/>
  <c r="BV35" i="5"/>
  <c r="BQ35" i="5"/>
  <c r="BL35" i="5"/>
  <c r="AW35" i="5"/>
  <c r="AW37" i="5" s="1"/>
  <c r="D13" i="18" s="1"/>
  <c r="AR35" i="5"/>
  <c r="AR37" i="5" s="1"/>
  <c r="D12" i="18" s="1"/>
  <c r="AM35" i="5"/>
  <c r="AM37" i="5" s="1"/>
  <c r="D11" i="18" s="1"/>
  <c r="AH35" i="5"/>
  <c r="AH37" i="5" s="1"/>
  <c r="D10" i="18" s="1"/>
  <c r="EV34" i="5"/>
  <c r="EU34" i="5"/>
  <c r="EQ34" i="5"/>
  <c r="EP34" i="5"/>
  <c r="EL34" i="5"/>
  <c r="EK34" i="5"/>
  <c r="EG34" i="5"/>
  <c r="EF34" i="5"/>
  <c r="EB34" i="5"/>
  <c r="EA34" i="5"/>
  <c r="DW34" i="5"/>
  <c r="DV34" i="5"/>
  <c r="DR34" i="5"/>
  <c r="DQ34" i="5"/>
  <c r="DM34" i="5"/>
  <c r="DL34" i="5"/>
  <c r="DH34" i="5"/>
  <c r="DG34" i="5"/>
  <c r="DC34" i="5"/>
  <c r="DB34" i="5"/>
  <c r="CX34" i="5"/>
  <c r="CW34" i="5"/>
  <c r="CS34" i="5"/>
  <c r="CR34" i="5"/>
  <c r="CN34" i="5"/>
  <c r="CM34" i="5"/>
  <c r="CI34" i="5"/>
  <c r="CH34" i="5"/>
  <c r="CD34" i="5"/>
  <c r="CC34" i="5"/>
  <c r="BY34" i="5"/>
  <c r="BX34" i="5"/>
  <c r="BT34" i="5"/>
  <c r="BS34" i="5"/>
  <c r="BO34" i="5"/>
  <c r="BN34" i="5"/>
  <c r="BJ34" i="5"/>
  <c r="BI34" i="5"/>
  <c r="BE34" i="5"/>
  <c r="BD34" i="5"/>
  <c r="AF34" i="5"/>
  <c r="AE34" i="5"/>
  <c r="AA34" i="5"/>
  <c r="Z34" i="5"/>
  <c r="V34" i="5"/>
  <c r="U34" i="5"/>
  <c r="Q34" i="5"/>
  <c r="P34" i="5"/>
  <c r="L34" i="5"/>
  <c r="K34" i="5"/>
  <c r="G34" i="5"/>
  <c r="F34" i="5"/>
  <c r="C34" i="5"/>
  <c r="B34" i="5"/>
  <c r="A34" i="5"/>
  <c r="EV33" i="5"/>
  <c r="EU33" i="5"/>
  <c r="EQ33" i="5"/>
  <c r="EP33" i="5"/>
  <c r="EL33" i="5"/>
  <c r="EK33" i="5"/>
  <c r="EG33" i="5"/>
  <c r="EF33" i="5"/>
  <c r="EB33" i="5"/>
  <c r="EA33" i="5"/>
  <c r="DW33" i="5"/>
  <c r="DV33" i="5"/>
  <c r="DR33" i="5"/>
  <c r="DQ33" i="5"/>
  <c r="DM33" i="5"/>
  <c r="DL33" i="5"/>
  <c r="DH33" i="5"/>
  <c r="DG33" i="5"/>
  <c r="DC33" i="5"/>
  <c r="DB33" i="5"/>
  <c r="CX33" i="5"/>
  <c r="CW33" i="5"/>
  <c r="CS33" i="5"/>
  <c r="CR33" i="5"/>
  <c r="CN33" i="5"/>
  <c r="CM33" i="5"/>
  <c r="CI33" i="5"/>
  <c r="CH33" i="5"/>
  <c r="CD33" i="5"/>
  <c r="CC33" i="5"/>
  <c r="BY33" i="5"/>
  <c r="BX33" i="5"/>
  <c r="BT33" i="5"/>
  <c r="BS33" i="5"/>
  <c r="BO33" i="5"/>
  <c r="BN33" i="5"/>
  <c r="BJ33" i="5"/>
  <c r="BI33" i="5"/>
  <c r="BE33" i="5"/>
  <c r="BD33" i="5"/>
  <c r="AF33" i="5"/>
  <c r="AE33" i="5"/>
  <c r="AA33" i="5"/>
  <c r="Z33" i="5"/>
  <c r="V33" i="5"/>
  <c r="U33" i="5"/>
  <c r="Q33" i="5"/>
  <c r="P33" i="5"/>
  <c r="L33" i="5"/>
  <c r="K33" i="5"/>
  <c r="G33" i="5"/>
  <c r="F33" i="5"/>
  <c r="C33" i="5"/>
  <c r="B33" i="5"/>
  <c r="A33" i="5"/>
  <c r="EV32" i="5"/>
  <c r="EU32" i="5"/>
  <c r="EQ32" i="5"/>
  <c r="EP32" i="5"/>
  <c r="EL32" i="5"/>
  <c r="EK32" i="5"/>
  <c r="EG32" i="5"/>
  <c r="EF32" i="5"/>
  <c r="EB32" i="5"/>
  <c r="EA32" i="5"/>
  <c r="DW32" i="5"/>
  <c r="DV32" i="5"/>
  <c r="DR32" i="5"/>
  <c r="DQ32" i="5"/>
  <c r="DM32" i="5"/>
  <c r="DL32" i="5"/>
  <c r="DH32" i="5"/>
  <c r="DG32" i="5"/>
  <c r="DC32" i="5"/>
  <c r="DB32" i="5"/>
  <c r="CX32" i="5"/>
  <c r="CW32" i="5"/>
  <c r="CS32" i="5"/>
  <c r="CR32" i="5"/>
  <c r="CN32" i="5"/>
  <c r="CM32" i="5"/>
  <c r="CI32" i="5"/>
  <c r="CH32" i="5"/>
  <c r="CD32" i="5"/>
  <c r="CC32" i="5"/>
  <c r="BY32" i="5"/>
  <c r="BX32" i="5"/>
  <c r="BT32" i="5"/>
  <c r="BS32" i="5"/>
  <c r="BO32" i="5"/>
  <c r="BN32" i="5"/>
  <c r="BJ32" i="5"/>
  <c r="BI32" i="5"/>
  <c r="BE32" i="5"/>
  <c r="BD32" i="5"/>
  <c r="AF32" i="5"/>
  <c r="AE32" i="5"/>
  <c r="AA32" i="5"/>
  <c r="Z32" i="5"/>
  <c r="V32" i="5"/>
  <c r="U32" i="5"/>
  <c r="Q32" i="5"/>
  <c r="P32" i="5"/>
  <c r="L32" i="5"/>
  <c r="K32" i="5"/>
  <c r="G32" i="5"/>
  <c r="F32" i="5"/>
  <c r="C32" i="5"/>
  <c r="B32" i="5"/>
  <c r="A32" i="5"/>
  <c r="EV31" i="5"/>
  <c r="EU31" i="5"/>
  <c r="EQ31" i="5"/>
  <c r="EP31" i="5"/>
  <c r="EL31" i="5"/>
  <c r="EK31" i="5"/>
  <c r="EG31" i="5"/>
  <c r="EF31" i="5"/>
  <c r="EB31" i="5"/>
  <c r="EA31" i="5"/>
  <c r="DW31" i="5"/>
  <c r="DV31" i="5"/>
  <c r="DR31" i="5"/>
  <c r="DQ31" i="5"/>
  <c r="DM31" i="5"/>
  <c r="DL31" i="5"/>
  <c r="DH31" i="5"/>
  <c r="DG31" i="5"/>
  <c r="DC31" i="5"/>
  <c r="DB31" i="5"/>
  <c r="CX31" i="5"/>
  <c r="CW31" i="5"/>
  <c r="CS31" i="5"/>
  <c r="CR31" i="5"/>
  <c r="CN31" i="5"/>
  <c r="CM31" i="5"/>
  <c r="CI31" i="5"/>
  <c r="CH31" i="5"/>
  <c r="CD31" i="5"/>
  <c r="CC31" i="5"/>
  <c r="BY31" i="5"/>
  <c r="BX31" i="5"/>
  <c r="BT31" i="5"/>
  <c r="BS31" i="5"/>
  <c r="BO31" i="5"/>
  <c r="BN31" i="5"/>
  <c r="BJ31" i="5"/>
  <c r="BI31" i="5"/>
  <c r="BE31" i="5"/>
  <c r="BD31" i="5"/>
  <c r="AF31" i="5"/>
  <c r="AE31" i="5"/>
  <c r="AA31" i="5"/>
  <c r="Z31" i="5"/>
  <c r="V31" i="5"/>
  <c r="U31" i="5"/>
  <c r="Q31" i="5"/>
  <c r="P31" i="5"/>
  <c r="L31" i="5"/>
  <c r="K31" i="5"/>
  <c r="G31" i="5"/>
  <c r="F31" i="5"/>
  <c r="C31" i="5"/>
  <c r="B31" i="5"/>
  <c r="A31" i="5"/>
  <c r="EV30" i="5"/>
  <c r="EU30" i="5"/>
  <c r="EQ30" i="5"/>
  <c r="EP30" i="5"/>
  <c r="EL30" i="5"/>
  <c r="EK30" i="5"/>
  <c r="EG30" i="5"/>
  <c r="EF30" i="5"/>
  <c r="EB30" i="5"/>
  <c r="EA30" i="5"/>
  <c r="DW30" i="5"/>
  <c r="DV30" i="5"/>
  <c r="DR30" i="5"/>
  <c r="DQ30" i="5"/>
  <c r="DM30" i="5"/>
  <c r="DL30" i="5"/>
  <c r="DH30" i="5"/>
  <c r="DG30" i="5"/>
  <c r="DC30" i="5"/>
  <c r="DB30" i="5"/>
  <c r="CX30" i="5"/>
  <c r="CW30" i="5"/>
  <c r="CS30" i="5"/>
  <c r="CR30" i="5"/>
  <c r="CN30" i="5"/>
  <c r="CM30" i="5"/>
  <c r="CI30" i="5"/>
  <c r="CH30" i="5"/>
  <c r="CD30" i="5"/>
  <c r="CC30" i="5"/>
  <c r="BY30" i="5"/>
  <c r="BX30" i="5"/>
  <c r="BT30" i="5"/>
  <c r="BS30" i="5"/>
  <c r="BO30" i="5"/>
  <c r="BN30" i="5"/>
  <c r="BJ30" i="5"/>
  <c r="BI30" i="5"/>
  <c r="BE30" i="5"/>
  <c r="BD30" i="5"/>
  <c r="AF30" i="5"/>
  <c r="AE30" i="5"/>
  <c r="AA30" i="5"/>
  <c r="Z30" i="5"/>
  <c r="V30" i="5"/>
  <c r="U30" i="5"/>
  <c r="Q30" i="5"/>
  <c r="P30" i="5"/>
  <c r="L30" i="5"/>
  <c r="K30" i="5"/>
  <c r="G30" i="5"/>
  <c r="F30" i="5"/>
  <c r="C30" i="5"/>
  <c r="B30" i="5"/>
  <c r="A30" i="5"/>
  <c r="EV29" i="5"/>
  <c r="EU29" i="5"/>
  <c r="EQ29" i="5"/>
  <c r="EP29" i="5"/>
  <c r="EL29" i="5"/>
  <c r="EK29" i="5"/>
  <c r="EG29" i="5"/>
  <c r="EF29" i="5"/>
  <c r="EB29" i="5"/>
  <c r="EA29" i="5"/>
  <c r="DW29" i="5"/>
  <c r="DV29" i="5"/>
  <c r="DR29" i="5"/>
  <c r="DQ29" i="5"/>
  <c r="DM29" i="5"/>
  <c r="DL29" i="5"/>
  <c r="DH29" i="5"/>
  <c r="DG29" i="5"/>
  <c r="DC29" i="5"/>
  <c r="DB29" i="5"/>
  <c r="CX29" i="5"/>
  <c r="CW29" i="5"/>
  <c r="CS29" i="5"/>
  <c r="CR29" i="5"/>
  <c r="CN29" i="5"/>
  <c r="CM29" i="5"/>
  <c r="CI29" i="5"/>
  <c r="CH29" i="5"/>
  <c r="CD29" i="5"/>
  <c r="CC29" i="5"/>
  <c r="BY29" i="5"/>
  <c r="BX29" i="5"/>
  <c r="BT29" i="5"/>
  <c r="BS29" i="5"/>
  <c r="BO29" i="5"/>
  <c r="BN29" i="5"/>
  <c r="BJ29" i="5"/>
  <c r="BI29" i="5"/>
  <c r="BE29" i="5"/>
  <c r="BD29" i="5"/>
  <c r="AF29" i="5"/>
  <c r="AE29" i="5"/>
  <c r="AA29" i="5"/>
  <c r="Z29" i="5"/>
  <c r="V29" i="5"/>
  <c r="U29" i="5"/>
  <c r="Q29" i="5"/>
  <c r="P29" i="5"/>
  <c r="L29" i="5"/>
  <c r="K29" i="5"/>
  <c r="G29" i="5"/>
  <c r="F29" i="5"/>
  <c r="C29" i="5"/>
  <c r="B29" i="5"/>
  <c r="A29" i="5"/>
  <c r="EV28" i="5"/>
  <c r="EU28" i="5"/>
  <c r="EQ28" i="5"/>
  <c r="EP28" i="5"/>
  <c r="EL28" i="5"/>
  <c r="EK28" i="5"/>
  <c r="EG28" i="5"/>
  <c r="EF28" i="5"/>
  <c r="EB28" i="5"/>
  <c r="EA28" i="5"/>
  <c r="DW28" i="5"/>
  <c r="DV28" i="5"/>
  <c r="DR28" i="5"/>
  <c r="DQ28" i="5"/>
  <c r="DM28" i="5"/>
  <c r="DL28" i="5"/>
  <c r="DH28" i="5"/>
  <c r="DG28" i="5"/>
  <c r="DC28" i="5"/>
  <c r="DB28" i="5"/>
  <c r="CX28" i="5"/>
  <c r="CW28" i="5"/>
  <c r="CS28" i="5"/>
  <c r="CR28" i="5"/>
  <c r="CN28" i="5"/>
  <c r="CM28" i="5"/>
  <c r="CI28" i="5"/>
  <c r="CH28" i="5"/>
  <c r="CD28" i="5"/>
  <c r="CC28" i="5"/>
  <c r="BY28" i="5"/>
  <c r="BX28" i="5"/>
  <c r="BT28" i="5"/>
  <c r="BS28" i="5"/>
  <c r="BO28" i="5"/>
  <c r="BN28" i="5"/>
  <c r="BJ28" i="5"/>
  <c r="BI28" i="5"/>
  <c r="BE28" i="5"/>
  <c r="BD28" i="5"/>
  <c r="AF28" i="5"/>
  <c r="AE28" i="5"/>
  <c r="AA28" i="5"/>
  <c r="Z28" i="5"/>
  <c r="V28" i="5"/>
  <c r="U28" i="5"/>
  <c r="Q28" i="5"/>
  <c r="P28" i="5"/>
  <c r="L28" i="5"/>
  <c r="K28" i="5"/>
  <c r="G28" i="5"/>
  <c r="F28" i="5"/>
  <c r="C28" i="5"/>
  <c r="B28" i="5"/>
  <c r="A28" i="5"/>
  <c r="EV27" i="5"/>
  <c r="EU27" i="5"/>
  <c r="EQ27" i="5"/>
  <c r="EP27" i="5"/>
  <c r="EL27" i="5"/>
  <c r="EK27" i="5"/>
  <c r="EG27" i="5"/>
  <c r="EF27" i="5"/>
  <c r="EB27" i="5"/>
  <c r="EA27" i="5"/>
  <c r="DW27" i="5"/>
  <c r="DV27" i="5"/>
  <c r="DR27" i="5"/>
  <c r="DQ27" i="5"/>
  <c r="DM27" i="5"/>
  <c r="DL27" i="5"/>
  <c r="DH27" i="5"/>
  <c r="DG27" i="5"/>
  <c r="DC27" i="5"/>
  <c r="DB27" i="5"/>
  <c r="CX27" i="5"/>
  <c r="CW27" i="5"/>
  <c r="CS27" i="5"/>
  <c r="CR27" i="5"/>
  <c r="CN27" i="5"/>
  <c r="CM27" i="5"/>
  <c r="CI27" i="5"/>
  <c r="CH27" i="5"/>
  <c r="CD27" i="5"/>
  <c r="CC27" i="5"/>
  <c r="BY27" i="5"/>
  <c r="BX27" i="5"/>
  <c r="BT27" i="5"/>
  <c r="BS27" i="5"/>
  <c r="BO27" i="5"/>
  <c r="BN27" i="5"/>
  <c r="BJ27" i="5"/>
  <c r="BI27" i="5"/>
  <c r="BE27" i="5"/>
  <c r="BD27" i="5"/>
  <c r="AF27" i="5"/>
  <c r="AE27" i="5"/>
  <c r="AA27" i="5"/>
  <c r="Z27" i="5"/>
  <c r="V27" i="5"/>
  <c r="U27" i="5"/>
  <c r="Q27" i="5"/>
  <c r="P27" i="5"/>
  <c r="L27" i="5"/>
  <c r="K27" i="5"/>
  <c r="G27" i="5"/>
  <c r="F27" i="5"/>
  <c r="C27" i="5"/>
  <c r="B27" i="5"/>
  <c r="A27" i="5"/>
  <c r="EV26" i="5"/>
  <c r="EU26" i="5"/>
  <c r="EQ26" i="5"/>
  <c r="EP26" i="5"/>
  <c r="EL26" i="5"/>
  <c r="EK26" i="5"/>
  <c r="EG26" i="5"/>
  <c r="EF26" i="5"/>
  <c r="EB26" i="5"/>
  <c r="EA26" i="5"/>
  <c r="DW26" i="5"/>
  <c r="DV26" i="5"/>
  <c r="DR26" i="5"/>
  <c r="DQ26" i="5"/>
  <c r="DM26" i="5"/>
  <c r="DL26" i="5"/>
  <c r="DH26" i="5"/>
  <c r="DG26" i="5"/>
  <c r="DC26" i="5"/>
  <c r="DB26" i="5"/>
  <c r="CX26" i="5"/>
  <c r="CW26" i="5"/>
  <c r="CS26" i="5"/>
  <c r="CR26" i="5"/>
  <c r="CN26" i="5"/>
  <c r="CM26" i="5"/>
  <c r="CI26" i="5"/>
  <c r="CH26" i="5"/>
  <c r="CD26" i="5"/>
  <c r="CC26" i="5"/>
  <c r="BY26" i="5"/>
  <c r="BX26" i="5"/>
  <c r="BT26" i="5"/>
  <c r="BS26" i="5"/>
  <c r="BO26" i="5"/>
  <c r="BN26" i="5"/>
  <c r="BJ26" i="5"/>
  <c r="BI26" i="5"/>
  <c r="BE26" i="5"/>
  <c r="BD26" i="5"/>
  <c r="AF26" i="5"/>
  <c r="AE26" i="5"/>
  <c r="AA26" i="5"/>
  <c r="Z26" i="5"/>
  <c r="V26" i="5"/>
  <c r="U26" i="5"/>
  <c r="Q26" i="5"/>
  <c r="P26" i="5"/>
  <c r="L26" i="5"/>
  <c r="K26" i="5"/>
  <c r="G26" i="5"/>
  <c r="F26" i="5"/>
  <c r="C26" i="5"/>
  <c r="B26" i="5"/>
  <c r="A26" i="5"/>
  <c r="EV25" i="5"/>
  <c r="EU25" i="5"/>
  <c r="EQ25" i="5"/>
  <c r="EP25" i="5"/>
  <c r="EL25" i="5"/>
  <c r="EK25" i="5"/>
  <c r="EG25" i="5"/>
  <c r="EF25" i="5"/>
  <c r="EB25" i="5"/>
  <c r="EA25" i="5"/>
  <c r="DW25" i="5"/>
  <c r="DV25" i="5"/>
  <c r="DR25" i="5"/>
  <c r="DQ25" i="5"/>
  <c r="DM25" i="5"/>
  <c r="DL25" i="5"/>
  <c r="DH25" i="5"/>
  <c r="DG25" i="5"/>
  <c r="DC25" i="5"/>
  <c r="DB25" i="5"/>
  <c r="CX25" i="5"/>
  <c r="CW25" i="5"/>
  <c r="CS25" i="5"/>
  <c r="CR25" i="5"/>
  <c r="CN25" i="5"/>
  <c r="CM25" i="5"/>
  <c r="CI25" i="5"/>
  <c r="CH25" i="5"/>
  <c r="CD25" i="5"/>
  <c r="CC25" i="5"/>
  <c r="BY25" i="5"/>
  <c r="BX25" i="5"/>
  <c r="BT25" i="5"/>
  <c r="BS25" i="5"/>
  <c r="BO25" i="5"/>
  <c r="BN25" i="5"/>
  <c r="BJ25" i="5"/>
  <c r="BI25" i="5"/>
  <c r="BE25" i="5"/>
  <c r="BD25" i="5"/>
  <c r="AF25" i="5"/>
  <c r="AE25" i="5"/>
  <c r="AA25" i="5"/>
  <c r="Z25" i="5"/>
  <c r="V25" i="5"/>
  <c r="U25" i="5"/>
  <c r="Q25" i="5"/>
  <c r="P25" i="5"/>
  <c r="L25" i="5"/>
  <c r="K25" i="5"/>
  <c r="G25" i="5"/>
  <c r="F25" i="5"/>
  <c r="C25" i="5"/>
  <c r="B25" i="5"/>
  <c r="A25" i="5"/>
  <c r="EV24" i="5"/>
  <c r="EU24" i="5"/>
  <c r="EQ24" i="5"/>
  <c r="EP24" i="5"/>
  <c r="EL24" i="5"/>
  <c r="EK24" i="5"/>
  <c r="EG24" i="5"/>
  <c r="EF24" i="5"/>
  <c r="EB24" i="5"/>
  <c r="EA24" i="5"/>
  <c r="DW24" i="5"/>
  <c r="DV24" i="5"/>
  <c r="DR24" i="5"/>
  <c r="DQ24" i="5"/>
  <c r="DM24" i="5"/>
  <c r="DL24" i="5"/>
  <c r="DH24" i="5"/>
  <c r="DG24" i="5"/>
  <c r="DC24" i="5"/>
  <c r="DB24" i="5"/>
  <c r="CX24" i="5"/>
  <c r="CW24" i="5"/>
  <c r="CS24" i="5"/>
  <c r="CR24" i="5"/>
  <c r="CN24" i="5"/>
  <c r="CM24" i="5"/>
  <c r="CI24" i="5"/>
  <c r="CH24" i="5"/>
  <c r="CD24" i="5"/>
  <c r="CC24" i="5"/>
  <c r="BY24" i="5"/>
  <c r="BX24" i="5"/>
  <c r="BT24" i="5"/>
  <c r="BS24" i="5"/>
  <c r="BO24" i="5"/>
  <c r="BN24" i="5"/>
  <c r="BJ24" i="5"/>
  <c r="BI24" i="5"/>
  <c r="BE24" i="5"/>
  <c r="BD24" i="5"/>
  <c r="AF24" i="5"/>
  <c r="AE24" i="5"/>
  <c r="AA24" i="5"/>
  <c r="Z24" i="5"/>
  <c r="V24" i="5"/>
  <c r="U24" i="5"/>
  <c r="Q24" i="5"/>
  <c r="P24" i="5"/>
  <c r="L24" i="5"/>
  <c r="K24" i="5"/>
  <c r="G24" i="5"/>
  <c r="F24" i="5"/>
  <c r="C24" i="5"/>
  <c r="B24" i="5"/>
  <c r="A24" i="5"/>
  <c r="EV23" i="5"/>
  <c r="EU23" i="5"/>
  <c r="EQ23" i="5"/>
  <c r="EP23" i="5"/>
  <c r="EL23" i="5"/>
  <c r="EK23" i="5"/>
  <c r="EG23" i="5"/>
  <c r="EF23" i="5"/>
  <c r="EB23" i="5"/>
  <c r="EA23" i="5"/>
  <c r="DW23" i="5"/>
  <c r="DV23" i="5"/>
  <c r="DR23" i="5"/>
  <c r="DQ23" i="5"/>
  <c r="DM23" i="5"/>
  <c r="DL23" i="5"/>
  <c r="DH23" i="5"/>
  <c r="DG23" i="5"/>
  <c r="DC23" i="5"/>
  <c r="DB23" i="5"/>
  <c r="CX23" i="5"/>
  <c r="CW23" i="5"/>
  <c r="CS23" i="5"/>
  <c r="CR23" i="5"/>
  <c r="CN23" i="5"/>
  <c r="CM23" i="5"/>
  <c r="CI23" i="5"/>
  <c r="CH23" i="5"/>
  <c r="CD23" i="5"/>
  <c r="CC23" i="5"/>
  <c r="BY23" i="5"/>
  <c r="BX23" i="5"/>
  <c r="BT23" i="5"/>
  <c r="BS23" i="5"/>
  <c r="BO23" i="5"/>
  <c r="BN23" i="5"/>
  <c r="BJ23" i="5"/>
  <c r="BI23" i="5"/>
  <c r="BE23" i="5"/>
  <c r="BD23" i="5"/>
  <c r="AF23" i="5"/>
  <c r="AE23" i="5"/>
  <c r="AA23" i="5"/>
  <c r="Z23" i="5"/>
  <c r="V23" i="5"/>
  <c r="U23" i="5"/>
  <c r="Q23" i="5"/>
  <c r="P23" i="5"/>
  <c r="L23" i="5"/>
  <c r="K23" i="5"/>
  <c r="G23" i="5"/>
  <c r="F23" i="5"/>
  <c r="C23" i="5"/>
  <c r="B23" i="5"/>
  <c r="A23" i="5"/>
  <c r="EV22" i="5"/>
  <c r="EU22" i="5"/>
  <c r="EQ22" i="5"/>
  <c r="EP22" i="5"/>
  <c r="EL22" i="5"/>
  <c r="EK22" i="5"/>
  <c r="EG22" i="5"/>
  <c r="EF22" i="5"/>
  <c r="EB22" i="5"/>
  <c r="EA22" i="5"/>
  <c r="DW22" i="5"/>
  <c r="DV22" i="5"/>
  <c r="DR22" i="5"/>
  <c r="DQ22" i="5"/>
  <c r="DM22" i="5"/>
  <c r="DL22" i="5"/>
  <c r="DH22" i="5"/>
  <c r="DG22" i="5"/>
  <c r="DC22" i="5"/>
  <c r="DB22" i="5"/>
  <c r="CX22" i="5"/>
  <c r="CW22" i="5"/>
  <c r="CS22" i="5"/>
  <c r="CR22" i="5"/>
  <c r="CN22" i="5"/>
  <c r="CM22" i="5"/>
  <c r="CI22" i="5"/>
  <c r="CH22" i="5"/>
  <c r="CD22" i="5"/>
  <c r="CC22" i="5"/>
  <c r="BY22" i="5"/>
  <c r="BX22" i="5"/>
  <c r="BT22" i="5"/>
  <c r="BS22" i="5"/>
  <c r="BO22" i="5"/>
  <c r="BN22" i="5"/>
  <c r="BJ22" i="5"/>
  <c r="BI22" i="5"/>
  <c r="BE22" i="5"/>
  <c r="BD22" i="5"/>
  <c r="AF22" i="5"/>
  <c r="AE22" i="5"/>
  <c r="AA22" i="5"/>
  <c r="Z22" i="5"/>
  <c r="V22" i="5"/>
  <c r="U22" i="5"/>
  <c r="Q22" i="5"/>
  <c r="P22" i="5"/>
  <c r="L22" i="5"/>
  <c r="K22" i="5"/>
  <c r="G22" i="5"/>
  <c r="F22" i="5"/>
  <c r="C22" i="5"/>
  <c r="B22" i="5"/>
  <c r="A22" i="5"/>
  <c r="EV21" i="5"/>
  <c r="EU21" i="5"/>
  <c r="EQ21" i="5"/>
  <c r="EP21" i="5"/>
  <c r="EL21" i="5"/>
  <c r="EK21" i="5"/>
  <c r="EG21" i="5"/>
  <c r="EF21" i="5"/>
  <c r="EB21" i="5"/>
  <c r="EA21" i="5"/>
  <c r="DW21" i="5"/>
  <c r="DV21" i="5"/>
  <c r="DR21" i="5"/>
  <c r="DQ21" i="5"/>
  <c r="DM21" i="5"/>
  <c r="DL21" i="5"/>
  <c r="DH21" i="5"/>
  <c r="DG21" i="5"/>
  <c r="DC21" i="5"/>
  <c r="DB21" i="5"/>
  <c r="CX21" i="5"/>
  <c r="CW21" i="5"/>
  <c r="CS21" i="5"/>
  <c r="CR21" i="5"/>
  <c r="CN21" i="5"/>
  <c r="CM21" i="5"/>
  <c r="CI21" i="5"/>
  <c r="CH21" i="5"/>
  <c r="CD21" i="5"/>
  <c r="CC21" i="5"/>
  <c r="BY21" i="5"/>
  <c r="BX21" i="5"/>
  <c r="BT21" i="5"/>
  <c r="BS21" i="5"/>
  <c r="BO21" i="5"/>
  <c r="BN21" i="5"/>
  <c r="BJ21" i="5"/>
  <c r="BI21" i="5"/>
  <c r="BE21" i="5"/>
  <c r="BD21" i="5"/>
  <c r="AF21" i="5"/>
  <c r="AE21" i="5"/>
  <c r="AA21" i="5"/>
  <c r="Z21" i="5"/>
  <c r="V21" i="5"/>
  <c r="U21" i="5"/>
  <c r="Q21" i="5"/>
  <c r="P21" i="5"/>
  <c r="L21" i="5"/>
  <c r="K21" i="5"/>
  <c r="G21" i="5"/>
  <c r="F21" i="5"/>
  <c r="C21" i="5"/>
  <c r="B21" i="5"/>
  <c r="A21" i="5"/>
  <c r="EV20" i="5"/>
  <c r="EU20" i="5"/>
  <c r="EQ20" i="5"/>
  <c r="EP20" i="5"/>
  <c r="EL20" i="5"/>
  <c r="EK20" i="5"/>
  <c r="EG20" i="5"/>
  <c r="EF20" i="5"/>
  <c r="EB20" i="5"/>
  <c r="EA20" i="5"/>
  <c r="DW20" i="5"/>
  <c r="DV20" i="5"/>
  <c r="DR20" i="5"/>
  <c r="DQ20" i="5"/>
  <c r="DM20" i="5"/>
  <c r="DL20" i="5"/>
  <c r="DH20" i="5"/>
  <c r="DG20" i="5"/>
  <c r="DC20" i="5"/>
  <c r="DB20" i="5"/>
  <c r="CX20" i="5"/>
  <c r="CW20" i="5"/>
  <c r="CS20" i="5"/>
  <c r="CR20" i="5"/>
  <c r="CN20" i="5"/>
  <c r="CM20" i="5"/>
  <c r="CI20" i="5"/>
  <c r="CH20" i="5"/>
  <c r="CD20" i="5"/>
  <c r="CC20" i="5"/>
  <c r="BY20" i="5"/>
  <c r="BX20" i="5"/>
  <c r="BT20" i="5"/>
  <c r="BS20" i="5"/>
  <c r="BO20" i="5"/>
  <c r="BN20" i="5"/>
  <c r="BJ20" i="5"/>
  <c r="BI20" i="5"/>
  <c r="BE20" i="5"/>
  <c r="BD20" i="5"/>
  <c r="AF20" i="5"/>
  <c r="AE20" i="5"/>
  <c r="AA20" i="5"/>
  <c r="Z20" i="5"/>
  <c r="V20" i="5"/>
  <c r="U20" i="5"/>
  <c r="Q20" i="5"/>
  <c r="P20" i="5"/>
  <c r="L20" i="5"/>
  <c r="K20" i="5"/>
  <c r="G20" i="5"/>
  <c r="F20" i="5"/>
  <c r="C20" i="5"/>
  <c r="B20" i="5"/>
  <c r="A20" i="5"/>
  <c r="EV19" i="5"/>
  <c r="EU19" i="5"/>
  <c r="EQ19" i="5"/>
  <c r="EP19" i="5"/>
  <c r="EL19" i="5"/>
  <c r="EK19" i="5"/>
  <c r="EG19" i="5"/>
  <c r="EF19" i="5"/>
  <c r="EB19" i="5"/>
  <c r="EA19" i="5"/>
  <c r="DW19" i="5"/>
  <c r="DV19" i="5"/>
  <c r="DR19" i="5"/>
  <c r="DQ19" i="5"/>
  <c r="DM19" i="5"/>
  <c r="DL19" i="5"/>
  <c r="DH19" i="5"/>
  <c r="DG19" i="5"/>
  <c r="DC19" i="5"/>
  <c r="DB19" i="5"/>
  <c r="CX19" i="5"/>
  <c r="CW19" i="5"/>
  <c r="CS19" i="5"/>
  <c r="CR19" i="5"/>
  <c r="CN19" i="5"/>
  <c r="CM19" i="5"/>
  <c r="CI19" i="5"/>
  <c r="CH19" i="5"/>
  <c r="CD19" i="5"/>
  <c r="CC19" i="5"/>
  <c r="BY19" i="5"/>
  <c r="BX19" i="5"/>
  <c r="BT19" i="5"/>
  <c r="BS19" i="5"/>
  <c r="BO19" i="5"/>
  <c r="BN19" i="5"/>
  <c r="BJ19" i="5"/>
  <c r="BI19" i="5"/>
  <c r="BE19" i="5"/>
  <c r="BD19" i="5"/>
  <c r="AF19" i="5"/>
  <c r="AE19" i="5"/>
  <c r="AA19" i="5"/>
  <c r="Z19" i="5"/>
  <c r="V19" i="5"/>
  <c r="U19" i="5"/>
  <c r="Q19" i="5"/>
  <c r="P19" i="5"/>
  <c r="L19" i="5"/>
  <c r="K19" i="5"/>
  <c r="G19" i="5"/>
  <c r="F19" i="5"/>
  <c r="C19" i="5"/>
  <c r="B19" i="5"/>
  <c r="A19" i="5"/>
  <c r="EV18" i="5"/>
  <c r="EU18" i="5"/>
  <c r="EQ18" i="5"/>
  <c r="EP18" i="5"/>
  <c r="EL18" i="5"/>
  <c r="EK18" i="5"/>
  <c r="EG18" i="5"/>
  <c r="EF18" i="5"/>
  <c r="EB18" i="5"/>
  <c r="EA18" i="5"/>
  <c r="DW18" i="5"/>
  <c r="DV18" i="5"/>
  <c r="DR18" i="5"/>
  <c r="DQ18" i="5"/>
  <c r="DM18" i="5"/>
  <c r="DL18" i="5"/>
  <c r="DH18" i="5"/>
  <c r="DG18" i="5"/>
  <c r="DC18" i="5"/>
  <c r="DB18" i="5"/>
  <c r="CX18" i="5"/>
  <c r="CW18" i="5"/>
  <c r="CS18" i="5"/>
  <c r="CR18" i="5"/>
  <c r="CN18" i="5"/>
  <c r="CM18" i="5"/>
  <c r="CI18" i="5"/>
  <c r="CH18" i="5"/>
  <c r="CD18" i="5"/>
  <c r="CC18" i="5"/>
  <c r="BY18" i="5"/>
  <c r="BX18" i="5"/>
  <c r="BT18" i="5"/>
  <c r="BS18" i="5"/>
  <c r="BO18" i="5"/>
  <c r="BN18" i="5"/>
  <c r="BJ18" i="5"/>
  <c r="BI18" i="5"/>
  <c r="BE18" i="5"/>
  <c r="BD18" i="5"/>
  <c r="AF18" i="5"/>
  <c r="AE18" i="5"/>
  <c r="AA18" i="5"/>
  <c r="Z18" i="5"/>
  <c r="V18" i="5"/>
  <c r="S36" i="5" s="1"/>
  <c r="U18" i="5"/>
  <c r="Q18" i="5"/>
  <c r="P18" i="5"/>
  <c r="L18" i="5"/>
  <c r="K18" i="5"/>
  <c r="G18" i="5"/>
  <c r="F18" i="5"/>
  <c r="C18" i="5"/>
  <c r="B18" i="5"/>
  <c r="A18" i="5"/>
  <c r="EV17" i="5"/>
  <c r="EU17" i="5"/>
  <c r="EQ17" i="5"/>
  <c r="EP17" i="5"/>
  <c r="EL17" i="5"/>
  <c r="EK17" i="5"/>
  <c r="EG17" i="5"/>
  <c r="EF17" i="5"/>
  <c r="EB17" i="5"/>
  <c r="EA17" i="5"/>
  <c r="DW17" i="5"/>
  <c r="DV17" i="5"/>
  <c r="DR17" i="5"/>
  <c r="DQ17" i="5"/>
  <c r="DM17" i="5"/>
  <c r="DL17" i="5"/>
  <c r="DH17" i="5"/>
  <c r="DG17" i="5"/>
  <c r="DC17" i="5"/>
  <c r="DB17" i="5"/>
  <c r="CX17" i="5"/>
  <c r="CW17" i="5"/>
  <c r="CS17" i="5"/>
  <c r="CR17" i="5"/>
  <c r="CN17" i="5"/>
  <c r="CM17" i="5"/>
  <c r="CI17" i="5"/>
  <c r="CH17" i="5"/>
  <c r="CD17" i="5"/>
  <c r="CC17" i="5"/>
  <c r="BY17" i="5"/>
  <c r="BX17" i="5"/>
  <c r="BT17" i="5"/>
  <c r="BS17" i="5"/>
  <c r="BO17" i="5"/>
  <c r="BN17" i="5"/>
  <c r="BJ17" i="5"/>
  <c r="BI17" i="5"/>
  <c r="BE17" i="5"/>
  <c r="BD17" i="5"/>
  <c r="AF17" i="5"/>
  <c r="AE17" i="5"/>
  <c r="AA17" i="5"/>
  <c r="Z17" i="5"/>
  <c r="V17" i="5"/>
  <c r="U17" i="5"/>
  <c r="Q17" i="5"/>
  <c r="P17" i="5"/>
  <c r="L17" i="5"/>
  <c r="K17" i="5"/>
  <c r="G17" i="5"/>
  <c r="F17" i="5"/>
  <c r="C17" i="5"/>
  <c r="B17" i="5"/>
  <c r="A17" i="5"/>
  <c r="EV16" i="5"/>
  <c r="EU16" i="5"/>
  <c r="EQ16" i="5"/>
  <c r="EP16" i="5"/>
  <c r="EL16" i="5"/>
  <c r="EK16" i="5"/>
  <c r="EG16" i="5"/>
  <c r="EF16" i="5"/>
  <c r="EB16" i="5"/>
  <c r="EA16" i="5"/>
  <c r="DW16" i="5"/>
  <c r="DV16" i="5"/>
  <c r="DR16" i="5"/>
  <c r="DQ16" i="5"/>
  <c r="DM16" i="5"/>
  <c r="DL16" i="5"/>
  <c r="DH16" i="5"/>
  <c r="DG16" i="5"/>
  <c r="DC16" i="5"/>
  <c r="DB16" i="5"/>
  <c r="CX16" i="5"/>
  <c r="CW16" i="5"/>
  <c r="CS16" i="5"/>
  <c r="CR16" i="5"/>
  <c r="CN16" i="5"/>
  <c r="CM16" i="5"/>
  <c r="CI16" i="5"/>
  <c r="CH16" i="5"/>
  <c r="CD16" i="5"/>
  <c r="CC16" i="5"/>
  <c r="BY16" i="5"/>
  <c r="BX16" i="5"/>
  <c r="BT16" i="5"/>
  <c r="BS16" i="5"/>
  <c r="BO16" i="5"/>
  <c r="BN16" i="5"/>
  <c r="BJ16" i="5"/>
  <c r="BI16" i="5"/>
  <c r="BE16" i="5"/>
  <c r="BD16" i="5"/>
  <c r="AF16" i="5"/>
  <c r="AE16" i="5"/>
  <c r="AA16" i="5"/>
  <c r="Z16" i="5"/>
  <c r="V16" i="5"/>
  <c r="U16" i="5"/>
  <c r="Q16" i="5"/>
  <c r="P16" i="5"/>
  <c r="L16" i="5"/>
  <c r="K16" i="5"/>
  <c r="G16" i="5"/>
  <c r="F16" i="5"/>
  <c r="C16" i="5"/>
  <c r="B16" i="5"/>
  <c r="A16" i="5"/>
  <c r="EV15" i="5"/>
  <c r="EU15" i="5"/>
  <c r="EQ15" i="5"/>
  <c r="EP15" i="5"/>
  <c r="EL15" i="5"/>
  <c r="EK15" i="5"/>
  <c r="EG15" i="5"/>
  <c r="EF15" i="5"/>
  <c r="EB15" i="5"/>
  <c r="EA15" i="5"/>
  <c r="DW15" i="5"/>
  <c r="DV15" i="5"/>
  <c r="DR15" i="5"/>
  <c r="DQ15" i="5"/>
  <c r="DM15" i="5"/>
  <c r="DL15" i="5"/>
  <c r="DH15" i="5"/>
  <c r="DG15" i="5"/>
  <c r="DC15" i="5"/>
  <c r="DB15" i="5"/>
  <c r="CX15" i="5"/>
  <c r="CW15" i="5"/>
  <c r="CS15" i="5"/>
  <c r="CR15" i="5"/>
  <c r="CN15" i="5"/>
  <c r="CM15" i="5"/>
  <c r="CI15" i="5"/>
  <c r="CH15" i="5"/>
  <c r="CD15" i="5"/>
  <c r="CC15" i="5"/>
  <c r="BY15" i="5"/>
  <c r="BX15" i="5"/>
  <c r="BT15" i="5"/>
  <c r="BS15" i="5"/>
  <c r="BO15" i="5"/>
  <c r="BN15" i="5"/>
  <c r="BJ15" i="5"/>
  <c r="BI15" i="5"/>
  <c r="BE15" i="5"/>
  <c r="BD15" i="5"/>
  <c r="AF15" i="5"/>
  <c r="AE15" i="5"/>
  <c r="AA15" i="5"/>
  <c r="Z15" i="5"/>
  <c r="V15" i="5"/>
  <c r="U15" i="5"/>
  <c r="Q15" i="5"/>
  <c r="N36" i="5" s="1"/>
  <c r="P6" i="18" s="1"/>
  <c r="P15" i="5"/>
  <c r="L15" i="5"/>
  <c r="K15" i="5"/>
  <c r="G15" i="5"/>
  <c r="F15" i="5"/>
  <c r="C15" i="5"/>
  <c r="B15" i="5"/>
  <c r="A15" i="5"/>
  <c r="EV14" i="5"/>
  <c r="EU14" i="5"/>
  <c r="EQ14" i="5"/>
  <c r="EP14" i="5"/>
  <c r="EL14" i="5"/>
  <c r="EK14" i="5"/>
  <c r="EG14" i="5"/>
  <c r="EF14" i="5"/>
  <c r="EB14" i="5"/>
  <c r="EA14" i="5"/>
  <c r="DW14" i="5"/>
  <c r="DV14" i="5"/>
  <c r="DR14" i="5"/>
  <c r="DQ14" i="5"/>
  <c r="DM14" i="5"/>
  <c r="DL14" i="5"/>
  <c r="DH14" i="5"/>
  <c r="DG14" i="5"/>
  <c r="DC14" i="5"/>
  <c r="DB14" i="5"/>
  <c r="CX14" i="5"/>
  <c r="CW14" i="5"/>
  <c r="CS14" i="5"/>
  <c r="CR14" i="5"/>
  <c r="CN14" i="5"/>
  <c r="CM14" i="5"/>
  <c r="CI14" i="5"/>
  <c r="CH14" i="5"/>
  <c r="CD14" i="5"/>
  <c r="CC14" i="5"/>
  <c r="BY14" i="5"/>
  <c r="BX14" i="5"/>
  <c r="BT14" i="5"/>
  <c r="BS14" i="5"/>
  <c r="BO14" i="5"/>
  <c r="BN14" i="5"/>
  <c r="BJ14" i="5"/>
  <c r="BI14" i="5"/>
  <c r="BE14" i="5"/>
  <c r="BD14" i="5"/>
  <c r="AF14" i="5"/>
  <c r="AE14" i="5"/>
  <c r="AA14" i="5"/>
  <c r="Z14" i="5"/>
  <c r="X35" i="5" s="1"/>
  <c r="V14" i="5"/>
  <c r="U14" i="5"/>
  <c r="Q14" i="5"/>
  <c r="P14" i="5"/>
  <c r="L14" i="5"/>
  <c r="K14" i="5"/>
  <c r="G14" i="5"/>
  <c r="F14" i="5"/>
  <c r="C14" i="5"/>
  <c r="B14" i="5"/>
  <c r="A14" i="5"/>
  <c r="EV13" i="5"/>
  <c r="EU13" i="5"/>
  <c r="EQ13" i="5"/>
  <c r="EP13" i="5"/>
  <c r="EL13" i="5"/>
  <c r="EK13" i="5"/>
  <c r="EG13" i="5"/>
  <c r="EF13" i="5"/>
  <c r="EB13" i="5"/>
  <c r="EA13" i="5"/>
  <c r="DW13" i="5"/>
  <c r="DV13" i="5"/>
  <c r="DR13" i="5"/>
  <c r="DQ13" i="5"/>
  <c r="DM13" i="5"/>
  <c r="DL13" i="5"/>
  <c r="DH13" i="5"/>
  <c r="DG13" i="5"/>
  <c r="DC13" i="5"/>
  <c r="DB13" i="5"/>
  <c r="CX13" i="5"/>
  <c r="CW13" i="5"/>
  <c r="CS13" i="5"/>
  <c r="CR13" i="5"/>
  <c r="CN13" i="5"/>
  <c r="CM13" i="5"/>
  <c r="CI13" i="5"/>
  <c r="CH13" i="5"/>
  <c r="CD13" i="5"/>
  <c r="CC13" i="5"/>
  <c r="BY13" i="5"/>
  <c r="BX13" i="5"/>
  <c r="BT13" i="5"/>
  <c r="BS13" i="5"/>
  <c r="BO13" i="5"/>
  <c r="BN13" i="5"/>
  <c r="BJ13" i="5"/>
  <c r="BI13" i="5"/>
  <c r="BE13" i="5"/>
  <c r="BD13" i="5"/>
  <c r="AF13" i="5"/>
  <c r="AE13" i="5"/>
  <c r="AA13" i="5"/>
  <c r="Z13" i="5"/>
  <c r="V13" i="5"/>
  <c r="U13" i="5"/>
  <c r="Q13" i="5"/>
  <c r="P13" i="5"/>
  <c r="L13" i="5"/>
  <c r="K13" i="5"/>
  <c r="G13" i="5"/>
  <c r="F13" i="5"/>
  <c r="C13" i="5"/>
  <c r="B13" i="5"/>
  <c r="A13" i="5"/>
  <c r="EV12" i="5"/>
  <c r="EU12" i="5"/>
  <c r="EQ12" i="5"/>
  <c r="EP12" i="5"/>
  <c r="EL12" i="5"/>
  <c r="EK12" i="5"/>
  <c r="EG12" i="5"/>
  <c r="EF12" i="5"/>
  <c r="EB12" i="5"/>
  <c r="EA12" i="5"/>
  <c r="DW12" i="5"/>
  <c r="DV12" i="5"/>
  <c r="DR12" i="5"/>
  <c r="DQ12" i="5"/>
  <c r="DM12" i="5"/>
  <c r="DL12" i="5"/>
  <c r="DH12" i="5"/>
  <c r="DG12" i="5"/>
  <c r="DC12" i="5"/>
  <c r="DB12" i="5"/>
  <c r="CX12" i="5"/>
  <c r="CW12" i="5"/>
  <c r="CS12" i="5"/>
  <c r="CR12" i="5"/>
  <c r="CN12" i="5"/>
  <c r="CM12" i="5"/>
  <c r="CI12" i="5"/>
  <c r="CH12" i="5"/>
  <c r="CD12" i="5"/>
  <c r="CC12" i="5"/>
  <c r="BY12" i="5"/>
  <c r="BX12" i="5"/>
  <c r="BT12" i="5"/>
  <c r="BS12" i="5"/>
  <c r="BO12" i="5"/>
  <c r="BN12" i="5"/>
  <c r="BJ12" i="5"/>
  <c r="BI12" i="5"/>
  <c r="BE12" i="5"/>
  <c r="BD12" i="5"/>
  <c r="AF12" i="5"/>
  <c r="AE12" i="5"/>
  <c r="AA12" i="5"/>
  <c r="X36" i="5" s="1"/>
  <c r="Z12" i="5"/>
  <c r="V12" i="5"/>
  <c r="U12" i="5"/>
  <c r="S35" i="5" s="1"/>
  <c r="Q12" i="5"/>
  <c r="P12" i="5"/>
  <c r="N35" i="5" s="1"/>
  <c r="L12" i="5"/>
  <c r="K12" i="5"/>
  <c r="G12" i="5"/>
  <c r="F12" i="5"/>
  <c r="C12" i="5"/>
  <c r="B12" i="5"/>
  <c r="A12" i="5"/>
  <c r="EV11" i="5"/>
  <c r="EU11" i="5"/>
  <c r="EQ11" i="5"/>
  <c r="EP11" i="5"/>
  <c r="EL11" i="5"/>
  <c r="EK11" i="5"/>
  <c r="EG11" i="5"/>
  <c r="EF11" i="5"/>
  <c r="EB11" i="5"/>
  <c r="EA11" i="5"/>
  <c r="DW11" i="5"/>
  <c r="DV11" i="5"/>
  <c r="DR11" i="5"/>
  <c r="DQ11" i="5"/>
  <c r="DM11" i="5"/>
  <c r="DL11" i="5"/>
  <c r="DH11" i="5"/>
  <c r="DG11" i="5"/>
  <c r="DC11" i="5"/>
  <c r="DB11" i="5"/>
  <c r="CX11" i="5"/>
  <c r="CW11" i="5"/>
  <c r="CS11" i="5"/>
  <c r="CR11" i="5"/>
  <c r="CN11" i="5"/>
  <c r="CM11" i="5"/>
  <c r="CI11" i="5"/>
  <c r="CH11" i="5"/>
  <c r="CD11" i="5"/>
  <c r="CC11" i="5"/>
  <c r="BY11" i="5"/>
  <c r="BX11" i="5"/>
  <c r="BT11" i="5"/>
  <c r="BS11" i="5"/>
  <c r="BO11" i="5"/>
  <c r="BN11" i="5"/>
  <c r="BJ11" i="5"/>
  <c r="BI11" i="5"/>
  <c r="BE11" i="5"/>
  <c r="BD11" i="5"/>
  <c r="AF11" i="5"/>
  <c r="AE11" i="5"/>
  <c r="L11" i="5"/>
  <c r="K11" i="5"/>
  <c r="G11" i="5"/>
  <c r="F11" i="5"/>
  <c r="C11" i="5"/>
  <c r="B11" i="5"/>
  <c r="A11" i="5"/>
  <c r="EV10" i="5"/>
  <c r="EU10" i="5"/>
  <c r="EQ10" i="5"/>
  <c r="EP10" i="5"/>
  <c r="EL10" i="5"/>
  <c r="EK10" i="5"/>
  <c r="EG10" i="5"/>
  <c r="EF10" i="5"/>
  <c r="EB10" i="5"/>
  <c r="EA10" i="5"/>
  <c r="DW10" i="5"/>
  <c r="DV10" i="5"/>
  <c r="DR10" i="5"/>
  <c r="DQ10" i="5"/>
  <c r="DM10" i="5"/>
  <c r="DL10" i="5"/>
  <c r="DH10" i="5"/>
  <c r="DG10" i="5"/>
  <c r="DC10" i="5"/>
  <c r="DB10" i="5"/>
  <c r="CX10" i="5"/>
  <c r="CW10" i="5"/>
  <c r="CS10" i="5"/>
  <c r="CR10" i="5"/>
  <c r="CN10" i="5"/>
  <c r="CM10" i="5"/>
  <c r="CI10" i="5"/>
  <c r="CH10" i="5"/>
  <c r="CD10" i="5"/>
  <c r="CC10" i="5"/>
  <c r="BY10" i="5"/>
  <c r="BX10" i="5"/>
  <c r="BT10" i="5"/>
  <c r="BS10" i="5"/>
  <c r="BO10" i="5"/>
  <c r="BN10" i="5"/>
  <c r="BJ10" i="5"/>
  <c r="BI10" i="5"/>
  <c r="BE10" i="5"/>
  <c r="BD10" i="5"/>
  <c r="AF10" i="5"/>
  <c r="AE10" i="5"/>
  <c r="L10" i="5"/>
  <c r="K10" i="5"/>
  <c r="G10" i="5"/>
  <c r="F10" i="5"/>
  <c r="C10" i="5"/>
  <c r="B10" i="5"/>
  <c r="A10" i="5"/>
  <c r="EV9" i="5"/>
  <c r="EU9" i="5"/>
  <c r="EQ9" i="5"/>
  <c r="EP9" i="5"/>
  <c r="EL9" i="5"/>
  <c r="EK9" i="5"/>
  <c r="EG9" i="5"/>
  <c r="EF9" i="5"/>
  <c r="EB9" i="5"/>
  <c r="EA9" i="5"/>
  <c r="DW9" i="5"/>
  <c r="DV9" i="5"/>
  <c r="DR9" i="5"/>
  <c r="DQ9" i="5"/>
  <c r="DM9" i="5"/>
  <c r="DL9" i="5"/>
  <c r="DH9" i="5"/>
  <c r="DG9" i="5"/>
  <c r="DC9" i="5"/>
  <c r="DB9" i="5"/>
  <c r="CX9" i="5"/>
  <c r="CW9" i="5"/>
  <c r="CS9" i="5"/>
  <c r="CR9" i="5"/>
  <c r="CN9" i="5"/>
  <c r="CM9" i="5"/>
  <c r="CI9" i="5"/>
  <c r="CH9" i="5"/>
  <c r="CD9" i="5"/>
  <c r="CC9" i="5"/>
  <c r="BY9" i="5"/>
  <c r="BX9" i="5"/>
  <c r="BT9" i="5"/>
  <c r="BS9" i="5"/>
  <c r="BO9" i="5"/>
  <c r="BN9" i="5"/>
  <c r="BJ9" i="5"/>
  <c r="BI9" i="5"/>
  <c r="BE9" i="5"/>
  <c r="BD9" i="5"/>
  <c r="AF9" i="5"/>
  <c r="AE9" i="5"/>
  <c r="L9" i="5"/>
  <c r="K9" i="5"/>
  <c r="G9" i="5"/>
  <c r="F9" i="5"/>
  <c r="C9" i="5"/>
  <c r="B9" i="5"/>
  <c r="A9" i="5"/>
  <c r="EV8" i="5"/>
  <c r="EU8" i="5"/>
  <c r="EQ8" i="5"/>
  <c r="EP8" i="5"/>
  <c r="EL8" i="5"/>
  <c r="EK8" i="5"/>
  <c r="EG8" i="5"/>
  <c r="EF8" i="5"/>
  <c r="EB8" i="5"/>
  <c r="EA8" i="5"/>
  <c r="DW8" i="5"/>
  <c r="DV8" i="5"/>
  <c r="DR8" i="5"/>
  <c r="DQ8" i="5"/>
  <c r="DM8" i="5"/>
  <c r="DL8" i="5"/>
  <c r="DH8" i="5"/>
  <c r="DG8" i="5"/>
  <c r="DC8" i="5"/>
  <c r="DB8" i="5"/>
  <c r="CX8" i="5"/>
  <c r="CW8" i="5"/>
  <c r="CS8" i="5"/>
  <c r="CR8" i="5"/>
  <c r="CN8" i="5"/>
  <c r="CM8" i="5"/>
  <c r="CI8" i="5"/>
  <c r="CH8" i="5"/>
  <c r="CD8" i="5"/>
  <c r="CC8" i="5"/>
  <c r="BY8" i="5"/>
  <c r="BX8" i="5"/>
  <c r="BT8" i="5"/>
  <c r="BS8" i="5"/>
  <c r="BO8" i="5"/>
  <c r="BN8" i="5"/>
  <c r="BJ8" i="5"/>
  <c r="BI8" i="5"/>
  <c r="BE8" i="5"/>
  <c r="BB36" i="5" s="1"/>
  <c r="BD8" i="5"/>
  <c r="AF8" i="5"/>
  <c r="AE8" i="5"/>
  <c r="L8" i="5"/>
  <c r="K8" i="5"/>
  <c r="G8" i="5"/>
  <c r="F8" i="5"/>
  <c r="C8" i="5"/>
  <c r="B8" i="5"/>
  <c r="A8" i="5"/>
  <c r="EV7" i="5"/>
  <c r="EU7" i="5"/>
  <c r="EQ7" i="5"/>
  <c r="EP7" i="5"/>
  <c r="EL7" i="5"/>
  <c r="EK7" i="5"/>
  <c r="EG7" i="5"/>
  <c r="EF7" i="5"/>
  <c r="EB7" i="5"/>
  <c r="EA7" i="5"/>
  <c r="DW7" i="5"/>
  <c r="DV7" i="5"/>
  <c r="DR7" i="5"/>
  <c r="DQ7" i="5"/>
  <c r="DM7" i="5"/>
  <c r="DL7" i="5"/>
  <c r="DH7" i="5"/>
  <c r="DG7" i="5"/>
  <c r="DC7" i="5"/>
  <c r="DB7" i="5"/>
  <c r="CX7" i="5"/>
  <c r="CW7" i="5"/>
  <c r="CS7" i="5"/>
  <c r="CR7" i="5"/>
  <c r="CN7" i="5"/>
  <c r="CM7" i="5"/>
  <c r="CI7" i="5"/>
  <c r="CH7" i="5"/>
  <c r="CD7" i="5"/>
  <c r="CC7" i="5"/>
  <c r="BY7" i="5"/>
  <c r="BX7" i="5"/>
  <c r="BT7" i="5"/>
  <c r="BS7" i="5"/>
  <c r="BO7" i="5"/>
  <c r="BN7" i="5"/>
  <c r="BJ7" i="5"/>
  <c r="BI7" i="5"/>
  <c r="BE7" i="5"/>
  <c r="BD7" i="5"/>
  <c r="AF7" i="5"/>
  <c r="AE7" i="5"/>
  <c r="L7" i="5"/>
  <c r="K7" i="5"/>
  <c r="G7" i="5"/>
  <c r="F7" i="5"/>
  <c r="C7" i="5"/>
  <c r="B7" i="5"/>
  <c r="A7" i="5"/>
  <c r="EV6" i="5"/>
  <c r="EU6" i="5"/>
  <c r="EQ6" i="5"/>
  <c r="EP6" i="5"/>
  <c r="EL6" i="5"/>
  <c r="EK6" i="5"/>
  <c r="EG6" i="5"/>
  <c r="EF6" i="5"/>
  <c r="EB6" i="5"/>
  <c r="EA6" i="5"/>
  <c r="DW6" i="5"/>
  <c r="DV6" i="5"/>
  <c r="DR6" i="5"/>
  <c r="DQ6" i="5"/>
  <c r="DM6" i="5"/>
  <c r="DL6" i="5"/>
  <c r="DH6" i="5"/>
  <c r="DG6" i="5"/>
  <c r="DC6" i="5"/>
  <c r="DB6" i="5"/>
  <c r="CX6" i="5"/>
  <c r="CW6" i="5"/>
  <c r="CS6" i="5"/>
  <c r="CR6" i="5"/>
  <c r="CN6" i="5"/>
  <c r="CM6" i="5"/>
  <c r="CI6" i="5"/>
  <c r="CH6" i="5"/>
  <c r="CD6" i="5"/>
  <c r="CC6" i="5"/>
  <c r="BY6" i="5"/>
  <c r="BX6" i="5"/>
  <c r="BT6" i="5"/>
  <c r="BS6" i="5"/>
  <c r="BO6" i="5"/>
  <c r="BN6" i="5"/>
  <c r="BJ6" i="5"/>
  <c r="BI6" i="5"/>
  <c r="BE6" i="5"/>
  <c r="BD6" i="5"/>
  <c r="AF6" i="5"/>
  <c r="AE6" i="5"/>
  <c r="L6" i="5"/>
  <c r="K6" i="5"/>
  <c r="G6" i="5"/>
  <c r="F6" i="5"/>
  <c r="C6" i="5"/>
  <c r="B6" i="5"/>
  <c r="A6" i="5"/>
  <c r="EV5" i="5"/>
  <c r="EU5" i="5"/>
  <c r="EQ5" i="5"/>
  <c r="EP5" i="5"/>
  <c r="EL5" i="5"/>
  <c r="EK5" i="5"/>
  <c r="EG5" i="5"/>
  <c r="EF5" i="5"/>
  <c r="EB5" i="5"/>
  <c r="EA5" i="5"/>
  <c r="DW5" i="5"/>
  <c r="DV5" i="5"/>
  <c r="DR5" i="5"/>
  <c r="DQ5" i="5"/>
  <c r="DM5" i="5"/>
  <c r="DL5" i="5"/>
  <c r="DH5" i="5"/>
  <c r="DG5" i="5"/>
  <c r="DC5" i="5"/>
  <c r="DB5" i="5"/>
  <c r="CX5" i="5"/>
  <c r="CW5" i="5"/>
  <c r="CS5" i="5"/>
  <c r="CR5" i="5"/>
  <c r="CN5" i="5"/>
  <c r="CM5" i="5"/>
  <c r="CI5" i="5"/>
  <c r="CH5" i="5"/>
  <c r="CD5" i="5"/>
  <c r="CC5" i="5"/>
  <c r="BY5" i="5"/>
  <c r="BX5" i="5"/>
  <c r="BT5" i="5"/>
  <c r="BS5" i="5"/>
  <c r="BO5" i="5"/>
  <c r="BN5" i="5"/>
  <c r="BJ5" i="5"/>
  <c r="BG36" i="5" s="1"/>
  <c r="BI5" i="5"/>
  <c r="BG35" i="5" s="1"/>
  <c r="BG37" i="5" s="1"/>
  <c r="D15" i="18" s="1"/>
  <c r="BE5" i="5"/>
  <c r="BD5" i="5"/>
  <c r="BB35" i="5" s="1"/>
  <c r="AF5" i="5"/>
  <c r="AE5" i="5"/>
  <c r="L5" i="5"/>
  <c r="K5" i="5"/>
  <c r="G5" i="5"/>
  <c r="F5" i="5"/>
  <c r="C5" i="5"/>
  <c r="B5" i="5"/>
  <c r="A5" i="5"/>
  <c r="EV4" i="5"/>
  <c r="EU4" i="5"/>
  <c r="EQ4" i="5"/>
  <c r="EP4" i="5"/>
  <c r="EL4" i="5"/>
  <c r="EK4" i="5"/>
  <c r="EG4" i="5"/>
  <c r="EF4" i="5"/>
  <c r="EB4" i="5"/>
  <c r="EA4" i="5"/>
  <c r="DW4" i="5"/>
  <c r="DV4" i="5"/>
  <c r="DR4" i="5"/>
  <c r="DQ4" i="5"/>
  <c r="DM4" i="5"/>
  <c r="DL4" i="5"/>
  <c r="DH4" i="5"/>
  <c r="DG4" i="5"/>
  <c r="DC4" i="5"/>
  <c r="DB4" i="5"/>
  <c r="CX4" i="5"/>
  <c r="CW4" i="5"/>
  <c r="CS4" i="5"/>
  <c r="CR4" i="5"/>
  <c r="CN4" i="5"/>
  <c r="CM4" i="5"/>
  <c r="CI4" i="5"/>
  <c r="CH4" i="5"/>
  <c r="CD4" i="5"/>
  <c r="CC4" i="5"/>
  <c r="BY4" i="5"/>
  <c r="BX4" i="5"/>
  <c r="BT4" i="5"/>
  <c r="BS4" i="5"/>
  <c r="BO4" i="5"/>
  <c r="BN4" i="5"/>
  <c r="BJ4" i="5"/>
  <c r="BI4" i="5"/>
  <c r="BE4" i="5"/>
  <c r="BD4" i="5"/>
  <c r="AZ4" i="5"/>
  <c r="AY4" i="5"/>
  <c r="AU4" i="5"/>
  <c r="AT4" i="5"/>
  <c r="AP4" i="5"/>
  <c r="AO4" i="5"/>
  <c r="AK4" i="5"/>
  <c r="AJ4" i="5"/>
  <c r="AF4" i="5"/>
  <c r="AE4" i="5"/>
  <c r="AA4" i="5"/>
  <c r="Z4" i="5"/>
  <c r="V4" i="5"/>
  <c r="U4" i="5"/>
  <c r="Q4" i="5"/>
  <c r="P4" i="5"/>
  <c r="L4" i="5"/>
  <c r="K4" i="5"/>
  <c r="G4" i="5"/>
  <c r="F4" i="5"/>
  <c r="C4" i="5"/>
  <c r="B4" i="5"/>
  <c r="A4" i="5"/>
  <c r="ES2" i="5"/>
  <c r="EN2" i="5"/>
  <c r="EI2" i="5"/>
  <c r="ED2" i="5"/>
  <c r="DY2" i="5"/>
  <c r="DT2" i="5"/>
  <c r="DO2" i="5"/>
  <c r="DJ2" i="5"/>
  <c r="DE2" i="5"/>
  <c r="CZ2" i="5"/>
  <c r="CU2" i="5"/>
  <c r="CP2" i="5"/>
  <c r="CK2" i="5"/>
  <c r="CF2" i="5"/>
  <c r="CA2" i="5"/>
  <c r="BV2" i="5"/>
  <c r="BQ2" i="5"/>
  <c r="BL2" i="5"/>
  <c r="BG2" i="5"/>
  <c r="BB2" i="5"/>
  <c r="AW2" i="5"/>
  <c r="AR2" i="5"/>
  <c r="AM2" i="5"/>
  <c r="AH2" i="5"/>
  <c r="AC2" i="5"/>
  <c r="X2" i="5"/>
  <c r="S2" i="5"/>
  <c r="N2" i="5"/>
  <c r="I2" i="5"/>
  <c r="D2" i="5"/>
  <c r="A1" i="5"/>
  <c r="ES40" i="4"/>
  <c r="EN40" i="4"/>
  <c r="EI40" i="4"/>
  <c r="ED40" i="4"/>
  <c r="DY40" i="4"/>
  <c r="DT40" i="4"/>
  <c r="DO40" i="4"/>
  <c r="DJ40" i="4"/>
  <c r="DE40" i="4"/>
  <c r="CZ40" i="4"/>
  <c r="CU40" i="4"/>
  <c r="CP40" i="4"/>
  <c r="CK40" i="4"/>
  <c r="CF40" i="4"/>
  <c r="CA40" i="4"/>
  <c r="BV40" i="4"/>
  <c r="BQ40" i="4"/>
  <c r="BL40" i="4"/>
  <c r="BG40" i="4"/>
  <c r="BB40" i="4"/>
  <c r="AW40" i="4"/>
  <c r="AR40" i="4"/>
  <c r="AM40" i="4"/>
  <c r="AH40" i="4"/>
  <c r="AC40" i="4"/>
  <c r="X40" i="4"/>
  <c r="S40" i="4"/>
  <c r="N40" i="4"/>
  <c r="I40" i="4"/>
  <c r="D40" i="4"/>
  <c r="ES39" i="4"/>
  <c r="EN39" i="4"/>
  <c r="EI39" i="4"/>
  <c r="ED39" i="4"/>
  <c r="DY39" i="4"/>
  <c r="DT39" i="4"/>
  <c r="DO39" i="4"/>
  <c r="DJ39" i="4"/>
  <c r="DE39" i="4"/>
  <c r="CZ39" i="4"/>
  <c r="CU39" i="4"/>
  <c r="CP39" i="4"/>
  <c r="CK39" i="4"/>
  <c r="CF39" i="4"/>
  <c r="CA39" i="4"/>
  <c r="BV39" i="4"/>
  <c r="BQ39" i="4"/>
  <c r="BL39" i="4"/>
  <c r="BG39" i="4"/>
  <c r="BB39" i="4"/>
  <c r="AW39" i="4"/>
  <c r="AR39" i="4"/>
  <c r="AM39" i="4"/>
  <c r="AH39" i="4"/>
  <c r="AC39" i="4"/>
  <c r="X39" i="4"/>
  <c r="S39" i="4"/>
  <c r="N39" i="4"/>
  <c r="I39" i="4"/>
  <c r="D39" i="4"/>
  <c r="ES38" i="4"/>
  <c r="EN38" i="4"/>
  <c r="EI38" i="4"/>
  <c r="ED38" i="4"/>
  <c r="DY38" i="4"/>
  <c r="DT38" i="4"/>
  <c r="DO38" i="4"/>
  <c r="DJ38" i="4"/>
  <c r="DE38" i="4"/>
  <c r="CZ38" i="4"/>
  <c r="CU38" i="4"/>
  <c r="CP38" i="4"/>
  <c r="CK38" i="4"/>
  <c r="CF38" i="4"/>
  <c r="CA38" i="4"/>
  <c r="BV38" i="4"/>
  <c r="BQ38" i="4"/>
  <c r="BL38" i="4"/>
  <c r="BG38" i="4"/>
  <c r="BB38" i="4"/>
  <c r="AW38" i="4"/>
  <c r="AR38" i="4"/>
  <c r="AM38" i="4"/>
  <c r="AH38" i="4"/>
  <c r="AC38" i="4"/>
  <c r="X38" i="4"/>
  <c r="S38" i="4"/>
  <c r="N38" i="4"/>
  <c r="I38" i="4"/>
  <c r="D38" i="4"/>
  <c r="ES37" i="4"/>
  <c r="EN37" i="4"/>
  <c r="EI37" i="4"/>
  <c r="ED37" i="4"/>
  <c r="DY37" i="4"/>
  <c r="DT37" i="4"/>
  <c r="DO37" i="4"/>
  <c r="DJ37" i="4"/>
  <c r="DE37" i="4"/>
  <c r="CZ37" i="4"/>
  <c r="CU37" i="4"/>
  <c r="CP37" i="4"/>
  <c r="CK37" i="4"/>
  <c r="CF37" i="4"/>
  <c r="CA37" i="4"/>
  <c r="BV37" i="4"/>
  <c r="BQ37" i="4"/>
  <c r="BL37" i="4"/>
  <c r="AW37" i="4"/>
  <c r="AC37" i="4"/>
  <c r="X37" i="4"/>
  <c r="S37" i="4"/>
  <c r="N37" i="4"/>
  <c r="I37" i="4"/>
  <c r="D37" i="4"/>
  <c r="ES36" i="4"/>
  <c r="EN36" i="4"/>
  <c r="EI36" i="4"/>
  <c r="ED36" i="4"/>
  <c r="DY36" i="4"/>
  <c r="DT36" i="4"/>
  <c r="DO36" i="4"/>
  <c r="DJ36" i="4"/>
  <c r="DE36" i="4"/>
  <c r="CZ36" i="4"/>
  <c r="CU36" i="4"/>
  <c r="CP36" i="4"/>
  <c r="CK36" i="4"/>
  <c r="CF36" i="4"/>
  <c r="CA36" i="4"/>
  <c r="BV36" i="4"/>
  <c r="BQ36" i="4"/>
  <c r="BL36" i="4"/>
  <c r="AW36" i="4"/>
  <c r="AC36" i="4"/>
  <c r="X36" i="4"/>
  <c r="S36" i="4"/>
  <c r="N36" i="4"/>
  <c r="I36" i="4"/>
  <c r="D36" i="4"/>
  <c r="ES35" i="4"/>
  <c r="EN35" i="4"/>
  <c r="EI35" i="4"/>
  <c r="ED35" i="4"/>
  <c r="DY35" i="4"/>
  <c r="DT35" i="4"/>
  <c r="DO35" i="4"/>
  <c r="DJ35" i="4"/>
  <c r="DE35" i="4"/>
  <c r="CZ35" i="4"/>
  <c r="CU35" i="4"/>
  <c r="CP35" i="4"/>
  <c r="CK35" i="4"/>
  <c r="CF35" i="4"/>
  <c r="CA35" i="4"/>
  <c r="BV35" i="4"/>
  <c r="BQ35" i="4"/>
  <c r="BL35" i="4"/>
  <c r="AW35" i="4"/>
  <c r="AC35" i="4"/>
  <c r="X35" i="4"/>
  <c r="S35" i="4"/>
  <c r="N35" i="4"/>
  <c r="I35" i="4"/>
  <c r="D35" i="4"/>
  <c r="EV34" i="4"/>
  <c r="EU34" i="4"/>
  <c r="EQ34" i="4"/>
  <c r="EP34" i="4"/>
  <c r="EL34" i="4"/>
  <c r="EK34" i="4"/>
  <c r="EG34" i="4"/>
  <c r="EF34" i="4"/>
  <c r="EB34" i="4"/>
  <c r="EA34" i="4"/>
  <c r="DW34" i="4"/>
  <c r="DV34" i="4"/>
  <c r="DR34" i="4"/>
  <c r="DQ34" i="4"/>
  <c r="DM34" i="4"/>
  <c r="DL34" i="4"/>
  <c r="DH34" i="4"/>
  <c r="DG34" i="4"/>
  <c r="DC34" i="4"/>
  <c r="DB34" i="4"/>
  <c r="CX34" i="4"/>
  <c r="CW34" i="4"/>
  <c r="CS34" i="4"/>
  <c r="CR34" i="4"/>
  <c r="CN34" i="4"/>
  <c r="CM34" i="4"/>
  <c r="CI34" i="4"/>
  <c r="CH34" i="4"/>
  <c r="CD34" i="4"/>
  <c r="CC34" i="4"/>
  <c r="BY34" i="4"/>
  <c r="BX34" i="4"/>
  <c r="BT34" i="4"/>
  <c r="BS34" i="4"/>
  <c r="BO34" i="4"/>
  <c r="BN34" i="4"/>
  <c r="BJ34" i="4"/>
  <c r="BI34" i="4"/>
  <c r="BE34" i="4"/>
  <c r="BD34" i="4"/>
  <c r="AZ34" i="4"/>
  <c r="AY34" i="4"/>
  <c r="AU34" i="4"/>
  <c r="AT34" i="4"/>
  <c r="AP34" i="4"/>
  <c r="AO34" i="4"/>
  <c r="AK34" i="4"/>
  <c r="AJ34" i="4"/>
  <c r="AF34" i="4"/>
  <c r="AE34" i="4"/>
  <c r="AA34" i="4"/>
  <c r="Z34" i="4"/>
  <c r="V34" i="4"/>
  <c r="U34" i="4"/>
  <c r="Q34" i="4"/>
  <c r="P34" i="4"/>
  <c r="L34" i="4"/>
  <c r="K34" i="4"/>
  <c r="G34" i="4"/>
  <c r="F34" i="4"/>
  <c r="C34" i="4"/>
  <c r="B34" i="4"/>
  <c r="A34" i="4"/>
  <c r="EV33" i="4"/>
  <c r="EU33" i="4"/>
  <c r="EQ33" i="4"/>
  <c r="EP33" i="4"/>
  <c r="EL33" i="4"/>
  <c r="EK33" i="4"/>
  <c r="EG33" i="4"/>
  <c r="EF33" i="4"/>
  <c r="EB33" i="4"/>
  <c r="EA33" i="4"/>
  <c r="DW33" i="4"/>
  <c r="DV33" i="4"/>
  <c r="DR33" i="4"/>
  <c r="DQ33" i="4"/>
  <c r="DM33" i="4"/>
  <c r="DL33" i="4"/>
  <c r="DH33" i="4"/>
  <c r="DG33" i="4"/>
  <c r="DC33" i="4"/>
  <c r="DB33" i="4"/>
  <c r="CX33" i="4"/>
  <c r="CW33" i="4"/>
  <c r="CS33" i="4"/>
  <c r="CR33" i="4"/>
  <c r="CN33" i="4"/>
  <c r="CM33" i="4"/>
  <c r="CI33" i="4"/>
  <c r="CH33" i="4"/>
  <c r="CD33" i="4"/>
  <c r="CC33" i="4"/>
  <c r="BY33" i="4"/>
  <c r="BX33" i="4"/>
  <c r="BT33" i="4"/>
  <c r="BS33" i="4"/>
  <c r="BO33" i="4"/>
  <c r="BN33" i="4"/>
  <c r="BJ33" i="4"/>
  <c r="BI33" i="4"/>
  <c r="BE33" i="4"/>
  <c r="BD33" i="4"/>
  <c r="AZ33" i="4"/>
  <c r="AY33" i="4"/>
  <c r="AU33" i="4"/>
  <c r="AT33" i="4"/>
  <c r="AP33" i="4"/>
  <c r="AO33" i="4"/>
  <c r="AK33" i="4"/>
  <c r="AJ33" i="4"/>
  <c r="AF33" i="4"/>
  <c r="AE33" i="4"/>
  <c r="AA33" i="4"/>
  <c r="Z33" i="4"/>
  <c r="V33" i="4"/>
  <c r="U33" i="4"/>
  <c r="Q33" i="4"/>
  <c r="P33" i="4"/>
  <c r="L33" i="4"/>
  <c r="K33" i="4"/>
  <c r="G33" i="4"/>
  <c r="F33" i="4"/>
  <c r="C33" i="4"/>
  <c r="B33" i="4"/>
  <c r="A33" i="4"/>
  <c r="EV32" i="4"/>
  <c r="EU32" i="4"/>
  <c r="EQ32" i="4"/>
  <c r="EP32" i="4"/>
  <c r="EL32" i="4"/>
  <c r="EK32" i="4"/>
  <c r="EG32" i="4"/>
  <c r="EF32" i="4"/>
  <c r="EB32" i="4"/>
  <c r="EA32" i="4"/>
  <c r="DW32" i="4"/>
  <c r="DV32" i="4"/>
  <c r="DR32" i="4"/>
  <c r="DQ32" i="4"/>
  <c r="DM32" i="4"/>
  <c r="DL32" i="4"/>
  <c r="DH32" i="4"/>
  <c r="DG32" i="4"/>
  <c r="DC32" i="4"/>
  <c r="DB32" i="4"/>
  <c r="CX32" i="4"/>
  <c r="CW32" i="4"/>
  <c r="CS32" i="4"/>
  <c r="CR32" i="4"/>
  <c r="CN32" i="4"/>
  <c r="CM32" i="4"/>
  <c r="CI32" i="4"/>
  <c r="CH32" i="4"/>
  <c r="CD32" i="4"/>
  <c r="CC32" i="4"/>
  <c r="BY32" i="4"/>
  <c r="BX32" i="4"/>
  <c r="BT32" i="4"/>
  <c r="BS32" i="4"/>
  <c r="BO32" i="4"/>
  <c r="BN32" i="4"/>
  <c r="BJ32" i="4"/>
  <c r="BI32" i="4"/>
  <c r="BE32" i="4"/>
  <c r="BD32" i="4"/>
  <c r="AZ32" i="4"/>
  <c r="AY32" i="4"/>
  <c r="AU32" i="4"/>
  <c r="AT32" i="4"/>
  <c r="AP32" i="4"/>
  <c r="AO32" i="4"/>
  <c r="AK32" i="4"/>
  <c r="AJ32" i="4"/>
  <c r="AF32" i="4"/>
  <c r="AE32" i="4"/>
  <c r="AA32" i="4"/>
  <c r="Z32" i="4"/>
  <c r="V32" i="4"/>
  <c r="U32" i="4"/>
  <c r="Q32" i="4"/>
  <c r="P32" i="4"/>
  <c r="L32" i="4"/>
  <c r="K32" i="4"/>
  <c r="G32" i="4"/>
  <c r="F32" i="4"/>
  <c r="C32" i="4"/>
  <c r="B32" i="4"/>
  <c r="A32" i="4"/>
  <c r="EV31" i="4"/>
  <c r="EU31" i="4"/>
  <c r="EQ31" i="4"/>
  <c r="EP31" i="4"/>
  <c r="EL31" i="4"/>
  <c r="EK31" i="4"/>
  <c r="EG31" i="4"/>
  <c r="EF31" i="4"/>
  <c r="EB31" i="4"/>
  <c r="EA31" i="4"/>
  <c r="DW31" i="4"/>
  <c r="DV31" i="4"/>
  <c r="DR31" i="4"/>
  <c r="DQ31" i="4"/>
  <c r="DM31" i="4"/>
  <c r="DL31" i="4"/>
  <c r="DH31" i="4"/>
  <c r="DG31" i="4"/>
  <c r="DC31" i="4"/>
  <c r="DB31" i="4"/>
  <c r="CX31" i="4"/>
  <c r="CW31" i="4"/>
  <c r="CS31" i="4"/>
  <c r="CR31" i="4"/>
  <c r="CN31" i="4"/>
  <c r="CM31" i="4"/>
  <c r="CI31" i="4"/>
  <c r="CH31" i="4"/>
  <c r="CD31" i="4"/>
  <c r="CC31" i="4"/>
  <c r="BY31" i="4"/>
  <c r="BX31" i="4"/>
  <c r="BT31" i="4"/>
  <c r="BS31" i="4"/>
  <c r="BO31" i="4"/>
  <c r="BN31" i="4"/>
  <c r="BJ31" i="4"/>
  <c r="BI31" i="4"/>
  <c r="BE31" i="4"/>
  <c r="BD31" i="4"/>
  <c r="AZ31" i="4"/>
  <c r="AY31" i="4"/>
  <c r="AU31" i="4"/>
  <c r="AT31" i="4"/>
  <c r="AP31" i="4"/>
  <c r="AO31" i="4"/>
  <c r="AK31" i="4"/>
  <c r="AJ31" i="4"/>
  <c r="AF31" i="4"/>
  <c r="AE31" i="4"/>
  <c r="AA31" i="4"/>
  <c r="Z31" i="4"/>
  <c r="V31" i="4"/>
  <c r="U31" i="4"/>
  <c r="Q31" i="4"/>
  <c r="P31" i="4"/>
  <c r="L31" i="4"/>
  <c r="K31" i="4"/>
  <c r="G31" i="4"/>
  <c r="F31" i="4"/>
  <c r="C31" i="4"/>
  <c r="B31" i="4"/>
  <c r="A31" i="4"/>
  <c r="EV30" i="4"/>
  <c r="EU30" i="4"/>
  <c r="EQ30" i="4"/>
  <c r="EP30" i="4"/>
  <c r="EL30" i="4"/>
  <c r="EK30" i="4"/>
  <c r="EG30" i="4"/>
  <c r="EF30" i="4"/>
  <c r="EB30" i="4"/>
  <c r="EA30" i="4"/>
  <c r="DW30" i="4"/>
  <c r="DV30" i="4"/>
  <c r="DR30" i="4"/>
  <c r="DQ30" i="4"/>
  <c r="DM30" i="4"/>
  <c r="DL30" i="4"/>
  <c r="DH30" i="4"/>
  <c r="DG30" i="4"/>
  <c r="DC30" i="4"/>
  <c r="DB30" i="4"/>
  <c r="CX30" i="4"/>
  <c r="CW30" i="4"/>
  <c r="CS30" i="4"/>
  <c r="CR30" i="4"/>
  <c r="CN30" i="4"/>
  <c r="CM30" i="4"/>
  <c r="CI30" i="4"/>
  <c r="CH30" i="4"/>
  <c r="CD30" i="4"/>
  <c r="CC30" i="4"/>
  <c r="BY30" i="4"/>
  <c r="BX30" i="4"/>
  <c r="BT30" i="4"/>
  <c r="BS30" i="4"/>
  <c r="BO30" i="4"/>
  <c r="BN30" i="4"/>
  <c r="BJ30" i="4"/>
  <c r="BI30" i="4"/>
  <c r="BE30" i="4"/>
  <c r="BD30" i="4"/>
  <c r="AZ30" i="4"/>
  <c r="AY30" i="4"/>
  <c r="AU30" i="4"/>
  <c r="AT30" i="4"/>
  <c r="AP30" i="4"/>
  <c r="AO30" i="4"/>
  <c r="AM35" i="4" s="1"/>
  <c r="AK30" i="4"/>
  <c r="AJ30" i="4"/>
  <c r="AF30" i="4"/>
  <c r="AE30" i="4"/>
  <c r="AA30" i="4"/>
  <c r="Z30" i="4"/>
  <c r="V30" i="4"/>
  <c r="U30" i="4"/>
  <c r="Q30" i="4"/>
  <c r="P30" i="4"/>
  <c r="L30" i="4"/>
  <c r="K30" i="4"/>
  <c r="G30" i="4"/>
  <c r="F30" i="4"/>
  <c r="C30" i="4"/>
  <c r="B30" i="4"/>
  <c r="A30" i="4"/>
  <c r="EV29" i="4"/>
  <c r="EU29" i="4"/>
  <c r="EQ29" i="4"/>
  <c r="EP29" i="4"/>
  <c r="EL29" i="4"/>
  <c r="EK29" i="4"/>
  <c r="EG29" i="4"/>
  <c r="EF29" i="4"/>
  <c r="EB29" i="4"/>
  <c r="EA29" i="4"/>
  <c r="DW29" i="4"/>
  <c r="DV29" i="4"/>
  <c r="DR29" i="4"/>
  <c r="DQ29" i="4"/>
  <c r="DM29" i="4"/>
  <c r="DL29" i="4"/>
  <c r="DH29" i="4"/>
  <c r="DG29" i="4"/>
  <c r="DC29" i="4"/>
  <c r="DB29" i="4"/>
  <c r="CX29" i="4"/>
  <c r="CW29" i="4"/>
  <c r="CS29" i="4"/>
  <c r="CR29" i="4"/>
  <c r="CN29" i="4"/>
  <c r="CM29" i="4"/>
  <c r="CI29" i="4"/>
  <c r="CH29" i="4"/>
  <c r="CD29" i="4"/>
  <c r="CC29" i="4"/>
  <c r="BY29" i="4"/>
  <c r="BX29" i="4"/>
  <c r="BT29" i="4"/>
  <c r="BS29" i="4"/>
  <c r="BO29" i="4"/>
  <c r="BN29" i="4"/>
  <c r="BJ29" i="4"/>
  <c r="BI29" i="4"/>
  <c r="BE29" i="4"/>
  <c r="BD29" i="4"/>
  <c r="AZ29" i="4"/>
  <c r="AY29" i="4"/>
  <c r="AU29" i="4"/>
  <c r="AT29" i="4"/>
  <c r="AP29" i="4"/>
  <c r="AO29" i="4"/>
  <c r="AK29" i="4"/>
  <c r="AJ29" i="4"/>
  <c r="AF29" i="4"/>
  <c r="AE29" i="4"/>
  <c r="AA29" i="4"/>
  <c r="Z29" i="4"/>
  <c r="V29" i="4"/>
  <c r="U29" i="4"/>
  <c r="Q29" i="4"/>
  <c r="P29" i="4"/>
  <c r="L29" i="4"/>
  <c r="K29" i="4"/>
  <c r="G29" i="4"/>
  <c r="F29" i="4"/>
  <c r="C29" i="4"/>
  <c r="B29" i="4"/>
  <c r="A29" i="4"/>
  <c r="EV28" i="4"/>
  <c r="EU28" i="4"/>
  <c r="EQ28" i="4"/>
  <c r="EP28" i="4"/>
  <c r="EL28" i="4"/>
  <c r="EK28" i="4"/>
  <c r="EG28" i="4"/>
  <c r="EF28" i="4"/>
  <c r="EB28" i="4"/>
  <c r="EA28" i="4"/>
  <c r="DW28" i="4"/>
  <c r="DV28" i="4"/>
  <c r="DR28" i="4"/>
  <c r="DQ28" i="4"/>
  <c r="DM28" i="4"/>
  <c r="DL28" i="4"/>
  <c r="DH28" i="4"/>
  <c r="DG28" i="4"/>
  <c r="DC28" i="4"/>
  <c r="DB28" i="4"/>
  <c r="CX28" i="4"/>
  <c r="CW28" i="4"/>
  <c r="CS28" i="4"/>
  <c r="CR28" i="4"/>
  <c r="CN28" i="4"/>
  <c r="CM28" i="4"/>
  <c r="CI28" i="4"/>
  <c r="CH28" i="4"/>
  <c r="CD28" i="4"/>
  <c r="CC28" i="4"/>
  <c r="BY28" i="4"/>
  <c r="BX28" i="4"/>
  <c r="BT28" i="4"/>
  <c r="BS28" i="4"/>
  <c r="BO28" i="4"/>
  <c r="BN28" i="4"/>
  <c r="BJ28" i="4"/>
  <c r="BI28" i="4"/>
  <c r="BE28" i="4"/>
  <c r="BD28" i="4"/>
  <c r="AZ28" i="4"/>
  <c r="AY28" i="4"/>
  <c r="AU28" i="4"/>
  <c r="AT28" i="4"/>
  <c r="AP28" i="4"/>
  <c r="AO28" i="4"/>
  <c r="AK28" i="4"/>
  <c r="AJ28" i="4"/>
  <c r="AH35" i="4" s="1"/>
  <c r="AF28" i="4"/>
  <c r="AE28" i="4"/>
  <c r="AA28" i="4"/>
  <c r="Z28" i="4"/>
  <c r="V28" i="4"/>
  <c r="U28" i="4"/>
  <c r="Q28" i="4"/>
  <c r="P28" i="4"/>
  <c r="L28" i="4"/>
  <c r="K28" i="4"/>
  <c r="G28" i="4"/>
  <c r="F28" i="4"/>
  <c r="C28" i="4"/>
  <c r="B28" i="4"/>
  <c r="A28" i="4"/>
  <c r="EV27" i="4"/>
  <c r="EU27" i="4"/>
  <c r="EQ27" i="4"/>
  <c r="EP27" i="4"/>
  <c r="EL27" i="4"/>
  <c r="EK27" i="4"/>
  <c r="EG27" i="4"/>
  <c r="EF27" i="4"/>
  <c r="EB27" i="4"/>
  <c r="EA27" i="4"/>
  <c r="DW27" i="4"/>
  <c r="DV27" i="4"/>
  <c r="DR27" i="4"/>
  <c r="DQ27" i="4"/>
  <c r="DM27" i="4"/>
  <c r="DL27" i="4"/>
  <c r="DH27" i="4"/>
  <c r="DG27" i="4"/>
  <c r="DC27" i="4"/>
  <c r="DB27" i="4"/>
  <c r="CX27" i="4"/>
  <c r="CW27" i="4"/>
  <c r="CS27" i="4"/>
  <c r="CR27" i="4"/>
  <c r="CN27" i="4"/>
  <c r="CM27" i="4"/>
  <c r="CI27" i="4"/>
  <c r="CH27" i="4"/>
  <c r="CD27" i="4"/>
  <c r="CC27" i="4"/>
  <c r="BY27" i="4"/>
  <c r="BX27" i="4"/>
  <c r="BT27" i="4"/>
  <c r="BS27" i="4"/>
  <c r="BO27" i="4"/>
  <c r="BN27" i="4"/>
  <c r="BJ27" i="4"/>
  <c r="BI27" i="4"/>
  <c r="BE27" i="4"/>
  <c r="BD27" i="4"/>
  <c r="AZ27" i="4"/>
  <c r="AY27" i="4"/>
  <c r="AU27" i="4"/>
  <c r="AT27" i="4"/>
  <c r="AP27" i="4"/>
  <c r="AO27" i="4"/>
  <c r="AK27" i="4"/>
  <c r="AJ27" i="4"/>
  <c r="AF27" i="4"/>
  <c r="AE27" i="4"/>
  <c r="AA27" i="4"/>
  <c r="Z27" i="4"/>
  <c r="V27" i="4"/>
  <c r="U27" i="4"/>
  <c r="Q27" i="4"/>
  <c r="P27" i="4"/>
  <c r="L27" i="4"/>
  <c r="K27" i="4"/>
  <c r="G27" i="4"/>
  <c r="F27" i="4"/>
  <c r="C27" i="4"/>
  <c r="B27" i="4"/>
  <c r="A27" i="4"/>
  <c r="EV26" i="4"/>
  <c r="EU26" i="4"/>
  <c r="EQ26" i="4"/>
  <c r="EP26" i="4"/>
  <c r="EL26" i="4"/>
  <c r="EK26" i="4"/>
  <c r="EG26" i="4"/>
  <c r="EF26" i="4"/>
  <c r="EB26" i="4"/>
  <c r="EA26" i="4"/>
  <c r="DW26" i="4"/>
  <c r="DV26" i="4"/>
  <c r="DR26" i="4"/>
  <c r="DQ26" i="4"/>
  <c r="DM26" i="4"/>
  <c r="DL26" i="4"/>
  <c r="DH26" i="4"/>
  <c r="DG26" i="4"/>
  <c r="DC26" i="4"/>
  <c r="DB26" i="4"/>
  <c r="CX26" i="4"/>
  <c r="CW26" i="4"/>
  <c r="CS26" i="4"/>
  <c r="CR26" i="4"/>
  <c r="CN26" i="4"/>
  <c r="CM26" i="4"/>
  <c r="CI26" i="4"/>
  <c r="CH26" i="4"/>
  <c r="CD26" i="4"/>
  <c r="CC26" i="4"/>
  <c r="BY26" i="4"/>
  <c r="BX26" i="4"/>
  <c r="BT26" i="4"/>
  <c r="BS26" i="4"/>
  <c r="BO26" i="4"/>
  <c r="BN26" i="4"/>
  <c r="BJ26" i="4"/>
  <c r="BG36" i="4" s="1"/>
  <c r="BI26" i="4"/>
  <c r="BE26" i="4"/>
  <c r="BD26" i="4"/>
  <c r="AZ26" i="4"/>
  <c r="AY26" i="4"/>
  <c r="AU26" i="4"/>
  <c r="AT26" i="4"/>
  <c r="AP26" i="4"/>
  <c r="AO26" i="4"/>
  <c r="AK26" i="4"/>
  <c r="AH36" i="4" s="1"/>
  <c r="AJ26" i="4"/>
  <c r="AF26" i="4"/>
  <c r="AE26" i="4"/>
  <c r="AA26" i="4"/>
  <c r="Z26" i="4"/>
  <c r="V26" i="4"/>
  <c r="U26" i="4"/>
  <c r="Q26" i="4"/>
  <c r="P26" i="4"/>
  <c r="L26" i="4"/>
  <c r="K26" i="4"/>
  <c r="G26" i="4"/>
  <c r="F26" i="4"/>
  <c r="C26" i="4"/>
  <c r="B26" i="4"/>
  <c r="A26" i="4"/>
  <c r="EV25" i="4"/>
  <c r="EU25" i="4"/>
  <c r="EQ25" i="4"/>
  <c r="EP25" i="4"/>
  <c r="EL25" i="4"/>
  <c r="EK25" i="4"/>
  <c r="EG25" i="4"/>
  <c r="EF25" i="4"/>
  <c r="EB25" i="4"/>
  <c r="EA25" i="4"/>
  <c r="DW25" i="4"/>
  <c r="DV25" i="4"/>
  <c r="DR25" i="4"/>
  <c r="DQ25" i="4"/>
  <c r="DM25" i="4"/>
  <c r="DL25" i="4"/>
  <c r="DH25" i="4"/>
  <c r="DG25" i="4"/>
  <c r="DC25" i="4"/>
  <c r="DB25" i="4"/>
  <c r="CX25" i="4"/>
  <c r="CW25" i="4"/>
  <c r="CS25" i="4"/>
  <c r="CR25" i="4"/>
  <c r="CN25" i="4"/>
  <c r="CM25" i="4"/>
  <c r="CI25" i="4"/>
  <c r="CH25" i="4"/>
  <c r="CD25" i="4"/>
  <c r="CC25" i="4"/>
  <c r="BY25" i="4"/>
  <c r="BX25" i="4"/>
  <c r="BT25" i="4"/>
  <c r="BS25" i="4"/>
  <c r="BO25" i="4"/>
  <c r="BN25" i="4"/>
  <c r="BJ25" i="4"/>
  <c r="BI25" i="4"/>
  <c r="BE25" i="4"/>
  <c r="BB36" i="4" s="1"/>
  <c r="BD25" i="4"/>
  <c r="AZ25" i="4"/>
  <c r="AY25" i="4"/>
  <c r="AU25" i="4"/>
  <c r="AT25" i="4"/>
  <c r="AP25" i="4"/>
  <c r="AO25" i="4"/>
  <c r="AK25" i="4"/>
  <c r="AJ25" i="4"/>
  <c r="AF25" i="4"/>
  <c r="AE25" i="4"/>
  <c r="AA25" i="4"/>
  <c r="Z25" i="4"/>
  <c r="V25" i="4"/>
  <c r="U25" i="4"/>
  <c r="Q25" i="4"/>
  <c r="P25" i="4"/>
  <c r="L25" i="4"/>
  <c r="K25" i="4"/>
  <c r="G25" i="4"/>
  <c r="F25" i="4"/>
  <c r="C25" i="4"/>
  <c r="B25" i="4"/>
  <c r="A25" i="4"/>
  <c r="EV24" i="4"/>
  <c r="EU24" i="4"/>
  <c r="EQ24" i="4"/>
  <c r="EP24" i="4"/>
  <c r="EL24" i="4"/>
  <c r="EK24" i="4"/>
  <c r="EG24" i="4"/>
  <c r="EF24" i="4"/>
  <c r="EB24" i="4"/>
  <c r="EA24" i="4"/>
  <c r="DW24" i="4"/>
  <c r="DV24" i="4"/>
  <c r="DR24" i="4"/>
  <c r="DQ24" i="4"/>
  <c r="DM24" i="4"/>
  <c r="DL24" i="4"/>
  <c r="DH24" i="4"/>
  <c r="DG24" i="4"/>
  <c r="DC24" i="4"/>
  <c r="DB24" i="4"/>
  <c r="CX24" i="4"/>
  <c r="CW24" i="4"/>
  <c r="CS24" i="4"/>
  <c r="CR24" i="4"/>
  <c r="CN24" i="4"/>
  <c r="CM24" i="4"/>
  <c r="CI24" i="4"/>
  <c r="CH24" i="4"/>
  <c r="CD24" i="4"/>
  <c r="CC24" i="4"/>
  <c r="BY24" i="4"/>
  <c r="BX24" i="4"/>
  <c r="BT24" i="4"/>
  <c r="BS24" i="4"/>
  <c r="BO24" i="4"/>
  <c r="BN24" i="4"/>
  <c r="BJ24" i="4"/>
  <c r="BI24" i="4"/>
  <c r="BG35" i="4" s="1"/>
  <c r="BE24" i="4"/>
  <c r="BD24" i="4"/>
  <c r="BB35" i="4" s="1"/>
  <c r="AZ24" i="4"/>
  <c r="AY24" i="4"/>
  <c r="AU24" i="4"/>
  <c r="AR36" i="4" s="1"/>
  <c r="AT24" i="4"/>
  <c r="AR35" i="4" s="1"/>
  <c r="AP24" i="4"/>
  <c r="AM36" i="4" s="1"/>
  <c r="AO24" i="4"/>
  <c r="AK24" i="4"/>
  <c r="AJ24" i="4"/>
  <c r="AF24" i="4"/>
  <c r="AE24" i="4"/>
  <c r="AA24" i="4"/>
  <c r="Z24" i="4"/>
  <c r="V24" i="4"/>
  <c r="U24" i="4"/>
  <c r="Q24" i="4"/>
  <c r="P24" i="4"/>
  <c r="L24" i="4"/>
  <c r="K24" i="4"/>
  <c r="G24" i="4"/>
  <c r="F24" i="4"/>
  <c r="C24" i="4"/>
  <c r="B24" i="4"/>
  <c r="A24" i="4"/>
  <c r="EV23" i="4"/>
  <c r="EU23" i="4"/>
  <c r="EQ23" i="4"/>
  <c r="EP23" i="4"/>
  <c r="EL23" i="4"/>
  <c r="EK23" i="4"/>
  <c r="EG23" i="4"/>
  <c r="EF23" i="4"/>
  <c r="EB23" i="4"/>
  <c r="EA23" i="4"/>
  <c r="DW23" i="4"/>
  <c r="DV23" i="4"/>
  <c r="DR23" i="4"/>
  <c r="DQ23" i="4"/>
  <c r="DM23" i="4"/>
  <c r="DL23" i="4"/>
  <c r="DH23" i="4"/>
  <c r="DG23" i="4"/>
  <c r="DC23" i="4"/>
  <c r="DB23" i="4"/>
  <c r="CX23" i="4"/>
  <c r="CW23" i="4"/>
  <c r="CS23" i="4"/>
  <c r="CR23" i="4"/>
  <c r="CN23" i="4"/>
  <c r="CM23" i="4"/>
  <c r="CI23" i="4"/>
  <c r="CH23" i="4"/>
  <c r="CD23" i="4"/>
  <c r="CC23" i="4"/>
  <c r="BY23" i="4"/>
  <c r="BX23" i="4"/>
  <c r="BT23" i="4"/>
  <c r="BS23" i="4"/>
  <c r="BO23" i="4"/>
  <c r="BN23" i="4"/>
  <c r="BJ23" i="4"/>
  <c r="BI23" i="4"/>
  <c r="BE23" i="4"/>
  <c r="BD23" i="4"/>
  <c r="AZ23" i="4"/>
  <c r="AY23" i="4"/>
  <c r="AU23" i="4"/>
  <c r="AT23" i="4"/>
  <c r="AP23" i="4"/>
  <c r="AO23" i="4"/>
  <c r="AK23" i="4"/>
  <c r="AJ23" i="4"/>
  <c r="AF23" i="4"/>
  <c r="AE23" i="4"/>
  <c r="AA23" i="4"/>
  <c r="Z23" i="4"/>
  <c r="V23" i="4"/>
  <c r="U23" i="4"/>
  <c r="Q23" i="4"/>
  <c r="P23" i="4"/>
  <c r="L23" i="4"/>
  <c r="K23" i="4"/>
  <c r="G23" i="4"/>
  <c r="F23" i="4"/>
  <c r="C23" i="4"/>
  <c r="B23" i="4"/>
  <c r="A23" i="4"/>
  <c r="EV22" i="4"/>
  <c r="EU22" i="4"/>
  <c r="EQ22" i="4"/>
  <c r="EP22" i="4"/>
  <c r="EL22" i="4"/>
  <c r="EK22" i="4"/>
  <c r="EG22" i="4"/>
  <c r="EF22" i="4"/>
  <c r="EB22" i="4"/>
  <c r="EA22" i="4"/>
  <c r="DW22" i="4"/>
  <c r="DV22" i="4"/>
  <c r="DR22" i="4"/>
  <c r="DQ22" i="4"/>
  <c r="DM22" i="4"/>
  <c r="DL22" i="4"/>
  <c r="DH22" i="4"/>
  <c r="DG22" i="4"/>
  <c r="DC22" i="4"/>
  <c r="DB22" i="4"/>
  <c r="CX22" i="4"/>
  <c r="CW22" i="4"/>
  <c r="CS22" i="4"/>
  <c r="CR22" i="4"/>
  <c r="CN22" i="4"/>
  <c r="CM22" i="4"/>
  <c r="CI22" i="4"/>
  <c r="CH22" i="4"/>
  <c r="CD22" i="4"/>
  <c r="CC22" i="4"/>
  <c r="BY22" i="4"/>
  <c r="BX22" i="4"/>
  <c r="BT22" i="4"/>
  <c r="BS22" i="4"/>
  <c r="BO22" i="4"/>
  <c r="BN22" i="4"/>
  <c r="BJ22" i="4"/>
  <c r="BI22" i="4"/>
  <c r="BE22" i="4"/>
  <c r="BD22" i="4"/>
  <c r="AZ22" i="4"/>
  <c r="AY22" i="4"/>
  <c r="AU22" i="4"/>
  <c r="AT22" i="4"/>
  <c r="AP22" i="4"/>
  <c r="AO22" i="4"/>
  <c r="AK22" i="4"/>
  <c r="AJ22" i="4"/>
  <c r="AF22" i="4"/>
  <c r="AE22" i="4"/>
  <c r="AA22" i="4"/>
  <c r="Z22" i="4"/>
  <c r="V22" i="4"/>
  <c r="U22" i="4"/>
  <c r="Q22" i="4"/>
  <c r="P22" i="4"/>
  <c r="L22" i="4"/>
  <c r="K22" i="4"/>
  <c r="G22" i="4"/>
  <c r="F22" i="4"/>
  <c r="C22" i="4"/>
  <c r="B22" i="4"/>
  <c r="A22" i="4"/>
  <c r="EV21" i="4"/>
  <c r="EU21" i="4"/>
  <c r="EQ21" i="4"/>
  <c r="EP21" i="4"/>
  <c r="EL21" i="4"/>
  <c r="EK21" i="4"/>
  <c r="EG21" i="4"/>
  <c r="EF21" i="4"/>
  <c r="EB21" i="4"/>
  <c r="EA21" i="4"/>
  <c r="DW21" i="4"/>
  <c r="DV21" i="4"/>
  <c r="DR21" i="4"/>
  <c r="DQ21" i="4"/>
  <c r="DM21" i="4"/>
  <c r="DL21" i="4"/>
  <c r="DH21" i="4"/>
  <c r="DG21" i="4"/>
  <c r="DC21" i="4"/>
  <c r="DB21" i="4"/>
  <c r="CX21" i="4"/>
  <c r="CW21" i="4"/>
  <c r="CS21" i="4"/>
  <c r="CR21" i="4"/>
  <c r="CN21" i="4"/>
  <c r="CM21" i="4"/>
  <c r="CI21" i="4"/>
  <c r="CH21" i="4"/>
  <c r="CD21" i="4"/>
  <c r="CC21" i="4"/>
  <c r="BY21" i="4"/>
  <c r="BX21" i="4"/>
  <c r="BT21" i="4"/>
  <c r="BS21" i="4"/>
  <c r="BO21" i="4"/>
  <c r="BN21" i="4"/>
  <c r="BJ21" i="4"/>
  <c r="BI21" i="4"/>
  <c r="BE21" i="4"/>
  <c r="BD21" i="4"/>
  <c r="AZ21" i="4"/>
  <c r="AY21" i="4"/>
  <c r="AU21" i="4"/>
  <c r="AT21" i="4"/>
  <c r="AP21" i="4"/>
  <c r="AO21" i="4"/>
  <c r="AK21" i="4"/>
  <c r="AJ21" i="4"/>
  <c r="AF21" i="4"/>
  <c r="AE21" i="4"/>
  <c r="AA21" i="4"/>
  <c r="Z21" i="4"/>
  <c r="V21" i="4"/>
  <c r="U21" i="4"/>
  <c r="Q21" i="4"/>
  <c r="P21" i="4"/>
  <c r="L21" i="4"/>
  <c r="K21" i="4"/>
  <c r="G21" i="4"/>
  <c r="F21" i="4"/>
  <c r="C21" i="4"/>
  <c r="B21" i="4"/>
  <c r="A21" i="4"/>
  <c r="EV20" i="4"/>
  <c r="EU20" i="4"/>
  <c r="EQ20" i="4"/>
  <c r="EP20" i="4"/>
  <c r="EL20" i="4"/>
  <c r="EK20" i="4"/>
  <c r="EG20" i="4"/>
  <c r="EF20" i="4"/>
  <c r="EB20" i="4"/>
  <c r="EA20" i="4"/>
  <c r="DW20" i="4"/>
  <c r="DV20" i="4"/>
  <c r="DR20" i="4"/>
  <c r="DQ20" i="4"/>
  <c r="DM20" i="4"/>
  <c r="DL20" i="4"/>
  <c r="DH20" i="4"/>
  <c r="DG20" i="4"/>
  <c r="DC20" i="4"/>
  <c r="DB20" i="4"/>
  <c r="CX20" i="4"/>
  <c r="CW20" i="4"/>
  <c r="CS20" i="4"/>
  <c r="CR20" i="4"/>
  <c r="CN20" i="4"/>
  <c r="CM20" i="4"/>
  <c r="CI20" i="4"/>
  <c r="CH20" i="4"/>
  <c r="CD20" i="4"/>
  <c r="CC20" i="4"/>
  <c r="BY20" i="4"/>
  <c r="BX20" i="4"/>
  <c r="BT20" i="4"/>
  <c r="BS20" i="4"/>
  <c r="BO20" i="4"/>
  <c r="BN20" i="4"/>
  <c r="BJ20" i="4"/>
  <c r="BI20" i="4"/>
  <c r="BE20" i="4"/>
  <c r="BD20" i="4"/>
  <c r="AZ20" i="4"/>
  <c r="AY20" i="4"/>
  <c r="AU20" i="4"/>
  <c r="AT20" i="4"/>
  <c r="AP20" i="4"/>
  <c r="AO20" i="4"/>
  <c r="AK20" i="4"/>
  <c r="AJ20" i="4"/>
  <c r="AF20" i="4"/>
  <c r="AE20" i="4"/>
  <c r="AA20" i="4"/>
  <c r="Z20" i="4"/>
  <c r="V20" i="4"/>
  <c r="U20" i="4"/>
  <c r="Q20" i="4"/>
  <c r="P20" i="4"/>
  <c r="L20" i="4"/>
  <c r="K20" i="4"/>
  <c r="G20" i="4"/>
  <c r="F20" i="4"/>
  <c r="C20" i="4"/>
  <c r="B20" i="4"/>
  <c r="A20" i="4"/>
  <c r="EV19" i="4"/>
  <c r="EU19" i="4"/>
  <c r="EQ19" i="4"/>
  <c r="EP19" i="4"/>
  <c r="EL19" i="4"/>
  <c r="EK19" i="4"/>
  <c r="EG19" i="4"/>
  <c r="EF19" i="4"/>
  <c r="EB19" i="4"/>
  <c r="EA19" i="4"/>
  <c r="DW19" i="4"/>
  <c r="DV19" i="4"/>
  <c r="DR19" i="4"/>
  <c r="DQ19" i="4"/>
  <c r="DM19" i="4"/>
  <c r="DL19" i="4"/>
  <c r="DH19" i="4"/>
  <c r="DG19" i="4"/>
  <c r="DC19" i="4"/>
  <c r="DB19" i="4"/>
  <c r="CX19" i="4"/>
  <c r="CW19" i="4"/>
  <c r="CS19" i="4"/>
  <c r="CR19" i="4"/>
  <c r="CN19" i="4"/>
  <c r="CM19" i="4"/>
  <c r="CI19" i="4"/>
  <c r="CH19" i="4"/>
  <c r="CD19" i="4"/>
  <c r="CC19" i="4"/>
  <c r="BY19" i="4"/>
  <c r="BX19" i="4"/>
  <c r="BT19" i="4"/>
  <c r="BS19" i="4"/>
  <c r="BO19" i="4"/>
  <c r="BN19" i="4"/>
  <c r="BJ19" i="4"/>
  <c r="BI19" i="4"/>
  <c r="BE19" i="4"/>
  <c r="BD19" i="4"/>
  <c r="AZ19" i="4"/>
  <c r="AY19" i="4"/>
  <c r="AU19" i="4"/>
  <c r="AT19" i="4"/>
  <c r="AP19" i="4"/>
  <c r="AO19" i="4"/>
  <c r="AK19" i="4"/>
  <c r="AJ19" i="4"/>
  <c r="AF19" i="4"/>
  <c r="AE19" i="4"/>
  <c r="AA19" i="4"/>
  <c r="Z19" i="4"/>
  <c r="V19" i="4"/>
  <c r="U19" i="4"/>
  <c r="Q19" i="4"/>
  <c r="P19" i="4"/>
  <c r="L19" i="4"/>
  <c r="K19" i="4"/>
  <c r="G19" i="4"/>
  <c r="F19" i="4"/>
  <c r="C19" i="4"/>
  <c r="B19" i="4"/>
  <c r="A19" i="4"/>
  <c r="EV18" i="4"/>
  <c r="EU18" i="4"/>
  <c r="EQ18" i="4"/>
  <c r="EP18" i="4"/>
  <c r="EL18" i="4"/>
  <c r="EK18" i="4"/>
  <c r="EG18" i="4"/>
  <c r="EF18" i="4"/>
  <c r="EB18" i="4"/>
  <c r="EA18" i="4"/>
  <c r="DW18" i="4"/>
  <c r="DV18" i="4"/>
  <c r="DR18" i="4"/>
  <c r="DQ18" i="4"/>
  <c r="DM18" i="4"/>
  <c r="DL18" i="4"/>
  <c r="DH18" i="4"/>
  <c r="DG18" i="4"/>
  <c r="DC18" i="4"/>
  <c r="DB18" i="4"/>
  <c r="CX18" i="4"/>
  <c r="CW18" i="4"/>
  <c r="CS18" i="4"/>
  <c r="CR18" i="4"/>
  <c r="CN18" i="4"/>
  <c r="CM18" i="4"/>
  <c r="CI18" i="4"/>
  <c r="CH18" i="4"/>
  <c r="CD18" i="4"/>
  <c r="CC18" i="4"/>
  <c r="BY18" i="4"/>
  <c r="BX18" i="4"/>
  <c r="BT18" i="4"/>
  <c r="BS18" i="4"/>
  <c r="BO18" i="4"/>
  <c r="BN18" i="4"/>
  <c r="BJ18" i="4"/>
  <c r="BI18" i="4"/>
  <c r="BE18" i="4"/>
  <c r="BD18" i="4"/>
  <c r="AZ18" i="4"/>
  <c r="AY18" i="4"/>
  <c r="AU18" i="4"/>
  <c r="AT18" i="4"/>
  <c r="AP18" i="4"/>
  <c r="AO18" i="4"/>
  <c r="AK18" i="4"/>
  <c r="AJ18" i="4"/>
  <c r="AF18" i="4"/>
  <c r="AE18" i="4"/>
  <c r="AA18" i="4"/>
  <c r="Z18" i="4"/>
  <c r="V18" i="4"/>
  <c r="U18" i="4"/>
  <c r="Q18" i="4"/>
  <c r="P18" i="4"/>
  <c r="L18" i="4"/>
  <c r="K18" i="4"/>
  <c r="G18" i="4"/>
  <c r="F18" i="4"/>
  <c r="C18" i="4"/>
  <c r="B18" i="4"/>
  <c r="A18" i="4"/>
  <c r="EV17" i="4"/>
  <c r="EU17" i="4"/>
  <c r="EQ17" i="4"/>
  <c r="EP17" i="4"/>
  <c r="EL17" i="4"/>
  <c r="EK17" i="4"/>
  <c r="EG17" i="4"/>
  <c r="EF17" i="4"/>
  <c r="EB17" i="4"/>
  <c r="EA17" i="4"/>
  <c r="DW17" i="4"/>
  <c r="DV17" i="4"/>
  <c r="DR17" i="4"/>
  <c r="DQ17" i="4"/>
  <c r="DM17" i="4"/>
  <c r="DL17" i="4"/>
  <c r="DH17" i="4"/>
  <c r="DG17" i="4"/>
  <c r="DC17" i="4"/>
  <c r="DB17" i="4"/>
  <c r="CX17" i="4"/>
  <c r="CW17" i="4"/>
  <c r="CS17" i="4"/>
  <c r="CR17" i="4"/>
  <c r="CN17" i="4"/>
  <c r="CM17" i="4"/>
  <c r="CI17" i="4"/>
  <c r="CH17" i="4"/>
  <c r="CD17" i="4"/>
  <c r="CC17" i="4"/>
  <c r="BY17" i="4"/>
  <c r="BX17" i="4"/>
  <c r="BT17" i="4"/>
  <c r="BS17" i="4"/>
  <c r="BO17" i="4"/>
  <c r="BN17" i="4"/>
  <c r="BJ17" i="4"/>
  <c r="BI17" i="4"/>
  <c r="BE17" i="4"/>
  <c r="BD17" i="4"/>
  <c r="AZ17" i="4"/>
  <c r="AY17" i="4"/>
  <c r="AU17" i="4"/>
  <c r="AT17" i="4"/>
  <c r="AP17" i="4"/>
  <c r="AO17" i="4"/>
  <c r="AK17" i="4"/>
  <c r="AJ17" i="4"/>
  <c r="AF17" i="4"/>
  <c r="AE17" i="4"/>
  <c r="AA17" i="4"/>
  <c r="Z17" i="4"/>
  <c r="V17" i="4"/>
  <c r="U17" i="4"/>
  <c r="Q17" i="4"/>
  <c r="P17" i="4"/>
  <c r="L17" i="4"/>
  <c r="K17" i="4"/>
  <c r="G17" i="4"/>
  <c r="F17" i="4"/>
  <c r="C17" i="4"/>
  <c r="B17" i="4"/>
  <c r="A17" i="4"/>
  <c r="EV16" i="4"/>
  <c r="EU16" i="4"/>
  <c r="EQ16" i="4"/>
  <c r="EP16" i="4"/>
  <c r="EL16" i="4"/>
  <c r="EK16" i="4"/>
  <c r="EG16" i="4"/>
  <c r="EF16" i="4"/>
  <c r="EB16" i="4"/>
  <c r="EA16" i="4"/>
  <c r="DW16" i="4"/>
  <c r="DV16" i="4"/>
  <c r="DR16" i="4"/>
  <c r="DQ16" i="4"/>
  <c r="DM16" i="4"/>
  <c r="DL16" i="4"/>
  <c r="DH16" i="4"/>
  <c r="DG16" i="4"/>
  <c r="DC16" i="4"/>
  <c r="DB16" i="4"/>
  <c r="CX16" i="4"/>
  <c r="CW16" i="4"/>
  <c r="CS16" i="4"/>
  <c r="CR16" i="4"/>
  <c r="CN16" i="4"/>
  <c r="CM16" i="4"/>
  <c r="CI16" i="4"/>
  <c r="CH16" i="4"/>
  <c r="CD16" i="4"/>
  <c r="CC16" i="4"/>
  <c r="BY16" i="4"/>
  <c r="BX16" i="4"/>
  <c r="BT16" i="4"/>
  <c r="BS16" i="4"/>
  <c r="BO16" i="4"/>
  <c r="BN16" i="4"/>
  <c r="BJ16" i="4"/>
  <c r="BI16" i="4"/>
  <c r="BE16" i="4"/>
  <c r="BD16" i="4"/>
  <c r="AZ16" i="4"/>
  <c r="AY16" i="4"/>
  <c r="AU16" i="4"/>
  <c r="AT16" i="4"/>
  <c r="AP16" i="4"/>
  <c r="AO16" i="4"/>
  <c r="AK16" i="4"/>
  <c r="AJ16" i="4"/>
  <c r="AF16" i="4"/>
  <c r="AE16" i="4"/>
  <c r="AA16" i="4"/>
  <c r="Z16" i="4"/>
  <c r="V16" i="4"/>
  <c r="U16" i="4"/>
  <c r="Q16" i="4"/>
  <c r="P16" i="4"/>
  <c r="L16" i="4"/>
  <c r="K16" i="4"/>
  <c r="G16" i="4"/>
  <c r="F16" i="4"/>
  <c r="C16" i="4"/>
  <c r="B16" i="4"/>
  <c r="A16" i="4"/>
  <c r="EV15" i="4"/>
  <c r="EU15" i="4"/>
  <c r="EQ15" i="4"/>
  <c r="EP15" i="4"/>
  <c r="EL15" i="4"/>
  <c r="EK15" i="4"/>
  <c r="EG15" i="4"/>
  <c r="EF15" i="4"/>
  <c r="EB15" i="4"/>
  <c r="EA15" i="4"/>
  <c r="DW15" i="4"/>
  <c r="DV15" i="4"/>
  <c r="DR15" i="4"/>
  <c r="DQ15" i="4"/>
  <c r="DM15" i="4"/>
  <c r="DL15" i="4"/>
  <c r="DH15" i="4"/>
  <c r="DG15" i="4"/>
  <c r="DC15" i="4"/>
  <c r="DB15" i="4"/>
  <c r="CX15" i="4"/>
  <c r="CW15" i="4"/>
  <c r="CS15" i="4"/>
  <c r="CR15" i="4"/>
  <c r="CN15" i="4"/>
  <c r="CM15" i="4"/>
  <c r="CI15" i="4"/>
  <c r="CH15" i="4"/>
  <c r="CD15" i="4"/>
  <c r="CC15" i="4"/>
  <c r="BY15" i="4"/>
  <c r="BX15" i="4"/>
  <c r="BT15" i="4"/>
  <c r="BS15" i="4"/>
  <c r="BO15" i="4"/>
  <c r="BN15" i="4"/>
  <c r="BJ15" i="4"/>
  <c r="BI15" i="4"/>
  <c r="BE15" i="4"/>
  <c r="BD15" i="4"/>
  <c r="AZ15" i="4"/>
  <c r="AY15" i="4"/>
  <c r="AU15" i="4"/>
  <c r="AT15" i="4"/>
  <c r="AP15" i="4"/>
  <c r="AO15" i="4"/>
  <c r="AK15" i="4"/>
  <c r="AJ15" i="4"/>
  <c r="AF15" i="4"/>
  <c r="AE15" i="4"/>
  <c r="AA15" i="4"/>
  <c r="Z15" i="4"/>
  <c r="V15" i="4"/>
  <c r="U15" i="4"/>
  <c r="Q15" i="4"/>
  <c r="P15" i="4"/>
  <c r="L15" i="4"/>
  <c r="K15" i="4"/>
  <c r="G15" i="4"/>
  <c r="F15" i="4"/>
  <c r="C15" i="4"/>
  <c r="B15" i="4"/>
  <c r="A15" i="4"/>
  <c r="EV14" i="4"/>
  <c r="EU14" i="4"/>
  <c r="EQ14" i="4"/>
  <c r="EP14" i="4"/>
  <c r="EL14" i="4"/>
  <c r="EK14" i="4"/>
  <c r="EG14" i="4"/>
  <c r="EF14" i="4"/>
  <c r="EB14" i="4"/>
  <c r="EA14" i="4"/>
  <c r="DW14" i="4"/>
  <c r="DV14" i="4"/>
  <c r="DR14" i="4"/>
  <c r="DQ14" i="4"/>
  <c r="DM14" i="4"/>
  <c r="DL14" i="4"/>
  <c r="DH14" i="4"/>
  <c r="DG14" i="4"/>
  <c r="DC14" i="4"/>
  <c r="DB14" i="4"/>
  <c r="CX14" i="4"/>
  <c r="CW14" i="4"/>
  <c r="CS14" i="4"/>
  <c r="CR14" i="4"/>
  <c r="CN14" i="4"/>
  <c r="CM14" i="4"/>
  <c r="CI14" i="4"/>
  <c r="CH14" i="4"/>
  <c r="CD14" i="4"/>
  <c r="CC14" i="4"/>
  <c r="BY14" i="4"/>
  <c r="BX14" i="4"/>
  <c r="BT14" i="4"/>
  <c r="BS14" i="4"/>
  <c r="BO14" i="4"/>
  <c r="BN14" i="4"/>
  <c r="BJ14" i="4"/>
  <c r="BI14" i="4"/>
  <c r="BE14" i="4"/>
  <c r="BD14" i="4"/>
  <c r="AZ14" i="4"/>
  <c r="AY14" i="4"/>
  <c r="AU14" i="4"/>
  <c r="AT14" i="4"/>
  <c r="AP14" i="4"/>
  <c r="AO14" i="4"/>
  <c r="AK14" i="4"/>
  <c r="AJ14" i="4"/>
  <c r="AF14" i="4"/>
  <c r="AE14" i="4"/>
  <c r="AA14" i="4"/>
  <c r="Z14" i="4"/>
  <c r="V14" i="4"/>
  <c r="U14" i="4"/>
  <c r="Q14" i="4"/>
  <c r="P14" i="4"/>
  <c r="L14" i="4"/>
  <c r="K14" i="4"/>
  <c r="G14" i="4"/>
  <c r="F14" i="4"/>
  <c r="C14" i="4"/>
  <c r="B14" i="4"/>
  <c r="A14" i="4"/>
  <c r="EV13" i="4"/>
  <c r="EU13" i="4"/>
  <c r="EQ13" i="4"/>
  <c r="EP13" i="4"/>
  <c r="EL13" i="4"/>
  <c r="EK13" i="4"/>
  <c r="EG13" i="4"/>
  <c r="EF13" i="4"/>
  <c r="EB13" i="4"/>
  <c r="EA13" i="4"/>
  <c r="DW13" i="4"/>
  <c r="DV13" i="4"/>
  <c r="DR13" i="4"/>
  <c r="DQ13" i="4"/>
  <c r="DM13" i="4"/>
  <c r="DL13" i="4"/>
  <c r="DH13" i="4"/>
  <c r="DG13" i="4"/>
  <c r="DC13" i="4"/>
  <c r="DB13" i="4"/>
  <c r="CX13" i="4"/>
  <c r="CW13" i="4"/>
  <c r="CS13" i="4"/>
  <c r="CR13" i="4"/>
  <c r="CN13" i="4"/>
  <c r="CM13" i="4"/>
  <c r="CI13" i="4"/>
  <c r="CH13" i="4"/>
  <c r="CD13" i="4"/>
  <c r="CC13" i="4"/>
  <c r="BY13" i="4"/>
  <c r="BX13" i="4"/>
  <c r="BT13" i="4"/>
  <c r="BS13" i="4"/>
  <c r="BO13" i="4"/>
  <c r="BN13" i="4"/>
  <c r="BJ13" i="4"/>
  <c r="BI13" i="4"/>
  <c r="BE13" i="4"/>
  <c r="BD13" i="4"/>
  <c r="AZ13" i="4"/>
  <c r="AY13" i="4"/>
  <c r="AU13" i="4"/>
  <c r="AT13" i="4"/>
  <c r="AP13" i="4"/>
  <c r="AO13" i="4"/>
  <c r="AK13" i="4"/>
  <c r="AJ13" i="4"/>
  <c r="AF13" i="4"/>
  <c r="AE13" i="4"/>
  <c r="AA13" i="4"/>
  <c r="Z13" i="4"/>
  <c r="V13" i="4"/>
  <c r="U13" i="4"/>
  <c r="Q13" i="4"/>
  <c r="P13" i="4"/>
  <c r="L13" i="4"/>
  <c r="K13" i="4"/>
  <c r="G13" i="4"/>
  <c r="F13" i="4"/>
  <c r="C13" i="4"/>
  <c r="B13" i="4"/>
  <c r="A13" i="4"/>
  <c r="EV12" i="4"/>
  <c r="EU12" i="4"/>
  <c r="EQ12" i="4"/>
  <c r="EP12" i="4"/>
  <c r="EL12" i="4"/>
  <c r="EK12" i="4"/>
  <c r="EG12" i="4"/>
  <c r="EF12" i="4"/>
  <c r="EB12" i="4"/>
  <c r="EA12" i="4"/>
  <c r="DW12" i="4"/>
  <c r="DV12" i="4"/>
  <c r="DR12" i="4"/>
  <c r="DQ12" i="4"/>
  <c r="DM12" i="4"/>
  <c r="DL12" i="4"/>
  <c r="DH12" i="4"/>
  <c r="DG12" i="4"/>
  <c r="DC12" i="4"/>
  <c r="DB12" i="4"/>
  <c r="CX12" i="4"/>
  <c r="CW12" i="4"/>
  <c r="CS12" i="4"/>
  <c r="CR12" i="4"/>
  <c r="CN12" i="4"/>
  <c r="CM12" i="4"/>
  <c r="CI12" i="4"/>
  <c r="CH12" i="4"/>
  <c r="CD12" i="4"/>
  <c r="CC12" i="4"/>
  <c r="BY12" i="4"/>
  <c r="BX12" i="4"/>
  <c r="BT12" i="4"/>
  <c r="BS12" i="4"/>
  <c r="BO12" i="4"/>
  <c r="BN12" i="4"/>
  <c r="BJ12" i="4"/>
  <c r="BI12" i="4"/>
  <c r="BE12" i="4"/>
  <c r="BD12" i="4"/>
  <c r="AZ12" i="4"/>
  <c r="AY12" i="4"/>
  <c r="AU12" i="4"/>
  <c r="AT12" i="4"/>
  <c r="AP12" i="4"/>
  <c r="AO12" i="4"/>
  <c r="AK12" i="4"/>
  <c r="AJ12" i="4"/>
  <c r="AF12" i="4"/>
  <c r="AE12" i="4"/>
  <c r="AA12" i="4"/>
  <c r="Z12" i="4"/>
  <c r="V12" i="4"/>
  <c r="U12" i="4"/>
  <c r="Q12" i="4"/>
  <c r="P12" i="4"/>
  <c r="L12" i="4"/>
  <c r="K12" i="4"/>
  <c r="G12" i="4"/>
  <c r="F12" i="4"/>
  <c r="C12" i="4"/>
  <c r="B12" i="4"/>
  <c r="A12" i="4"/>
  <c r="EV11" i="4"/>
  <c r="EU11" i="4"/>
  <c r="EQ11" i="4"/>
  <c r="EP11" i="4"/>
  <c r="EL11" i="4"/>
  <c r="EK11" i="4"/>
  <c r="EG11" i="4"/>
  <c r="EF11" i="4"/>
  <c r="EB11" i="4"/>
  <c r="EA11" i="4"/>
  <c r="DW11" i="4"/>
  <c r="DV11" i="4"/>
  <c r="DR11" i="4"/>
  <c r="DQ11" i="4"/>
  <c r="DM11" i="4"/>
  <c r="DL11" i="4"/>
  <c r="DH11" i="4"/>
  <c r="DG11" i="4"/>
  <c r="DC11" i="4"/>
  <c r="DB11" i="4"/>
  <c r="CX11" i="4"/>
  <c r="CW11" i="4"/>
  <c r="CS11" i="4"/>
  <c r="CR11" i="4"/>
  <c r="CN11" i="4"/>
  <c r="CM11" i="4"/>
  <c r="CI11" i="4"/>
  <c r="CH11" i="4"/>
  <c r="CD11" i="4"/>
  <c r="CC11" i="4"/>
  <c r="BY11" i="4"/>
  <c r="BX11" i="4"/>
  <c r="BT11" i="4"/>
  <c r="BS11" i="4"/>
  <c r="BO11" i="4"/>
  <c r="BN11" i="4"/>
  <c r="BJ11" i="4"/>
  <c r="BI11" i="4"/>
  <c r="BE11" i="4"/>
  <c r="BD11" i="4"/>
  <c r="AZ11" i="4"/>
  <c r="AY11" i="4"/>
  <c r="AU11" i="4"/>
  <c r="AT11" i="4"/>
  <c r="AP11" i="4"/>
  <c r="AO11" i="4"/>
  <c r="AK11" i="4"/>
  <c r="AJ11" i="4"/>
  <c r="AF11" i="4"/>
  <c r="AE11" i="4"/>
  <c r="AA11" i="4"/>
  <c r="Z11" i="4"/>
  <c r="V11" i="4"/>
  <c r="U11" i="4"/>
  <c r="Q11" i="4"/>
  <c r="P11" i="4"/>
  <c r="L11" i="4"/>
  <c r="K11" i="4"/>
  <c r="G11" i="4"/>
  <c r="F11" i="4"/>
  <c r="C11" i="4"/>
  <c r="B11" i="4"/>
  <c r="A11" i="4"/>
  <c r="EV10" i="4"/>
  <c r="EU10" i="4"/>
  <c r="EQ10" i="4"/>
  <c r="EP10" i="4"/>
  <c r="EL10" i="4"/>
  <c r="EK10" i="4"/>
  <c r="EG10" i="4"/>
  <c r="EF10" i="4"/>
  <c r="EB10" i="4"/>
  <c r="EA10" i="4"/>
  <c r="DW10" i="4"/>
  <c r="DV10" i="4"/>
  <c r="DR10" i="4"/>
  <c r="DQ10" i="4"/>
  <c r="DM10" i="4"/>
  <c r="DL10" i="4"/>
  <c r="DH10" i="4"/>
  <c r="DG10" i="4"/>
  <c r="DC10" i="4"/>
  <c r="DB10" i="4"/>
  <c r="CX10" i="4"/>
  <c r="CW10" i="4"/>
  <c r="CS10" i="4"/>
  <c r="CR10" i="4"/>
  <c r="CN10" i="4"/>
  <c r="CM10" i="4"/>
  <c r="CI10" i="4"/>
  <c r="CH10" i="4"/>
  <c r="CD10" i="4"/>
  <c r="CC10" i="4"/>
  <c r="BY10" i="4"/>
  <c r="BX10" i="4"/>
  <c r="BT10" i="4"/>
  <c r="BS10" i="4"/>
  <c r="BO10" i="4"/>
  <c r="BN10" i="4"/>
  <c r="BJ10" i="4"/>
  <c r="BI10" i="4"/>
  <c r="BE10" i="4"/>
  <c r="BD10" i="4"/>
  <c r="AZ10" i="4"/>
  <c r="AY10" i="4"/>
  <c r="AU10" i="4"/>
  <c r="AT10" i="4"/>
  <c r="AP10" i="4"/>
  <c r="AO10" i="4"/>
  <c r="AK10" i="4"/>
  <c r="AJ10" i="4"/>
  <c r="AF10" i="4"/>
  <c r="AE10" i="4"/>
  <c r="AA10" i="4"/>
  <c r="Z10" i="4"/>
  <c r="V10" i="4"/>
  <c r="U10" i="4"/>
  <c r="Q10" i="4"/>
  <c r="P10" i="4"/>
  <c r="L10" i="4"/>
  <c r="K10" i="4"/>
  <c r="G10" i="4"/>
  <c r="F10" i="4"/>
  <c r="C10" i="4"/>
  <c r="B10" i="4"/>
  <c r="A10" i="4"/>
  <c r="EV9" i="4"/>
  <c r="EU9" i="4"/>
  <c r="EQ9" i="4"/>
  <c r="EP9" i="4"/>
  <c r="EL9" i="4"/>
  <c r="EK9" i="4"/>
  <c r="EG9" i="4"/>
  <c r="EF9" i="4"/>
  <c r="EB9" i="4"/>
  <c r="EA9" i="4"/>
  <c r="DW9" i="4"/>
  <c r="DV9" i="4"/>
  <c r="DR9" i="4"/>
  <c r="DQ9" i="4"/>
  <c r="DM9" i="4"/>
  <c r="DL9" i="4"/>
  <c r="DH9" i="4"/>
  <c r="DG9" i="4"/>
  <c r="DC9" i="4"/>
  <c r="DB9" i="4"/>
  <c r="CX9" i="4"/>
  <c r="CW9" i="4"/>
  <c r="CS9" i="4"/>
  <c r="CR9" i="4"/>
  <c r="CN9" i="4"/>
  <c r="CM9" i="4"/>
  <c r="CI9" i="4"/>
  <c r="CH9" i="4"/>
  <c r="CD9" i="4"/>
  <c r="CC9" i="4"/>
  <c r="BY9" i="4"/>
  <c r="BX9" i="4"/>
  <c r="BT9" i="4"/>
  <c r="BS9" i="4"/>
  <c r="BO9" i="4"/>
  <c r="BN9" i="4"/>
  <c r="BJ9" i="4"/>
  <c r="BI9" i="4"/>
  <c r="BE9" i="4"/>
  <c r="BD9" i="4"/>
  <c r="AZ9" i="4"/>
  <c r="AY9" i="4"/>
  <c r="AU9" i="4"/>
  <c r="AT9" i="4"/>
  <c r="AP9" i="4"/>
  <c r="AO9" i="4"/>
  <c r="AK9" i="4"/>
  <c r="AJ9" i="4"/>
  <c r="AF9" i="4"/>
  <c r="AE9" i="4"/>
  <c r="AA9" i="4"/>
  <c r="Z9" i="4"/>
  <c r="V9" i="4"/>
  <c r="U9" i="4"/>
  <c r="Q9" i="4"/>
  <c r="P9" i="4"/>
  <c r="L9" i="4"/>
  <c r="K9" i="4"/>
  <c r="G9" i="4"/>
  <c r="F9" i="4"/>
  <c r="C9" i="4"/>
  <c r="B9" i="4"/>
  <c r="A9" i="4"/>
  <c r="EV8" i="4"/>
  <c r="EU8" i="4"/>
  <c r="EQ8" i="4"/>
  <c r="EP8" i="4"/>
  <c r="EL8" i="4"/>
  <c r="EK8" i="4"/>
  <c r="EG8" i="4"/>
  <c r="EF8" i="4"/>
  <c r="EB8" i="4"/>
  <c r="EA8" i="4"/>
  <c r="DW8" i="4"/>
  <c r="DV8" i="4"/>
  <c r="DR8" i="4"/>
  <c r="DQ8" i="4"/>
  <c r="DM8" i="4"/>
  <c r="DL8" i="4"/>
  <c r="DH8" i="4"/>
  <c r="DG8" i="4"/>
  <c r="DC8" i="4"/>
  <c r="DB8" i="4"/>
  <c r="CX8" i="4"/>
  <c r="CW8" i="4"/>
  <c r="CS8" i="4"/>
  <c r="CR8" i="4"/>
  <c r="CN8" i="4"/>
  <c r="CM8" i="4"/>
  <c r="CI8" i="4"/>
  <c r="CH8" i="4"/>
  <c r="CD8" i="4"/>
  <c r="CC8" i="4"/>
  <c r="BY8" i="4"/>
  <c r="BX8" i="4"/>
  <c r="BT8" i="4"/>
  <c r="BS8" i="4"/>
  <c r="BO8" i="4"/>
  <c r="BN8" i="4"/>
  <c r="BJ8" i="4"/>
  <c r="BI8" i="4"/>
  <c r="BE8" i="4"/>
  <c r="BD8" i="4"/>
  <c r="AZ8" i="4"/>
  <c r="AY8" i="4"/>
  <c r="AU8" i="4"/>
  <c r="AT8" i="4"/>
  <c r="AP8" i="4"/>
  <c r="AO8" i="4"/>
  <c r="AK8" i="4"/>
  <c r="AJ8" i="4"/>
  <c r="AF8" i="4"/>
  <c r="AE8" i="4"/>
  <c r="AA8" i="4"/>
  <c r="Z8" i="4"/>
  <c r="V8" i="4"/>
  <c r="U8" i="4"/>
  <c r="Q8" i="4"/>
  <c r="P8" i="4"/>
  <c r="L8" i="4"/>
  <c r="K8" i="4"/>
  <c r="G8" i="4"/>
  <c r="F8" i="4"/>
  <c r="C8" i="4"/>
  <c r="B8" i="4"/>
  <c r="A8" i="4"/>
  <c r="EV7" i="4"/>
  <c r="EU7" i="4"/>
  <c r="EQ7" i="4"/>
  <c r="EP7" i="4"/>
  <c r="EL7" i="4"/>
  <c r="EK7" i="4"/>
  <c r="EG7" i="4"/>
  <c r="EF7" i="4"/>
  <c r="EB7" i="4"/>
  <c r="EA7" i="4"/>
  <c r="DW7" i="4"/>
  <c r="DV7" i="4"/>
  <c r="DR7" i="4"/>
  <c r="DQ7" i="4"/>
  <c r="DM7" i="4"/>
  <c r="DL7" i="4"/>
  <c r="DH7" i="4"/>
  <c r="DG7" i="4"/>
  <c r="DC7" i="4"/>
  <c r="DB7" i="4"/>
  <c r="CX7" i="4"/>
  <c r="CW7" i="4"/>
  <c r="CS7" i="4"/>
  <c r="CR7" i="4"/>
  <c r="CN7" i="4"/>
  <c r="CM7" i="4"/>
  <c r="CI7" i="4"/>
  <c r="CH7" i="4"/>
  <c r="CD7" i="4"/>
  <c r="CC7" i="4"/>
  <c r="BY7" i="4"/>
  <c r="BX7" i="4"/>
  <c r="BT7" i="4"/>
  <c r="BS7" i="4"/>
  <c r="BO7" i="4"/>
  <c r="BN7" i="4"/>
  <c r="BJ7" i="4"/>
  <c r="BI7" i="4"/>
  <c r="BE7" i="4"/>
  <c r="BD7" i="4"/>
  <c r="AZ7" i="4"/>
  <c r="AY7" i="4"/>
  <c r="AU7" i="4"/>
  <c r="AT7" i="4"/>
  <c r="AP7" i="4"/>
  <c r="AO7" i="4"/>
  <c r="AK7" i="4"/>
  <c r="AJ7" i="4"/>
  <c r="AF7" i="4"/>
  <c r="AE7" i="4"/>
  <c r="AA7" i="4"/>
  <c r="Z7" i="4"/>
  <c r="V7" i="4"/>
  <c r="U7" i="4"/>
  <c r="Q7" i="4"/>
  <c r="P7" i="4"/>
  <c r="L7" i="4"/>
  <c r="K7" i="4"/>
  <c r="G7" i="4"/>
  <c r="F7" i="4"/>
  <c r="C7" i="4"/>
  <c r="B7" i="4"/>
  <c r="A7" i="4"/>
  <c r="EV6" i="4"/>
  <c r="EU6" i="4"/>
  <c r="EQ6" i="4"/>
  <c r="EP6" i="4"/>
  <c r="EL6" i="4"/>
  <c r="EK6" i="4"/>
  <c r="EG6" i="4"/>
  <c r="EF6" i="4"/>
  <c r="EB6" i="4"/>
  <c r="EA6" i="4"/>
  <c r="DW6" i="4"/>
  <c r="DV6" i="4"/>
  <c r="DR6" i="4"/>
  <c r="DQ6" i="4"/>
  <c r="DM6" i="4"/>
  <c r="DL6" i="4"/>
  <c r="DH6" i="4"/>
  <c r="DG6" i="4"/>
  <c r="DC6" i="4"/>
  <c r="DB6" i="4"/>
  <c r="CX6" i="4"/>
  <c r="CW6" i="4"/>
  <c r="CS6" i="4"/>
  <c r="CR6" i="4"/>
  <c r="CN6" i="4"/>
  <c r="CM6" i="4"/>
  <c r="CI6" i="4"/>
  <c r="CH6" i="4"/>
  <c r="CD6" i="4"/>
  <c r="CC6" i="4"/>
  <c r="BY6" i="4"/>
  <c r="BX6" i="4"/>
  <c r="BT6" i="4"/>
  <c r="BS6" i="4"/>
  <c r="BO6" i="4"/>
  <c r="BN6" i="4"/>
  <c r="BJ6" i="4"/>
  <c r="BI6" i="4"/>
  <c r="BE6" i="4"/>
  <c r="BD6" i="4"/>
  <c r="AZ6" i="4"/>
  <c r="AY6" i="4"/>
  <c r="AU6" i="4"/>
  <c r="AT6" i="4"/>
  <c r="AP6" i="4"/>
  <c r="AO6" i="4"/>
  <c r="AK6" i="4"/>
  <c r="AJ6" i="4"/>
  <c r="AF6" i="4"/>
  <c r="AE6" i="4"/>
  <c r="AA6" i="4"/>
  <c r="Z6" i="4"/>
  <c r="V6" i="4"/>
  <c r="U6" i="4"/>
  <c r="Q6" i="4"/>
  <c r="P6" i="4"/>
  <c r="L6" i="4"/>
  <c r="K6" i="4"/>
  <c r="G6" i="4"/>
  <c r="F6" i="4"/>
  <c r="C6" i="4"/>
  <c r="B6" i="4"/>
  <c r="A6" i="4"/>
  <c r="EV5" i="4"/>
  <c r="EU5" i="4"/>
  <c r="EQ5" i="4"/>
  <c r="EP5" i="4"/>
  <c r="EL5" i="4"/>
  <c r="EK5" i="4"/>
  <c r="EG5" i="4"/>
  <c r="EF5" i="4"/>
  <c r="EB5" i="4"/>
  <c r="EA5" i="4"/>
  <c r="DW5" i="4"/>
  <c r="DV5" i="4"/>
  <c r="DR5" i="4"/>
  <c r="DQ5" i="4"/>
  <c r="DM5" i="4"/>
  <c r="DL5" i="4"/>
  <c r="DH5" i="4"/>
  <c r="DG5" i="4"/>
  <c r="DC5" i="4"/>
  <c r="DB5" i="4"/>
  <c r="CX5" i="4"/>
  <c r="CW5" i="4"/>
  <c r="CS5" i="4"/>
  <c r="CR5" i="4"/>
  <c r="CN5" i="4"/>
  <c r="CM5" i="4"/>
  <c r="CI5" i="4"/>
  <c r="CH5" i="4"/>
  <c r="CD5" i="4"/>
  <c r="CC5" i="4"/>
  <c r="BY5" i="4"/>
  <c r="BX5" i="4"/>
  <c r="BT5" i="4"/>
  <c r="BS5" i="4"/>
  <c r="BO5" i="4"/>
  <c r="BN5" i="4"/>
  <c r="BJ5" i="4"/>
  <c r="BI5" i="4"/>
  <c r="BE5" i="4"/>
  <c r="BD5" i="4"/>
  <c r="AZ5" i="4"/>
  <c r="AY5" i="4"/>
  <c r="AU5" i="4"/>
  <c r="AT5" i="4"/>
  <c r="AP5" i="4"/>
  <c r="AO5" i="4"/>
  <c r="AK5" i="4"/>
  <c r="AJ5" i="4"/>
  <c r="AF5" i="4"/>
  <c r="AE5" i="4"/>
  <c r="AA5" i="4"/>
  <c r="Z5" i="4"/>
  <c r="V5" i="4"/>
  <c r="U5" i="4"/>
  <c r="Q5" i="4"/>
  <c r="P5" i="4"/>
  <c r="L5" i="4"/>
  <c r="K5" i="4"/>
  <c r="G5" i="4"/>
  <c r="F5" i="4"/>
  <c r="C5" i="4"/>
  <c r="B5" i="4"/>
  <c r="A5" i="4"/>
  <c r="EV4" i="4"/>
  <c r="EU4" i="4"/>
  <c r="EQ4" i="4"/>
  <c r="EP4" i="4"/>
  <c r="EL4" i="4"/>
  <c r="EK4" i="4"/>
  <c r="EG4" i="4"/>
  <c r="EF4" i="4"/>
  <c r="EB4" i="4"/>
  <c r="EA4" i="4"/>
  <c r="DW4" i="4"/>
  <c r="DV4" i="4"/>
  <c r="DR4" i="4"/>
  <c r="DQ4" i="4"/>
  <c r="DM4" i="4"/>
  <c r="DL4" i="4"/>
  <c r="DH4" i="4"/>
  <c r="DG4" i="4"/>
  <c r="DC4" i="4"/>
  <c r="DB4" i="4"/>
  <c r="CX4" i="4"/>
  <c r="CW4" i="4"/>
  <c r="CS4" i="4"/>
  <c r="CR4" i="4"/>
  <c r="CN4" i="4"/>
  <c r="CM4" i="4"/>
  <c r="CI4" i="4"/>
  <c r="CH4" i="4"/>
  <c r="CD4" i="4"/>
  <c r="CC4" i="4"/>
  <c r="BY4" i="4"/>
  <c r="BX4" i="4"/>
  <c r="BT4" i="4"/>
  <c r="BS4" i="4"/>
  <c r="BO4" i="4"/>
  <c r="BN4" i="4"/>
  <c r="BJ4" i="4"/>
  <c r="BI4" i="4"/>
  <c r="BE4" i="4"/>
  <c r="BD4" i="4"/>
  <c r="AZ4" i="4"/>
  <c r="AY4" i="4"/>
  <c r="AU4" i="4"/>
  <c r="AT4" i="4"/>
  <c r="AP4" i="4"/>
  <c r="AO4" i="4"/>
  <c r="AK4" i="4"/>
  <c r="AJ4" i="4"/>
  <c r="AF4" i="4"/>
  <c r="AE4" i="4"/>
  <c r="AA4" i="4"/>
  <c r="Z4" i="4"/>
  <c r="V4" i="4"/>
  <c r="U4" i="4"/>
  <c r="Q4" i="4"/>
  <c r="P4" i="4"/>
  <c r="L4" i="4"/>
  <c r="K4" i="4"/>
  <c r="G4" i="4"/>
  <c r="F4" i="4"/>
  <c r="C4" i="4"/>
  <c r="B4" i="4"/>
  <c r="A4" i="4"/>
  <c r="ES2" i="4"/>
  <c r="EN2" i="4"/>
  <c r="EI2" i="4"/>
  <c r="ED2" i="4"/>
  <c r="DY2" i="4"/>
  <c r="DT2" i="4"/>
  <c r="DO2" i="4"/>
  <c r="DJ2" i="4"/>
  <c r="DE2" i="4"/>
  <c r="CZ2" i="4"/>
  <c r="CU2" i="4"/>
  <c r="CP2" i="4"/>
  <c r="CK2" i="4"/>
  <c r="CF2" i="4"/>
  <c r="CA2" i="4"/>
  <c r="BV2" i="4"/>
  <c r="BQ2" i="4"/>
  <c r="BL2" i="4"/>
  <c r="BG2" i="4"/>
  <c r="BB2" i="4"/>
  <c r="AW2" i="4"/>
  <c r="AR2" i="4"/>
  <c r="AM2" i="4"/>
  <c r="AH2" i="4"/>
  <c r="AC2" i="4"/>
  <c r="X2" i="4"/>
  <c r="S2" i="4"/>
  <c r="N2" i="4"/>
  <c r="I2" i="4"/>
  <c r="D2" i="4"/>
  <c r="A1" i="4"/>
  <c r="ES40" i="7"/>
  <c r="EN40" i="7"/>
  <c r="EI40" i="7"/>
  <c r="ED40" i="7"/>
  <c r="DY40" i="7"/>
  <c r="DT40" i="7"/>
  <c r="DO40" i="7"/>
  <c r="DJ40" i="7"/>
  <c r="DE40" i="7"/>
  <c r="CZ40" i="7"/>
  <c r="CU40" i="7"/>
  <c r="CP40" i="7"/>
  <c r="CK40" i="7"/>
  <c r="CF40" i="7"/>
  <c r="CA40" i="7"/>
  <c r="BV40" i="7"/>
  <c r="BQ40" i="7"/>
  <c r="BL40" i="7"/>
  <c r="BG40" i="7"/>
  <c r="BB40" i="7"/>
  <c r="T14" i="18" s="1"/>
  <c r="AW40" i="7"/>
  <c r="AR40" i="7"/>
  <c r="AM40" i="7"/>
  <c r="AH40" i="7"/>
  <c r="AC40" i="7"/>
  <c r="X40" i="7"/>
  <c r="S40" i="7"/>
  <c r="N40" i="7"/>
  <c r="I40" i="7"/>
  <c r="D40" i="7"/>
  <c r="ES39" i="7"/>
  <c r="EN39" i="7"/>
  <c r="EI39" i="7"/>
  <c r="ED39" i="7"/>
  <c r="DY39" i="7"/>
  <c r="DT39" i="7"/>
  <c r="DO39" i="7"/>
  <c r="DJ39" i="7"/>
  <c r="DE39" i="7"/>
  <c r="CZ39" i="7"/>
  <c r="CU39" i="7"/>
  <c r="CP39" i="7"/>
  <c r="CK39" i="7"/>
  <c r="CF39" i="7"/>
  <c r="CA39" i="7"/>
  <c r="BV39" i="7"/>
  <c r="BQ39" i="7"/>
  <c r="BL39" i="7"/>
  <c r="BG39" i="7"/>
  <c r="BB39" i="7"/>
  <c r="AW39" i="7"/>
  <c r="AR39" i="7"/>
  <c r="AM39" i="7"/>
  <c r="AH39" i="7"/>
  <c r="AC39" i="7"/>
  <c r="X39" i="7"/>
  <c r="S39" i="7"/>
  <c r="N39" i="7"/>
  <c r="I39" i="7"/>
  <c r="D39" i="7"/>
  <c r="ES38" i="7"/>
  <c r="EN38" i="7"/>
  <c r="EI38" i="7"/>
  <c r="ED38" i="7"/>
  <c r="DY38" i="7"/>
  <c r="DT38" i="7"/>
  <c r="DO38" i="7"/>
  <c r="DJ38" i="7"/>
  <c r="DE38" i="7"/>
  <c r="CZ38" i="7"/>
  <c r="CU38" i="7"/>
  <c r="CP38" i="7"/>
  <c r="CK38" i="7"/>
  <c r="CF38" i="7"/>
  <c r="CA38" i="7"/>
  <c r="BV38" i="7"/>
  <c r="BQ38" i="7"/>
  <c r="BL38" i="7"/>
  <c r="BG38" i="7"/>
  <c r="BB38" i="7"/>
  <c r="R14" i="18" s="1"/>
  <c r="AW38" i="7"/>
  <c r="AR38" i="7"/>
  <c r="AM38" i="7"/>
  <c r="AH38" i="7"/>
  <c r="AC38" i="7"/>
  <c r="X38" i="7"/>
  <c r="S38" i="7"/>
  <c r="R7" i="18" s="1"/>
  <c r="N38" i="7"/>
  <c r="I38" i="7"/>
  <c r="D38" i="7"/>
  <c r="ES37" i="7"/>
  <c r="EN37" i="7"/>
  <c r="EI37" i="7"/>
  <c r="ED37" i="7"/>
  <c r="DY37" i="7"/>
  <c r="DT37" i="7"/>
  <c r="DO37" i="7"/>
  <c r="DJ37" i="7"/>
  <c r="DE37" i="7"/>
  <c r="CZ37" i="7"/>
  <c r="CU37" i="7"/>
  <c r="CP37" i="7"/>
  <c r="CK37" i="7"/>
  <c r="CF37" i="7"/>
  <c r="CA37" i="7"/>
  <c r="BV37" i="7"/>
  <c r="BQ37" i="7"/>
  <c r="BL37" i="7"/>
  <c r="BG37" i="7"/>
  <c r="AC37" i="7"/>
  <c r="F9" i="18" s="1"/>
  <c r="D37" i="7"/>
  <c r="ES36" i="7"/>
  <c r="EN36" i="7"/>
  <c r="EI36" i="7"/>
  <c r="ED36" i="7"/>
  <c r="DY36" i="7"/>
  <c r="DT36" i="7"/>
  <c r="DO36" i="7"/>
  <c r="DJ36" i="7"/>
  <c r="DE36" i="7"/>
  <c r="CZ36" i="7"/>
  <c r="CU36" i="7"/>
  <c r="CP36" i="7"/>
  <c r="CK36" i="7"/>
  <c r="CF36" i="7"/>
  <c r="CA36" i="7"/>
  <c r="BV36" i="7"/>
  <c r="BQ36" i="7"/>
  <c r="BL36" i="7"/>
  <c r="BG36" i="7"/>
  <c r="BB36" i="7"/>
  <c r="AW36" i="7"/>
  <c r="AR36" i="7"/>
  <c r="AM36" i="7"/>
  <c r="AC36" i="7"/>
  <c r="X36" i="7"/>
  <c r="S36" i="7"/>
  <c r="N36" i="7"/>
  <c r="I36" i="7"/>
  <c r="D36" i="7"/>
  <c r="ES35" i="7"/>
  <c r="EN35" i="7"/>
  <c r="EI35" i="7"/>
  <c r="ED35" i="7"/>
  <c r="DY35" i="7"/>
  <c r="DT35" i="7"/>
  <c r="DO35" i="7"/>
  <c r="DJ35" i="7"/>
  <c r="DE35" i="7"/>
  <c r="CZ35" i="7"/>
  <c r="CU35" i="7"/>
  <c r="CP35" i="7"/>
  <c r="CK35" i="7"/>
  <c r="CF35" i="7"/>
  <c r="CA35" i="7"/>
  <c r="BV35" i="7"/>
  <c r="BQ35" i="7"/>
  <c r="BL35" i="7"/>
  <c r="BG35" i="7"/>
  <c r="BB35" i="7"/>
  <c r="BB37" i="7" s="1"/>
  <c r="F14" i="18" s="1"/>
  <c r="AW35" i="7"/>
  <c r="AW37" i="7" s="1"/>
  <c r="F13" i="18" s="1"/>
  <c r="AR35" i="7"/>
  <c r="AR37" i="7" s="1"/>
  <c r="F12" i="18" s="1"/>
  <c r="AM35" i="7"/>
  <c r="AM37" i="7" s="1"/>
  <c r="F11" i="18" s="1"/>
  <c r="AC35" i="7"/>
  <c r="X35" i="7"/>
  <c r="X37" i="7" s="1"/>
  <c r="F8" i="18" s="1"/>
  <c r="S35" i="7"/>
  <c r="S37" i="7" s="1"/>
  <c r="F7" i="18" s="1"/>
  <c r="N35" i="7"/>
  <c r="N37" i="7" s="1"/>
  <c r="F6" i="18" s="1"/>
  <c r="I35" i="7"/>
  <c r="I37" i="7" s="1"/>
  <c r="F5" i="18" s="1"/>
  <c r="D35" i="7"/>
  <c r="EV34" i="7"/>
  <c r="EU34" i="7"/>
  <c r="EQ34" i="7"/>
  <c r="EP34" i="7"/>
  <c r="EL34" i="7"/>
  <c r="EK34" i="7"/>
  <c r="EG34" i="7"/>
  <c r="EF34" i="7"/>
  <c r="EB34" i="7"/>
  <c r="EA34" i="7"/>
  <c r="DW34" i="7"/>
  <c r="DV34" i="7"/>
  <c r="DR34" i="7"/>
  <c r="DQ34" i="7"/>
  <c r="DM34" i="7"/>
  <c r="DL34" i="7"/>
  <c r="DH34" i="7"/>
  <c r="DG34" i="7"/>
  <c r="DC34" i="7"/>
  <c r="DB34" i="7"/>
  <c r="CX34" i="7"/>
  <c r="CW34" i="7"/>
  <c r="CS34" i="7"/>
  <c r="CR34" i="7"/>
  <c r="CN34" i="7"/>
  <c r="CM34" i="7"/>
  <c r="CI34" i="7"/>
  <c r="CH34" i="7"/>
  <c r="CD34" i="7"/>
  <c r="CC34" i="7"/>
  <c r="BY34" i="7"/>
  <c r="BX34" i="7"/>
  <c r="BT34" i="7"/>
  <c r="BS34" i="7"/>
  <c r="BO34" i="7"/>
  <c r="BN34" i="7"/>
  <c r="BJ34" i="7"/>
  <c r="BI34" i="7"/>
  <c r="AK34" i="7"/>
  <c r="AJ34" i="7"/>
  <c r="C34" i="7"/>
  <c r="B34" i="7"/>
  <c r="A34" i="7"/>
  <c r="EV33" i="7"/>
  <c r="EU33" i="7"/>
  <c r="EQ33" i="7"/>
  <c r="EP33" i="7"/>
  <c r="EL33" i="7"/>
  <c r="EK33" i="7"/>
  <c r="EG33" i="7"/>
  <c r="EF33" i="7"/>
  <c r="EB33" i="7"/>
  <c r="EA33" i="7"/>
  <c r="DW33" i="7"/>
  <c r="DV33" i="7"/>
  <c r="DR33" i="7"/>
  <c r="DQ33" i="7"/>
  <c r="DM33" i="7"/>
  <c r="DL33" i="7"/>
  <c r="DH33" i="7"/>
  <c r="DG33" i="7"/>
  <c r="DC33" i="7"/>
  <c r="DB33" i="7"/>
  <c r="CX33" i="7"/>
  <c r="CW33" i="7"/>
  <c r="CS33" i="7"/>
  <c r="CR33" i="7"/>
  <c r="CN33" i="7"/>
  <c r="CM33" i="7"/>
  <c r="CI33" i="7"/>
  <c r="CH33" i="7"/>
  <c r="CD33" i="7"/>
  <c r="CC33" i="7"/>
  <c r="BY33" i="7"/>
  <c r="BX33" i="7"/>
  <c r="BT33" i="7"/>
  <c r="BS33" i="7"/>
  <c r="BO33" i="7"/>
  <c r="BN33" i="7"/>
  <c r="BJ33" i="7"/>
  <c r="BI33" i="7"/>
  <c r="AK33" i="7"/>
  <c r="AJ33" i="7"/>
  <c r="C33" i="7"/>
  <c r="B33" i="7"/>
  <c r="A33" i="7"/>
  <c r="EV32" i="7"/>
  <c r="EU32" i="7"/>
  <c r="EQ32" i="7"/>
  <c r="EP32" i="7"/>
  <c r="EL32" i="7"/>
  <c r="EK32" i="7"/>
  <c r="EG32" i="7"/>
  <c r="EF32" i="7"/>
  <c r="EB32" i="7"/>
  <c r="EA32" i="7"/>
  <c r="DW32" i="7"/>
  <c r="DV32" i="7"/>
  <c r="DR32" i="7"/>
  <c r="DQ32" i="7"/>
  <c r="DM32" i="7"/>
  <c r="DL32" i="7"/>
  <c r="DH32" i="7"/>
  <c r="DG32" i="7"/>
  <c r="DC32" i="7"/>
  <c r="DB32" i="7"/>
  <c r="CX32" i="7"/>
  <c r="CW32" i="7"/>
  <c r="CS32" i="7"/>
  <c r="CR32" i="7"/>
  <c r="CN32" i="7"/>
  <c r="CM32" i="7"/>
  <c r="CI32" i="7"/>
  <c r="CH32" i="7"/>
  <c r="CD32" i="7"/>
  <c r="CC32" i="7"/>
  <c r="BY32" i="7"/>
  <c r="BX32" i="7"/>
  <c r="BT32" i="7"/>
  <c r="BS32" i="7"/>
  <c r="BO32" i="7"/>
  <c r="BN32" i="7"/>
  <c r="BJ32" i="7"/>
  <c r="BI32" i="7"/>
  <c r="AK32" i="7"/>
  <c r="AJ32" i="7"/>
  <c r="C32" i="7"/>
  <c r="B32" i="7"/>
  <c r="A32" i="7"/>
  <c r="EV31" i="7"/>
  <c r="EU31" i="7"/>
  <c r="EQ31" i="7"/>
  <c r="EP31" i="7"/>
  <c r="EL31" i="7"/>
  <c r="EK31" i="7"/>
  <c r="EG31" i="7"/>
  <c r="EF31" i="7"/>
  <c r="EB31" i="7"/>
  <c r="EA31" i="7"/>
  <c r="DW31" i="7"/>
  <c r="DV31" i="7"/>
  <c r="DR31" i="7"/>
  <c r="DQ31" i="7"/>
  <c r="DM31" i="7"/>
  <c r="DL31" i="7"/>
  <c r="DH31" i="7"/>
  <c r="DG31" i="7"/>
  <c r="DC31" i="7"/>
  <c r="DB31" i="7"/>
  <c r="CX31" i="7"/>
  <c r="CW31" i="7"/>
  <c r="CS31" i="7"/>
  <c r="CR31" i="7"/>
  <c r="CN31" i="7"/>
  <c r="CM31" i="7"/>
  <c r="CI31" i="7"/>
  <c r="CH31" i="7"/>
  <c r="CD31" i="7"/>
  <c r="CC31" i="7"/>
  <c r="BY31" i="7"/>
  <c r="BX31" i="7"/>
  <c r="BT31" i="7"/>
  <c r="BS31" i="7"/>
  <c r="BO31" i="7"/>
  <c r="BN31" i="7"/>
  <c r="BJ31" i="7"/>
  <c r="BI31" i="7"/>
  <c r="AK31" i="7"/>
  <c r="AJ31" i="7"/>
  <c r="C31" i="7"/>
  <c r="B31" i="7"/>
  <c r="A31" i="7"/>
  <c r="EV30" i="7"/>
  <c r="EU30" i="7"/>
  <c r="EQ30" i="7"/>
  <c r="EP30" i="7"/>
  <c r="EL30" i="7"/>
  <c r="EK30" i="7"/>
  <c r="EG30" i="7"/>
  <c r="EF30" i="7"/>
  <c r="EB30" i="7"/>
  <c r="EA30" i="7"/>
  <c r="DW30" i="7"/>
  <c r="DV30" i="7"/>
  <c r="DR30" i="7"/>
  <c r="DQ30" i="7"/>
  <c r="DM30" i="7"/>
  <c r="DL30" i="7"/>
  <c r="DH30" i="7"/>
  <c r="DG30" i="7"/>
  <c r="DC30" i="7"/>
  <c r="DB30" i="7"/>
  <c r="CX30" i="7"/>
  <c r="CW30" i="7"/>
  <c r="CS30" i="7"/>
  <c r="CR30" i="7"/>
  <c r="CN30" i="7"/>
  <c r="CM30" i="7"/>
  <c r="CI30" i="7"/>
  <c r="CH30" i="7"/>
  <c r="CD30" i="7"/>
  <c r="CC30" i="7"/>
  <c r="BY30" i="7"/>
  <c r="BX30" i="7"/>
  <c r="BT30" i="7"/>
  <c r="BS30" i="7"/>
  <c r="BO30" i="7"/>
  <c r="BN30" i="7"/>
  <c r="BJ30" i="7"/>
  <c r="BI30" i="7"/>
  <c r="AK30" i="7"/>
  <c r="AJ30" i="7"/>
  <c r="C30" i="7"/>
  <c r="B30" i="7"/>
  <c r="A30" i="7"/>
  <c r="EV29" i="7"/>
  <c r="EU29" i="7"/>
  <c r="EQ29" i="7"/>
  <c r="EP29" i="7"/>
  <c r="EL29" i="7"/>
  <c r="EK29" i="7"/>
  <c r="EG29" i="7"/>
  <c r="EF29" i="7"/>
  <c r="EB29" i="7"/>
  <c r="EA29" i="7"/>
  <c r="DW29" i="7"/>
  <c r="DV29" i="7"/>
  <c r="DR29" i="7"/>
  <c r="DQ29" i="7"/>
  <c r="DM29" i="7"/>
  <c r="DL29" i="7"/>
  <c r="DH29" i="7"/>
  <c r="DG29" i="7"/>
  <c r="DC29" i="7"/>
  <c r="DB29" i="7"/>
  <c r="CX29" i="7"/>
  <c r="CW29" i="7"/>
  <c r="CS29" i="7"/>
  <c r="CR29" i="7"/>
  <c r="CN29" i="7"/>
  <c r="CM29" i="7"/>
  <c r="CI29" i="7"/>
  <c r="CH29" i="7"/>
  <c r="CD29" i="7"/>
  <c r="CC29" i="7"/>
  <c r="BY29" i="7"/>
  <c r="BX29" i="7"/>
  <c r="BT29" i="7"/>
  <c r="BS29" i="7"/>
  <c r="BO29" i="7"/>
  <c r="BN29" i="7"/>
  <c r="BJ29" i="7"/>
  <c r="BI29" i="7"/>
  <c r="AK29" i="7"/>
  <c r="AJ29" i="7"/>
  <c r="C29" i="7"/>
  <c r="B29" i="7"/>
  <c r="A29" i="7"/>
  <c r="EV28" i="7"/>
  <c r="EU28" i="7"/>
  <c r="EQ28" i="7"/>
  <c r="EP28" i="7"/>
  <c r="EL28" i="7"/>
  <c r="EK28" i="7"/>
  <c r="EG28" i="7"/>
  <c r="EF28" i="7"/>
  <c r="EB28" i="7"/>
  <c r="EA28" i="7"/>
  <c r="DW28" i="7"/>
  <c r="DV28" i="7"/>
  <c r="DR28" i="7"/>
  <c r="DQ28" i="7"/>
  <c r="DM28" i="7"/>
  <c r="DL28" i="7"/>
  <c r="DH28" i="7"/>
  <c r="DG28" i="7"/>
  <c r="DC28" i="7"/>
  <c r="DB28" i="7"/>
  <c r="CX28" i="7"/>
  <c r="CW28" i="7"/>
  <c r="CS28" i="7"/>
  <c r="CR28" i="7"/>
  <c r="CN28" i="7"/>
  <c r="CM28" i="7"/>
  <c r="CI28" i="7"/>
  <c r="CH28" i="7"/>
  <c r="CD28" i="7"/>
  <c r="CC28" i="7"/>
  <c r="BY28" i="7"/>
  <c r="BX28" i="7"/>
  <c r="BT28" i="7"/>
  <c r="BS28" i="7"/>
  <c r="BO28" i="7"/>
  <c r="BN28" i="7"/>
  <c r="BJ28" i="7"/>
  <c r="BI28" i="7"/>
  <c r="AK28" i="7"/>
  <c r="AJ28" i="7"/>
  <c r="C28" i="7"/>
  <c r="B28" i="7"/>
  <c r="A28" i="7"/>
  <c r="EV27" i="7"/>
  <c r="EU27" i="7"/>
  <c r="EQ27" i="7"/>
  <c r="EP27" i="7"/>
  <c r="EL27" i="7"/>
  <c r="EK27" i="7"/>
  <c r="EG27" i="7"/>
  <c r="EF27" i="7"/>
  <c r="EB27" i="7"/>
  <c r="EA27" i="7"/>
  <c r="DW27" i="7"/>
  <c r="DV27" i="7"/>
  <c r="DR27" i="7"/>
  <c r="DQ27" i="7"/>
  <c r="DM27" i="7"/>
  <c r="DL27" i="7"/>
  <c r="DH27" i="7"/>
  <c r="DG27" i="7"/>
  <c r="DC27" i="7"/>
  <c r="DB27" i="7"/>
  <c r="CX27" i="7"/>
  <c r="CW27" i="7"/>
  <c r="CS27" i="7"/>
  <c r="CR27" i="7"/>
  <c r="CN27" i="7"/>
  <c r="CM27" i="7"/>
  <c r="CI27" i="7"/>
  <c r="CH27" i="7"/>
  <c r="CD27" i="7"/>
  <c r="CC27" i="7"/>
  <c r="BY27" i="7"/>
  <c r="BX27" i="7"/>
  <c r="BT27" i="7"/>
  <c r="BS27" i="7"/>
  <c r="BO27" i="7"/>
  <c r="BN27" i="7"/>
  <c r="BJ27" i="7"/>
  <c r="BI27" i="7"/>
  <c r="AK27" i="7"/>
  <c r="AJ27" i="7"/>
  <c r="C27" i="7"/>
  <c r="B27" i="7"/>
  <c r="A27" i="7"/>
  <c r="EV26" i="7"/>
  <c r="EU26" i="7"/>
  <c r="EQ26" i="7"/>
  <c r="EP26" i="7"/>
  <c r="EL26" i="7"/>
  <c r="EK26" i="7"/>
  <c r="EG26" i="7"/>
  <c r="EF26" i="7"/>
  <c r="EB26" i="7"/>
  <c r="EA26" i="7"/>
  <c r="DW26" i="7"/>
  <c r="DV26" i="7"/>
  <c r="DR26" i="7"/>
  <c r="DQ26" i="7"/>
  <c r="DM26" i="7"/>
  <c r="DL26" i="7"/>
  <c r="DH26" i="7"/>
  <c r="DG26" i="7"/>
  <c r="DC26" i="7"/>
  <c r="DB26" i="7"/>
  <c r="CX26" i="7"/>
  <c r="CW26" i="7"/>
  <c r="CS26" i="7"/>
  <c r="CR26" i="7"/>
  <c r="CN26" i="7"/>
  <c r="CM26" i="7"/>
  <c r="CI26" i="7"/>
  <c r="CH26" i="7"/>
  <c r="CD26" i="7"/>
  <c r="CC26" i="7"/>
  <c r="BY26" i="7"/>
  <c r="BX26" i="7"/>
  <c r="BT26" i="7"/>
  <c r="BS26" i="7"/>
  <c r="BO26" i="7"/>
  <c r="BN26" i="7"/>
  <c r="BJ26" i="7"/>
  <c r="BI26" i="7"/>
  <c r="AK26" i="7"/>
  <c r="AJ26" i="7"/>
  <c r="C26" i="7"/>
  <c r="B26" i="7"/>
  <c r="A26" i="7"/>
  <c r="EV25" i="7"/>
  <c r="EU25" i="7"/>
  <c r="EQ25" i="7"/>
  <c r="EP25" i="7"/>
  <c r="EL25" i="7"/>
  <c r="EK25" i="7"/>
  <c r="EG25" i="7"/>
  <c r="EF25" i="7"/>
  <c r="EB25" i="7"/>
  <c r="EA25" i="7"/>
  <c r="DW25" i="7"/>
  <c r="DV25" i="7"/>
  <c r="DR25" i="7"/>
  <c r="DQ25" i="7"/>
  <c r="DM25" i="7"/>
  <c r="DL25" i="7"/>
  <c r="DH25" i="7"/>
  <c r="DG25" i="7"/>
  <c r="DC25" i="7"/>
  <c r="DB25" i="7"/>
  <c r="CX25" i="7"/>
  <c r="CW25" i="7"/>
  <c r="CS25" i="7"/>
  <c r="CR25" i="7"/>
  <c r="CN25" i="7"/>
  <c r="CM25" i="7"/>
  <c r="CI25" i="7"/>
  <c r="CH25" i="7"/>
  <c r="CD25" i="7"/>
  <c r="CC25" i="7"/>
  <c r="BY25" i="7"/>
  <c r="BX25" i="7"/>
  <c r="BT25" i="7"/>
  <c r="BS25" i="7"/>
  <c r="BO25" i="7"/>
  <c r="BN25" i="7"/>
  <c r="BJ25" i="7"/>
  <c r="BI25" i="7"/>
  <c r="AK25" i="7"/>
  <c r="AJ25" i="7"/>
  <c r="C25" i="7"/>
  <c r="B25" i="7"/>
  <c r="A25" i="7"/>
  <c r="EV24" i="7"/>
  <c r="EU24" i="7"/>
  <c r="EQ24" i="7"/>
  <c r="EP24" i="7"/>
  <c r="EL24" i="7"/>
  <c r="EK24" i="7"/>
  <c r="EG24" i="7"/>
  <c r="EF24" i="7"/>
  <c r="EB24" i="7"/>
  <c r="EA24" i="7"/>
  <c r="DW24" i="7"/>
  <c r="DV24" i="7"/>
  <c r="DR24" i="7"/>
  <c r="DQ24" i="7"/>
  <c r="DM24" i="7"/>
  <c r="DL24" i="7"/>
  <c r="DH24" i="7"/>
  <c r="DG24" i="7"/>
  <c r="DC24" i="7"/>
  <c r="DB24" i="7"/>
  <c r="CX24" i="7"/>
  <c r="CW24" i="7"/>
  <c r="CS24" i="7"/>
  <c r="CR24" i="7"/>
  <c r="CN24" i="7"/>
  <c r="CM24" i="7"/>
  <c r="CI24" i="7"/>
  <c r="CH24" i="7"/>
  <c r="CD24" i="7"/>
  <c r="CC24" i="7"/>
  <c r="BY24" i="7"/>
  <c r="BX24" i="7"/>
  <c r="BT24" i="7"/>
  <c r="BS24" i="7"/>
  <c r="BO24" i="7"/>
  <c r="BN24" i="7"/>
  <c r="BJ24" i="7"/>
  <c r="BI24" i="7"/>
  <c r="AK24" i="7"/>
  <c r="AJ24" i="7"/>
  <c r="C24" i="7"/>
  <c r="B24" i="7"/>
  <c r="A24" i="7"/>
  <c r="EV23" i="7"/>
  <c r="EU23" i="7"/>
  <c r="EQ23" i="7"/>
  <c r="EP23" i="7"/>
  <c r="EL23" i="7"/>
  <c r="EK23" i="7"/>
  <c r="EG23" i="7"/>
  <c r="EF23" i="7"/>
  <c r="EB23" i="7"/>
  <c r="EA23" i="7"/>
  <c r="DW23" i="7"/>
  <c r="DV23" i="7"/>
  <c r="DR23" i="7"/>
  <c r="DQ23" i="7"/>
  <c r="DM23" i="7"/>
  <c r="DL23" i="7"/>
  <c r="DH23" i="7"/>
  <c r="DG23" i="7"/>
  <c r="DC23" i="7"/>
  <c r="DB23" i="7"/>
  <c r="CX23" i="7"/>
  <c r="CW23" i="7"/>
  <c r="CS23" i="7"/>
  <c r="CR23" i="7"/>
  <c r="CN23" i="7"/>
  <c r="CM23" i="7"/>
  <c r="CI23" i="7"/>
  <c r="CH23" i="7"/>
  <c r="CD23" i="7"/>
  <c r="CC23" i="7"/>
  <c r="BY23" i="7"/>
  <c r="BX23" i="7"/>
  <c r="BT23" i="7"/>
  <c r="BS23" i="7"/>
  <c r="BO23" i="7"/>
  <c r="BN23" i="7"/>
  <c r="BJ23" i="7"/>
  <c r="BI23" i="7"/>
  <c r="AK23" i="7"/>
  <c r="AJ23" i="7"/>
  <c r="C23" i="7"/>
  <c r="B23" i="7"/>
  <c r="A23" i="7"/>
  <c r="EV22" i="7"/>
  <c r="EU22" i="7"/>
  <c r="EQ22" i="7"/>
  <c r="EP22" i="7"/>
  <c r="EL22" i="7"/>
  <c r="EK22" i="7"/>
  <c r="EG22" i="7"/>
  <c r="EF22" i="7"/>
  <c r="EB22" i="7"/>
  <c r="EA22" i="7"/>
  <c r="DW22" i="7"/>
  <c r="DV22" i="7"/>
  <c r="DR22" i="7"/>
  <c r="DQ22" i="7"/>
  <c r="DM22" i="7"/>
  <c r="DL22" i="7"/>
  <c r="DH22" i="7"/>
  <c r="DG22" i="7"/>
  <c r="DC22" i="7"/>
  <c r="DB22" i="7"/>
  <c r="CX22" i="7"/>
  <c r="CW22" i="7"/>
  <c r="CS22" i="7"/>
  <c r="CR22" i="7"/>
  <c r="CN22" i="7"/>
  <c r="CM22" i="7"/>
  <c r="CI22" i="7"/>
  <c r="CH22" i="7"/>
  <c r="CD22" i="7"/>
  <c r="CC22" i="7"/>
  <c r="BY22" i="7"/>
  <c r="BX22" i="7"/>
  <c r="BT22" i="7"/>
  <c r="BS22" i="7"/>
  <c r="BO22" i="7"/>
  <c r="BN22" i="7"/>
  <c r="BJ22" i="7"/>
  <c r="BI22" i="7"/>
  <c r="AK22" i="7"/>
  <c r="AJ22" i="7"/>
  <c r="C22" i="7"/>
  <c r="B22" i="7"/>
  <c r="A22" i="7"/>
  <c r="EV21" i="7"/>
  <c r="EU21" i="7"/>
  <c r="EQ21" i="7"/>
  <c r="EP21" i="7"/>
  <c r="EL21" i="7"/>
  <c r="EK21" i="7"/>
  <c r="EG21" i="7"/>
  <c r="EF21" i="7"/>
  <c r="EB21" i="7"/>
  <c r="EA21" i="7"/>
  <c r="DW21" i="7"/>
  <c r="DV21" i="7"/>
  <c r="DR21" i="7"/>
  <c r="DQ21" i="7"/>
  <c r="DM21" i="7"/>
  <c r="DL21" i="7"/>
  <c r="DH21" i="7"/>
  <c r="DG21" i="7"/>
  <c r="DC21" i="7"/>
  <c r="DB21" i="7"/>
  <c r="CX21" i="7"/>
  <c r="CW21" i="7"/>
  <c r="CS21" i="7"/>
  <c r="CR21" i="7"/>
  <c r="CN21" i="7"/>
  <c r="CM21" i="7"/>
  <c r="CI21" i="7"/>
  <c r="CH21" i="7"/>
  <c r="CD21" i="7"/>
  <c r="CC21" i="7"/>
  <c r="BY21" i="7"/>
  <c r="BX21" i="7"/>
  <c r="BT21" i="7"/>
  <c r="BS21" i="7"/>
  <c r="BO21" i="7"/>
  <c r="BN21" i="7"/>
  <c r="BJ21" i="7"/>
  <c r="BI21" i="7"/>
  <c r="AK21" i="7"/>
  <c r="AJ21" i="7"/>
  <c r="C21" i="7"/>
  <c r="B21" i="7"/>
  <c r="A21" i="7"/>
  <c r="EV20" i="7"/>
  <c r="EU20" i="7"/>
  <c r="EQ20" i="7"/>
  <c r="EP20" i="7"/>
  <c r="EL20" i="7"/>
  <c r="EK20" i="7"/>
  <c r="EG20" i="7"/>
  <c r="EF20" i="7"/>
  <c r="EB20" i="7"/>
  <c r="EA20" i="7"/>
  <c r="DW20" i="7"/>
  <c r="DV20" i="7"/>
  <c r="DR20" i="7"/>
  <c r="DQ20" i="7"/>
  <c r="DM20" i="7"/>
  <c r="DL20" i="7"/>
  <c r="DH20" i="7"/>
  <c r="DG20" i="7"/>
  <c r="DC20" i="7"/>
  <c r="DB20" i="7"/>
  <c r="CX20" i="7"/>
  <c r="CW20" i="7"/>
  <c r="CS20" i="7"/>
  <c r="CR20" i="7"/>
  <c r="CN20" i="7"/>
  <c r="CM20" i="7"/>
  <c r="CI20" i="7"/>
  <c r="CH20" i="7"/>
  <c r="CD20" i="7"/>
  <c r="CC20" i="7"/>
  <c r="BY20" i="7"/>
  <c r="BX20" i="7"/>
  <c r="BT20" i="7"/>
  <c r="BS20" i="7"/>
  <c r="BO20" i="7"/>
  <c r="BN20" i="7"/>
  <c r="BJ20" i="7"/>
  <c r="BI20" i="7"/>
  <c r="AK20" i="7"/>
  <c r="AJ20" i="7"/>
  <c r="C20" i="7"/>
  <c r="B20" i="7"/>
  <c r="A20" i="7"/>
  <c r="EV19" i="7"/>
  <c r="EU19" i="7"/>
  <c r="EQ19" i="7"/>
  <c r="EP19" i="7"/>
  <c r="EL19" i="7"/>
  <c r="EK19" i="7"/>
  <c r="EG19" i="7"/>
  <c r="EF19" i="7"/>
  <c r="EB19" i="7"/>
  <c r="EA19" i="7"/>
  <c r="DW19" i="7"/>
  <c r="DV19" i="7"/>
  <c r="DR19" i="7"/>
  <c r="DQ19" i="7"/>
  <c r="DM19" i="7"/>
  <c r="DL19" i="7"/>
  <c r="DH19" i="7"/>
  <c r="DG19" i="7"/>
  <c r="DC19" i="7"/>
  <c r="DB19" i="7"/>
  <c r="CX19" i="7"/>
  <c r="CW19" i="7"/>
  <c r="CS19" i="7"/>
  <c r="CR19" i="7"/>
  <c r="CN19" i="7"/>
  <c r="CM19" i="7"/>
  <c r="CI19" i="7"/>
  <c r="CH19" i="7"/>
  <c r="CD19" i="7"/>
  <c r="CC19" i="7"/>
  <c r="BY19" i="7"/>
  <c r="BX19" i="7"/>
  <c r="BT19" i="7"/>
  <c r="BS19" i="7"/>
  <c r="BO19" i="7"/>
  <c r="BN19" i="7"/>
  <c r="BJ19" i="7"/>
  <c r="BI19" i="7"/>
  <c r="AK19" i="7"/>
  <c r="AJ19" i="7"/>
  <c r="C19" i="7"/>
  <c r="B19" i="7"/>
  <c r="A19" i="7"/>
  <c r="EV18" i="7"/>
  <c r="EU18" i="7"/>
  <c r="EQ18" i="7"/>
  <c r="EP18" i="7"/>
  <c r="EL18" i="7"/>
  <c r="EK18" i="7"/>
  <c r="EG18" i="7"/>
  <c r="EF18" i="7"/>
  <c r="EB18" i="7"/>
  <c r="EA18" i="7"/>
  <c r="DW18" i="7"/>
  <c r="DV18" i="7"/>
  <c r="DR18" i="7"/>
  <c r="DQ18" i="7"/>
  <c r="DM18" i="7"/>
  <c r="DL18" i="7"/>
  <c r="DH18" i="7"/>
  <c r="DG18" i="7"/>
  <c r="DC18" i="7"/>
  <c r="DB18" i="7"/>
  <c r="CX18" i="7"/>
  <c r="CW18" i="7"/>
  <c r="CS18" i="7"/>
  <c r="CR18" i="7"/>
  <c r="CN18" i="7"/>
  <c r="CM18" i="7"/>
  <c r="CI18" i="7"/>
  <c r="CH18" i="7"/>
  <c r="CD18" i="7"/>
  <c r="CC18" i="7"/>
  <c r="BY18" i="7"/>
  <c r="BX18" i="7"/>
  <c r="BT18" i="7"/>
  <c r="BS18" i="7"/>
  <c r="BO18" i="7"/>
  <c r="BN18" i="7"/>
  <c r="BJ18" i="7"/>
  <c r="BI18" i="7"/>
  <c r="AK18" i="7"/>
  <c r="AJ18" i="7"/>
  <c r="C18" i="7"/>
  <c r="B18" i="7"/>
  <c r="A18" i="7"/>
  <c r="EV17" i="7"/>
  <c r="EU17" i="7"/>
  <c r="EQ17" i="7"/>
  <c r="EP17" i="7"/>
  <c r="EL17" i="7"/>
  <c r="EK17" i="7"/>
  <c r="EG17" i="7"/>
  <c r="EF17" i="7"/>
  <c r="EB17" i="7"/>
  <c r="EA17" i="7"/>
  <c r="DW17" i="7"/>
  <c r="DV17" i="7"/>
  <c r="DR17" i="7"/>
  <c r="DQ17" i="7"/>
  <c r="DM17" i="7"/>
  <c r="DL17" i="7"/>
  <c r="DH17" i="7"/>
  <c r="DG17" i="7"/>
  <c r="DC17" i="7"/>
  <c r="DB17" i="7"/>
  <c r="CX17" i="7"/>
  <c r="CW17" i="7"/>
  <c r="CS17" i="7"/>
  <c r="CR17" i="7"/>
  <c r="CN17" i="7"/>
  <c r="CM17" i="7"/>
  <c r="CI17" i="7"/>
  <c r="CH17" i="7"/>
  <c r="CD17" i="7"/>
  <c r="CC17" i="7"/>
  <c r="BY17" i="7"/>
  <c r="BX17" i="7"/>
  <c r="BT17" i="7"/>
  <c r="BS17" i="7"/>
  <c r="BO17" i="7"/>
  <c r="BN17" i="7"/>
  <c r="BJ17" i="7"/>
  <c r="BI17" i="7"/>
  <c r="AK17" i="7"/>
  <c r="AJ17" i="7"/>
  <c r="C17" i="7"/>
  <c r="B17" i="7"/>
  <c r="A17" i="7"/>
  <c r="EV16" i="7"/>
  <c r="EU16" i="7"/>
  <c r="EQ16" i="7"/>
  <c r="EP16" i="7"/>
  <c r="EL16" i="7"/>
  <c r="EK16" i="7"/>
  <c r="EG16" i="7"/>
  <c r="EF16" i="7"/>
  <c r="EB16" i="7"/>
  <c r="EA16" i="7"/>
  <c r="DW16" i="7"/>
  <c r="DV16" i="7"/>
  <c r="DR16" i="7"/>
  <c r="DQ16" i="7"/>
  <c r="DM16" i="7"/>
  <c r="DL16" i="7"/>
  <c r="DH16" i="7"/>
  <c r="DG16" i="7"/>
  <c r="DC16" i="7"/>
  <c r="DB16" i="7"/>
  <c r="CX16" i="7"/>
  <c r="CW16" i="7"/>
  <c r="CS16" i="7"/>
  <c r="CR16" i="7"/>
  <c r="CN16" i="7"/>
  <c r="CM16" i="7"/>
  <c r="CI16" i="7"/>
  <c r="CH16" i="7"/>
  <c r="CD16" i="7"/>
  <c r="CC16" i="7"/>
  <c r="BY16" i="7"/>
  <c r="BX16" i="7"/>
  <c r="BT16" i="7"/>
  <c r="BS16" i="7"/>
  <c r="BO16" i="7"/>
  <c r="BN16" i="7"/>
  <c r="BJ16" i="7"/>
  <c r="BI16" i="7"/>
  <c r="AK16" i="7"/>
  <c r="AJ16" i="7"/>
  <c r="C16" i="7"/>
  <c r="B16" i="7"/>
  <c r="A16" i="7"/>
  <c r="EV15" i="7"/>
  <c r="EU15" i="7"/>
  <c r="EQ15" i="7"/>
  <c r="EP15" i="7"/>
  <c r="EL15" i="7"/>
  <c r="EK15" i="7"/>
  <c r="EG15" i="7"/>
  <c r="EF15" i="7"/>
  <c r="EB15" i="7"/>
  <c r="EA15" i="7"/>
  <c r="DW15" i="7"/>
  <c r="DV15" i="7"/>
  <c r="DR15" i="7"/>
  <c r="DQ15" i="7"/>
  <c r="DM15" i="7"/>
  <c r="DL15" i="7"/>
  <c r="DH15" i="7"/>
  <c r="DG15" i="7"/>
  <c r="DC15" i="7"/>
  <c r="DB15" i="7"/>
  <c r="CX15" i="7"/>
  <c r="CW15" i="7"/>
  <c r="CS15" i="7"/>
  <c r="CR15" i="7"/>
  <c r="CN15" i="7"/>
  <c r="CM15" i="7"/>
  <c r="CI15" i="7"/>
  <c r="CH15" i="7"/>
  <c r="CD15" i="7"/>
  <c r="CC15" i="7"/>
  <c r="BY15" i="7"/>
  <c r="BX15" i="7"/>
  <c r="BT15" i="7"/>
  <c r="BS15" i="7"/>
  <c r="BO15" i="7"/>
  <c r="BN15" i="7"/>
  <c r="BJ15" i="7"/>
  <c r="BI15" i="7"/>
  <c r="AK15" i="7"/>
  <c r="AJ15" i="7"/>
  <c r="C15" i="7"/>
  <c r="B15" i="7"/>
  <c r="A15" i="7"/>
  <c r="EV14" i="7"/>
  <c r="EU14" i="7"/>
  <c r="EQ14" i="7"/>
  <c r="EP14" i="7"/>
  <c r="EL14" i="7"/>
  <c r="EK14" i="7"/>
  <c r="EG14" i="7"/>
  <c r="EF14" i="7"/>
  <c r="EB14" i="7"/>
  <c r="EA14" i="7"/>
  <c r="DW14" i="7"/>
  <c r="DV14" i="7"/>
  <c r="DR14" i="7"/>
  <c r="DQ14" i="7"/>
  <c r="DM14" i="7"/>
  <c r="DL14" i="7"/>
  <c r="DH14" i="7"/>
  <c r="DG14" i="7"/>
  <c r="DC14" i="7"/>
  <c r="DB14" i="7"/>
  <c r="CX14" i="7"/>
  <c r="CW14" i="7"/>
  <c r="CS14" i="7"/>
  <c r="CR14" i="7"/>
  <c r="CN14" i="7"/>
  <c r="CM14" i="7"/>
  <c r="CI14" i="7"/>
  <c r="CH14" i="7"/>
  <c r="CD14" i="7"/>
  <c r="CC14" i="7"/>
  <c r="BY14" i="7"/>
  <c r="BX14" i="7"/>
  <c r="BT14" i="7"/>
  <c r="BS14" i="7"/>
  <c r="BO14" i="7"/>
  <c r="BN14" i="7"/>
  <c r="BJ14" i="7"/>
  <c r="BI14" i="7"/>
  <c r="AK14" i="7"/>
  <c r="AJ14" i="7"/>
  <c r="C14" i="7"/>
  <c r="B14" i="7"/>
  <c r="A14" i="7"/>
  <c r="EV13" i="7"/>
  <c r="EU13" i="7"/>
  <c r="EQ13" i="7"/>
  <c r="EP13" i="7"/>
  <c r="EL13" i="7"/>
  <c r="EK13" i="7"/>
  <c r="EG13" i="7"/>
  <c r="EF13" i="7"/>
  <c r="EB13" i="7"/>
  <c r="EA13" i="7"/>
  <c r="DW13" i="7"/>
  <c r="DV13" i="7"/>
  <c r="DR13" i="7"/>
  <c r="DQ13" i="7"/>
  <c r="DM13" i="7"/>
  <c r="DL13" i="7"/>
  <c r="DH13" i="7"/>
  <c r="DG13" i="7"/>
  <c r="DC13" i="7"/>
  <c r="DB13" i="7"/>
  <c r="CX13" i="7"/>
  <c r="CW13" i="7"/>
  <c r="CS13" i="7"/>
  <c r="CR13" i="7"/>
  <c r="CN13" i="7"/>
  <c r="CM13" i="7"/>
  <c r="CI13" i="7"/>
  <c r="CH13" i="7"/>
  <c r="CD13" i="7"/>
  <c r="CC13" i="7"/>
  <c r="BY13" i="7"/>
  <c r="BX13" i="7"/>
  <c r="BT13" i="7"/>
  <c r="BS13" i="7"/>
  <c r="BO13" i="7"/>
  <c r="BN13" i="7"/>
  <c r="BJ13" i="7"/>
  <c r="BI13" i="7"/>
  <c r="AK13" i="7"/>
  <c r="AJ13" i="7"/>
  <c r="C13" i="7"/>
  <c r="B13" i="7"/>
  <c r="A13" i="7"/>
  <c r="EV12" i="7"/>
  <c r="EU12" i="7"/>
  <c r="EQ12" i="7"/>
  <c r="EP12" i="7"/>
  <c r="EL12" i="7"/>
  <c r="EK12" i="7"/>
  <c r="EG12" i="7"/>
  <c r="EF12" i="7"/>
  <c r="EB12" i="7"/>
  <c r="EA12" i="7"/>
  <c r="DW12" i="7"/>
  <c r="DV12" i="7"/>
  <c r="DR12" i="7"/>
  <c r="DQ12" i="7"/>
  <c r="DM12" i="7"/>
  <c r="DL12" i="7"/>
  <c r="DH12" i="7"/>
  <c r="DG12" i="7"/>
  <c r="DC12" i="7"/>
  <c r="DB12" i="7"/>
  <c r="CX12" i="7"/>
  <c r="CW12" i="7"/>
  <c r="CS12" i="7"/>
  <c r="CR12" i="7"/>
  <c r="CN12" i="7"/>
  <c r="CM12" i="7"/>
  <c r="CI12" i="7"/>
  <c r="CH12" i="7"/>
  <c r="CD12" i="7"/>
  <c r="CC12" i="7"/>
  <c r="BY12" i="7"/>
  <c r="BX12" i="7"/>
  <c r="BT12" i="7"/>
  <c r="BS12" i="7"/>
  <c r="BO12" i="7"/>
  <c r="BN12" i="7"/>
  <c r="BJ12" i="7"/>
  <c r="BI12" i="7"/>
  <c r="AK12" i="7"/>
  <c r="AJ12" i="7"/>
  <c r="C12" i="7"/>
  <c r="B12" i="7"/>
  <c r="A12" i="7"/>
  <c r="EV11" i="7"/>
  <c r="EU11" i="7"/>
  <c r="EQ11" i="7"/>
  <c r="EP11" i="7"/>
  <c r="EL11" i="7"/>
  <c r="EK11" i="7"/>
  <c r="EG11" i="7"/>
  <c r="EF11" i="7"/>
  <c r="EB11" i="7"/>
  <c r="EA11" i="7"/>
  <c r="DW11" i="7"/>
  <c r="DV11" i="7"/>
  <c r="DR11" i="7"/>
  <c r="DQ11" i="7"/>
  <c r="DM11" i="7"/>
  <c r="DL11" i="7"/>
  <c r="DH11" i="7"/>
  <c r="DG11" i="7"/>
  <c r="DC11" i="7"/>
  <c r="DB11" i="7"/>
  <c r="CX11" i="7"/>
  <c r="CW11" i="7"/>
  <c r="CS11" i="7"/>
  <c r="CR11" i="7"/>
  <c r="CN11" i="7"/>
  <c r="CM11" i="7"/>
  <c r="CI11" i="7"/>
  <c r="CH11" i="7"/>
  <c r="CD11" i="7"/>
  <c r="CC11" i="7"/>
  <c r="BY11" i="7"/>
  <c r="BX11" i="7"/>
  <c r="BT11" i="7"/>
  <c r="BS11" i="7"/>
  <c r="BO11" i="7"/>
  <c r="BN11" i="7"/>
  <c r="BJ11" i="7"/>
  <c r="BI11" i="7"/>
  <c r="AK11" i="7"/>
  <c r="AJ11" i="7"/>
  <c r="C11" i="7"/>
  <c r="B11" i="7"/>
  <c r="A11" i="7"/>
  <c r="EV10" i="7"/>
  <c r="EU10" i="7"/>
  <c r="EQ10" i="7"/>
  <c r="EP10" i="7"/>
  <c r="EL10" i="7"/>
  <c r="EK10" i="7"/>
  <c r="EG10" i="7"/>
  <c r="EF10" i="7"/>
  <c r="EB10" i="7"/>
  <c r="EA10" i="7"/>
  <c r="DW10" i="7"/>
  <c r="DV10" i="7"/>
  <c r="DR10" i="7"/>
  <c r="DQ10" i="7"/>
  <c r="DM10" i="7"/>
  <c r="DL10" i="7"/>
  <c r="DH10" i="7"/>
  <c r="DG10" i="7"/>
  <c r="DC10" i="7"/>
  <c r="DB10" i="7"/>
  <c r="CX10" i="7"/>
  <c r="CW10" i="7"/>
  <c r="CS10" i="7"/>
  <c r="CR10" i="7"/>
  <c r="CN10" i="7"/>
  <c r="CM10" i="7"/>
  <c r="CI10" i="7"/>
  <c r="CH10" i="7"/>
  <c r="CD10" i="7"/>
  <c r="CC10" i="7"/>
  <c r="BY10" i="7"/>
  <c r="BX10" i="7"/>
  <c r="BT10" i="7"/>
  <c r="BS10" i="7"/>
  <c r="BO10" i="7"/>
  <c r="BN10" i="7"/>
  <c r="BJ10" i="7"/>
  <c r="BI10" i="7"/>
  <c r="AK10" i="7"/>
  <c r="AJ10" i="7"/>
  <c r="C10" i="7"/>
  <c r="B10" i="7"/>
  <c r="A10" i="7"/>
  <c r="EV9" i="7"/>
  <c r="EU9" i="7"/>
  <c r="EQ9" i="7"/>
  <c r="EP9" i="7"/>
  <c r="EL9" i="7"/>
  <c r="EK9" i="7"/>
  <c r="EG9" i="7"/>
  <c r="EF9" i="7"/>
  <c r="EB9" i="7"/>
  <c r="EA9" i="7"/>
  <c r="DW9" i="7"/>
  <c r="DV9" i="7"/>
  <c r="DR9" i="7"/>
  <c r="DQ9" i="7"/>
  <c r="DM9" i="7"/>
  <c r="DL9" i="7"/>
  <c r="DH9" i="7"/>
  <c r="DG9" i="7"/>
  <c r="DC9" i="7"/>
  <c r="DB9" i="7"/>
  <c r="CX9" i="7"/>
  <c r="CW9" i="7"/>
  <c r="CS9" i="7"/>
  <c r="CR9" i="7"/>
  <c r="CN9" i="7"/>
  <c r="CM9" i="7"/>
  <c r="CI9" i="7"/>
  <c r="CH9" i="7"/>
  <c r="CD9" i="7"/>
  <c r="CC9" i="7"/>
  <c r="BY9" i="7"/>
  <c r="BX9" i="7"/>
  <c r="BT9" i="7"/>
  <c r="BS9" i="7"/>
  <c r="BO9" i="7"/>
  <c r="BN9" i="7"/>
  <c r="BJ9" i="7"/>
  <c r="BI9" i="7"/>
  <c r="AK9" i="7"/>
  <c r="AJ9" i="7"/>
  <c r="C9" i="7"/>
  <c r="B9" i="7"/>
  <c r="A9" i="7"/>
  <c r="EV8" i="7"/>
  <c r="EU8" i="7"/>
  <c r="EQ8" i="7"/>
  <c r="EP8" i="7"/>
  <c r="EL8" i="7"/>
  <c r="EK8" i="7"/>
  <c r="EG8" i="7"/>
  <c r="EF8" i="7"/>
  <c r="EB8" i="7"/>
  <c r="EA8" i="7"/>
  <c r="DW8" i="7"/>
  <c r="DV8" i="7"/>
  <c r="DR8" i="7"/>
  <c r="DQ8" i="7"/>
  <c r="DM8" i="7"/>
  <c r="DL8" i="7"/>
  <c r="DH8" i="7"/>
  <c r="DG8" i="7"/>
  <c r="DC8" i="7"/>
  <c r="DB8" i="7"/>
  <c r="CX8" i="7"/>
  <c r="CW8" i="7"/>
  <c r="CS8" i="7"/>
  <c r="CR8" i="7"/>
  <c r="CN8" i="7"/>
  <c r="CM8" i="7"/>
  <c r="CI8" i="7"/>
  <c r="CH8" i="7"/>
  <c r="CD8" i="7"/>
  <c r="CC8" i="7"/>
  <c r="BY8" i="7"/>
  <c r="BX8" i="7"/>
  <c r="BT8" i="7"/>
  <c r="BS8" i="7"/>
  <c r="BO8" i="7"/>
  <c r="BN8" i="7"/>
  <c r="BJ8" i="7"/>
  <c r="BI8" i="7"/>
  <c r="AK8" i="7"/>
  <c r="AH36" i="7" s="1"/>
  <c r="AJ8" i="7"/>
  <c r="C8" i="7"/>
  <c r="B8" i="7"/>
  <c r="A8" i="7"/>
  <c r="EV7" i="7"/>
  <c r="EU7" i="7"/>
  <c r="EQ7" i="7"/>
  <c r="EP7" i="7"/>
  <c r="EL7" i="7"/>
  <c r="EK7" i="7"/>
  <c r="EG7" i="7"/>
  <c r="EF7" i="7"/>
  <c r="EB7" i="7"/>
  <c r="EA7" i="7"/>
  <c r="DW7" i="7"/>
  <c r="DV7" i="7"/>
  <c r="DR7" i="7"/>
  <c r="DQ7" i="7"/>
  <c r="DM7" i="7"/>
  <c r="DL7" i="7"/>
  <c r="DH7" i="7"/>
  <c r="DG7" i="7"/>
  <c r="DC7" i="7"/>
  <c r="DB7" i="7"/>
  <c r="CX7" i="7"/>
  <c r="CW7" i="7"/>
  <c r="CS7" i="7"/>
  <c r="CR7" i="7"/>
  <c r="CN7" i="7"/>
  <c r="CM7" i="7"/>
  <c r="CI7" i="7"/>
  <c r="CH7" i="7"/>
  <c r="CD7" i="7"/>
  <c r="CC7" i="7"/>
  <c r="BY7" i="7"/>
  <c r="BX7" i="7"/>
  <c r="BT7" i="7"/>
  <c r="BS7" i="7"/>
  <c r="BO7" i="7"/>
  <c r="BN7" i="7"/>
  <c r="BJ7" i="7"/>
  <c r="BI7" i="7"/>
  <c r="AK7" i="7"/>
  <c r="AJ7" i="7"/>
  <c r="C7" i="7"/>
  <c r="B7" i="7"/>
  <c r="A7" i="7"/>
  <c r="EV6" i="7"/>
  <c r="EU6" i="7"/>
  <c r="EQ6" i="7"/>
  <c r="EP6" i="7"/>
  <c r="EL6" i="7"/>
  <c r="EK6" i="7"/>
  <c r="EG6" i="7"/>
  <c r="EF6" i="7"/>
  <c r="EB6" i="7"/>
  <c r="EA6" i="7"/>
  <c r="DW6" i="7"/>
  <c r="DV6" i="7"/>
  <c r="DR6" i="7"/>
  <c r="DQ6" i="7"/>
  <c r="DM6" i="7"/>
  <c r="DL6" i="7"/>
  <c r="DH6" i="7"/>
  <c r="DG6" i="7"/>
  <c r="DC6" i="7"/>
  <c r="DB6" i="7"/>
  <c r="CX6" i="7"/>
  <c r="CW6" i="7"/>
  <c r="CS6" i="7"/>
  <c r="CR6" i="7"/>
  <c r="CN6" i="7"/>
  <c r="CM6" i="7"/>
  <c r="CI6" i="7"/>
  <c r="CH6" i="7"/>
  <c r="CD6" i="7"/>
  <c r="CC6" i="7"/>
  <c r="BY6" i="7"/>
  <c r="BX6" i="7"/>
  <c r="BT6" i="7"/>
  <c r="BS6" i="7"/>
  <c r="BO6" i="7"/>
  <c r="BN6" i="7"/>
  <c r="BJ6" i="7"/>
  <c r="BI6" i="7"/>
  <c r="AK6" i="7"/>
  <c r="AJ6" i="7"/>
  <c r="C6" i="7"/>
  <c r="B6" i="7"/>
  <c r="A6" i="7"/>
  <c r="EV5" i="7"/>
  <c r="EU5" i="7"/>
  <c r="EQ5" i="7"/>
  <c r="EP5" i="7"/>
  <c r="EL5" i="7"/>
  <c r="EK5" i="7"/>
  <c r="EG5" i="7"/>
  <c r="EF5" i="7"/>
  <c r="EB5" i="7"/>
  <c r="EA5" i="7"/>
  <c r="DW5" i="7"/>
  <c r="DV5" i="7"/>
  <c r="DR5" i="7"/>
  <c r="DQ5" i="7"/>
  <c r="DM5" i="7"/>
  <c r="DL5" i="7"/>
  <c r="DH5" i="7"/>
  <c r="DG5" i="7"/>
  <c r="DC5" i="7"/>
  <c r="DB5" i="7"/>
  <c r="CX5" i="7"/>
  <c r="CW5" i="7"/>
  <c r="CS5" i="7"/>
  <c r="CR5" i="7"/>
  <c r="CN5" i="7"/>
  <c r="CM5" i="7"/>
  <c r="CI5" i="7"/>
  <c r="CH5" i="7"/>
  <c r="CD5" i="7"/>
  <c r="CC5" i="7"/>
  <c r="BY5" i="7"/>
  <c r="BX5" i="7"/>
  <c r="BT5" i="7"/>
  <c r="BS5" i="7"/>
  <c r="BO5" i="7"/>
  <c r="BN5" i="7"/>
  <c r="BJ5" i="7"/>
  <c r="BI5" i="7"/>
  <c r="AK5" i="7"/>
  <c r="AJ5" i="7"/>
  <c r="C5" i="7"/>
  <c r="B5" i="7"/>
  <c r="A5" i="7"/>
  <c r="EV4" i="7"/>
  <c r="EU4" i="7"/>
  <c r="EQ4" i="7"/>
  <c r="EP4" i="7"/>
  <c r="EL4" i="7"/>
  <c r="EK4" i="7"/>
  <c r="EG4" i="7"/>
  <c r="EF4" i="7"/>
  <c r="EB4" i="7"/>
  <c r="EA4" i="7"/>
  <c r="DW4" i="7"/>
  <c r="DV4" i="7"/>
  <c r="DR4" i="7"/>
  <c r="DQ4" i="7"/>
  <c r="DM4" i="7"/>
  <c r="DL4" i="7"/>
  <c r="DH4" i="7"/>
  <c r="DG4" i="7"/>
  <c r="DC4" i="7"/>
  <c r="DB4" i="7"/>
  <c r="CX4" i="7"/>
  <c r="CW4" i="7"/>
  <c r="CS4" i="7"/>
  <c r="CR4" i="7"/>
  <c r="CN4" i="7"/>
  <c r="CM4" i="7"/>
  <c r="CI4" i="7"/>
  <c r="CH4" i="7"/>
  <c r="CD4" i="7"/>
  <c r="CC4" i="7"/>
  <c r="BY4" i="7"/>
  <c r="BX4" i="7"/>
  <c r="BT4" i="7"/>
  <c r="BS4" i="7"/>
  <c r="BO4" i="7"/>
  <c r="BN4" i="7"/>
  <c r="BJ4" i="7"/>
  <c r="BI4" i="7"/>
  <c r="AK4" i="7"/>
  <c r="AJ4" i="7"/>
  <c r="AH35" i="7" s="1"/>
  <c r="C4" i="7"/>
  <c r="B4" i="7"/>
  <c r="A4" i="7"/>
  <c r="ES2" i="7"/>
  <c r="EN2" i="7"/>
  <c r="EI2" i="7"/>
  <c r="ED2" i="7"/>
  <c r="DY2" i="7"/>
  <c r="DT2" i="7"/>
  <c r="DO2" i="7"/>
  <c r="DJ2" i="7"/>
  <c r="DE2" i="7"/>
  <c r="CZ2" i="7"/>
  <c r="CU2" i="7"/>
  <c r="CP2" i="7"/>
  <c r="CK2" i="7"/>
  <c r="CF2" i="7"/>
  <c r="CA2" i="7"/>
  <c r="BV2" i="7"/>
  <c r="BQ2" i="7"/>
  <c r="BL2" i="7"/>
  <c r="BG2" i="7"/>
  <c r="BB2" i="7"/>
  <c r="AW2" i="7"/>
  <c r="AR2" i="7"/>
  <c r="AM2" i="7"/>
  <c r="AH2" i="7"/>
  <c r="AC2" i="7"/>
  <c r="X2" i="7"/>
  <c r="S2" i="7"/>
  <c r="N2" i="7"/>
  <c r="I2" i="7"/>
  <c r="D2" i="7"/>
  <c r="A1" i="7"/>
  <c r="S11" i="18" l="1"/>
  <c r="S12" i="18"/>
  <c r="T11" i="18"/>
  <c r="T13" i="18"/>
  <c r="P13" i="18"/>
  <c r="AH37" i="7"/>
  <c r="F10" i="18" s="1"/>
  <c r="F34" i="18"/>
  <c r="P7" i="18"/>
  <c r="T4" i="18"/>
  <c r="P8" i="18"/>
  <c r="D72" i="20"/>
  <c r="BG37" i="6"/>
  <c r="E15" i="18" s="1"/>
  <c r="T15" i="18"/>
  <c r="Q13" i="18"/>
  <c r="T7" i="18"/>
  <c r="T8" i="18"/>
  <c r="R6" i="18"/>
  <c r="S8" i="18"/>
  <c r="R8" i="18"/>
  <c r="R34" i="18" s="1"/>
  <c r="S6" i="18"/>
  <c r="S34" i="18" s="1"/>
  <c r="S7" i="18"/>
  <c r="T9" i="18"/>
  <c r="S9" i="18"/>
  <c r="D54" i="20"/>
  <c r="T6" i="18"/>
  <c r="P15" i="18"/>
  <c r="BB37" i="5"/>
  <c r="D14" i="18" s="1"/>
  <c r="P10" i="18"/>
  <c r="P14" i="18"/>
  <c r="T10" i="18"/>
  <c r="P12" i="18"/>
  <c r="T12" i="18"/>
  <c r="AC35" i="5"/>
  <c r="AC36" i="5"/>
  <c r="P9" i="18" s="1"/>
  <c r="X37" i="5"/>
  <c r="D8" i="18" s="1"/>
  <c r="Q8" i="18" s="1"/>
  <c r="O8" i="18"/>
  <c r="O7" i="18"/>
  <c r="S37" i="5"/>
  <c r="D7" i="18" s="1"/>
  <c r="Q7" i="18" s="1"/>
  <c r="O6" i="18"/>
  <c r="N37" i="5"/>
  <c r="D6" i="18" s="1"/>
  <c r="Q6" i="18" s="1"/>
  <c r="I35" i="5"/>
  <c r="I36" i="5"/>
  <c r="P5" i="18" s="1"/>
  <c r="D36" i="5"/>
  <c r="P4" i="18" s="1"/>
  <c r="D35" i="5"/>
  <c r="I37" i="5"/>
  <c r="D5" i="18" s="1"/>
  <c r="Q5" i="18" s="1"/>
  <c r="O5" i="18"/>
  <c r="D37" i="5"/>
  <c r="D4" i="18" s="1"/>
  <c r="O4" i="18"/>
  <c r="O39" i="19"/>
  <c r="O40" i="19"/>
  <c r="O15" i="18"/>
  <c r="BG37" i="4"/>
  <c r="C15" i="18" s="1"/>
  <c r="Q15" i="18" s="1"/>
  <c r="BB37" i="4"/>
  <c r="C14" i="18" s="1"/>
  <c r="Q14" i="18" s="1"/>
  <c r="O14" i="18"/>
  <c r="AR37" i="4"/>
  <c r="C12" i="18" s="1"/>
  <c r="Q12" i="18" s="1"/>
  <c r="O12" i="18"/>
  <c r="O36" i="19"/>
  <c r="O11" i="18"/>
  <c r="AM37" i="4"/>
  <c r="C11" i="18" s="1"/>
  <c r="O29" i="19"/>
  <c r="O10" i="18"/>
  <c r="AH37" i="4"/>
  <c r="C10" i="18" s="1"/>
  <c r="O34" i="19"/>
  <c r="O26" i="19"/>
  <c r="O37" i="19"/>
  <c r="O31" i="19"/>
  <c r="O42" i="19"/>
  <c r="O28" i="19"/>
  <c r="O33" i="19"/>
  <c r="O25" i="19"/>
  <c r="O32" i="19"/>
  <c r="O38" i="19"/>
  <c r="O30" i="19"/>
  <c r="O41" i="19"/>
  <c r="O35" i="19"/>
  <c r="T398" i="21"/>
  <c r="R139" i="21"/>
  <c r="T236" i="21"/>
  <c r="T256" i="21"/>
  <c r="R253" i="21"/>
  <c r="T322" i="21"/>
  <c r="R228" i="21"/>
  <c r="T237" i="21"/>
  <c r="R258" i="21"/>
  <c r="R313" i="21"/>
  <c r="R159" i="21"/>
  <c r="R165" i="21"/>
  <c r="C17" i="19"/>
  <c r="T25" i="21"/>
  <c r="T83" i="21"/>
  <c r="T107" i="21"/>
  <c r="T229" i="21"/>
  <c r="R250" i="21"/>
  <c r="T305" i="21"/>
  <c r="T328" i="21"/>
  <c r="R416" i="21"/>
  <c r="D17" i="19"/>
  <c r="R10" i="21"/>
  <c r="R48" i="21"/>
  <c r="R92" i="21"/>
  <c r="T244" i="21"/>
  <c r="T255" i="21"/>
  <c r="T306" i="21"/>
  <c r="T329" i="21"/>
  <c r="T344" i="21"/>
  <c r="R422" i="21"/>
  <c r="R432" i="21"/>
  <c r="T12" i="21"/>
  <c r="R236" i="21"/>
  <c r="D18" i="19"/>
  <c r="R242" i="21"/>
  <c r="R247" i="21"/>
  <c r="T16" i="21"/>
  <c r="T233" i="21"/>
  <c r="T304" i="21"/>
  <c r="T327" i="21"/>
  <c r="T384" i="21"/>
  <c r="T395" i="21"/>
  <c r="C124" i="20"/>
  <c r="D124" i="20" s="1"/>
  <c r="T17" i="21"/>
  <c r="R244" i="21"/>
  <c r="E17" i="19"/>
  <c r="R18" i="21"/>
  <c r="R26" i="21"/>
  <c r="T34" i="21"/>
  <c r="T92" i="21"/>
  <c r="T96" i="21"/>
  <c r="T104" i="21"/>
  <c r="R154" i="21"/>
  <c r="S154" i="21" s="1"/>
  <c r="R171" i="21"/>
  <c r="T234" i="21"/>
  <c r="T315" i="21"/>
  <c r="T330" i="21"/>
  <c r="T359" i="21"/>
  <c r="T404" i="21"/>
  <c r="R443" i="21"/>
  <c r="R27" i="21"/>
  <c r="R144" i="21"/>
  <c r="T241" i="21"/>
  <c r="T253" i="21"/>
  <c r="T312" i="21"/>
  <c r="R22" i="21"/>
  <c r="T228" i="21"/>
  <c r="U228" i="21" s="1"/>
  <c r="T243" i="21"/>
  <c r="T249" i="21"/>
  <c r="T258" i="21"/>
  <c r="T313" i="21"/>
  <c r="T326" i="21"/>
  <c r="T402" i="21"/>
  <c r="R32" i="21"/>
  <c r="C160" i="20"/>
  <c r="T26" i="21"/>
  <c r="T35" i="21"/>
  <c r="R172" i="21"/>
  <c r="T240" i="21"/>
  <c r="T316" i="21"/>
  <c r="T345" i="21"/>
  <c r="T367" i="21"/>
  <c r="T397" i="21"/>
  <c r="R417" i="21"/>
  <c r="R423" i="21"/>
  <c r="R256" i="21"/>
  <c r="R310" i="21"/>
  <c r="T20" i="21"/>
  <c r="E18" i="19"/>
  <c r="F18" i="19"/>
  <c r="T21" i="21"/>
  <c r="T29" i="21"/>
  <c r="R80" i="21"/>
  <c r="S80" i="21" s="1"/>
  <c r="R166" i="21"/>
  <c r="R231" i="21"/>
  <c r="T380" i="21"/>
  <c r="J44" i="21"/>
  <c r="J68" i="21"/>
  <c r="J131" i="21"/>
  <c r="J315" i="21"/>
  <c r="J316" i="21"/>
  <c r="J432" i="21"/>
  <c r="J441" i="21"/>
  <c r="J86" i="21"/>
  <c r="J428" i="21"/>
  <c r="J311" i="21"/>
  <c r="K8" i="19"/>
  <c r="L8" i="19"/>
  <c r="M8" i="19"/>
  <c r="H24" i="21"/>
  <c r="H141" i="21"/>
  <c r="H47" i="21"/>
  <c r="H53" i="21"/>
  <c r="H331" i="21"/>
  <c r="H385" i="21"/>
  <c r="H68" i="21"/>
  <c r="H54" i="21"/>
  <c r="H35" i="21"/>
  <c r="H55" i="21"/>
  <c r="H303" i="21"/>
  <c r="H318" i="21"/>
  <c r="H404" i="21"/>
  <c r="H48" i="21"/>
  <c r="H13" i="21"/>
  <c r="H313" i="21"/>
  <c r="H319" i="21"/>
  <c r="H43" i="21"/>
  <c r="H121" i="21"/>
  <c r="H266" i="21"/>
  <c r="H7" i="21"/>
  <c r="H70" i="21"/>
  <c r="H144" i="21"/>
  <c r="H235" i="21"/>
  <c r="H240" i="21"/>
  <c r="H340" i="21"/>
  <c r="H251" i="21"/>
  <c r="H18" i="21"/>
  <c r="H25" i="21"/>
  <c r="H60" i="21"/>
  <c r="H64" i="21"/>
  <c r="H58" i="21"/>
  <c r="H376" i="21"/>
  <c r="F87" i="21"/>
  <c r="F350" i="21"/>
  <c r="F99" i="21"/>
  <c r="F172" i="21"/>
  <c r="F249" i="21"/>
  <c r="F377" i="21"/>
  <c r="F105" i="21"/>
  <c r="F90" i="21"/>
  <c r="F102" i="21"/>
  <c r="F356" i="21"/>
  <c r="F84" i="21"/>
  <c r="F234" i="21"/>
  <c r="F419" i="21"/>
  <c r="F433" i="21"/>
  <c r="F443" i="21"/>
  <c r="F108" i="21"/>
  <c r="F162" i="21"/>
  <c r="F425" i="21"/>
  <c r="F118" i="21"/>
  <c r="F168" i="21"/>
  <c r="F231" i="21"/>
  <c r="F415" i="21"/>
  <c r="F313" i="21"/>
  <c r="F396" i="21"/>
  <c r="F196" i="21"/>
  <c r="F430" i="21"/>
  <c r="F434" i="21"/>
  <c r="B62" i="20"/>
  <c r="D62" i="20" s="1"/>
  <c r="H126" i="21"/>
  <c r="H399" i="21"/>
  <c r="H44" i="21"/>
  <c r="I44" i="21" s="1"/>
  <c r="H69" i="21"/>
  <c r="H122" i="21"/>
  <c r="H137" i="21"/>
  <c r="H314" i="21"/>
  <c r="H321" i="21"/>
  <c r="H117" i="21"/>
  <c r="I117" i="21" s="1"/>
  <c r="H228" i="21"/>
  <c r="H320" i="21"/>
  <c r="H29" i="21"/>
  <c r="H49" i="21"/>
  <c r="H118" i="21"/>
  <c r="H132" i="21"/>
  <c r="H293" i="21"/>
  <c r="H346" i="21"/>
  <c r="H395" i="21"/>
  <c r="H128" i="21"/>
  <c r="H258" i="21"/>
  <c r="H326" i="21"/>
  <c r="H380" i="21"/>
  <c r="H429" i="21"/>
  <c r="H387" i="21"/>
  <c r="H403" i="21"/>
  <c r="H12" i="21"/>
  <c r="H302" i="21"/>
  <c r="I302" i="21" s="1"/>
  <c r="H327" i="21"/>
  <c r="H19" i="21"/>
  <c r="H59" i="21"/>
  <c r="N242" i="21"/>
  <c r="D14" i="19"/>
  <c r="M14" i="19"/>
  <c r="J378" i="21"/>
  <c r="J46" i="21"/>
  <c r="L34" i="21"/>
  <c r="N133" i="21"/>
  <c r="L196" i="21"/>
  <c r="L209" i="21"/>
  <c r="N232" i="21"/>
  <c r="N257" i="21"/>
  <c r="N354" i="21"/>
  <c r="N361" i="21"/>
  <c r="N392" i="21"/>
  <c r="E8" i="19"/>
  <c r="G13" i="19"/>
  <c r="J58" i="21"/>
  <c r="N81" i="21"/>
  <c r="J85" i="21"/>
  <c r="N92" i="21"/>
  <c r="N103" i="21"/>
  <c r="L144" i="21"/>
  <c r="N178" i="21"/>
  <c r="N196" i="21"/>
  <c r="N209" i="21"/>
  <c r="L254" i="21"/>
  <c r="J270" i="21"/>
  <c r="L278" i="21"/>
  <c r="L289" i="21"/>
  <c r="J309" i="21"/>
  <c r="N368" i="21"/>
  <c r="N393" i="21"/>
  <c r="L398" i="21"/>
  <c r="N404" i="21"/>
  <c r="L429" i="21"/>
  <c r="J128" i="21"/>
  <c r="N182" i="21"/>
  <c r="J281" i="21"/>
  <c r="L317" i="21"/>
  <c r="J57" i="21"/>
  <c r="J308" i="21"/>
  <c r="J121" i="21"/>
  <c r="N203" i="21"/>
  <c r="L217" i="21"/>
  <c r="L270" i="21"/>
  <c r="J283" i="21"/>
  <c r="J295" i="21"/>
  <c r="L309" i="21"/>
  <c r="L343" i="21"/>
  <c r="N379" i="21"/>
  <c r="G8" i="19"/>
  <c r="I14" i="19"/>
  <c r="L14" i="19"/>
  <c r="L11" i="19"/>
  <c r="N129" i="21"/>
  <c r="N138" i="21"/>
  <c r="L216" i="21"/>
  <c r="N244" i="21"/>
  <c r="J71" i="21"/>
  <c r="L35" i="21"/>
  <c r="L130" i="21"/>
  <c r="L191" i="21"/>
  <c r="M191" i="21" s="1"/>
  <c r="L210" i="21"/>
  <c r="L295" i="21"/>
  <c r="L319" i="21"/>
  <c r="L47" i="21"/>
  <c r="L192" i="21"/>
  <c r="L197" i="21"/>
  <c r="L229" i="21"/>
  <c r="M229" i="21" s="1"/>
  <c r="J233" i="21"/>
  <c r="N255" i="21"/>
  <c r="L279" i="21"/>
  <c r="L284" i="21"/>
  <c r="J310" i="21"/>
  <c r="L320" i="21"/>
  <c r="N380" i="21"/>
  <c r="N386" i="21"/>
  <c r="L434" i="21"/>
  <c r="C14" i="19"/>
  <c r="L195" i="21"/>
  <c r="L221" i="21"/>
  <c r="L124" i="21"/>
  <c r="L143" i="21"/>
  <c r="N195" i="21"/>
  <c r="N248" i="21"/>
  <c r="N14" i="19"/>
  <c r="L138" i="21"/>
  <c r="J294" i="21"/>
  <c r="L425" i="21"/>
  <c r="C8" i="19"/>
  <c r="J282" i="21"/>
  <c r="L294" i="21"/>
  <c r="L327" i="21"/>
  <c r="D8" i="19"/>
  <c r="F8" i="19"/>
  <c r="N394" i="21"/>
  <c r="L426" i="21"/>
  <c r="H8" i="19"/>
  <c r="J47" i="21"/>
  <c r="J284" i="21"/>
  <c r="L290" i="21"/>
  <c r="L314" i="21"/>
  <c r="N439" i="21"/>
  <c r="I8" i="19"/>
  <c r="K13" i="19"/>
  <c r="L13" i="19"/>
  <c r="J59" i="21"/>
  <c r="J72" i="21"/>
  <c r="J104" i="21"/>
  <c r="N145" i="21"/>
  <c r="N180" i="21"/>
  <c r="L211" i="21"/>
  <c r="L233" i="21"/>
  <c r="L242" i="21"/>
  <c r="N246" i="21"/>
  <c r="L310" i="21"/>
  <c r="N344" i="21"/>
  <c r="N395" i="21"/>
  <c r="L399" i="21"/>
  <c r="J413" i="21"/>
  <c r="K413" i="21" s="1"/>
  <c r="K414" i="21" s="1"/>
  <c r="K415" i="21" s="1"/>
  <c r="H352" i="21"/>
  <c r="H437" i="21"/>
  <c r="H341" i="21"/>
  <c r="H442" i="21"/>
  <c r="C116" i="20"/>
  <c r="D116" i="20" s="1"/>
  <c r="H14" i="21"/>
  <c r="H26" i="21"/>
  <c r="H388" i="21"/>
  <c r="H416" i="21"/>
  <c r="H420" i="21"/>
  <c r="H15" i="21"/>
  <c r="H167" i="21"/>
  <c r="H176" i="21"/>
  <c r="H154" i="21"/>
  <c r="I154" i="21" s="1"/>
  <c r="C44" i="20"/>
  <c r="D44" i="20" s="1"/>
  <c r="H11" i="21"/>
  <c r="H21" i="21"/>
  <c r="H33" i="21"/>
  <c r="H108" i="21"/>
  <c r="H159" i="21"/>
  <c r="H163" i="21"/>
  <c r="H172" i="21"/>
  <c r="H177" i="21"/>
  <c r="H182" i="21"/>
  <c r="H245" i="21"/>
  <c r="H332" i="21"/>
  <c r="H356" i="21"/>
  <c r="H384" i="21"/>
  <c r="H401" i="21"/>
  <c r="H417" i="21"/>
  <c r="H421" i="21"/>
  <c r="H418" i="21"/>
  <c r="H426" i="21"/>
  <c r="H438" i="21"/>
  <c r="H158" i="21"/>
  <c r="H171" i="21"/>
  <c r="H181" i="21"/>
  <c r="H434" i="21"/>
  <c r="H241" i="21"/>
  <c r="H400" i="21"/>
  <c r="H413" i="21"/>
  <c r="I413" i="21" s="1"/>
  <c r="H193" i="21"/>
  <c r="H249" i="21"/>
  <c r="H253" i="21"/>
  <c r="H322" i="21"/>
  <c r="H425" i="21"/>
  <c r="H428" i="21"/>
  <c r="B152" i="20"/>
  <c r="D152" i="20" s="1"/>
  <c r="H73" i="21"/>
  <c r="H131" i="21"/>
  <c r="H140" i="21"/>
  <c r="H168" i="21"/>
  <c r="H307" i="21"/>
  <c r="H362" i="21"/>
  <c r="H432" i="21"/>
  <c r="H422" i="21"/>
  <c r="H184" i="21"/>
  <c r="H180" i="21"/>
  <c r="H31" i="21"/>
  <c r="H162" i="21"/>
  <c r="H424" i="21"/>
  <c r="H9" i="21"/>
  <c r="H20" i="21"/>
  <c r="H32" i="21"/>
  <c r="H367" i="21"/>
  <c r="H16" i="21"/>
  <c r="H27" i="21"/>
  <c r="H396" i="21"/>
  <c r="H443" i="21"/>
  <c r="H6" i="21"/>
  <c r="I6" i="21" s="1"/>
  <c r="I7" i="21" s="1"/>
  <c r="I8" i="21" s="1"/>
  <c r="I9" i="21" s="1"/>
  <c r="H34" i="21"/>
  <c r="H127" i="21"/>
  <c r="H136" i="21"/>
  <c r="H155" i="21"/>
  <c r="H164" i="21"/>
  <c r="H231" i="21"/>
  <c r="H237" i="21"/>
  <c r="H312" i="21"/>
  <c r="H379" i="21"/>
  <c r="H391" i="21"/>
  <c r="H179" i="21"/>
  <c r="H433" i="21"/>
  <c r="H8" i="21"/>
  <c r="H36" i="21"/>
  <c r="H157" i="21"/>
  <c r="H175" i="21"/>
  <c r="H430" i="21"/>
  <c r="H166" i="21"/>
  <c r="H236" i="21"/>
  <c r="H244" i="21"/>
  <c r="H248" i="21"/>
  <c r="H233" i="21"/>
  <c r="H383" i="21"/>
  <c r="H439" i="21"/>
  <c r="H28" i="21"/>
  <c r="H50" i="21"/>
  <c r="H63" i="21"/>
  <c r="H145" i="21"/>
  <c r="H160" i="21"/>
  <c r="H173" i="21"/>
  <c r="H250" i="21"/>
  <c r="H254" i="21"/>
  <c r="H257" i="21"/>
  <c r="H308" i="21"/>
  <c r="H325" i="21"/>
  <c r="H414" i="21"/>
  <c r="F357" i="21"/>
  <c r="K5" i="19"/>
  <c r="F140" i="21"/>
  <c r="F246" i="21"/>
  <c r="F268" i="21"/>
  <c r="F280" i="21"/>
  <c r="F401" i="21"/>
  <c r="F405" i="21"/>
  <c r="L5" i="19"/>
  <c r="F56" i="21"/>
  <c r="F60" i="21"/>
  <c r="F181" i="21"/>
  <c r="F192" i="21"/>
  <c r="F54" i="21"/>
  <c r="F346" i="21"/>
  <c r="F378" i="21"/>
  <c r="F386" i="21"/>
  <c r="M5" i="19"/>
  <c r="F210" i="21"/>
  <c r="F243" i="21"/>
  <c r="F292" i="21"/>
  <c r="F342" i="21"/>
  <c r="F368" i="21"/>
  <c r="F383" i="21"/>
  <c r="F387" i="21"/>
  <c r="F393" i="21"/>
  <c r="N5" i="19"/>
  <c r="F66" i="21"/>
  <c r="F381" i="21"/>
  <c r="I5" i="19"/>
  <c r="F353" i="21"/>
  <c r="F363" i="21"/>
  <c r="F402" i="21"/>
  <c r="F96" i="21"/>
  <c r="F165" i="21"/>
  <c r="F258" i="21"/>
  <c r="F364" i="21"/>
  <c r="F384" i="21"/>
  <c r="F70" i="21"/>
  <c r="F240" i="21"/>
  <c r="F169" i="21"/>
  <c r="F206" i="21"/>
  <c r="F252" i="21"/>
  <c r="F277" i="21"/>
  <c r="F339" i="21"/>
  <c r="G339" i="21" s="1"/>
  <c r="F349" i="21"/>
  <c r="F389" i="21"/>
  <c r="F395" i="21"/>
  <c r="F367" i="21"/>
  <c r="F46" i="21"/>
  <c r="F64" i="21"/>
  <c r="F392" i="21"/>
  <c r="F61" i="21"/>
  <c r="F71" i="21"/>
  <c r="F255" i="21"/>
  <c r="F343" i="21"/>
  <c r="F271" i="21"/>
  <c r="F380" i="21"/>
  <c r="F45" i="21"/>
  <c r="H5" i="19"/>
  <c r="F49" i="21"/>
  <c r="F59" i="21"/>
  <c r="F398" i="21"/>
  <c r="F63" i="21"/>
  <c r="F68" i="21"/>
  <c r="F133" i="21"/>
  <c r="F157" i="21"/>
  <c r="F174" i="21"/>
  <c r="F179" i="21"/>
  <c r="F220" i="21"/>
  <c r="F289" i="21"/>
  <c r="F360" i="21"/>
  <c r="F418" i="21"/>
  <c r="F436" i="21"/>
  <c r="F440" i="21"/>
  <c r="J5" i="19"/>
  <c r="F52" i="21"/>
  <c r="F57" i="21"/>
  <c r="F67" i="21"/>
  <c r="F53" i="21"/>
  <c r="F390" i="21"/>
  <c r="F399" i="21"/>
  <c r="F404" i="21"/>
  <c r="D331" i="21"/>
  <c r="D80" i="21"/>
  <c r="E80" i="21" s="1"/>
  <c r="D413" i="21"/>
  <c r="E413" i="21" s="1"/>
  <c r="D147" i="21"/>
  <c r="D323" i="21"/>
  <c r="D181" i="21"/>
  <c r="D232" i="21"/>
  <c r="D302" i="21"/>
  <c r="D344" i="21"/>
  <c r="D140" i="21"/>
  <c r="D110" i="21"/>
  <c r="D317" i="21"/>
  <c r="D117" i="21"/>
  <c r="E117" i="21" s="1"/>
  <c r="D129" i="21"/>
  <c r="D292" i="21"/>
  <c r="D367" i="21"/>
  <c r="B6" i="20"/>
  <c r="D6" i="20" s="1"/>
  <c r="D66" i="21"/>
  <c r="D395" i="21"/>
  <c r="D406" i="21"/>
  <c r="C168" i="20"/>
  <c r="D168" i="20" s="1"/>
  <c r="D304" i="21"/>
  <c r="D381" i="21"/>
  <c r="D390" i="21"/>
  <c r="K4" i="19"/>
  <c r="D49" i="21"/>
  <c r="D159" i="21"/>
  <c r="D204" i="21"/>
  <c r="D310" i="21"/>
  <c r="D318" i="21"/>
  <c r="L4" i="19"/>
  <c r="D63" i="21"/>
  <c r="D179" i="21"/>
  <c r="D305" i="21"/>
  <c r="D386" i="21"/>
  <c r="M4" i="19"/>
  <c r="D122" i="21"/>
  <c r="D138" i="21"/>
  <c r="D167" i="21"/>
  <c r="D404" i="21"/>
  <c r="D106" i="21"/>
  <c r="D142" i="21"/>
  <c r="D199" i="21"/>
  <c r="D418" i="21"/>
  <c r="D50" i="21"/>
  <c r="D96" i="21"/>
  <c r="D160" i="21"/>
  <c r="D164" i="21"/>
  <c r="D194" i="21"/>
  <c r="D218" i="21"/>
  <c r="D307" i="21"/>
  <c r="D315" i="21"/>
  <c r="D320" i="21"/>
  <c r="D360" i="21"/>
  <c r="D365" i="21"/>
  <c r="D379" i="21"/>
  <c r="D429" i="21"/>
  <c r="D155" i="21"/>
  <c r="E155" i="21" s="1"/>
  <c r="D174" i="21"/>
  <c r="D325" i="21"/>
  <c r="D85" i="21"/>
  <c r="D171" i="21"/>
  <c r="D326" i="21"/>
  <c r="B150" i="20"/>
  <c r="D150" i="20" s="1"/>
  <c r="D47" i="21"/>
  <c r="D119" i="21"/>
  <c r="D131" i="21"/>
  <c r="D184" i="21"/>
  <c r="D235" i="21"/>
  <c r="D246" i="21"/>
  <c r="D295" i="21"/>
  <c r="D355" i="21"/>
  <c r="D377" i="21"/>
  <c r="B60" i="20"/>
  <c r="D60" i="20" s="1"/>
  <c r="C150" i="20"/>
  <c r="D172" i="21"/>
  <c r="D239" i="21"/>
  <c r="D397" i="21"/>
  <c r="D402" i="21"/>
  <c r="D58" i="21"/>
  <c r="D71" i="21"/>
  <c r="D193" i="21"/>
  <c r="D210" i="21"/>
  <c r="N4" i="19"/>
  <c r="D19" i="21"/>
  <c r="D55" i="21"/>
  <c r="D68" i="21"/>
  <c r="D92" i="21"/>
  <c r="D156" i="21"/>
  <c r="D217" i="21"/>
  <c r="D432" i="21"/>
  <c r="D44" i="21"/>
  <c r="D157" i="21"/>
  <c r="D176" i="21"/>
  <c r="D212" i="21"/>
  <c r="D254" i="21"/>
  <c r="D312" i="21"/>
  <c r="D328" i="21"/>
  <c r="D388" i="21"/>
  <c r="N3" i="19"/>
  <c r="C77" i="20"/>
  <c r="D77" i="20" s="1"/>
  <c r="B34" i="21"/>
  <c r="B102" i="21"/>
  <c r="B234" i="21"/>
  <c r="B244" i="21"/>
  <c r="B266" i="21"/>
  <c r="C266" i="21" s="1"/>
  <c r="B271" i="21"/>
  <c r="B241" i="21"/>
  <c r="B247" i="21"/>
  <c r="B251" i="21"/>
  <c r="B96" i="21"/>
  <c r="B108" i="21"/>
  <c r="B124" i="21"/>
  <c r="B134" i="21"/>
  <c r="B138" i="21"/>
  <c r="B169" i="21"/>
  <c r="B277" i="21"/>
  <c r="B391" i="21"/>
  <c r="B423" i="21"/>
  <c r="B18" i="21"/>
  <c r="B22" i="21"/>
  <c r="C113" i="20"/>
  <c r="B10" i="21"/>
  <c r="B81" i="21"/>
  <c r="C81" i="21" s="1"/>
  <c r="B118" i="21"/>
  <c r="C118" i="21" s="1"/>
  <c r="C119" i="21" s="1"/>
  <c r="C120" i="21" s="1"/>
  <c r="B135" i="21"/>
  <c r="B155" i="21"/>
  <c r="B173" i="21"/>
  <c r="B181" i="21"/>
  <c r="B229" i="21"/>
  <c r="B238" i="21"/>
  <c r="B242" i="21"/>
  <c r="B248" i="21"/>
  <c r="B255" i="21"/>
  <c r="B282" i="21"/>
  <c r="B392" i="21"/>
  <c r="B396" i="21"/>
  <c r="B420" i="21"/>
  <c r="B113" i="20"/>
  <c r="D113" i="20" s="1"/>
  <c r="B84" i="21"/>
  <c r="B87" i="21"/>
  <c r="B93" i="21"/>
  <c r="B267" i="2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6" i="21" s="1"/>
  <c r="C287" i="21" s="1"/>
  <c r="C288" i="21" s="1"/>
  <c r="C289" i="21" s="1"/>
  <c r="C290" i="21" s="1"/>
  <c r="C291" i="21" s="1"/>
  <c r="C292" i="21" s="1"/>
  <c r="C293" i="21" s="1"/>
  <c r="C294" i="21" s="1"/>
  <c r="C295" i="21" s="1"/>
  <c r="B272" i="21"/>
  <c r="B278" i="21"/>
  <c r="B20" i="21"/>
  <c r="B30" i="21"/>
  <c r="B106" i="21"/>
  <c r="B142" i="21"/>
  <c r="B177" i="21"/>
  <c r="B235" i="21"/>
  <c r="B287" i="21"/>
  <c r="B377" i="21"/>
  <c r="C377" i="21" s="1"/>
  <c r="C378" i="21" s="1"/>
  <c r="C379" i="21" s="1"/>
  <c r="C380" i="21" s="1"/>
  <c r="C381" i="21" s="1"/>
  <c r="C382" i="21" s="1"/>
  <c r="C383" i="21" s="1"/>
  <c r="C384" i="21" s="1"/>
  <c r="C385" i="21" s="1"/>
  <c r="C386" i="21" s="1"/>
  <c r="C387" i="21" s="1"/>
  <c r="C388" i="21" s="1"/>
  <c r="C389" i="21" s="1"/>
  <c r="C390" i="21" s="1"/>
  <c r="C391" i="21" s="1"/>
  <c r="C392" i="21" s="1"/>
  <c r="C393" i="21" s="1"/>
  <c r="C394" i="21" s="1"/>
  <c r="C395" i="21" s="1"/>
  <c r="C396" i="21" s="1"/>
  <c r="C397" i="21" s="1"/>
  <c r="C398" i="21" s="1"/>
  <c r="C399" i="21" s="1"/>
  <c r="C400" i="21" s="1"/>
  <c r="C401" i="21" s="1"/>
  <c r="C402" i="21" s="1"/>
  <c r="C403" i="21" s="1"/>
  <c r="C404" i="21" s="1"/>
  <c r="C405" i="21" s="1"/>
  <c r="C406" i="21" s="1"/>
  <c r="B380" i="21"/>
  <c r="B384" i="21"/>
  <c r="B417" i="21"/>
  <c r="B424" i="21"/>
  <c r="B427" i="21"/>
  <c r="B436" i="21"/>
  <c r="B149" i="20"/>
  <c r="D149" i="20"/>
  <c r="B90" i="21"/>
  <c r="B100" i="21"/>
  <c r="B103" i="21"/>
  <c r="B125" i="21"/>
  <c r="B139" i="21"/>
  <c r="B258" i="21"/>
  <c r="B268" i="21"/>
  <c r="B273" i="21"/>
  <c r="B279" i="21"/>
  <c r="B288" i="21"/>
  <c r="B293" i="21"/>
  <c r="B388" i="21"/>
  <c r="B404" i="21"/>
  <c r="B430" i="21"/>
  <c r="B433" i="21"/>
  <c r="B440" i="21"/>
  <c r="B24" i="21"/>
  <c r="B121" i="21"/>
  <c r="B128" i="21"/>
  <c r="B145" i="21"/>
  <c r="B257" i="21"/>
  <c r="B85" i="21"/>
  <c r="B94" i="21"/>
  <c r="B129" i="21"/>
  <c r="B132" i="21"/>
  <c r="B233" i="21"/>
  <c r="B414" i="21"/>
  <c r="C414" i="21" s="1"/>
  <c r="C415" i="21" s="1"/>
  <c r="C416" i="21" s="1"/>
  <c r="C417" i="21" s="1"/>
  <c r="C418" i="21" s="1"/>
  <c r="C419" i="21" s="1"/>
  <c r="C420" i="21" s="1"/>
  <c r="C421" i="21" s="1"/>
  <c r="C422" i="21" s="1"/>
  <c r="C423" i="21" s="1"/>
  <c r="C424" i="21" s="1"/>
  <c r="C425" i="21" s="1"/>
  <c r="C426" i="21" s="1"/>
  <c r="C427" i="21" s="1"/>
  <c r="C428" i="21" s="1"/>
  <c r="C429" i="21" s="1"/>
  <c r="C430" i="21" s="1"/>
  <c r="C431" i="21" s="1"/>
  <c r="C432" i="21" s="1"/>
  <c r="C433" i="21" s="1"/>
  <c r="C434" i="21" s="1"/>
  <c r="C435" i="21" s="1"/>
  <c r="C436" i="21" s="1"/>
  <c r="B82" i="21"/>
  <c r="C82" i="21" s="1"/>
  <c r="C83" i="21" s="1"/>
  <c r="C84" i="21" s="1"/>
  <c r="C85" i="21" s="1"/>
  <c r="C86" i="21" s="1"/>
  <c r="C87" i="21" s="1"/>
  <c r="B88" i="21"/>
  <c r="B91" i="21"/>
  <c r="B97" i="21"/>
  <c r="B122" i="21"/>
  <c r="B136" i="21"/>
  <c r="B143" i="21"/>
  <c r="B230" i="21"/>
  <c r="B393" i="21"/>
  <c r="B421" i="21"/>
  <c r="P11" i="18"/>
  <c r="AM37" i="6"/>
  <c r="E11" i="18" s="1"/>
  <c r="O21" i="19"/>
  <c r="C22" i="19"/>
  <c r="D22" i="19"/>
  <c r="F22" i="19"/>
  <c r="H22" i="19"/>
  <c r="F24" i="19"/>
  <c r="I22" i="19"/>
  <c r="G24" i="19"/>
  <c r="J22" i="19"/>
  <c r="H24" i="19"/>
  <c r="L22" i="19"/>
  <c r="I24" i="19"/>
  <c r="E22" i="19"/>
  <c r="G22" i="19"/>
  <c r="D23" i="19"/>
  <c r="M24" i="19"/>
  <c r="J24" i="19"/>
  <c r="E23" i="19"/>
  <c r="N24" i="19"/>
  <c r="K24" i="19"/>
  <c r="F23" i="19"/>
  <c r="T291" i="21"/>
  <c r="T392" i="21"/>
  <c r="T122" i="21"/>
  <c r="T268" i="21"/>
  <c r="H19" i="19"/>
  <c r="J19" i="19"/>
  <c r="L19" i="19"/>
  <c r="T22" i="21"/>
  <c r="T130" i="21"/>
  <c r="T139" i="21"/>
  <c r="T164" i="21"/>
  <c r="T167" i="21"/>
  <c r="T378" i="21"/>
  <c r="T9" i="21"/>
  <c r="T13" i="21"/>
  <c r="T18" i="21"/>
  <c r="T31" i="21"/>
  <c r="T117" i="21"/>
  <c r="U117" i="21" s="1"/>
  <c r="T286" i="21"/>
  <c r="T27" i="21"/>
  <c r="T36" i="21"/>
  <c r="T100" i="21"/>
  <c r="T108" i="21"/>
  <c r="T136" i="21"/>
  <c r="T142" i="21"/>
  <c r="T157" i="21"/>
  <c r="T238" i="21"/>
  <c r="T247" i="21"/>
  <c r="T310" i="21"/>
  <c r="T140" i="21"/>
  <c r="T126" i="21"/>
  <c r="T138" i="21"/>
  <c r="T144" i="21"/>
  <c r="T147" i="21"/>
  <c r="T166" i="21"/>
  <c r="T278" i="21"/>
  <c r="T294" i="21"/>
  <c r="T388" i="21"/>
  <c r="T406" i="21"/>
  <c r="K19" i="19"/>
  <c r="T10" i="21"/>
  <c r="T32" i="21"/>
  <c r="T287" i="21"/>
  <c r="T307" i="21"/>
  <c r="T331" i="21"/>
  <c r="T342" i="21"/>
  <c r="T346" i="21"/>
  <c r="T356" i="21"/>
  <c r="E19" i="19"/>
  <c r="G19" i="19"/>
  <c r="I19" i="19"/>
  <c r="T124" i="21"/>
  <c r="T251" i="21"/>
  <c r="T254" i="21"/>
  <c r="T270" i="21"/>
  <c r="T275" i="21"/>
  <c r="T314" i="21"/>
  <c r="T318" i="21"/>
  <c r="T351" i="21"/>
  <c r="T382" i="21"/>
  <c r="T393" i="21"/>
  <c r="T396" i="21"/>
  <c r="T272" i="21"/>
  <c r="T277" i="21"/>
  <c r="T159" i="21"/>
  <c r="T169" i="21"/>
  <c r="T180" i="21"/>
  <c r="T132" i="21"/>
  <c r="T6" i="21"/>
  <c r="U6" i="21" s="1"/>
  <c r="T19" i="21"/>
  <c r="T230" i="21"/>
  <c r="T279" i="21"/>
  <c r="T325" i="21"/>
  <c r="T281" i="21"/>
  <c r="B107" i="20"/>
  <c r="D107" i="20" s="1"/>
  <c r="T28" i="21"/>
  <c r="T33" i="21"/>
  <c r="T137" i="21"/>
  <c r="T143" i="21"/>
  <c r="T165" i="21"/>
  <c r="T171" i="21"/>
  <c r="T239" i="21"/>
  <c r="T288" i="21"/>
  <c r="T292" i="21"/>
  <c r="T361" i="21"/>
  <c r="T400" i="21"/>
  <c r="T119" i="21"/>
  <c r="T269" i="21"/>
  <c r="T173" i="21"/>
  <c r="T11" i="21"/>
  <c r="T24" i="21"/>
  <c r="T128" i="21"/>
  <c r="T155" i="21"/>
  <c r="T182" i="21"/>
  <c r="T242" i="21"/>
  <c r="T245" i="21"/>
  <c r="T302" i="21"/>
  <c r="U302" i="21" s="1"/>
  <c r="T308" i="21"/>
  <c r="T319" i="21"/>
  <c r="T332" i="21"/>
  <c r="T352" i="21"/>
  <c r="T379" i="21"/>
  <c r="T386" i="21"/>
  <c r="T390" i="21"/>
  <c r="C18" i="19"/>
  <c r="G18" i="19"/>
  <c r="I18" i="19"/>
  <c r="H18" i="19"/>
  <c r="J18" i="19"/>
  <c r="K18" i="19"/>
  <c r="L18" i="19"/>
  <c r="M18" i="19"/>
  <c r="R279" i="21"/>
  <c r="R287" i="21"/>
  <c r="D160" i="20"/>
  <c r="R6" i="21"/>
  <c r="S6" i="21" s="1"/>
  <c r="R60" i="21"/>
  <c r="R89" i="21"/>
  <c r="R136" i="21"/>
  <c r="R233" i="21"/>
  <c r="R239" i="21"/>
  <c r="R268" i="21"/>
  <c r="R290" i="21"/>
  <c r="R46" i="21"/>
  <c r="R65" i="21"/>
  <c r="R119" i="21"/>
  <c r="R128" i="21"/>
  <c r="R145" i="21"/>
  <c r="R254" i="21"/>
  <c r="R265" i="21"/>
  <c r="S265" i="21" s="1"/>
  <c r="R61" i="21"/>
  <c r="R72" i="21"/>
  <c r="R16" i="21"/>
  <c r="R43" i="21"/>
  <c r="S43" i="21" s="1"/>
  <c r="R54" i="21"/>
  <c r="R69" i="21"/>
  <c r="R82" i="21"/>
  <c r="R125" i="21"/>
  <c r="R229" i="21"/>
  <c r="R284" i="21"/>
  <c r="R24" i="21"/>
  <c r="R58" i="21"/>
  <c r="R122" i="21"/>
  <c r="R174" i="21"/>
  <c r="R240" i="21"/>
  <c r="R273" i="21"/>
  <c r="R267" i="21"/>
  <c r="R232" i="21"/>
  <c r="R234" i="21"/>
  <c r="R237" i="21"/>
  <c r="R96" i="21"/>
  <c r="R105" i="21"/>
  <c r="R243" i="21"/>
  <c r="R252" i="21"/>
  <c r="R278" i="21"/>
  <c r="R293" i="21"/>
  <c r="R436" i="21"/>
  <c r="R276" i="21"/>
  <c r="D214" i="20"/>
  <c r="R29" i="21"/>
  <c r="R51" i="21"/>
  <c r="R55" i="21"/>
  <c r="R85" i="21"/>
  <c r="R88" i="21"/>
  <c r="R249" i="21"/>
  <c r="R257" i="21"/>
  <c r="R270" i="21"/>
  <c r="B106" i="20"/>
  <c r="D106" i="20" s="1"/>
  <c r="R49" i="21"/>
  <c r="R50" i="21"/>
  <c r="R62" i="21"/>
  <c r="R66" i="21"/>
  <c r="C214" i="20"/>
  <c r="R91" i="21"/>
  <c r="R162" i="21"/>
  <c r="R230" i="21"/>
  <c r="R362" i="21"/>
  <c r="R433" i="21"/>
  <c r="R13" i="21"/>
  <c r="R246" i="21"/>
  <c r="R275" i="21"/>
  <c r="R440" i="21"/>
  <c r="B37" i="20"/>
  <c r="C37" i="20"/>
  <c r="D109" i="20"/>
  <c r="X406" i="21"/>
  <c r="X398" i="21"/>
  <c r="X391" i="21"/>
  <c r="X380" i="21"/>
  <c r="X395" i="21"/>
  <c r="X405" i="21"/>
  <c r="X400" i="21"/>
  <c r="X390" i="21"/>
  <c r="X385" i="21"/>
  <c r="X403" i="21"/>
  <c r="X388" i="21"/>
  <c r="X383" i="21"/>
  <c r="X393" i="21"/>
  <c r="X378" i="21"/>
  <c r="X376" i="21"/>
  <c r="X387" i="21"/>
  <c r="X384" i="21"/>
  <c r="X401" i="21"/>
  <c r="X377" i="21"/>
  <c r="X404" i="21"/>
  <c r="X381" i="21"/>
  <c r="X399" i="21"/>
  <c r="X382" i="21"/>
  <c r="X379" i="21"/>
  <c r="X386" i="21"/>
  <c r="X402" i="21"/>
  <c r="X394" i="21"/>
  <c r="X396" i="21"/>
  <c r="X389" i="21"/>
  <c r="X148" i="21"/>
  <c r="Y155" i="21"/>
  <c r="C181" i="20"/>
  <c r="D181" i="20" s="1"/>
  <c r="Y118" i="21"/>
  <c r="Y119" i="21" s="1"/>
  <c r="Y120" i="21" s="1"/>
  <c r="Y121" i="21" s="1"/>
  <c r="Y122" i="21" s="1"/>
  <c r="Y123" i="21" s="1"/>
  <c r="Y124" i="21" s="1"/>
  <c r="Y125" i="21" s="1"/>
  <c r="Y126" i="21" s="1"/>
  <c r="Y127" i="21" s="1"/>
  <c r="Y128" i="21" s="1"/>
  <c r="Y129" i="21" s="1"/>
  <c r="Y130" i="21" s="1"/>
  <c r="Y131" i="21" s="1"/>
  <c r="Y132" i="21" s="1"/>
  <c r="X287" i="21"/>
  <c r="X284" i="21"/>
  <c r="X281" i="21"/>
  <c r="X265" i="21"/>
  <c r="X286" i="21"/>
  <c r="X267" i="21"/>
  <c r="X276" i="21"/>
  <c r="X273" i="21"/>
  <c r="X289" i="21"/>
  <c r="X294" i="21"/>
  <c r="X278" i="21"/>
  <c r="X270" i="21"/>
  <c r="X292" i="21"/>
  <c r="X277" i="21"/>
  <c r="X305" i="21"/>
  <c r="X323" i="21"/>
  <c r="C199" i="20"/>
  <c r="X257" i="21"/>
  <c r="X255" i="21"/>
  <c r="X251" i="21"/>
  <c r="X237" i="21"/>
  <c r="X235" i="21"/>
  <c r="X229" i="21"/>
  <c r="X253" i="21"/>
  <c r="X243" i="21"/>
  <c r="X234" i="21"/>
  <c r="X231" i="21"/>
  <c r="X241" i="21"/>
  <c r="X248" i="21"/>
  <c r="X239" i="21"/>
  <c r="X236" i="21"/>
  <c r="X274" i="21"/>
  <c r="Y80" i="21"/>
  <c r="Y81" i="21" s="1"/>
  <c r="Y82" i="21" s="1"/>
  <c r="Y83" i="21" s="1"/>
  <c r="X327" i="21"/>
  <c r="B109" i="20"/>
  <c r="B199" i="20"/>
  <c r="D199" i="20" s="1"/>
  <c r="Y8" i="21"/>
  <c r="Y9" i="21" s="1"/>
  <c r="Y10" i="21" s="1"/>
  <c r="Y154" i="21"/>
  <c r="X202" i="21"/>
  <c r="X198" i="21"/>
  <c r="X195" i="21"/>
  <c r="X213" i="21"/>
  <c r="X212" i="21"/>
  <c r="X217" i="21"/>
  <c r="X209" i="21"/>
  <c r="X201" i="21"/>
  <c r="X216" i="21"/>
  <c r="X220" i="21"/>
  <c r="X205" i="21"/>
  <c r="X191" i="21"/>
  <c r="X197" i="21"/>
  <c r="X194" i="21"/>
  <c r="X203" i="21"/>
  <c r="X258" i="21"/>
  <c r="X283" i="21"/>
  <c r="X324" i="21"/>
  <c r="Y414" i="21"/>
  <c r="Y415" i="21" s="1"/>
  <c r="Y416" i="21" s="1"/>
  <c r="Y417" i="21" s="1"/>
  <c r="Y418" i="21" s="1"/>
  <c r="Y419" i="21" s="1"/>
  <c r="Y7" i="21"/>
  <c r="Y11" i="21"/>
  <c r="Y12" i="21" s="1"/>
  <c r="Y13" i="21" s="1"/>
  <c r="Y14" i="21" s="1"/>
  <c r="C109" i="20"/>
  <c r="X290" i="21"/>
  <c r="X293" i="21"/>
  <c r="X306" i="21"/>
  <c r="Y228" i="21"/>
  <c r="Y6" i="21"/>
  <c r="X330" i="21"/>
  <c r="X326" i="21"/>
  <c r="X304" i="21"/>
  <c r="X322" i="21"/>
  <c r="X325" i="21"/>
  <c r="X303" i="21"/>
  <c r="X309" i="21"/>
  <c r="X315" i="21"/>
  <c r="X332" i="21"/>
  <c r="X328" i="21"/>
  <c r="X321" i="21"/>
  <c r="X329" i="21"/>
  <c r="X318" i="21"/>
  <c r="X307" i="21"/>
  <c r="X312" i="21"/>
  <c r="X208" i="21"/>
  <c r="X230" i="21"/>
  <c r="X244" i="21"/>
  <c r="X249" i="21"/>
  <c r="X256" i="21"/>
  <c r="X268" i="21"/>
  <c r="X271" i="21"/>
  <c r="X280" i="21"/>
  <c r="X302" i="21"/>
  <c r="X344" i="21"/>
  <c r="X354" i="21"/>
  <c r="X357" i="21"/>
  <c r="X367" i="21"/>
  <c r="B127" i="20"/>
  <c r="X166" i="21"/>
  <c r="X171" i="21"/>
  <c r="X348" i="21"/>
  <c r="X351" i="21"/>
  <c r="X364" i="21"/>
  <c r="X341" i="21"/>
  <c r="Y341" i="21" s="1"/>
  <c r="C127" i="20"/>
  <c r="D127" i="20" s="1"/>
  <c r="X43" i="21"/>
  <c r="X48" i="21"/>
  <c r="X59" i="21"/>
  <c r="X62" i="21"/>
  <c r="X164" i="21"/>
  <c r="X182" i="21"/>
  <c r="X361" i="21"/>
  <c r="X347" i="21"/>
  <c r="B55" i="20"/>
  <c r="D55" i="20" s="1"/>
  <c r="C91" i="20"/>
  <c r="D91" i="20" s="1"/>
  <c r="C163" i="20"/>
  <c r="D163" i="20" s="1"/>
  <c r="B217" i="20"/>
  <c r="D217" i="20" s="1"/>
  <c r="X15" i="21"/>
  <c r="X24" i="21"/>
  <c r="X51" i="21"/>
  <c r="X54" i="21"/>
  <c r="X65" i="21"/>
  <c r="X73" i="21"/>
  <c r="X84" i="21"/>
  <c r="X86" i="21"/>
  <c r="X93" i="21"/>
  <c r="X156" i="21"/>
  <c r="X185" i="21" s="1"/>
  <c r="X174" i="21"/>
  <c r="X342" i="21"/>
  <c r="X345" i="21"/>
  <c r="X355" i="21"/>
  <c r="X358" i="21"/>
  <c r="X435" i="21"/>
  <c r="X45" i="21"/>
  <c r="X53" i="21"/>
  <c r="X56" i="21"/>
  <c r="X64" i="21"/>
  <c r="X70" i="21"/>
  <c r="X50" i="21"/>
  <c r="X21" i="21"/>
  <c r="X31" i="21"/>
  <c r="X98" i="21"/>
  <c r="X133" i="21"/>
  <c r="X138" i="21"/>
  <c r="X169" i="21"/>
  <c r="X420" i="21"/>
  <c r="N19" i="21"/>
  <c r="N49" i="21"/>
  <c r="N57" i="21"/>
  <c r="N59" i="21"/>
  <c r="N64" i="21"/>
  <c r="N234" i="21"/>
  <c r="N434" i="21"/>
  <c r="N236" i="21"/>
  <c r="N440" i="21"/>
  <c r="N247" i="21"/>
  <c r="N9" i="21"/>
  <c r="N28" i="21"/>
  <c r="N31" i="21"/>
  <c r="N65" i="21"/>
  <c r="N90" i="21"/>
  <c r="N99" i="21"/>
  <c r="N106" i="21"/>
  <c r="N108" i="21"/>
  <c r="N243" i="21"/>
  <c r="N245" i="21"/>
  <c r="N415" i="21"/>
  <c r="N128" i="21"/>
  <c r="N256" i="21"/>
  <c r="N385" i="21"/>
  <c r="N402" i="21"/>
  <c r="N13" i="21"/>
  <c r="N35" i="21"/>
  <c r="N24" i="21"/>
  <c r="N414" i="21"/>
  <c r="O414" i="21" s="1"/>
  <c r="O415" i="21" s="1"/>
  <c r="N420" i="21"/>
  <c r="N6" i="21"/>
  <c r="O6" i="21" s="1"/>
  <c r="N14" i="21"/>
  <c r="N25" i="21"/>
  <c r="N12" i="21"/>
  <c r="N20" i="21"/>
  <c r="N34" i="21"/>
  <c r="N43" i="21"/>
  <c r="O43" i="21" s="1"/>
  <c r="O44" i="21" s="1"/>
  <c r="N48" i="21"/>
  <c r="N50" i="21"/>
  <c r="N58" i="21"/>
  <c r="N60" i="21"/>
  <c r="N73" i="21"/>
  <c r="N97" i="21"/>
  <c r="N104" i="21"/>
  <c r="N121" i="21"/>
  <c r="N207" i="21"/>
  <c r="N233" i="21"/>
  <c r="N383" i="21"/>
  <c r="N413" i="21"/>
  <c r="N433" i="21"/>
  <c r="N22" i="21"/>
  <c r="N55" i="21"/>
  <c r="N258" i="21"/>
  <c r="N120" i="21"/>
  <c r="N122" i="21"/>
  <c r="N127" i="21"/>
  <c r="N17" i="21"/>
  <c r="N36" i="21"/>
  <c r="N118" i="21"/>
  <c r="N132" i="21"/>
  <c r="N229" i="21"/>
  <c r="O229" i="21" s="1"/>
  <c r="N231" i="21"/>
  <c r="N18" i="21"/>
  <c r="N23" i="21"/>
  <c r="N63" i="21"/>
  <c r="N84" i="21"/>
  <c r="N95" i="21"/>
  <c r="N119" i="21"/>
  <c r="N400" i="21"/>
  <c r="N10" i="21"/>
  <c r="N235" i="21"/>
  <c r="N237" i="21"/>
  <c r="N340" i="21"/>
  <c r="O340" i="21" s="1"/>
  <c r="N441" i="21"/>
  <c r="N7" i="21"/>
  <c r="N16" i="21"/>
  <c r="N11" i="21"/>
  <c r="N30" i="21"/>
  <c r="N134" i="21"/>
  <c r="N130" i="21"/>
  <c r="N146" i="21"/>
  <c r="N26" i="21"/>
  <c r="N56" i="21"/>
  <c r="N68" i="21"/>
  <c r="N117" i="21"/>
  <c r="O117" i="21" s="1"/>
  <c r="N181" i="21"/>
  <c r="N29" i="21"/>
  <c r="N66" i="21"/>
  <c r="N208" i="21"/>
  <c r="N228" i="21"/>
  <c r="O228" i="21" s="1"/>
  <c r="N230" i="21"/>
  <c r="N280" i="21"/>
  <c r="N377" i="21"/>
  <c r="O377" i="21" s="1"/>
  <c r="O378" i="21" s="1"/>
  <c r="O379" i="21" s="1"/>
  <c r="O380" i="21" s="1"/>
  <c r="N381" i="21"/>
  <c r="N398" i="21"/>
  <c r="N405" i="21"/>
  <c r="N421" i="21"/>
  <c r="B71" i="20"/>
  <c r="C71" i="20"/>
  <c r="T438" i="21"/>
  <c r="T413" i="21"/>
  <c r="T428" i="21"/>
  <c r="T426" i="21"/>
  <c r="T422" i="21"/>
  <c r="T441" i="21"/>
  <c r="T435" i="21"/>
  <c r="T414" i="21"/>
  <c r="T443" i="21"/>
  <c r="T420" i="21"/>
  <c r="T418" i="21"/>
  <c r="T416" i="21"/>
  <c r="T437" i="21"/>
  <c r="T424" i="21"/>
  <c r="T419" i="21"/>
  <c r="T442" i="21"/>
  <c r="T439" i="21"/>
  <c r="T434" i="21"/>
  <c r="T440" i="21"/>
  <c r="T430" i="21"/>
  <c r="T436" i="21"/>
  <c r="T432" i="21"/>
  <c r="T415" i="21"/>
  <c r="T417" i="21"/>
  <c r="T421" i="21"/>
  <c r="T431" i="21"/>
  <c r="T433" i="21"/>
  <c r="T207" i="21"/>
  <c r="T202" i="21"/>
  <c r="T217" i="21"/>
  <c r="T209" i="21"/>
  <c r="T199" i="21"/>
  <c r="T192" i="21"/>
  <c r="T219" i="21"/>
  <c r="T221" i="21"/>
  <c r="T206" i="21"/>
  <c r="T201" i="21"/>
  <c r="T203" i="21"/>
  <c r="T195" i="21"/>
  <c r="T205" i="21"/>
  <c r="T196" i="21"/>
  <c r="T220" i="21"/>
  <c r="T197" i="21"/>
  <c r="T211" i="21"/>
  <c r="T200" i="21"/>
  <c r="T216" i="21"/>
  <c r="T210" i="21"/>
  <c r="T214" i="21"/>
  <c r="T194" i="21"/>
  <c r="T208" i="21"/>
  <c r="T213" i="21"/>
  <c r="T191" i="21"/>
  <c r="T68" i="21"/>
  <c r="T53" i="21"/>
  <c r="T57" i="21"/>
  <c r="T49" i="21"/>
  <c r="T55" i="21"/>
  <c r="T51" i="21"/>
  <c r="T70" i="21"/>
  <c r="T43" i="21"/>
  <c r="T58" i="21"/>
  <c r="T45" i="21"/>
  <c r="T62" i="21"/>
  <c r="T59" i="21"/>
  <c r="T50" i="21"/>
  <c r="T44" i="21"/>
  <c r="T71" i="21"/>
  <c r="T52" i="21"/>
  <c r="T64" i="21"/>
  <c r="T56" i="21"/>
  <c r="T73" i="21"/>
  <c r="T65" i="21"/>
  <c r="T63" i="21"/>
  <c r="T61" i="21"/>
  <c r="T48" i="21"/>
  <c r="T54" i="21"/>
  <c r="T47" i="21"/>
  <c r="T46" i="21"/>
  <c r="T69" i="21"/>
  <c r="T67" i="21"/>
  <c r="T60" i="21"/>
  <c r="T66" i="21"/>
  <c r="T204" i="21"/>
  <c r="C143" i="20"/>
  <c r="C215" i="20"/>
  <c r="T218" i="21"/>
  <c r="B143" i="20"/>
  <c r="B215" i="20"/>
  <c r="D215" i="20" s="1"/>
  <c r="T427" i="21"/>
  <c r="T429" i="21"/>
  <c r="T193" i="21"/>
  <c r="T72" i="21"/>
  <c r="T215" i="21"/>
  <c r="C179" i="20"/>
  <c r="D179" i="20" s="1"/>
  <c r="T212" i="21"/>
  <c r="T425" i="21"/>
  <c r="U229" i="21"/>
  <c r="U230" i="21" s="1"/>
  <c r="U231" i="21" s="1"/>
  <c r="U339" i="21"/>
  <c r="U340" i="21" s="1"/>
  <c r="U341" i="21" s="1"/>
  <c r="U342" i="21" s="1"/>
  <c r="U343" i="21" s="1"/>
  <c r="B89" i="20"/>
  <c r="D89" i="20" s="1"/>
  <c r="T176" i="21"/>
  <c r="T172" i="21"/>
  <c r="B35" i="20"/>
  <c r="C197" i="20"/>
  <c r="D197" i="20" s="1"/>
  <c r="B197" i="20"/>
  <c r="T145" i="21"/>
  <c r="T131" i="21"/>
  <c r="T133" i="21"/>
  <c r="T120" i="21"/>
  <c r="T141" i="21"/>
  <c r="T118" i="21"/>
  <c r="T129" i="21"/>
  <c r="T127" i="21"/>
  <c r="T125" i="21"/>
  <c r="T123" i="21"/>
  <c r="T146" i="21"/>
  <c r="T121" i="21"/>
  <c r="T135" i="21"/>
  <c r="T266" i="21"/>
  <c r="T285" i="21"/>
  <c r="C125" i="20"/>
  <c r="D125" i="20" s="1"/>
  <c r="C35" i="20"/>
  <c r="C161" i="20"/>
  <c r="D161" i="20" s="1"/>
  <c r="T80" i="21"/>
  <c r="T97" i="21"/>
  <c r="T105" i="21"/>
  <c r="T103" i="21"/>
  <c r="T99" i="21"/>
  <c r="T84" i="21"/>
  <c r="T87" i="21"/>
  <c r="T110" i="21"/>
  <c r="T106" i="21"/>
  <c r="T85" i="21"/>
  <c r="C53" i="20"/>
  <c r="D53" i="20" s="1"/>
  <c r="T178" i="21"/>
  <c r="T161" i="21"/>
  <c r="T163" i="21"/>
  <c r="T181" i="21"/>
  <c r="T179" i="21"/>
  <c r="T177" i="21"/>
  <c r="T156" i="21"/>
  <c r="T154" i="21"/>
  <c r="T183" i="21"/>
  <c r="T160" i="21"/>
  <c r="T158" i="21"/>
  <c r="T170" i="21"/>
  <c r="T174" i="21"/>
  <c r="D19" i="19"/>
  <c r="C19" i="19"/>
  <c r="N19" i="19"/>
  <c r="M19" i="19"/>
  <c r="T184" i="21"/>
  <c r="T289" i="21"/>
  <c r="T280" i="21"/>
  <c r="T274" i="21"/>
  <c r="T265" i="21"/>
  <c r="T282" i="21"/>
  <c r="T276" i="21"/>
  <c r="T267" i="21"/>
  <c r="T295" i="21"/>
  <c r="T284" i="21"/>
  <c r="T273" i="21"/>
  <c r="T283" i="21"/>
  <c r="T387" i="21"/>
  <c r="T376" i="21"/>
  <c r="T405" i="21"/>
  <c r="T399" i="21"/>
  <c r="T385" i="21"/>
  <c r="T403" i="21"/>
  <c r="T401" i="21"/>
  <c r="T391" i="21"/>
  <c r="T389" i="21"/>
  <c r="T383" i="21"/>
  <c r="T381" i="21"/>
  <c r="T377" i="21"/>
  <c r="B17" i="20"/>
  <c r="D17" i="20" s="1"/>
  <c r="T7" i="21"/>
  <c r="T14" i="21"/>
  <c r="T23" i="21"/>
  <c r="T30" i="21"/>
  <c r="T232" i="21"/>
  <c r="T235" i="21"/>
  <c r="T365" i="21"/>
  <c r="T246" i="21"/>
  <c r="T248" i="21"/>
  <c r="T250" i="21"/>
  <c r="T252" i="21"/>
  <c r="T303" i="21"/>
  <c r="T320" i="21"/>
  <c r="T323" i="21"/>
  <c r="T347" i="21"/>
  <c r="T355" i="21"/>
  <c r="T360" i="21"/>
  <c r="T311" i="21"/>
  <c r="T348" i="21"/>
  <c r="T353" i="21"/>
  <c r="T363" i="21"/>
  <c r="T8" i="21"/>
  <c r="T321" i="21"/>
  <c r="T366" i="21"/>
  <c r="W414" i="21"/>
  <c r="V266" i="21"/>
  <c r="V274" i="21"/>
  <c r="V283" i="21"/>
  <c r="E20" i="19"/>
  <c r="D20" i="19"/>
  <c r="N20" i="19"/>
  <c r="J20" i="19"/>
  <c r="I20" i="19"/>
  <c r="H20" i="19"/>
  <c r="G20" i="19"/>
  <c r="C20" i="19"/>
  <c r="L20" i="19"/>
  <c r="B198" i="20"/>
  <c r="V176" i="21"/>
  <c r="V271" i="21"/>
  <c r="V273" i="21"/>
  <c r="V275" i="21"/>
  <c r="V277" i="21"/>
  <c r="V280" i="21"/>
  <c r="V319" i="21"/>
  <c r="B126" i="20"/>
  <c r="D126" i="20" s="1"/>
  <c r="V180" i="21"/>
  <c r="C126" i="20"/>
  <c r="V154" i="21"/>
  <c r="V169" i="21"/>
  <c r="V288" i="21"/>
  <c r="V286" i="21"/>
  <c r="V293" i="21"/>
  <c r="V276" i="21"/>
  <c r="V291" i="21"/>
  <c r="V282" i="21"/>
  <c r="V270" i="21"/>
  <c r="V289" i="21"/>
  <c r="V272" i="21"/>
  <c r="V265" i="21"/>
  <c r="V294" i="21"/>
  <c r="V269" i="21"/>
  <c r="V287" i="21"/>
  <c r="V285" i="21"/>
  <c r="V267" i="21"/>
  <c r="V155" i="21"/>
  <c r="V330" i="21"/>
  <c r="V331" i="21"/>
  <c r="V329" i="21"/>
  <c r="V311" i="21"/>
  <c r="V307" i="21"/>
  <c r="V320" i="21"/>
  <c r="V318" i="21"/>
  <c r="V314" i="21"/>
  <c r="V316" i="21"/>
  <c r="V322" i="21"/>
  <c r="V312" i="21"/>
  <c r="V302" i="21"/>
  <c r="V328" i="21"/>
  <c r="V326" i="21"/>
  <c r="V304" i="21"/>
  <c r="V308" i="21"/>
  <c r="B90" i="20"/>
  <c r="D90" i="20" s="1"/>
  <c r="C90" i="20"/>
  <c r="W191" i="21"/>
  <c r="V292" i="21"/>
  <c r="D198" i="20"/>
  <c r="V159" i="21"/>
  <c r="V174" i="21"/>
  <c r="V290" i="21"/>
  <c r="V310" i="21"/>
  <c r="V384" i="21"/>
  <c r="V392" i="21"/>
  <c r="V376" i="21"/>
  <c r="V382" i="21"/>
  <c r="V400" i="21"/>
  <c r="V403" i="21"/>
  <c r="V393" i="21"/>
  <c r="V396" i="21"/>
  <c r="V391" i="21"/>
  <c r="V401" i="21"/>
  <c r="V389" i="21"/>
  <c r="V377" i="21"/>
  <c r="V406" i="21"/>
  <c r="V399" i="21"/>
  <c r="V404" i="21"/>
  <c r="V387" i="21"/>
  <c r="V380" i="21"/>
  <c r="C108" i="20"/>
  <c r="D108" i="20" s="1"/>
  <c r="V23" i="21"/>
  <c r="V29" i="21"/>
  <c r="B108" i="20"/>
  <c r="V158" i="21"/>
  <c r="V171" i="21"/>
  <c r="V397" i="21"/>
  <c r="V15" i="21"/>
  <c r="V59" i="21"/>
  <c r="V53" i="21"/>
  <c r="V43" i="21"/>
  <c r="V72" i="21"/>
  <c r="V65" i="21"/>
  <c r="V60" i="21"/>
  <c r="V57" i="21"/>
  <c r="V54" i="21"/>
  <c r="V70" i="21"/>
  <c r="V68" i="21"/>
  <c r="V44" i="21"/>
  <c r="V73" i="21"/>
  <c r="V66" i="21"/>
  <c r="V61" i="21"/>
  <c r="V56" i="21"/>
  <c r="V47" i="21"/>
  <c r="V64" i="21"/>
  <c r="V71" i="21"/>
  <c r="V55" i="21"/>
  <c r="W192" i="21"/>
  <c r="V279" i="21"/>
  <c r="V309" i="21"/>
  <c r="V313" i="21"/>
  <c r="V315" i="21"/>
  <c r="V327" i="21"/>
  <c r="V361" i="21"/>
  <c r="V30" i="21"/>
  <c r="V21" i="21"/>
  <c r="V14" i="21"/>
  <c r="V28" i="21"/>
  <c r="V12" i="21"/>
  <c r="V8" i="21"/>
  <c r="V33" i="21"/>
  <c r="V31" i="21"/>
  <c r="V17" i="21"/>
  <c r="V22" i="21"/>
  <c r="V6" i="21"/>
  <c r="V36" i="21"/>
  <c r="V26" i="21"/>
  <c r="V32" i="21"/>
  <c r="V24" i="21"/>
  <c r="V20" i="21"/>
  <c r="V34" i="21"/>
  <c r="V16" i="21"/>
  <c r="V18" i="21"/>
  <c r="V10" i="21"/>
  <c r="V7" i="21"/>
  <c r="V166" i="21"/>
  <c r="V156" i="21"/>
  <c r="V184" i="21"/>
  <c r="V161" i="21"/>
  <c r="V172" i="21"/>
  <c r="V164" i="21"/>
  <c r="V157" i="21"/>
  <c r="V175" i="21"/>
  <c r="V167" i="21"/>
  <c r="V177" i="21"/>
  <c r="V162" i="21"/>
  <c r="V179" i="21"/>
  <c r="V165" i="21"/>
  <c r="V163" i="21"/>
  <c r="V182" i="21"/>
  <c r="V170" i="21"/>
  <c r="V268" i="21"/>
  <c r="V278" i="21"/>
  <c r="F20" i="19"/>
  <c r="C162" i="20"/>
  <c r="D162" i="20" s="1"/>
  <c r="K20" i="19"/>
  <c r="V35" i="21"/>
  <c r="V306" i="21"/>
  <c r="M20" i="19"/>
  <c r="V25" i="21"/>
  <c r="V27" i="21"/>
  <c r="V332" i="21"/>
  <c r="V395" i="21"/>
  <c r="V305" i="21"/>
  <c r="V343" i="21"/>
  <c r="V359" i="21"/>
  <c r="V355" i="21"/>
  <c r="V353" i="21"/>
  <c r="V351" i="21"/>
  <c r="V362" i="21"/>
  <c r="V354" i="21"/>
  <c r="V352" i="21"/>
  <c r="V341" i="21"/>
  <c r="V368" i="21"/>
  <c r="V339" i="21"/>
  <c r="V364" i="21"/>
  <c r="V360" i="21"/>
  <c r="V358" i="21"/>
  <c r="V356" i="21"/>
  <c r="V366" i="21"/>
  <c r="V347" i="21"/>
  <c r="V345" i="21"/>
  <c r="V340" i="21"/>
  <c r="V386" i="21"/>
  <c r="V281" i="21"/>
  <c r="V295" i="21"/>
  <c r="V181" i="21"/>
  <c r="V183" i="21"/>
  <c r="V321" i="21"/>
  <c r="V178" i="21"/>
  <c r="V324" i="21"/>
  <c r="V9" i="21"/>
  <c r="V11" i="21"/>
  <c r="W81" i="21"/>
  <c r="W82" i="21" s="1"/>
  <c r="W83" i="21" s="1"/>
  <c r="W84" i="21" s="1"/>
  <c r="W85" i="21" s="1"/>
  <c r="W86" i="21" s="1"/>
  <c r="V160" i="21"/>
  <c r="V168" i="21"/>
  <c r="V325" i="21"/>
  <c r="V388" i="21"/>
  <c r="V394" i="21"/>
  <c r="B180" i="20"/>
  <c r="D180" i="20" s="1"/>
  <c r="V194" i="21"/>
  <c r="V415" i="21"/>
  <c r="V208" i="21"/>
  <c r="V206" i="21"/>
  <c r="V222" i="21" s="1"/>
  <c r="V204" i="21"/>
  <c r="V213" i="21"/>
  <c r="V211" i="21"/>
  <c r="V199" i="21"/>
  <c r="V215" i="21"/>
  <c r="V201" i="21"/>
  <c r="V221" i="21"/>
  <c r="V209" i="21"/>
  <c r="V195" i="21"/>
  <c r="V193" i="21"/>
  <c r="V217" i="21"/>
  <c r="V212" i="21"/>
  <c r="V219" i="21"/>
  <c r="V426" i="21"/>
  <c r="V416" i="21"/>
  <c r="V442" i="21"/>
  <c r="V437" i="21"/>
  <c r="V429" i="21"/>
  <c r="V424" i="21"/>
  <c r="V443" i="21"/>
  <c r="V430" i="21"/>
  <c r="V427" i="21"/>
  <c r="V422" i="21"/>
  <c r="V417" i="21"/>
  <c r="V433" i="21"/>
  <c r="W118" i="21"/>
  <c r="W119" i="21" s="1"/>
  <c r="W120" i="21" s="1"/>
  <c r="W121" i="21" s="1"/>
  <c r="W122" i="21" s="1"/>
  <c r="W123" i="21" s="1"/>
  <c r="W124" i="21" s="1"/>
  <c r="W125" i="21" s="1"/>
  <c r="W126" i="21" s="1"/>
  <c r="W127" i="21" s="1"/>
  <c r="W128" i="21" s="1"/>
  <c r="W129" i="21" s="1"/>
  <c r="W130" i="21" s="1"/>
  <c r="V233" i="21"/>
  <c r="V244" i="21"/>
  <c r="V230" i="21"/>
  <c r="V242" i="21"/>
  <c r="V250" i="21"/>
  <c r="V245" i="21"/>
  <c r="V248" i="21"/>
  <c r="D216" i="20"/>
  <c r="C216" i="20"/>
  <c r="V210" i="21"/>
  <c r="V419" i="21"/>
  <c r="V440" i="21"/>
  <c r="V97" i="21"/>
  <c r="V107" i="21"/>
  <c r="V136" i="21"/>
  <c r="V87" i="21"/>
  <c r="V104" i="21"/>
  <c r="V131" i="21"/>
  <c r="V89" i="21"/>
  <c r="V109" i="21"/>
  <c r="E14" i="19"/>
  <c r="F14" i="19"/>
  <c r="H14" i="19"/>
  <c r="J14" i="19"/>
  <c r="K14" i="19"/>
  <c r="F13" i="19"/>
  <c r="R330" i="21"/>
  <c r="R328" i="21"/>
  <c r="R315" i="21"/>
  <c r="R312" i="21"/>
  <c r="R323" i="21"/>
  <c r="R309" i="21"/>
  <c r="R318" i="21"/>
  <c r="R306" i="21"/>
  <c r="R326" i="21"/>
  <c r="R321" i="21"/>
  <c r="R332" i="21"/>
  <c r="R316" i="21"/>
  <c r="R308" i="21"/>
  <c r="R311" i="21"/>
  <c r="R322" i="21"/>
  <c r="R317" i="21"/>
  <c r="R314" i="21"/>
  <c r="R319" i="21"/>
  <c r="R304" i="21"/>
  <c r="R325" i="21"/>
  <c r="R394" i="21"/>
  <c r="R401" i="21"/>
  <c r="R196" i="21"/>
  <c r="R307" i="21"/>
  <c r="R368" i="21"/>
  <c r="R140" i="21"/>
  <c r="R120" i="21"/>
  <c r="R143" i="21"/>
  <c r="R137" i="21"/>
  <c r="R134" i="21"/>
  <c r="R130" i="21"/>
  <c r="R147" i="21"/>
  <c r="R124" i="21"/>
  <c r="R131" i="21"/>
  <c r="R127" i="21"/>
  <c r="R121" i="21"/>
  <c r="R117" i="21"/>
  <c r="R123" i="21"/>
  <c r="R118" i="21"/>
  <c r="R141" i="21"/>
  <c r="R133" i="21"/>
  <c r="R146" i="21"/>
  <c r="R132" i="21"/>
  <c r="R129" i="21"/>
  <c r="R126" i="21"/>
  <c r="R138" i="21"/>
  <c r="R135" i="21"/>
  <c r="R202" i="21"/>
  <c r="R331" i="21"/>
  <c r="R391" i="21"/>
  <c r="R195" i="21"/>
  <c r="R352" i="21"/>
  <c r="C52" i="20"/>
  <c r="D52" i="20" s="1"/>
  <c r="R404" i="21"/>
  <c r="R396" i="21"/>
  <c r="R392" i="21"/>
  <c r="R381" i="21"/>
  <c r="R376" i="21"/>
  <c r="R400" i="21"/>
  <c r="R385" i="21"/>
  <c r="R377" i="21"/>
  <c r="R389" i="21"/>
  <c r="R405" i="21"/>
  <c r="R378" i="21"/>
  <c r="R402" i="21"/>
  <c r="R399" i="21"/>
  <c r="R386" i="21"/>
  <c r="R383" i="21"/>
  <c r="R380" i="21"/>
  <c r="R406" i="21"/>
  <c r="R403" i="21"/>
  <c r="R393" i="21"/>
  <c r="R390" i="21"/>
  <c r="R387" i="21"/>
  <c r="R384" i="21"/>
  <c r="B34" i="20"/>
  <c r="C34" i="20"/>
  <c r="R198" i="21"/>
  <c r="R200" i="21"/>
  <c r="R305" i="21"/>
  <c r="R327" i="21"/>
  <c r="R329" i="21"/>
  <c r="R357" i="21"/>
  <c r="C196" i="20"/>
  <c r="D196" i="20"/>
  <c r="R215" i="21"/>
  <c r="S228" i="21"/>
  <c r="S229" i="21" s="1"/>
  <c r="S230" i="21" s="1"/>
  <c r="R388" i="21"/>
  <c r="R209" i="21"/>
  <c r="R206" i="21"/>
  <c r="R193" i="21"/>
  <c r="R217" i="21"/>
  <c r="R212" i="21"/>
  <c r="R201" i="21"/>
  <c r="R204" i="21"/>
  <c r="R220" i="21"/>
  <c r="R199" i="21"/>
  <c r="R210" i="21"/>
  <c r="R213" i="21"/>
  <c r="R208" i="21"/>
  <c r="R211" i="21"/>
  <c r="R191" i="21"/>
  <c r="R221" i="21"/>
  <c r="R192" i="21"/>
  <c r="R218" i="21"/>
  <c r="R197" i="21"/>
  <c r="R194" i="21"/>
  <c r="R216" i="21"/>
  <c r="R203" i="21"/>
  <c r="R214" i="21"/>
  <c r="R205" i="21"/>
  <c r="R395" i="21"/>
  <c r="B70" i="20"/>
  <c r="B88" i="20"/>
  <c r="R320" i="21"/>
  <c r="C70" i="20"/>
  <c r="C88" i="20"/>
  <c r="R379" i="21"/>
  <c r="R207" i="21"/>
  <c r="R350" i="21"/>
  <c r="R369" i="21"/>
  <c r="R366" i="21"/>
  <c r="R358" i="21"/>
  <c r="R345" i="21"/>
  <c r="R356" i="21"/>
  <c r="R361" i="21"/>
  <c r="R340" i="21"/>
  <c r="R353" i="21"/>
  <c r="R343" i="21"/>
  <c r="R364" i="21"/>
  <c r="R348" i="21"/>
  <c r="R367" i="21"/>
  <c r="R341" i="21"/>
  <c r="R355" i="21"/>
  <c r="R360" i="21"/>
  <c r="R346" i="21"/>
  <c r="R351" i="21"/>
  <c r="R342" i="21"/>
  <c r="R344" i="21"/>
  <c r="R339" i="21"/>
  <c r="R365" i="21"/>
  <c r="R363" i="21"/>
  <c r="R398" i="21"/>
  <c r="R324" i="21"/>
  <c r="R302" i="21"/>
  <c r="R354" i="21"/>
  <c r="R382" i="21"/>
  <c r="R347" i="21"/>
  <c r="R349" i="21"/>
  <c r="R28" i="21"/>
  <c r="R31" i="21"/>
  <c r="R34" i="21"/>
  <c r="R20" i="21"/>
  <c r="R8" i="21"/>
  <c r="R14" i="21"/>
  <c r="R11" i="21"/>
  <c r="R23" i="21"/>
  <c r="R15" i="21"/>
  <c r="R289" i="21"/>
  <c r="B142" i="20"/>
  <c r="C142" i="20"/>
  <c r="R7" i="21"/>
  <c r="R93" i="21"/>
  <c r="R83" i="21"/>
  <c r="R87" i="21"/>
  <c r="R107" i="21"/>
  <c r="R110" i="21"/>
  <c r="R103" i="21"/>
  <c r="R100" i="21"/>
  <c r="R84" i="21"/>
  <c r="R99" i="21"/>
  <c r="R173" i="21"/>
  <c r="R163" i="21"/>
  <c r="R160" i="21"/>
  <c r="R180" i="21"/>
  <c r="R157" i="21"/>
  <c r="R177" i="21"/>
  <c r="R184" i="21"/>
  <c r="R181" i="21"/>
  <c r="R170" i="21"/>
  <c r="R167" i="21"/>
  <c r="R295" i="21"/>
  <c r="R12" i="21"/>
  <c r="R17" i="21"/>
  <c r="R81" i="21"/>
  <c r="R90" i="21"/>
  <c r="R108" i="21"/>
  <c r="R274" i="21"/>
  <c r="R283" i="21"/>
  <c r="R277" i="21"/>
  <c r="R282" i="21"/>
  <c r="R272" i="21"/>
  <c r="R294" i="21"/>
  <c r="R285" i="21"/>
  <c r="R266" i="21"/>
  <c r="R269" i="21"/>
  <c r="R281" i="21"/>
  <c r="R292" i="21"/>
  <c r="R33" i="21"/>
  <c r="R36" i="21"/>
  <c r="R9" i="21"/>
  <c r="R25" i="21"/>
  <c r="R101" i="21"/>
  <c r="R104" i="21"/>
  <c r="R155" i="21"/>
  <c r="R158" i="21"/>
  <c r="R161" i="21"/>
  <c r="R164" i="21"/>
  <c r="R176" i="21"/>
  <c r="R179" i="21"/>
  <c r="R182" i="21"/>
  <c r="R280" i="21"/>
  <c r="C16" i="20"/>
  <c r="D16" i="20" s="1"/>
  <c r="R30" i="21"/>
  <c r="R95" i="21"/>
  <c r="R98" i="21"/>
  <c r="R291" i="21"/>
  <c r="K17" i="19"/>
  <c r="J17" i="19"/>
  <c r="G17" i="19"/>
  <c r="I17" i="19"/>
  <c r="H17" i="19"/>
  <c r="R35" i="21"/>
  <c r="R56" i="21"/>
  <c r="R70" i="21"/>
  <c r="R47" i="21"/>
  <c r="R53" i="21"/>
  <c r="R67" i="21"/>
  <c r="R64" i="21"/>
  <c r="R57" i="21"/>
  <c r="R44" i="21"/>
  <c r="R68" i="21"/>
  <c r="R178" i="21"/>
  <c r="R271" i="21"/>
  <c r="R288" i="21"/>
  <c r="R428" i="21"/>
  <c r="B178" i="20"/>
  <c r="R424" i="21"/>
  <c r="R438" i="21"/>
  <c r="C178" i="20"/>
  <c r="R235" i="21"/>
  <c r="R241" i="21"/>
  <c r="R245" i="21"/>
  <c r="R255" i="21"/>
  <c r="R418" i="21"/>
  <c r="R431" i="21"/>
  <c r="R435" i="21"/>
  <c r="R441" i="21"/>
  <c r="R415" i="21"/>
  <c r="R421" i="21"/>
  <c r="R238" i="21"/>
  <c r="R248" i="21"/>
  <c r="R414" i="21"/>
  <c r="S414" i="21" s="1"/>
  <c r="L24" i="19"/>
  <c r="C24" i="19"/>
  <c r="D24" i="19"/>
  <c r="J23" i="19"/>
  <c r="N23" i="19"/>
  <c r="N13" i="19"/>
  <c r="C13" i="19"/>
  <c r="D13" i="19"/>
  <c r="G12" i="19"/>
  <c r="H12" i="19"/>
  <c r="I12" i="19"/>
  <c r="J12" i="19"/>
  <c r="K12" i="19"/>
  <c r="M12" i="19"/>
  <c r="F12" i="19"/>
  <c r="D12" i="19"/>
  <c r="E12" i="19"/>
  <c r="L12" i="19"/>
  <c r="N12" i="19"/>
  <c r="D159" i="20"/>
  <c r="B33" i="20"/>
  <c r="C33" i="20"/>
  <c r="B195" i="20"/>
  <c r="D195" i="20" s="1"/>
  <c r="B177" i="20"/>
  <c r="D177" i="20" s="1"/>
  <c r="C195" i="20"/>
  <c r="Q339" i="21"/>
  <c r="B15" i="20"/>
  <c r="D15" i="20" s="1"/>
  <c r="C15" i="20"/>
  <c r="P26" i="21"/>
  <c r="P22" i="21"/>
  <c r="P34" i="21"/>
  <c r="P25" i="21"/>
  <c r="P29" i="21"/>
  <c r="P21" i="21"/>
  <c r="P13" i="21"/>
  <c r="P9" i="21"/>
  <c r="P33" i="21"/>
  <c r="P17" i="21"/>
  <c r="P18" i="21"/>
  <c r="P10" i="21"/>
  <c r="P35" i="21"/>
  <c r="P24" i="21"/>
  <c r="P30" i="21"/>
  <c r="Q80" i="21"/>
  <c r="P257" i="21"/>
  <c r="P251" i="21"/>
  <c r="P240" i="21"/>
  <c r="P235" i="21"/>
  <c r="P258" i="21"/>
  <c r="P236" i="21"/>
  <c r="P228" i="21"/>
  <c r="P241" i="21"/>
  <c r="P237" i="21"/>
  <c r="P252" i="21"/>
  <c r="P247" i="21"/>
  <c r="P253" i="21"/>
  <c r="P248" i="21"/>
  <c r="P242" i="21"/>
  <c r="P229" i="21"/>
  <c r="P243" i="21"/>
  <c r="P238" i="21"/>
  <c r="P230" i="21"/>
  <c r="P254" i="21"/>
  <c r="P249" i="21"/>
  <c r="P244" i="21"/>
  <c r="P231" i="21"/>
  <c r="P239" i="21"/>
  <c r="K16" i="19"/>
  <c r="N16" i="19"/>
  <c r="M16" i="19"/>
  <c r="L16" i="19"/>
  <c r="I16" i="19"/>
  <c r="G16" i="19"/>
  <c r="D16" i="19"/>
  <c r="P14" i="21"/>
  <c r="Q43" i="21"/>
  <c r="P137" i="21"/>
  <c r="P143" i="21"/>
  <c r="P134" i="21"/>
  <c r="P147" i="21"/>
  <c r="P142" i="21"/>
  <c r="P133" i="21"/>
  <c r="P126" i="21"/>
  <c r="P128" i="21"/>
  <c r="P138" i="21"/>
  <c r="P117" i="21"/>
  <c r="P127" i="21"/>
  <c r="P123" i="21"/>
  <c r="P118" i="21"/>
  <c r="P139" i="21"/>
  <c r="P119" i="21"/>
  <c r="P140" i="21"/>
  <c r="P135" i="21"/>
  <c r="P129" i="21"/>
  <c r="P130" i="21"/>
  <c r="P131" i="21"/>
  <c r="P250" i="21"/>
  <c r="Q6" i="21"/>
  <c r="Q7" i="21" s="1"/>
  <c r="Q8" i="21" s="1"/>
  <c r="B159" i="20"/>
  <c r="Q302" i="21"/>
  <c r="H16" i="19"/>
  <c r="P428" i="21"/>
  <c r="P436" i="21"/>
  <c r="P424" i="21"/>
  <c r="P418" i="21"/>
  <c r="P439" i="21"/>
  <c r="P435" i="21"/>
  <c r="P429" i="21"/>
  <c r="P423" i="21"/>
  <c r="P413" i="21"/>
  <c r="P440" i="21"/>
  <c r="P430" i="21"/>
  <c r="P419" i="21"/>
  <c r="P414" i="21"/>
  <c r="P441" i="21"/>
  <c r="P431" i="21"/>
  <c r="P425" i="21"/>
  <c r="P420" i="21"/>
  <c r="P415" i="21"/>
  <c r="P437" i="21"/>
  <c r="P432" i="21"/>
  <c r="P421" i="21"/>
  <c r="P422" i="21"/>
  <c r="P308" i="21"/>
  <c r="P313" i="21"/>
  <c r="P317" i="21"/>
  <c r="P321" i="21"/>
  <c r="P324" i="21"/>
  <c r="P328" i="21"/>
  <c r="P394" i="21"/>
  <c r="P402" i="21"/>
  <c r="P51" i="21"/>
  <c r="P97" i="21"/>
  <c r="P161" i="21"/>
  <c r="P191" i="21"/>
  <c r="P195" i="21"/>
  <c r="P293" i="21"/>
  <c r="P331" i="21"/>
  <c r="P342" i="21"/>
  <c r="P346" i="21"/>
  <c r="P364" i="21"/>
  <c r="P382" i="21"/>
  <c r="P304" i="21"/>
  <c r="P349" i="21"/>
  <c r="P356" i="21"/>
  <c r="P360" i="21"/>
  <c r="P368" i="21"/>
  <c r="P401" i="21"/>
  <c r="P55" i="21"/>
  <c r="P61" i="21"/>
  <c r="P66" i="21"/>
  <c r="P82" i="21"/>
  <c r="P92" i="21"/>
  <c r="P178" i="21"/>
  <c r="P267" i="21"/>
  <c r="P288" i="21"/>
  <c r="P307" i="21"/>
  <c r="P388" i="21"/>
  <c r="P320" i="21"/>
  <c r="P359" i="21"/>
  <c r="P367" i="21"/>
  <c r="P381" i="21"/>
  <c r="P406" i="21"/>
  <c r="B51" i="20"/>
  <c r="P45" i="21"/>
  <c r="P65" i="21"/>
  <c r="P91" i="21"/>
  <c r="P100" i="21"/>
  <c r="P303" i="21"/>
  <c r="Q303" i="21" s="1"/>
  <c r="P311" i="21"/>
  <c r="P323" i="21"/>
  <c r="P341" i="21"/>
  <c r="P348" i="21"/>
  <c r="P355" i="21"/>
  <c r="P363" i="21"/>
  <c r="P387" i="21"/>
  <c r="C51" i="20"/>
  <c r="B69" i="20"/>
  <c r="B105" i="20"/>
  <c r="D105" i="20" s="1"/>
  <c r="P50" i="21"/>
  <c r="P86" i="21"/>
  <c r="P95" i="21"/>
  <c r="P168" i="21"/>
  <c r="P177" i="21"/>
  <c r="P207" i="21"/>
  <c r="P211" i="21"/>
  <c r="P214" i="21"/>
  <c r="P274" i="21"/>
  <c r="P283" i="21"/>
  <c r="P287" i="21"/>
  <c r="P291" i="21"/>
  <c r="P306" i="21"/>
  <c r="P366" i="21"/>
  <c r="P380" i="21"/>
  <c r="P392" i="21"/>
  <c r="P399" i="21"/>
  <c r="C69" i="20"/>
  <c r="C105" i="20"/>
  <c r="P60" i="21"/>
  <c r="P81" i="21"/>
  <c r="P104" i="21"/>
  <c r="P270" i="21"/>
  <c r="P319" i="21"/>
  <c r="P326" i="21"/>
  <c r="P351" i="21"/>
  <c r="P386" i="21"/>
  <c r="P398" i="21"/>
  <c r="B141" i="20"/>
  <c r="D141" i="20" s="1"/>
  <c r="P53" i="21"/>
  <c r="P64" i="21"/>
  <c r="P69" i="21"/>
  <c r="P109" i="21"/>
  <c r="P154" i="21"/>
  <c r="P159" i="21"/>
  <c r="P200" i="21"/>
  <c r="P217" i="21"/>
  <c r="P315" i="21"/>
  <c r="P358" i="21"/>
  <c r="P379" i="21"/>
  <c r="P391" i="21"/>
  <c r="P405" i="21"/>
  <c r="P312" i="21"/>
  <c r="P316" i="21"/>
  <c r="P327" i="21"/>
  <c r="P330" i="21"/>
  <c r="P345" i="21"/>
  <c r="P352" i="21"/>
  <c r="P393" i="21"/>
  <c r="P400" i="21"/>
  <c r="P54" i="21"/>
  <c r="P70" i="21"/>
  <c r="P96" i="21"/>
  <c r="P110" i="21"/>
  <c r="P44" i="21"/>
  <c r="Q44" i="21" s="1"/>
  <c r="P49" i="21"/>
  <c r="P90" i="21"/>
  <c r="P163" i="21"/>
  <c r="P172" i="21"/>
  <c r="P193" i="21"/>
  <c r="P197" i="21"/>
  <c r="P265" i="21"/>
  <c r="P269" i="21"/>
  <c r="P310" i="21"/>
  <c r="P340" i="21"/>
  <c r="P370" i="21" s="1"/>
  <c r="P344" i="21"/>
  <c r="P385" i="21"/>
  <c r="L129" i="21"/>
  <c r="L172" i="21"/>
  <c r="L13" i="21"/>
  <c r="L128" i="21"/>
  <c r="L136" i="21"/>
  <c r="L171" i="21"/>
  <c r="L177" i="21"/>
  <c r="L349" i="21"/>
  <c r="L382" i="21"/>
  <c r="L406" i="21"/>
  <c r="L137" i="21"/>
  <c r="L127" i="21"/>
  <c r="L142" i="21"/>
  <c r="L341" i="21"/>
  <c r="L361" i="21"/>
  <c r="M11" i="19"/>
  <c r="C155" i="20"/>
  <c r="D155" i="20" s="1"/>
  <c r="L122" i="21"/>
  <c r="L161" i="21"/>
  <c r="L184" i="21"/>
  <c r="L268" i="21"/>
  <c r="L283" i="21"/>
  <c r="L293" i="21"/>
  <c r="L318" i="21"/>
  <c r="L405" i="21"/>
  <c r="L173" i="21"/>
  <c r="L277" i="21"/>
  <c r="L288" i="21"/>
  <c r="N11" i="19"/>
  <c r="L12" i="21"/>
  <c r="L61" i="21"/>
  <c r="L121" i="21"/>
  <c r="L135" i="21"/>
  <c r="L147" i="21"/>
  <c r="L176" i="21"/>
  <c r="L235" i="21"/>
  <c r="L241" i="21"/>
  <c r="L253" i="21"/>
  <c r="L340" i="21"/>
  <c r="L348" i="21"/>
  <c r="L381" i="21"/>
  <c r="L430" i="21"/>
  <c r="L362" i="21"/>
  <c r="L383" i="21"/>
  <c r="L396" i="21"/>
  <c r="L33" i="21"/>
  <c r="L120" i="21"/>
  <c r="L126" i="21"/>
  <c r="L141" i="21"/>
  <c r="L183" i="21"/>
  <c r="L208" i="21"/>
  <c r="L219" i="21"/>
  <c r="L234" i="21"/>
  <c r="L276" i="21"/>
  <c r="L287" i="21"/>
  <c r="L292" i="21"/>
  <c r="L308" i="21"/>
  <c r="L339" i="21"/>
  <c r="M339" i="21" s="1"/>
  <c r="L352" i="21"/>
  <c r="L356" i="21"/>
  <c r="L380" i="21"/>
  <c r="L403" i="21"/>
  <c r="L404" i="21"/>
  <c r="L105" i="21"/>
  <c r="L169" i="21"/>
  <c r="L175" i="21"/>
  <c r="L194" i="21"/>
  <c r="L212" i="21"/>
  <c r="L240" i="21"/>
  <c r="L291" i="21"/>
  <c r="L307" i="21"/>
  <c r="L377" i="21"/>
  <c r="L378" i="21"/>
  <c r="L402" i="21"/>
  <c r="L157" i="21"/>
  <c r="C83" i="20"/>
  <c r="D83" i="20" s="1"/>
  <c r="B101" i="20"/>
  <c r="D101" i="20" s="1"/>
  <c r="L49" i="21"/>
  <c r="L119" i="21"/>
  <c r="L125" i="21"/>
  <c r="L140" i="21"/>
  <c r="L145" i="21"/>
  <c r="L182" i="21"/>
  <c r="L231" i="21"/>
  <c r="L275" i="21"/>
  <c r="L321" i="21"/>
  <c r="L351" i="21"/>
  <c r="L355" i="21"/>
  <c r="L359" i="21"/>
  <c r="L387" i="21"/>
  <c r="L401" i="21"/>
  <c r="L428" i="21"/>
  <c r="L178" i="21"/>
  <c r="L179" i="21"/>
  <c r="L267" i="21"/>
  <c r="L282" i="21"/>
  <c r="L36" i="21"/>
  <c r="L43" i="21"/>
  <c r="M43" i="21" s="1"/>
  <c r="L133" i="21"/>
  <c r="L139" i="21"/>
  <c r="L159" i="21"/>
  <c r="L174" i="21"/>
  <c r="L207" i="21"/>
  <c r="L230" i="21"/>
  <c r="L239" i="21"/>
  <c r="L251" i="21"/>
  <c r="L271" i="21"/>
  <c r="L281" i="21"/>
  <c r="L286" i="21"/>
  <c r="L328" i="21"/>
  <c r="L400" i="21"/>
  <c r="L342" i="21"/>
  <c r="L363" i="21"/>
  <c r="L397" i="21"/>
  <c r="L123" i="21"/>
  <c r="L11" i="21"/>
  <c r="L50" i="21"/>
  <c r="L134" i="21"/>
  <c r="L146" i="21"/>
  <c r="L154" i="21"/>
  <c r="M154" i="21" s="1"/>
  <c r="L160" i="21"/>
  <c r="L360" i="21"/>
  <c r="L365" i="21"/>
  <c r="L376" i="21"/>
  <c r="M376" i="21" s="1"/>
  <c r="L379" i="21"/>
  <c r="L117" i="21"/>
  <c r="L118" i="21"/>
  <c r="L158" i="21"/>
  <c r="L180" i="21"/>
  <c r="L181" i="21"/>
  <c r="L218" i="21"/>
  <c r="L257" i="21"/>
  <c r="L258" i="21"/>
  <c r="L280" i="21"/>
  <c r="L306" i="21"/>
  <c r="C15" i="19"/>
  <c r="N319" i="21"/>
  <c r="N308" i="21"/>
  <c r="N307" i="21"/>
  <c r="N311" i="21"/>
  <c r="N332" i="21"/>
  <c r="N326" i="21"/>
  <c r="N320" i="21"/>
  <c r="N309" i="21"/>
  <c r="N310" i="21"/>
  <c r="N328" i="21"/>
  <c r="N312" i="21"/>
  <c r="N327" i="21"/>
  <c r="N321" i="21"/>
  <c r="N302" i="21"/>
  <c r="N323" i="21"/>
  <c r="N329" i="21"/>
  <c r="N306" i="21"/>
  <c r="N330" i="21"/>
  <c r="N314" i="21"/>
  <c r="N305" i="21"/>
  <c r="N325" i="21"/>
  <c r="N313" i="21"/>
  <c r="N324" i="21"/>
  <c r="N184" i="21"/>
  <c r="N183" i="21"/>
  <c r="N165" i="21"/>
  <c r="N154" i="21"/>
  <c r="N169" i="21"/>
  <c r="N168" i="21"/>
  <c r="N155" i="21"/>
  <c r="N166" i="21"/>
  <c r="N167" i="21"/>
  <c r="N162" i="21"/>
  <c r="N173" i="21"/>
  <c r="N170" i="21"/>
  <c r="N175" i="21"/>
  <c r="N174" i="21"/>
  <c r="N163" i="21"/>
  <c r="N172" i="21"/>
  <c r="N171" i="21"/>
  <c r="N164" i="21"/>
  <c r="N176" i="21"/>
  <c r="N161" i="21"/>
  <c r="J15" i="19"/>
  <c r="K15" i="19"/>
  <c r="B158" i="20"/>
  <c r="D158" i="20" s="1"/>
  <c r="N157" i="21"/>
  <c r="N318" i="21"/>
  <c r="B104" i="20"/>
  <c r="D104" i="20" s="1"/>
  <c r="B176" i="20"/>
  <c r="N317" i="21"/>
  <c r="C176" i="20"/>
  <c r="N322" i="21"/>
  <c r="B32" i="20"/>
  <c r="D32" i="20" s="1"/>
  <c r="N159" i="21"/>
  <c r="N303" i="21"/>
  <c r="N283" i="21"/>
  <c r="N289" i="21"/>
  <c r="N274" i="21"/>
  <c r="N293" i="21"/>
  <c r="N291" i="21"/>
  <c r="N267" i="21"/>
  <c r="N266" i="21"/>
  <c r="N290" i="21"/>
  <c r="N275" i="21"/>
  <c r="N265" i="21"/>
  <c r="N292" i="21"/>
  <c r="N277" i="21"/>
  <c r="N276" i="21"/>
  <c r="N295" i="21"/>
  <c r="N294" i="21"/>
  <c r="N268" i="21"/>
  <c r="N285" i="21"/>
  <c r="N288" i="21"/>
  <c r="N279" i="21"/>
  <c r="N273" i="21"/>
  <c r="N286" i="21"/>
  <c r="N278" i="21"/>
  <c r="N270" i="21"/>
  <c r="N269" i="21"/>
  <c r="N287" i="21"/>
  <c r="N271" i="21"/>
  <c r="N272" i="21"/>
  <c r="N284" i="21"/>
  <c r="C122" i="20"/>
  <c r="B122" i="20"/>
  <c r="D122" i="20" s="1"/>
  <c r="N315" i="21"/>
  <c r="I15" i="19"/>
  <c r="H15" i="19"/>
  <c r="G15" i="19"/>
  <c r="F15" i="19"/>
  <c r="E15" i="19"/>
  <c r="N15" i="19"/>
  <c r="M15" i="19"/>
  <c r="O413" i="21"/>
  <c r="D15" i="19"/>
  <c r="C50" i="20"/>
  <c r="B50" i="20"/>
  <c r="N158" i="21"/>
  <c r="N160" i="21"/>
  <c r="N177" i="21"/>
  <c r="N156" i="21"/>
  <c r="N316" i="21"/>
  <c r="N281" i="21"/>
  <c r="N364" i="21"/>
  <c r="N355" i="21"/>
  <c r="N341" i="21"/>
  <c r="N356" i="21"/>
  <c r="N348" i="21"/>
  <c r="N365" i="21"/>
  <c r="N357" i="21"/>
  <c r="N349" i="21"/>
  <c r="N342" i="21"/>
  <c r="N343" i="21"/>
  <c r="N350" i="21"/>
  <c r="N353" i="21"/>
  <c r="N358" i="21"/>
  <c r="N424" i="21"/>
  <c r="N425" i="21"/>
  <c r="N428" i="21"/>
  <c r="N429" i="21"/>
  <c r="N430" i="21"/>
  <c r="N438" i="21"/>
  <c r="B68" i="20"/>
  <c r="D68" i="20" s="1"/>
  <c r="N201" i="21"/>
  <c r="N219" i="21"/>
  <c r="N347" i="21"/>
  <c r="N352" i="21"/>
  <c r="N423" i="21"/>
  <c r="N46" i="21"/>
  <c r="N47" i="21"/>
  <c r="N100" i="21"/>
  <c r="N102" i="21"/>
  <c r="N110" i="21"/>
  <c r="N93" i="21"/>
  <c r="N86" i="21"/>
  <c r="N101" i="21"/>
  <c r="N87" i="21"/>
  <c r="N80" i="21"/>
  <c r="N94" i="21"/>
  <c r="N82" i="21"/>
  <c r="N140" i="21"/>
  <c r="N123" i="21"/>
  <c r="N144" i="21"/>
  <c r="N126" i="21"/>
  <c r="N141" i="21"/>
  <c r="N139" i="21"/>
  <c r="N142" i="21"/>
  <c r="N124" i="21"/>
  <c r="N143" i="21"/>
  <c r="N125" i="21"/>
  <c r="N137" i="21"/>
  <c r="N351" i="21"/>
  <c r="N369" i="21"/>
  <c r="N198" i="21"/>
  <c r="N69" i="21"/>
  <c r="N52" i="21"/>
  <c r="N61" i="21"/>
  <c r="N70" i="21"/>
  <c r="N51" i="21"/>
  <c r="N62" i="21"/>
  <c r="N71" i="21"/>
  <c r="N54" i="21"/>
  <c r="N220" i="21"/>
  <c r="N197" i="21"/>
  <c r="N215" i="21"/>
  <c r="N210" i="21"/>
  <c r="N192" i="21"/>
  <c r="N217" i="21"/>
  <c r="N212" i="21"/>
  <c r="N205" i="21"/>
  <c r="N200" i="21"/>
  <c r="N199" i="21"/>
  <c r="N193" i="21"/>
  <c r="N204" i="21"/>
  <c r="N216" i="21"/>
  <c r="N211" i="21"/>
  <c r="N194" i="21"/>
  <c r="N206" i="21"/>
  <c r="N221" i="21"/>
  <c r="N202" i="21"/>
  <c r="N442" i="21"/>
  <c r="N416" i="21"/>
  <c r="N419" i="21"/>
  <c r="N443" i="21"/>
  <c r="N435" i="21"/>
  <c r="N418" i="21"/>
  <c r="N417" i="21"/>
  <c r="N436" i="21"/>
  <c r="N426" i="21"/>
  <c r="N427" i="21"/>
  <c r="N431" i="21"/>
  <c r="N432" i="21"/>
  <c r="N45" i="21"/>
  <c r="N105" i="21"/>
  <c r="N135" i="21"/>
  <c r="N218" i="21"/>
  <c r="N346" i="21"/>
  <c r="N422" i="21"/>
  <c r="C140" i="20"/>
  <c r="D140" i="20" s="1"/>
  <c r="D194" i="20"/>
  <c r="N67" i="21"/>
  <c r="N191" i="21"/>
  <c r="N345" i="21"/>
  <c r="N363" i="21"/>
  <c r="N239" i="21"/>
  <c r="N240" i="21"/>
  <c r="N252" i="21"/>
  <c r="N253" i="21"/>
  <c r="N390" i="21"/>
  <c r="N254" i="21"/>
  <c r="B194" i="20"/>
  <c r="C194" i="20"/>
  <c r="N27" i="21"/>
  <c r="N33" i="21"/>
  <c r="N250" i="21"/>
  <c r="N251" i="21"/>
  <c r="N389" i="21"/>
  <c r="B14" i="20"/>
  <c r="D14" i="20" s="1"/>
  <c r="B86" i="20"/>
  <c r="D86" i="20" s="1"/>
  <c r="B212" i="20"/>
  <c r="D212" i="20" s="1"/>
  <c r="N15" i="21"/>
  <c r="N21" i="21"/>
  <c r="N238" i="21"/>
  <c r="N241" i="21"/>
  <c r="N8" i="21"/>
  <c r="N388" i="21"/>
  <c r="D10" i="19"/>
  <c r="E10" i="19"/>
  <c r="K10" i="19"/>
  <c r="L10" i="19"/>
  <c r="M10" i="19"/>
  <c r="N10" i="19"/>
  <c r="C11" i="20"/>
  <c r="L25" i="21"/>
  <c r="L26" i="21"/>
  <c r="L6" i="21"/>
  <c r="L27" i="21"/>
  <c r="L7" i="21"/>
  <c r="L28" i="21"/>
  <c r="L8" i="21"/>
  <c r="L30" i="21"/>
  <c r="L10" i="21"/>
  <c r="L9" i="21"/>
  <c r="B137" i="20"/>
  <c r="L23" i="21"/>
  <c r="L24" i="21"/>
  <c r="L31" i="21"/>
  <c r="C191" i="20"/>
  <c r="B191" i="20"/>
  <c r="D191" i="20" s="1"/>
  <c r="L90" i="21"/>
  <c r="L88" i="21"/>
  <c r="L86" i="21"/>
  <c r="L85" i="21"/>
  <c r="L81" i="21"/>
  <c r="L96" i="21"/>
  <c r="L92" i="21"/>
  <c r="L91" i="21"/>
  <c r="L89" i="21"/>
  <c r="L84" i="21"/>
  <c r="L83" i="21"/>
  <c r="L82" i="21"/>
  <c r="L99" i="21"/>
  <c r="L97" i="21"/>
  <c r="L95" i="21"/>
  <c r="L94" i="21"/>
  <c r="L93" i="21"/>
  <c r="L102" i="21"/>
  <c r="L101" i="21"/>
  <c r="L100" i="21"/>
  <c r="L98" i="21"/>
  <c r="L110" i="21"/>
  <c r="L109" i="21"/>
  <c r="L107" i="21"/>
  <c r="L87" i="21"/>
  <c r="C137" i="20"/>
  <c r="L417" i="21"/>
  <c r="L416" i="21"/>
  <c r="L415" i="21"/>
  <c r="L414" i="21"/>
  <c r="L413" i="21"/>
  <c r="L443" i="21"/>
  <c r="L442" i="21"/>
  <c r="L441" i="21"/>
  <c r="L440" i="21"/>
  <c r="L438" i="21"/>
  <c r="L437" i="21"/>
  <c r="L436" i="21"/>
  <c r="L435" i="21"/>
  <c r="L433" i="21"/>
  <c r="L439" i="21"/>
  <c r="L432" i="21"/>
  <c r="B173" i="20"/>
  <c r="D173" i="20" s="1"/>
  <c r="L21" i="21"/>
  <c r="L22" i="21"/>
  <c r="L57" i="21"/>
  <c r="L59" i="21"/>
  <c r="L368" i="21"/>
  <c r="L367" i="21"/>
  <c r="L344" i="21"/>
  <c r="L366" i="21"/>
  <c r="L346" i="21"/>
  <c r="L369" i="21"/>
  <c r="L347" i="21"/>
  <c r="L345" i="21"/>
  <c r="L350" i="21"/>
  <c r="L358" i="21"/>
  <c r="B29" i="20"/>
  <c r="D29" i="20" s="1"/>
  <c r="D11" i="19"/>
  <c r="B47" i="20"/>
  <c r="L29" i="21"/>
  <c r="L54" i="21"/>
  <c r="L206" i="21"/>
  <c r="L215" i="21"/>
  <c r="L329" i="21"/>
  <c r="L331" i="21"/>
  <c r="L330" i="21"/>
  <c r="L302" i="21"/>
  <c r="L332" i="21"/>
  <c r="L303" i="21"/>
  <c r="L315" i="21"/>
  <c r="L313" i="21"/>
  <c r="L312" i="21"/>
  <c r="L305" i="21"/>
  <c r="L324" i="21"/>
  <c r="L325" i="21"/>
  <c r="L326" i="21"/>
  <c r="L354" i="21"/>
  <c r="L357" i="21"/>
  <c r="D11" i="20"/>
  <c r="B65" i="20"/>
  <c r="B209" i="20"/>
  <c r="D209" i="20" s="1"/>
  <c r="C65" i="20"/>
  <c r="C47" i="20"/>
  <c r="L16" i="21"/>
  <c r="L53" i="21"/>
  <c r="L71" i="21"/>
  <c r="L199" i="21"/>
  <c r="L205" i="21"/>
  <c r="H11" i="19"/>
  <c r="G11" i="19"/>
  <c r="F11" i="19"/>
  <c r="E11" i="19"/>
  <c r="C11" i="19"/>
  <c r="L17" i="21"/>
  <c r="L18" i="21"/>
  <c r="L19" i="21"/>
  <c r="L20" i="21"/>
  <c r="J11" i="19"/>
  <c r="L15" i="21"/>
  <c r="L323" i="21"/>
  <c r="L353" i="21"/>
  <c r="L418" i="21"/>
  <c r="L419" i="21"/>
  <c r="L420" i="21"/>
  <c r="L423" i="21"/>
  <c r="K11" i="19"/>
  <c r="L14" i="21"/>
  <c r="L60" i="21"/>
  <c r="L72" i="21"/>
  <c r="L70" i="21"/>
  <c r="L69" i="21"/>
  <c r="L66" i="21"/>
  <c r="L65" i="21"/>
  <c r="L64" i="21"/>
  <c r="L63" i="21"/>
  <c r="L58" i="21"/>
  <c r="L48" i="21"/>
  <c r="L46" i="21"/>
  <c r="L45" i="21"/>
  <c r="L44" i="21"/>
  <c r="L51" i="21"/>
  <c r="L67" i="21"/>
  <c r="L80" i="21"/>
  <c r="L213" i="21"/>
  <c r="L200" i="21"/>
  <c r="L201" i="21"/>
  <c r="L214" i="21"/>
  <c r="L202" i="21"/>
  <c r="L203" i="21"/>
  <c r="L204" i="21"/>
  <c r="L304" i="21"/>
  <c r="L322" i="21"/>
  <c r="L421" i="21"/>
  <c r="L422" i="21"/>
  <c r="L424" i="21"/>
  <c r="L384" i="21"/>
  <c r="L385" i="21"/>
  <c r="L155" i="21"/>
  <c r="L156" i="21"/>
  <c r="L265" i="21"/>
  <c r="L266" i="21"/>
  <c r="L269" i="21"/>
  <c r="L386" i="21"/>
  <c r="L388" i="21"/>
  <c r="L389" i="21"/>
  <c r="B119" i="20"/>
  <c r="L390" i="21"/>
  <c r="L391" i="21"/>
  <c r="L394" i="21"/>
  <c r="C119" i="20"/>
  <c r="L162" i="21"/>
  <c r="L163" i="21"/>
  <c r="L164" i="21"/>
  <c r="L165" i="21"/>
  <c r="L237" i="21"/>
  <c r="L244" i="21"/>
  <c r="L245" i="21"/>
  <c r="L247" i="21"/>
  <c r="L248" i="21"/>
  <c r="L392" i="21"/>
  <c r="L393" i="21"/>
  <c r="L166" i="21"/>
  <c r="L167" i="21"/>
  <c r="L168" i="21"/>
  <c r="L246" i="21"/>
  <c r="L249" i="21"/>
  <c r="J439" i="21"/>
  <c r="M9" i="19"/>
  <c r="J249" i="21"/>
  <c r="J393" i="21"/>
  <c r="J415" i="21"/>
  <c r="J392" i="21"/>
  <c r="J183" i="21"/>
  <c r="J221" i="21"/>
  <c r="J220" i="21"/>
  <c r="J11" i="21"/>
  <c r="J6" i="21"/>
  <c r="K6" i="21" s="1"/>
  <c r="J7" i="21"/>
  <c r="J8" i="21"/>
  <c r="J9" i="21"/>
  <c r="J43" i="21"/>
  <c r="K43" i="21" s="1"/>
  <c r="J240" i="21"/>
  <c r="J256" i="21"/>
  <c r="J355" i="21"/>
  <c r="J384" i="21"/>
  <c r="J419" i="21"/>
  <c r="J442" i="21"/>
  <c r="C9" i="20"/>
  <c r="D9" i="20" s="1"/>
  <c r="J140" i="21"/>
  <c r="J162" i="21"/>
  <c r="J87" i="21"/>
  <c r="J88" i="21"/>
  <c r="J89" i="21"/>
  <c r="J97" i="21"/>
  <c r="J203" i="21"/>
  <c r="J204" i="21"/>
  <c r="J205" i="21"/>
  <c r="J241" i="21"/>
  <c r="J356" i="21"/>
  <c r="J367" i="21"/>
  <c r="J369" i="21"/>
  <c r="J385" i="21"/>
  <c r="J403" i="21"/>
  <c r="J420" i="21"/>
  <c r="J443" i="21"/>
  <c r="J234" i="21"/>
  <c r="J251" i="21"/>
  <c r="G9" i="19"/>
  <c r="C27" i="20"/>
  <c r="D27" i="20" s="1"/>
  <c r="J28" i="21"/>
  <c r="J29" i="21"/>
  <c r="J30" i="21"/>
  <c r="J31" i="21"/>
  <c r="J32" i="21"/>
  <c r="J33" i="21"/>
  <c r="J171" i="21"/>
  <c r="J242" i="21"/>
  <c r="J351" i="21"/>
  <c r="J358" i="21"/>
  <c r="J359" i="21"/>
  <c r="J361" i="21"/>
  <c r="J368" i="21"/>
  <c r="J238" i="21"/>
  <c r="J255" i="21"/>
  <c r="J401" i="21"/>
  <c r="F9" i="19"/>
  <c r="H9" i="19"/>
  <c r="J34" i="21"/>
  <c r="J35" i="21"/>
  <c r="J36" i="21"/>
  <c r="J339" i="21"/>
  <c r="J342" i="21"/>
  <c r="J345" i="21"/>
  <c r="J348" i="21"/>
  <c r="J357" i="21"/>
  <c r="J360" i="21"/>
  <c r="J363" i="21"/>
  <c r="J421" i="21"/>
  <c r="J382" i="21"/>
  <c r="J399" i="21"/>
  <c r="I9" i="19"/>
  <c r="J172" i="21"/>
  <c r="J244" i="21"/>
  <c r="J343" i="21"/>
  <c r="J344" i="21"/>
  <c r="J422" i="21"/>
  <c r="J132" i="21"/>
  <c r="J184" i="21"/>
  <c r="J9" i="19"/>
  <c r="J17" i="21"/>
  <c r="J24" i="21"/>
  <c r="J154" i="21"/>
  <c r="K154" i="21" s="1"/>
  <c r="J228" i="21"/>
  <c r="K228" i="21" s="1"/>
  <c r="J230" i="21"/>
  <c r="J424" i="21"/>
  <c r="J146" i="21"/>
  <c r="J164" i="21"/>
  <c r="J239" i="21"/>
  <c r="J254" i="21"/>
  <c r="E9" i="19"/>
  <c r="K9" i="19"/>
  <c r="J15" i="21"/>
  <c r="J16" i="21"/>
  <c r="J20" i="21"/>
  <c r="J117" i="21"/>
  <c r="K117" i="21" s="1"/>
  <c r="K118" i="21" s="1"/>
  <c r="J246" i="21"/>
  <c r="J247" i="21"/>
  <c r="J391" i="21"/>
  <c r="J141" i="21"/>
  <c r="J144" i="21"/>
  <c r="J163" i="21"/>
  <c r="J236" i="21"/>
  <c r="J253" i="21"/>
  <c r="D9" i="19"/>
  <c r="L9" i="19"/>
  <c r="J126" i="21"/>
  <c r="J156" i="21"/>
  <c r="J232" i="21"/>
  <c r="J248" i="21"/>
  <c r="J276" i="21"/>
  <c r="J376" i="21"/>
  <c r="K376" i="21" s="1"/>
  <c r="K22" i="19"/>
  <c r="N22" i="19"/>
  <c r="C10" i="19"/>
  <c r="F10" i="19"/>
  <c r="G10" i="19"/>
  <c r="H10" i="19"/>
  <c r="I10" i="19"/>
  <c r="J219" i="21"/>
  <c r="J218" i="21"/>
  <c r="J195" i="21"/>
  <c r="J194" i="21"/>
  <c r="J217" i="21"/>
  <c r="J193" i="21"/>
  <c r="J211" i="21"/>
  <c r="J210" i="21"/>
  <c r="J191" i="21"/>
  <c r="J201" i="21"/>
  <c r="J200" i="21"/>
  <c r="J199" i="21"/>
  <c r="J192" i="21"/>
  <c r="J198" i="21"/>
  <c r="J197" i="21"/>
  <c r="J196" i="21"/>
  <c r="J206" i="21"/>
  <c r="J209" i="21"/>
  <c r="J212" i="21"/>
  <c r="J213" i="21"/>
  <c r="J214" i="21"/>
  <c r="J216" i="21"/>
  <c r="B45" i="20"/>
  <c r="D45" i="20" s="1"/>
  <c r="B207" i="20"/>
  <c r="B171" i="20"/>
  <c r="C207" i="20"/>
  <c r="C171" i="20"/>
  <c r="D171" i="20" s="1"/>
  <c r="J215" i="21"/>
  <c r="C81" i="20"/>
  <c r="B81" i="20"/>
  <c r="C117" i="20"/>
  <c r="J302" i="21"/>
  <c r="J326" i="21"/>
  <c r="J313" i="21"/>
  <c r="J327" i="21"/>
  <c r="J314" i="21"/>
  <c r="J324" i="21"/>
  <c r="J323" i="21"/>
  <c r="J332" i="21"/>
  <c r="J307" i="21"/>
  <c r="J331" i="21"/>
  <c r="J325" i="21"/>
  <c r="J320" i="21"/>
  <c r="J303" i="21"/>
  <c r="J322" i="21"/>
  <c r="J306" i="21"/>
  <c r="J305" i="21"/>
  <c r="J317" i="21"/>
  <c r="J330" i="21"/>
  <c r="J329" i="21"/>
  <c r="J328" i="21"/>
  <c r="J321" i="21"/>
  <c r="J304" i="21"/>
  <c r="J319" i="21"/>
  <c r="J318" i="21"/>
  <c r="J207" i="21"/>
  <c r="J208" i="21"/>
  <c r="B117" i="20"/>
  <c r="J101" i="21"/>
  <c r="J92" i="21"/>
  <c r="J83" i="21"/>
  <c r="J110" i="21"/>
  <c r="J100" i="21"/>
  <c r="J91" i="21"/>
  <c r="J82" i="21"/>
  <c r="J96" i="21"/>
  <c r="J106" i="21"/>
  <c r="J94" i="21"/>
  <c r="J109" i="21"/>
  <c r="J84" i="21"/>
  <c r="J95" i="21"/>
  <c r="J80" i="21"/>
  <c r="J107" i="21"/>
  <c r="J108" i="21"/>
  <c r="J81" i="21"/>
  <c r="J105" i="21"/>
  <c r="J93" i="21"/>
  <c r="J90" i="21"/>
  <c r="J98" i="21"/>
  <c r="J102" i="21"/>
  <c r="J103" i="21"/>
  <c r="J70" i="21"/>
  <c r="J62" i="21"/>
  <c r="J61" i="21"/>
  <c r="J60" i="21"/>
  <c r="J52" i="21"/>
  <c r="J69" i="21"/>
  <c r="J49" i="21"/>
  <c r="J48" i="21"/>
  <c r="J63" i="21"/>
  <c r="K339" i="21"/>
  <c r="J291" i="21"/>
  <c r="J289" i="21"/>
  <c r="J268" i="21"/>
  <c r="J290" i="21"/>
  <c r="J279" i="21"/>
  <c r="J269" i="21"/>
  <c r="J277" i="21"/>
  <c r="J287" i="21"/>
  <c r="J266" i="21"/>
  <c r="J271" i="21"/>
  <c r="J285" i="21"/>
  <c r="J379" i="21"/>
  <c r="J404" i="21"/>
  <c r="J397" i="21"/>
  <c r="J417" i="21"/>
  <c r="J426" i="21"/>
  <c r="J273" i="21"/>
  <c r="J286" i="21"/>
  <c r="J288" i="21"/>
  <c r="J405" i="21"/>
  <c r="J182" i="21"/>
  <c r="J175" i="21"/>
  <c r="J155" i="21"/>
  <c r="J181" i="21"/>
  <c r="J168" i="21"/>
  <c r="J161" i="21"/>
  <c r="J173" i="21"/>
  <c r="J180" i="21"/>
  <c r="J166" i="21"/>
  <c r="J159" i="21"/>
  <c r="J165" i="21"/>
  <c r="J174" i="21"/>
  <c r="B99" i="20"/>
  <c r="D99" i="20" s="1"/>
  <c r="J386" i="21"/>
  <c r="J396" i="21"/>
  <c r="J438" i="21"/>
  <c r="J431" i="21"/>
  <c r="J425" i="21"/>
  <c r="J418" i="21"/>
  <c r="J437" i="21"/>
  <c r="J430" i="21"/>
  <c r="J429" i="21"/>
  <c r="J435" i="21"/>
  <c r="J423" i="21"/>
  <c r="J416" i="21"/>
  <c r="C63" i="20"/>
  <c r="D63" i="20" s="1"/>
  <c r="J27" i="21"/>
  <c r="J14" i="21"/>
  <c r="J26" i="21"/>
  <c r="J13" i="21"/>
  <c r="J25" i="21"/>
  <c r="J12" i="21"/>
  <c r="J23" i="21"/>
  <c r="J22" i="21"/>
  <c r="J10" i="21"/>
  <c r="J65" i="21"/>
  <c r="B135" i="20"/>
  <c r="D135" i="20" s="1"/>
  <c r="C189" i="20"/>
  <c r="J54" i="21"/>
  <c r="J123" i="21"/>
  <c r="J136" i="21"/>
  <c r="J177" i="21"/>
  <c r="J274" i="21"/>
  <c r="J354" i="21"/>
  <c r="J341" i="21"/>
  <c r="J364" i="21"/>
  <c r="J352" i="21"/>
  <c r="J340" i="21"/>
  <c r="J366" i="21"/>
  <c r="J365" i="21"/>
  <c r="J353" i="21"/>
  <c r="J362" i="21"/>
  <c r="J350" i="21"/>
  <c r="J349" i="21"/>
  <c r="J380" i="21"/>
  <c r="J388" i="21"/>
  <c r="J50" i="21"/>
  <c r="J53" i="21"/>
  <c r="J134" i="21"/>
  <c r="J158" i="21"/>
  <c r="J167" i="21"/>
  <c r="J176" i="21"/>
  <c r="J272" i="21"/>
  <c r="B153" i="20"/>
  <c r="D153" i="20" s="1"/>
  <c r="J18" i="21"/>
  <c r="J122" i="21"/>
  <c r="B189" i="20"/>
  <c r="J19" i="21"/>
  <c r="J66" i="21"/>
  <c r="J124" i="21"/>
  <c r="J169" i="21"/>
  <c r="J178" i="21"/>
  <c r="J275" i="21"/>
  <c r="J292" i="21"/>
  <c r="J427" i="21"/>
  <c r="J434" i="21"/>
  <c r="J436" i="21"/>
  <c r="J402" i="21"/>
  <c r="J377" i="21"/>
  <c r="J395" i="21"/>
  <c r="J389" i="21"/>
  <c r="J383" i="21"/>
  <c r="J381" i="21"/>
  <c r="J406" i="21"/>
  <c r="J400" i="21"/>
  <c r="J394" i="21"/>
  <c r="J387" i="21"/>
  <c r="J51" i="21"/>
  <c r="J64" i="21"/>
  <c r="J130" i="21"/>
  <c r="J145" i="21"/>
  <c r="J137" i="21"/>
  <c r="J129" i="21"/>
  <c r="J120" i="21"/>
  <c r="J119" i="21"/>
  <c r="J143" i="21"/>
  <c r="J135" i="21"/>
  <c r="J127" i="21"/>
  <c r="J142" i="21"/>
  <c r="J133" i="21"/>
  <c r="J147" i="21"/>
  <c r="J157" i="21"/>
  <c r="J55" i="21"/>
  <c r="J67" i="21"/>
  <c r="J125" i="21"/>
  <c r="J139" i="21"/>
  <c r="J160" i="21"/>
  <c r="J170" i="21"/>
  <c r="J346" i="21"/>
  <c r="J390" i="21"/>
  <c r="N9" i="19"/>
  <c r="J229" i="21"/>
  <c r="J235" i="21"/>
  <c r="J243" i="21"/>
  <c r="J250" i="21"/>
  <c r="J257" i="21"/>
  <c r="J258" i="21"/>
  <c r="J231" i="21"/>
  <c r="J237" i="21"/>
  <c r="J245" i="21"/>
  <c r="G7" i="19"/>
  <c r="C7" i="19"/>
  <c r="D7" i="19"/>
  <c r="E7" i="19"/>
  <c r="F7" i="19"/>
  <c r="H7" i="19"/>
  <c r="J7" i="19"/>
  <c r="K7" i="19"/>
  <c r="I7" i="19"/>
  <c r="L7" i="19"/>
  <c r="M7" i="19"/>
  <c r="N7" i="19"/>
  <c r="I43" i="21"/>
  <c r="H206" i="21"/>
  <c r="H274" i="21"/>
  <c r="H288" i="21"/>
  <c r="H218" i="21"/>
  <c r="L6" i="19"/>
  <c r="B26" i="20"/>
  <c r="C206" i="20"/>
  <c r="D206" i="20" s="1"/>
  <c r="H91" i="21"/>
  <c r="H104" i="21"/>
  <c r="H275" i="21"/>
  <c r="H90" i="21"/>
  <c r="H103" i="21"/>
  <c r="H219" i="21"/>
  <c r="H289" i="21"/>
  <c r="C98" i="20"/>
  <c r="D98" i="20" s="1"/>
  <c r="H269" i="21"/>
  <c r="H283" i="21"/>
  <c r="H99" i="21"/>
  <c r="H210" i="21"/>
  <c r="H94" i="21"/>
  <c r="H81" i="21"/>
  <c r="H106" i="21"/>
  <c r="H93" i="21"/>
  <c r="H105" i="21"/>
  <c r="H96" i="21"/>
  <c r="H107" i="21"/>
  <c r="H85" i="21"/>
  <c r="H110" i="21"/>
  <c r="H101" i="21"/>
  <c r="H88" i="21"/>
  <c r="H102" i="21"/>
  <c r="H98" i="21"/>
  <c r="H89" i="21"/>
  <c r="H80" i="21"/>
  <c r="H97" i="21"/>
  <c r="H84" i="21"/>
  <c r="H92" i="21"/>
  <c r="H83" i="21"/>
  <c r="H109" i="21"/>
  <c r="I376" i="21"/>
  <c r="K6" i="19"/>
  <c r="G6" i="19"/>
  <c r="D6" i="19"/>
  <c r="J6" i="19"/>
  <c r="E6" i="19"/>
  <c r="I6" i="19"/>
  <c r="H6" i="19"/>
  <c r="C6" i="19"/>
  <c r="F6" i="19"/>
  <c r="M6" i="19"/>
  <c r="C26" i="20"/>
  <c r="N6" i="19"/>
  <c r="H200" i="21"/>
  <c r="H211" i="21"/>
  <c r="H366" i="21"/>
  <c r="H350" i="21"/>
  <c r="H345" i="21"/>
  <c r="H360" i="21"/>
  <c r="H355" i="21"/>
  <c r="H347" i="21"/>
  <c r="H342" i="21"/>
  <c r="H365" i="21"/>
  <c r="H344" i="21"/>
  <c r="H339" i="21"/>
  <c r="H349" i="21"/>
  <c r="H354" i="21"/>
  <c r="H364" i="21"/>
  <c r="H359" i="21"/>
  <c r="H343" i="21"/>
  <c r="H369" i="21"/>
  <c r="H353" i="21"/>
  <c r="H348" i="21"/>
  <c r="H368" i="21"/>
  <c r="H363" i="21"/>
  <c r="H358" i="21"/>
  <c r="H351" i="21"/>
  <c r="H361" i="21"/>
  <c r="H278" i="21"/>
  <c r="H290" i="21"/>
  <c r="H267" i="21"/>
  <c r="H287" i="21"/>
  <c r="H282" i="21"/>
  <c r="H273" i="21"/>
  <c r="H268" i="21"/>
  <c r="H291" i="21"/>
  <c r="H277" i="21"/>
  <c r="H295" i="21"/>
  <c r="H286" i="21"/>
  <c r="H281" i="21"/>
  <c r="H272" i="21"/>
  <c r="H276" i="21"/>
  <c r="H271" i="21"/>
  <c r="H294" i="21"/>
  <c r="H285" i="21"/>
  <c r="H280" i="21"/>
  <c r="C188" i="20"/>
  <c r="C8" i="20"/>
  <c r="B8" i="20"/>
  <c r="B188" i="20"/>
  <c r="H100" i="21"/>
  <c r="H270" i="21"/>
  <c r="H292" i="21"/>
  <c r="H204" i="21"/>
  <c r="H198" i="21"/>
  <c r="H192" i="21"/>
  <c r="H216" i="21"/>
  <c r="H197" i="21"/>
  <c r="H221" i="21"/>
  <c r="H215" i="21"/>
  <c r="H209" i="21"/>
  <c r="H203" i="21"/>
  <c r="H191" i="21"/>
  <c r="H196" i="21"/>
  <c r="H220" i="21"/>
  <c r="H202" i="21"/>
  <c r="H214" i="21"/>
  <c r="H208" i="21"/>
  <c r="H213" i="21"/>
  <c r="H207" i="21"/>
  <c r="H201" i="21"/>
  <c r="H195" i="21"/>
  <c r="H194" i="21"/>
  <c r="H217" i="21"/>
  <c r="H87" i="21"/>
  <c r="H82" i="21"/>
  <c r="H212" i="21"/>
  <c r="H265" i="21"/>
  <c r="I228" i="21"/>
  <c r="H377" i="21"/>
  <c r="H389" i="21"/>
  <c r="H393" i="21"/>
  <c r="H397" i="21"/>
  <c r="H405" i="21"/>
  <c r="C170" i="20"/>
  <c r="H45" i="21"/>
  <c r="H142" i="21"/>
  <c r="H147" i="21"/>
  <c r="H229" i="21"/>
  <c r="H242" i="21"/>
  <c r="H246" i="21"/>
  <c r="H255" i="21"/>
  <c r="H304" i="21"/>
  <c r="H310" i="21"/>
  <c r="H316" i="21"/>
  <c r="H381" i="21"/>
  <c r="H435" i="21"/>
  <c r="H440" i="21"/>
  <c r="H329" i="21"/>
  <c r="B134" i="20"/>
  <c r="H22" i="21"/>
  <c r="H61" i="21"/>
  <c r="H66" i="21"/>
  <c r="H71" i="21"/>
  <c r="H119" i="21"/>
  <c r="H124" i="21"/>
  <c r="H129" i="21"/>
  <c r="H156" i="21"/>
  <c r="H169" i="21"/>
  <c r="H178" i="21"/>
  <c r="H238" i="21"/>
  <c r="H311" i="21"/>
  <c r="H323" i="21"/>
  <c r="H394" i="21"/>
  <c r="H423" i="21"/>
  <c r="H427" i="21"/>
  <c r="H431" i="21"/>
  <c r="D170" i="20"/>
  <c r="C134" i="20"/>
  <c r="H17" i="21"/>
  <c r="H46" i="21"/>
  <c r="H143" i="21"/>
  <c r="H165" i="21"/>
  <c r="H247" i="21"/>
  <c r="H305" i="21"/>
  <c r="H317" i="21"/>
  <c r="H330" i="21"/>
  <c r="H378" i="21"/>
  <c r="H382" i="21"/>
  <c r="H386" i="21"/>
  <c r="H398" i="21"/>
  <c r="H402" i="21"/>
  <c r="H406" i="21"/>
  <c r="C80" i="20"/>
  <c r="D80" i="20" s="1"/>
  <c r="H123" i="21"/>
  <c r="H10" i="21"/>
  <c r="H23" i="21"/>
  <c r="H62" i="21"/>
  <c r="H72" i="21"/>
  <c r="H134" i="21"/>
  <c r="H139" i="21"/>
  <c r="H183" i="21"/>
  <c r="H230" i="21"/>
  <c r="H234" i="21"/>
  <c r="H243" i="21"/>
  <c r="H256" i="21"/>
  <c r="H324" i="21"/>
  <c r="H441" i="21"/>
  <c r="H51" i="21"/>
  <c r="H56" i="21"/>
  <c r="H133" i="21"/>
  <c r="H138" i="21"/>
  <c r="H52" i="21"/>
  <c r="H57" i="21"/>
  <c r="H120" i="21"/>
  <c r="H125" i="21"/>
  <c r="H161" i="21"/>
  <c r="H170" i="21"/>
  <c r="H239" i="21"/>
  <c r="H415" i="21"/>
  <c r="H419" i="21"/>
  <c r="G265" i="21"/>
  <c r="F324" i="21"/>
  <c r="F202" i="21"/>
  <c r="F207" i="21"/>
  <c r="F320" i="21"/>
  <c r="F217" i="21"/>
  <c r="F306" i="21"/>
  <c r="B133" i="20"/>
  <c r="B205" i="20"/>
  <c r="F9" i="21"/>
  <c r="F19" i="21"/>
  <c r="F34" i="21"/>
  <c r="F130" i="21"/>
  <c r="F134" i="21"/>
  <c r="B43" i="20"/>
  <c r="D43" i="20" s="1"/>
  <c r="D79" i="20"/>
  <c r="C151" i="20"/>
  <c r="D151" i="20" s="1"/>
  <c r="F16" i="21"/>
  <c r="F203" i="21"/>
  <c r="F23" i="21"/>
  <c r="F328" i="21"/>
  <c r="F310" i="21"/>
  <c r="C61" i="20"/>
  <c r="D61" i="20" s="1"/>
  <c r="C79" i="20"/>
  <c r="F30" i="21"/>
  <c r="C25" i="20"/>
  <c r="D25" i="20" s="1"/>
  <c r="F124" i="21"/>
  <c r="F131" i="21"/>
  <c r="F199" i="21"/>
  <c r="F213" i="21"/>
  <c r="F331" i="21"/>
  <c r="F123" i="21"/>
  <c r="F120" i="21"/>
  <c r="F117" i="21"/>
  <c r="F147" i="21"/>
  <c r="F144" i="21"/>
  <c r="F141" i="21"/>
  <c r="F138" i="21"/>
  <c r="F135" i="21"/>
  <c r="F132" i="21"/>
  <c r="F129" i="21"/>
  <c r="F126" i="21"/>
  <c r="F122" i="21"/>
  <c r="F119" i="21"/>
  <c r="F137" i="21"/>
  <c r="F314" i="21"/>
  <c r="F127" i="21"/>
  <c r="F145" i="21"/>
  <c r="F128" i="21"/>
  <c r="F146" i="21"/>
  <c r="F139" i="21"/>
  <c r="F195" i="21"/>
  <c r="G340" i="21"/>
  <c r="F33" i="21"/>
  <c r="F11" i="21"/>
  <c r="F31" i="21"/>
  <c r="F20" i="21"/>
  <c r="F29" i="21"/>
  <c r="F25" i="21"/>
  <c r="F7" i="21"/>
  <c r="F18" i="21"/>
  <c r="F36" i="21"/>
  <c r="F14" i="21"/>
  <c r="F32" i="21"/>
  <c r="F21" i="21"/>
  <c r="F10" i="21"/>
  <c r="F28" i="21"/>
  <c r="F24" i="21"/>
  <c r="F6" i="21"/>
  <c r="F35" i="21"/>
  <c r="F17" i="21"/>
  <c r="F13" i="21"/>
  <c r="F293" i="21"/>
  <c r="F290" i="21"/>
  <c r="F287" i="21"/>
  <c r="F284" i="21"/>
  <c r="F278" i="21"/>
  <c r="F275" i="21"/>
  <c r="F270" i="21"/>
  <c r="F267" i="21"/>
  <c r="F288" i="21"/>
  <c r="F282" i="21"/>
  <c r="F279" i="21"/>
  <c r="F276" i="21"/>
  <c r="F273" i="21"/>
  <c r="F294" i="21"/>
  <c r="F291" i="21"/>
  <c r="F285" i="21"/>
  <c r="F281" i="21"/>
  <c r="F272" i="21"/>
  <c r="F269" i="21"/>
  <c r="F266" i="21"/>
  <c r="F274" i="21"/>
  <c r="F286" i="21"/>
  <c r="F321" i="21"/>
  <c r="F12" i="21"/>
  <c r="F101" i="21"/>
  <c r="F110" i="21"/>
  <c r="F107" i="21"/>
  <c r="F104" i="21"/>
  <c r="F98" i="21"/>
  <c r="F95" i="21"/>
  <c r="F92" i="21"/>
  <c r="F106" i="21"/>
  <c r="F103" i="21"/>
  <c r="F100" i="21"/>
  <c r="F97" i="21"/>
  <c r="F94" i="21"/>
  <c r="F89" i="21"/>
  <c r="F86" i="21"/>
  <c r="F83" i="21"/>
  <c r="F80" i="21"/>
  <c r="F82" i="21"/>
  <c r="F109" i="21"/>
  <c r="F91" i="21"/>
  <c r="F88" i="21"/>
  <c r="F85" i="21"/>
  <c r="F93" i="21"/>
  <c r="F307" i="21"/>
  <c r="F317" i="21"/>
  <c r="F323" i="21"/>
  <c r="F316" i="21"/>
  <c r="F309" i="21"/>
  <c r="F302" i="21"/>
  <c r="F332" i="21"/>
  <c r="F330" i="21"/>
  <c r="F312" i="21"/>
  <c r="F322" i="21"/>
  <c r="F326" i="21"/>
  <c r="F319" i="21"/>
  <c r="F305" i="21"/>
  <c r="F329" i="21"/>
  <c r="F315" i="21"/>
  <c r="F308" i="21"/>
  <c r="F318" i="21"/>
  <c r="F325" i="21"/>
  <c r="F311" i="21"/>
  <c r="F304" i="21"/>
  <c r="B97" i="20"/>
  <c r="C133" i="20"/>
  <c r="C205" i="20"/>
  <c r="D205" i="20" s="1"/>
  <c r="D97" i="20"/>
  <c r="C115" i="20"/>
  <c r="D115" i="20" s="1"/>
  <c r="C169" i="20"/>
  <c r="D169" i="20" s="1"/>
  <c r="C187" i="20"/>
  <c r="D187" i="20" s="1"/>
  <c r="F22" i="21"/>
  <c r="F121" i="21"/>
  <c r="F136" i="21"/>
  <c r="F200" i="21"/>
  <c r="F303" i="21"/>
  <c r="F15" i="21"/>
  <c r="F209" i="21"/>
  <c r="F216" i="21"/>
  <c r="F191" i="21"/>
  <c r="F212" i="21"/>
  <c r="F205" i="21"/>
  <c r="F198" i="21"/>
  <c r="F197" i="21"/>
  <c r="F219" i="21"/>
  <c r="F194" i="21"/>
  <c r="F201" i="21"/>
  <c r="F204" i="21"/>
  <c r="F215" i="21"/>
  <c r="F208" i="21"/>
  <c r="F218" i="21"/>
  <c r="F211" i="21"/>
  <c r="F193" i="21"/>
  <c r="F221" i="21"/>
  <c r="F8" i="21"/>
  <c r="F27" i="21"/>
  <c r="F125" i="21"/>
  <c r="F143" i="21"/>
  <c r="F283" i="21"/>
  <c r="F295" i="21"/>
  <c r="F229" i="21"/>
  <c r="G229" i="21" s="1"/>
  <c r="F232" i="21"/>
  <c r="F241" i="21"/>
  <c r="F250" i="21"/>
  <c r="B7" i="20"/>
  <c r="D7" i="20" s="1"/>
  <c r="F43" i="21"/>
  <c r="F50" i="21"/>
  <c r="F154" i="21"/>
  <c r="F160" i="21"/>
  <c r="F163" i="21"/>
  <c r="F238" i="21"/>
  <c r="F244" i="21"/>
  <c r="F247" i="21"/>
  <c r="F253" i="21"/>
  <c r="F256" i="21"/>
  <c r="F347" i="21"/>
  <c r="F354" i="21"/>
  <c r="F361" i="21"/>
  <c r="F422" i="21"/>
  <c r="F441" i="21"/>
  <c r="F47" i="21"/>
  <c r="F72" i="21"/>
  <c r="F176" i="21"/>
  <c r="F344" i="21"/>
  <c r="F351" i="21"/>
  <c r="F358" i="21"/>
  <c r="F376" i="21"/>
  <c r="F413" i="21"/>
  <c r="F438" i="21"/>
  <c r="C5" i="19"/>
  <c r="F65" i="21"/>
  <c r="F170" i="21"/>
  <c r="F173" i="21"/>
  <c r="F365" i="21"/>
  <c r="F385" i="21"/>
  <c r="F394" i="21"/>
  <c r="F400" i="21"/>
  <c r="F403" i="21"/>
  <c r="D5" i="19"/>
  <c r="F51" i="21"/>
  <c r="F58" i="21"/>
  <c r="F167" i="21"/>
  <c r="F183" i="21"/>
  <c r="F341" i="21"/>
  <c r="F348" i="21"/>
  <c r="F379" i="21"/>
  <c r="F382" i="21"/>
  <c r="F388" i="21"/>
  <c r="F391" i="21"/>
  <c r="F397" i="21"/>
  <c r="F426" i="21"/>
  <c r="F435" i="21"/>
  <c r="F235" i="21"/>
  <c r="E5" i="19"/>
  <c r="F44" i="21"/>
  <c r="F62" i="21"/>
  <c r="F69" i="21"/>
  <c r="F158" i="21"/>
  <c r="F164" i="21"/>
  <c r="F180" i="21"/>
  <c r="F230" i="21"/>
  <c r="F233" i="21"/>
  <c r="F239" i="21"/>
  <c r="F242" i="21"/>
  <c r="F245" i="21"/>
  <c r="F248" i="21"/>
  <c r="F251" i="21"/>
  <c r="F254" i="21"/>
  <c r="F257" i="21"/>
  <c r="F355" i="21"/>
  <c r="F362" i="21"/>
  <c r="F369" i="21"/>
  <c r="F423" i="21"/>
  <c r="F429" i="21"/>
  <c r="F432" i="21"/>
  <c r="F442" i="21"/>
  <c r="F5" i="19"/>
  <c r="F48" i="21"/>
  <c r="F55" i="21"/>
  <c r="F155" i="21"/>
  <c r="F161" i="21"/>
  <c r="F345" i="21"/>
  <c r="F417" i="21"/>
  <c r="F420" i="21"/>
  <c r="F439" i="21"/>
  <c r="F352" i="21"/>
  <c r="F359" i="21"/>
  <c r="B186" i="20"/>
  <c r="D17" i="21"/>
  <c r="D285" i="21"/>
  <c r="D269" i="21"/>
  <c r="D294" i="21"/>
  <c r="D278" i="21"/>
  <c r="D287" i="21"/>
  <c r="D271" i="21"/>
  <c r="D280" i="21"/>
  <c r="D289" i="21"/>
  <c r="D273" i="21"/>
  <c r="D282" i="21"/>
  <c r="D266" i="21"/>
  <c r="E266" i="21" s="1"/>
  <c r="E267" i="21" s="1"/>
  <c r="D291" i="21"/>
  <c r="D275" i="21"/>
  <c r="D284" i="21"/>
  <c r="D268" i="21"/>
  <c r="D293" i="21"/>
  <c r="D277" i="21"/>
  <c r="D290" i="21"/>
  <c r="D416" i="21"/>
  <c r="D144" i="21"/>
  <c r="D128" i="21"/>
  <c r="D134" i="21"/>
  <c r="D118" i="21"/>
  <c r="E118" i="21" s="1"/>
  <c r="D137" i="21"/>
  <c r="D121" i="21"/>
  <c r="D146" i="21"/>
  <c r="D130" i="21"/>
  <c r="D141" i="21"/>
  <c r="D125" i="21"/>
  <c r="D136" i="21"/>
  <c r="D120" i="21"/>
  <c r="D139" i="21"/>
  <c r="D123" i="21"/>
  <c r="D132" i="21"/>
  <c r="D143" i="21"/>
  <c r="D127" i="21"/>
  <c r="D186" i="20"/>
  <c r="C204" i="20"/>
  <c r="D204" i="20" s="1"/>
  <c r="D29" i="21"/>
  <c r="B24" i="20"/>
  <c r="D24" i="20" s="1"/>
  <c r="D70" i="21"/>
  <c r="D62" i="21"/>
  <c r="D54" i="21"/>
  <c r="D46" i="21"/>
  <c r="D72" i="21"/>
  <c r="D56" i="21"/>
  <c r="D48" i="21"/>
  <c r="D64" i="21"/>
  <c r="D67" i="21"/>
  <c r="D59" i="21"/>
  <c r="D51" i="21"/>
  <c r="D43" i="21"/>
  <c r="D69" i="21"/>
  <c r="D61" i="21"/>
  <c r="D53" i="21"/>
  <c r="D45" i="21"/>
  <c r="D105" i="21"/>
  <c r="D89" i="21"/>
  <c r="D95" i="21"/>
  <c r="D98" i="21"/>
  <c r="D82" i="21"/>
  <c r="D102" i="21"/>
  <c r="D107" i="21"/>
  <c r="D91" i="21"/>
  <c r="D86" i="21"/>
  <c r="D97" i="21"/>
  <c r="D81" i="21"/>
  <c r="D100" i="21"/>
  <c r="D84" i="21"/>
  <c r="D109" i="21"/>
  <c r="D93" i="21"/>
  <c r="D104" i="21"/>
  <c r="D88" i="21"/>
  <c r="D108" i="21"/>
  <c r="D126" i="21"/>
  <c r="D145" i="21"/>
  <c r="D274" i="21"/>
  <c r="B204" i="20"/>
  <c r="D26" i="21"/>
  <c r="D21" i="21"/>
  <c r="D16" i="21"/>
  <c r="D25" i="21"/>
  <c r="D20" i="21"/>
  <c r="D15" i="21"/>
  <c r="D31" i="21"/>
  <c r="D36" i="21"/>
  <c r="D13" i="21"/>
  <c r="D8" i="21"/>
  <c r="D33" i="21"/>
  <c r="D10" i="21"/>
  <c r="D35" i="21"/>
  <c r="D12" i="21"/>
  <c r="D7" i="21"/>
  <c r="D23" i="21"/>
  <c r="D18" i="21"/>
  <c r="D28" i="21"/>
  <c r="D30" i="21"/>
  <c r="D32" i="21"/>
  <c r="E302" i="21"/>
  <c r="D14" i="21"/>
  <c r="D11" i="21"/>
  <c r="B42" i="20"/>
  <c r="D42" i="20" s="1"/>
  <c r="D24" i="21"/>
  <c r="D422" i="21"/>
  <c r="D443" i="21"/>
  <c r="D438" i="21"/>
  <c r="D431" i="21"/>
  <c r="D415" i="21"/>
  <c r="D424" i="21"/>
  <c r="D423" i="21"/>
  <c r="D433" i="21"/>
  <c r="D417" i="21"/>
  <c r="D440" i="21"/>
  <c r="D426" i="21"/>
  <c r="D428" i="21"/>
  <c r="D435" i="21"/>
  <c r="D419" i="21"/>
  <c r="D442" i="21"/>
  <c r="D421" i="21"/>
  <c r="D437" i="21"/>
  <c r="D430" i="21"/>
  <c r="D414" i="21"/>
  <c r="D425" i="21"/>
  <c r="D436" i="21"/>
  <c r="D9" i="21"/>
  <c r="B96" i="20"/>
  <c r="C96" i="20"/>
  <c r="D103" i="21"/>
  <c r="D6" i="21"/>
  <c r="D34" i="21"/>
  <c r="D124" i="21"/>
  <c r="D272" i="21"/>
  <c r="C78" i="20"/>
  <c r="B78" i="20"/>
  <c r="D78" i="20" s="1"/>
  <c r="D135" i="21"/>
  <c r="D283" i="21"/>
  <c r="D399" i="21"/>
  <c r="D383" i="21"/>
  <c r="D392" i="21"/>
  <c r="D401" i="21"/>
  <c r="D385" i="21"/>
  <c r="D376" i="21"/>
  <c r="D400" i="21"/>
  <c r="D384" i="21"/>
  <c r="D394" i="21"/>
  <c r="D378" i="21"/>
  <c r="D403" i="21"/>
  <c r="D387" i="21"/>
  <c r="D405" i="21"/>
  <c r="D389" i="21"/>
  <c r="D396" i="21"/>
  <c r="D380" i="21"/>
  <c r="D398" i="21"/>
  <c r="D382" i="21"/>
  <c r="D391" i="21"/>
  <c r="D420" i="21"/>
  <c r="D434" i="21"/>
  <c r="C4" i="19"/>
  <c r="D177" i="21"/>
  <c r="D182" i="21"/>
  <c r="D197" i="21"/>
  <c r="D205" i="21"/>
  <c r="D213" i="21"/>
  <c r="D221" i="21"/>
  <c r="E228" i="21"/>
  <c r="D240" i="21"/>
  <c r="D247" i="21"/>
  <c r="D313" i="21"/>
  <c r="D321" i="21"/>
  <c r="D329" i="21"/>
  <c r="D4" i="19"/>
  <c r="D308" i="21"/>
  <c r="E4" i="19"/>
  <c r="D192" i="21"/>
  <c r="E192" i="21" s="1"/>
  <c r="E193" i="21" s="1"/>
  <c r="E194" i="21" s="1"/>
  <c r="D200" i="21"/>
  <c r="D208" i="21"/>
  <c r="D216" i="21"/>
  <c r="D303" i="21"/>
  <c r="E303" i="21" s="1"/>
  <c r="E304" i="21" s="1"/>
  <c r="E305" i="21" s="1"/>
  <c r="D316" i="21"/>
  <c r="D324" i="21"/>
  <c r="D332" i="21"/>
  <c r="F4" i="19"/>
  <c r="B114" i="20"/>
  <c r="D165" i="21"/>
  <c r="D175" i="21"/>
  <c r="D180" i="21"/>
  <c r="D238" i="21"/>
  <c r="D257" i="21"/>
  <c r="D311" i="21"/>
  <c r="D342" i="21"/>
  <c r="D350" i="21"/>
  <c r="D358" i="21"/>
  <c r="D366" i="21"/>
  <c r="G4" i="19"/>
  <c r="C114" i="20"/>
  <c r="B132" i="20"/>
  <c r="D195" i="21"/>
  <c r="D203" i="21"/>
  <c r="D211" i="21"/>
  <c r="D219" i="21"/>
  <c r="D231" i="21"/>
  <c r="D250" i="21"/>
  <c r="D306" i="21"/>
  <c r="D319" i="21"/>
  <c r="D327" i="21"/>
  <c r="H4" i="19"/>
  <c r="C132" i="20"/>
  <c r="D158" i="21"/>
  <c r="D168" i="21"/>
  <c r="D243" i="21"/>
  <c r="D255" i="21"/>
  <c r="D345" i="21"/>
  <c r="D353" i="21"/>
  <c r="D361" i="21"/>
  <c r="D369" i="21"/>
  <c r="I4" i="19"/>
  <c r="D163" i="21"/>
  <c r="D173" i="21"/>
  <c r="D178" i="21"/>
  <c r="D198" i="21"/>
  <c r="D206" i="21"/>
  <c r="D229" i="21"/>
  <c r="D236" i="21"/>
  <c r="D314" i="21"/>
  <c r="D322" i="21"/>
  <c r="D330" i="21"/>
  <c r="D241" i="21"/>
  <c r="D340" i="21"/>
  <c r="D348" i="21"/>
  <c r="D356" i="21"/>
  <c r="B331" i="21"/>
  <c r="B329" i="21"/>
  <c r="B327" i="21"/>
  <c r="B325" i="21"/>
  <c r="B323" i="21"/>
  <c r="B321" i="21"/>
  <c r="B319" i="21"/>
  <c r="B317" i="21"/>
  <c r="B315" i="21"/>
  <c r="B313" i="21"/>
  <c r="B311" i="21"/>
  <c r="B309" i="21"/>
  <c r="B307" i="21"/>
  <c r="B305" i="21"/>
  <c r="B303" i="21"/>
  <c r="B322" i="21"/>
  <c r="B332" i="21"/>
  <c r="B330" i="21"/>
  <c r="B328" i="21"/>
  <c r="B326" i="21"/>
  <c r="B324" i="21"/>
  <c r="B320" i="21"/>
  <c r="B310" i="21"/>
  <c r="C41" i="20"/>
  <c r="B32" i="21"/>
  <c r="B41" i="20"/>
  <c r="B318" i="21"/>
  <c r="B8" i="21"/>
  <c r="B184" i="21"/>
  <c r="B182" i="21"/>
  <c r="B180" i="21"/>
  <c r="B178" i="21"/>
  <c r="B176" i="21"/>
  <c r="B174" i="21"/>
  <c r="B172" i="21"/>
  <c r="B170" i="21"/>
  <c r="B168" i="21"/>
  <c r="B166" i="21"/>
  <c r="B164" i="21"/>
  <c r="B162" i="21"/>
  <c r="B160" i="21"/>
  <c r="B158" i="21"/>
  <c r="B156" i="21"/>
  <c r="B154" i="21"/>
  <c r="B167" i="21"/>
  <c r="B232" i="21"/>
  <c r="B249" i="21"/>
  <c r="B72" i="21"/>
  <c r="B70" i="21"/>
  <c r="B68" i="21"/>
  <c r="B66" i="21"/>
  <c r="B64" i="21"/>
  <c r="B62" i="21"/>
  <c r="B60" i="21"/>
  <c r="B58" i="21"/>
  <c r="B56" i="21"/>
  <c r="B54" i="21"/>
  <c r="B52" i="21"/>
  <c r="B50" i="21"/>
  <c r="B48" i="21"/>
  <c r="B46" i="21"/>
  <c r="B44" i="21"/>
  <c r="B73" i="21"/>
  <c r="B71" i="21"/>
  <c r="B69" i="21"/>
  <c r="B67" i="21"/>
  <c r="B65" i="21"/>
  <c r="B63" i="21"/>
  <c r="B61" i="21"/>
  <c r="B59" i="21"/>
  <c r="B57" i="21"/>
  <c r="B55" i="21"/>
  <c r="B53" i="21"/>
  <c r="B51" i="21"/>
  <c r="B49" i="21"/>
  <c r="B47" i="21"/>
  <c r="B45" i="21"/>
  <c r="B43" i="21"/>
  <c r="B306" i="21"/>
  <c r="B28" i="21"/>
  <c r="B228" i="21"/>
  <c r="B245" i="21"/>
  <c r="B316" i="21"/>
  <c r="H3" i="19"/>
  <c r="G3" i="19"/>
  <c r="F3" i="19"/>
  <c r="E3" i="19"/>
  <c r="C3" i="19"/>
  <c r="I3" i="19"/>
  <c r="B6" i="21"/>
  <c r="B221" i="21"/>
  <c r="B219" i="21"/>
  <c r="B217" i="21"/>
  <c r="B215" i="21"/>
  <c r="B213" i="21"/>
  <c r="B211" i="21"/>
  <c r="B209" i="21"/>
  <c r="B207" i="21"/>
  <c r="B205" i="21"/>
  <c r="B203" i="21"/>
  <c r="B201" i="21"/>
  <c r="B199" i="21"/>
  <c r="B197" i="21"/>
  <c r="B195" i="21"/>
  <c r="B193" i="21"/>
  <c r="B191" i="21"/>
  <c r="B220" i="21"/>
  <c r="B218" i="21"/>
  <c r="B216" i="21"/>
  <c r="B214" i="21"/>
  <c r="B212" i="21"/>
  <c r="B210" i="21"/>
  <c r="B208" i="21"/>
  <c r="B206" i="21"/>
  <c r="B204" i="21"/>
  <c r="B202" i="21"/>
  <c r="B200" i="21"/>
  <c r="B198" i="21"/>
  <c r="B196" i="21"/>
  <c r="B194" i="21"/>
  <c r="B192" i="21"/>
  <c r="C59" i="20"/>
  <c r="B59" i="20"/>
  <c r="C203" i="20"/>
  <c r="B16" i="21"/>
  <c r="B304" i="21"/>
  <c r="J3" i="19"/>
  <c r="K3" i="19"/>
  <c r="B203" i="20"/>
  <c r="D203" i="20" s="1"/>
  <c r="B26" i="21"/>
  <c r="B239" i="21"/>
  <c r="B254" i="21"/>
  <c r="B314" i="21"/>
  <c r="C131" i="20"/>
  <c r="D131" i="20" s="1"/>
  <c r="L3" i="19"/>
  <c r="B237" i="21"/>
  <c r="M3" i="19"/>
  <c r="B35" i="21"/>
  <c r="B33" i="21"/>
  <c r="B31" i="21"/>
  <c r="B29" i="21"/>
  <c r="B27" i="21"/>
  <c r="B25" i="21"/>
  <c r="B23" i="21"/>
  <c r="B21" i="21"/>
  <c r="B19" i="21"/>
  <c r="B17" i="21"/>
  <c r="B15" i="21"/>
  <c r="B13" i="21"/>
  <c r="B11" i="21"/>
  <c r="B9" i="21"/>
  <c r="B7" i="21"/>
  <c r="B14" i="21"/>
  <c r="B302" i="21"/>
  <c r="B339" i="21"/>
  <c r="B341" i="21"/>
  <c r="B343" i="21"/>
  <c r="B345" i="21"/>
  <c r="B347" i="21"/>
  <c r="B349" i="21"/>
  <c r="B351" i="21"/>
  <c r="B353" i="21"/>
  <c r="B355" i="21"/>
  <c r="B357" i="21"/>
  <c r="B359" i="21"/>
  <c r="B361" i="21"/>
  <c r="B363" i="21"/>
  <c r="B365" i="21"/>
  <c r="B367" i="21"/>
  <c r="B369" i="21"/>
  <c r="B437" i="21"/>
  <c r="B439" i="21"/>
  <c r="B441" i="21"/>
  <c r="B23" i="20"/>
  <c r="D23" i="20" s="1"/>
  <c r="B95" i="20"/>
  <c r="D95" i="20" s="1"/>
  <c r="B167" i="20"/>
  <c r="D167" i="20" s="1"/>
  <c r="B340" i="21"/>
  <c r="B342" i="21"/>
  <c r="B344" i="21"/>
  <c r="B346" i="21"/>
  <c r="B348" i="21"/>
  <c r="B350" i="21"/>
  <c r="B352" i="21"/>
  <c r="B354" i="21"/>
  <c r="B356" i="21"/>
  <c r="B358" i="21"/>
  <c r="B360" i="21"/>
  <c r="B362" i="21"/>
  <c r="B364" i="21"/>
  <c r="B366" i="21"/>
  <c r="E475" i="17"/>
  <c r="D417" i="17"/>
  <c r="D351" i="17"/>
  <c r="C293" i="17"/>
  <c r="C227" i="17"/>
  <c r="D171" i="17"/>
  <c r="D105" i="17"/>
  <c r="D39" i="17"/>
  <c r="G474" i="17"/>
  <c r="D414" i="17"/>
  <c r="G343" i="17"/>
  <c r="E275" i="17"/>
  <c r="D217" i="17"/>
  <c r="D151" i="17"/>
  <c r="C93" i="17"/>
  <c r="C27" i="17"/>
  <c r="G451" i="17"/>
  <c r="E383" i="17"/>
  <c r="C315" i="17"/>
  <c r="E252" i="17"/>
  <c r="E186" i="17"/>
  <c r="E120" i="17"/>
  <c r="D62" i="17"/>
  <c r="C474" i="17"/>
  <c r="C398" i="17"/>
  <c r="F316" i="17"/>
  <c r="D240" i="17"/>
  <c r="D158" i="17"/>
  <c r="E68" i="17"/>
  <c r="D32" i="16"/>
  <c r="F434" i="17"/>
  <c r="E337" i="17"/>
  <c r="G250" i="17"/>
  <c r="G160" i="17"/>
  <c r="C92" i="17"/>
  <c r="F34" i="16"/>
  <c r="E434" i="17"/>
  <c r="D452" i="17"/>
  <c r="E373" i="17"/>
  <c r="C279" i="17"/>
  <c r="C213" i="17"/>
  <c r="F141" i="17"/>
  <c r="F67" i="17"/>
  <c r="G26" i="16"/>
  <c r="C452" i="17"/>
  <c r="F400" i="17"/>
  <c r="F298" i="17"/>
  <c r="G196" i="17"/>
  <c r="G92" i="17"/>
  <c r="C10" i="16"/>
  <c r="F313" i="17"/>
  <c r="G119" i="17"/>
  <c r="G480" i="17"/>
  <c r="G388" i="17"/>
  <c r="E266" i="17"/>
  <c r="F196" i="17"/>
  <c r="F95" i="17"/>
  <c r="G12" i="16"/>
  <c r="D310" i="17"/>
  <c r="F116" i="17"/>
  <c r="E477" i="17"/>
  <c r="C347" i="17"/>
  <c r="E250" i="17"/>
  <c r="C133" i="17"/>
  <c r="D40" i="17"/>
  <c r="C456" i="17"/>
  <c r="D338" i="17"/>
  <c r="E256" i="17"/>
  <c r="F159" i="17"/>
  <c r="C36" i="16"/>
  <c r="H402" i="17"/>
  <c r="E261" i="17"/>
  <c r="G132" i="17"/>
  <c r="C33" i="16"/>
  <c r="C311" i="17"/>
  <c r="F61" i="17"/>
  <c r="D356" i="17"/>
  <c r="D109" i="17"/>
  <c r="F401" i="17"/>
  <c r="F152" i="17"/>
  <c r="E420" i="17"/>
  <c r="D276" i="17"/>
  <c r="D149" i="17"/>
  <c r="D55" i="17"/>
  <c r="E336" i="17"/>
  <c r="C75" i="17"/>
  <c r="E385" i="17"/>
  <c r="E145" i="17"/>
  <c r="G419" i="17"/>
  <c r="C156" i="17"/>
  <c r="E435" i="17"/>
  <c r="F302" i="17"/>
  <c r="E112" i="17"/>
  <c r="C478" i="17"/>
  <c r="E320" i="17"/>
  <c r="D185" i="17"/>
  <c r="G50" i="17"/>
  <c r="C399" i="17"/>
  <c r="C297" i="17"/>
  <c r="G181" i="17"/>
  <c r="G60" i="17"/>
  <c r="F453" i="17"/>
  <c r="D278" i="17"/>
  <c r="F144" i="17"/>
  <c r="D27" i="17"/>
  <c r="E438" i="17"/>
  <c r="E351" i="17"/>
  <c r="F18" i="17"/>
  <c r="F254" i="17"/>
  <c r="D438" i="17"/>
  <c r="G137" i="17"/>
  <c r="C373" i="17"/>
  <c r="F33" i="17"/>
  <c r="C222" i="17"/>
  <c r="D273" i="17"/>
  <c r="D140" i="17"/>
  <c r="E476" i="17"/>
  <c r="D202" i="17"/>
  <c r="C300" i="17"/>
  <c r="E348" i="17"/>
  <c r="G173" i="17"/>
  <c r="G440" i="17"/>
  <c r="D312" i="17"/>
  <c r="G192" i="17"/>
  <c r="D383" i="17"/>
  <c r="G111" i="17"/>
  <c r="C383" i="17"/>
  <c r="C473" i="17"/>
  <c r="F468" i="17"/>
  <c r="D466" i="17"/>
  <c r="G461" i="17"/>
  <c r="E459" i="17"/>
  <c r="C457" i="17"/>
  <c r="F452" i="17"/>
  <c r="D450" i="17"/>
  <c r="C440" i="17"/>
  <c r="F435" i="17"/>
  <c r="D433" i="17"/>
  <c r="C375" i="17"/>
  <c r="C309" i="17"/>
  <c r="D241" i="17"/>
  <c r="D187" i="17"/>
  <c r="D122" i="17"/>
  <c r="C63" i="17"/>
  <c r="G29" i="16"/>
  <c r="D430" i="17"/>
  <c r="G359" i="17"/>
  <c r="D299" i="17"/>
  <c r="D233" i="17"/>
  <c r="C175" i="17"/>
  <c r="C109" i="17"/>
  <c r="D41" i="17"/>
  <c r="G467" i="17"/>
  <c r="E399" i="17"/>
  <c r="G336" i="17"/>
  <c r="E268" i="17"/>
  <c r="D210" i="17"/>
  <c r="D144" i="17"/>
  <c r="D78" i="17"/>
  <c r="C20" i="17"/>
  <c r="F421" i="17"/>
  <c r="F345" i="17"/>
  <c r="G266" i="17"/>
  <c r="D179" i="17"/>
  <c r="C100" i="17"/>
  <c r="G23" i="17"/>
  <c r="F463" i="17"/>
  <c r="F358" i="17"/>
  <c r="C269" i="17"/>
  <c r="C187" i="17"/>
  <c r="E110" i="17"/>
  <c r="F23" i="17"/>
  <c r="E463" i="17"/>
  <c r="C468" i="17"/>
  <c r="G394" i="17"/>
  <c r="G307" i="17"/>
  <c r="C234" i="17"/>
  <c r="D173" i="17"/>
  <c r="G96" i="17"/>
  <c r="F17" i="17"/>
  <c r="C465" i="17"/>
  <c r="C427" i="17"/>
  <c r="F333" i="17"/>
  <c r="C231" i="17"/>
  <c r="C134" i="17"/>
  <c r="G31" i="16"/>
  <c r="E376" i="17"/>
  <c r="F183" i="17"/>
  <c r="G13" i="17"/>
  <c r="D411" i="17"/>
  <c r="E298" i="17"/>
  <c r="E222" i="17"/>
  <c r="D131" i="17"/>
  <c r="D37" i="16"/>
  <c r="D373" i="17"/>
  <c r="C190" i="17"/>
  <c r="G16" i="17"/>
  <c r="F410" i="17"/>
  <c r="C278" i="17"/>
  <c r="F180" i="17"/>
  <c r="D66" i="17"/>
  <c r="G14" i="16"/>
  <c r="G378" i="17"/>
  <c r="G274" i="17"/>
  <c r="E198" i="17"/>
  <c r="C66" i="17"/>
  <c r="C455" i="17"/>
  <c r="F307" i="17"/>
  <c r="D162" i="17"/>
  <c r="C25" i="17"/>
  <c r="E382" i="17"/>
  <c r="E132" i="17"/>
  <c r="G415" i="17"/>
  <c r="D175" i="17"/>
  <c r="D470" i="17"/>
  <c r="E228" i="17"/>
  <c r="F475" i="17"/>
  <c r="F322" i="17"/>
  <c r="F182" i="17"/>
  <c r="D75" i="17"/>
  <c r="G424" i="17"/>
  <c r="C149" i="17"/>
  <c r="D459" i="17"/>
  <c r="E232" i="17"/>
  <c r="C19" i="16"/>
  <c r="G251" i="17"/>
  <c r="G414" i="17"/>
  <c r="G335" i="17"/>
  <c r="C159" i="17"/>
  <c r="C13" i="17"/>
  <c r="D349" i="17"/>
  <c r="F231" i="17"/>
  <c r="F93" i="17"/>
  <c r="G469" i="17"/>
  <c r="D331" i="17"/>
  <c r="C220" i="17"/>
  <c r="C105" i="17"/>
  <c r="F11" i="16"/>
  <c r="C331" i="17"/>
  <c r="F181" i="17"/>
  <c r="D67" i="17"/>
  <c r="C8" i="16"/>
  <c r="D469" i="17"/>
  <c r="E143" i="17"/>
  <c r="E305" i="17"/>
  <c r="G29" i="17"/>
  <c r="C265" i="17"/>
  <c r="F480" i="17"/>
  <c r="E107" i="17"/>
  <c r="D293" i="17"/>
  <c r="F460" i="17"/>
  <c r="G312" i="17"/>
  <c r="E173" i="17"/>
  <c r="D476" i="17"/>
  <c r="F390" i="17"/>
  <c r="G33" i="16"/>
  <c r="E318" i="17"/>
  <c r="E184" i="17"/>
  <c r="F14" i="17"/>
  <c r="G344" i="17"/>
  <c r="F37" i="16"/>
  <c r="G211" i="17"/>
  <c r="G455" i="17"/>
  <c r="F211" i="17"/>
  <c r="G428" i="17"/>
  <c r="F370" i="17"/>
  <c r="F304" i="17"/>
  <c r="F238" i="17"/>
  <c r="G182" i="17"/>
  <c r="G116" i="17"/>
  <c r="F58" i="17"/>
  <c r="E27" i="16"/>
  <c r="G425" i="17"/>
  <c r="E357" i="17"/>
  <c r="G294" i="17"/>
  <c r="G228" i="17"/>
  <c r="F170" i="17"/>
  <c r="F104" i="17"/>
  <c r="F38" i="17"/>
  <c r="E465" i="17"/>
  <c r="C397" i="17"/>
  <c r="E334" i="17"/>
  <c r="C266" i="17"/>
  <c r="C200" i="17"/>
  <c r="G139" i="17"/>
  <c r="G73" i="17"/>
  <c r="F15" i="17"/>
  <c r="C416" i="17"/>
  <c r="C340" i="17"/>
  <c r="D261" i="17"/>
  <c r="F176" i="17"/>
  <c r="E97" i="17"/>
  <c r="D18" i="17"/>
  <c r="C458" i="17"/>
  <c r="D353" i="17"/>
  <c r="F266" i="17"/>
  <c r="F184" i="17"/>
  <c r="E105" i="17"/>
  <c r="C18" i="17"/>
  <c r="G460" i="17"/>
  <c r="D465" i="17"/>
  <c r="D389" i="17"/>
  <c r="D305" i="17"/>
  <c r="E231" i="17"/>
  <c r="G170" i="17"/>
  <c r="E91" i="17"/>
  <c r="C12" i="17"/>
  <c r="F462" i="17"/>
  <c r="D420" i="17"/>
  <c r="F330" i="17"/>
  <c r="D228" i="17"/>
  <c r="F131" i="17"/>
  <c r="C26" i="16"/>
  <c r="E370" i="17"/>
  <c r="G174" i="17"/>
  <c r="D31" i="16"/>
  <c r="E400" i="17"/>
  <c r="D295" i="17"/>
  <c r="G219" i="17"/>
  <c r="C114" i="17"/>
  <c r="C34" i="16"/>
  <c r="E359" i="17"/>
  <c r="G177" i="17"/>
  <c r="G10" i="17"/>
  <c r="G399" i="17"/>
  <c r="E265" i="17"/>
  <c r="D174" i="17"/>
  <c r="E63" i="17"/>
  <c r="C12" i="16"/>
  <c r="G375" i="17"/>
  <c r="G268" i="17"/>
  <c r="E195" i="17"/>
  <c r="C40" i="17"/>
  <c r="F451" i="17"/>
  <c r="F299" i="17"/>
  <c r="D153" i="17"/>
  <c r="C21" i="17"/>
  <c r="E371" i="17"/>
  <c r="E109" i="17"/>
  <c r="H401" i="17"/>
  <c r="D156" i="17"/>
  <c r="D462" i="17"/>
  <c r="G220" i="17"/>
  <c r="G459" i="17"/>
  <c r="E314" i="17"/>
  <c r="F175" i="17"/>
  <c r="E72" i="17"/>
  <c r="D402" i="17"/>
  <c r="D139" i="17"/>
  <c r="C451" i="17"/>
  <c r="C198" i="17"/>
  <c r="D12" i="16"/>
  <c r="F224" i="17"/>
  <c r="D478" i="17"/>
  <c r="G331" i="17"/>
  <c r="E152" i="17"/>
  <c r="G35" i="16"/>
  <c r="C346" i="17"/>
  <c r="E220" i="17"/>
  <c r="E74" i="17"/>
  <c r="F466" i="17"/>
  <c r="D320" i="17"/>
  <c r="C216" i="17"/>
  <c r="E93" i="17"/>
  <c r="E8" i="16"/>
  <c r="C316" i="17"/>
  <c r="C177" i="17"/>
  <c r="D60" i="17"/>
  <c r="E426" i="17"/>
  <c r="E360" i="17"/>
  <c r="D302" i="17"/>
  <c r="D236" i="17"/>
  <c r="E180" i="17"/>
  <c r="E114" i="17"/>
  <c r="D56" i="17"/>
  <c r="C25" i="16"/>
  <c r="E423" i="17"/>
  <c r="C355" i="17"/>
  <c r="E292" i="17"/>
  <c r="E226" i="17"/>
  <c r="E160" i="17"/>
  <c r="D102" i="17"/>
  <c r="D36" i="17"/>
  <c r="C463" i="17"/>
  <c r="F392" i="17"/>
  <c r="C332" i="17"/>
  <c r="F261" i="17"/>
  <c r="F195" i="17"/>
  <c r="E137" i="17"/>
  <c r="E71" i="17"/>
  <c r="D13" i="17"/>
  <c r="F413" i="17"/>
  <c r="G337" i="17"/>
  <c r="F258" i="17"/>
  <c r="C174" i="17"/>
  <c r="G94" i="17"/>
  <c r="E10" i="17"/>
  <c r="E455" i="17"/>
  <c r="G350" i="17"/>
  <c r="C261" i="17"/>
  <c r="C179" i="17"/>
  <c r="G102" i="17"/>
  <c r="E15" i="17"/>
  <c r="D455" i="17"/>
  <c r="G462" i="17"/>
  <c r="C384" i="17"/>
  <c r="G302" i="17"/>
  <c r="F223" i="17"/>
  <c r="E157" i="17"/>
  <c r="F81" i="17"/>
  <c r="D36" i="16"/>
  <c r="C460" i="17"/>
  <c r="E417" i="17"/>
  <c r="C320" i="17"/>
  <c r="F225" i="17"/>
  <c r="D114" i="17"/>
  <c r="F23" i="16"/>
  <c r="E356" i="17"/>
  <c r="C160" i="17"/>
  <c r="D23" i="16"/>
  <c r="F397" i="17"/>
  <c r="C292" i="17"/>
  <c r="G216" i="17"/>
  <c r="G110" i="17"/>
  <c r="E31" i="16"/>
  <c r="D350" i="17"/>
  <c r="F157" i="17"/>
  <c r="G28" i="16"/>
  <c r="F396" i="17"/>
  <c r="F259" i="17"/>
  <c r="G159" i="17"/>
  <c r="D57" i="17"/>
  <c r="E9" i="16"/>
  <c r="G372" i="17"/>
  <c r="D265" i="17"/>
  <c r="C192" i="17"/>
  <c r="G27" i="17"/>
  <c r="F440" i="17"/>
  <c r="C291" i="17"/>
  <c r="F149" i="17"/>
  <c r="G17" i="17"/>
  <c r="G353" i="17"/>
  <c r="E102" i="17"/>
  <c r="D392" i="17"/>
  <c r="F142" i="17"/>
  <c r="E454" i="17"/>
  <c r="F185" i="17"/>
  <c r="E451" i="17"/>
  <c r="G311" i="17"/>
  <c r="D172" i="17"/>
  <c r="F65" i="17"/>
  <c r="E392" i="17"/>
  <c r="G120" i="17"/>
  <c r="F424" i="17"/>
  <c r="G185" i="17"/>
  <c r="G478" i="17"/>
  <c r="E217" i="17"/>
  <c r="C462" i="17"/>
  <c r="G320" i="17"/>
  <c r="D148" i="17"/>
  <c r="E32" i="16"/>
  <c r="F342" i="17"/>
  <c r="D213" i="17"/>
  <c r="C71" i="17"/>
  <c r="E458" i="17"/>
  <c r="D313" i="17"/>
  <c r="H202" i="17"/>
  <c r="F77" i="17"/>
  <c r="F473" i="17"/>
  <c r="F309" i="17"/>
  <c r="D170" i="17"/>
  <c r="G53" i="17"/>
  <c r="E469" i="17"/>
  <c r="C422" i="17"/>
  <c r="D108" i="17"/>
  <c r="G276" i="17"/>
  <c r="F39" i="16"/>
  <c r="D188" i="17"/>
  <c r="D426" i="17"/>
  <c r="C77" i="17"/>
  <c r="C270" i="17"/>
  <c r="D337" i="17"/>
  <c r="G214" i="17"/>
  <c r="G69" i="17"/>
  <c r="C424" i="17"/>
  <c r="C358" i="17"/>
  <c r="G297" i="17"/>
  <c r="G231" i="17"/>
  <c r="C178" i="17"/>
  <c r="C112" i="17"/>
  <c r="G51" i="17"/>
  <c r="H482" i="17"/>
  <c r="C421" i="17"/>
  <c r="F350" i="17"/>
  <c r="C290" i="17"/>
  <c r="C224" i="17"/>
  <c r="C158" i="17"/>
  <c r="G97" i="17"/>
  <c r="G31" i="17"/>
  <c r="F458" i="17"/>
  <c r="D390" i="17"/>
  <c r="G319" i="17"/>
  <c r="D259" i="17"/>
  <c r="D193" i="17"/>
  <c r="C135" i="17"/>
  <c r="C69" i="17"/>
  <c r="F38" i="16"/>
  <c r="C411" i="17"/>
  <c r="E332" i="17"/>
  <c r="C256" i="17"/>
  <c r="F171" i="17"/>
  <c r="D92" i="17"/>
  <c r="C37" i="16"/>
  <c r="E450" i="17"/>
  <c r="E345" i="17"/>
  <c r="E258" i="17"/>
  <c r="E176" i="17"/>
  <c r="D97" i="17"/>
  <c r="G12" i="17"/>
  <c r="C450" i="17"/>
  <c r="D460" i="17"/>
  <c r="F381" i="17"/>
  <c r="D297" i="17"/>
  <c r="D218" i="17"/>
  <c r="C152" i="17"/>
  <c r="F75" i="17"/>
  <c r="F31" i="16"/>
  <c r="E457" i="17"/>
  <c r="E414" i="17"/>
  <c r="E307" i="17"/>
  <c r="G222" i="17"/>
  <c r="G101" i="17"/>
  <c r="D18" i="16"/>
  <c r="G347" i="17"/>
  <c r="F154" i="17"/>
  <c r="D15" i="16"/>
  <c r="D394" i="17"/>
  <c r="G275" i="17"/>
  <c r="G210" i="17"/>
  <c r="D104" i="17"/>
  <c r="E23" i="16"/>
  <c r="D333" i="17"/>
  <c r="F151" i="17"/>
  <c r="G20" i="16"/>
  <c r="G393" i="17"/>
  <c r="F256" i="17"/>
  <c r="C139" i="17"/>
  <c r="C54" i="17"/>
  <c r="D480" i="17"/>
  <c r="G349" i="17"/>
  <c r="G262" i="17"/>
  <c r="E189" i="17"/>
  <c r="F24" i="17"/>
  <c r="C428" i="17"/>
  <c r="F276" i="17"/>
  <c r="C146" i="17"/>
  <c r="E14" i="17"/>
  <c r="D343" i="17"/>
  <c r="D90" i="17"/>
  <c r="F378" i="17"/>
  <c r="D132" i="17"/>
  <c r="E424" i="17"/>
  <c r="D178" i="17"/>
  <c r="E440" i="17"/>
  <c r="F303" i="17"/>
  <c r="G156" i="17"/>
  <c r="G61" i="17"/>
  <c r="E375" i="17"/>
  <c r="D106" i="17"/>
  <c r="D412" i="17"/>
  <c r="E178" i="17"/>
  <c r="C459" i="17"/>
  <c r="C182" i="17"/>
  <c r="D454" i="17"/>
  <c r="C317" i="17"/>
  <c r="G138" i="17"/>
  <c r="G21" i="16"/>
  <c r="C335" i="17"/>
  <c r="F197" i="17"/>
  <c r="D64" i="17"/>
  <c r="C435" i="17"/>
  <c r="G305" i="17"/>
  <c r="E197" i="17"/>
  <c r="D74" i="17"/>
  <c r="F469" i="17"/>
  <c r="F305" i="17"/>
  <c r="G158" i="17"/>
  <c r="E50" i="17"/>
  <c r="E461" i="17"/>
  <c r="G477" i="17"/>
  <c r="F419" i="17"/>
  <c r="D335" i="17"/>
  <c r="D253" i="17"/>
  <c r="G149" i="17"/>
  <c r="G67" i="17"/>
  <c r="F465" i="17"/>
  <c r="G376" i="17"/>
  <c r="F268" i="17"/>
  <c r="F186" i="17"/>
  <c r="G80" i="17"/>
  <c r="H38" i="16"/>
  <c r="G385" i="17"/>
  <c r="C299" i="17"/>
  <c r="F212" i="17"/>
  <c r="G106" i="17"/>
  <c r="G24" i="17"/>
  <c r="D382" i="17"/>
  <c r="C277" i="17"/>
  <c r="D150" i="17"/>
  <c r="C34" i="17"/>
  <c r="D429" i="17"/>
  <c r="F300" i="17"/>
  <c r="E171" i="17"/>
  <c r="E52" i="17"/>
  <c r="G468" i="17"/>
  <c r="C426" i="17"/>
  <c r="C313" i="17"/>
  <c r="C197" i="17"/>
  <c r="D107" i="17"/>
  <c r="G19" i="16"/>
  <c r="C461" i="17"/>
  <c r="F292" i="17"/>
  <c r="F161" i="17"/>
  <c r="F15" i="16"/>
  <c r="E272" i="17"/>
  <c r="F19" i="17"/>
  <c r="C336" i="17"/>
  <c r="C228" i="17"/>
  <c r="G75" i="17"/>
  <c r="E391" i="17"/>
  <c r="C104" i="17"/>
  <c r="G422" i="17"/>
  <c r="F239" i="17"/>
  <c r="E94" i="17"/>
  <c r="G473" i="17"/>
  <c r="F306" i="17"/>
  <c r="E215" i="17"/>
  <c r="D25" i="16"/>
  <c r="C318" i="17"/>
  <c r="F106" i="17"/>
  <c r="C432" i="17"/>
  <c r="G35" i="17"/>
  <c r="G240" i="17"/>
  <c r="C392" i="17"/>
  <c r="D24" i="17"/>
  <c r="E299" i="17"/>
  <c r="F109" i="17"/>
  <c r="C436" i="17"/>
  <c r="G32" i="17"/>
  <c r="G260" i="17"/>
  <c r="E388" i="17"/>
  <c r="F20" i="17"/>
  <c r="E271" i="17"/>
  <c r="D54" i="17"/>
  <c r="E313" i="17"/>
  <c r="F119" i="17"/>
  <c r="G411" i="17"/>
  <c r="E255" i="17"/>
  <c r="F108" i="17"/>
  <c r="C395" i="17"/>
  <c r="D197" i="17"/>
  <c r="F12" i="17"/>
  <c r="G380" i="17"/>
  <c r="F147" i="17"/>
  <c r="F265" i="17"/>
  <c r="D345" i="17"/>
  <c r="F29" i="17"/>
  <c r="D137" i="17"/>
  <c r="G258" i="17"/>
  <c r="H162" i="17"/>
  <c r="G417" i="17"/>
  <c r="F40" i="17"/>
  <c r="G410" i="17"/>
  <c r="C13" i="16"/>
  <c r="C196" i="17"/>
  <c r="F357" i="17"/>
  <c r="D103" i="17"/>
  <c r="D96" i="17"/>
  <c r="C280" i="17"/>
  <c r="D461" i="17"/>
  <c r="F111" i="17"/>
  <c r="D372" i="17"/>
  <c r="D21" i="17"/>
  <c r="F262" i="17"/>
  <c r="G348" i="17"/>
  <c r="F273" i="17"/>
  <c r="E311" i="17"/>
  <c r="G90" i="17"/>
  <c r="F27" i="16"/>
  <c r="C271" i="17"/>
  <c r="G95" i="17"/>
  <c r="G304" i="17"/>
  <c r="D344" i="17"/>
  <c r="C119" i="17"/>
  <c r="E470" i="17"/>
  <c r="C229" i="17"/>
  <c r="D306" i="17"/>
  <c r="F57" i="17"/>
  <c r="C352" i="17"/>
  <c r="E188" i="17"/>
  <c r="E117" i="17"/>
  <c r="G351" i="17"/>
  <c r="E26" i="17"/>
  <c r="G136" i="17"/>
  <c r="C238" i="17"/>
  <c r="G412" i="17"/>
  <c r="G330" i="17"/>
  <c r="E229" i="17"/>
  <c r="E147" i="17"/>
  <c r="E65" i="17"/>
  <c r="D463" i="17"/>
  <c r="E374" i="17"/>
  <c r="D266" i="17"/>
  <c r="D184" i="17"/>
  <c r="E78" i="17"/>
  <c r="F482" i="17"/>
  <c r="C381" i="17"/>
  <c r="F294" i="17"/>
  <c r="G188" i="17"/>
  <c r="E104" i="17"/>
  <c r="E22" i="17"/>
  <c r="F379" i="17"/>
  <c r="E274" i="17"/>
  <c r="E142" i="17"/>
  <c r="E31" i="17"/>
  <c r="E421" i="17"/>
  <c r="F295" i="17"/>
  <c r="E155" i="17"/>
  <c r="E39" i="17"/>
  <c r="G439" i="17"/>
  <c r="C423" i="17"/>
  <c r="E310" i="17"/>
  <c r="E194" i="17"/>
  <c r="G104" i="17"/>
  <c r="E17" i="16"/>
  <c r="G457" i="17"/>
  <c r="G272" i="17"/>
  <c r="G148" i="17"/>
  <c r="G7" i="16"/>
  <c r="E263" i="17"/>
  <c r="E7" i="16"/>
  <c r="E333" i="17"/>
  <c r="E225" i="17"/>
  <c r="H41" i="17"/>
  <c r="F385" i="17"/>
  <c r="G98" i="17"/>
  <c r="E419" i="17"/>
  <c r="F236" i="17"/>
  <c r="G91" i="17"/>
  <c r="G438" i="17"/>
  <c r="D300" i="17"/>
  <c r="D180" i="17"/>
  <c r="E22" i="16"/>
  <c r="F314" i="17"/>
  <c r="D99" i="17"/>
  <c r="E412" i="17"/>
  <c r="D17" i="17"/>
  <c r="F217" i="17"/>
  <c r="D385" i="17"/>
  <c r="F13" i="17"/>
  <c r="C272" i="17"/>
  <c r="E106" i="17"/>
  <c r="D360" i="17"/>
  <c r="G36" i="16"/>
  <c r="C236" i="17"/>
  <c r="E378" i="17"/>
  <c r="C10" i="17"/>
  <c r="G267" i="17"/>
  <c r="D35" i="17"/>
  <c r="E302" i="17"/>
  <c r="D112" i="17"/>
  <c r="F395" i="17"/>
  <c r="C239" i="17"/>
  <c r="E67" i="17"/>
  <c r="G387" i="17"/>
  <c r="F188" i="17"/>
  <c r="D35" i="16"/>
  <c r="G377" i="17"/>
  <c r="E118" i="17"/>
  <c r="F234" i="17"/>
  <c r="F340" i="17"/>
  <c r="C23" i="17"/>
  <c r="F117" i="17"/>
  <c r="G233" i="17"/>
  <c r="E115" i="17"/>
  <c r="G386" i="17"/>
  <c r="D19" i="17"/>
  <c r="E380" i="17"/>
  <c r="D7" i="16"/>
  <c r="C144" i="17"/>
  <c r="G341" i="17"/>
  <c r="E73" i="17"/>
  <c r="F66" i="17"/>
  <c r="C258" i="17"/>
  <c r="F437" i="17"/>
  <c r="E100" i="17"/>
  <c r="E358" i="17"/>
  <c r="D15" i="17"/>
  <c r="G257" i="17"/>
  <c r="E11" i="17"/>
  <c r="F20" i="16"/>
  <c r="G133" i="17"/>
  <c r="G172" i="17"/>
  <c r="E253" i="17"/>
  <c r="D410" i="17"/>
  <c r="E254" i="17"/>
  <c r="F187" i="17"/>
  <c r="F198" i="17"/>
  <c r="G65" i="17"/>
  <c r="D79" i="17"/>
  <c r="E427" i="17"/>
  <c r="D370" i="17"/>
  <c r="C390" i="17"/>
  <c r="C438" i="17"/>
  <c r="F214" i="17"/>
  <c r="D262" i="17"/>
  <c r="F26" i="16"/>
  <c r="E410" i="17"/>
  <c r="F320" i="17"/>
  <c r="F222" i="17"/>
  <c r="C145" i="17"/>
  <c r="H42" i="17"/>
  <c r="G458" i="17"/>
  <c r="C372" i="17"/>
  <c r="G261" i="17"/>
  <c r="G179" i="17"/>
  <c r="C76" i="17"/>
  <c r="C479" i="17"/>
  <c r="F376" i="17"/>
  <c r="D292" i="17"/>
  <c r="C184" i="17"/>
  <c r="C102" i="17"/>
  <c r="F479" i="17"/>
  <c r="C377" i="17"/>
  <c r="E269" i="17"/>
  <c r="E134" i="17"/>
  <c r="G28" i="17"/>
  <c r="E413" i="17"/>
  <c r="G292" i="17"/>
  <c r="G152" i="17"/>
  <c r="G36" i="17"/>
  <c r="G431" i="17"/>
  <c r="G420" i="17"/>
  <c r="H282" i="17"/>
  <c r="G191" i="17"/>
  <c r="E99" i="17"/>
  <c r="C15" i="16"/>
  <c r="G433" i="17"/>
  <c r="G263" i="17"/>
  <c r="C143" i="17"/>
  <c r="D481" i="17"/>
  <c r="D222" i="17"/>
  <c r="D474" i="17"/>
  <c r="E330" i="17"/>
  <c r="D199" i="17"/>
  <c r="G37" i="17"/>
  <c r="D379" i="17"/>
  <c r="E92" i="17"/>
  <c r="D416" i="17"/>
  <c r="F233" i="17"/>
  <c r="D81" i="17"/>
  <c r="G435" i="17"/>
  <c r="E297" i="17"/>
  <c r="G150" i="17"/>
  <c r="C17" i="16"/>
  <c r="D272" i="17"/>
  <c r="F90" i="17"/>
  <c r="G396" i="17"/>
  <c r="E29" i="16"/>
  <c r="D194" i="17"/>
  <c r="C371" i="17"/>
  <c r="F32" i="16"/>
  <c r="C252" i="17"/>
  <c r="F102" i="17"/>
  <c r="D322" i="17"/>
  <c r="C22" i="16"/>
  <c r="E159" i="17"/>
  <c r="C356" i="17"/>
  <c r="F25" i="16"/>
  <c r="C264" i="17"/>
  <c r="C24" i="17"/>
  <c r="G293" i="17"/>
  <c r="G108" i="17"/>
  <c r="D391" i="17"/>
  <c r="D235" i="17"/>
  <c r="E57" i="17"/>
  <c r="F384" i="17"/>
  <c r="C155" i="17"/>
  <c r="C31" i="16"/>
  <c r="E355" i="17"/>
  <c r="C91" i="17"/>
  <c r="C223" i="17"/>
  <c r="G334" i="17"/>
  <c r="E12" i="17"/>
  <c r="F96" i="17"/>
  <c r="G199" i="17"/>
  <c r="E59" i="17"/>
  <c r="G357" i="17"/>
  <c r="G13" i="16"/>
  <c r="F351" i="17"/>
  <c r="H441" i="17"/>
  <c r="F134" i="17"/>
  <c r="C296" i="17"/>
  <c r="E53" i="17"/>
  <c r="E56" i="17"/>
  <c r="E238" i="17"/>
  <c r="D425" i="17"/>
  <c r="H81" i="17"/>
  <c r="C226" i="17"/>
  <c r="E393" i="17"/>
  <c r="C339" i="17"/>
  <c r="G146" i="17"/>
  <c r="D456" i="17"/>
  <c r="G463" i="17"/>
  <c r="D113" i="17"/>
  <c r="D142" i="17"/>
  <c r="G183" i="17"/>
  <c r="G397" i="17"/>
  <c r="D457" i="17"/>
  <c r="G54" i="17"/>
  <c r="D281" i="17"/>
  <c r="D229" i="17"/>
  <c r="D317" i="17"/>
  <c r="C475" i="17"/>
  <c r="G466" i="17"/>
  <c r="E27" i="17"/>
  <c r="D33" i="16"/>
  <c r="H242" i="17"/>
  <c r="E372" i="17"/>
  <c r="G140" i="17"/>
  <c r="D400" i="17"/>
  <c r="D318" i="17"/>
  <c r="D220" i="17"/>
  <c r="F140" i="17"/>
  <c r="G34" i="17"/>
  <c r="E456" i="17"/>
  <c r="D348" i="17"/>
  <c r="E259" i="17"/>
  <c r="E177" i="17"/>
  <c r="F71" i="17"/>
  <c r="F474" i="17"/>
  <c r="D374" i="17"/>
  <c r="F277" i="17"/>
  <c r="F179" i="17"/>
  <c r="F97" i="17"/>
  <c r="E471" i="17"/>
  <c r="C374" i="17"/>
  <c r="F253" i="17"/>
  <c r="F122" i="17"/>
  <c r="D26" i="17"/>
  <c r="G400" i="17"/>
  <c r="G279" i="17"/>
  <c r="C150" i="17"/>
  <c r="D31" i="17"/>
  <c r="C429" i="17"/>
  <c r="C418" i="17"/>
  <c r="E276" i="17"/>
  <c r="C189" i="17"/>
  <c r="D70" i="17"/>
  <c r="F10" i="16"/>
  <c r="F430" i="17"/>
  <c r="E260" i="17"/>
  <c r="C140" i="17"/>
  <c r="E474" i="17"/>
  <c r="D219" i="17"/>
  <c r="D482" i="17"/>
  <c r="G316" i="17"/>
  <c r="C193" i="17"/>
  <c r="C32" i="17"/>
  <c r="D316" i="17"/>
  <c r="F78" i="17"/>
  <c r="C413" i="17"/>
  <c r="E230" i="17"/>
  <c r="C72" i="17"/>
  <c r="G432" i="17"/>
  <c r="D294" i="17"/>
  <c r="C136" i="17"/>
  <c r="F14" i="16"/>
  <c r="D252" i="17"/>
  <c r="E79" i="17"/>
  <c r="F332" i="17"/>
  <c r="D19" i="16"/>
  <c r="D182" i="17"/>
  <c r="F349" i="17"/>
  <c r="G345" i="17"/>
  <c r="H241" i="17"/>
  <c r="C99" i="17"/>
  <c r="D314" i="17"/>
  <c r="D16" i="16"/>
  <c r="G135" i="17"/>
  <c r="E346" i="17"/>
  <c r="C439" i="17"/>
  <c r="F251" i="17"/>
  <c r="E20" i="17"/>
  <c r="D271" i="17"/>
  <c r="G105" i="17"/>
  <c r="G384" i="17"/>
  <c r="D231" i="17"/>
  <c r="F50" i="17"/>
  <c r="C370" i="17"/>
  <c r="D141" i="17"/>
  <c r="F24" i="16"/>
  <c r="F338" i="17"/>
  <c r="C73" i="17"/>
  <c r="E212" i="17"/>
  <c r="F315" i="17"/>
  <c r="D39" i="16"/>
  <c r="G56" i="17"/>
  <c r="C176" i="17"/>
  <c r="F26" i="17"/>
  <c r="F312" i="17"/>
  <c r="D428" i="17"/>
  <c r="C330" i="17"/>
  <c r="C308" i="17"/>
  <c r="C115" i="17"/>
  <c r="C230" i="17"/>
  <c r="D30" i="17"/>
  <c r="E37" i="17"/>
  <c r="D146" i="17"/>
  <c r="G413" i="17"/>
  <c r="F76" i="17"/>
  <c r="C333" i="17"/>
  <c r="E30" i="16"/>
  <c r="E191" i="17"/>
  <c r="D393" i="17"/>
  <c r="E150" i="17"/>
  <c r="C30" i="17"/>
  <c r="D357" i="17"/>
  <c r="D232" i="17"/>
  <c r="C26" i="17"/>
  <c r="C62" i="17"/>
  <c r="D196" i="17"/>
  <c r="D298" i="17"/>
  <c r="D419" i="17"/>
  <c r="C268" i="17"/>
  <c r="D432" i="17"/>
  <c r="C106" i="17"/>
  <c r="G259" i="17"/>
  <c r="G134" i="17"/>
  <c r="G299" i="17"/>
  <c r="C14" i="16"/>
  <c r="E103" i="17"/>
  <c r="D10" i="16"/>
  <c r="G395" i="17"/>
  <c r="G313" i="17"/>
  <c r="G215" i="17"/>
  <c r="D138" i="17"/>
  <c r="E32" i="17"/>
  <c r="C454" i="17"/>
  <c r="E341" i="17"/>
  <c r="C257" i="17"/>
  <c r="F153" i="17"/>
  <c r="D69" i="17"/>
  <c r="D472" i="17"/>
  <c r="F359" i="17"/>
  <c r="D275" i="17"/>
  <c r="D177" i="17"/>
  <c r="D95" i="17"/>
  <c r="E466" i="17"/>
  <c r="G371" i="17"/>
  <c r="F237" i="17"/>
  <c r="G118" i="17"/>
  <c r="G34" i="16"/>
  <c r="D395" i="17"/>
  <c r="D274" i="17"/>
  <c r="G147" i="17"/>
  <c r="F28" i="17"/>
  <c r="G426" i="17"/>
  <c r="E415" i="17"/>
  <c r="G273" i="17"/>
  <c r="D186" i="17"/>
  <c r="C65" i="17"/>
  <c r="D8" i="16"/>
  <c r="E411" i="17"/>
  <c r="E257" i="17"/>
  <c r="C137" i="17"/>
  <c r="D464" i="17"/>
  <c r="G213" i="17"/>
  <c r="E464" i="17"/>
  <c r="D307" i="17"/>
  <c r="D190" i="17"/>
  <c r="E28" i="17"/>
  <c r="E304" i="17"/>
  <c r="G72" i="17"/>
  <c r="C385" i="17"/>
  <c r="F227" i="17"/>
  <c r="E69" i="17"/>
  <c r="F422" i="17"/>
  <c r="E291" i="17"/>
  <c r="C130" i="17"/>
  <c r="D9" i="16"/>
  <c r="D242" i="17"/>
  <c r="F72" i="17"/>
  <c r="C303" i="17"/>
  <c r="E12" i="16"/>
  <c r="E116" i="17"/>
  <c r="G339" i="17"/>
  <c r="G479" i="17"/>
  <c r="G232" i="17"/>
  <c r="E90" i="17"/>
  <c r="F279" i="17"/>
  <c r="C9" i="16"/>
  <c r="C120" i="17"/>
  <c r="D321" i="17"/>
  <c r="F431" i="17"/>
  <c r="F220" i="17"/>
  <c r="G8" i="16"/>
  <c r="F267" i="17"/>
  <c r="C101" i="17"/>
  <c r="F374" i="17"/>
  <c r="G227" i="17"/>
  <c r="C38" i="17"/>
  <c r="F355" i="17"/>
  <c r="C138" i="17"/>
  <c r="D21" i="16"/>
  <c r="C464" i="17"/>
  <c r="H39" i="16"/>
  <c r="G200" i="17"/>
  <c r="C305" i="17"/>
  <c r="C27" i="16"/>
  <c r="C52" i="17"/>
  <c r="D157" i="17"/>
  <c r="C30" i="16"/>
  <c r="C267" i="17"/>
  <c r="F380" i="17"/>
  <c r="C312" i="17"/>
  <c r="D291" i="17"/>
  <c r="G99" i="17"/>
  <c r="C154" i="17"/>
  <c r="D468" i="17"/>
  <c r="C33" i="17"/>
  <c r="C141" i="17"/>
  <c r="G70" i="17"/>
  <c r="E213" i="17"/>
  <c r="E439" i="17"/>
  <c r="F252" i="17"/>
  <c r="G64" i="17"/>
  <c r="G270" i="17"/>
  <c r="F362" i="17"/>
  <c r="E387" i="17"/>
  <c r="D421" i="17"/>
  <c r="F481" i="17"/>
  <c r="G450" i="17"/>
  <c r="G25" i="17"/>
  <c r="C51" i="17"/>
  <c r="G475" i="17"/>
  <c r="C90" i="17"/>
  <c r="F264" i="17"/>
  <c r="F213" i="17"/>
  <c r="G223" i="17"/>
  <c r="E18" i="16"/>
  <c r="D12" i="17"/>
  <c r="G383" i="17"/>
  <c r="E21" i="17"/>
  <c r="F386" i="17"/>
  <c r="G280" i="17"/>
  <c r="F201" i="17"/>
  <c r="F107" i="17"/>
  <c r="D23" i="17"/>
  <c r="F432" i="17"/>
  <c r="D332" i="17"/>
  <c r="C240" i="17"/>
  <c r="C142" i="17"/>
  <c r="C60" i="17"/>
  <c r="D439" i="17"/>
  <c r="E350" i="17"/>
  <c r="C250" i="17"/>
  <c r="D160" i="17"/>
  <c r="F64" i="17"/>
  <c r="F455" i="17"/>
  <c r="E353" i="17"/>
  <c r="E216" i="17"/>
  <c r="C108" i="17"/>
  <c r="E20" i="16"/>
  <c r="E379" i="17"/>
  <c r="G234" i="17"/>
  <c r="D134" i="17"/>
  <c r="C32" i="16"/>
  <c r="H481" i="17"/>
  <c r="C376" i="17"/>
  <c r="G265" i="17"/>
  <c r="F178" i="17"/>
  <c r="C57" i="17"/>
  <c r="D473" i="17"/>
  <c r="G391" i="17"/>
  <c r="F240" i="17"/>
  <c r="C64" i="17"/>
  <c r="F423" i="17"/>
  <c r="G107" i="17"/>
  <c r="F433" i="17"/>
  <c r="F272" i="17"/>
  <c r="F160" i="17"/>
  <c r="G19" i="17"/>
  <c r="F275" i="17"/>
  <c r="D28" i="17"/>
  <c r="E338" i="17"/>
  <c r="G189" i="17"/>
  <c r="D34" i="17"/>
  <c r="D399" i="17"/>
  <c r="C253" i="17"/>
  <c r="F103" i="17"/>
  <c r="G416" i="17"/>
  <c r="D221" i="17"/>
  <c r="C29" i="17"/>
  <c r="G236" i="17"/>
  <c r="F454" i="17"/>
  <c r="D51" i="17"/>
  <c r="D279" i="17"/>
  <c r="F402" i="17"/>
  <c r="C221" i="17"/>
  <c r="E17" i="17"/>
  <c r="F232" i="17"/>
  <c r="D396" i="17"/>
  <c r="D58" i="17"/>
  <c r="G271" i="17"/>
  <c r="D415" i="17"/>
  <c r="E185" i="17"/>
  <c r="E431" i="17"/>
  <c r="E251" i="17"/>
  <c r="C31" i="17"/>
  <c r="G355" i="17"/>
  <c r="F177" i="17"/>
  <c r="E35" i="16"/>
  <c r="E293" i="17"/>
  <c r="E108" i="17"/>
  <c r="E11" i="16"/>
  <c r="F242" i="17"/>
  <c r="G17" i="16"/>
  <c r="D147" i="17"/>
  <c r="E270" i="17"/>
  <c r="G389" i="17"/>
  <c r="C480" i="17"/>
  <c r="E96" i="17"/>
  <c r="G429" i="17"/>
  <c r="F30" i="17"/>
  <c r="E133" i="17"/>
  <c r="H201" i="17"/>
  <c r="D191" i="17"/>
  <c r="D441" i="17"/>
  <c r="F53" i="17"/>
  <c r="D304" i="17"/>
  <c r="G437" i="17"/>
  <c r="F100" i="17"/>
  <c r="C338" i="17"/>
  <c r="F30" i="16"/>
  <c r="C215" i="17"/>
  <c r="D442" i="17"/>
  <c r="E70" i="17"/>
  <c r="D384" i="17"/>
  <c r="E278" i="17"/>
  <c r="G198" i="17"/>
  <c r="G100" i="17"/>
  <c r="G18" i="17"/>
  <c r="F416" i="17"/>
  <c r="F317" i="17"/>
  <c r="F235" i="17"/>
  <c r="F137" i="17"/>
  <c r="F55" i="17"/>
  <c r="G434" i="17"/>
  <c r="C348" i="17"/>
  <c r="G237" i="17"/>
  <c r="G155" i="17"/>
  <c r="G57" i="17"/>
  <c r="C453" i="17"/>
  <c r="D319" i="17"/>
  <c r="D211" i="17"/>
  <c r="F105" i="17"/>
  <c r="C18" i="16"/>
  <c r="F371" i="17"/>
  <c r="C232" i="17"/>
  <c r="H121" i="17"/>
  <c r="D27" i="16"/>
  <c r="F478" i="17"/>
  <c r="G360" i="17"/>
  <c r="D263" i="17"/>
  <c r="E149" i="17"/>
  <c r="E54" i="17"/>
  <c r="F470" i="17"/>
  <c r="G373" i="17"/>
  <c r="D237" i="17"/>
  <c r="C61" i="17"/>
  <c r="C391" i="17"/>
  <c r="C211" i="17"/>
  <c r="F25" i="17"/>
  <c r="F334" i="17"/>
  <c r="E144" i="17"/>
  <c r="H442" i="17"/>
  <c r="G254" i="17"/>
  <c r="F80" i="17"/>
  <c r="G358" i="17"/>
  <c r="F110" i="17"/>
  <c r="C382" i="17"/>
  <c r="F139" i="17"/>
  <c r="F418" i="17"/>
  <c r="D268" i="17"/>
  <c r="G59" i="17"/>
  <c r="E394" i="17"/>
  <c r="C70" i="17"/>
  <c r="G278" i="17"/>
  <c r="F373" i="17"/>
  <c r="F148" i="17"/>
  <c r="C254" i="17"/>
  <c r="C341" i="17"/>
  <c r="G103" i="17"/>
  <c r="E335" i="17"/>
  <c r="E80" i="17"/>
  <c r="E214" i="17"/>
  <c r="D440" i="17"/>
  <c r="G290" i="17"/>
  <c r="F135" i="17"/>
  <c r="G194" i="17"/>
  <c r="F241" i="17"/>
  <c r="C294" i="17"/>
  <c r="F98" i="17"/>
  <c r="D101" i="17"/>
  <c r="G239" i="17"/>
  <c r="F8" i="16"/>
  <c r="G131" i="17"/>
  <c r="C255" i="17"/>
  <c r="E453" i="17"/>
  <c r="C23" i="16"/>
  <c r="C433" i="17"/>
  <c r="D270" i="17"/>
  <c r="G37" i="16"/>
  <c r="C24" i="16"/>
  <c r="D422" i="17"/>
  <c r="E296" i="17"/>
  <c r="D386" i="17"/>
  <c r="F372" i="17"/>
  <c r="D354" i="17"/>
  <c r="C393" i="17"/>
  <c r="F348" i="17"/>
  <c r="E218" i="17"/>
  <c r="F341" i="17"/>
  <c r="G333" i="17"/>
  <c r="F377" i="17"/>
  <c r="E273" i="17"/>
  <c r="D376" i="17"/>
  <c r="C80" i="17"/>
  <c r="G113" i="17"/>
  <c r="F436" i="17"/>
  <c r="D260" i="17"/>
  <c r="C16" i="17"/>
  <c r="F412" i="17"/>
  <c r="E64" i="17"/>
  <c r="F115" i="17"/>
  <c r="E468" i="17"/>
  <c r="F354" i="17"/>
  <c r="F59" i="17"/>
  <c r="F156" i="17"/>
  <c r="E219" i="17"/>
  <c r="D68" i="17"/>
  <c r="E37" i="16"/>
  <c r="F291" i="17"/>
  <c r="G20" i="17"/>
  <c r="G381" i="17"/>
  <c r="F293" i="17"/>
  <c r="G340" i="17"/>
  <c r="F79" i="17"/>
  <c r="C304" i="17"/>
  <c r="C415" i="17"/>
  <c r="F461" i="17"/>
  <c r="G230" i="17"/>
  <c r="G180" i="17"/>
  <c r="F219" i="17"/>
  <c r="F13" i="16"/>
  <c r="C394" i="17"/>
  <c r="E227" i="17"/>
  <c r="F360" i="17"/>
  <c r="D346" i="17"/>
  <c r="F438" i="17"/>
  <c r="G114" i="17"/>
  <c r="F70" i="17"/>
  <c r="G212" i="17"/>
  <c r="E437" i="17"/>
  <c r="D20" i="16"/>
  <c r="C237" i="17"/>
  <c r="D26" i="16"/>
  <c r="F339" i="17"/>
  <c r="C218" i="17"/>
  <c r="F250" i="17"/>
  <c r="F91" i="17"/>
  <c r="F146" i="17"/>
  <c r="G15" i="16"/>
  <c r="C410" i="17"/>
  <c r="E343" i="17"/>
  <c r="F35" i="16"/>
  <c r="E40" i="17"/>
  <c r="E390" i="17"/>
  <c r="F130" i="17"/>
  <c r="E428" i="17"/>
  <c r="E433" i="17"/>
  <c r="F16" i="16"/>
  <c r="E290" i="17"/>
  <c r="E36" i="17"/>
  <c r="F442" i="17"/>
  <c r="C79" i="17"/>
  <c r="C118" i="17"/>
  <c r="E331" i="17"/>
  <c r="C420" i="17"/>
  <c r="G109" i="17"/>
  <c r="F9" i="16"/>
  <c r="C274" i="17"/>
  <c r="E30" i="17"/>
  <c r="E193" i="17"/>
  <c r="E395" i="17"/>
  <c r="D115" i="17"/>
  <c r="C417" i="17"/>
  <c r="D94" i="17"/>
  <c r="E467" i="17"/>
  <c r="E141" i="17"/>
  <c r="F56" i="17"/>
  <c r="C21" i="16"/>
  <c r="G379" i="17"/>
  <c r="E196" i="17"/>
  <c r="E16" i="17"/>
  <c r="D315" i="17"/>
  <c r="D135" i="17"/>
  <c r="E432" i="17"/>
  <c r="E235" i="17"/>
  <c r="E55" i="17"/>
  <c r="F311" i="17"/>
  <c r="E76" i="17"/>
  <c r="D362" i="17"/>
  <c r="F118" i="17"/>
  <c r="C476" i="17"/>
  <c r="F260" i="17"/>
  <c r="F42" i="17"/>
  <c r="G356" i="17"/>
  <c r="C58" i="17"/>
  <c r="E148" i="17"/>
  <c r="G370" i="17"/>
  <c r="G145" i="17"/>
  <c r="D225" i="17"/>
  <c r="F335" i="17"/>
  <c r="C98" i="17"/>
  <c r="G332" i="17"/>
  <c r="G77" i="17"/>
  <c r="E211" i="17"/>
  <c r="G256" i="17"/>
  <c r="E264" i="17"/>
  <c r="D116" i="17"/>
  <c r="G190" i="17"/>
  <c r="C214" i="17"/>
  <c r="E279" i="17"/>
  <c r="G71" i="17"/>
  <c r="D98" i="17"/>
  <c r="G235" i="17"/>
  <c r="C359" i="17"/>
  <c r="E119" i="17"/>
  <c r="C235" i="17"/>
  <c r="G430" i="17"/>
  <c r="C7" i="16"/>
  <c r="H361" i="17"/>
  <c r="C212" i="17"/>
  <c r="G16" i="16"/>
  <c r="E386" i="17"/>
  <c r="C262" i="17"/>
  <c r="E354" i="17"/>
  <c r="G296" i="17"/>
  <c r="G314" i="17"/>
  <c r="D479" i="17"/>
  <c r="E25" i="17"/>
  <c r="E294" i="17"/>
  <c r="G178" i="17"/>
  <c r="E24" i="17"/>
  <c r="G24" i="16"/>
  <c r="C173" i="17"/>
  <c r="E111" i="17"/>
  <c r="E416" i="17"/>
  <c r="F308" i="17"/>
  <c r="D336" i="17"/>
  <c r="E15" i="16"/>
  <c r="F121" i="17"/>
  <c r="C17" i="17"/>
  <c r="E21" i="16"/>
  <c r="C103" i="17"/>
  <c r="F427" i="17"/>
  <c r="F229" i="17"/>
  <c r="G79" i="17"/>
  <c r="C15" i="17"/>
  <c r="F343" i="17"/>
  <c r="E153" i="17"/>
  <c r="D136" i="17"/>
  <c r="E240" i="17"/>
  <c r="C379" i="17"/>
  <c r="F29" i="16"/>
  <c r="D52" i="17"/>
  <c r="F11" i="17"/>
  <c r="D397" i="17"/>
  <c r="C151" i="17"/>
  <c r="F352" i="17"/>
  <c r="G436" i="17"/>
  <c r="D17" i="16"/>
  <c r="D375" i="17"/>
  <c r="G354" i="17"/>
  <c r="C56" i="17"/>
  <c r="E210" i="17"/>
  <c r="E479" i="17"/>
  <c r="G382" i="17"/>
  <c r="C183" i="17"/>
  <c r="F415" i="17"/>
  <c r="C310" i="17"/>
  <c r="F34" i="17"/>
  <c r="G421" i="17"/>
  <c r="E151" i="17"/>
  <c r="F82" i="17"/>
  <c r="G476" i="17"/>
  <c r="E190" i="17"/>
  <c r="E136" i="17"/>
  <c r="D371" i="17"/>
  <c r="D359" i="17"/>
  <c r="D183" i="17"/>
  <c r="E280" i="17"/>
  <c r="G11" i="17"/>
  <c r="C388" i="17"/>
  <c r="E200" i="17"/>
  <c r="G187" i="17"/>
  <c r="D130" i="17"/>
  <c r="C343" i="17"/>
  <c r="D189" i="17"/>
  <c r="E19" i="17"/>
  <c r="D59" i="17"/>
  <c r="E26" i="16"/>
  <c r="G303" i="17"/>
  <c r="F476" i="17"/>
  <c r="G154" i="17"/>
  <c r="D475" i="17"/>
  <c r="C132" i="17"/>
  <c r="D267" i="17"/>
  <c r="E315" i="17"/>
  <c r="F441" i="17"/>
  <c r="E377" i="17"/>
  <c r="C194" i="17"/>
  <c r="C14" i="17"/>
  <c r="G310" i="17"/>
  <c r="G130" i="17"/>
  <c r="C430" i="17"/>
  <c r="C233" i="17"/>
  <c r="C53" i="17"/>
  <c r="G308" i="17"/>
  <c r="D63" i="17"/>
  <c r="G342" i="17"/>
  <c r="C113" i="17"/>
  <c r="E473" i="17"/>
  <c r="D255" i="17"/>
  <c r="G38" i="17"/>
  <c r="C354" i="17"/>
  <c r="D42" i="17"/>
  <c r="E101" i="17"/>
  <c r="F356" i="17"/>
  <c r="F101" i="17"/>
  <c r="F216" i="17"/>
  <c r="G306" i="17"/>
  <c r="C37" i="17"/>
  <c r="G315" i="17"/>
  <c r="F21" i="17"/>
  <c r="G186" i="17"/>
  <c r="G217" i="17"/>
  <c r="D256" i="17"/>
  <c r="C78" i="17"/>
  <c r="C153" i="17"/>
  <c r="F194" i="17"/>
  <c r="F68" i="17"/>
  <c r="D61" i="17"/>
  <c r="G93" i="17"/>
  <c r="G193" i="17"/>
  <c r="D352" i="17"/>
  <c r="G115" i="17"/>
  <c r="D227" i="17"/>
  <c r="F426" i="17"/>
  <c r="C469" i="17"/>
  <c r="H281" i="17"/>
  <c r="C188" i="17"/>
  <c r="E398" i="17"/>
  <c r="F347" i="17"/>
  <c r="E183" i="17"/>
  <c r="C219" i="17"/>
  <c r="F218" i="17"/>
  <c r="F344" i="17"/>
  <c r="E319" i="17"/>
  <c r="F226" i="17"/>
  <c r="G291" i="17"/>
  <c r="D212" i="17"/>
  <c r="G318" i="17"/>
  <c r="E312" i="17"/>
  <c r="E24" i="16"/>
  <c r="D309" i="17"/>
  <c r="G143" i="17"/>
  <c r="E344" i="17"/>
  <c r="G22" i="17"/>
  <c r="D239" i="17"/>
  <c r="C28" i="17"/>
  <c r="D388" i="17"/>
  <c r="D387" i="17"/>
  <c r="F257" i="17"/>
  <c r="E309" i="17"/>
  <c r="C342" i="17"/>
  <c r="F31" i="17"/>
  <c r="D431" i="17"/>
  <c r="G66" i="17"/>
  <c r="E36" i="16"/>
  <c r="D65" i="17"/>
  <c r="E460" i="17"/>
  <c r="G226" i="17"/>
  <c r="E349" i="17"/>
  <c r="F274" i="17"/>
  <c r="F394" i="17"/>
  <c r="D80" i="17"/>
  <c r="D53" i="17"/>
  <c r="F450" i="17"/>
  <c r="D355" i="17"/>
  <c r="D25" i="17"/>
  <c r="E25" i="16"/>
  <c r="D467" i="17"/>
  <c r="E77" i="17"/>
  <c r="E179" i="17"/>
  <c r="E66" i="17"/>
  <c r="E29" i="17"/>
  <c r="D11" i="16"/>
  <c r="E199" i="17"/>
  <c r="G224" i="17"/>
  <c r="D22" i="16"/>
  <c r="D143" i="17"/>
  <c r="E10" i="16"/>
  <c r="F22" i="17"/>
  <c r="E192" i="17"/>
  <c r="C131" i="17"/>
  <c r="D234" i="17"/>
  <c r="C357" i="17"/>
  <c r="E19" i="16"/>
  <c r="D201" i="17"/>
  <c r="F417" i="17"/>
  <c r="D14" i="16"/>
  <c r="F310" i="17"/>
  <c r="E13" i="16"/>
  <c r="C467" i="17"/>
  <c r="G298" i="17"/>
  <c r="G171" i="17"/>
  <c r="E23" i="17"/>
  <c r="F361" i="17"/>
  <c r="F69" i="17"/>
  <c r="E262" i="17"/>
  <c r="D401" i="17"/>
  <c r="F420" i="17"/>
  <c r="C400" i="17"/>
  <c r="G9" i="16"/>
  <c r="D145" i="17"/>
  <c r="E18" i="17"/>
  <c r="C35" i="16"/>
  <c r="F74" i="17"/>
  <c r="G197" i="17"/>
  <c r="C301" i="17"/>
  <c r="G390" i="17"/>
  <c r="C225" i="17"/>
  <c r="G18" i="16"/>
  <c r="G465" i="17"/>
  <c r="F353" i="17"/>
  <c r="F189" i="17"/>
  <c r="F36" i="16"/>
  <c r="E308" i="17"/>
  <c r="F120" i="17"/>
  <c r="F425" i="17"/>
  <c r="F228" i="17"/>
  <c r="G40" i="17"/>
  <c r="E303" i="17"/>
  <c r="F60" i="17"/>
  <c r="C319" i="17"/>
  <c r="F94" i="17"/>
  <c r="G470" i="17"/>
  <c r="G252" i="17"/>
  <c r="E33" i="17"/>
  <c r="C345" i="17"/>
  <c r="C35" i="17"/>
  <c r="C95" i="17"/>
  <c r="D301" i="17"/>
  <c r="F92" i="17"/>
  <c r="F210" i="17"/>
  <c r="E300" i="17"/>
  <c r="G21" i="17"/>
  <c r="G309" i="17"/>
  <c r="E33" i="16"/>
  <c r="G175" i="17"/>
  <c r="D198" i="17"/>
  <c r="E61" i="17"/>
  <c r="C68" i="17"/>
  <c r="E139" i="17"/>
  <c r="E182" i="17"/>
  <c r="C39" i="17"/>
  <c r="E35" i="17"/>
  <c r="G74" i="17"/>
  <c r="F174" i="17"/>
  <c r="C349" i="17"/>
  <c r="D16" i="17"/>
  <c r="E223" i="17"/>
  <c r="E422" i="17"/>
  <c r="C380" i="17"/>
  <c r="D176" i="17"/>
  <c r="F143" i="17"/>
  <c r="D195" i="17"/>
  <c r="F319" i="17"/>
  <c r="F191" i="17"/>
  <c r="C180" i="17"/>
  <c r="H161" i="17"/>
  <c r="G221" i="17"/>
  <c r="C298" i="17"/>
  <c r="D311" i="17"/>
  <c r="F215" i="17"/>
  <c r="E75" i="17"/>
  <c r="F145" i="17"/>
  <c r="F136" i="17"/>
  <c r="D121" i="17"/>
  <c r="C148" i="17"/>
  <c r="C351" i="17"/>
  <c r="F114" i="17"/>
  <c r="F150" i="17"/>
  <c r="G277" i="17"/>
  <c r="G295" i="17"/>
  <c r="C210" i="17"/>
  <c r="D257" i="17"/>
  <c r="E236" i="17"/>
  <c r="G471" i="17"/>
  <c r="E156" i="17"/>
  <c r="E113" i="17"/>
  <c r="G141" i="17"/>
  <c r="C97" i="17"/>
  <c r="D77" i="17"/>
  <c r="F230" i="17"/>
  <c r="C111" i="17"/>
  <c r="D14" i="17"/>
  <c r="F62" i="17"/>
  <c r="G238" i="17"/>
  <c r="C276" i="17"/>
  <c r="F22" i="16"/>
  <c r="F467" i="17"/>
  <c r="G25" i="16"/>
  <c r="E267" i="17"/>
  <c r="F389" i="17"/>
  <c r="C170" i="17"/>
  <c r="F271" i="17"/>
  <c r="C195" i="17"/>
  <c r="E436" i="17"/>
  <c r="E480" i="17"/>
  <c r="E462" i="17"/>
  <c r="C396" i="17"/>
  <c r="F16" i="17"/>
  <c r="C74" i="17"/>
  <c r="F162" i="17"/>
  <c r="C157" i="17"/>
  <c r="D269" i="17"/>
  <c r="E429" i="17"/>
  <c r="C431" i="17"/>
  <c r="F439" i="17"/>
  <c r="F19" i="16"/>
  <c r="G374" i="17"/>
  <c r="H122" i="17"/>
  <c r="F472" i="17"/>
  <c r="D200" i="17"/>
  <c r="E187" i="17"/>
  <c r="D120" i="17"/>
  <c r="G423" i="17"/>
  <c r="E347" i="17"/>
  <c r="C353" i="17"/>
  <c r="D155" i="17"/>
  <c r="G52" i="17"/>
  <c r="D13" i="16"/>
  <c r="G15" i="17"/>
  <c r="C11" i="16"/>
  <c r="F456" i="17"/>
  <c r="F336" i="17"/>
  <c r="F21" i="16"/>
  <c r="C107" i="17"/>
  <c r="C425" i="17"/>
  <c r="F383" i="17"/>
  <c r="F113" i="17"/>
  <c r="H321" i="17"/>
  <c r="D453" i="17"/>
  <c r="F321" i="17"/>
  <c r="F331" i="17"/>
  <c r="G27" i="16"/>
  <c r="G346" i="17"/>
  <c r="F173" i="17"/>
  <c r="D34" i="16"/>
  <c r="C306" i="17"/>
  <c r="D118" i="17"/>
  <c r="D423" i="17"/>
  <c r="D226" i="17"/>
  <c r="E38" i="17"/>
  <c r="G300" i="17"/>
  <c r="C55" i="17"/>
  <c r="E316" i="17"/>
  <c r="D76" i="17"/>
  <c r="F457" i="17"/>
  <c r="E239" i="17"/>
  <c r="G30" i="17"/>
  <c r="D342" i="17"/>
  <c r="D32" i="17"/>
  <c r="H82" i="17"/>
  <c r="F263" i="17"/>
  <c r="G78" i="17"/>
  <c r="C199" i="17"/>
  <c r="F297" i="17"/>
  <c r="C19" i="17"/>
  <c r="C259" i="17"/>
  <c r="G30" i="16"/>
  <c r="E172" i="17"/>
  <c r="F190" i="17"/>
  <c r="F35" i="17"/>
  <c r="F54" i="17"/>
  <c r="F132" i="17"/>
  <c r="E175" i="17"/>
  <c r="F32" i="17"/>
  <c r="C419" i="17"/>
  <c r="D71" i="17"/>
  <c r="D152" i="17"/>
  <c r="E342" i="17"/>
  <c r="E28" i="16"/>
  <c r="F202" i="17"/>
  <c r="D418" i="17"/>
  <c r="H362" i="17"/>
  <c r="G176" i="17"/>
  <c r="D38" i="16"/>
  <c r="F296" i="17"/>
  <c r="E277" i="17"/>
  <c r="D133" i="17"/>
  <c r="F269" i="17"/>
  <c r="F301" i="17"/>
  <c r="G418" i="17"/>
  <c r="C36" i="17"/>
  <c r="F52" i="17"/>
  <c r="F73" i="17"/>
  <c r="D339" i="17"/>
  <c r="D22" i="17"/>
  <c r="C28" i="16"/>
  <c r="C94" i="17"/>
  <c r="C302" i="17"/>
  <c r="C147" i="17"/>
  <c r="D296" i="17"/>
  <c r="D238" i="17"/>
  <c r="E472" i="17"/>
  <c r="C50" i="17"/>
  <c r="C29" i="16"/>
  <c r="D110" i="17"/>
  <c r="C389" i="17"/>
  <c r="D435" i="17"/>
  <c r="E384" i="17"/>
  <c r="G456" i="17"/>
  <c r="D280" i="17"/>
  <c r="F36" i="17"/>
  <c r="G39" i="17"/>
  <c r="D82" i="17"/>
  <c r="E34" i="17"/>
  <c r="E98" i="17"/>
  <c r="F200" i="17"/>
  <c r="G454" i="17"/>
  <c r="F192" i="17"/>
  <c r="D11" i="17"/>
  <c r="C412" i="17"/>
  <c r="F27" i="17"/>
  <c r="E158" i="17"/>
  <c r="C59" i="17"/>
  <c r="D30" i="16"/>
  <c r="D341" i="17"/>
  <c r="F133" i="17"/>
  <c r="G453" i="17"/>
  <c r="D361" i="17"/>
  <c r="C350" i="17"/>
  <c r="C378" i="17"/>
  <c r="E418" i="17"/>
  <c r="G33" i="17"/>
  <c r="G14" i="17"/>
  <c r="C20" i="16"/>
  <c r="E317" i="17"/>
  <c r="D347" i="17"/>
  <c r="E430" i="17"/>
  <c r="E221" i="17"/>
  <c r="C360" i="17"/>
  <c r="E174" i="17"/>
  <c r="G62" i="17"/>
  <c r="E140" i="17"/>
  <c r="C472" i="17"/>
  <c r="D20" i="17"/>
  <c r="D424" i="17"/>
  <c r="E339" i="17"/>
  <c r="C181" i="17"/>
  <c r="G218" i="17"/>
  <c r="E16" i="16"/>
  <c r="G338" i="17"/>
  <c r="E146" i="17"/>
  <c r="F398" i="17"/>
  <c r="D308" i="17"/>
  <c r="G184" i="17"/>
  <c r="G117" i="17"/>
  <c r="G157" i="17"/>
  <c r="E340" i="17"/>
  <c r="F346" i="17"/>
  <c r="G144" i="17"/>
  <c r="D334" i="17"/>
  <c r="D117" i="17"/>
  <c r="C260" i="17"/>
  <c r="D161" i="17"/>
  <c r="F471" i="17"/>
  <c r="D119" i="17"/>
  <c r="D264" i="17"/>
  <c r="C171" i="17"/>
  <c r="F158" i="17"/>
  <c r="E452" i="17"/>
  <c r="F337" i="17"/>
  <c r="D154" i="17"/>
  <c r="C470" i="17"/>
  <c r="C273" i="17"/>
  <c r="E95" i="17"/>
  <c r="C414" i="17"/>
  <c r="C217" i="17"/>
  <c r="D29" i="17"/>
  <c r="D290" i="17"/>
  <c r="F39" i="17"/>
  <c r="D303" i="17"/>
  <c r="E60" i="17"/>
  <c r="F428" i="17"/>
  <c r="F199" i="17"/>
  <c r="D24" i="16"/>
  <c r="G301" i="17"/>
  <c r="E34" i="16"/>
  <c r="F51" i="17"/>
  <c r="D254" i="17"/>
  <c r="F7" i="16"/>
  <c r="F41" i="17"/>
  <c r="F281" i="17"/>
  <c r="F33" i="16"/>
  <c r="E233" i="17"/>
  <c r="E389" i="17"/>
  <c r="C117" i="17"/>
  <c r="G142" i="17"/>
  <c r="F10" i="17"/>
  <c r="F382" i="17"/>
  <c r="G58" i="17"/>
  <c r="E58" i="17"/>
  <c r="G32" i="16"/>
  <c r="D378" i="17"/>
  <c r="D427" i="17"/>
  <c r="F138" i="17"/>
  <c r="F278" i="17"/>
  <c r="F18" i="16"/>
  <c r="D93" i="17"/>
  <c r="D380" i="17"/>
  <c r="D282" i="17"/>
  <c r="C67" i="17"/>
  <c r="F414" i="17"/>
  <c r="C337" i="17"/>
  <c r="G63" i="17"/>
  <c r="D73" i="17"/>
  <c r="E154" i="17"/>
  <c r="D258" i="17"/>
  <c r="E130" i="17"/>
  <c r="D215" i="17"/>
  <c r="D100" i="17"/>
  <c r="G26" i="17"/>
  <c r="E295" i="17"/>
  <c r="E131" i="17"/>
  <c r="C437" i="17"/>
  <c r="D250" i="17"/>
  <c r="E62" i="17"/>
  <c r="G352" i="17"/>
  <c r="E170" i="17"/>
  <c r="D458" i="17"/>
  <c r="E224" i="17"/>
  <c r="G22" i="16"/>
  <c r="E237" i="17"/>
  <c r="D10" i="17"/>
  <c r="E397" i="17"/>
  <c r="D181" i="17"/>
  <c r="E478" i="17"/>
  <c r="D251" i="17"/>
  <c r="D436" i="17"/>
  <c r="F37" i="17"/>
  <c r="C251" i="17"/>
  <c r="F477" i="17"/>
  <c r="C22" i="17"/>
  <c r="G253" i="17"/>
  <c r="D28" i="16"/>
  <c r="D230" i="17"/>
  <c r="C386" i="17"/>
  <c r="G55" i="17"/>
  <c r="G68" i="17"/>
  <c r="D29" i="16"/>
  <c r="F375" i="17"/>
  <c r="D38" i="17"/>
  <c r="F270" i="17"/>
  <c r="D277" i="17"/>
  <c r="G76" i="17"/>
  <c r="F399" i="17"/>
  <c r="G229" i="17"/>
  <c r="E234" i="17"/>
  <c r="F12" i="16"/>
  <c r="E51" i="17"/>
  <c r="E381" i="17"/>
  <c r="D223" i="17"/>
  <c r="G23" i="16"/>
  <c r="C96" i="17"/>
  <c r="D224" i="17"/>
  <c r="F388" i="17"/>
  <c r="C186" i="17"/>
  <c r="C16" i="16"/>
  <c r="C185" i="17"/>
  <c r="F63" i="17"/>
  <c r="D50" i="17"/>
  <c r="G392" i="17"/>
  <c r="F221" i="17"/>
  <c r="F193" i="17"/>
  <c r="C477" i="17"/>
  <c r="G427" i="17"/>
  <c r="F290" i="17"/>
  <c r="F411" i="17"/>
  <c r="C334" i="17"/>
  <c r="D37" i="17"/>
  <c r="G264" i="17"/>
  <c r="D216" i="17"/>
  <c r="D330" i="17"/>
  <c r="E396" i="17"/>
  <c r="D340" i="17"/>
  <c r="F28" i="16"/>
  <c r="C110" i="17"/>
  <c r="G195" i="17"/>
  <c r="D471" i="17"/>
  <c r="C307" i="17"/>
  <c r="F393" i="17"/>
  <c r="C275" i="17"/>
  <c r="E352" i="17"/>
  <c r="F172" i="17"/>
  <c r="G464" i="17"/>
  <c r="C387" i="17"/>
  <c r="E13" i="17"/>
  <c r="C466" i="17"/>
  <c r="E181" i="17"/>
  <c r="F282" i="17"/>
  <c r="H322" i="17"/>
  <c r="G317" i="17"/>
  <c r="E14" i="16"/>
  <c r="G452" i="17"/>
  <c r="F255" i="17"/>
  <c r="C295" i="17"/>
  <c r="E135" i="17"/>
  <c r="G472" i="17"/>
  <c r="F391" i="17"/>
  <c r="G255" i="17"/>
  <c r="E138" i="17"/>
  <c r="D377" i="17"/>
  <c r="F429" i="17"/>
  <c r="D358" i="17"/>
  <c r="D111" i="17"/>
  <c r="F280" i="17"/>
  <c r="D33" i="17"/>
  <c r="C471" i="17"/>
  <c r="D398" i="17"/>
  <c r="E306" i="17"/>
  <c r="D72" i="17"/>
  <c r="D413" i="17"/>
  <c r="E301" i="17"/>
  <c r="C344" i="17"/>
  <c r="D437" i="17"/>
  <c r="C314" i="17"/>
  <c r="F318" i="17"/>
  <c r="D434" i="17"/>
  <c r="G10" i="16"/>
  <c r="D381" i="17"/>
  <c r="G151" i="17"/>
  <c r="G11" i="16"/>
  <c r="G398" i="17"/>
  <c r="G269" i="17"/>
  <c r="C11" i="17"/>
  <c r="C263" i="17"/>
  <c r="D477" i="17"/>
  <c r="G153" i="17"/>
  <c r="F459" i="17"/>
  <c r="F99" i="17"/>
  <c r="D214" i="17"/>
  <c r="F464" i="17"/>
  <c r="C191" i="17"/>
  <c r="C116" i="17"/>
  <c r="F155" i="17"/>
  <c r="G225" i="17"/>
  <c r="D192" i="17"/>
  <c r="C434" i="17"/>
  <c r="F112" i="17"/>
  <c r="C172" i="17"/>
  <c r="E425" i="17"/>
  <c r="F387" i="17"/>
  <c r="D91" i="17"/>
  <c r="F17" i="16"/>
  <c r="D159" i="17"/>
  <c r="D451" i="17"/>
  <c r="G112" i="17"/>
  <c r="T34" i="18" l="1"/>
  <c r="D59" i="20"/>
  <c r="D69" i="20"/>
  <c r="E119" i="21"/>
  <c r="C121" i="2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O118" i="21"/>
  <c r="O119" i="21" s="1"/>
  <c r="O120" i="21" s="1"/>
  <c r="V148" i="21"/>
  <c r="I118" i="2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I131" i="21" s="1"/>
  <c r="I132" i="21" s="1"/>
  <c r="I133" i="21" s="1"/>
  <c r="I134" i="21" s="1"/>
  <c r="I135" i="21" s="1"/>
  <c r="I136" i="21" s="1"/>
  <c r="I137" i="21" s="1"/>
  <c r="I138" i="21" s="1"/>
  <c r="I139" i="21" s="1"/>
  <c r="I140" i="21" s="1"/>
  <c r="I141" i="21" s="1"/>
  <c r="I142" i="21" s="1"/>
  <c r="I143" i="21" s="1"/>
  <c r="I144" i="21" s="1"/>
  <c r="I145" i="21" s="1"/>
  <c r="I146" i="21" s="1"/>
  <c r="I147" i="21" s="1"/>
  <c r="D51" i="20"/>
  <c r="X111" i="21"/>
  <c r="B111" i="21"/>
  <c r="C88" i="21"/>
  <c r="C89" i="21" s="1"/>
  <c r="C90" i="21" s="1"/>
  <c r="C91" i="21" s="1"/>
  <c r="C92" i="21" s="1"/>
  <c r="C93" i="21" s="1"/>
  <c r="C94" i="21" s="1"/>
  <c r="C95" i="21" s="1"/>
  <c r="C96" i="21" s="1"/>
  <c r="C97" i="21" s="1"/>
  <c r="C98" i="21" s="1"/>
  <c r="C99" i="21" s="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Q81" i="21"/>
  <c r="E81" i="21"/>
  <c r="V111" i="21"/>
  <c r="AC37" i="5"/>
  <c r="D9" i="18" s="1"/>
  <c r="Q9" i="18" s="1"/>
  <c r="P34" i="18"/>
  <c r="O9" i="18"/>
  <c r="D26" i="20"/>
  <c r="K44" i="21"/>
  <c r="K45" i="21" s="1"/>
  <c r="K46" i="21" s="1"/>
  <c r="K47" i="21" s="1"/>
  <c r="K48" i="21" s="1"/>
  <c r="K49" i="21" s="1"/>
  <c r="K50" i="21" s="1"/>
  <c r="K51" i="21" s="1"/>
  <c r="K52" i="21" s="1"/>
  <c r="K53" i="21" s="1"/>
  <c r="K54" i="21" s="1"/>
  <c r="K55" i="21" s="1"/>
  <c r="K56" i="21" s="1"/>
  <c r="K57" i="21" s="1"/>
  <c r="K58" i="21" s="1"/>
  <c r="K59" i="21" s="1"/>
  <c r="K60" i="21" s="1"/>
  <c r="K61" i="21" s="1"/>
  <c r="K62" i="21" s="1"/>
  <c r="K63" i="21" s="1"/>
  <c r="K64" i="21" s="1"/>
  <c r="K65" i="21" s="1"/>
  <c r="K66" i="21" s="1"/>
  <c r="K67" i="21" s="1"/>
  <c r="K68" i="21" s="1"/>
  <c r="K69" i="21" s="1"/>
  <c r="K70" i="21" s="1"/>
  <c r="K71" i="21" s="1"/>
  <c r="K72" i="21" s="1"/>
  <c r="K73" i="21" s="1"/>
  <c r="D37" i="20"/>
  <c r="D33" i="20"/>
  <c r="O16" i="19"/>
  <c r="D34" i="18"/>
  <c r="Q4" i="18"/>
  <c r="O34" i="18"/>
  <c r="C34" i="18"/>
  <c r="Q10" i="18"/>
  <c r="T259" i="21"/>
  <c r="S231" i="21"/>
  <c r="S232" i="21" s="1"/>
  <c r="S233" i="21" s="1"/>
  <c r="S234" i="21" s="1"/>
  <c r="U344" i="21"/>
  <c r="U345" i="21" s="1"/>
  <c r="U346" i="21" s="1"/>
  <c r="U347" i="21" s="1"/>
  <c r="U348" i="21" s="1"/>
  <c r="U349" i="21" s="1"/>
  <c r="U350" i="21" s="1"/>
  <c r="U351" i="21" s="1"/>
  <c r="U352" i="21" s="1"/>
  <c r="U353" i="21" s="1"/>
  <c r="U354" i="21" s="1"/>
  <c r="U355" i="21" s="1"/>
  <c r="U356" i="21" s="1"/>
  <c r="U357" i="21" s="1"/>
  <c r="U358" i="21" s="1"/>
  <c r="U359" i="21" s="1"/>
  <c r="U360" i="21" s="1"/>
  <c r="U361" i="21" s="1"/>
  <c r="U362" i="21" s="1"/>
  <c r="U363" i="21" s="1"/>
  <c r="U364" i="21" s="1"/>
  <c r="U365" i="21" s="1"/>
  <c r="U366" i="21" s="1"/>
  <c r="U367" i="21" s="1"/>
  <c r="U368" i="21" s="1"/>
  <c r="U369" i="21" s="1"/>
  <c r="S155" i="21"/>
  <c r="S156" i="21" s="1"/>
  <c r="D88" i="20"/>
  <c r="S266" i="21"/>
  <c r="S267" i="21" s="1"/>
  <c r="S268" i="21" s="1"/>
  <c r="S269" i="21" s="1"/>
  <c r="S270" i="21" s="1"/>
  <c r="S271" i="21" s="1"/>
  <c r="S272" i="21" s="1"/>
  <c r="S273" i="21" s="1"/>
  <c r="S274" i="21" s="1"/>
  <c r="S275" i="21" s="1"/>
  <c r="S276" i="21" s="1"/>
  <c r="S277" i="21" s="1"/>
  <c r="S278" i="21" s="1"/>
  <c r="S279" i="21" s="1"/>
  <c r="S280" i="21" s="1"/>
  <c r="S281" i="21" s="1"/>
  <c r="S282" i="21" s="1"/>
  <c r="S283" i="21" s="1"/>
  <c r="S284" i="21" s="1"/>
  <c r="S285" i="21" s="1"/>
  <c r="S286" i="21" s="1"/>
  <c r="S287" i="21" s="1"/>
  <c r="S288" i="21" s="1"/>
  <c r="S289" i="21" s="1"/>
  <c r="S290" i="21" s="1"/>
  <c r="S291" i="21" s="1"/>
  <c r="S292" i="21" s="1"/>
  <c r="S293" i="21" s="1"/>
  <c r="S294" i="21" s="1"/>
  <c r="S295" i="21" s="1"/>
  <c r="D34" i="20"/>
  <c r="U118" i="21"/>
  <c r="U119" i="21" s="1"/>
  <c r="U120" i="21" s="1"/>
  <c r="U121" i="21" s="1"/>
  <c r="U122" i="21" s="1"/>
  <c r="U123" i="21" s="1"/>
  <c r="U124" i="21" s="1"/>
  <c r="U125" i="21" s="1"/>
  <c r="U126" i="21" s="1"/>
  <c r="U127" i="21" s="1"/>
  <c r="U128" i="21" s="1"/>
  <c r="U129" i="21" s="1"/>
  <c r="U130" i="21" s="1"/>
  <c r="U131" i="21" s="1"/>
  <c r="U132" i="21" s="1"/>
  <c r="U133" i="21" s="1"/>
  <c r="U134" i="21" s="1"/>
  <c r="U135" i="21" s="1"/>
  <c r="U136" i="21" s="1"/>
  <c r="U137" i="21" s="1"/>
  <c r="U138" i="21" s="1"/>
  <c r="U139" i="21" s="1"/>
  <c r="U140" i="21" s="1"/>
  <c r="U141" i="21" s="1"/>
  <c r="U142" i="21" s="1"/>
  <c r="U143" i="21" s="1"/>
  <c r="U144" i="21" s="1"/>
  <c r="U145" i="21" s="1"/>
  <c r="U146" i="21" s="1"/>
  <c r="U147" i="21" s="1"/>
  <c r="S415" i="21"/>
  <c r="S416" i="21" s="1"/>
  <c r="S417" i="21" s="1"/>
  <c r="S418" i="21" s="1"/>
  <c r="S419" i="21" s="1"/>
  <c r="S420" i="21" s="1"/>
  <c r="S421" i="21" s="1"/>
  <c r="S422" i="21" s="1"/>
  <c r="S423" i="21" s="1"/>
  <c r="S424" i="21" s="1"/>
  <c r="S425" i="21" s="1"/>
  <c r="S426" i="21" s="1"/>
  <c r="S427" i="21" s="1"/>
  <c r="S428" i="21" s="1"/>
  <c r="S429" i="21" s="1"/>
  <c r="S430" i="21" s="1"/>
  <c r="S431" i="21" s="1"/>
  <c r="S432" i="21" s="1"/>
  <c r="S433" i="21" s="1"/>
  <c r="S434" i="21" s="1"/>
  <c r="S435" i="21" s="1"/>
  <c r="S436" i="21" s="1"/>
  <c r="S437" i="21" s="1"/>
  <c r="S438" i="21" s="1"/>
  <c r="S439" i="21" s="1"/>
  <c r="S440" i="21" s="1"/>
  <c r="S441" i="21" s="1"/>
  <c r="S442" i="21" s="1"/>
  <c r="S443" i="21" s="1"/>
  <c r="I303" i="21"/>
  <c r="D134" i="20"/>
  <c r="I229" i="21"/>
  <c r="I230" i="21" s="1"/>
  <c r="I231" i="21" s="1"/>
  <c r="I232" i="21" s="1"/>
  <c r="I233" i="21" s="1"/>
  <c r="I234" i="21" s="1"/>
  <c r="I235" i="21" s="1"/>
  <c r="I236" i="21" s="1"/>
  <c r="I237" i="21" s="1"/>
  <c r="I238" i="21" s="1"/>
  <c r="I239" i="21" s="1"/>
  <c r="I240" i="21" s="1"/>
  <c r="I241" i="21" s="1"/>
  <c r="I242" i="21" s="1"/>
  <c r="I243" i="21" s="1"/>
  <c r="I244" i="21" s="1"/>
  <c r="I245" i="21" s="1"/>
  <c r="I246" i="21" s="1"/>
  <c r="I247" i="21" s="1"/>
  <c r="I248" i="21" s="1"/>
  <c r="I249" i="21" s="1"/>
  <c r="I250" i="21" s="1"/>
  <c r="I251" i="21" s="1"/>
  <c r="I252" i="21" s="1"/>
  <c r="I253" i="21" s="1"/>
  <c r="I254" i="21" s="1"/>
  <c r="I255" i="21" s="1"/>
  <c r="I256" i="21" s="1"/>
  <c r="I257" i="21" s="1"/>
  <c r="I258" i="21" s="1"/>
  <c r="D188" i="20"/>
  <c r="I414" i="21"/>
  <c r="D8" i="20"/>
  <c r="O14" i="19"/>
  <c r="D50" i="20"/>
  <c r="M340" i="21"/>
  <c r="M341" i="21" s="1"/>
  <c r="M342" i="21" s="1"/>
  <c r="M343" i="21" s="1"/>
  <c r="O8" i="19"/>
  <c r="K7" i="21"/>
  <c r="K8" i="21" s="1"/>
  <c r="K9" i="21" s="1"/>
  <c r="K10" i="21" s="1"/>
  <c r="K11" i="21" s="1"/>
  <c r="K12" i="21" s="1"/>
  <c r="K13" i="21" s="1"/>
  <c r="K14" i="21" s="1"/>
  <c r="K15" i="21" s="1"/>
  <c r="K16" i="21" s="1"/>
  <c r="K17" i="21" s="1"/>
  <c r="K18" i="21" s="1"/>
  <c r="K19" i="21" s="1"/>
  <c r="K20" i="21" s="1"/>
  <c r="K21" i="21" s="1"/>
  <c r="K22" i="21" s="1"/>
  <c r="K23" i="21" s="1"/>
  <c r="K24" i="21" s="1"/>
  <c r="K25" i="21" s="1"/>
  <c r="K26" i="21" s="1"/>
  <c r="K27" i="21" s="1"/>
  <c r="K28" i="21" s="1"/>
  <c r="K29" i="21" s="1"/>
  <c r="K30" i="21" s="1"/>
  <c r="K31" i="21" s="1"/>
  <c r="K32" i="21" s="1"/>
  <c r="K33" i="21" s="1"/>
  <c r="K34" i="21" s="1"/>
  <c r="K35" i="21" s="1"/>
  <c r="K36" i="21" s="1"/>
  <c r="D65" i="20"/>
  <c r="M230" i="21"/>
  <c r="M231" i="21" s="1"/>
  <c r="M232" i="21" s="1"/>
  <c r="M233" i="21" s="1"/>
  <c r="M234" i="21" s="1"/>
  <c r="M235" i="21" s="1"/>
  <c r="M236" i="21" s="1"/>
  <c r="M237" i="21" s="1"/>
  <c r="M238" i="21" s="1"/>
  <c r="M239" i="21" s="1"/>
  <c r="M240" i="21" s="1"/>
  <c r="M241" i="21" s="1"/>
  <c r="M242" i="21" s="1"/>
  <c r="M243" i="21" s="1"/>
  <c r="M244" i="21" s="1"/>
  <c r="M245" i="21" s="1"/>
  <c r="M246" i="21" s="1"/>
  <c r="M247" i="21" s="1"/>
  <c r="M248" i="21" s="1"/>
  <c r="M249" i="21" s="1"/>
  <c r="M250" i="21" s="1"/>
  <c r="M251" i="21" s="1"/>
  <c r="M252" i="21" s="1"/>
  <c r="M253" i="21" s="1"/>
  <c r="M254" i="21" s="1"/>
  <c r="M255" i="21" s="1"/>
  <c r="M256" i="21" s="1"/>
  <c r="M257" i="21" s="1"/>
  <c r="M258" i="21" s="1"/>
  <c r="O230" i="21"/>
  <c r="O231" i="21" s="1"/>
  <c r="O232" i="21" s="1"/>
  <c r="M44" i="21"/>
  <c r="M45" i="21" s="1"/>
  <c r="M46" i="21" s="1"/>
  <c r="M47" i="21" s="1"/>
  <c r="M48" i="21" s="1"/>
  <c r="M49" i="21" s="1"/>
  <c r="M50" i="21" s="1"/>
  <c r="M51" i="21" s="1"/>
  <c r="M52" i="21" s="1"/>
  <c r="M53" i="21" s="1"/>
  <c r="M54" i="21" s="1"/>
  <c r="M55" i="21" s="1"/>
  <c r="M56" i="21" s="1"/>
  <c r="M57" i="21" s="1"/>
  <c r="M58" i="21" s="1"/>
  <c r="M59" i="21" s="1"/>
  <c r="M60" i="21" s="1"/>
  <c r="M61" i="21" s="1"/>
  <c r="M62" i="21" s="1"/>
  <c r="M63" i="21" s="1"/>
  <c r="M64" i="21" s="1"/>
  <c r="M65" i="21" s="1"/>
  <c r="M66" i="21" s="1"/>
  <c r="M67" i="21" s="1"/>
  <c r="M68" i="21" s="1"/>
  <c r="M69" i="21" s="1"/>
  <c r="M70" i="21" s="1"/>
  <c r="M71" i="21" s="1"/>
  <c r="M72" i="21" s="1"/>
  <c r="M73" i="21" s="1"/>
  <c r="M192" i="21"/>
  <c r="M193" i="21" s="1"/>
  <c r="M194" i="21" s="1"/>
  <c r="M195" i="21" s="1"/>
  <c r="M196" i="21" s="1"/>
  <c r="M197" i="21" s="1"/>
  <c r="M198" i="21" s="1"/>
  <c r="M199" i="21" s="1"/>
  <c r="M200" i="21" s="1"/>
  <c r="M201" i="21" s="1"/>
  <c r="M202" i="21" s="1"/>
  <c r="M203" i="21" s="1"/>
  <c r="M204" i="21" s="1"/>
  <c r="M205" i="21" s="1"/>
  <c r="M206" i="21" s="1"/>
  <c r="M207" i="21" s="1"/>
  <c r="M208" i="21" s="1"/>
  <c r="M209" i="21" s="1"/>
  <c r="M210" i="21" s="1"/>
  <c r="M211" i="21" s="1"/>
  <c r="M212" i="21" s="1"/>
  <c r="M213" i="21" s="1"/>
  <c r="M214" i="21" s="1"/>
  <c r="M215" i="21" s="1"/>
  <c r="M216" i="21" s="1"/>
  <c r="M217" i="21" s="1"/>
  <c r="M218" i="21" s="1"/>
  <c r="M219" i="21" s="1"/>
  <c r="M220" i="21" s="1"/>
  <c r="M221" i="21" s="1"/>
  <c r="L148" i="21"/>
  <c r="M377" i="21"/>
  <c r="M378" i="21" s="1"/>
  <c r="M379" i="21" s="1"/>
  <c r="M380" i="21" s="1"/>
  <c r="M381" i="21" s="1"/>
  <c r="M382" i="21" s="1"/>
  <c r="M383" i="21" s="1"/>
  <c r="M384" i="21" s="1"/>
  <c r="M385" i="21" s="1"/>
  <c r="M386" i="21" s="1"/>
  <c r="M387" i="21" s="1"/>
  <c r="M388" i="21" s="1"/>
  <c r="M389" i="21" s="1"/>
  <c r="M390" i="21" s="1"/>
  <c r="M391" i="21" s="1"/>
  <c r="M392" i="21" s="1"/>
  <c r="M393" i="21" s="1"/>
  <c r="M394" i="21" s="1"/>
  <c r="M395" i="21" s="1"/>
  <c r="M396" i="21" s="1"/>
  <c r="M397" i="21" s="1"/>
  <c r="M398" i="21" s="1"/>
  <c r="M399" i="21" s="1"/>
  <c r="M400" i="21" s="1"/>
  <c r="M401" i="21" s="1"/>
  <c r="M402" i="21" s="1"/>
  <c r="M403" i="21" s="1"/>
  <c r="M404" i="21" s="1"/>
  <c r="M405" i="21" s="1"/>
  <c r="M406" i="21" s="1"/>
  <c r="I45" i="2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I64" i="21" s="1"/>
  <c r="I65" i="21" s="1"/>
  <c r="I66" i="21" s="1"/>
  <c r="I67" i="21" s="1"/>
  <c r="I68" i="21" s="1"/>
  <c r="I69" i="21" s="1"/>
  <c r="I70" i="21" s="1"/>
  <c r="I71" i="21" s="1"/>
  <c r="I72" i="21" s="1"/>
  <c r="I73" i="21" s="1"/>
  <c r="I155" i="21"/>
  <c r="I156" i="21" s="1"/>
  <c r="I157" i="21" s="1"/>
  <c r="I158" i="21" s="1"/>
  <c r="I159" i="21" s="1"/>
  <c r="I160" i="21" s="1"/>
  <c r="I161" i="21" s="1"/>
  <c r="I162" i="21" s="1"/>
  <c r="I163" i="21" s="1"/>
  <c r="I164" i="21" s="1"/>
  <c r="I165" i="21" s="1"/>
  <c r="I166" i="21" s="1"/>
  <c r="I167" i="21" s="1"/>
  <c r="I168" i="21" s="1"/>
  <c r="I169" i="21" s="1"/>
  <c r="I170" i="21" s="1"/>
  <c r="I171" i="21" s="1"/>
  <c r="I172" i="21" s="1"/>
  <c r="I173" i="21" s="1"/>
  <c r="I174" i="21" s="1"/>
  <c r="I175" i="21" s="1"/>
  <c r="I176" i="21" s="1"/>
  <c r="I177" i="21" s="1"/>
  <c r="I178" i="21" s="1"/>
  <c r="I179" i="21" s="1"/>
  <c r="I180" i="21" s="1"/>
  <c r="I181" i="21" s="1"/>
  <c r="I182" i="21" s="1"/>
  <c r="I183" i="21" s="1"/>
  <c r="I184" i="21" s="1"/>
  <c r="I377" i="21"/>
  <c r="I378" i="21" s="1"/>
  <c r="I379" i="21" s="1"/>
  <c r="I380" i="21" s="1"/>
  <c r="I381" i="21" s="1"/>
  <c r="I382" i="21" s="1"/>
  <c r="I383" i="21" s="1"/>
  <c r="I384" i="21" s="1"/>
  <c r="I385" i="21" s="1"/>
  <c r="I386" i="21" s="1"/>
  <c r="I387" i="21" s="1"/>
  <c r="I388" i="21" s="1"/>
  <c r="I389" i="21" s="1"/>
  <c r="I390" i="21" s="1"/>
  <c r="I391" i="21" s="1"/>
  <c r="I392" i="21" s="1"/>
  <c r="I393" i="21" s="1"/>
  <c r="I394" i="21" s="1"/>
  <c r="I395" i="21" s="1"/>
  <c r="I396" i="21" s="1"/>
  <c r="I397" i="21" s="1"/>
  <c r="I398" i="21" s="1"/>
  <c r="I399" i="21" s="1"/>
  <c r="I400" i="21" s="1"/>
  <c r="I401" i="21" s="1"/>
  <c r="I402" i="21" s="1"/>
  <c r="I403" i="21" s="1"/>
  <c r="I404" i="21" s="1"/>
  <c r="I405" i="21" s="1"/>
  <c r="I406" i="21" s="1"/>
  <c r="H37" i="21"/>
  <c r="G266" i="21"/>
  <c r="G267" i="21" s="1"/>
  <c r="G268" i="21" s="1"/>
  <c r="G269" i="21" s="1"/>
  <c r="G270" i="21" s="1"/>
  <c r="G271" i="21" s="1"/>
  <c r="G272" i="21" s="1"/>
  <c r="G273" i="21" s="1"/>
  <c r="G274" i="21" s="1"/>
  <c r="G275" i="21" s="1"/>
  <c r="G276" i="21" s="1"/>
  <c r="G277" i="21" s="1"/>
  <c r="G278" i="21" s="1"/>
  <c r="G279" i="21" s="1"/>
  <c r="G280" i="21" s="1"/>
  <c r="G281" i="21" s="1"/>
  <c r="G282" i="21" s="1"/>
  <c r="G283" i="21" s="1"/>
  <c r="G284" i="21" s="1"/>
  <c r="G285" i="21" s="1"/>
  <c r="G286" i="21" s="1"/>
  <c r="G287" i="21" s="1"/>
  <c r="G288" i="21" s="1"/>
  <c r="G289" i="21" s="1"/>
  <c r="G290" i="21" s="1"/>
  <c r="G291" i="21" s="1"/>
  <c r="G292" i="21" s="1"/>
  <c r="G293" i="21" s="1"/>
  <c r="G294" i="21" s="1"/>
  <c r="G295" i="21" s="1"/>
  <c r="D133" i="20"/>
  <c r="D114" i="20"/>
  <c r="E156" i="21"/>
  <c r="E157" i="21" s="1"/>
  <c r="E158" i="21" s="1"/>
  <c r="E159" i="21" s="1"/>
  <c r="E160" i="21" s="1"/>
  <c r="E161" i="21" s="1"/>
  <c r="E162" i="21" s="1"/>
  <c r="E163" i="21" s="1"/>
  <c r="E164" i="21" s="1"/>
  <c r="E165" i="21" s="1"/>
  <c r="E166" i="21" s="1"/>
  <c r="E167" i="21" s="1"/>
  <c r="E168" i="21" s="1"/>
  <c r="E169" i="21" s="1"/>
  <c r="E170" i="21" s="1"/>
  <c r="E171" i="21" s="1"/>
  <c r="E172" i="21" s="1"/>
  <c r="E173" i="21" s="1"/>
  <c r="E174" i="21" s="1"/>
  <c r="E175" i="21" s="1"/>
  <c r="E176" i="21" s="1"/>
  <c r="E177" i="21" s="1"/>
  <c r="E178" i="21" s="1"/>
  <c r="E179" i="21" s="1"/>
  <c r="E180" i="21" s="1"/>
  <c r="E181" i="21" s="1"/>
  <c r="E182" i="21" s="1"/>
  <c r="E183" i="21" s="1"/>
  <c r="E184" i="21" s="1"/>
  <c r="D148" i="21"/>
  <c r="E229" i="21"/>
  <c r="E230" i="21" s="1"/>
  <c r="D333" i="21"/>
  <c r="D132" i="20"/>
  <c r="D96" i="20"/>
  <c r="B296" i="21"/>
  <c r="B148" i="21"/>
  <c r="B407" i="21"/>
  <c r="D41" i="20"/>
  <c r="O5" i="19"/>
  <c r="O20" i="19"/>
  <c r="Q11" i="18"/>
  <c r="E34" i="18"/>
  <c r="O7" i="19"/>
  <c r="O6" i="19"/>
  <c r="O22" i="19"/>
  <c r="O23" i="19"/>
  <c r="O19" i="19"/>
  <c r="D35" i="20"/>
  <c r="D143" i="20"/>
  <c r="D71" i="20"/>
  <c r="O18" i="19"/>
  <c r="D142" i="20"/>
  <c r="D70" i="20"/>
  <c r="D178" i="20"/>
  <c r="S44" i="21"/>
  <c r="S45" i="21" s="1"/>
  <c r="S46" i="21" s="1"/>
  <c r="S47" i="21" s="1"/>
  <c r="S48" i="21" s="1"/>
  <c r="S49" i="21" s="1"/>
  <c r="S50" i="21" s="1"/>
  <c r="S51" i="21" s="1"/>
  <c r="S52" i="21" s="1"/>
  <c r="S53" i="21" s="1"/>
  <c r="S54" i="21" s="1"/>
  <c r="S55" i="21" s="1"/>
  <c r="S56" i="21" s="1"/>
  <c r="S57" i="21" s="1"/>
  <c r="S58" i="21" s="1"/>
  <c r="S59" i="21" s="1"/>
  <c r="S60" i="21" s="1"/>
  <c r="S61" i="21" s="1"/>
  <c r="S62" i="21" s="1"/>
  <c r="S63" i="21" s="1"/>
  <c r="S64" i="21" s="1"/>
  <c r="S65" i="21" s="1"/>
  <c r="S66" i="21" s="1"/>
  <c r="S67" i="21" s="1"/>
  <c r="S68" i="21" s="1"/>
  <c r="S69" i="21" s="1"/>
  <c r="S70" i="21" s="1"/>
  <c r="S71" i="21" s="1"/>
  <c r="S72" i="21" s="1"/>
  <c r="S73" i="21" s="1"/>
  <c r="Y15" i="21"/>
  <c r="Y16" i="21" s="1"/>
  <c r="Y17" i="21" s="1"/>
  <c r="Y18" i="21" s="1"/>
  <c r="Y19" i="21" s="1"/>
  <c r="Y20" i="21" s="1"/>
  <c r="Y21" i="21" s="1"/>
  <c r="Y22" i="21" s="1"/>
  <c r="Y23" i="21" s="1"/>
  <c r="Y24" i="21" s="1"/>
  <c r="Y25" i="21" s="1"/>
  <c r="Y26" i="21" s="1"/>
  <c r="Y27" i="21" s="1"/>
  <c r="Y28" i="21" s="1"/>
  <c r="Y29" i="21" s="1"/>
  <c r="Y30" i="21" s="1"/>
  <c r="Y31" i="21" s="1"/>
  <c r="Y32" i="21" s="1"/>
  <c r="Y33" i="21" s="1"/>
  <c r="Y34" i="21" s="1"/>
  <c r="Y35" i="21" s="1"/>
  <c r="Y36" i="21" s="1"/>
  <c r="Y164" i="21"/>
  <c r="Y165" i="21" s="1"/>
  <c r="Y166" i="21" s="1"/>
  <c r="Y167" i="21" s="1"/>
  <c r="Y168" i="21" s="1"/>
  <c r="Y169" i="21" s="1"/>
  <c r="Y170" i="21" s="1"/>
  <c r="Y171" i="21" s="1"/>
  <c r="Y172" i="21" s="1"/>
  <c r="Y173" i="21" s="1"/>
  <c r="Y174" i="21" s="1"/>
  <c r="Y175" i="21" s="1"/>
  <c r="Y176" i="21" s="1"/>
  <c r="Y177" i="21" s="1"/>
  <c r="Y178" i="21" s="1"/>
  <c r="Y179" i="21" s="1"/>
  <c r="Y180" i="21" s="1"/>
  <c r="Y181" i="21" s="1"/>
  <c r="Y182" i="21" s="1"/>
  <c r="Y183" i="21" s="1"/>
  <c r="Y184" i="21" s="1"/>
  <c r="Y376" i="21"/>
  <c r="X407" i="21"/>
  <c r="Y133" i="21"/>
  <c r="Y134" i="21" s="1"/>
  <c r="Y135" i="21" s="1"/>
  <c r="Y136" i="21" s="1"/>
  <c r="Y137" i="21" s="1"/>
  <c r="Y138" i="21" s="1"/>
  <c r="Y139" i="21" s="1"/>
  <c r="Y140" i="21" s="1"/>
  <c r="Y141" i="21" s="1"/>
  <c r="Y142" i="21" s="1"/>
  <c r="Y143" i="21" s="1"/>
  <c r="Y144" i="21" s="1"/>
  <c r="Y145" i="21" s="1"/>
  <c r="Y146" i="21" s="1"/>
  <c r="Y147" i="21" s="1"/>
  <c r="X333" i="21"/>
  <c r="Y302" i="21"/>
  <c r="Y303" i="21" s="1"/>
  <c r="Y304" i="21" s="1"/>
  <c r="Y305" i="21" s="1"/>
  <c r="Y306" i="21" s="1"/>
  <c r="Y307" i="21" s="1"/>
  <c r="Y308" i="21" s="1"/>
  <c r="Y309" i="21" s="1"/>
  <c r="Y310" i="21" s="1"/>
  <c r="Y311" i="21" s="1"/>
  <c r="Y312" i="21" s="1"/>
  <c r="Y313" i="21" s="1"/>
  <c r="Y314" i="21" s="1"/>
  <c r="Y315" i="21" s="1"/>
  <c r="Y316" i="21" s="1"/>
  <c r="Y317" i="21" s="1"/>
  <c r="Y318" i="21" s="1"/>
  <c r="Y319" i="21" s="1"/>
  <c r="Y320" i="21" s="1"/>
  <c r="Y321" i="21" s="1"/>
  <c r="Y322" i="21" s="1"/>
  <c r="Y323" i="21" s="1"/>
  <c r="Y324" i="21" s="1"/>
  <c r="Y325" i="21" s="1"/>
  <c r="Y326" i="21" s="1"/>
  <c r="Y327" i="21" s="1"/>
  <c r="Y328" i="21" s="1"/>
  <c r="Y329" i="21" s="1"/>
  <c r="Y330" i="21" s="1"/>
  <c r="Y331" i="21" s="1"/>
  <c r="Y332" i="21" s="1"/>
  <c r="X259" i="21"/>
  <c r="X37" i="21"/>
  <c r="Y84" i="21"/>
  <c r="Y85" i="21" s="1"/>
  <c r="Y86" i="21" s="1"/>
  <c r="Y87" i="21" s="1"/>
  <c r="Y88" i="21" s="1"/>
  <c r="Y89" i="21" s="1"/>
  <c r="Y90" i="21" s="1"/>
  <c r="Y91" i="21" s="1"/>
  <c r="Y92" i="21" s="1"/>
  <c r="Y93" i="21" s="1"/>
  <c r="Y94" i="21" s="1"/>
  <c r="Y95" i="21" s="1"/>
  <c r="Y96" i="21" s="1"/>
  <c r="Y97" i="21" s="1"/>
  <c r="Y98" i="21" s="1"/>
  <c r="Y99" i="21" s="1"/>
  <c r="Y100" i="21" s="1"/>
  <c r="Y101" i="21" s="1"/>
  <c r="Y102" i="21" s="1"/>
  <c r="Y103" i="21" s="1"/>
  <c r="Y104" i="21" s="1"/>
  <c r="Y105" i="21" s="1"/>
  <c r="Y106" i="21" s="1"/>
  <c r="Y107" i="21" s="1"/>
  <c r="Y108" i="21" s="1"/>
  <c r="Y109" i="21" s="1"/>
  <c r="Y110" i="21" s="1"/>
  <c r="Y265" i="21"/>
  <c r="Y266" i="21" s="1"/>
  <c r="Y267" i="21" s="1"/>
  <c r="Y268" i="21" s="1"/>
  <c r="Y269" i="21" s="1"/>
  <c r="Y270" i="21" s="1"/>
  <c r="Y271" i="21" s="1"/>
  <c r="Y272" i="21" s="1"/>
  <c r="Y273" i="21" s="1"/>
  <c r="Y274" i="21" s="1"/>
  <c r="Y275" i="21" s="1"/>
  <c r="Y276" i="21" s="1"/>
  <c r="Y277" i="21" s="1"/>
  <c r="Y278" i="21" s="1"/>
  <c r="Y279" i="21" s="1"/>
  <c r="Y280" i="21" s="1"/>
  <c r="Y281" i="21" s="1"/>
  <c r="Y282" i="21" s="1"/>
  <c r="Y283" i="21" s="1"/>
  <c r="Y284" i="21" s="1"/>
  <c r="Y285" i="21" s="1"/>
  <c r="Y286" i="21" s="1"/>
  <c r="Y287" i="21" s="1"/>
  <c r="Y288" i="21" s="1"/>
  <c r="Y289" i="21" s="1"/>
  <c r="Y290" i="21" s="1"/>
  <c r="Y291" i="21" s="1"/>
  <c r="Y292" i="21" s="1"/>
  <c r="Y293" i="21" s="1"/>
  <c r="Y294" i="21" s="1"/>
  <c r="Y295" i="21" s="1"/>
  <c r="X296" i="21"/>
  <c r="X370" i="21"/>
  <c r="Y377" i="21"/>
  <c r="Y378" i="21" s="1"/>
  <c r="Y379" i="21" s="1"/>
  <c r="Y380" i="21" s="1"/>
  <c r="Y381" i="21" s="1"/>
  <c r="Y382" i="21" s="1"/>
  <c r="Y383" i="21" s="1"/>
  <c r="Y384" i="21" s="1"/>
  <c r="Y385" i="21" s="1"/>
  <c r="Y386" i="21" s="1"/>
  <c r="Y387" i="21" s="1"/>
  <c r="Y388" i="21" s="1"/>
  <c r="Y389" i="21" s="1"/>
  <c r="Y390" i="21" s="1"/>
  <c r="Y391" i="21" s="1"/>
  <c r="Y392" i="21" s="1"/>
  <c r="Y393" i="21" s="1"/>
  <c r="Y394" i="21" s="1"/>
  <c r="Y395" i="21" s="1"/>
  <c r="Y396" i="21" s="1"/>
  <c r="Y397" i="21" s="1"/>
  <c r="Y398" i="21" s="1"/>
  <c r="Y399" i="21" s="1"/>
  <c r="Y400" i="21" s="1"/>
  <c r="Y401" i="21" s="1"/>
  <c r="Y402" i="21" s="1"/>
  <c r="Y403" i="21" s="1"/>
  <c r="Y404" i="21" s="1"/>
  <c r="Y405" i="21" s="1"/>
  <c r="Y406" i="21" s="1"/>
  <c r="Y229" i="21"/>
  <c r="Y230" i="21" s="1"/>
  <c r="Y231" i="21" s="1"/>
  <c r="Y232" i="21" s="1"/>
  <c r="Y233" i="21" s="1"/>
  <c r="Y234" i="21" s="1"/>
  <c r="Y235" i="21" s="1"/>
  <c r="Y236" i="21" s="1"/>
  <c r="Y237" i="21" s="1"/>
  <c r="Y238" i="21" s="1"/>
  <c r="Y239" i="21" s="1"/>
  <c r="Y240" i="21" s="1"/>
  <c r="Y241" i="21" s="1"/>
  <c r="Y242" i="21" s="1"/>
  <c r="Y243" i="21" s="1"/>
  <c r="Y244" i="21" s="1"/>
  <c r="Y245" i="21" s="1"/>
  <c r="Y246" i="21" s="1"/>
  <c r="Y247" i="21" s="1"/>
  <c r="Y248" i="21" s="1"/>
  <c r="Y249" i="21" s="1"/>
  <c r="Y250" i="21" s="1"/>
  <c r="Y251" i="21" s="1"/>
  <c r="Y252" i="21" s="1"/>
  <c r="Y253" i="21" s="1"/>
  <c r="Y254" i="21" s="1"/>
  <c r="Y255" i="21" s="1"/>
  <c r="Y256" i="21" s="1"/>
  <c r="Y257" i="21" s="1"/>
  <c r="Y258" i="21" s="1"/>
  <c r="Y420" i="21"/>
  <c r="Y421" i="21" s="1"/>
  <c r="Y422" i="21" s="1"/>
  <c r="Y423" i="21" s="1"/>
  <c r="Y424" i="21" s="1"/>
  <c r="Y425" i="21" s="1"/>
  <c r="Y426" i="21" s="1"/>
  <c r="Y427" i="21" s="1"/>
  <c r="Y428" i="21" s="1"/>
  <c r="Y429" i="21" s="1"/>
  <c r="Y430" i="21" s="1"/>
  <c r="Y431" i="21" s="1"/>
  <c r="Y432" i="21" s="1"/>
  <c r="Y433" i="21" s="1"/>
  <c r="Y434" i="21" s="1"/>
  <c r="Y435" i="21" s="1"/>
  <c r="Y436" i="21" s="1"/>
  <c r="Y437" i="21" s="1"/>
  <c r="Y438" i="21" s="1"/>
  <c r="Y439" i="21" s="1"/>
  <c r="Y440" i="21" s="1"/>
  <c r="Y441" i="21" s="1"/>
  <c r="Y442" i="21" s="1"/>
  <c r="Y443" i="21" s="1"/>
  <c r="X444" i="21"/>
  <c r="Y342" i="21"/>
  <c r="Y343" i="21" s="1"/>
  <c r="Y344" i="21" s="1"/>
  <c r="Y345" i="21" s="1"/>
  <c r="Y346" i="21" s="1"/>
  <c r="Y347" i="21" s="1"/>
  <c r="Y348" i="21" s="1"/>
  <c r="Y349" i="21" s="1"/>
  <c r="Y350" i="21" s="1"/>
  <c r="Y351" i="21" s="1"/>
  <c r="Y352" i="21" s="1"/>
  <c r="Y353" i="21" s="1"/>
  <c r="Y354" i="21" s="1"/>
  <c r="Y355" i="21" s="1"/>
  <c r="Y356" i="21" s="1"/>
  <c r="Y357" i="21" s="1"/>
  <c r="Y358" i="21" s="1"/>
  <c r="Y359" i="21" s="1"/>
  <c r="Y360" i="21" s="1"/>
  <c r="Y361" i="21" s="1"/>
  <c r="Y362" i="21" s="1"/>
  <c r="Y363" i="21" s="1"/>
  <c r="Y364" i="21" s="1"/>
  <c r="Y365" i="21" s="1"/>
  <c r="Y366" i="21" s="1"/>
  <c r="Y367" i="21" s="1"/>
  <c r="Y368" i="21" s="1"/>
  <c r="Y369" i="21" s="1"/>
  <c r="Y156" i="21"/>
  <c r="Y157" i="21" s="1"/>
  <c r="Y158" i="21" s="1"/>
  <c r="Y159" i="21" s="1"/>
  <c r="Y160" i="21" s="1"/>
  <c r="Y161" i="21" s="1"/>
  <c r="Y162" i="21" s="1"/>
  <c r="Y163" i="21" s="1"/>
  <c r="Y43" i="21"/>
  <c r="Y44" i="21" s="1"/>
  <c r="Y45" i="21" s="1"/>
  <c r="Y46" i="21" s="1"/>
  <c r="Y47" i="21" s="1"/>
  <c r="Y48" i="21" s="1"/>
  <c r="Y49" i="21" s="1"/>
  <c r="Y50" i="21" s="1"/>
  <c r="Y51" i="21" s="1"/>
  <c r="Y52" i="21" s="1"/>
  <c r="Y53" i="21" s="1"/>
  <c r="Y54" i="21" s="1"/>
  <c r="Y55" i="21" s="1"/>
  <c r="Y56" i="21" s="1"/>
  <c r="Y57" i="21" s="1"/>
  <c r="Y58" i="21" s="1"/>
  <c r="Y59" i="21" s="1"/>
  <c r="Y60" i="21" s="1"/>
  <c r="Y61" i="21" s="1"/>
  <c r="Y62" i="21" s="1"/>
  <c r="Y63" i="21" s="1"/>
  <c r="Y64" i="21" s="1"/>
  <c r="Y65" i="21" s="1"/>
  <c r="Y66" i="21" s="1"/>
  <c r="Y67" i="21" s="1"/>
  <c r="Y68" i="21" s="1"/>
  <c r="Y69" i="21" s="1"/>
  <c r="Y70" i="21" s="1"/>
  <c r="Y71" i="21" s="1"/>
  <c r="Y72" i="21" s="1"/>
  <c r="Y73" i="21" s="1"/>
  <c r="X74" i="21"/>
  <c r="Y191" i="21"/>
  <c r="Y192" i="21" s="1"/>
  <c r="Y193" i="21" s="1"/>
  <c r="Y194" i="21" s="1"/>
  <c r="Y195" i="21" s="1"/>
  <c r="Y196" i="21" s="1"/>
  <c r="Y197" i="21" s="1"/>
  <c r="Y198" i="21" s="1"/>
  <c r="Y199" i="21" s="1"/>
  <c r="Y200" i="21" s="1"/>
  <c r="Y201" i="21" s="1"/>
  <c r="Y202" i="21" s="1"/>
  <c r="Y203" i="21" s="1"/>
  <c r="Y204" i="21" s="1"/>
  <c r="Y205" i="21" s="1"/>
  <c r="Y206" i="21" s="1"/>
  <c r="Y207" i="21" s="1"/>
  <c r="Y208" i="21" s="1"/>
  <c r="Y209" i="21" s="1"/>
  <c r="Y210" i="21" s="1"/>
  <c r="Y211" i="21" s="1"/>
  <c r="Y212" i="21" s="1"/>
  <c r="Y213" i="21" s="1"/>
  <c r="Y214" i="21" s="1"/>
  <c r="Y215" i="21" s="1"/>
  <c r="Y216" i="21" s="1"/>
  <c r="Y217" i="21" s="1"/>
  <c r="Y218" i="21" s="1"/>
  <c r="Y219" i="21" s="1"/>
  <c r="Y220" i="21" s="1"/>
  <c r="Y221" i="21" s="1"/>
  <c r="X222" i="21"/>
  <c r="O233" i="21"/>
  <c r="O234" i="21" s="1"/>
  <c r="O235" i="21" s="1"/>
  <c r="O236" i="21" s="1"/>
  <c r="O237" i="21" s="1"/>
  <c r="O15" i="19"/>
  <c r="O7" i="2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O22" i="21" s="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81" i="21"/>
  <c r="O382" i="21" s="1"/>
  <c r="O383" i="21" s="1"/>
  <c r="O384" i="21" s="1"/>
  <c r="O385" i="21" s="1"/>
  <c r="O386" i="21" s="1"/>
  <c r="O387" i="21" s="1"/>
  <c r="O45" i="21"/>
  <c r="D176" i="20"/>
  <c r="O121" i="2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U232" i="21"/>
  <c r="U233" i="21" s="1"/>
  <c r="U234" i="21" s="1"/>
  <c r="U235" i="21" s="1"/>
  <c r="U236" i="21" s="1"/>
  <c r="U237" i="21" s="1"/>
  <c r="U238" i="21" s="1"/>
  <c r="U239" i="21" s="1"/>
  <c r="U240" i="21" s="1"/>
  <c r="U241" i="21" s="1"/>
  <c r="U242" i="21" s="1"/>
  <c r="U243" i="21" s="1"/>
  <c r="U244" i="21" s="1"/>
  <c r="U245" i="21" s="1"/>
  <c r="U246" i="21" s="1"/>
  <c r="U247" i="21" s="1"/>
  <c r="U248" i="21" s="1"/>
  <c r="U249" i="21" s="1"/>
  <c r="U250" i="21" s="1"/>
  <c r="U251" i="21" s="1"/>
  <c r="U252" i="21" s="1"/>
  <c r="U253" i="21" s="1"/>
  <c r="U254" i="21" s="1"/>
  <c r="U255" i="21" s="1"/>
  <c r="U256" i="21" s="1"/>
  <c r="U257" i="21" s="1"/>
  <c r="U258" i="21" s="1"/>
  <c r="T407" i="21"/>
  <c r="U376" i="21"/>
  <c r="U377" i="21" s="1"/>
  <c r="U378" i="21" s="1"/>
  <c r="U379" i="21" s="1"/>
  <c r="U380" i="21" s="1"/>
  <c r="U381" i="21" s="1"/>
  <c r="U382" i="21" s="1"/>
  <c r="U383" i="21" s="1"/>
  <c r="U384" i="21" s="1"/>
  <c r="U385" i="21" s="1"/>
  <c r="U386" i="21" s="1"/>
  <c r="U387" i="21" s="1"/>
  <c r="U388" i="21" s="1"/>
  <c r="U389" i="21" s="1"/>
  <c r="U390" i="21" s="1"/>
  <c r="U391" i="21" s="1"/>
  <c r="U392" i="21" s="1"/>
  <c r="U393" i="21" s="1"/>
  <c r="U394" i="21" s="1"/>
  <c r="U395" i="21" s="1"/>
  <c r="U396" i="21" s="1"/>
  <c r="U397" i="21" s="1"/>
  <c r="U398" i="21" s="1"/>
  <c r="U399" i="21" s="1"/>
  <c r="U400" i="21" s="1"/>
  <c r="U401" i="21" s="1"/>
  <c r="U402" i="21" s="1"/>
  <c r="U403" i="21" s="1"/>
  <c r="U404" i="21" s="1"/>
  <c r="U405" i="21" s="1"/>
  <c r="U406" i="21" s="1"/>
  <c r="T370" i="21"/>
  <c r="T111" i="21"/>
  <c r="U80" i="21"/>
  <c r="U81" i="21" s="1"/>
  <c r="U82" i="21" s="1"/>
  <c r="U83" i="21" s="1"/>
  <c r="U84" i="21" s="1"/>
  <c r="U85" i="21" s="1"/>
  <c r="U86" i="21" s="1"/>
  <c r="U87" i="21" s="1"/>
  <c r="U88" i="21" s="1"/>
  <c r="U89" i="21" s="1"/>
  <c r="U90" i="21" s="1"/>
  <c r="U91" i="21" s="1"/>
  <c r="U92" i="21" s="1"/>
  <c r="U93" i="21" s="1"/>
  <c r="U94" i="21" s="1"/>
  <c r="U95" i="21" s="1"/>
  <c r="U96" i="21" s="1"/>
  <c r="U97" i="21" s="1"/>
  <c r="U98" i="21" s="1"/>
  <c r="U99" i="21" s="1"/>
  <c r="U100" i="21" s="1"/>
  <c r="U101" i="21" s="1"/>
  <c r="U102" i="21" s="1"/>
  <c r="U103" i="21" s="1"/>
  <c r="U104" i="21" s="1"/>
  <c r="U105" i="21" s="1"/>
  <c r="U106" i="21" s="1"/>
  <c r="U107" i="21" s="1"/>
  <c r="U108" i="21" s="1"/>
  <c r="U109" i="21" s="1"/>
  <c r="U110" i="21" s="1"/>
  <c r="T222" i="21"/>
  <c r="U191" i="21"/>
  <c r="U192" i="21" s="1"/>
  <c r="U193" i="21" s="1"/>
  <c r="U194" i="21" s="1"/>
  <c r="U195" i="21" s="1"/>
  <c r="U196" i="21" s="1"/>
  <c r="U197" i="21" s="1"/>
  <c r="U198" i="21" s="1"/>
  <c r="U199" i="21" s="1"/>
  <c r="U200" i="21" s="1"/>
  <c r="U201" i="21" s="1"/>
  <c r="U202" i="21" s="1"/>
  <c r="U203" i="21" s="1"/>
  <c r="U204" i="21" s="1"/>
  <c r="U205" i="21" s="1"/>
  <c r="U206" i="21" s="1"/>
  <c r="U207" i="21" s="1"/>
  <c r="U208" i="21" s="1"/>
  <c r="U209" i="21" s="1"/>
  <c r="U210" i="21" s="1"/>
  <c r="U211" i="21" s="1"/>
  <c r="U212" i="21" s="1"/>
  <c r="U213" i="21" s="1"/>
  <c r="U214" i="21" s="1"/>
  <c r="U215" i="21" s="1"/>
  <c r="U216" i="21" s="1"/>
  <c r="U217" i="21" s="1"/>
  <c r="U218" i="21" s="1"/>
  <c r="U219" i="21" s="1"/>
  <c r="U220" i="21" s="1"/>
  <c r="U221" i="21" s="1"/>
  <c r="U154" i="21"/>
  <c r="U155" i="21" s="1"/>
  <c r="U156" i="21" s="1"/>
  <c r="U157" i="21" s="1"/>
  <c r="U158" i="21" s="1"/>
  <c r="U159" i="21" s="1"/>
  <c r="U160" i="21" s="1"/>
  <c r="U161" i="21" s="1"/>
  <c r="U162" i="21" s="1"/>
  <c r="U163" i="21" s="1"/>
  <c r="U164" i="21" s="1"/>
  <c r="U165" i="21" s="1"/>
  <c r="U166" i="21" s="1"/>
  <c r="U167" i="21" s="1"/>
  <c r="U168" i="21" s="1"/>
  <c r="U169" i="21" s="1"/>
  <c r="U170" i="21" s="1"/>
  <c r="U171" i="21" s="1"/>
  <c r="U172" i="21" s="1"/>
  <c r="U173" i="21" s="1"/>
  <c r="U174" i="21" s="1"/>
  <c r="U175" i="21" s="1"/>
  <c r="U176" i="21" s="1"/>
  <c r="U177" i="21" s="1"/>
  <c r="U178" i="21" s="1"/>
  <c r="U179" i="21" s="1"/>
  <c r="U180" i="21" s="1"/>
  <c r="U181" i="21" s="1"/>
  <c r="U182" i="21" s="1"/>
  <c r="U183" i="21" s="1"/>
  <c r="U184" i="21" s="1"/>
  <c r="T185" i="21"/>
  <c r="U265" i="21"/>
  <c r="U266" i="21" s="1"/>
  <c r="U267" i="21" s="1"/>
  <c r="U268" i="21" s="1"/>
  <c r="U269" i="21" s="1"/>
  <c r="U270" i="21" s="1"/>
  <c r="U271" i="21" s="1"/>
  <c r="U272" i="21" s="1"/>
  <c r="U273" i="21" s="1"/>
  <c r="U274" i="21" s="1"/>
  <c r="U275" i="21" s="1"/>
  <c r="U276" i="21" s="1"/>
  <c r="U277" i="21" s="1"/>
  <c r="U278" i="21" s="1"/>
  <c r="U279" i="21" s="1"/>
  <c r="U280" i="21" s="1"/>
  <c r="U281" i="21" s="1"/>
  <c r="U282" i="21" s="1"/>
  <c r="U283" i="21" s="1"/>
  <c r="U284" i="21" s="1"/>
  <c r="U285" i="21" s="1"/>
  <c r="U286" i="21" s="1"/>
  <c r="U287" i="21" s="1"/>
  <c r="U288" i="21" s="1"/>
  <c r="U289" i="21" s="1"/>
  <c r="U290" i="21" s="1"/>
  <c r="U291" i="21" s="1"/>
  <c r="U292" i="21" s="1"/>
  <c r="U293" i="21" s="1"/>
  <c r="U294" i="21" s="1"/>
  <c r="U295" i="21" s="1"/>
  <c r="T296" i="21"/>
  <c r="T74" i="21"/>
  <c r="U43" i="21"/>
  <c r="U44" i="21" s="1"/>
  <c r="U45" i="21" s="1"/>
  <c r="U46" i="21" s="1"/>
  <c r="U47" i="21" s="1"/>
  <c r="U48" i="21" s="1"/>
  <c r="U49" i="21" s="1"/>
  <c r="U50" i="21" s="1"/>
  <c r="U51" i="21" s="1"/>
  <c r="U52" i="21" s="1"/>
  <c r="U53" i="21" s="1"/>
  <c r="U54" i="21" s="1"/>
  <c r="U55" i="21" s="1"/>
  <c r="U56" i="21" s="1"/>
  <c r="U57" i="21" s="1"/>
  <c r="U58" i="21" s="1"/>
  <c r="U59" i="21" s="1"/>
  <c r="U60" i="21" s="1"/>
  <c r="U61" i="21" s="1"/>
  <c r="U62" i="21" s="1"/>
  <c r="U63" i="21" s="1"/>
  <c r="U64" i="21" s="1"/>
  <c r="U65" i="21" s="1"/>
  <c r="U66" i="21" s="1"/>
  <c r="U67" i="21" s="1"/>
  <c r="U68" i="21" s="1"/>
  <c r="U69" i="21" s="1"/>
  <c r="U70" i="21" s="1"/>
  <c r="U71" i="21" s="1"/>
  <c r="U72" i="21" s="1"/>
  <c r="U73" i="21" s="1"/>
  <c r="U303" i="21"/>
  <c r="U304" i="21" s="1"/>
  <c r="U305" i="21" s="1"/>
  <c r="U306" i="21" s="1"/>
  <c r="U307" i="21" s="1"/>
  <c r="U308" i="21" s="1"/>
  <c r="U309" i="21" s="1"/>
  <c r="U310" i="21" s="1"/>
  <c r="U311" i="21" s="1"/>
  <c r="U312" i="21" s="1"/>
  <c r="U313" i="21" s="1"/>
  <c r="U314" i="21" s="1"/>
  <c r="U315" i="21" s="1"/>
  <c r="U316" i="21" s="1"/>
  <c r="U317" i="21" s="1"/>
  <c r="U318" i="21" s="1"/>
  <c r="U319" i="21" s="1"/>
  <c r="U320" i="21" s="1"/>
  <c r="U321" i="21" s="1"/>
  <c r="U322" i="21" s="1"/>
  <c r="U323" i="21" s="1"/>
  <c r="U324" i="21" s="1"/>
  <c r="U325" i="21" s="1"/>
  <c r="U326" i="21" s="1"/>
  <c r="U327" i="21" s="1"/>
  <c r="U328" i="21" s="1"/>
  <c r="U329" i="21" s="1"/>
  <c r="U330" i="21" s="1"/>
  <c r="U331" i="21" s="1"/>
  <c r="U332" i="21" s="1"/>
  <c r="T333" i="21"/>
  <c r="T444" i="21"/>
  <c r="U413" i="21"/>
  <c r="U414" i="21" s="1"/>
  <c r="U415" i="21" s="1"/>
  <c r="U416" i="21" s="1"/>
  <c r="U417" i="21" s="1"/>
  <c r="U418" i="21" s="1"/>
  <c r="U419" i="21" s="1"/>
  <c r="U420" i="21" s="1"/>
  <c r="U421" i="21" s="1"/>
  <c r="U422" i="21" s="1"/>
  <c r="U423" i="21" s="1"/>
  <c r="U424" i="21" s="1"/>
  <c r="U425" i="21" s="1"/>
  <c r="U426" i="21" s="1"/>
  <c r="U427" i="21" s="1"/>
  <c r="U428" i="21" s="1"/>
  <c r="U429" i="21" s="1"/>
  <c r="U430" i="21" s="1"/>
  <c r="U431" i="21" s="1"/>
  <c r="U432" i="21" s="1"/>
  <c r="U433" i="21" s="1"/>
  <c r="U434" i="21" s="1"/>
  <c r="U435" i="21" s="1"/>
  <c r="U436" i="21" s="1"/>
  <c r="U437" i="21" s="1"/>
  <c r="U438" i="21" s="1"/>
  <c r="U439" i="21" s="1"/>
  <c r="U440" i="21" s="1"/>
  <c r="U441" i="21" s="1"/>
  <c r="U442" i="21" s="1"/>
  <c r="U443" i="21" s="1"/>
  <c r="U7" i="21"/>
  <c r="U8" i="21" s="1"/>
  <c r="U9" i="21" s="1"/>
  <c r="U10" i="21" s="1"/>
  <c r="U11" i="21" s="1"/>
  <c r="U12" i="21" s="1"/>
  <c r="U13" i="21" s="1"/>
  <c r="U14" i="21" s="1"/>
  <c r="U15" i="21" s="1"/>
  <c r="U16" i="21" s="1"/>
  <c r="U17" i="21" s="1"/>
  <c r="U18" i="21" s="1"/>
  <c r="U19" i="21" s="1"/>
  <c r="U20" i="21" s="1"/>
  <c r="U21" i="21" s="1"/>
  <c r="U22" i="21" s="1"/>
  <c r="U23" i="21" s="1"/>
  <c r="U24" i="21" s="1"/>
  <c r="U25" i="21" s="1"/>
  <c r="U26" i="21" s="1"/>
  <c r="U27" i="21" s="1"/>
  <c r="U28" i="21" s="1"/>
  <c r="U29" i="21" s="1"/>
  <c r="U30" i="21" s="1"/>
  <c r="U31" i="21" s="1"/>
  <c r="U32" i="21" s="1"/>
  <c r="U33" i="21" s="1"/>
  <c r="U34" i="21" s="1"/>
  <c r="U35" i="21" s="1"/>
  <c r="U36" i="21" s="1"/>
  <c r="T37" i="21"/>
  <c r="T148" i="21"/>
  <c r="V185" i="21"/>
  <c r="W154" i="21"/>
  <c r="V407" i="21"/>
  <c r="W376" i="21"/>
  <c r="W377" i="21" s="1"/>
  <c r="W378" i="21" s="1"/>
  <c r="W379" i="21" s="1"/>
  <c r="W380" i="21" s="1"/>
  <c r="W381" i="21" s="1"/>
  <c r="W382" i="21" s="1"/>
  <c r="W383" i="21" s="1"/>
  <c r="W384" i="21" s="1"/>
  <c r="W385" i="21" s="1"/>
  <c r="W386" i="21" s="1"/>
  <c r="W387" i="21" s="1"/>
  <c r="W388" i="21" s="1"/>
  <c r="W389" i="21" s="1"/>
  <c r="W390" i="21" s="1"/>
  <c r="W391" i="21" s="1"/>
  <c r="W392" i="21" s="1"/>
  <c r="W393" i="21" s="1"/>
  <c r="W394" i="21" s="1"/>
  <c r="W395" i="21" s="1"/>
  <c r="W396" i="21" s="1"/>
  <c r="W397" i="21" s="1"/>
  <c r="W398" i="21" s="1"/>
  <c r="W399" i="21" s="1"/>
  <c r="W400" i="21" s="1"/>
  <c r="W401" i="21" s="1"/>
  <c r="W402" i="21" s="1"/>
  <c r="W403" i="21" s="1"/>
  <c r="W404" i="21" s="1"/>
  <c r="W405" i="21" s="1"/>
  <c r="W406" i="21" s="1"/>
  <c r="W415" i="21"/>
  <c r="W416" i="21" s="1"/>
  <c r="W417" i="21" s="1"/>
  <c r="W418" i="21" s="1"/>
  <c r="W419" i="21" s="1"/>
  <c r="W420" i="21" s="1"/>
  <c r="W421" i="21" s="1"/>
  <c r="W422" i="21" s="1"/>
  <c r="W423" i="21" s="1"/>
  <c r="W424" i="21" s="1"/>
  <c r="W425" i="21" s="1"/>
  <c r="W426" i="21" s="1"/>
  <c r="W427" i="21" s="1"/>
  <c r="W428" i="21" s="1"/>
  <c r="W429" i="21" s="1"/>
  <c r="W430" i="21" s="1"/>
  <c r="W431" i="21" s="1"/>
  <c r="W432" i="21" s="1"/>
  <c r="W433" i="21" s="1"/>
  <c r="W434" i="21" s="1"/>
  <c r="W435" i="21" s="1"/>
  <c r="W436" i="21" s="1"/>
  <c r="W437" i="21" s="1"/>
  <c r="W438" i="21" s="1"/>
  <c r="W439" i="21" s="1"/>
  <c r="W440" i="21" s="1"/>
  <c r="W441" i="21" s="1"/>
  <c r="W442" i="21" s="1"/>
  <c r="W443" i="21" s="1"/>
  <c r="W44" i="21"/>
  <c r="W45" i="21" s="1"/>
  <c r="W46" i="21" s="1"/>
  <c r="W47" i="21" s="1"/>
  <c r="W48" i="21" s="1"/>
  <c r="W49" i="21" s="1"/>
  <c r="W50" i="21" s="1"/>
  <c r="W51" i="21" s="1"/>
  <c r="W52" i="21" s="1"/>
  <c r="W53" i="21" s="1"/>
  <c r="W54" i="21" s="1"/>
  <c r="W55" i="21" s="1"/>
  <c r="W56" i="21" s="1"/>
  <c r="W57" i="21" s="1"/>
  <c r="W58" i="21" s="1"/>
  <c r="W59" i="21" s="1"/>
  <c r="W60" i="21" s="1"/>
  <c r="W61" i="21" s="1"/>
  <c r="W62" i="21" s="1"/>
  <c r="W63" i="21" s="1"/>
  <c r="W64" i="21" s="1"/>
  <c r="W65" i="21" s="1"/>
  <c r="W66" i="21" s="1"/>
  <c r="W67" i="21" s="1"/>
  <c r="W68" i="21" s="1"/>
  <c r="W69" i="21" s="1"/>
  <c r="W70" i="21" s="1"/>
  <c r="W71" i="21" s="1"/>
  <c r="W72" i="21" s="1"/>
  <c r="W73" i="21" s="1"/>
  <c r="W302" i="21"/>
  <c r="W303" i="21" s="1"/>
  <c r="W304" i="21" s="1"/>
  <c r="W305" i="21" s="1"/>
  <c r="W306" i="21" s="1"/>
  <c r="W307" i="21" s="1"/>
  <c r="W308" i="21" s="1"/>
  <c r="W309" i="21" s="1"/>
  <c r="W310" i="21" s="1"/>
  <c r="W311" i="21" s="1"/>
  <c r="W312" i="21" s="1"/>
  <c r="W313" i="21" s="1"/>
  <c r="W314" i="21" s="1"/>
  <c r="W315" i="21" s="1"/>
  <c r="W316" i="21" s="1"/>
  <c r="W317" i="21" s="1"/>
  <c r="W318" i="21" s="1"/>
  <c r="W319" i="21" s="1"/>
  <c r="W320" i="21" s="1"/>
  <c r="W321" i="21" s="1"/>
  <c r="W322" i="21" s="1"/>
  <c r="W323" i="21" s="1"/>
  <c r="W324" i="21" s="1"/>
  <c r="W325" i="21" s="1"/>
  <c r="W326" i="21" s="1"/>
  <c r="W327" i="21" s="1"/>
  <c r="W328" i="21" s="1"/>
  <c r="W329" i="21" s="1"/>
  <c r="W330" i="21" s="1"/>
  <c r="W331" i="21" s="1"/>
  <c r="W332" i="21" s="1"/>
  <c r="V333" i="21"/>
  <c r="W230" i="21"/>
  <c r="W231" i="21" s="1"/>
  <c r="W232" i="21" s="1"/>
  <c r="V259" i="21"/>
  <c r="W233" i="21"/>
  <c r="W234" i="21" s="1"/>
  <c r="W235" i="21" s="1"/>
  <c r="W236" i="21" s="1"/>
  <c r="W237" i="21" s="1"/>
  <c r="W238" i="21" s="1"/>
  <c r="W239" i="21" s="1"/>
  <c r="W240" i="21" s="1"/>
  <c r="W241" i="21" s="1"/>
  <c r="W242" i="21" s="1"/>
  <c r="W243" i="21" s="1"/>
  <c r="W244" i="21" s="1"/>
  <c r="W245" i="21" s="1"/>
  <c r="W246" i="21" s="1"/>
  <c r="W247" i="21" s="1"/>
  <c r="W248" i="21" s="1"/>
  <c r="W249" i="21" s="1"/>
  <c r="W250" i="21" s="1"/>
  <c r="W251" i="21" s="1"/>
  <c r="W252" i="21" s="1"/>
  <c r="W253" i="21" s="1"/>
  <c r="W254" i="21" s="1"/>
  <c r="W255" i="21" s="1"/>
  <c r="W256" i="21" s="1"/>
  <c r="W257" i="21" s="1"/>
  <c r="W258" i="21" s="1"/>
  <c r="V444" i="21"/>
  <c r="V74" i="21"/>
  <c r="W43" i="21"/>
  <c r="W155" i="21"/>
  <c r="W156" i="21" s="1"/>
  <c r="W157" i="21" s="1"/>
  <c r="W158" i="21" s="1"/>
  <c r="W159" i="21" s="1"/>
  <c r="W160" i="21" s="1"/>
  <c r="W161" i="21" s="1"/>
  <c r="W162" i="21" s="1"/>
  <c r="W163" i="21" s="1"/>
  <c r="W164" i="21" s="1"/>
  <c r="W165" i="21" s="1"/>
  <c r="W166" i="21" s="1"/>
  <c r="W167" i="21" s="1"/>
  <c r="W168" i="21" s="1"/>
  <c r="W169" i="21" s="1"/>
  <c r="W170" i="21" s="1"/>
  <c r="W171" i="21" s="1"/>
  <c r="W172" i="21" s="1"/>
  <c r="W173" i="21" s="1"/>
  <c r="W174" i="21" s="1"/>
  <c r="W175" i="21" s="1"/>
  <c r="W176" i="21" s="1"/>
  <c r="W177" i="21" s="1"/>
  <c r="W178" i="21" s="1"/>
  <c r="W179" i="21" s="1"/>
  <c r="W180" i="21" s="1"/>
  <c r="W181" i="21" s="1"/>
  <c r="W182" i="21" s="1"/>
  <c r="W183" i="21" s="1"/>
  <c r="W184" i="21" s="1"/>
  <c r="W265" i="21"/>
  <c r="V296" i="21"/>
  <c r="W6" i="21"/>
  <c r="W7" i="21" s="1"/>
  <c r="W8" i="21" s="1"/>
  <c r="W9" i="21" s="1"/>
  <c r="W10" i="21" s="1"/>
  <c r="W11" i="21" s="1"/>
  <c r="W12" i="21" s="1"/>
  <c r="W13" i="21" s="1"/>
  <c r="W14" i="21" s="1"/>
  <c r="W15" i="21" s="1"/>
  <c r="W16" i="21" s="1"/>
  <c r="W17" i="21" s="1"/>
  <c r="W18" i="21" s="1"/>
  <c r="W19" i="21" s="1"/>
  <c r="W20" i="21" s="1"/>
  <c r="W21" i="21" s="1"/>
  <c r="W22" i="21" s="1"/>
  <c r="W23" i="21" s="1"/>
  <c r="W24" i="21" s="1"/>
  <c r="W25" i="21" s="1"/>
  <c r="W26" i="21" s="1"/>
  <c r="W27" i="21" s="1"/>
  <c r="W28" i="21" s="1"/>
  <c r="W29" i="21" s="1"/>
  <c r="W30" i="21" s="1"/>
  <c r="W31" i="21" s="1"/>
  <c r="W32" i="21" s="1"/>
  <c r="W33" i="21" s="1"/>
  <c r="W34" i="21" s="1"/>
  <c r="W35" i="21" s="1"/>
  <c r="W36" i="21" s="1"/>
  <c r="V37" i="21"/>
  <c r="W131" i="21"/>
  <c r="W132" i="21" s="1"/>
  <c r="W133" i="21" s="1"/>
  <c r="W134" i="21" s="1"/>
  <c r="W135" i="21" s="1"/>
  <c r="W136" i="21" s="1"/>
  <c r="W137" i="21" s="1"/>
  <c r="W138" i="21" s="1"/>
  <c r="W139" i="21" s="1"/>
  <c r="W140" i="21" s="1"/>
  <c r="W141" i="21" s="1"/>
  <c r="W142" i="21" s="1"/>
  <c r="W143" i="21" s="1"/>
  <c r="W144" i="21" s="1"/>
  <c r="W145" i="21" s="1"/>
  <c r="W146" i="21" s="1"/>
  <c r="W147" i="21" s="1"/>
  <c r="W87" i="21"/>
  <c r="W88" i="21" s="1"/>
  <c r="W89" i="21" s="1"/>
  <c r="W90" i="21" s="1"/>
  <c r="W91" i="21" s="1"/>
  <c r="W92" i="21" s="1"/>
  <c r="W93" i="21" s="1"/>
  <c r="W94" i="21" s="1"/>
  <c r="W95" i="21" s="1"/>
  <c r="W96" i="21" s="1"/>
  <c r="W97" i="21" s="1"/>
  <c r="W98" i="21" s="1"/>
  <c r="W99" i="21" s="1"/>
  <c r="W100" i="21" s="1"/>
  <c r="W101" i="21" s="1"/>
  <c r="W102" i="21" s="1"/>
  <c r="W103" i="21" s="1"/>
  <c r="W104" i="21" s="1"/>
  <c r="W105" i="21" s="1"/>
  <c r="W106" i="21" s="1"/>
  <c r="W107" i="21" s="1"/>
  <c r="W108" i="21" s="1"/>
  <c r="W109" i="21" s="1"/>
  <c r="W110" i="21" s="1"/>
  <c r="W339" i="21"/>
  <c r="W340" i="21" s="1"/>
  <c r="W341" i="21" s="1"/>
  <c r="W342" i="21" s="1"/>
  <c r="W343" i="21" s="1"/>
  <c r="W344" i="21" s="1"/>
  <c r="W345" i="21" s="1"/>
  <c r="W346" i="21" s="1"/>
  <c r="W347" i="21" s="1"/>
  <c r="W348" i="21" s="1"/>
  <c r="W349" i="21" s="1"/>
  <c r="W350" i="21" s="1"/>
  <c r="W351" i="21" s="1"/>
  <c r="W352" i="21" s="1"/>
  <c r="W353" i="21" s="1"/>
  <c r="W354" i="21" s="1"/>
  <c r="W355" i="21" s="1"/>
  <c r="W356" i="21" s="1"/>
  <c r="W357" i="21" s="1"/>
  <c r="W358" i="21" s="1"/>
  <c r="W359" i="21" s="1"/>
  <c r="W360" i="21" s="1"/>
  <c r="W361" i="21" s="1"/>
  <c r="W362" i="21" s="1"/>
  <c r="W363" i="21" s="1"/>
  <c r="W364" i="21" s="1"/>
  <c r="W365" i="21" s="1"/>
  <c r="W366" i="21" s="1"/>
  <c r="W367" i="21" s="1"/>
  <c r="W368" i="21" s="1"/>
  <c r="W369" i="21" s="1"/>
  <c r="V370" i="21"/>
  <c r="W266" i="21"/>
  <c r="W267" i="21" s="1"/>
  <c r="W268" i="21" s="1"/>
  <c r="W269" i="21" s="1"/>
  <c r="W270" i="21" s="1"/>
  <c r="W271" i="21" s="1"/>
  <c r="W272" i="21" s="1"/>
  <c r="W273" i="21" s="1"/>
  <c r="W274" i="21" s="1"/>
  <c r="W275" i="21" s="1"/>
  <c r="W276" i="21" s="1"/>
  <c r="W277" i="21" s="1"/>
  <c r="W278" i="21" s="1"/>
  <c r="W279" i="21" s="1"/>
  <c r="W280" i="21" s="1"/>
  <c r="W281" i="21" s="1"/>
  <c r="W282" i="21" s="1"/>
  <c r="W283" i="21" s="1"/>
  <c r="W284" i="21" s="1"/>
  <c r="W285" i="21" s="1"/>
  <c r="W286" i="21" s="1"/>
  <c r="W287" i="21" s="1"/>
  <c r="W288" i="21" s="1"/>
  <c r="W289" i="21" s="1"/>
  <c r="W290" i="21" s="1"/>
  <c r="W291" i="21" s="1"/>
  <c r="W292" i="21" s="1"/>
  <c r="W293" i="21" s="1"/>
  <c r="W294" i="21" s="1"/>
  <c r="W295" i="21" s="1"/>
  <c r="W193" i="21"/>
  <c r="W194" i="21" s="1"/>
  <c r="W195" i="21" s="1"/>
  <c r="W196" i="21" s="1"/>
  <c r="W197" i="21" s="1"/>
  <c r="W198" i="21" s="1"/>
  <c r="W199" i="21" s="1"/>
  <c r="W200" i="21" s="1"/>
  <c r="W201" i="21" s="1"/>
  <c r="W202" i="21" s="1"/>
  <c r="W203" i="21" s="1"/>
  <c r="W204" i="21" s="1"/>
  <c r="W205" i="21" s="1"/>
  <c r="W206" i="21" s="1"/>
  <c r="W207" i="21" s="1"/>
  <c r="W208" i="21" s="1"/>
  <c r="W209" i="21" s="1"/>
  <c r="W210" i="21" s="1"/>
  <c r="W211" i="21" s="1"/>
  <c r="W212" i="21" s="1"/>
  <c r="W213" i="21" s="1"/>
  <c r="W214" i="21" s="1"/>
  <c r="W215" i="21" s="1"/>
  <c r="W216" i="21" s="1"/>
  <c r="W217" i="21" s="1"/>
  <c r="W218" i="21" s="1"/>
  <c r="W219" i="21" s="1"/>
  <c r="W220" i="21" s="1"/>
  <c r="W221" i="21" s="1"/>
  <c r="O13" i="19"/>
  <c r="S7" i="21"/>
  <c r="S8" i="21" s="1"/>
  <c r="S9" i="21" s="1"/>
  <c r="S10" i="21" s="1"/>
  <c r="S11" i="21" s="1"/>
  <c r="S12" i="21" s="1"/>
  <c r="S13" i="21" s="1"/>
  <c r="S14" i="21" s="1"/>
  <c r="S15" i="21" s="1"/>
  <c r="S16" i="21" s="1"/>
  <c r="S17" i="21" s="1"/>
  <c r="S18" i="21" s="1"/>
  <c r="S19" i="21" s="1"/>
  <c r="S20" i="21" s="1"/>
  <c r="S21" i="21" s="1"/>
  <c r="S22" i="21" s="1"/>
  <c r="S23" i="21" s="1"/>
  <c r="S24" i="21" s="1"/>
  <c r="S25" i="21" s="1"/>
  <c r="S26" i="21" s="1"/>
  <c r="S27" i="21" s="1"/>
  <c r="S28" i="21" s="1"/>
  <c r="S29" i="21" s="1"/>
  <c r="S30" i="21" s="1"/>
  <c r="S31" i="21" s="1"/>
  <c r="S32" i="21" s="1"/>
  <c r="S33" i="21" s="1"/>
  <c r="S34" i="21" s="1"/>
  <c r="S35" i="21" s="1"/>
  <c r="S36" i="21" s="1"/>
  <c r="R37" i="21"/>
  <c r="R259" i="21"/>
  <c r="R296" i="21"/>
  <c r="O17" i="19"/>
  <c r="S81" i="21"/>
  <c r="S82" i="21" s="1"/>
  <c r="S83" i="21" s="1"/>
  <c r="S84" i="21" s="1"/>
  <c r="S85" i="21" s="1"/>
  <c r="S86" i="21" s="1"/>
  <c r="S87" i="21" s="1"/>
  <c r="S88" i="21" s="1"/>
  <c r="S89" i="21" s="1"/>
  <c r="S90" i="21" s="1"/>
  <c r="S91" i="21" s="1"/>
  <c r="S92" i="21" s="1"/>
  <c r="S93" i="21" s="1"/>
  <c r="S94" i="21" s="1"/>
  <c r="S95" i="21" s="1"/>
  <c r="S96" i="21" s="1"/>
  <c r="S97" i="21" s="1"/>
  <c r="S98" i="21" s="1"/>
  <c r="S99" i="21" s="1"/>
  <c r="S100" i="21" s="1"/>
  <c r="S101" i="21" s="1"/>
  <c r="S102" i="21" s="1"/>
  <c r="S103" i="21" s="1"/>
  <c r="S104" i="21" s="1"/>
  <c r="S105" i="21" s="1"/>
  <c r="S106" i="21" s="1"/>
  <c r="S107" i="21" s="1"/>
  <c r="S108" i="21" s="1"/>
  <c r="S109" i="21" s="1"/>
  <c r="S110" i="21" s="1"/>
  <c r="R111" i="21"/>
  <c r="S117" i="21"/>
  <c r="S118" i="21" s="1"/>
  <c r="S119" i="21" s="1"/>
  <c r="S120" i="21" s="1"/>
  <c r="S121" i="21" s="1"/>
  <c r="S122" i="21" s="1"/>
  <c r="S123" i="21" s="1"/>
  <c r="S124" i="21" s="1"/>
  <c r="S125" i="21" s="1"/>
  <c r="S126" i="21" s="1"/>
  <c r="S127" i="21" s="1"/>
  <c r="S128" i="21" s="1"/>
  <c r="S129" i="21" s="1"/>
  <c r="S130" i="21" s="1"/>
  <c r="S131" i="21" s="1"/>
  <c r="S132" i="21" s="1"/>
  <c r="S133" i="21" s="1"/>
  <c r="S134" i="21" s="1"/>
  <c r="S135" i="21" s="1"/>
  <c r="S136" i="21" s="1"/>
  <c r="S137" i="21" s="1"/>
  <c r="S138" i="21" s="1"/>
  <c r="S139" i="21" s="1"/>
  <c r="S140" i="21" s="1"/>
  <c r="S141" i="21" s="1"/>
  <c r="S142" i="21" s="1"/>
  <c r="S143" i="21" s="1"/>
  <c r="S144" i="21" s="1"/>
  <c r="S145" i="21" s="1"/>
  <c r="S146" i="21" s="1"/>
  <c r="S147" i="21" s="1"/>
  <c r="R148" i="21"/>
  <c r="R74" i="21"/>
  <c r="R185" i="21"/>
  <c r="S339" i="21"/>
  <c r="S340" i="21" s="1"/>
  <c r="S341" i="21" s="1"/>
  <c r="S342" i="21" s="1"/>
  <c r="S343" i="21" s="1"/>
  <c r="S344" i="21" s="1"/>
  <c r="S345" i="21" s="1"/>
  <c r="S346" i="21" s="1"/>
  <c r="S347" i="21" s="1"/>
  <c r="S348" i="21" s="1"/>
  <c r="S349" i="21" s="1"/>
  <c r="S350" i="21" s="1"/>
  <c r="S351" i="21" s="1"/>
  <c r="S352" i="21" s="1"/>
  <c r="S353" i="21" s="1"/>
  <c r="S354" i="21" s="1"/>
  <c r="S355" i="21" s="1"/>
  <c r="S356" i="21" s="1"/>
  <c r="S357" i="21" s="1"/>
  <c r="S358" i="21" s="1"/>
  <c r="S359" i="21" s="1"/>
  <c r="S360" i="21" s="1"/>
  <c r="S361" i="21" s="1"/>
  <c r="S362" i="21" s="1"/>
  <c r="S363" i="21" s="1"/>
  <c r="S364" i="21" s="1"/>
  <c r="S365" i="21" s="1"/>
  <c r="S366" i="21" s="1"/>
  <c r="S367" i="21" s="1"/>
  <c r="S368" i="21" s="1"/>
  <c r="S369" i="21" s="1"/>
  <c r="R370" i="21"/>
  <c r="R222" i="21"/>
  <c r="S191" i="21"/>
  <c r="S192" i="21" s="1"/>
  <c r="S193" i="21" s="1"/>
  <c r="S194" i="21" s="1"/>
  <c r="S195" i="21" s="1"/>
  <c r="S196" i="21" s="1"/>
  <c r="S197" i="21" s="1"/>
  <c r="S198" i="21" s="1"/>
  <c r="S199" i="21" s="1"/>
  <c r="S200" i="21" s="1"/>
  <c r="S201" i="21" s="1"/>
  <c r="S202" i="21" s="1"/>
  <c r="S203" i="21" s="1"/>
  <c r="S204" i="21" s="1"/>
  <c r="S205" i="21" s="1"/>
  <c r="S206" i="21" s="1"/>
  <c r="S207" i="21" s="1"/>
  <c r="S208" i="21" s="1"/>
  <c r="S209" i="21" s="1"/>
  <c r="S210" i="21" s="1"/>
  <c r="S211" i="21" s="1"/>
  <c r="S212" i="21" s="1"/>
  <c r="S213" i="21" s="1"/>
  <c r="S214" i="21" s="1"/>
  <c r="S215" i="21" s="1"/>
  <c r="S216" i="21" s="1"/>
  <c r="S217" i="21" s="1"/>
  <c r="S218" i="21" s="1"/>
  <c r="S219" i="21" s="1"/>
  <c r="S220" i="21" s="1"/>
  <c r="S221" i="21" s="1"/>
  <c r="S235" i="21"/>
  <c r="S236" i="21" s="1"/>
  <c r="S237" i="21" s="1"/>
  <c r="S238" i="21" s="1"/>
  <c r="S239" i="21" s="1"/>
  <c r="S240" i="21" s="1"/>
  <c r="S241" i="21" s="1"/>
  <c r="S242" i="21" s="1"/>
  <c r="S243" i="21" s="1"/>
  <c r="S244" i="21" s="1"/>
  <c r="S245" i="21" s="1"/>
  <c r="S246" i="21" s="1"/>
  <c r="S247" i="21" s="1"/>
  <c r="S248" i="21" s="1"/>
  <c r="S249" i="21" s="1"/>
  <c r="S250" i="21" s="1"/>
  <c r="S251" i="21" s="1"/>
  <c r="S252" i="21" s="1"/>
  <c r="S253" i="21" s="1"/>
  <c r="S254" i="21" s="1"/>
  <c r="S255" i="21" s="1"/>
  <c r="S256" i="21" s="1"/>
  <c r="S257" i="21" s="1"/>
  <c r="S258" i="21" s="1"/>
  <c r="S376" i="21"/>
  <c r="S377" i="21" s="1"/>
  <c r="S378" i="21" s="1"/>
  <c r="S379" i="21" s="1"/>
  <c r="S380" i="21" s="1"/>
  <c r="S381" i="21" s="1"/>
  <c r="S382" i="21" s="1"/>
  <c r="S383" i="21" s="1"/>
  <c r="S384" i="21" s="1"/>
  <c r="S385" i="21" s="1"/>
  <c r="S386" i="21" s="1"/>
  <c r="S387" i="21" s="1"/>
  <c r="S388" i="21" s="1"/>
  <c r="S389" i="21" s="1"/>
  <c r="S390" i="21" s="1"/>
  <c r="S391" i="21" s="1"/>
  <c r="S392" i="21" s="1"/>
  <c r="S393" i="21" s="1"/>
  <c r="S394" i="21" s="1"/>
  <c r="S395" i="21" s="1"/>
  <c r="S396" i="21" s="1"/>
  <c r="S397" i="21" s="1"/>
  <c r="S398" i="21" s="1"/>
  <c r="S399" i="21" s="1"/>
  <c r="S400" i="21" s="1"/>
  <c r="S401" i="21" s="1"/>
  <c r="S402" i="21" s="1"/>
  <c r="S403" i="21" s="1"/>
  <c r="S404" i="21" s="1"/>
  <c r="S405" i="21" s="1"/>
  <c r="S406" i="21" s="1"/>
  <c r="R407" i="21"/>
  <c r="S157" i="21"/>
  <c r="S158" i="21" s="1"/>
  <c r="S159" i="21" s="1"/>
  <c r="S160" i="21" s="1"/>
  <c r="S161" i="21" s="1"/>
  <c r="S162" i="21" s="1"/>
  <c r="S163" i="21" s="1"/>
  <c r="S164" i="21" s="1"/>
  <c r="S165" i="21" s="1"/>
  <c r="S166" i="21" s="1"/>
  <c r="S167" i="21" s="1"/>
  <c r="S168" i="21" s="1"/>
  <c r="S169" i="21" s="1"/>
  <c r="S170" i="21" s="1"/>
  <c r="S171" i="21" s="1"/>
  <c r="S172" i="21" s="1"/>
  <c r="S173" i="21" s="1"/>
  <c r="S174" i="21" s="1"/>
  <c r="S175" i="21" s="1"/>
  <c r="S176" i="21" s="1"/>
  <c r="S177" i="21" s="1"/>
  <c r="S178" i="21" s="1"/>
  <c r="S179" i="21" s="1"/>
  <c r="S180" i="21" s="1"/>
  <c r="S181" i="21" s="1"/>
  <c r="S182" i="21" s="1"/>
  <c r="S183" i="21" s="1"/>
  <c r="S184" i="21" s="1"/>
  <c r="R444" i="21"/>
  <c r="R333" i="21"/>
  <c r="S302" i="21"/>
  <c r="S303" i="21" s="1"/>
  <c r="S304" i="21" s="1"/>
  <c r="S305" i="21" s="1"/>
  <c r="S306" i="21" s="1"/>
  <c r="S307" i="21" s="1"/>
  <c r="S308" i="21" s="1"/>
  <c r="S309" i="21" s="1"/>
  <c r="S310" i="21" s="1"/>
  <c r="S311" i="21" s="1"/>
  <c r="S312" i="21" s="1"/>
  <c r="S313" i="21" s="1"/>
  <c r="S314" i="21" s="1"/>
  <c r="S315" i="21" s="1"/>
  <c r="S316" i="21" s="1"/>
  <c r="S317" i="21" s="1"/>
  <c r="S318" i="21" s="1"/>
  <c r="S319" i="21" s="1"/>
  <c r="S320" i="21" s="1"/>
  <c r="S321" i="21" s="1"/>
  <c r="S322" i="21" s="1"/>
  <c r="S323" i="21" s="1"/>
  <c r="S324" i="21" s="1"/>
  <c r="S325" i="21" s="1"/>
  <c r="S326" i="21" s="1"/>
  <c r="S327" i="21" s="1"/>
  <c r="S328" i="21" s="1"/>
  <c r="S329" i="21" s="1"/>
  <c r="S330" i="21" s="1"/>
  <c r="S331" i="21" s="1"/>
  <c r="S332" i="21" s="1"/>
  <c r="O24" i="19"/>
  <c r="O12" i="19"/>
  <c r="Q191" i="21"/>
  <c r="Q192" i="21" s="1"/>
  <c r="P222" i="21"/>
  <c r="Q231" i="21"/>
  <c r="Q232" i="21" s="1"/>
  <c r="Q233" i="21" s="1"/>
  <c r="Q234" i="21" s="1"/>
  <c r="Q235" i="21" s="1"/>
  <c r="Q236" i="21" s="1"/>
  <c r="Q237" i="21" s="1"/>
  <c r="Q238" i="21" s="1"/>
  <c r="Q239" i="21" s="1"/>
  <c r="Q240" i="21" s="1"/>
  <c r="Q241" i="21" s="1"/>
  <c r="Q242" i="21" s="1"/>
  <c r="Q243" i="21" s="1"/>
  <c r="Q244" i="21" s="1"/>
  <c r="Q245" i="21" s="1"/>
  <c r="Q246" i="21" s="1"/>
  <c r="Q247" i="21" s="1"/>
  <c r="Q248" i="21" s="1"/>
  <c r="Q249" i="21" s="1"/>
  <c r="Q250" i="21" s="1"/>
  <c r="Q251" i="21" s="1"/>
  <c r="Q252" i="21" s="1"/>
  <c r="Q253" i="21" s="1"/>
  <c r="Q254" i="21" s="1"/>
  <c r="Q255" i="21" s="1"/>
  <c r="Q256" i="21" s="1"/>
  <c r="Q257" i="21" s="1"/>
  <c r="Q258" i="21" s="1"/>
  <c r="P111" i="21"/>
  <c r="Q82" i="21"/>
  <c r="Q83" i="21" s="1"/>
  <c r="Q84" i="21" s="1"/>
  <c r="Q85" i="21" s="1"/>
  <c r="Q228" i="21"/>
  <c r="P259" i="21"/>
  <c r="Q45" i="21"/>
  <c r="Q46" i="21" s="1"/>
  <c r="Q47" i="21" s="1"/>
  <c r="Q48" i="21" s="1"/>
  <c r="Q49" i="21" s="1"/>
  <c r="Q50" i="21" s="1"/>
  <c r="Q51" i="21" s="1"/>
  <c r="Q52" i="21" s="1"/>
  <c r="Q53" i="21" s="1"/>
  <c r="Q54" i="21" s="1"/>
  <c r="Q55" i="21" s="1"/>
  <c r="Q56" i="21" s="1"/>
  <c r="Q57" i="21" s="1"/>
  <c r="Q58" i="21" s="1"/>
  <c r="Q59" i="21" s="1"/>
  <c r="Q60" i="21" s="1"/>
  <c r="Q61" i="21" s="1"/>
  <c r="Q62" i="21" s="1"/>
  <c r="Q63" i="21" s="1"/>
  <c r="Q64" i="21" s="1"/>
  <c r="Q65" i="21" s="1"/>
  <c r="Q66" i="21" s="1"/>
  <c r="Q67" i="21" s="1"/>
  <c r="Q68" i="21" s="1"/>
  <c r="Q69" i="21" s="1"/>
  <c r="Q70" i="21" s="1"/>
  <c r="Q71" i="21" s="1"/>
  <c r="Q72" i="21" s="1"/>
  <c r="Q73" i="21" s="1"/>
  <c r="Q86" i="21"/>
  <c r="Q87" i="21" s="1"/>
  <c r="Q88" i="21" s="1"/>
  <c r="Q89" i="21" s="1"/>
  <c r="Q90" i="21" s="1"/>
  <c r="Q91" i="21" s="1"/>
  <c r="Q92" i="21" s="1"/>
  <c r="Q93" i="21" s="1"/>
  <c r="Q94" i="21" s="1"/>
  <c r="Q95" i="21" s="1"/>
  <c r="Q96" i="21" s="1"/>
  <c r="Q97" i="21" s="1"/>
  <c r="Q98" i="21" s="1"/>
  <c r="Q99" i="21" s="1"/>
  <c r="Q100" i="21" s="1"/>
  <c r="Q101" i="21" s="1"/>
  <c r="Q102" i="21" s="1"/>
  <c r="Q103" i="21" s="1"/>
  <c r="Q104" i="21" s="1"/>
  <c r="Q105" i="21" s="1"/>
  <c r="Q106" i="21" s="1"/>
  <c r="Q107" i="21" s="1"/>
  <c r="Q108" i="21" s="1"/>
  <c r="Q109" i="21" s="1"/>
  <c r="Q110" i="21" s="1"/>
  <c r="Q230" i="21"/>
  <c r="Q193" i="21"/>
  <c r="Q194" i="21" s="1"/>
  <c r="Q195" i="21" s="1"/>
  <c r="Q196" i="21" s="1"/>
  <c r="Q197" i="21" s="1"/>
  <c r="Q198" i="21" s="1"/>
  <c r="Q199" i="21" s="1"/>
  <c r="Q200" i="21" s="1"/>
  <c r="Q201" i="21" s="1"/>
  <c r="Q202" i="21" s="1"/>
  <c r="Q203" i="21" s="1"/>
  <c r="Q204" i="21" s="1"/>
  <c r="Q205" i="21" s="1"/>
  <c r="Q206" i="21" s="1"/>
  <c r="Q207" i="21" s="1"/>
  <c r="Q208" i="21" s="1"/>
  <c r="Q209" i="21" s="1"/>
  <c r="Q210" i="21" s="1"/>
  <c r="Q211" i="21" s="1"/>
  <c r="Q212" i="21" s="1"/>
  <c r="Q213" i="21" s="1"/>
  <c r="Q214" i="21" s="1"/>
  <c r="Q215" i="21" s="1"/>
  <c r="Q216" i="21" s="1"/>
  <c r="Q217" i="21" s="1"/>
  <c r="Q218" i="21" s="1"/>
  <c r="Q219" i="21" s="1"/>
  <c r="Q220" i="21" s="1"/>
  <c r="Q221" i="21" s="1"/>
  <c r="Q304" i="21"/>
  <c r="Q305" i="21" s="1"/>
  <c r="Q306" i="21" s="1"/>
  <c r="Q307" i="21" s="1"/>
  <c r="Q308" i="21" s="1"/>
  <c r="Q309" i="21" s="1"/>
  <c r="Q310" i="21" s="1"/>
  <c r="Q311" i="21" s="1"/>
  <c r="Q312" i="21" s="1"/>
  <c r="Q313" i="21" s="1"/>
  <c r="Q314" i="21" s="1"/>
  <c r="Q315" i="21" s="1"/>
  <c r="Q316" i="21" s="1"/>
  <c r="Q317" i="21" s="1"/>
  <c r="Q318" i="21" s="1"/>
  <c r="Q319" i="21" s="1"/>
  <c r="Q320" i="21" s="1"/>
  <c r="Q321" i="21" s="1"/>
  <c r="Q322" i="21" s="1"/>
  <c r="Q323" i="21" s="1"/>
  <c r="Q324" i="21" s="1"/>
  <c r="Q325" i="21" s="1"/>
  <c r="Q326" i="21" s="1"/>
  <c r="Q327" i="21" s="1"/>
  <c r="Q328" i="21" s="1"/>
  <c r="Q329" i="21" s="1"/>
  <c r="Q330" i="21" s="1"/>
  <c r="Q331" i="21" s="1"/>
  <c r="Q332" i="21" s="1"/>
  <c r="Q229" i="21"/>
  <c r="Q159" i="21"/>
  <c r="Q160" i="21" s="1"/>
  <c r="Q161" i="21" s="1"/>
  <c r="Q162" i="21" s="1"/>
  <c r="Q163" i="21" s="1"/>
  <c r="Q164" i="21" s="1"/>
  <c r="Q165" i="21" s="1"/>
  <c r="Q166" i="21" s="1"/>
  <c r="Q167" i="21" s="1"/>
  <c r="Q168" i="21" s="1"/>
  <c r="Q169" i="21" s="1"/>
  <c r="Q170" i="21" s="1"/>
  <c r="Q171" i="21" s="1"/>
  <c r="Q172" i="21" s="1"/>
  <c r="Q173" i="21" s="1"/>
  <c r="Q174" i="21" s="1"/>
  <c r="Q175" i="21" s="1"/>
  <c r="Q176" i="21" s="1"/>
  <c r="Q177" i="21" s="1"/>
  <c r="Q178" i="21" s="1"/>
  <c r="Q179" i="21" s="1"/>
  <c r="Q180" i="21" s="1"/>
  <c r="Q181" i="21" s="1"/>
  <c r="Q182" i="21" s="1"/>
  <c r="Q183" i="21" s="1"/>
  <c r="Q184" i="21" s="1"/>
  <c r="P333" i="21"/>
  <c r="P296" i="21"/>
  <c r="Q265" i="21"/>
  <c r="Q266" i="21" s="1"/>
  <c r="Q267" i="21" s="1"/>
  <c r="Q268" i="21" s="1"/>
  <c r="Q269" i="21" s="1"/>
  <c r="Q270" i="21" s="1"/>
  <c r="Q271" i="21" s="1"/>
  <c r="Q272" i="21" s="1"/>
  <c r="Q273" i="21" s="1"/>
  <c r="Q274" i="21" s="1"/>
  <c r="Q275" i="21" s="1"/>
  <c r="Q276" i="21" s="1"/>
  <c r="Q277" i="21" s="1"/>
  <c r="Q278" i="21" s="1"/>
  <c r="Q279" i="21" s="1"/>
  <c r="Q280" i="21" s="1"/>
  <c r="Q281" i="21" s="1"/>
  <c r="Q282" i="21" s="1"/>
  <c r="Q283" i="21" s="1"/>
  <c r="Q284" i="21" s="1"/>
  <c r="Q285" i="21" s="1"/>
  <c r="Q286" i="21" s="1"/>
  <c r="Q287" i="21" s="1"/>
  <c r="Q288" i="21" s="1"/>
  <c r="Q289" i="21" s="1"/>
  <c r="Q290" i="21" s="1"/>
  <c r="Q291" i="21" s="1"/>
  <c r="Q292" i="21" s="1"/>
  <c r="Q293" i="21" s="1"/>
  <c r="Q294" i="21" s="1"/>
  <c r="Q295" i="21" s="1"/>
  <c r="Q413" i="21"/>
  <c r="Q414" i="21" s="1"/>
  <c r="Q415" i="21" s="1"/>
  <c r="Q416" i="21" s="1"/>
  <c r="Q417" i="21" s="1"/>
  <c r="Q418" i="21" s="1"/>
  <c r="Q419" i="21" s="1"/>
  <c r="Q420" i="21" s="1"/>
  <c r="Q421" i="21" s="1"/>
  <c r="Q422" i="21" s="1"/>
  <c r="Q423" i="21" s="1"/>
  <c r="Q424" i="21" s="1"/>
  <c r="Q425" i="21" s="1"/>
  <c r="Q426" i="21" s="1"/>
  <c r="Q427" i="21" s="1"/>
  <c r="Q428" i="21" s="1"/>
  <c r="Q429" i="21" s="1"/>
  <c r="Q430" i="21" s="1"/>
  <c r="Q431" i="21" s="1"/>
  <c r="Q432" i="21" s="1"/>
  <c r="Q433" i="21" s="1"/>
  <c r="Q434" i="21" s="1"/>
  <c r="Q435" i="21" s="1"/>
  <c r="Q436" i="21" s="1"/>
  <c r="Q437" i="21" s="1"/>
  <c r="Q438" i="21" s="1"/>
  <c r="Q439" i="21" s="1"/>
  <c r="Q440" i="21" s="1"/>
  <c r="Q441" i="21" s="1"/>
  <c r="Q442" i="21" s="1"/>
  <c r="Q443" i="21" s="1"/>
  <c r="P444" i="21"/>
  <c r="P74" i="21"/>
  <c r="P37" i="21"/>
  <c r="Q9" i="21"/>
  <c r="Q10" i="21" s="1"/>
  <c r="Q11" i="21" s="1"/>
  <c r="Q12" i="21" s="1"/>
  <c r="Q13" i="21" s="1"/>
  <c r="Q14" i="21" s="1"/>
  <c r="Q15" i="21" s="1"/>
  <c r="Q16" i="21" s="1"/>
  <c r="Q17" i="21" s="1"/>
  <c r="Q18" i="21" s="1"/>
  <c r="Q19" i="21" s="1"/>
  <c r="Q20" i="21" s="1"/>
  <c r="Q21" i="21" s="1"/>
  <c r="Q22" i="21" s="1"/>
  <c r="Q23" i="21" s="1"/>
  <c r="Q24" i="21" s="1"/>
  <c r="Q25" i="21" s="1"/>
  <c r="Q26" i="21" s="1"/>
  <c r="Q27" i="21" s="1"/>
  <c r="Q28" i="21" s="1"/>
  <c r="Q29" i="21" s="1"/>
  <c r="Q30" i="21" s="1"/>
  <c r="Q31" i="21" s="1"/>
  <c r="Q32" i="21" s="1"/>
  <c r="Q33" i="21" s="1"/>
  <c r="Q34" i="21" s="1"/>
  <c r="Q35" i="21" s="1"/>
  <c r="Q36" i="21" s="1"/>
  <c r="Q154" i="21"/>
  <c r="Q155" i="21" s="1"/>
  <c r="Q156" i="21" s="1"/>
  <c r="Q157" i="21" s="1"/>
  <c r="Q158" i="21" s="1"/>
  <c r="P185" i="21"/>
  <c r="Q340" i="21"/>
  <c r="Q341" i="21" s="1"/>
  <c r="Q342" i="21" s="1"/>
  <c r="Q343" i="21" s="1"/>
  <c r="Q344" i="21" s="1"/>
  <c r="Q345" i="21" s="1"/>
  <c r="Q346" i="21" s="1"/>
  <c r="Q347" i="21" s="1"/>
  <c r="Q348" i="21" s="1"/>
  <c r="Q349" i="21" s="1"/>
  <c r="Q350" i="21" s="1"/>
  <c r="Q351" i="21" s="1"/>
  <c r="Q352" i="21" s="1"/>
  <c r="Q353" i="21" s="1"/>
  <c r="Q354" i="21" s="1"/>
  <c r="Q355" i="21" s="1"/>
  <c r="Q356" i="21" s="1"/>
  <c r="Q357" i="21" s="1"/>
  <c r="Q358" i="21" s="1"/>
  <c r="Q359" i="21" s="1"/>
  <c r="Q360" i="21" s="1"/>
  <c r="Q361" i="21" s="1"/>
  <c r="Q362" i="21" s="1"/>
  <c r="Q363" i="21" s="1"/>
  <c r="Q364" i="21" s="1"/>
  <c r="Q365" i="21" s="1"/>
  <c r="Q366" i="21" s="1"/>
  <c r="Q367" i="21" s="1"/>
  <c r="Q368" i="21" s="1"/>
  <c r="Q369" i="21" s="1"/>
  <c r="Q380" i="21"/>
  <c r="Q381" i="21" s="1"/>
  <c r="Q382" i="21" s="1"/>
  <c r="Q383" i="21" s="1"/>
  <c r="Q384" i="21" s="1"/>
  <c r="Q385" i="21" s="1"/>
  <c r="Q386" i="21" s="1"/>
  <c r="Q387" i="21" s="1"/>
  <c r="Q388" i="21" s="1"/>
  <c r="Q389" i="21" s="1"/>
  <c r="Q390" i="21" s="1"/>
  <c r="Q391" i="21" s="1"/>
  <c r="Q392" i="21" s="1"/>
  <c r="Q393" i="21" s="1"/>
  <c r="Q394" i="21" s="1"/>
  <c r="Q395" i="21" s="1"/>
  <c r="Q396" i="21" s="1"/>
  <c r="Q397" i="21" s="1"/>
  <c r="Q398" i="21" s="1"/>
  <c r="Q399" i="21" s="1"/>
  <c r="Q400" i="21" s="1"/>
  <c r="Q401" i="21" s="1"/>
  <c r="Q402" i="21" s="1"/>
  <c r="Q403" i="21" s="1"/>
  <c r="Q404" i="21" s="1"/>
  <c r="Q405" i="21" s="1"/>
  <c r="Q406" i="21" s="1"/>
  <c r="Q379" i="21"/>
  <c r="P407" i="21"/>
  <c r="Q117" i="21"/>
  <c r="Q118" i="21" s="1"/>
  <c r="Q119" i="21" s="1"/>
  <c r="Q120" i="21" s="1"/>
  <c r="Q121" i="21" s="1"/>
  <c r="Q122" i="21" s="1"/>
  <c r="Q123" i="21" s="1"/>
  <c r="Q124" i="21" s="1"/>
  <c r="Q125" i="21" s="1"/>
  <c r="Q126" i="21" s="1"/>
  <c r="Q127" i="21" s="1"/>
  <c r="Q128" i="21" s="1"/>
  <c r="Q129" i="21" s="1"/>
  <c r="Q130" i="21" s="1"/>
  <c r="Q131" i="21" s="1"/>
  <c r="Q132" i="21" s="1"/>
  <c r="Q133" i="21" s="1"/>
  <c r="Q134" i="21" s="1"/>
  <c r="Q135" i="21" s="1"/>
  <c r="Q136" i="21" s="1"/>
  <c r="Q137" i="21" s="1"/>
  <c r="Q138" i="21" s="1"/>
  <c r="Q139" i="21" s="1"/>
  <c r="Q140" i="21" s="1"/>
  <c r="Q141" i="21" s="1"/>
  <c r="Q142" i="21" s="1"/>
  <c r="Q143" i="21" s="1"/>
  <c r="Q144" i="21" s="1"/>
  <c r="Q145" i="21" s="1"/>
  <c r="Q146" i="21" s="1"/>
  <c r="Q147" i="21" s="1"/>
  <c r="P148" i="21"/>
  <c r="L370" i="21"/>
  <c r="M117" i="21"/>
  <c r="M118" i="21" s="1"/>
  <c r="M119" i="21" s="1"/>
  <c r="M120" i="21" s="1"/>
  <c r="M121" i="21" s="1"/>
  <c r="M122" i="21" s="1"/>
  <c r="M123" i="21" s="1"/>
  <c r="M124" i="21" s="1"/>
  <c r="M125" i="21" s="1"/>
  <c r="M126" i="21" s="1"/>
  <c r="M127" i="21" s="1"/>
  <c r="M128" i="21" s="1"/>
  <c r="M129" i="21" s="1"/>
  <c r="M130" i="21" s="1"/>
  <c r="M131" i="21" s="1"/>
  <c r="M132" i="21" s="1"/>
  <c r="M133" i="21" s="1"/>
  <c r="M134" i="21" s="1"/>
  <c r="M135" i="21" s="1"/>
  <c r="M136" i="21" s="1"/>
  <c r="M137" i="21" s="1"/>
  <c r="M138" i="21" s="1"/>
  <c r="M139" i="21" s="1"/>
  <c r="M140" i="21" s="1"/>
  <c r="M141" i="21" s="1"/>
  <c r="M142" i="21" s="1"/>
  <c r="M143" i="21" s="1"/>
  <c r="M144" i="21" s="1"/>
  <c r="M145" i="21" s="1"/>
  <c r="M146" i="21" s="1"/>
  <c r="M147" i="21" s="1"/>
  <c r="D47" i="20"/>
  <c r="D137" i="20"/>
  <c r="L222" i="21"/>
  <c r="D119" i="20"/>
  <c r="N111" i="21"/>
  <c r="O80" i="2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416" i="2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N444" i="21"/>
  <c r="O238" i="21"/>
  <c r="O239" i="21" s="1"/>
  <c r="O240" i="21" s="1"/>
  <c r="O241" i="21" s="1"/>
  <c r="O242" i="21" s="1"/>
  <c r="O243" i="21" s="1"/>
  <c r="O244" i="21" s="1"/>
  <c r="O245" i="21" s="1"/>
  <c r="O246" i="21" s="1"/>
  <c r="O247" i="21" s="1"/>
  <c r="O248" i="21" s="1"/>
  <c r="O249" i="21" s="1"/>
  <c r="O250" i="21" s="1"/>
  <c r="O251" i="21" s="1"/>
  <c r="O252" i="21" s="1"/>
  <c r="O253" i="21" s="1"/>
  <c r="O254" i="21" s="1"/>
  <c r="O255" i="21" s="1"/>
  <c r="O256" i="21" s="1"/>
  <c r="O257" i="21" s="1"/>
  <c r="O258" i="21" s="1"/>
  <c r="N259" i="21"/>
  <c r="N37" i="21"/>
  <c r="O341" i="21"/>
  <c r="N370" i="21"/>
  <c r="N148" i="21"/>
  <c r="O46" i="2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265" i="21"/>
  <c r="N296" i="21"/>
  <c r="O342" i="2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N222" i="21"/>
  <c r="O191" i="2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02" i="21" s="1"/>
  <c r="O203" i="21" s="1"/>
  <c r="O204" i="21" s="1"/>
  <c r="O205" i="21" s="1"/>
  <c r="O206" i="21" s="1"/>
  <c r="O207" i="21" s="1"/>
  <c r="O208" i="21" s="1"/>
  <c r="O209" i="21" s="1"/>
  <c r="O210" i="21" s="1"/>
  <c r="O211" i="21" s="1"/>
  <c r="O212" i="21" s="1"/>
  <c r="O213" i="21" s="1"/>
  <c r="O214" i="21" s="1"/>
  <c r="O215" i="21" s="1"/>
  <c r="O216" i="21" s="1"/>
  <c r="O217" i="21" s="1"/>
  <c r="O218" i="21" s="1"/>
  <c r="O219" i="21" s="1"/>
  <c r="O220" i="21" s="1"/>
  <c r="O221" i="21" s="1"/>
  <c r="O388" i="2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2" i="21" s="1"/>
  <c r="O403" i="21" s="1"/>
  <c r="O404" i="21" s="1"/>
  <c r="O405" i="21" s="1"/>
  <c r="O406" i="21" s="1"/>
  <c r="N74" i="21"/>
  <c r="O266" i="2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5" i="21" s="1"/>
  <c r="O286" i="21" s="1"/>
  <c r="O287" i="21" s="1"/>
  <c r="O288" i="21" s="1"/>
  <c r="O289" i="21" s="1"/>
  <c r="O290" i="21" s="1"/>
  <c r="O291" i="21" s="1"/>
  <c r="O292" i="21" s="1"/>
  <c r="O293" i="21" s="1"/>
  <c r="O294" i="21" s="1"/>
  <c r="O295" i="21" s="1"/>
  <c r="N185" i="21"/>
  <c r="O154" i="2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N407" i="21"/>
  <c r="O302" i="2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N333" i="21"/>
  <c r="G43" i="19"/>
  <c r="O11" i="19"/>
  <c r="M413" i="21"/>
  <c r="M414" i="21" s="1"/>
  <c r="M415" i="21" s="1"/>
  <c r="M416" i="21" s="1"/>
  <c r="M417" i="21" s="1"/>
  <c r="M418" i="21" s="1"/>
  <c r="M419" i="21" s="1"/>
  <c r="M420" i="21" s="1"/>
  <c r="M421" i="21" s="1"/>
  <c r="M422" i="21" s="1"/>
  <c r="M423" i="21" s="1"/>
  <c r="M424" i="21" s="1"/>
  <c r="M425" i="21" s="1"/>
  <c r="M426" i="21" s="1"/>
  <c r="M427" i="21" s="1"/>
  <c r="M428" i="21" s="1"/>
  <c r="M429" i="21" s="1"/>
  <c r="M430" i="21" s="1"/>
  <c r="M431" i="21" s="1"/>
  <c r="M432" i="21" s="1"/>
  <c r="M433" i="21" s="1"/>
  <c r="M434" i="21" s="1"/>
  <c r="M435" i="21" s="1"/>
  <c r="M436" i="21" s="1"/>
  <c r="M437" i="21" s="1"/>
  <c r="M438" i="21" s="1"/>
  <c r="M439" i="21" s="1"/>
  <c r="M440" i="21" s="1"/>
  <c r="M441" i="21" s="1"/>
  <c r="M442" i="21" s="1"/>
  <c r="M443" i="21" s="1"/>
  <c r="L444" i="21"/>
  <c r="M6" i="21"/>
  <c r="M7" i="21" s="1"/>
  <c r="M8" i="21" s="1"/>
  <c r="M9" i="21" s="1"/>
  <c r="M10" i="21" s="1"/>
  <c r="M11" i="21" s="1"/>
  <c r="M12" i="21" s="1"/>
  <c r="M13" i="21" s="1"/>
  <c r="M14" i="21" s="1"/>
  <c r="M15" i="21" s="1"/>
  <c r="M16" i="21" s="1"/>
  <c r="M17" i="21" s="1"/>
  <c r="M18" i="21" s="1"/>
  <c r="M19" i="21" s="1"/>
  <c r="M20" i="21" s="1"/>
  <c r="M21" i="21" s="1"/>
  <c r="M22" i="21" s="1"/>
  <c r="M23" i="21" s="1"/>
  <c r="M24" i="21" s="1"/>
  <c r="M25" i="21" s="1"/>
  <c r="M26" i="21" s="1"/>
  <c r="M27" i="21" s="1"/>
  <c r="M28" i="21" s="1"/>
  <c r="M29" i="21" s="1"/>
  <c r="M30" i="21" s="1"/>
  <c r="M31" i="21" s="1"/>
  <c r="M32" i="21" s="1"/>
  <c r="M33" i="21" s="1"/>
  <c r="M34" i="21" s="1"/>
  <c r="M35" i="21" s="1"/>
  <c r="M36" i="21" s="1"/>
  <c r="L37" i="21"/>
  <c r="M265" i="21"/>
  <c r="M266" i="21" s="1"/>
  <c r="M267" i="21" s="1"/>
  <c r="M268" i="21" s="1"/>
  <c r="M269" i="21" s="1"/>
  <c r="M270" i="21" s="1"/>
  <c r="M271" i="21" s="1"/>
  <c r="M272" i="21" s="1"/>
  <c r="M273" i="21" s="1"/>
  <c r="M274" i="21" s="1"/>
  <c r="M275" i="21" s="1"/>
  <c r="M276" i="21" s="1"/>
  <c r="M277" i="21" s="1"/>
  <c r="M278" i="21" s="1"/>
  <c r="M279" i="21" s="1"/>
  <c r="M280" i="21" s="1"/>
  <c r="M281" i="21" s="1"/>
  <c r="M282" i="21" s="1"/>
  <c r="M283" i="21" s="1"/>
  <c r="M284" i="21" s="1"/>
  <c r="M285" i="21" s="1"/>
  <c r="M286" i="21" s="1"/>
  <c r="M287" i="21" s="1"/>
  <c r="M288" i="21" s="1"/>
  <c r="M289" i="21" s="1"/>
  <c r="M290" i="21" s="1"/>
  <c r="M291" i="21" s="1"/>
  <c r="M292" i="21" s="1"/>
  <c r="M293" i="21" s="1"/>
  <c r="M294" i="21" s="1"/>
  <c r="M295" i="21" s="1"/>
  <c r="L296" i="21"/>
  <c r="M302" i="21"/>
  <c r="M303" i="21" s="1"/>
  <c r="M304" i="21" s="1"/>
  <c r="M305" i="21" s="1"/>
  <c r="M306" i="21" s="1"/>
  <c r="M307" i="21" s="1"/>
  <c r="M308" i="21" s="1"/>
  <c r="M309" i="21" s="1"/>
  <c r="M310" i="21" s="1"/>
  <c r="M311" i="21" s="1"/>
  <c r="M312" i="21" s="1"/>
  <c r="M313" i="21" s="1"/>
  <c r="M314" i="21" s="1"/>
  <c r="M315" i="21" s="1"/>
  <c r="M316" i="21" s="1"/>
  <c r="M317" i="21" s="1"/>
  <c r="M318" i="21" s="1"/>
  <c r="M319" i="21" s="1"/>
  <c r="M320" i="21" s="1"/>
  <c r="M321" i="21" s="1"/>
  <c r="M322" i="21" s="1"/>
  <c r="M323" i="21" s="1"/>
  <c r="M324" i="21" s="1"/>
  <c r="M325" i="21" s="1"/>
  <c r="M326" i="21" s="1"/>
  <c r="M327" i="21" s="1"/>
  <c r="M328" i="21" s="1"/>
  <c r="M329" i="21" s="1"/>
  <c r="M330" i="21" s="1"/>
  <c r="M331" i="21" s="1"/>
  <c r="M332" i="21" s="1"/>
  <c r="L333" i="21"/>
  <c r="M344" i="21"/>
  <c r="M345" i="21" s="1"/>
  <c r="M346" i="21" s="1"/>
  <c r="M347" i="21" s="1"/>
  <c r="M348" i="21" s="1"/>
  <c r="M349" i="21" s="1"/>
  <c r="M350" i="21" s="1"/>
  <c r="M351" i="21" s="1"/>
  <c r="M352" i="21" s="1"/>
  <c r="M353" i="21" s="1"/>
  <c r="M354" i="21" s="1"/>
  <c r="M355" i="21" s="1"/>
  <c r="M356" i="21" s="1"/>
  <c r="M357" i="21" s="1"/>
  <c r="M358" i="21" s="1"/>
  <c r="M359" i="21" s="1"/>
  <c r="M360" i="21" s="1"/>
  <c r="M361" i="21" s="1"/>
  <c r="M362" i="21" s="1"/>
  <c r="M363" i="21" s="1"/>
  <c r="M364" i="21" s="1"/>
  <c r="M365" i="21" s="1"/>
  <c r="M366" i="21" s="1"/>
  <c r="M367" i="21" s="1"/>
  <c r="M368" i="21" s="1"/>
  <c r="M369" i="21" s="1"/>
  <c r="L407" i="21"/>
  <c r="M155" i="21"/>
  <c r="M156" i="21" s="1"/>
  <c r="M157" i="21" s="1"/>
  <c r="M158" i="21" s="1"/>
  <c r="M159" i="21" s="1"/>
  <c r="M160" i="21" s="1"/>
  <c r="M161" i="21" s="1"/>
  <c r="M162" i="21" s="1"/>
  <c r="M163" i="21" s="1"/>
  <c r="M164" i="21" s="1"/>
  <c r="M165" i="21" s="1"/>
  <c r="M166" i="21" s="1"/>
  <c r="M167" i="21" s="1"/>
  <c r="M168" i="21" s="1"/>
  <c r="M169" i="21" s="1"/>
  <c r="M170" i="21" s="1"/>
  <c r="M171" i="21" s="1"/>
  <c r="M172" i="21" s="1"/>
  <c r="M173" i="21" s="1"/>
  <c r="M174" i="21" s="1"/>
  <c r="M175" i="21" s="1"/>
  <c r="M176" i="21" s="1"/>
  <c r="M177" i="21" s="1"/>
  <c r="M178" i="21" s="1"/>
  <c r="M179" i="21" s="1"/>
  <c r="M180" i="21" s="1"/>
  <c r="M181" i="21" s="1"/>
  <c r="M182" i="21" s="1"/>
  <c r="M183" i="21" s="1"/>
  <c r="M184" i="21" s="1"/>
  <c r="L185" i="21"/>
  <c r="M80" i="21"/>
  <c r="M81" i="21" s="1"/>
  <c r="M82" i="21" s="1"/>
  <c r="M83" i="21" s="1"/>
  <c r="M84" i="21" s="1"/>
  <c r="M85" i="21" s="1"/>
  <c r="M86" i="21" s="1"/>
  <c r="M87" i="21" s="1"/>
  <c r="M88" i="21" s="1"/>
  <c r="M89" i="21" s="1"/>
  <c r="M90" i="21" s="1"/>
  <c r="M91" i="21" s="1"/>
  <c r="M92" i="21" s="1"/>
  <c r="M93" i="21" s="1"/>
  <c r="M94" i="21" s="1"/>
  <c r="M95" i="21" s="1"/>
  <c r="M96" i="21" s="1"/>
  <c r="M97" i="21" s="1"/>
  <c r="M98" i="21" s="1"/>
  <c r="M99" i="21" s="1"/>
  <c r="M100" i="21" s="1"/>
  <c r="M101" i="21" s="1"/>
  <c r="M102" i="21" s="1"/>
  <c r="M103" i="21" s="1"/>
  <c r="M104" i="21" s="1"/>
  <c r="M105" i="21" s="1"/>
  <c r="M106" i="21" s="1"/>
  <c r="M107" i="21" s="1"/>
  <c r="M108" i="21" s="1"/>
  <c r="M109" i="21" s="1"/>
  <c r="M110" i="21" s="1"/>
  <c r="L111" i="21"/>
  <c r="L74" i="21"/>
  <c r="L259" i="21"/>
  <c r="D117" i="20"/>
  <c r="K340" i="21"/>
  <c r="K341" i="21" s="1"/>
  <c r="K342" i="21" s="1"/>
  <c r="K343" i="21" s="1"/>
  <c r="K344" i="21" s="1"/>
  <c r="K345" i="21" s="1"/>
  <c r="K346" i="21" s="1"/>
  <c r="K347" i="21" s="1"/>
  <c r="K348" i="21" s="1"/>
  <c r="K349" i="21" s="1"/>
  <c r="K350" i="21" s="1"/>
  <c r="K351" i="21" s="1"/>
  <c r="K352" i="21" s="1"/>
  <c r="K353" i="21" s="1"/>
  <c r="K354" i="21" s="1"/>
  <c r="K355" i="21" s="1"/>
  <c r="K356" i="21" s="1"/>
  <c r="K357" i="21" s="1"/>
  <c r="K358" i="21" s="1"/>
  <c r="K359" i="21" s="1"/>
  <c r="K360" i="21" s="1"/>
  <c r="K361" i="21" s="1"/>
  <c r="K362" i="21" s="1"/>
  <c r="K363" i="21" s="1"/>
  <c r="K364" i="21" s="1"/>
  <c r="K365" i="21" s="1"/>
  <c r="K366" i="21" s="1"/>
  <c r="K367" i="21" s="1"/>
  <c r="K368" i="21" s="1"/>
  <c r="K369" i="21" s="1"/>
  <c r="D189" i="20"/>
  <c r="D81" i="20"/>
  <c r="K229" i="21"/>
  <c r="K230" i="21" s="1"/>
  <c r="O9" i="19"/>
  <c r="D207" i="20"/>
  <c r="K155" i="21"/>
  <c r="K156" i="21" s="1"/>
  <c r="K157" i="21" s="1"/>
  <c r="K158" i="21" s="1"/>
  <c r="K159" i="21" s="1"/>
  <c r="K160" i="21" s="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K174" i="21" s="1"/>
  <c r="K175" i="21" s="1"/>
  <c r="K176" i="21" s="1"/>
  <c r="K177" i="21" s="1"/>
  <c r="K178" i="21" s="1"/>
  <c r="K179" i="21" s="1"/>
  <c r="K180" i="21" s="1"/>
  <c r="K181" i="21" s="1"/>
  <c r="K182" i="21" s="1"/>
  <c r="K183" i="21" s="1"/>
  <c r="K184" i="21" s="1"/>
  <c r="J148" i="21"/>
  <c r="O10" i="19"/>
  <c r="K231" i="21"/>
  <c r="K232" i="21" s="1"/>
  <c r="K233" i="21" s="1"/>
  <c r="K234" i="21" s="1"/>
  <c r="K235" i="21" s="1"/>
  <c r="K236" i="21" s="1"/>
  <c r="K237" i="21" s="1"/>
  <c r="K238" i="21" s="1"/>
  <c r="K239" i="21" s="1"/>
  <c r="K240" i="21" s="1"/>
  <c r="K241" i="21" s="1"/>
  <c r="K242" i="21" s="1"/>
  <c r="K243" i="21" s="1"/>
  <c r="K244" i="21" s="1"/>
  <c r="K245" i="21" s="1"/>
  <c r="K246" i="21" s="1"/>
  <c r="K247" i="21" s="1"/>
  <c r="K248" i="21" s="1"/>
  <c r="K249" i="21" s="1"/>
  <c r="K250" i="21" s="1"/>
  <c r="K251" i="21" s="1"/>
  <c r="K252" i="21" s="1"/>
  <c r="K253" i="21" s="1"/>
  <c r="K254" i="21" s="1"/>
  <c r="K255" i="21" s="1"/>
  <c r="K256" i="21" s="1"/>
  <c r="K257" i="21" s="1"/>
  <c r="K258" i="21" s="1"/>
  <c r="K266" i="21"/>
  <c r="K267" i="21" s="1"/>
  <c r="K268" i="21" s="1"/>
  <c r="K269" i="21" s="1"/>
  <c r="K270" i="21" s="1"/>
  <c r="K271" i="21" s="1"/>
  <c r="K272" i="21" s="1"/>
  <c r="K273" i="21" s="1"/>
  <c r="K274" i="21" s="1"/>
  <c r="K275" i="21" s="1"/>
  <c r="K276" i="21" s="1"/>
  <c r="K277" i="21" s="1"/>
  <c r="K278" i="21" s="1"/>
  <c r="K279" i="21" s="1"/>
  <c r="K280" i="21" s="1"/>
  <c r="K281" i="21" s="1"/>
  <c r="K282" i="21" s="1"/>
  <c r="K283" i="21" s="1"/>
  <c r="K284" i="21" s="1"/>
  <c r="K285" i="21" s="1"/>
  <c r="K286" i="21" s="1"/>
  <c r="K287" i="21" s="1"/>
  <c r="K288" i="21" s="1"/>
  <c r="K289" i="21" s="1"/>
  <c r="K290" i="21" s="1"/>
  <c r="K291" i="21" s="1"/>
  <c r="K292" i="21" s="1"/>
  <c r="K293" i="21" s="1"/>
  <c r="K294" i="21" s="1"/>
  <c r="K295" i="21" s="1"/>
  <c r="J296" i="21"/>
  <c r="J259" i="21"/>
  <c r="J333" i="21"/>
  <c r="K302" i="21"/>
  <c r="K303" i="21" s="1"/>
  <c r="K304" i="21" s="1"/>
  <c r="K305" i="21" s="1"/>
  <c r="K306" i="21" s="1"/>
  <c r="K307" i="21" s="1"/>
  <c r="K308" i="21" s="1"/>
  <c r="K309" i="21" s="1"/>
  <c r="K310" i="21" s="1"/>
  <c r="K311" i="21" s="1"/>
  <c r="K312" i="21" s="1"/>
  <c r="K313" i="21" s="1"/>
  <c r="K314" i="21" s="1"/>
  <c r="K315" i="21" s="1"/>
  <c r="K316" i="21" s="1"/>
  <c r="K317" i="21" s="1"/>
  <c r="K318" i="21" s="1"/>
  <c r="K319" i="21" s="1"/>
  <c r="K320" i="21" s="1"/>
  <c r="K321" i="21" s="1"/>
  <c r="K322" i="21" s="1"/>
  <c r="K323" i="21" s="1"/>
  <c r="K324" i="21" s="1"/>
  <c r="K325" i="21" s="1"/>
  <c r="K326" i="21" s="1"/>
  <c r="K327" i="21" s="1"/>
  <c r="K328" i="21" s="1"/>
  <c r="K329" i="21" s="1"/>
  <c r="K330" i="21" s="1"/>
  <c r="K331" i="21" s="1"/>
  <c r="K332" i="21" s="1"/>
  <c r="J407" i="21"/>
  <c r="J74" i="21"/>
  <c r="K377" i="21"/>
  <c r="K378" i="21" s="1"/>
  <c r="K379" i="21" s="1"/>
  <c r="K380" i="21" s="1"/>
  <c r="K381" i="21" s="1"/>
  <c r="K382" i="21" s="1"/>
  <c r="K383" i="21" s="1"/>
  <c r="K384" i="21" s="1"/>
  <c r="K385" i="21" s="1"/>
  <c r="K386" i="21" s="1"/>
  <c r="K387" i="21" s="1"/>
  <c r="K388" i="21" s="1"/>
  <c r="K389" i="21" s="1"/>
  <c r="K390" i="21" s="1"/>
  <c r="K391" i="21" s="1"/>
  <c r="K392" i="21" s="1"/>
  <c r="K393" i="21" s="1"/>
  <c r="K394" i="21" s="1"/>
  <c r="K395" i="21" s="1"/>
  <c r="K396" i="21" s="1"/>
  <c r="K397" i="21" s="1"/>
  <c r="K398" i="21" s="1"/>
  <c r="K399" i="21" s="1"/>
  <c r="K400" i="21" s="1"/>
  <c r="K401" i="21" s="1"/>
  <c r="K402" i="21" s="1"/>
  <c r="K403" i="21" s="1"/>
  <c r="K404" i="21" s="1"/>
  <c r="K405" i="21" s="1"/>
  <c r="K406" i="21" s="1"/>
  <c r="K416" i="21"/>
  <c r="K417" i="21" s="1"/>
  <c r="K418" i="21" s="1"/>
  <c r="K419" i="21" s="1"/>
  <c r="K420" i="21" s="1"/>
  <c r="K421" i="21" s="1"/>
  <c r="K422" i="21" s="1"/>
  <c r="K423" i="21" s="1"/>
  <c r="K424" i="21" s="1"/>
  <c r="K425" i="21" s="1"/>
  <c r="K426" i="21" s="1"/>
  <c r="K427" i="21" s="1"/>
  <c r="K428" i="21" s="1"/>
  <c r="K429" i="21" s="1"/>
  <c r="K430" i="21" s="1"/>
  <c r="K431" i="21" s="1"/>
  <c r="K432" i="21" s="1"/>
  <c r="K433" i="21" s="1"/>
  <c r="K434" i="21" s="1"/>
  <c r="K435" i="21" s="1"/>
  <c r="K436" i="21" s="1"/>
  <c r="K437" i="21" s="1"/>
  <c r="K438" i="21" s="1"/>
  <c r="K439" i="21" s="1"/>
  <c r="K440" i="21" s="1"/>
  <c r="K441" i="21" s="1"/>
  <c r="K442" i="21" s="1"/>
  <c r="K443" i="21" s="1"/>
  <c r="J370" i="21"/>
  <c r="J185" i="21"/>
  <c r="J111" i="21"/>
  <c r="K80" i="21"/>
  <c r="K81" i="21" s="1"/>
  <c r="K82" i="21" s="1"/>
  <c r="K83" i="21" s="1"/>
  <c r="K84" i="21" s="1"/>
  <c r="K85" i="21" s="1"/>
  <c r="K86" i="21" s="1"/>
  <c r="K87" i="21" s="1"/>
  <c r="K88" i="21" s="1"/>
  <c r="K89" i="21" s="1"/>
  <c r="K90" i="21" s="1"/>
  <c r="K91" i="21" s="1"/>
  <c r="K92" i="21" s="1"/>
  <c r="K93" i="21" s="1"/>
  <c r="K94" i="21" s="1"/>
  <c r="K95" i="21" s="1"/>
  <c r="K96" i="21" s="1"/>
  <c r="K97" i="21" s="1"/>
  <c r="K98" i="21" s="1"/>
  <c r="K99" i="21" s="1"/>
  <c r="K100" i="21" s="1"/>
  <c r="K101" i="21" s="1"/>
  <c r="K102" i="21" s="1"/>
  <c r="K103" i="21" s="1"/>
  <c r="K104" i="21" s="1"/>
  <c r="K105" i="21" s="1"/>
  <c r="K106" i="21" s="1"/>
  <c r="K107" i="21" s="1"/>
  <c r="K108" i="21" s="1"/>
  <c r="K109" i="21" s="1"/>
  <c r="K110" i="21" s="1"/>
  <c r="J444" i="21"/>
  <c r="K119" i="2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K130" i="21" s="1"/>
  <c r="K131" i="21" s="1"/>
  <c r="K132" i="21" s="1"/>
  <c r="K133" i="21" s="1"/>
  <c r="K134" i="21" s="1"/>
  <c r="K135" i="21" s="1"/>
  <c r="K136" i="21" s="1"/>
  <c r="K137" i="21" s="1"/>
  <c r="K138" i="21" s="1"/>
  <c r="K139" i="21" s="1"/>
  <c r="K140" i="21" s="1"/>
  <c r="K141" i="21" s="1"/>
  <c r="K142" i="21" s="1"/>
  <c r="K143" i="21" s="1"/>
  <c r="K144" i="21" s="1"/>
  <c r="K145" i="21" s="1"/>
  <c r="K146" i="21" s="1"/>
  <c r="K147" i="21" s="1"/>
  <c r="K191" i="2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K202" i="21" s="1"/>
  <c r="K203" i="21" s="1"/>
  <c r="K204" i="21" s="1"/>
  <c r="K205" i="21" s="1"/>
  <c r="K206" i="21" s="1"/>
  <c r="K207" i="21" s="1"/>
  <c r="K208" i="21" s="1"/>
  <c r="K209" i="21" s="1"/>
  <c r="K210" i="21" s="1"/>
  <c r="K211" i="21" s="1"/>
  <c r="K212" i="21" s="1"/>
  <c r="K213" i="21" s="1"/>
  <c r="K214" i="21" s="1"/>
  <c r="K215" i="21" s="1"/>
  <c r="K216" i="21" s="1"/>
  <c r="K217" i="21" s="1"/>
  <c r="K218" i="21" s="1"/>
  <c r="K219" i="21" s="1"/>
  <c r="K220" i="21" s="1"/>
  <c r="K221" i="21" s="1"/>
  <c r="J222" i="21"/>
  <c r="J37" i="21"/>
  <c r="L43" i="19"/>
  <c r="I43" i="19"/>
  <c r="N43" i="19"/>
  <c r="K43" i="19"/>
  <c r="J43" i="19"/>
  <c r="I339" i="21"/>
  <c r="I340" i="21" s="1"/>
  <c r="I341" i="21" s="1"/>
  <c r="I342" i="21" s="1"/>
  <c r="I343" i="21" s="1"/>
  <c r="I344" i="21" s="1"/>
  <c r="I345" i="21" s="1"/>
  <c r="I346" i="21" s="1"/>
  <c r="I347" i="21" s="1"/>
  <c r="I348" i="21" s="1"/>
  <c r="I349" i="21" s="1"/>
  <c r="I350" i="21" s="1"/>
  <c r="I351" i="21" s="1"/>
  <c r="I352" i="21" s="1"/>
  <c r="I353" i="21" s="1"/>
  <c r="I354" i="21" s="1"/>
  <c r="I355" i="21" s="1"/>
  <c r="I356" i="21" s="1"/>
  <c r="I357" i="21" s="1"/>
  <c r="I358" i="21" s="1"/>
  <c r="I359" i="21" s="1"/>
  <c r="I360" i="21" s="1"/>
  <c r="I361" i="21" s="1"/>
  <c r="I362" i="21" s="1"/>
  <c r="I363" i="21" s="1"/>
  <c r="I364" i="21" s="1"/>
  <c r="I365" i="21" s="1"/>
  <c r="I366" i="21" s="1"/>
  <c r="I367" i="21" s="1"/>
  <c r="I368" i="21" s="1"/>
  <c r="I369" i="21" s="1"/>
  <c r="H370" i="21"/>
  <c r="H222" i="21"/>
  <c r="I191" i="21"/>
  <c r="H259" i="21"/>
  <c r="H111" i="21"/>
  <c r="I80" i="21"/>
  <c r="I81" i="21" s="1"/>
  <c r="I82" i="21" s="1"/>
  <c r="I83" i="21" s="1"/>
  <c r="I84" i="21" s="1"/>
  <c r="I85" i="21" s="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304" i="21"/>
  <c r="I305" i="21" s="1"/>
  <c r="I306" i="21" s="1"/>
  <c r="I307" i="21" s="1"/>
  <c r="I308" i="21" s="1"/>
  <c r="I309" i="21" s="1"/>
  <c r="I310" i="21" s="1"/>
  <c r="I311" i="21" s="1"/>
  <c r="I312" i="21" s="1"/>
  <c r="I313" i="21" s="1"/>
  <c r="I314" i="21" s="1"/>
  <c r="I315" i="21" s="1"/>
  <c r="I316" i="21" s="1"/>
  <c r="I317" i="21" s="1"/>
  <c r="I318" i="21" s="1"/>
  <c r="I319" i="21" s="1"/>
  <c r="I320" i="21" s="1"/>
  <c r="I321" i="21" s="1"/>
  <c r="I322" i="21" s="1"/>
  <c r="I323" i="21" s="1"/>
  <c r="I324" i="21" s="1"/>
  <c r="I325" i="21" s="1"/>
  <c r="I326" i="21" s="1"/>
  <c r="I327" i="21" s="1"/>
  <c r="I328" i="21" s="1"/>
  <c r="I329" i="21" s="1"/>
  <c r="I330" i="21" s="1"/>
  <c r="I331" i="21" s="1"/>
  <c r="I332" i="21" s="1"/>
  <c r="H185" i="21"/>
  <c r="H296" i="21"/>
  <c r="I265" i="21"/>
  <c r="I266" i="21" s="1"/>
  <c r="H148" i="21"/>
  <c r="H74" i="21"/>
  <c r="H333" i="21"/>
  <c r="I192" i="21"/>
  <c r="I193" i="21" s="1"/>
  <c r="I194" i="21" s="1"/>
  <c r="I195" i="21" s="1"/>
  <c r="I196" i="21" s="1"/>
  <c r="I197" i="21" s="1"/>
  <c r="I198" i="21" s="1"/>
  <c r="I199" i="21" s="1"/>
  <c r="I200" i="21" s="1"/>
  <c r="I201" i="21" s="1"/>
  <c r="I202" i="21" s="1"/>
  <c r="I203" i="21" s="1"/>
  <c r="I204" i="21" s="1"/>
  <c r="I205" i="21" s="1"/>
  <c r="I206" i="21" s="1"/>
  <c r="I207" i="21" s="1"/>
  <c r="I208" i="21" s="1"/>
  <c r="I209" i="21" s="1"/>
  <c r="I210" i="21" s="1"/>
  <c r="I211" i="21" s="1"/>
  <c r="I212" i="21" s="1"/>
  <c r="I213" i="21" s="1"/>
  <c r="I214" i="21" s="1"/>
  <c r="I215" i="21" s="1"/>
  <c r="I216" i="21" s="1"/>
  <c r="I217" i="21" s="1"/>
  <c r="I218" i="21" s="1"/>
  <c r="I219" i="21" s="1"/>
  <c r="I220" i="21" s="1"/>
  <c r="I221" i="21" s="1"/>
  <c r="I267" i="21"/>
  <c r="I268" i="21" s="1"/>
  <c r="I269" i="21" s="1"/>
  <c r="I270" i="21" s="1"/>
  <c r="I271" i="21" s="1"/>
  <c r="I272" i="21" s="1"/>
  <c r="I273" i="21" s="1"/>
  <c r="I274" i="21" s="1"/>
  <c r="I275" i="21" s="1"/>
  <c r="I276" i="21" s="1"/>
  <c r="I277" i="21" s="1"/>
  <c r="I278" i="21" s="1"/>
  <c r="I279" i="21" s="1"/>
  <c r="I280" i="21" s="1"/>
  <c r="I281" i="21" s="1"/>
  <c r="I282" i="21" s="1"/>
  <c r="I283" i="21" s="1"/>
  <c r="I284" i="21" s="1"/>
  <c r="I285" i="21" s="1"/>
  <c r="I286" i="21" s="1"/>
  <c r="I287" i="21" s="1"/>
  <c r="I288" i="21" s="1"/>
  <c r="I289" i="21" s="1"/>
  <c r="I290" i="21" s="1"/>
  <c r="I291" i="21" s="1"/>
  <c r="I292" i="21" s="1"/>
  <c r="I293" i="21" s="1"/>
  <c r="I294" i="21" s="1"/>
  <c r="I295" i="21" s="1"/>
  <c r="H444" i="21"/>
  <c r="I415" i="21"/>
  <c r="I416" i="21" s="1"/>
  <c r="I417" i="21" s="1"/>
  <c r="I418" i="21" s="1"/>
  <c r="I419" i="21" s="1"/>
  <c r="I420" i="21" s="1"/>
  <c r="I421" i="21" s="1"/>
  <c r="I422" i="21" s="1"/>
  <c r="I423" i="21" s="1"/>
  <c r="I424" i="21" s="1"/>
  <c r="I425" i="21" s="1"/>
  <c r="I426" i="21" s="1"/>
  <c r="I427" i="21" s="1"/>
  <c r="I428" i="21" s="1"/>
  <c r="I429" i="21" s="1"/>
  <c r="I430" i="21" s="1"/>
  <c r="I431" i="21" s="1"/>
  <c r="I432" i="21" s="1"/>
  <c r="I433" i="21" s="1"/>
  <c r="I434" i="21" s="1"/>
  <c r="I435" i="21" s="1"/>
  <c r="I436" i="21" s="1"/>
  <c r="I437" i="21" s="1"/>
  <c r="I438" i="21" s="1"/>
  <c r="I439" i="21" s="1"/>
  <c r="I440" i="21" s="1"/>
  <c r="I441" i="21" s="1"/>
  <c r="I442" i="21" s="1"/>
  <c r="I443" i="21" s="1"/>
  <c r="M43" i="19"/>
  <c r="I10" i="2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I28" i="21" s="1"/>
  <c r="I29" i="21" s="1"/>
  <c r="I30" i="21" s="1"/>
  <c r="I31" i="21" s="1"/>
  <c r="I32" i="21" s="1"/>
  <c r="I33" i="21" s="1"/>
  <c r="I34" i="21" s="1"/>
  <c r="I35" i="21" s="1"/>
  <c r="I36" i="21" s="1"/>
  <c r="H407" i="21"/>
  <c r="G302" i="21"/>
  <c r="G303" i="21" s="1"/>
  <c r="G304" i="21" s="1"/>
  <c r="G305" i="21" s="1"/>
  <c r="G306" i="21" s="1"/>
  <c r="G307" i="21" s="1"/>
  <c r="G308" i="21" s="1"/>
  <c r="G309" i="21" s="1"/>
  <c r="G310" i="21" s="1"/>
  <c r="G311" i="21" s="1"/>
  <c r="G312" i="21" s="1"/>
  <c r="G313" i="21" s="1"/>
  <c r="G314" i="21" s="1"/>
  <c r="G315" i="21" s="1"/>
  <c r="G316" i="21" s="1"/>
  <c r="G317" i="21" s="1"/>
  <c r="G318" i="21" s="1"/>
  <c r="G319" i="21" s="1"/>
  <c r="G320" i="21" s="1"/>
  <c r="G321" i="21" s="1"/>
  <c r="G322" i="21" s="1"/>
  <c r="G323" i="21" s="1"/>
  <c r="G324" i="21" s="1"/>
  <c r="G325" i="21" s="1"/>
  <c r="G326" i="21" s="1"/>
  <c r="G327" i="21" s="1"/>
  <c r="G328" i="21" s="1"/>
  <c r="G329" i="21" s="1"/>
  <c r="G330" i="21" s="1"/>
  <c r="G331" i="21" s="1"/>
  <c r="G332" i="21" s="1"/>
  <c r="F333" i="21"/>
  <c r="E43" i="19"/>
  <c r="G341" i="21"/>
  <c r="G342" i="21" s="1"/>
  <c r="G343" i="21" s="1"/>
  <c r="G344" i="21" s="1"/>
  <c r="G345" i="21" s="1"/>
  <c r="G346" i="21" s="1"/>
  <c r="G347" i="21" s="1"/>
  <c r="G348" i="21" s="1"/>
  <c r="G349" i="21" s="1"/>
  <c r="G350" i="21" s="1"/>
  <c r="G351" i="21" s="1"/>
  <c r="G352" i="21" s="1"/>
  <c r="G353" i="21" s="1"/>
  <c r="G354" i="21" s="1"/>
  <c r="G355" i="21" s="1"/>
  <c r="G356" i="21" s="1"/>
  <c r="G357" i="21" s="1"/>
  <c r="G358" i="21" s="1"/>
  <c r="G359" i="21" s="1"/>
  <c r="G360" i="21" s="1"/>
  <c r="G361" i="21" s="1"/>
  <c r="G362" i="21" s="1"/>
  <c r="G363" i="21" s="1"/>
  <c r="G364" i="21" s="1"/>
  <c r="G365" i="21" s="1"/>
  <c r="G366" i="21" s="1"/>
  <c r="G367" i="21" s="1"/>
  <c r="G368" i="21" s="1"/>
  <c r="G369" i="21" s="1"/>
  <c r="F370" i="21"/>
  <c r="F148" i="21"/>
  <c r="G117" i="21"/>
  <c r="G118" i="21" s="1"/>
  <c r="G119" i="21" s="1"/>
  <c r="G120" i="21" s="1"/>
  <c r="G121" i="21" s="1"/>
  <c r="G122" i="21" s="1"/>
  <c r="G123" i="21" s="1"/>
  <c r="G124" i="21" s="1"/>
  <c r="G125" i="21" s="1"/>
  <c r="G126" i="21" s="1"/>
  <c r="G127" i="21" s="1"/>
  <c r="G128" i="21" s="1"/>
  <c r="G129" i="21" s="1"/>
  <c r="G130" i="21" s="1"/>
  <c r="G131" i="21" s="1"/>
  <c r="G132" i="21" s="1"/>
  <c r="G133" i="21" s="1"/>
  <c r="G134" i="21" s="1"/>
  <c r="G135" i="21" s="1"/>
  <c r="G136" i="21" s="1"/>
  <c r="G137" i="21" s="1"/>
  <c r="G138" i="21" s="1"/>
  <c r="G139" i="21" s="1"/>
  <c r="G140" i="21" s="1"/>
  <c r="G141" i="21" s="1"/>
  <c r="G142" i="21" s="1"/>
  <c r="G143" i="21" s="1"/>
  <c r="G144" i="21" s="1"/>
  <c r="G145" i="21" s="1"/>
  <c r="G146" i="21" s="1"/>
  <c r="G147" i="21" s="1"/>
  <c r="G230" i="21"/>
  <c r="G231" i="21" s="1"/>
  <c r="G232" i="21" s="1"/>
  <c r="G233" i="21" s="1"/>
  <c r="G234" i="21" s="1"/>
  <c r="G235" i="21" s="1"/>
  <c r="G236" i="21" s="1"/>
  <c r="G237" i="21" s="1"/>
  <c r="G238" i="21" s="1"/>
  <c r="G239" i="21" s="1"/>
  <c r="G240" i="21" s="1"/>
  <c r="G241" i="21" s="1"/>
  <c r="G242" i="21" s="1"/>
  <c r="G243" i="21" s="1"/>
  <c r="G244" i="21" s="1"/>
  <c r="G245" i="21" s="1"/>
  <c r="G246" i="21" s="1"/>
  <c r="G247" i="21" s="1"/>
  <c r="G248" i="21" s="1"/>
  <c r="G249" i="21" s="1"/>
  <c r="G250" i="21" s="1"/>
  <c r="G251" i="21" s="1"/>
  <c r="G252" i="21" s="1"/>
  <c r="G253" i="21" s="1"/>
  <c r="G254" i="21" s="1"/>
  <c r="G255" i="21" s="1"/>
  <c r="G256" i="21" s="1"/>
  <c r="G257" i="21" s="1"/>
  <c r="G258" i="21" s="1"/>
  <c r="G376" i="21"/>
  <c r="G377" i="21" s="1"/>
  <c r="G378" i="21" s="1"/>
  <c r="G379" i="21" s="1"/>
  <c r="G380" i="21" s="1"/>
  <c r="G381" i="21" s="1"/>
  <c r="G382" i="21" s="1"/>
  <c r="G383" i="21" s="1"/>
  <c r="G384" i="21" s="1"/>
  <c r="G385" i="21" s="1"/>
  <c r="G386" i="21" s="1"/>
  <c r="G387" i="21" s="1"/>
  <c r="G388" i="21" s="1"/>
  <c r="G389" i="21" s="1"/>
  <c r="G390" i="21" s="1"/>
  <c r="G391" i="21" s="1"/>
  <c r="G392" i="21" s="1"/>
  <c r="G393" i="21" s="1"/>
  <c r="G394" i="21" s="1"/>
  <c r="G395" i="21" s="1"/>
  <c r="G396" i="21" s="1"/>
  <c r="G397" i="21" s="1"/>
  <c r="G398" i="21" s="1"/>
  <c r="G399" i="21" s="1"/>
  <c r="G400" i="21" s="1"/>
  <c r="G401" i="21" s="1"/>
  <c r="G402" i="21" s="1"/>
  <c r="G403" i="21" s="1"/>
  <c r="G404" i="21" s="1"/>
  <c r="G405" i="21" s="1"/>
  <c r="G406" i="21" s="1"/>
  <c r="F407" i="21"/>
  <c r="G413" i="21"/>
  <c r="G414" i="21" s="1"/>
  <c r="G415" i="21" s="1"/>
  <c r="G416" i="21" s="1"/>
  <c r="G417" i="21" s="1"/>
  <c r="G418" i="21" s="1"/>
  <c r="G419" i="21" s="1"/>
  <c r="G420" i="21" s="1"/>
  <c r="G421" i="21" s="1"/>
  <c r="G422" i="21" s="1"/>
  <c r="G423" i="21" s="1"/>
  <c r="G424" i="21" s="1"/>
  <c r="G425" i="21" s="1"/>
  <c r="G426" i="21" s="1"/>
  <c r="G427" i="21" s="1"/>
  <c r="G428" i="21" s="1"/>
  <c r="G429" i="21" s="1"/>
  <c r="G430" i="21" s="1"/>
  <c r="G431" i="21" s="1"/>
  <c r="G432" i="21" s="1"/>
  <c r="G433" i="21" s="1"/>
  <c r="G434" i="21" s="1"/>
  <c r="G435" i="21" s="1"/>
  <c r="G436" i="21" s="1"/>
  <c r="G437" i="21" s="1"/>
  <c r="G438" i="21" s="1"/>
  <c r="G439" i="21" s="1"/>
  <c r="G440" i="21" s="1"/>
  <c r="G441" i="21" s="1"/>
  <c r="G442" i="21" s="1"/>
  <c r="G443" i="21" s="1"/>
  <c r="F444" i="21"/>
  <c r="D43" i="19"/>
  <c r="G191" i="21"/>
  <c r="G192" i="21" s="1"/>
  <c r="G193" i="21" s="1"/>
  <c r="G194" i="21" s="1"/>
  <c r="G195" i="21" s="1"/>
  <c r="G196" i="21" s="1"/>
  <c r="G197" i="21" s="1"/>
  <c r="G198" i="21" s="1"/>
  <c r="G199" i="21" s="1"/>
  <c r="G200" i="21" s="1"/>
  <c r="G201" i="21" s="1"/>
  <c r="G202" i="21" s="1"/>
  <c r="G203" i="21" s="1"/>
  <c r="G204" i="21" s="1"/>
  <c r="G205" i="21" s="1"/>
  <c r="G206" i="21" s="1"/>
  <c r="G207" i="21" s="1"/>
  <c r="G208" i="21" s="1"/>
  <c r="G209" i="21" s="1"/>
  <c r="G210" i="21" s="1"/>
  <c r="G211" i="21" s="1"/>
  <c r="G212" i="21" s="1"/>
  <c r="G213" i="21" s="1"/>
  <c r="G214" i="21" s="1"/>
  <c r="G215" i="21" s="1"/>
  <c r="G216" i="21" s="1"/>
  <c r="G217" i="21" s="1"/>
  <c r="G218" i="21" s="1"/>
  <c r="G219" i="21" s="1"/>
  <c r="G220" i="21" s="1"/>
  <c r="G221" i="21" s="1"/>
  <c r="F222" i="21"/>
  <c r="F259" i="21"/>
  <c r="G154" i="21"/>
  <c r="G155" i="21" s="1"/>
  <c r="G156" i="21" s="1"/>
  <c r="G157" i="21" s="1"/>
  <c r="G158" i="21" s="1"/>
  <c r="G159" i="21" s="1"/>
  <c r="G160" i="21" s="1"/>
  <c r="G161" i="21" s="1"/>
  <c r="G162" i="21" s="1"/>
  <c r="G163" i="21" s="1"/>
  <c r="G164" i="21" s="1"/>
  <c r="G165" i="21" s="1"/>
  <c r="G166" i="21" s="1"/>
  <c r="G167" i="21" s="1"/>
  <c r="G168" i="21" s="1"/>
  <c r="G169" i="21" s="1"/>
  <c r="G170" i="21" s="1"/>
  <c r="G171" i="21" s="1"/>
  <c r="G172" i="21" s="1"/>
  <c r="G173" i="21" s="1"/>
  <c r="G174" i="21" s="1"/>
  <c r="G175" i="21" s="1"/>
  <c r="G176" i="21" s="1"/>
  <c r="G177" i="21" s="1"/>
  <c r="G178" i="21" s="1"/>
  <c r="G179" i="21" s="1"/>
  <c r="G180" i="21" s="1"/>
  <c r="G181" i="21" s="1"/>
  <c r="G182" i="21" s="1"/>
  <c r="G183" i="21" s="1"/>
  <c r="G184" i="21" s="1"/>
  <c r="F185" i="21"/>
  <c r="F296" i="21"/>
  <c r="G43" i="21"/>
  <c r="G44" i="21" s="1"/>
  <c r="G45" i="21" s="1"/>
  <c r="G46" i="21" s="1"/>
  <c r="G47" i="21" s="1"/>
  <c r="G48" i="21" s="1"/>
  <c r="G49" i="21" s="1"/>
  <c r="G50" i="21" s="1"/>
  <c r="G51" i="21" s="1"/>
  <c r="G52" i="21" s="1"/>
  <c r="G53" i="21" s="1"/>
  <c r="G54" i="21" s="1"/>
  <c r="G55" i="21" s="1"/>
  <c r="G56" i="21" s="1"/>
  <c r="G57" i="21" s="1"/>
  <c r="G58" i="21" s="1"/>
  <c r="G59" i="21" s="1"/>
  <c r="G60" i="21" s="1"/>
  <c r="G61" i="21" s="1"/>
  <c r="G62" i="21" s="1"/>
  <c r="G63" i="21" s="1"/>
  <c r="G64" i="21" s="1"/>
  <c r="G65" i="21" s="1"/>
  <c r="G66" i="21" s="1"/>
  <c r="G67" i="21" s="1"/>
  <c r="G68" i="21" s="1"/>
  <c r="G69" i="21" s="1"/>
  <c r="G70" i="21" s="1"/>
  <c r="G71" i="21" s="1"/>
  <c r="G72" i="21" s="1"/>
  <c r="G73" i="21" s="1"/>
  <c r="F74" i="21"/>
  <c r="G80" i="21"/>
  <c r="G81" i="21" s="1"/>
  <c r="G82" i="21" s="1"/>
  <c r="G83" i="21" s="1"/>
  <c r="G84" i="21" s="1"/>
  <c r="G85" i="21" s="1"/>
  <c r="G86" i="21" s="1"/>
  <c r="G87" i="21" s="1"/>
  <c r="G88" i="21" s="1"/>
  <c r="G89" i="21" s="1"/>
  <c r="G90" i="21" s="1"/>
  <c r="G91" i="21" s="1"/>
  <c r="G92" i="21" s="1"/>
  <c r="G93" i="21" s="1"/>
  <c r="G94" i="21" s="1"/>
  <c r="G95" i="21" s="1"/>
  <c r="G96" i="21" s="1"/>
  <c r="G97" i="21" s="1"/>
  <c r="G98" i="21" s="1"/>
  <c r="G99" i="21" s="1"/>
  <c r="G100" i="21" s="1"/>
  <c r="G101" i="21" s="1"/>
  <c r="G102" i="21" s="1"/>
  <c r="G103" i="21" s="1"/>
  <c r="G104" i="21" s="1"/>
  <c r="G105" i="21" s="1"/>
  <c r="G106" i="21" s="1"/>
  <c r="G107" i="21" s="1"/>
  <c r="G108" i="21" s="1"/>
  <c r="G109" i="21" s="1"/>
  <c r="G110" i="21" s="1"/>
  <c r="F111" i="21"/>
  <c r="G6" i="21"/>
  <c r="G7" i="21" s="1"/>
  <c r="G8" i="21" s="1"/>
  <c r="G9" i="21" s="1"/>
  <c r="G10" i="21" s="1"/>
  <c r="G11" i="21" s="1"/>
  <c r="G12" i="21" s="1"/>
  <c r="G13" i="21" s="1"/>
  <c r="G14" i="21" s="1"/>
  <c r="G15" i="21" s="1"/>
  <c r="G16" i="21" s="1"/>
  <c r="G17" i="21" s="1"/>
  <c r="G18" i="21" s="1"/>
  <c r="G19" i="21" s="1"/>
  <c r="G20" i="21" s="1"/>
  <c r="G21" i="21" s="1"/>
  <c r="G22" i="21" s="1"/>
  <c r="G23" i="21" s="1"/>
  <c r="G24" i="21" s="1"/>
  <c r="G25" i="21" s="1"/>
  <c r="G26" i="21" s="1"/>
  <c r="G27" i="21" s="1"/>
  <c r="G28" i="21" s="1"/>
  <c r="G29" i="21" s="1"/>
  <c r="G30" i="21" s="1"/>
  <c r="G31" i="21" s="1"/>
  <c r="G32" i="21" s="1"/>
  <c r="G33" i="21" s="1"/>
  <c r="G34" i="21" s="1"/>
  <c r="G35" i="21" s="1"/>
  <c r="G36" i="21" s="1"/>
  <c r="F37" i="21"/>
  <c r="E376" i="21"/>
  <c r="E377" i="21" s="1"/>
  <c r="E378" i="21" s="1"/>
  <c r="E379" i="21" s="1"/>
  <c r="E380" i="21" s="1"/>
  <c r="E381" i="21" s="1"/>
  <c r="E382" i="21" s="1"/>
  <c r="E383" i="21" s="1"/>
  <c r="E384" i="21" s="1"/>
  <c r="E385" i="21" s="1"/>
  <c r="E386" i="21" s="1"/>
  <c r="E387" i="21" s="1"/>
  <c r="E388" i="21" s="1"/>
  <c r="E389" i="21" s="1"/>
  <c r="E390" i="21" s="1"/>
  <c r="E391" i="21" s="1"/>
  <c r="E392" i="21" s="1"/>
  <c r="E393" i="21" s="1"/>
  <c r="E394" i="21" s="1"/>
  <c r="E395" i="21" s="1"/>
  <c r="E396" i="21" s="1"/>
  <c r="E397" i="21" s="1"/>
  <c r="E398" i="21" s="1"/>
  <c r="E399" i="21" s="1"/>
  <c r="E400" i="21" s="1"/>
  <c r="E401" i="21" s="1"/>
  <c r="E402" i="21" s="1"/>
  <c r="E403" i="21" s="1"/>
  <c r="E404" i="21" s="1"/>
  <c r="E405" i="21" s="1"/>
  <c r="E406" i="21" s="1"/>
  <c r="D407" i="21"/>
  <c r="C43" i="19"/>
  <c r="D222" i="21"/>
  <c r="E268" i="21"/>
  <c r="E269" i="21" s="1"/>
  <c r="E270" i="21" s="1"/>
  <c r="E271" i="21" s="1"/>
  <c r="E272" i="21" s="1"/>
  <c r="E273" i="21" s="1"/>
  <c r="E274" i="21" s="1"/>
  <c r="E275" i="21" s="1"/>
  <c r="E276" i="21" s="1"/>
  <c r="E277" i="21" s="1"/>
  <c r="E278" i="21" s="1"/>
  <c r="E279" i="21" s="1"/>
  <c r="E280" i="21" s="1"/>
  <c r="E281" i="21" s="1"/>
  <c r="E282" i="21" s="1"/>
  <c r="E283" i="21" s="1"/>
  <c r="E284" i="21" s="1"/>
  <c r="E285" i="21" s="1"/>
  <c r="E286" i="21" s="1"/>
  <c r="E287" i="21" s="1"/>
  <c r="E288" i="21" s="1"/>
  <c r="E289" i="21" s="1"/>
  <c r="E290" i="21" s="1"/>
  <c r="E291" i="21" s="1"/>
  <c r="E292" i="21" s="1"/>
  <c r="E293" i="21" s="1"/>
  <c r="E294" i="21" s="1"/>
  <c r="E295" i="21" s="1"/>
  <c r="D259" i="21"/>
  <c r="F43" i="19"/>
  <c r="D296" i="21"/>
  <c r="D111" i="21"/>
  <c r="E43" i="21"/>
  <c r="E44" i="21" s="1"/>
  <c r="E45" i="21" s="1"/>
  <c r="E46" i="21" s="1"/>
  <c r="E47" i="21" s="1"/>
  <c r="E48" i="21" s="1"/>
  <c r="E49" i="21" s="1"/>
  <c r="E50" i="21" s="1"/>
  <c r="E51" i="21" s="1"/>
  <c r="E52" i="21" s="1"/>
  <c r="E53" i="21" s="1"/>
  <c r="E54" i="21" s="1"/>
  <c r="E55" i="21" s="1"/>
  <c r="E56" i="21" s="1"/>
  <c r="E57" i="21" s="1"/>
  <c r="E58" i="21" s="1"/>
  <c r="E59" i="21" s="1"/>
  <c r="E60" i="21" s="1"/>
  <c r="E61" i="21" s="1"/>
  <c r="E62" i="21" s="1"/>
  <c r="E63" i="21" s="1"/>
  <c r="E64" i="21" s="1"/>
  <c r="E65" i="21" s="1"/>
  <c r="E66" i="21" s="1"/>
  <c r="E67" i="21" s="1"/>
  <c r="E68" i="21" s="1"/>
  <c r="E69" i="21" s="1"/>
  <c r="E70" i="21" s="1"/>
  <c r="E71" i="21" s="1"/>
  <c r="E72" i="21" s="1"/>
  <c r="E73" i="21" s="1"/>
  <c r="D74" i="21"/>
  <c r="E231" i="21"/>
  <c r="E232" i="21" s="1"/>
  <c r="E233" i="21" s="1"/>
  <c r="E234" i="21" s="1"/>
  <c r="E235" i="21" s="1"/>
  <c r="E236" i="21" s="1"/>
  <c r="E237" i="21" s="1"/>
  <c r="E238" i="21" s="1"/>
  <c r="E239" i="21" s="1"/>
  <c r="E240" i="21" s="1"/>
  <c r="E241" i="21" s="1"/>
  <c r="E242" i="21" s="1"/>
  <c r="E243" i="21" s="1"/>
  <c r="E244" i="21" s="1"/>
  <c r="E245" i="21" s="1"/>
  <c r="E246" i="21" s="1"/>
  <c r="E247" i="21" s="1"/>
  <c r="E248" i="21" s="1"/>
  <c r="E249" i="21" s="1"/>
  <c r="E250" i="21" s="1"/>
  <c r="E251" i="21" s="1"/>
  <c r="E252" i="21" s="1"/>
  <c r="E253" i="21" s="1"/>
  <c r="E254" i="21" s="1"/>
  <c r="E255" i="21" s="1"/>
  <c r="E256" i="21" s="1"/>
  <c r="E257" i="21" s="1"/>
  <c r="E258" i="21" s="1"/>
  <c r="E7" i="21"/>
  <c r="E8" i="21" s="1"/>
  <c r="E9" i="21" s="1"/>
  <c r="E10" i="21" s="1"/>
  <c r="E11" i="21" s="1"/>
  <c r="E12" i="21" s="1"/>
  <c r="E13" i="21" s="1"/>
  <c r="E14" i="21" s="1"/>
  <c r="E15" i="21" s="1"/>
  <c r="E16" i="21" s="1"/>
  <c r="E17" i="21" s="1"/>
  <c r="E18" i="21" s="1"/>
  <c r="E19" i="21" s="1"/>
  <c r="E20" i="21" s="1"/>
  <c r="E21" i="21" s="1"/>
  <c r="E22" i="21" s="1"/>
  <c r="E23" i="21" s="1"/>
  <c r="E24" i="21" s="1"/>
  <c r="E25" i="21" s="1"/>
  <c r="E26" i="21" s="1"/>
  <c r="E27" i="21" s="1"/>
  <c r="E28" i="21" s="1"/>
  <c r="E29" i="21" s="1"/>
  <c r="E30" i="21" s="1"/>
  <c r="E31" i="21" s="1"/>
  <c r="E32" i="21" s="1"/>
  <c r="E33" i="21" s="1"/>
  <c r="E34" i="21" s="1"/>
  <c r="E35" i="21" s="1"/>
  <c r="E36" i="21" s="1"/>
  <c r="E414" i="21"/>
  <c r="E415" i="21" s="1"/>
  <c r="E416" i="21" s="1"/>
  <c r="E417" i="21" s="1"/>
  <c r="E418" i="21" s="1"/>
  <c r="E419" i="21" s="1"/>
  <c r="E420" i="21" s="1"/>
  <c r="E421" i="21" s="1"/>
  <c r="E422" i="21" s="1"/>
  <c r="E423" i="21" s="1"/>
  <c r="E424" i="21" s="1"/>
  <c r="E425" i="21" s="1"/>
  <c r="E426" i="21" s="1"/>
  <c r="E427" i="21" s="1"/>
  <c r="E428" i="21" s="1"/>
  <c r="E429" i="21" s="1"/>
  <c r="E430" i="21" s="1"/>
  <c r="E431" i="21" s="1"/>
  <c r="E432" i="21" s="1"/>
  <c r="E433" i="21" s="1"/>
  <c r="E434" i="21" s="1"/>
  <c r="E435" i="21" s="1"/>
  <c r="E436" i="21" s="1"/>
  <c r="E437" i="21" s="1"/>
  <c r="E438" i="21" s="1"/>
  <c r="E439" i="21" s="1"/>
  <c r="E440" i="21" s="1"/>
  <c r="E441" i="21" s="1"/>
  <c r="E442" i="21" s="1"/>
  <c r="E443" i="21" s="1"/>
  <c r="D444" i="21"/>
  <c r="H43" i="19"/>
  <c r="E308" i="21"/>
  <c r="E309" i="21" s="1"/>
  <c r="E310" i="21" s="1"/>
  <c r="E311" i="21" s="1"/>
  <c r="E312" i="21" s="1"/>
  <c r="E313" i="21" s="1"/>
  <c r="E314" i="21" s="1"/>
  <c r="E315" i="21" s="1"/>
  <c r="E316" i="21" s="1"/>
  <c r="E317" i="21" s="1"/>
  <c r="E318" i="21" s="1"/>
  <c r="E319" i="21" s="1"/>
  <c r="E320" i="21" s="1"/>
  <c r="E321" i="21" s="1"/>
  <c r="E322" i="21" s="1"/>
  <c r="E323" i="21" s="1"/>
  <c r="E324" i="21" s="1"/>
  <c r="E325" i="21" s="1"/>
  <c r="E326" i="21" s="1"/>
  <c r="E327" i="21" s="1"/>
  <c r="E328" i="21" s="1"/>
  <c r="E329" i="21" s="1"/>
  <c r="E330" i="21" s="1"/>
  <c r="E331" i="21" s="1"/>
  <c r="E332" i="21" s="1"/>
  <c r="E82" i="21"/>
  <c r="E83" i="21" s="1"/>
  <c r="E84" i="21" s="1"/>
  <c r="E85" i="21" s="1"/>
  <c r="E86" i="21" s="1"/>
  <c r="E87" i="21" s="1"/>
  <c r="E88" i="21" s="1"/>
  <c r="E89" i="21" s="1"/>
  <c r="E90" i="21" s="1"/>
  <c r="E91" i="21" s="1"/>
  <c r="E92" i="21" s="1"/>
  <c r="E93" i="21" s="1"/>
  <c r="E94" i="21" s="1"/>
  <c r="E95" i="21" s="1"/>
  <c r="E96" i="21" s="1"/>
  <c r="E97" i="21" s="1"/>
  <c r="E98" i="21" s="1"/>
  <c r="E99" i="21" s="1"/>
  <c r="E100" i="21" s="1"/>
  <c r="E101" i="21" s="1"/>
  <c r="E102" i="21" s="1"/>
  <c r="E103" i="21" s="1"/>
  <c r="E104" i="21" s="1"/>
  <c r="E105" i="21" s="1"/>
  <c r="E106" i="21" s="1"/>
  <c r="E107" i="21" s="1"/>
  <c r="E108" i="21" s="1"/>
  <c r="E109" i="21" s="1"/>
  <c r="E110" i="21" s="1"/>
  <c r="E306" i="21"/>
  <c r="E307" i="21" s="1"/>
  <c r="E195" i="21"/>
  <c r="E196" i="21" s="1"/>
  <c r="E197" i="21" s="1"/>
  <c r="E198" i="21" s="1"/>
  <c r="E199" i="21" s="1"/>
  <c r="E200" i="21" s="1"/>
  <c r="E201" i="21" s="1"/>
  <c r="E202" i="21" s="1"/>
  <c r="E203" i="21" s="1"/>
  <c r="E204" i="21" s="1"/>
  <c r="E205" i="21" s="1"/>
  <c r="E206" i="21" s="1"/>
  <c r="E207" i="21" s="1"/>
  <c r="E208" i="21" s="1"/>
  <c r="E209" i="21" s="1"/>
  <c r="E210" i="21" s="1"/>
  <c r="E211" i="21" s="1"/>
  <c r="E212" i="21" s="1"/>
  <c r="E213" i="21" s="1"/>
  <c r="E214" i="21" s="1"/>
  <c r="E215" i="21" s="1"/>
  <c r="E216" i="21" s="1"/>
  <c r="E217" i="21" s="1"/>
  <c r="E218" i="21" s="1"/>
  <c r="E219" i="21" s="1"/>
  <c r="E220" i="21" s="1"/>
  <c r="E221" i="21" s="1"/>
  <c r="E6" i="21"/>
  <c r="D37" i="21"/>
  <c r="D370" i="21"/>
  <c r="E340" i="21"/>
  <c r="E341" i="21" s="1"/>
  <c r="E342" i="21" s="1"/>
  <c r="E343" i="21" s="1"/>
  <c r="E344" i="21" s="1"/>
  <c r="E345" i="21" s="1"/>
  <c r="E346" i="21" s="1"/>
  <c r="E347" i="21" s="1"/>
  <c r="E348" i="21" s="1"/>
  <c r="E349" i="21" s="1"/>
  <c r="E350" i="21" s="1"/>
  <c r="E351" i="21" s="1"/>
  <c r="E352" i="21" s="1"/>
  <c r="E353" i="21" s="1"/>
  <c r="E354" i="21" s="1"/>
  <c r="E355" i="21" s="1"/>
  <c r="E356" i="21" s="1"/>
  <c r="E357" i="21" s="1"/>
  <c r="E358" i="21" s="1"/>
  <c r="E359" i="21" s="1"/>
  <c r="E360" i="21" s="1"/>
  <c r="E361" i="21" s="1"/>
  <c r="E362" i="21" s="1"/>
  <c r="E363" i="21" s="1"/>
  <c r="E364" i="21" s="1"/>
  <c r="E365" i="21" s="1"/>
  <c r="E366" i="21" s="1"/>
  <c r="E367" i="21" s="1"/>
  <c r="E368" i="21" s="1"/>
  <c r="E369" i="21" s="1"/>
  <c r="O4" i="19"/>
  <c r="E120" i="21"/>
  <c r="E121" i="21" s="1"/>
  <c r="E122" i="21" s="1"/>
  <c r="E123" i="21" s="1"/>
  <c r="E124" i="21" s="1"/>
  <c r="E125" i="21" s="1"/>
  <c r="E126" i="21" s="1"/>
  <c r="E127" i="21" s="1"/>
  <c r="E128" i="21" s="1"/>
  <c r="E129" i="21" s="1"/>
  <c r="E130" i="21" s="1"/>
  <c r="E131" i="21" s="1"/>
  <c r="E132" i="21" s="1"/>
  <c r="E133" i="21" s="1"/>
  <c r="E134" i="21" s="1"/>
  <c r="E135" i="21" s="1"/>
  <c r="E136" i="21" s="1"/>
  <c r="E137" i="21" s="1"/>
  <c r="E138" i="21" s="1"/>
  <c r="E139" i="21" s="1"/>
  <c r="E140" i="21" s="1"/>
  <c r="E141" i="21" s="1"/>
  <c r="E142" i="21" s="1"/>
  <c r="E143" i="21" s="1"/>
  <c r="E144" i="21" s="1"/>
  <c r="E145" i="21" s="1"/>
  <c r="E146" i="21" s="1"/>
  <c r="E147" i="21" s="1"/>
  <c r="D185" i="21"/>
  <c r="C154" i="21"/>
  <c r="C155" i="21" s="1"/>
  <c r="C156" i="21" s="1"/>
  <c r="C157" i="21" s="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71" i="21" s="1"/>
  <c r="C172" i="21" s="1"/>
  <c r="C173" i="21" s="1"/>
  <c r="C174" i="21" s="1"/>
  <c r="C175" i="21" s="1"/>
  <c r="C176" i="21" s="1"/>
  <c r="C177" i="21" s="1"/>
  <c r="C178" i="21" s="1"/>
  <c r="C179" i="21" s="1"/>
  <c r="C180" i="21" s="1"/>
  <c r="C181" i="21" s="1"/>
  <c r="C182" i="21" s="1"/>
  <c r="C183" i="21" s="1"/>
  <c r="C184" i="21" s="1"/>
  <c r="B185" i="21"/>
  <c r="B370" i="21"/>
  <c r="C339" i="21"/>
  <c r="C340" i="21" s="1"/>
  <c r="C341" i="21" s="1"/>
  <c r="C342" i="21" s="1"/>
  <c r="C343" i="21" s="1"/>
  <c r="C344" i="21" s="1"/>
  <c r="C345" i="21" s="1"/>
  <c r="C346" i="21" s="1"/>
  <c r="C347" i="21" s="1"/>
  <c r="C348" i="21" s="1"/>
  <c r="C349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B222" i="21"/>
  <c r="C191" i="21"/>
  <c r="C192" i="21" s="1"/>
  <c r="C193" i="21" s="1"/>
  <c r="C194" i="21" s="1"/>
  <c r="C195" i="21" s="1"/>
  <c r="C196" i="21" s="1"/>
  <c r="C197" i="21" s="1"/>
  <c r="C198" i="21" s="1"/>
  <c r="C199" i="21" s="1"/>
  <c r="C200" i="21" s="1"/>
  <c r="C201" i="21" s="1"/>
  <c r="C202" i="21" s="1"/>
  <c r="C203" i="21" s="1"/>
  <c r="C204" i="21" s="1"/>
  <c r="C205" i="21" s="1"/>
  <c r="C206" i="21" s="1"/>
  <c r="C207" i="21" s="1"/>
  <c r="C208" i="21" s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437" i="21"/>
  <c r="C438" i="21" s="1"/>
  <c r="C439" i="21" s="1"/>
  <c r="C440" i="21" s="1"/>
  <c r="C441" i="21" s="1"/>
  <c r="C442" i="21" s="1"/>
  <c r="C443" i="21" s="1"/>
  <c r="C7" i="21"/>
  <c r="C8" i="21" s="1"/>
  <c r="C9" i="21" s="1"/>
  <c r="C10" i="21" s="1"/>
  <c r="C11" i="21" s="1"/>
  <c r="C12" i="21" s="1"/>
  <c r="C13" i="21" s="1"/>
  <c r="C14" i="21" s="1"/>
  <c r="C15" i="21" s="1"/>
  <c r="C16" i="21" s="1"/>
  <c r="C17" i="21" s="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B37" i="21"/>
  <c r="C6" i="21"/>
  <c r="B74" i="21"/>
  <c r="C43" i="2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C73" i="21" s="1"/>
  <c r="B333" i="21"/>
  <c r="C302" i="21"/>
  <c r="C303" i="21" s="1"/>
  <c r="C304" i="21" s="1"/>
  <c r="C305" i="21" s="1"/>
  <c r="C306" i="21" s="1"/>
  <c r="C307" i="21" s="1"/>
  <c r="C308" i="21" s="1"/>
  <c r="C309" i="21" s="1"/>
  <c r="C310" i="21" s="1"/>
  <c r="C311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28" i="21" s="1"/>
  <c r="C329" i="21" s="1"/>
  <c r="C330" i="21" s="1"/>
  <c r="C331" i="21" s="1"/>
  <c r="C332" i="21" s="1"/>
  <c r="O3" i="19"/>
  <c r="C228" i="21"/>
  <c r="C229" i="21" s="1"/>
  <c r="C230" i="21" s="1"/>
  <c r="C231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B259" i="21"/>
  <c r="B444" i="21"/>
  <c r="Q34" i="18" l="1"/>
  <c r="O43" i="19"/>
</calcChain>
</file>

<file path=xl/sharedStrings.xml><?xml version="1.0" encoding="utf-8"?>
<sst xmlns="http://schemas.openxmlformats.org/spreadsheetml/2006/main" count="2876" uniqueCount="133">
  <si>
    <t>⚙ 出面表設定</t>
  </si>
  <si>
    <t>📅 複数年 祝日リスト</t>
  </si>
  <si>
    <t>対象年度</t>
  </si>
  <si>
    <t>例: 2026</t>
  </si>
  <si>
    <t>日付</t>
  </si>
  <si>
    <t>祝日名</t>
  </si>
  <si>
    <t>年</t>
  </si>
  <si>
    <t>開始月</t>
  </si>
  <si>
    <t>例: 1</t>
  </si>
  <si>
    <t>元日</t>
  </si>
  <si>
    <t>月数</t>
  </si>
  <si>
    <t>例: 12</t>
  </si>
  <si>
    <t>成人の日</t>
  </si>
  <si>
    <t>最大社員数</t>
  </si>
  <si>
    <t>予備枠含む（現在30名まで対応）</t>
  </si>
  <si>
    <t>建国記念の日</t>
  </si>
  <si>
    <t>会社名</t>
  </si>
  <si>
    <t>有限会社 水越設備</t>
  </si>
  <si>
    <t>天皇誕生日</t>
  </si>
  <si>
    <t>代表者</t>
  </si>
  <si>
    <t>水越 誠</t>
  </si>
  <si>
    <t>春分の日</t>
  </si>
  <si>
    <t>昭和の日</t>
  </si>
  <si>
    <t>憲法記念日</t>
  </si>
  <si>
    <t>📘 使い方</t>
  </si>
  <si>
    <t>みどりの日</t>
  </si>
  <si>
    <t>①</t>
  </si>
  <si>
    <t>社員の追加・削除は「従業員マスタ」で行います。名前を書くだけで各月シートに自動反映。</t>
  </si>
  <si>
    <t>こどもの日</t>
  </si>
  <si>
    <t>②</t>
  </si>
  <si>
    <t>現場の追加・削除は「現場マスタ」で行います。プルダウンに即反映。</t>
  </si>
  <si>
    <t>振替休日</t>
  </si>
  <si>
    <t>③</t>
  </si>
  <si>
    <t>各月シート（1月〜12月）で出勤・現場・残業・遅刻早退を入力します。</t>
  </si>
  <si>
    <t>海の日</t>
  </si>
  <si>
    <t>④</t>
  </si>
  <si>
    <t>「個人別出勤簿」で社員と月を選ぶと、印刷用レイアウトが自動表示されます。</t>
  </si>
  <si>
    <t>山の日</t>
  </si>
  <si>
    <t>⑤</t>
  </si>
  <si>
    <t>「全社員一括印刷」で全員分を一度に印刷できます（1人1ページ）。</t>
  </si>
  <si>
    <t>敬老の日</t>
  </si>
  <si>
    <t>⑥</t>
  </si>
  <si>
    <t>「年間集計」と「現場別集計」で一年の状況が一目で分かります。</t>
  </si>
  <si>
    <t>国民の休日</t>
  </si>
  <si>
    <t>💡 年度変更について</t>
  </si>
  <si>
    <t>秋分の日</t>
  </si>
  <si>
    <t>「対象年度」のセル（C3）を変更すると、全シートが自動で切り替わります。</t>
  </si>
  <si>
    <t>スポーツの日</t>
  </si>
  <si>
    <t>祝日リストは 2026〜2030年 を事前登録済です。</t>
  </si>
  <si>
    <t>文化の日</t>
  </si>
  <si>
    <t>年度を変更する前に、その年度のデータを別ファイルにバックアップしてください。</t>
  </si>
  <si>
    <t>勤労感謝の日</t>
  </si>
  <si>
    <r>
      <rPr>
        <sz val="10"/>
        <color rgb="FF000000"/>
        <rFont val="Yu Gothic"/>
        <family val="3"/>
        <charset val="128"/>
      </rPr>
      <t>2031</t>
    </r>
    <r>
      <rPr>
        <sz val="10"/>
        <color rgb="FF000000"/>
        <rFont val="Noto Sans CJK SC"/>
        <family val="2"/>
      </rPr>
      <t>年以降を使う場合は、</t>
    </r>
    <r>
      <rPr>
        <sz val="10"/>
        <color rgb="FF000000"/>
        <rFont val="Yu Gothic"/>
        <family val="3"/>
        <charset val="128"/>
      </rPr>
      <t>F</t>
    </r>
    <r>
      <rPr>
        <sz val="10"/>
        <color rgb="FF000000"/>
        <rFont val="Noto Sans CJK SC"/>
        <family val="2"/>
      </rPr>
      <t>列の祝日リストに追加してください。</t>
    </r>
  </si>
  <si>
    <t>👥 従業員マスタ</t>
  </si>
  <si>
    <t>No.</t>
  </si>
  <si>
    <t>氏名</t>
  </si>
  <si>
    <t>役職</t>
  </si>
  <si>
    <t>備考</t>
  </si>
  <si>
    <t>代表取締役</t>
  </si>
  <si>
    <t>🏗 現場マスタ</t>
  </si>
  <si>
    <t>現場名</t>
  </si>
  <si>
    <t>新宿</t>
  </si>
  <si>
    <t>渋谷</t>
  </si>
  <si>
    <t>事務所</t>
  </si>
  <si>
    <t>有給</t>
  </si>
  <si>
    <t>休業</t>
  </si>
  <si>
    <t>日</t>
  </si>
  <si>
    <t>曜</t>
  </si>
  <si>
    <t>祝</t>
  </si>
  <si>
    <t>日勤現場</t>
  </si>
  <si>
    <t>夜勤現場</t>
  </si>
  <si>
    <t>出勤</t>
  </si>
  <si>
    <t>夜勤</t>
  </si>
  <si>
    <t>残業h</t>
  </si>
  <si>
    <t>出勤日数</t>
  </si>
  <si>
    <t>夜勤日数</t>
  </si>
  <si>
    <t>総日数</t>
  </si>
  <si>
    <t>残業時間</t>
  </si>
  <si>
    <t>出勤簿（Time Sheet）</t>
  </si>
  <si>
    <t>対象年月</t>
  </si>
  <si>
    <t>氏 名</t>
  </si>
  <si>
    <t>月を選択→</t>
  </si>
  <si>
    <t>月</t>
  </si>
  <si>
    <t>社印</t>
  </si>
  <si>
    <t>管理者印</t>
  </si>
  <si>
    <t>本人印</t>
  </si>
  <si>
    <t>提出日</t>
  </si>
  <si>
    <t>集計</t>
  </si>
  <si>
    <t>📄 全社員一括印刷（月を選んでから印刷）</t>
  </si>
  <si>
    <t>対象月</t>
  </si>
  <si>
    <t>認 印</t>
  </si>
  <si>
    <t>社　印</t>
  </si>
  <si>
    <t>月 別 総 日 数</t>
  </si>
  <si>
    <t>年 間 集 計</t>
  </si>
  <si>
    <r>
      <rPr>
        <b/>
        <sz val="10"/>
        <color rgb="FFFFFFFF"/>
        <rFont val="Yu Gothic"/>
        <family val="3"/>
        <charset val="128"/>
      </rPr>
      <t>1</t>
    </r>
    <r>
      <rPr>
        <b/>
        <sz val="10"/>
        <color rgb="FFFFFFFF"/>
        <rFont val="Noto Sans CJK SC"/>
        <family val="2"/>
      </rPr>
      <t>月</t>
    </r>
  </si>
  <si>
    <r>
      <rPr>
        <b/>
        <sz val="10"/>
        <color rgb="FFFFFFFF"/>
        <rFont val="Yu Gothic"/>
        <family val="3"/>
        <charset val="128"/>
      </rPr>
      <t>2</t>
    </r>
    <r>
      <rPr>
        <b/>
        <sz val="10"/>
        <color rgb="FFFFFFFF"/>
        <rFont val="Noto Sans CJK SC"/>
        <family val="2"/>
      </rPr>
      <t>月</t>
    </r>
  </si>
  <si>
    <r>
      <rPr>
        <b/>
        <sz val="10"/>
        <color rgb="FFFFFFFF"/>
        <rFont val="Yu Gothic"/>
        <family val="3"/>
        <charset val="128"/>
      </rPr>
      <t>3</t>
    </r>
    <r>
      <rPr>
        <b/>
        <sz val="10"/>
        <color rgb="FFFFFFFF"/>
        <rFont val="Noto Sans CJK SC"/>
        <family val="2"/>
      </rPr>
      <t>月</t>
    </r>
  </si>
  <si>
    <r>
      <rPr>
        <b/>
        <sz val="10"/>
        <color rgb="FFFFFFFF"/>
        <rFont val="Yu Gothic"/>
        <family val="3"/>
        <charset val="128"/>
      </rPr>
      <t>4</t>
    </r>
    <r>
      <rPr>
        <b/>
        <sz val="10"/>
        <color rgb="FFFFFFFF"/>
        <rFont val="Noto Sans CJK SC"/>
        <family val="2"/>
      </rPr>
      <t>月</t>
    </r>
  </si>
  <si>
    <r>
      <rPr>
        <b/>
        <sz val="10"/>
        <color rgb="FFFFFFFF"/>
        <rFont val="Yu Gothic"/>
        <family val="3"/>
        <charset val="128"/>
      </rPr>
      <t>5</t>
    </r>
    <r>
      <rPr>
        <b/>
        <sz val="10"/>
        <color rgb="FFFFFFFF"/>
        <rFont val="Noto Sans CJK SC"/>
        <family val="2"/>
      </rPr>
      <t>月</t>
    </r>
  </si>
  <si>
    <r>
      <rPr>
        <b/>
        <sz val="10"/>
        <color rgb="FFFFFFFF"/>
        <rFont val="Yu Gothic"/>
        <family val="3"/>
        <charset val="128"/>
      </rPr>
      <t>6</t>
    </r>
    <r>
      <rPr>
        <b/>
        <sz val="10"/>
        <color rgb="FFFFFFFF"/>
        <rFont val="Noto Sans CJK SC"/>
        <family val="2"/>
      </rPr>
      <t>月</t>
    </r>
  </si>
  <si>
    <r>
      <rPr>
        <b/>
        <sz val="10"/>
        <color rgb="FFFFFFFF"/>
        <rFont val="Yu Gothic"/>
        <family val="3"/>
        <charset val="128"/>
      </rPr>
      <t>7</t>
    </r>
    <r>
      <rPr>
        <b/>
        <sz val="10"/>
        <color rgb="FFFFFFFF"/>
        <rFont val="Noto Sans CJK SC"/>
        <family val="2"/>
      </rPr>
      <t>月</t>
    </r>
  </si>
  <si>
    <r>
      <rPr>
        <b/>
        <sz val="10"/>
        <color rgb="FFFFFFFF"/>
        <rFont val="Yu Gothic"/>
        <family val="3"/>
        <charset val="128"/>
      </rPr>
      <t>8</t>
    </r>
    <r>
      <rPr>
        <b/>
        <sz val="10"/>
        <color rgb="FFFFFFFF"/>
        <rFont val="Noto Sans CJK SC"/>
        <family val="2"/>
      </rPr>
      <t>月</t>
    </r>
  </si>
  <si>
    <r>
      <rPr>
        <b/>
        <sz val="10"/>
        <color rgb="FFFFFFFF"/>
        <rFont val="Yu Gothic"/>
        <family val="3"/>
        <charset val="128"/>
      </rPr>
      <t>9</t>
    </r>
    <r>
      <rPr>
        <b/>
        <sz val="10"/>
        <color rgb="FFFFFFFF"/>
        <rFont val="Noto Sans CJK SC"/>
        <family val="2"/>
      </rPr>
      <t>月</t>
    </r>
  </si>
  <si>
    <r>
      <rPr>
        <b/>
        <sz val="10"/>
        <color rgb="FFFFFFFF"/>
        <rFont val="Yu Gothic"/>
        <family val="3"/>
        <charset val="128"/>
      </rPr>
      <t>10</t>
    </r>
    <r>
      <rPr>
        <b/>
        <sz val="10"/>
        <color rgb="FFFFFFFF"/>
        <rFont val="Noto Sans CJK SC"/>
        <family val="2"/>
      </rPr>
      <t>月</t>
    </r>
  </si>
  <si>
    <r>
      <rPr>
        <b/>
        <sz val="10"/>
        <color rgb="FFFFFFFF"/>
        <rFont val="Yu Gothic"/>
        <family val="3"/>
        <charset val="128"/>
      </rPr>
      <t>11</t>
    </r>
    <r>
      <rPr>
        <b/>
        <sz val="10"/>
        <color rgb="FFFFFFFF"/>
        <rFont val="Noto Sans CJK SC"/>
        <family val="2"/>
      </rPr>
      <t>月</t>
    </r>
  </si>
  <si>
    <r>
      <rPr>
        <b/>
        <sz val="10"/>
        <color rgb="FFFFFFFF"/>
        <rFont val="Yu Gothic"/>
        <family val="3"/>
        <charset val="128"/>
      </rPr>
      <t>12</t>
    </r>
    <r>
      <rPr>
        <b/>
        <sz val="10"/>
        <color rgb="FFFFFFFF"/>
        <rFont val="Noto Sans CJK SC"/>
        <family val="2"/>
      </rPr>
      <t>月</t>
    </r>
  </si>
  <si>
    <t>年計</t>
  </si>
  <si>
    <t>在籍状況</t>
  </si>
  <si>
    <t>在籍</t>
  </si>
  <si>
    <t>退職</t>
  </si>
  <si>
    <t>日勤(人工)</t>
  </si>
  <si>
    <t>夜勤(人工)</t>
  </si>
  <si>
    <t>合計(人工)</t>
  </si>
  <si>
    <t>現場</t>
  </si>
  <si>
    <t>日人工</t>
  </si>
  <si>
    <t>全人工</t>
  </si>
  <si>
    <t>月計</t>
  </si>
  <si>
    <t>残業計</t>
  </si>
  <si>
    <t>(全社員合計時間)</t>
  </si>
  <si>
    <t>事務所</t>
    <rPh sb="0" eb="3">
      <t>ジムショ</t>
    </rPh>
    <phoneticPr fontId="43"/>
  </si>
  <si>
    <t>有給</t>
    <rPh sb="0" eb="2">
      <t>ユウキュウ</t>
    </rPh>
    <phoneticPr fontId="43"/>
  </si>
  <si>
    <t>取締役</t>
    <rPh sb="0" eb="3">
      <t>トリシマリヤク</t>
    </rPh>
    <phoneticPr fontId="43"/>
  </si>
  <si>
    <t>建設　太郎</t>
    <rPh sb="0" eb="2">
      <t>ケンセツ</t>
    </rPh>
    <rPh sb="3" eb="5">
      <t>タロウ</t>
    </rPh>
    <phoneticPr fontId="43"/>
  </si>
  <si>
    <t>配管　次郎</t>
    <rPh sb="0" eb="2">
      <t>ハイカン</t>
    </rPh>
    <rPh sb="3" eb="5">
      <t>ジロウ</t>
    </rPh>
    <phoneticPr fontId="43"/>
  </si>
  <si>
    <t>設備　一郎</t>
    <rPh sb="0" eb="2">
      <t>セツビ</t>
    </rPh>
    <rPh sb="3" eb="5">
      <t>イチロウ</t>
    </rPh>
    <phoneticPr fontId="43"/>
  </si>
  <si>
    <t>土木　三郎</t>
    <rPh sb="0" eb="2">
      <t>ドボク</t>
    </rPh>
    <rPh sb="3" eb="5">
      <t>サブロウ</t>
    </rPh>
    <phoneticPr fontId="43"/>
  </si>
  <si>
    <t>塗装　史郎</t>
    <rPh sb="0" eb="2">
      <t>トソウ</t>
    </rPh>
    <rPh sb="3" eb="5">
      <t>シロウ</t>
    </rPh>
    <phoneticPr fontId="43"/>
  </si>
  <si>
    <t>電工　五郎</t>
    <rPh sb="0" eb="2">
      <t>デンコウ</t>
    </rPh>
    <rPh sb="3" eb="5">
      <t>ゴロウ</t>
    </rPh>
    <phoneticPr fontId="43"/>
  </si>
  <si>
    <t>現場　花子</t>
    <rPh sb="0" eb="2">
      <t>ゲンバ</t>
    </rPh>
    <rPh sb="3" eb="5">
      <t>ハナコ</t>
    </rPh>
    <phoneticPr fontId="43"/>
  </si>
  <si>
    <t>新宿</t>
    <phoneticPr fontId="43"/>
  </si>
  <si>
    <t>赤坂</t>
    <rPh sb="0" eb="2">
      <t>アカサカ</t>
    </rPh>
    <phoneticPr fontId="43"/>
  </si>
  <si>
    <t>渋谷ヒカリエ</t>
    <phoneticPr fontId="43"/>
  </si>
  <si>
    <r>
      <rPr>
        <sz val="10"/>
        <color rgb="FF000000"/>
        <rFont val="ＭＳ ゴシック"/>
        <family val="3"/>
        <charset val="128"/>
      </rPr>
      <t>六本木</t>
    </r>
    <r>
      <rPr>
        <sz val="10"/>
        <color rgb="FF000000"/>
        <rFont val="Noto Sans CJK SC"/>
        <family val="3"/>
        <charset val="128"/>
      </rPr>
      <t>ヒルズ</t>
    </r>
    <rPh sb="0" eb="3">
      <t>ロッポンギ</t>
    </rPh>
    <phoneticPr fontId="4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</si>
</sst>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\(aaa\)"/>
    <numFmt numFmtId="177" formatCode="yyyy/m/d\(aaa\)"/>
  </numFmts>
  <fonts count="50">
    <font>
      <sz val="11"/>
      <color theme="1"/>
      <name val="Calibri"/>
      <family val="2"/>
      <charset val="1"/>
    </font>
    <font>
      <b/>
      <sz val="14"/>
      <color rgb="FFFFFFFF"/>
      <name val="Noto Sans CJK SC"/>
      <family val="2"/>
      <charset val="1"/>
    </font>
    <font>
      <b/>
      <sz val="11"/>
      <color rgb="FFFFFFFF"/>
      <name val="Noto Sans CJK SC"/>
      <family val="2"/>
      <charset val="1"/>
    </font>
    <font>
      <b/>
      <sz val="10"/>
      <color rgb="FF1C2D4A"/>
      <name val="Noto Sans CJK SC"/>
      <family val="2"/>
      <charset val="1"/>
    </font>
    <font>
      <b/>
      <sz val="10"/>
      <color rgb="FF1C2D4A"/>
      <name val="Yu Gothic"/>
      <family val="3"/>
      <charset val="128"/>
    </font>
    <font>
      <sz val="9"/>
      <color rgb="FF808080"/>
      <name val="Noto Sans CJK SC"/>
      <family val="2"/>
      <charset val="1"/>
    </font>
    <font>
      <b/>
      <sz val="10"/>
      <color rgb="FFFFFFFF"/>
      <name val="Noto Sans CJK SC"/>
      <family val="2"/>
      <charset val="1"/>
    </font>
    <font>
      <sz val="10"/>
      <color rgb="FFCC0000"/>
      <name val="Yu Gothic"/>
      <family val="3"/>
      <charset val="128"/>
    </font>
    <font>
      <sz val="10"/>
      <color rgb="FF000000"/>
      <name val="Noto Sans CJK SC"/>
      <family val="2"/>
      <charset val="1"/>
    </font>
    <font>
      <b/>
      <sz val="10"/>
      <color rgb="FF0033CC"/>
      <name val="Yu Gothic"/>
      <family val="3"/>
      <charset val="128"/>
    </font>
    <font>
      <b/>
      <sz val="12"/>
      <color rgb="FFFFFFFF"/>
      <name val="Noto Sans CJK SC"/>
      <family val="2"/>
      <charset val="1"/>
    </font>
    <font>
      <b/>
      <sz val="10"/>
      <color rgb="FF1F3864"/>
      <name val="Yu Gothic"/>
      <family val="3"/>
      <charset val="128"/>
    </font>
    <font>
      <sz val="10"/>
      <color rgb="FF000000"/>
      <name val="Yu Gothic"/>
      <family val="3"/>
      <charset val="128"/>
    </font>
    <font>
      <sz val="10"/>
      <color rgb="FF000000"/>
      <name val="Noto Sans CJK SC"/>
      <family val="2"/>
    </font>
    <font>
      <b/>
      <sz val="10"/>
      <color rgb="FFFFFFFF"/>
      <name val="Yu Gothic"/>
      <family val="3"/>
      <charset val="128"/>
    </font>
    <font>
      <b/>
      <sz val="10"/>
      <color rgb="FF000000"/>
      <name val="Yu Gothic"/>
      <family val="3"/>
      <charset val="128"/>
    </font>
    <font>
      <b/>
      <sz val="18"/>
      <color rgb="FFFFFFFF"/>
      <name val="Yu Gothic"/>
      <family val="3"/>
      <charset val="128"/>
    </font>
    <font>
      <b/>
      <sz val="11"/>
      <color rgb="FF1C2D4A"/>
      <name val="Yu Gothic"/>
      <family val="3"/>
      <charset val="128"/>
    </font>
    <font>
      <sz val="9"/>
      <color rgb="FF000000"/>
      <name val="Yu Gothic"/>
      <family val="3"/>
      <charset val="128"/>
    </font>
    <font>
      <b/>
      <sz val="9"/>
      <color rgb="FF1F3864"/>
      <name val="Yu Gothic"/>
      <family val="3"/>
      <charset val="128"/>
    </font>
    <font>
      <b/>
      <sz val="9"/>
      <color rgb="FF6B5B8C"/>
      <name val="Yu Gothic"/>
      <family val="3"/>
      <charset val="128"/>
    </font>
    <font>
      <sz val="9"/>
      <color rgb="FF000000"/>
      <name val="Noto Sans CJK SC"/>
      <family val="2"/>
      <charset val="1"/>
    </font>
    <font>
      <b/>
      <sz val="10"/>
      <color rgb="FF6B5B8C"/>
      <name val="Noto Sans CJK SC"/>
      <family val="2"/>
      <charset val="1"/>
    </font>
    <font>
      <b/>
      <sz val="10"/>
      <color rgb="FF6B5B8C"/>
      <name val="Yu Gothic"/>
      <family val="3"/>
      <charset val="128"/>
    </font>
    <font>
      <b/>
      <sz val="10"/>
      <color rgb="FF1F4E8C"/>
      <name val="Noto Sans CJK SC"/>
      <family val="2"/>
    </font>
    <font>
      <b/>
      <sz val="12"/>
      <color rgb="FF1F4E8C"/>
      <name val="Yu Gothic"/>
      <family val="3"/>
      <charset val="128"/>
    </font>
    <font>
      <b/>
      <sz val="10"/>
      <color rgb="FF5B8A5A"/>
      <name val="Noto Sans CJK SC"/>
      <family val="2"/>
      <charset val="1"/>
    </font>
    <font>
      <b/>
      <sz val="10"/>
      <color rgb="FF5B8A5A"/>
      <name val="Yu Gothic"/>
      <family val="3"/>
      <charset val="128"/>
    </font>
    <font>
      <b/>
      <sz val="10"/>
      <color rgb="FFB8504A"/>
      <name val="Noto Sans CJK SC"/>
      <family val="2"/>
      <charset val="1"/>
    </font>
    <font>
      <b/>
      <sz val="10"/>
      <color rgb="FFB8504A"/>
      <name val="Yu Gothic"/>
      <family val="3"/>
      <charset val="128"/>
    </font>
    <font>
      <b/>
      <sz val="10"/>
      <color rgb="FF000000"/>
      <name val="Noto Sans CJK SC"/>
      <family val="2"/>
      <charset val="1"/>
    </font>
    <font>
      <b/>
      <sz val="12"/>
      <color rgb="FF1C2D4A"/>
      <name val="Noto Sans CJK SC"/>
      <family val="2"/>
      <charset val="1"/>
    </font>
    <font>
      <b/>
      <sz val="9"/>
      <color rgb="FF000000"/>
      <name val="Noto Sans CJK SC"/>
      <family val="2"/>
      <charset val="1"/>
    </font>
    <font>
      <b/>
      <sz val="9"/>
      <color rgb="FF2C2C2C"/>
      <name val="Noto Sans CJK SC"/>
      <family val="2"/>
      <charset val="1"/>
    </font>
    <font>
      <b/>
      <sz val="12"/>
      <color rgb="FFFFFFFF"/>
      <name val="Yu Gothic"/>
      <family val="3"/>
      <charset val="128"/>
    </font>
    <font>
      <b/>
      <sz val="9"/>
      <color rgb="FF5B8A5A"/>
      <name val="Noto Sans CJK SC"/>
      <family val="2"/>
      <charset val="1"/>
    </font>
    <font>
      <b/>
      <sz val="9"/>
      <color rgb="FFB8504A"/>
      <name val="Noto Sans CJK SC"/>
      <family val="2"/>
      <charset val="1"/>
    </font>
    <font>
      <b/>
      <sz val="13"/>
      <color rgb="FFFFFFFF"/>
      <name val="Noto Sans CJK SC"/>
      <family val="2"/>
      <charset val="1"/>
    </font>
    <font>
      <b/>
      <sz val="12"/>
      <color rgb="FF1C2D4A"/>
      <name val="Yu Gothic"/>
      <family val="3"/>
      <charset val="128"/>
    </font>
    <font>
      <b/>
      <sz val="9"/>
      <color rgb="FFFFFFFF"/>
      <name val="Noto Sans CJK SC"/>
      <family val="2"/>
      <charset val="1"/>
    </font>
    <font>
      <b/>
      <sz val="14"/>
      <color rgb="FFFFFFFF"/>
      <name val="Yu Gothic"/>
      <family val="3"/>
      <charset val="128"/>
    </font>
    <font>
      <b/>
      <sz val="10"/>
      <color rgb="FFFFFFFF"/>
      <name val="Noto Sans CJK SC"/>
      <family val="2"/>
    </font>
    <font>
      <b/>
      <sz val="11"/>
      <color rgb="FFFFFFFF"/>
      <name val="Yu Gothic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9"/>
      <name val="Yu Gothic"/>
      <family val="3"/>
      <charset val="128"/>
    </font>
    <font>
      <sz val="10"/>
      <color theme="0" tint="-0.34998626667073579"/>
      <name val="Noto Sans CJK SC"/>
      <family val="2"/>
      <charset val="1"/>
    </font>
    <font>
      <sz val="11"/>
      <color rgb="FFFF0000"/>
      <name val="Calibri"/>
      <family val="2"/>
      <charset val="1"/>
    </font>
    <font>
      <sz val="10"/>
      <color rgb="FF000000"/>
      <name val="ＭＳ ゴシック"/>
      <family val="3"/>
      <charset val="128"/>
    </font>
    <font>
      <sz val="10"/>
      <color rgb="FF000000"/>
      <name val="Noto Sans CJK SC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1C2D4A"/>
        <bgColor rgb="FF1F3864"/>
      </patternFill>
    </fill>
    <fill>
      <patternFill patternType="solid">
        <fgColor rgb="FFF5F3EF"/>
        <bgColor rgb="FFEEEBE5"/>
      </patternFill>
    </fill>
    <fill>
      <patternFill patternType="solid">
        <fgColor rgb="FFF5ECD9"/>
        <bgColor rgb="FFEEEBE5"/>
      </patternFill>
    </fill>
    <fill>
      <patternFill patternType="solid">
        <fgColor rgb="FF2C3E5D"/>
        <bgColor rgb="FF1F3864"/>
      </patternFill>
    </fill>
    <fill>
      <patternFill patternType="solid">
        <fgColor rgb="FF4A6B8C"/>
        <bgColor rgb="FF606060"/>
      </patternFill>
    </fill>
    <fill>
      <patternFill patternType="solid">
        <fgColor rgb="FFB89968"/>
        <bgColor rgb="FFA89F8E"/>
      </patternFill>
    </fill>
    <fill>
      <patternFill patternType="solid">
        <fgColor rgb="FFFFF4B8"/>
        <bgColor rgb="FFF5ECD9"/>
      </patternFill>
    </fill>
    <fill>
      <patternFill patternType="solid">
        <fgColor rgb="FFD4CFC4"/>
        <bgColor rgb="FFDDE3D5"/>
      </patternFill>
    </fill>
    <fill>
      <patternFill patternType="solid">
        <fgColor rgb="FFA89F8E"/>
        <bgColor rgb="FFA0A0A0"/>
      </patternFill>
    </fill>
    <fill>
      <patternFill patternType="solid">
        <fgColor rgb="FFEEEBE5"/>
        <bgColor rgb="FFF5E8E8"/>
      </patternFill>
    </fill>
    <fill>
      <patternFill patternType="solid">
        <fgColor rgb="FFEDE4D8"/>
        <bgColor rgb="FFE8E3DB"/>
      </patternFill>
    </fill>
    <fill>
      <patternFill patternType="solid">
        <fgColor rgb="FFDDE3D5"/>
        <bgColor rgb="FFE8E3DB"/>
      </patternFill>
    </fill>
    <fill>
      <patternFill patternType="solid">
        <fgColor rgb="FFE8E3DB"/>
        <bgColor rgb="FFEDE4D8"/>
      </patternFill>
    </fill>
  </fills>
  <borders count="2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ck">
        <color rgb="FF1C2D4A"/>
      </bottom>
      <diagonal/>
    </border>
    <border>
      <left style="thick">
        <color rgb="FF1F3864"/>
      </left>
      <right style="thick">
        <color rgb="FF1F3864"/>
      </right>
      <top style="thick">
        <color rgb="FF1F3864"/>
      </top>
      <bottom style="thick">
        <color rgb="FF1C2D4A"/>
      </bottom>
      <diagonal/>
    </border>
    <border>
      <left style="thin">
        <color rgb="FF404040"/>
      </left>
      <right style="thin">
        <color rgb="FF404040"/>
      </right>
      <top style="thick">
        <color rgb="FF1C2D4A"/>
      </top>
      <bottom style="thick">
        <color rgb="FF1C2D4A"/>
      </bottom>
      <diagonal/>
    </border>
    <border>
      <left style="thick">
        <color rgb="FF1F3864"/>
      </left>
      <right style="thin">
        <color rgb="FF404040"/>
      </right>
      <top style="thick">
        <color rgb="FF1C2D4A"/>
      </top>
      <bottom style="thick">
        <color rgb="FF1C2D4A"/>
      </bottom>
      <diagonal/>
    </border>
    <border>
      <left style="thin">
        <color rgb="FF404040"/>
      </left>
      <right style="thick">
        <color rgb="FF1F3864"/>
      </right>
      <top style="thick">
        <color rgb="FF1C2D4A"/>
      </top>
      <bottom style="thick">
        <color rgb="FF1C2D4A"/>
      </bottom>
      <diagonal/>
    </border>
    <border>
      <left style="thin">
        <color rgb="FFA0A0A0"/>
      </left>
      <right style="thin">
        <color rgb="FFA0A0A0"/>
      </right>
      <top style="thick">
        <color rgb="FF1C2D4A"/>
      </top>
      <bottom style="thin">
        <color rgb="FFA0A0A0"/>
      </bottom>
      <diagonal/>
    </border>
    <border>
      <left style="thick">
        <color rgb="FF1F3864"/>
      </left>
      <right style="thin">
        <color rgb="FFA0A0A0"/>
      </right>
      <top style="thick">
        <color rgb="FF1C2D4A"/>
      </top>
      <bottom style="thin">
        <color rgb="FFA0A0A0"/>
      </bottom>
      <diagonal/>
    </border>
    <border>
      <left style="thin">
        <color rgb="FFA0A0A0"/>
      </left>
      <right style="thick">
        <color rgb="FF1F3864"/>
      </right>
      <top style="thick">
        <color rgb="FF1C2D4A"/>
      </top>
      <bottom style="thin">
        <color rgb="FFA0A0A0"/>
      </bottom>
      <diagonal/>
    </border>
    <border>
      <left style="thick">
        <color rgb="FF1F3864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ck">
        <color rgb="FF1F3864"/>
      </right>
      <top style="thin">
        <color rgb="FFA0A0A0"/>
      </top>
      <bottom style="thin">
        <color rgb="FFA0A0A0"/>
      </bottom>
      <diagonal/>
    </border>
    <border>
      <left style="thick">
        <color rgb="FF1F3864"/>
      </left>
      <right style="thin">
        <color rgb="FFA0A0A0"/>
      </right>
      <top style="thin">
        <color rgb="FFA0A0A0"/>
      </top>
      <bottom style="thick">
        <color rgb="FF1C2D4A"/>
      </bottom>
      <diagonal/>
    </border>
    <border>
      <left style="thin">
        <color rgb="FFA0A0A0"/>
      </left>
      <right style="thick">
        <color rgb="FF1F3864"/>
      </right>
      <top style="thin">
        <color rgb="FFA0A0A0"/>
      </top>
      <bottom style="thick">
        <color rgb="FF1C2D4A"/>
      </bottom>
      <diagonal/>
    </border>
    <border>
      <left style="thin">
        <color rgb="FF404040"/>
      </left>
      <right style="thin">
        <color rgb="FF404040"/>
      </right>
      <top style="thick">
        <color rgb="FF1C2D4A"/>
      </top>
      <bottom style="thin">
        <color rgb="FF404040"/>
      </bottom>
      <diagonal/>
    </border>
    <border>
      <left style="thick">
        <color rgb="FF1F3864"/>
      </left>
      <right style="thin">
        <color rgb="FF404040"/>
      </right>
      <top style="thick">
        <color rgb="FF1C2D4A"/>
      </top>
      <bottom style="thin">
        <color rgb="FF404040"/>
      </bottom>
      <diagonal/>
    </border>
    <border>
      <left style="thin">
        <color rgb="FF404040"/>
      </left>
      <right style="thin">
        <color rgb="FF404040"/>
      </right>
      <top style="thin">
        <color rgb="FF404040"/>
      </top>
      <bottom style="thin">
        <color rgb="FF404040"/>
      </bottom>
      <diagonal/>
    </border>
    <border>
      <left style="thick">
        <color rgb="FF1F3864"/>
      </left>
      <right style="thin">
        <color rgb="FF404040"/>
      </right>
      <top style="thin">
        <color rgb="FF404040"/>
      </top>
      <bottom style="thin">
        <color rgb="FF404040"/>
      </bottom>
      <diagonal/>
    </border>
    <border>
      <left style="thick">
        <color rgb="FF1F3864"/>
      </left>
      <right style="thin">
        <color rgb="FF404040"/>
      </right>
      <top style="thin">
        <color rgb="FF404040"/>
      </top>
      <bottom style="thick">
        <color rgb="FF1F3864"/>
      </bottom>
      <diagonal/>
    </border>
    <border>
      <left style="thin">
        <color rgb="FF606060"/>
      </left>
      <right style="thin">
        <color rgb="FF606060"/>
      </right>
      <top style="thin">
        <color rgb="FF606060"/>
      </top>
      <bottom style="thin">
        <color rgb="FF606060"/>
      </bottom>
      <diagonal/>
    </border>
    <border>
      <left style="medium">
        <color rgb="FF1F3864"/>
      </left>
      <right style="medium">
        <color rgb="FF1F3864"/>
      </right>
      <top style="medium">
        <color rgb="FF1F3864"/>
      </top>
      <bottom style="medium">
        <color rgb="FF1F3864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3" fillId="3" borderId="1" xfId="0" applyFont="1" applyFill="1" applyBorder="1"/>
    <xf numFmtId="0" fontId="4" fillId="4" borderId="1" xfId="0" applyFont="1" applyFill="1" applyBorder="1" applyAlignment="1">
      <alignment horizontal="center" vertical="center" wrapText="1"/>
    </xf>
    <xf numFmtId="0" fontId="5" fillId="0" borderId="0" xfId="0" applyFont="1"/>
    <xf numFmtId="176" fontId="6" fillId="5" borderId="2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177" fontId="7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indent="1"/>
    </xf>
    <xf numFmtId="0" fontId="9" fillId="0" borderId="2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77" fontId="7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15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8" borderId="3" xfId="0" applyFill="1" applyBorder="1"/>
    <xf numFmtId="0" fontId="3" fillId="9" borderId="5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11" borderId="8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20" fillId="11" borderId="8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11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0" fillId="11" borderId="2" xfId="0" applyFont="1" applyFill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11" borderId="3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11" borderId="3" xfId="0" applyFont="1" applyFill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11" borderId="2" xfId="0" applyFont="1" applyFill="1" applyBorder="1" applyAlignment="1">
      <alignment horizontal="center" vertical="center" wrapText="1"/>
    </xf>
    <xf numFmtId="0" fontId="21" fillId="11" borderId="3" xfId="0" applyFont="1" applyFill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30" fillId="13" borderId="20" xfId="0" applyFont="1" applyFill="1" applyBorder="1" applyAlignment="1">
      <alignment horizontal="center" vertical="center" wrapText="1"/>
    </xf>
    <xf numFmtId="0" fontId="32" fillId="3" borderId="20" xfId="0" applyFont="1" applyFill="1" applyBorder="1" applyAlignment="1">
      <alignment horizontal="right" vertical="center"/>
    </xf>
    <xf numFmtId="0" fontId="17" fillId="3" borderId="20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left" vertical="center"/>
    </xf>
    <xf numFmtId="0" fontId="32" fillId="14" borderId="20" xfId="0" applyFont="1" applyFill="1" applyBorder="1" applyAlignment="1">
      <alignment horizontal="center" vertical="center" wrapText="1"/>
    </xf>
    <xf numFmtId="0" fontId="0" fillId="3" borderId="20" xfId="0" applyFill="1" applyBorder="1"/>
    <xf numFmtId="0" fontId="3" fillId="9" borderId="20" xfId="0" applyFont="1" applyFill="1" applyBorder="1" applyAlignment="1">
      <alignment horizontal="center" vertical="center" wrapText="1"/>
    </xf>
    <xf numFmtId="0" fontId="6" fillId="10" borderId="20" xfId="0" applyFont="1" applyFill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8" fillId="11" borderId="20" xfId="0" applyFont="1" applyFill="1" applyBorder="1" applyAlignment="1">
      <alignment horizontal="center" vertical="center" wrapText="1"/>
    </xf>
    <xf numFmtId="0" fontId="20" fillId="11" borderId="20" xfId="0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33" fillId="12" borderId="20" xfId="0" applyFont="1" applyFill="1" applyBorder="1" applyAlignment="1">
      <alignment horizontal="center" vertical="center" wrapText="1"/>
    </xf>
    <xf numFmtId="0" fontId="4" fillId="12" borderId="20" xfId="0" applyFont="1" applyFill="1" applyBorder="1" applyAlignment="1">
      <alignment horizontal="center" vertical="center" wrapText="1"/>
    </xf>
    <xf numFmtId="0" fontId="33" fillId="11" borderId="20" xfId="0" applyFont="1" applyFill="1" applyBorder="1" applyAlignment="1">
      <alignment horizontal="center" vertical="center" wrapText="1"/>
    </xf>
    <xf numFmtId="0" fontId="23" fillId="11" borderId="20" xfId="0" applyFont="1" applyFill="1" applyBorder="1" applyAlignment="1">
      <alignment horizontal="center" vertical="center" wrapText="1"/>
    </xf>
    <xf numFmtId="0" fontId="6" fillId="7" borderId="20" xfId="0" applyFont="1" applyFill="1" applyBorder="1" applyAlignment="1">
      <alignment horizontal="center" vertical="center" wrapText="1"/>
    </xf>
    <xf numFmtId="0" fontId="34" fillId="7" borderId="20" xfId="0" applyFont="1" applyFill="1" applyBorder="1" applyAlignment="1">
      <alignment horizontal="center" vertical="center" wrapText="1"/>
    </xf>
    <xf numFmtId="0" fontId="35" fillId="12" borderId="20" xfId="0" applyFont="1" applyFill="1" applyBorder="1" applyAlignment="1">
      <alignment horizontal="center" vertical="center" wrapText="1"/>
    </xf>
    <xf numFmtId="0" fontId="27" fillId="12" borderId="20" xfId="0" applyFont="1" applyFill="1" applyBorder="1" applyAlignment="1">
      <alignment horizontal="center" vertical="center" wrapText="1"/>
    </xf>
    <xf numFmtId="0" fontId="36" fillId="12" borderId="20" xfId="0" applyFont="1" applyFill="1" applyBorder="1" applyAlignment="1">
      <alignment horizontal="center" vertical="center" wrapText="1"/>
    </xf>
    <xf numFmtId="0" fontId="29" fillId="12" borderId="20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 wrapText="1"/>
    </xf>
    <xf numFmtId="0" fontId="38" fillId="3" borderId="20" xfId="0" applyFont="1" applyFill="1" applyBorder="1" applyAlignment="1">
      <alignment horizontal="center" vertical="center" wrapText="1"/>
    </xf>
    <xf numFmtId="0" fontId="39" fillId="5" borderId="20" xfId="0" applyFont="1" applyFill="1" applyBorder="1" applyAlignment="1">
      <alignment horizontal="center" vertical="center" wrapText="1"/>
    </xf>
    <xf numFmtId="0" fontId="0" fillId="14" borderId="20" xfId="0" applyFill="1" applyBorder="1"/>
    <xf numFmtId="0" fontId="14" fillId="5" borderId="20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left" vertical="center" indent="1"/>
    </xf>
    <xf numFmtId="0" fontId="4" fillId="3" borderId="20" xfId="0" applyFont="1" applyFill="1" applyBorder="1" applyAlignment="1">
      <alignment horizontal="center" vertical="center" wrapText="1"/>
    </xf>
    <xf numFmtId="0" fontId="42" fillId="7" borderId="20" xfId="0" applyFont="1" applyFill="1" applyBorder="1" applyAlignment="1">
      <alignment horizontal="center" vertical="center" wrapText="1"/>
    </xf>
    <xf numFmtId="0" fontId="27" fillId="3" borderId="20" xfId="0" applyFont="1" applyFill="1" applyBorder="1" applyAlignment="1">
      <alignment horizontal="center" vertical="center" wrapText="1"/>
    </xf>
    <xf numFmtId="0" fontId="29" fillId="3" borderId="20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5" fillId="0" borderId="1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9" fillId="3" borderId="1" xfId="0" applyFont="1" applyFill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8" fillId="3" borderId="1" xfId="0" applyFont="1" applyFill="1" applyBorder="1" applyAlignment="1">
      <alignment horizontal="left" vertical="center"/>
    </xf>
    <xf numFmtId="0" fontId="16" fillId="2" borderId="0" xfId="0" applyFont="1" applyFill="1" applyAlignment="1">
      <alignment horizontal="center" vertical="center"/>
    </xf>
    <xf numFmtId="0" fontId="17" fillId="8" borderId="4" xfId="0" applyFont="1" applyFill="1" applyBorder="1" applyAlignment="1">
      <alignment horizontal="center" vertical="center" wrapText="1"/>
    </xf>
    <xf numFmtId="0" fontId="3" fillId="12" borderId="15" xfId="0" applyFont="1" applyFill="1" applyBorder="1" applyAlignment="1">
      <alignment horizontal="center" vertical="center" wrapText="1"/>
    </xf>
    <xf numFmtId="0" fontId="4" fillId="12" borderId="16" xfId="0" applyFont="1" applyFill="1" applyBorder="1" applyAlignment="1">
      <alignment horizontal="center" vertical="center" wrapText="1"/>
    </xf>
    <xf numFmtId="0" fontId="22" fillId="12" borderId="17" xfId="0" applyFont="1" applyFill="1" applyBorder="1" applyAlignment="1">
      <alignment horizontal="center" vertical="center" wrapText="1"/>
    </xf>
    <xf numFmtId="0" fontId="23" fillId="12" borderId="18" xfId="0" applyFont="1" applyFill="1" applyBorder="1" applyAlignment="1">
      <alignment horizontal="center" vertical="center" wrapText="1"/>
    </xf>
    <xf numFmtId="0" fontId="24" fillId="7" borderId="17" xfId="0" applyFont="1" applyFill="1" applyBorder="1" applyAlignment="1">
      <alignment horizontal="center" vertical="center" wrapText="1"/>
    </xf>
    <xf numFmtId="0" fontId="25" fillId="7" borderId="18" xfId="0" applyFont="1" applyFill="1" applyBorder="1" applyAlignment="1">
      <alignment horizontal="center" vertical="center" wrapText="1"/>
    </xf>
    <xf numFmtId="0" fontId="3" fillId="12" borderId="17" xfId="0" applyFont="1" applyFill="1" applyBorder="1" applyAlignment="1">
      <alignment horizontal="center" vertical="center" wrapText="1"/>
    </xf>
    <xf numFmtId="0" fontId="4" fillId="12" borderId="18" xfId="0" applyFont="1" applyFill="1" applyBorder="1" applyAlignment="1">
      <alignment horizontal="center" vertical="center" wrapText="1"/>
    </xf>
    <xf numFmtId="0" fontId="26" fillId="12" borderId="17" xfId="0" applyFont="1" applyFill="1" applyBorder="1" applyAlignment="1">
      <alignment horizontal="center" vertical="center" wrapText="1"/>
    </xf>
    <xf numFmtId="0" fontId="27" fillId="12" borderId="18" xfId="0" applyFont="1" applyFill="1" applyBorder="1" applyAlignment="1">
      <alignment horizontal="center" vertical="center" wrapText="1"/>
    </xf>
    <xf numFmtId="0" fontId="28" fillId="12" borderId="17" xfId="0" applyFont="1" applyFill="1" applyBorder="1" applyAlignment="1">
      <alignment horizontal="center" vertical="center" wrapText="1"/>
    </xf>
    <xf numFmtId="0" fontId="29" fillId="12" borderId="19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8" fillId="0" borderId="0" xfId="0" applyFont="1"/>
    <xf numFmtId="0" fontId="12" fillId="0" borderId="0" xfId="0" applyFont="1"/>
    <xf numFmtId="0" fontId="10" fillId="7" borderId="0" xfId="0" applyFont="1" applyFill="1" applyAlignment="1">
      <alignment horizontal="center" vertical="center" wrapText="1"/>
    </xf>
    <xf numFmtId="0" fontId="0" fillId="3" borderId="20" xfId="0" applyFill="1" applyBorder="1"/>
    <xf numFmtId="0" fontId="6" fillId="5" borderId="20" xfId="0" applyFont="1" applyFill="1" applyBorder="1" applyAlignment="1">
      <alignment horizontal="center" vertical="center" wrapText="1"/>
    </xf>
    <xf numFmtId="0" fontId="0" fillId="12" borderId="20" xfId="0" applyFill="1" applyBorder="1"/>
    <xf numFmtId="0" fontId="30" fillId="0" borderId="0" xfId="0" applyFont="1" applyAlignment="1">
      <alignment horizontal="right" vertical="center"/>
    </xf>
    <xf numFmtId="0" fontId="17" fillId="13" borderId="20" xfId="0" applyFont="1" applyFill="1" applyBorder="1" applyAlignment="1">
      <alignment horizontal="center" vertical="center" wrapText="1"/>
    </xf>
    <xf numFmtId="0" fontId="31" fillId="13" borderId="20" xfId="0" applyFont="1" applyFill="1" applyBorder="1" applyAlignment="1">
      <alignment horizontal="center" vertical="center" wrapText="1"/>
    </xf>
    <xf numFmtId="0" fontId="32" fillId="3" borderId="20" xfId="0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center" vertical="center" wrapText="1"/>
    </xf>
    <xf numFmtId="0" fontId="11" fillId="3" borderId="20" xfId="0" applyFont="1" applyFill="1" applyBorder="1" applyAlignment="1">
      <alignment horizontal="left" vertical="center" indent="1"/>
    </xf>
    <xf numFmtId="0" fontId="32" fillId="14" borderId="20" xfId="0" applyFont="1" applyFill="1" applyBorder="1" applyAlignment="1">
      <alignment horizontal="center" vertical="center" wrapText="1"/>
    </xf>
    <xf numFmtId="0" fontId="0" fillId="2" borderId="21" xfId="0" applyFill="1" applyBorder="1"/>
    <xf numFmtId="0" fontId="40" fillId="2" borderId="0" xfId="0" applyFont="1" applyFill="1" applyAlignment="1">
      <alignment horizontal="center" vertical="center" wrapText="1"/>
    </xf>
    <xf numFmtId="0" fontId="14" fillId="5" borderId="20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14" fillId="2" borderId="21" xfId="0" applyFont="1" applyFill="1" applyBorder="1"/>
    <xf numFmtId="0" fontId="3" fillId="3" borderId="20" xfId="0" applyFont="1" applyFill="1" applyBorder="1" applyAlignment="1">
      <alignment horizontal="left" vertical="center" indent="1"/>
    </xf>
    <xf numFmtId="0" fontId="47" fillId="3" borderId="1" xfId="0" applyFont="1" applyFill="1" applyBorder="1" applyAlignment="1">
      <alignment horizontal="left" vertical="center"/>
    </xf>
  </cellXfs>
  <cellStyles count="1">
    <cellStyle name="標準" xfId="0" builtinId="0"/>
  </cellStyles>
  <dxfs count="821"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5B8A5A"/>
        <name val="Yu Gothic"/>
        <charset val="1"/>
      </font>
    </dxf>
    <dxf>
      <font>
        <b/>
        <color rgb="FFB8504A"/>
        <name val="Yu Gothic"/>
        <charset val="1"/>
      </font>
    </dxf>
    <dxf>
      <font>
        <color rgb="FF2C2C2C"/>
        <name val="Yu Gothic"/>
        <charset val="1"/>
      </font>
      <fill>
        <patternFill>
          <bgColor rgb="FFF5E8E8"/>
        </patternFill>
      </fill>
    </dxf>
    <dxf>
      <font>
        <color rgb="FF2C2C2C"/>
        <name val="Yu Gothic"/>
        <charset val="1"/>
      </font>
      <fill>
        <patternFill>
          <bgColor rgb="FFE8EEF5"/>
        </patternFill>
      </fill>
    </dxf>
    <dxf>
      <font>
        <color rgb="FF2C2C2C"/>
        <name val="Yu Gothic"/>
        <charset val="1"/>
      </font>
      <fill>
        <patternFill>
          <bgColor rgb="FFF5E8E8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33CC"/>
      <rgbColor rgb="FFFFFF00"/>
      <rgbColor rgb="FFFF00FF"/>
      <rgbColor rgb="FF00FFFF"/>
      <rgbColor rgb="FF800000"/>
      <rgbColor rgb="FF008000"/>
      <rgbColor rgb="FF000080"/>
      <rgbColor rgb="FF606060"/>
      <rgbColor rgb="FF800080"/>
      <rgbColor rgb="FF008080"/>
      <rgbColor rgb="FFD4CFC4"/>
      <rgbColor rgb="FF808080"/>
      <rgbColor rgb="FFA89F8E"/>
      <rgbColor rgb="FFB8504A"/>
      <rgbColor rgb="FFFFF4B8"/>
      <rgbColor rgb="FFE8EEF5"/>
      <rgbColor rgb="FF660066"/>
      <rgbColor rgb="FFB89968"/>
      <rgbColor rgb="FF1F4E8C"/>
      <rgbColor rgb="FFE8E3DB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5F3EF"/>
      <rgbColor rgb="FFDDE3D5"/>
      <rgbColor rgb="FFF5ECD9"/>
      <rgbColor rgb="FFEEEBE5"/>
      <rgbColor rgb="FFF5E8E8"/>
      <rgbColor rgb="FFCC99FF"/>
      <rgbColor rgb="FFEDE4D8"/>
      <rgbColor rgb="FF4A6B8C"/>
      <rgbColor rgb="FF33CCCC"/>
      <rgbColor rgb="FF99CC00"/>
      <rgbColor rgb="FFFFCC00"/>
      <rgbColor rgb="FFFF9900"/>
      <rgbColor rgb="FFFF6600"/>
      <rgbColor rgb="FF6B5B8C"/>
      <rgbColor rgb="FFA0A0A0"/>
      <rgbColor rgb="FF1F3864"/>
      <rgbColor rgb="FF5B8A5A"/>
      <rgbColor rgb="FF1C2D4A"/>
      <rgbColor rgb="FF404040"/>
      <rgbColor rgb="FF993300"/>
      <rgbColor rgb="FF993366"/>
      <rgbColor rgb="FF2C3E5D"/>
      <rgbColor rgb="FF2C2C2C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100"/>
  <sheetViews>
    <sheetView topLeftCell="A7" zoomScaleNormal="100" workbookViewId="0"/>
  </sheetViews>
  <sheetFormatPr defaultColWidth="8.7109375" defaultRowHeight="15"/>
  <cols>
    <col min="1" max="1" width="2" customWidth="1"/>
    <col min="2" max="2" width="18" customWidth="1"/>
    <col min="3" max="3" width="28" customWidth="1"/>
    <col min="4" max="4" width="60" customWidth="1"/>
    <col min="6" max="6" width="14" customWidth="1"/>
    <col min="7" max="7" width="18" customWidth="1"/>
    <col min="8" max="8" width="8" customWidth="1"/>
  </cols>
  <sheetData>
    <row r="2" spans="2:8" ht="21.75" customHeight="1">
      <c r="B2" s="105" t="s">
        <v>0</v>
      </c>
      <c r="C2" s="105"/>
      <c r="D2" s="105"/>
      <c r="F2" s="106" t="s">
        <v>1</v>
      </c>
      <c r="G2" s="106"/>
      <c r="H2" s="106"/>
    </row>
    <row r="3" spans="2:8" ht="21.75" customHeight="1">
      <c r="B3" s="1" t="s">
        <v>2</v>
      </c>
      <c r="C3" s="2">
        <v>2026</v>
      </c>
      <c r="D3" s="3" t="s">
        <v>3</v>
      </c>
      <c r="F3" s="4" t="s">
        <v>4</v>
      </c>
      <c r="G3" s="5" t="s">
        <v>5</v>
      </c>
      <c r="H3" s="5" t="s">
        <v>6</v>
      </c>
    </row>
    <row r="4" spans="2:8" ht="21.75" customHeight="1">
      <c r="B4" s="1" t="s">
        <v>7</v>
      </c>
      <c r="C4" s="2">
        <v>1</v>
      </c>
      <c r="D4" s="3" t="s">
        <v>8</v>
      </c>
      <c r="F4" s="6">
        <v>46023</v>
      </c>
      <c r="G4" s="7" t="s">
        <v>9</v>
      </c>
      <c r="H4" s="8">
        <v>2026</v>
      </c>
    </row>
    <row r="5" spans="2:8" ht="21.75" customHeight="1">
      <c r="B5" s="1" t="s">
        <v>10</v>
      </c>
      <c r="C5" s="2">
        <v>12</v>
      </c>
      <c r="D5" s="3" t="s">
        <v>11</v>
      </c>
      <c r="F5" s="6">
        <v>46034</v>
      </c>
      <c r="G5" s="7" t="s">
        <v>12</v>
      </c>
      <c r="H5" s="8">
        <v>2026</v>
      </c>
    </row>
    <row r="6" spans="2:8" ht="21.75" customHeight="1">
      <c r="B6" s="1" t="s">
        <v>13</v>
      </c>
      <c r="C6" s="2">
        <v>30</v>
      </c>
      <c r="D6" s="3" t="s">
        <v>14</v>
      </c>
      <c r="F6" s="6">
        <v>46064</v>
      </c>
      <c r="G6" s="7" t="s">
        <v>15</v>
      </c>
      <c r="H6" s="8">
        <v>2026</v>
      </c>
    </row>
    <row r="7" spans="2:8" ht="21.75" customHeight="1">
      <c r="B7" s="1" t="s">
        <v>16</v>
      </c>
      <c r="C7" s="9" t="s">
        <v>17</v>
      </c>
      <c r="D7" s="3"/>
      <c r="F7" s="6">
        <v>46076</v>
      </c>
      <c r="G7" s="7" t="s">
        <v>18</v>
      </c>
      <c r="H7" s="8">
        <v>2026</v>
      </c>
    </row>
    <row r="8" spans="2:8" ht="21.75" customHeight="1">
      <c r="B8" s="1" t="s">
        <v>19</v>
      </c>
      <c r="C8" s="9" t="s">
        <v>20</v>
      </c>
      <c r="D8" s="3"/>
      <c r="F8" s="6">
        <v>46101</v>
      </c>
      <c r="G8" s="7" t="s">
        <v>21</v>
      </c>
      <c r="H8" s="8">
        <v>2026</v>
      </c>
    </row>
    <row r="9" spans="2:8" ht="21.75" customHeight="1">
      <c r="F9" s="6">
        <v>46141</v>
      </c>
      <c r="G9" s="7" t="s">
        <v>22</v>
      </c>
      <c r="H9" s="8">
        <v>2026</v>
      </c>
    </row>
    <row r="10" spans="2:8" ht="21.75" customHeight="1">
      <c r="F10" s="6">
        <v>46145</v>
      </c>
      <c r="G10" s="7" t="s">
        <v>23</v>
      </c>
      <c r="H10" s="8">
        <v>2026</v>
      </c>
    </row>
    <row r="11" spans="2:8" ht="21.75" customHeight="1">
      <c r="B11" s="107" t="s">
        <v>24</v>
      </c>
      <c r="C11" s="107"/>
      <c r="D11" s="107"/>
      <c r="F11" s="6">
        <v>46146</v>
      </c>
      <c r="G11" s="7" t="s">
        <v>25</v>
      </c>
      <c r="H11" s="8">
        <v>2026</v>
      </c>
    </row>
    <row r="12" spans="2:8" ht="21.75" customHeight="1">
      <c r="B12" s="10" t="s">
        <v>26</v>
      </c>
      <c r="C12" s="108" t="s">
        <v>27</v>
      </c>
      <c r="D12" s="108"/>
      <c r="F12" s="6">
        <v>46147</v>
      </c>
      <c r="G12" s="7" t="s">
        <v>28</v>
      </c>
      <c r="H12" s="8">
        <v>2026</v>
      </c>
    </row>
    <row r="13" spans="2:8" ht="21.75" customHeight="1">
      <c r="B13" s="10" t="s">
        <v>29</v>
      </c>
      <c r="C13" s="108" t="s">
        <v>30</v>
      </c>
      <c r="D13" s="108"/>
      <c r="F13" s="6">
        <v>46148</v>
      </c>
      <c r="G13" s="7" t="s">
        <v>31</v>
      </c>
      <c r="H13" s="8">
        <v>2026</v>
      </c>
    </row>
    <row r="14" spans="2:8" ht="21.75" customHeight="1">
      <c r="B14" s="10" t="s">
        <v>32</v>
      </c>
      <c r="C14" s="108" t="s">
        <v>33</v>
      </c>
      <c r="D14" s="108"/>
      <c r="F14" s="6">
        <v>46223</v>
      </c>
      <c r="G14" s="7" t="s">
        <v>34</v>
      </c>
      <c r="H14" s="8">
        <v>2026</v>
      </c>
    </row>
    <row r="15" spans="2:8" ht="21.75" customHeight="1">
      <c r="B15" s="10" t="s">
        <v>35</v>
      </c>
      <c r="C15" s="108" t="s">
        <v>36</v>
      </c>
      <c r="D15" s="108"/>
      <c r="F15" s="6">
        <v>46245</v>
      </c>
      <c r="G15" s="7" t="s">
        <v>37</v>
      </c>
      <c r="H15" s="8">
        <v>2026</v>
      </c>
    </row>
    <row r="16" spans="2:8" ht="21.75" customHeight="1">
      <c r="B16" s="10" t="s">
        <v>38</v>
      </c>
      <c r="C16" s="108" t="s">
        <v>39</v>
      </c>
      <c r="D16" s="108"/>
      <c r="F16" s="6">
        <v>46286</v>
      </c>
      <c r="G16" s="7" t="s">
        <v>40</v>
      </c>
      <c r="H16" s="8">
        <v>2026</v>
      </c>
    </row>
    <row r="17" spans="2:8" ht="21.75" customHeight="1">
      <c r="B17" s="10" t="s">
        <v>41</v>
      </c>
      <c r="C17" s="108" t="s">
        <v>42</v>
      </c>
      <c r="D17" s="108"/>
      <c r="F17" s="6">
        <v>46287</v>
      </c>
      <c r="G17" s="7" t="s">
        <v>43</v>
      </c>
      <c r="H17" s="8">
        <v>2026</v>
      </c>
    </row>
    <row r="18" spans="2:8" ht="21.75" customHeight="1">
      <c r="B18" s="110" t="s">
        <v>44</v>
      </c>
      <c r="C18" s="110"/>
      <c r="D18" s="110"/>
      <c r="F18" s="6">
        <v>46288</v>
      </c>
      <c r="G18" s="7" t="s">
        <v>45</v>
      </c>
      <c r="H18" s="8">
        <v>2026</v>
      </c>
    </row>
    <row r="19" spans="2:8" ht="21.75" customHeight="1">
      <c r="B19" s="10" t="s">
        <v>26</v>
      </c>
      <c r="C19" s="108" t="s">
        <v>46</v>
      </c>
      <c r="D19" s="108"/>
      <c r="F19" s="6">
        <v>46307</v>
      </c>
      <c r="G19" s="7" t="s">
        <v>47</v>
      </c>
      <c r="H19" s="8">
        <v>2026</v>
      </c>
    </row>
    <row r="20" spans="2:8" ht="15" customHeight="1">
      <c r="B20" s="10" t="s">
        <v>29</v>
      </c>
      <c r="C20" s="108" t="s">
        <v>48</v>
      </c>
      <c r="D20" s="108"/>
      <c r="F20" s="6">
        <v>46329</v>
      </c>
      <c r="G20" s="7" t="s">
        <v>49</v>
      </c>
      <c r="H20" s="8">
        <v>2026</v>
      </c>
    </row>
    <row r="21" spans="2:8" ht="23.25" customHeight="1">
      <c r="B21" s="10" t="s">
        <v>32</v>
      </c>
      <c r="C21" s="108" t="s">
        <v>50</v>
      </c>
      <c r="D21" s="108"/>
      <c r="F21" s="6">
        <v>46349</v>
      </c>
      <c r="G21" s="7" t="s">
        <v>51</v>
      </c>
      <c r="H21" s="8">
        <v>2026</v>
      </c>
    </row>
    <row r="22" spans="2:8" ht="23.25" customHeight="1">
      <c r="B22" s="10" t="s">
        <v>35</v>
      </c>
      <c r="C22" s="109" t="s">
        <v>52</v>
      </c>
      <c r="D22" s="109"/>
      <c r="F22" s="6">
        <v>46388</v>
      </c>
      <c r="G22" s="7" t="s">
        <v>9</v>
      </c>
      <c r="H22" s="8">
        <v>2027</v>
      </c>
    </row>
    <row r="23" spans="2:8" ht="23.25" customHeight="1">
      <c r="F23" s="6">
        <v>46398</v>
      </c>
      <c r="G23" s="7" t="s">
        <v>12</v>
      </c>
      <c r="H23" s="8">
        <v>2027</v>
      </c>
    </row>
    <row r="24" spans="2:8" ht="23.25" customHeight="1">
      <c r="F24" s="6">
        <v>46429</v>
      </c>
      <c r="G24" s="7" t="s">
        <v>15</v>
      </c>
      <c r="H24" s="8">
        <v>2027</v>
      </c>
    </row>
    <row r="25" spans="2:8" ht="23.25" customHeight="1">
      <c r="F25" s="6">
        <v>46441</v>
      </c>
      <c r="G25" s="7" t="s">
        <v>18</v>
      </c>
      <c r="H25" s="8">
        <v>2027</v>
      </c>
    </row>
    <row r="26" spans="2:8" ht="23.25" customHeight="1">
      <c r="F26" s="6">
        <v>46467</v>
      </c>
      <c r="G26" s="7" t="s">
        <v>21</v>
      </c>
      <c r="H26" s="8">
        <v>2027</v>
      </c>
    </row>
    <row r="27" spans="2:8" ht="23.25" customHeight="1">
      <c r="F27" s="6">
        <v>46468</v>
      </c>
      <c r="G27" s="7" t="s">
        <v>31</v>
      </c>
      <c r="H27" s="8">
        <v>2027</v>
      </c>
    </row>
    <row r="28" spans="2:8" ht="23.25" customHeight="1">
      <c r="F28" s="6">
        <v>46506</v>
      </c>
      <c r="G28" s="7" t="s">
        <v>22</v>
      </c>
      <c r="H28" s="8">
        <v>2027</v>
      </c>
    </row>
    <row r="29" spans="2:8" ht="23.25" customHeight="1">
      <c r="F29" s="6">
        <v>46510</v>
      </c>
      <c r="G29" s="7" t="s">
        <v>23</v>
      </c>
      <c r="H29" s="8">
        <v>2027</v>
      </c>
    </row>
    <row r="30" spans="2:8" ht="23.25" customHeight="1">
      <c r="F30" s="6">
        <v>46511</v>
      </c>
      <c r="G30" s="7" t="s">
        <v>25</v>
      </c>
      <c r="H30" s="8">
        <v>2027</v>
      </c>
    </row>
    <row r="31" spans="2:8" ht="23.25" customHeight="1">
      <c r="F31" s="6">
        <v>46512</v>
      </c>
      <c r="G31" s="7" t="s">
        <v>28</v>
      </c>
      <c r="H31" s="8">
        <v>2027</v>
      </c>
    </row>
    <row r="32" spans="2:8" ht="23.25" customHeight="1">
      <c r="F32" s="6">
        <v>46587</v>
      </c>
      <c r="G32" s="7" t="s">
        <v>34</v>
      </c>
      <c r="H32" s="8">
        <v>2027</v>
      </c>
    </row>
    <row r="33" spans="6:8" ht="23.25" customHeight="1">
      <c r="F33" s="6">
        <v>46610</v>
      </c>
      <c r="G33" s="7" t="s">
        <v>37</v>
      </c>
      <c r="H33" s="8">
        <v>2027</v>
      </c>
    </row>
    <row r="34" spans="6:8" ht="23.25" customHeight="1">
      <c r="F34" s="6">
        <v>46650</v>
      </c>
      <c r="G34" s="7" t="s">
        <v>40</v>
      </c>
      <c r="H34" s="8">
        <v>2027</v>
      </c>
    </row>
    <row r="35" spans="6:8" ht="23.25" customHeight="1">
      <c r="F35" s="6">
        <v>46653</v>
      </c>
      <c r="G35" s="7" t="s">
        <v>45</v>
      </c>
      <c r="H35" s="8">
        <v>2027</v>
      </c>
    </row>
    <row r="36" spans="6:8" ht="23.25" customHeight="1">
      <c r="F36" s="6">
        <v>46671</v>
      </c>
      <c r="G36" s="7" t="s">
        <v>47</v>
      </c>
      <c r="H36" s="8">
        <v>2027</v>
      </c>
    </row>
    <row r="37" spans="6:8" ht="23.25" customHeight="1">
      <c r="F37" s="6">
        <v>46694</v>
      </c>
      <c r="G37" s="7" t="s">
        <v>49</v>
      </c>
      <c r="H37" s="8">
        <v>2027</v>
      </c>
    </row>
    <row r="38" spans="6:8" ht="23.25" customHeight="1">
      <c r="F38" s="6">
        <v>46714</v>
      </c>
      <c r="G38" s="7" t="s">
        <v>51</v>
      </c>
      <c r="H38" s="8">
        <v>2027</v>
      </c>
    </row>
    <row r="39" spans="6:8" ht="23.25" customHeight="1">
      <c r="F39" s="6">
        <v>46753</v>
      </c>
      <c r="G39" s="7" t="s">
        <v>9</v>
      </c>
      <c r="H39" s="8">
        <v>2028</v>
      </c>
    </row>
    <row r="40" spans="6:8" ht="23.25" customHeight="1">
      <c r="F40" s="6">
        <v>46762</v>
      </c>
      <c r="G40" s="7" t="s">
        <v>12</v>
      </c>
      <c r="H40" s="8">
        <v>2028</v>
      </c>
    </row>
    <row r="41" spans="6:8" ht="23.25" customHeight="1">
      <c r="F41" s="6">
        <v>46794</v>
      </c>
      <c r="G41" s="7" t="s">
        <v>15</v>
      </c>
      <c r="H41" s="8">
        <v>2028</v>
      </c>
    </row>
    <row r="42" spans="6:8" ht="23.25" customHeight="1">
      <c r="F42" s="6">
        <v>46806</v>
      </c>
      <c r="G42" s="7" t="s">
        <v>18</v>
      </c>
      <c r="H42" s="8">
        <v>2028</v>
      </c>
    </row>
    <row r="43" spans="6:8" ht="23.25" customHeight="1">
      <c r="F43" s="6">
        <v>46832</v>
      </c>
      <c r="G43" s="7" t="s">
        <v>21</v>
      </c>
      <c r="H43" s="8">
        <v>2028</v>
      </c>
    </row>
    <row r="44" spans="6:8" ht="15" customHeight="1">
      <c r="F44" s="6">
        <v>46872</v>
      </c>
      <c r="G44" s="7" t="s">
        <v>22</v>
      </c>
      <c r="H44" s="8">
        <v>2028</v>
      </c>
    </row>
    <row r="45" spans="6:8" ht="23.25" customHeight="1">
      <c r="F45" s="6">
        <v>46876</v>
      </c>
      <c r="G45" s="7" t="s">
        <v>23</v>
      </c>
      <c r="H45" s="8">
        <v>2028</v>
      </c>
    </row>
    <row r="46" spans="6:8" ht="15" customHeight="1">
      <c r="F46" s="6">
        <v>46877</v>
      </c>
      <c r="G46" s="7" t="s">
        <v>25</v>
      </c>
      <c r="H46" s="8">
        <v>2028</v>
      </c>
    </row>
    <row r="47" spans="6:8" ht="15" customHeight="1">
      <c r="F47" s="6">
        <v>46878</v>
      </c>
      <c r="G47" s="7" t="s">
        <v>28</v>
      </c>
      <c r="H47" s="8">
        <v>2028</v>
      </c>
    </row>
    <row r="48" spans="6:8" ht="23.25" customHeight="1">
      <c r="F48" s="6">
        <v>46951</v>
      </c>
      <c r="G48" s="7" t="s">
        <v>34</v>
      </c>
      <c r="H48" s="8">
        <v>2028</v>
      </c>
    </row>
    <row r="49" spans="6:8" ht="15" customHeight="1">
      <c r="F49" s="6">
        <v>46976</v>
      </c>
      <c r="G49" s="7" t="s">
        <v>37</v>
      </c>
      <c r="H49" s="8">
        <v>2028</v>
      </c>
    </row>
    <row r="50" spans="6:8" ht="23.25" customHeight="1">
      <c r="F50" s="6">
        <v>47014</v>
      </c>
      <c r="G50" s="7" t="s">
        <v>40</v>
      </c>
      <c r="H50" s="8">
        <v>2028</v>
      </c>
    </row>
    <row r="51" spans="6:8" ht="15" customHeight="1">
      <c r="F51" s="6">
        <v>47018</v>
      </c>
      <c r="G51" s="7" t="s">
        <v>45</v>
      </c>
      <c r="H51" s="8">
        <v>2028</v>
      </c>
    </row>
    <row r="52" spans="6:8" ht="23.25" customHeight="1">
      <c r="F52" s="6">
        <v>47035</v>
      </c>
      <c r="G52" s="7" t="s">
        <v>47</v>
      </c>
      <c r="H52" s="8">
        <v>2028</v>
      </c>
    </row>
    <row r="53" spans="6:8" ht="15" customHeight="1">
      <c r="F53" s="6">
        <v>47060</v>
      </c>
      <c r="G53" s="7" t="s">
        <v>49</v>
      </c>
      <c r="H53" s="8">
        <v>2028</v>
      </c>
    </row>
    <row r="54" spans="6:8" ht="15" customHeight="1">
      <c r="F54" s="6">
        <v>47080</v>
      </c>
      <c r="G54" s="7" t="s">
        <v>51</v>
      </c>
      <c r="H54" s="8">
        <v>2028</v>
      </c>
    </row>
    <row r="55" spans="6:8" ht="15" customHeight="1">
      <c r="F55" s="11">
        <v>47119</v>
      </c>
      <c r="G55" s="7" t="s">
        <v>9</v>
      </c>
      <c r="H55" s="12">
        <v>2029</v>
      </c>
    </row>
    <row r="56" spans="6:8" ht="15" customHeight="1">
      <c r="F56" s="11">
        <v>47126</v>
      </c>
      <c r="G56" s="7" t="s">
        <v>12</v>
      </c>
      <c r="H56" s="12">
        <v>2029</v>
      </c>
    </row>
    <row r="57" spans="6:8" ht="15" customHeight="1">
      <c r="F57" s="11">
        <v>47160</v>
      </c>
      <c r="G57" s="7" t="s">
        <v>15</v>
      </c>
      <c r="H57" s="12">
        <v>2029</v>
      </c>
    </row>
    <row r="58" spans="6:8" ht="15" customHeight="1">
      <c r="F58" s="11">
        <v>47161</v>
      </c>
      <c r="G58" s="7" t="s">
        <v>31</v>
      </c>
      <c r="H58" s="12">
        <v>2029</v>
      </c>
    </row>
    <row r="59" spans="6:8" ht="15" customHeight="1">
      <c r="F59" s="11">
        <v>47172</v>
      </c>
      <c r="G59" s="7" t="s">
        <v>18</v>
      </c>
      <c r="H59" s="12">
        <v>2029</v>
      </c>
    </row>
    <row r="60" spans="6:8" ht="15" customHeight="1">
      <c r="F60" s="11">
        <v>47197</v>
      </c>
      <c r="G60" s="7" t="s">
        <v>21</v>
      </c>
      <c r="H60" s="12">
        <v>2029</v>
      </c>
    </row>
    <row r="61" spans="6:8" ht="15" customHeight="1">
      <c r="F61" s="11">
        <v>47237</v>
      </c>
      <c r="G61" s="7" t="s">
        <v>22</v>
      </c>
      <c r="H61" s="12">
        <v>2029</v>
      </c>
    </row>
    <row r="62" spans="6:8" ht="15" customHeight="1">
      <c r="F62" s="11">
        <v>47238</v>
      </c>
      <c r="G62" s="7" t="s">
        <v>31</v>
      </c>
      <c r="H62" s="12">
        <v>2029</v>
      </c>
    </row>
    <row r="63" spans="6:8" ht="15" customHeight="1">
      <c r="F63" s="11">
        <v>47241</v>
      </c>
      <c r="G63" s="7" t="s">
        <v>23</v>
      </c>
      <c r="H63" s="12">
        <v>2029</v>
      </c>
    </row>
    <row r="64" spans="6:8" ht="15" customHeight="1">
      <c r="F64" s="11">
        <v>47242</v>
      </c>
      <c r="G64" s="7" t="s">
        <v>25</v>
      </c>
      <c r="H64" s="12">
        <v>2029</v>
      </c>
    </row>
    <row r="65" spans="6:8" ht="15" customHeight="1">
      <c r="F65" s="11">
        <v>47243</v>
      </c>
      <c r="G65" s="7" t="s">
        <v>28</v>
      </c>
      <c r="H65" s="12">
        <v>2029</v>
      </c>
    </row>
    <row r="66" spans="6:8" ht="15" customHeight="1">
      <c r="F66" s="11">
        <v>47315</v>
      </c>
      <c r="G66" s="7" t="s">
        <v>34</v>
      </c>
      <c r="H66" s="12">
        <v>2029</v>
      </c>
    </row>
    <row r="67" spans="6:8" ht="15" customHeight="1">
      <c r="F67" s="11">
        <v>47341</v>
      </c>
      <c r="G67" s="7" t="s">
        <v>37</v>
      </c>
      <c r="H67" s="12">
        <v>2029</v>
      </c>
    </row>
    <row r="68" spans="6:8" ht="15" customHeight="1">
      <c r="F68" s="11">
        <v>47378</v>
      </c>
      <c r="G68" s="7" t="s">
        <v>40</v>
      </c>
      <c r="H68" s="12">
        <v>2029</v>
      </c>
    </row>
    <row r="69" spans="6:8" ht="15" customHeight="1">
      <c r="F69" s="11">
        <v>47384</v>
      </c>
      <c r="G69" s="7" t="s">
        <v>45</v>
      </c>
      <c r="H69" s="12">
        <v>2029</v>
      </c>
    </row>
    <row r="70" spans="6:8" ht="15" customHeight="1">
      <c r="F70" s="11">
        <v>47385</v>
      </c>
      <c r="G70" s="7" t="s">
        <v>31</v>
      </c>
      <c r="H70" s="12">
        <v>2029</v>
      </c>
    </row>
    <row r="71" spans="6:8" ht="15" customHeight="1">
      <c r="F71" s="11">
        <v>47399</v>
      </c>
      <c r="G71" s="7" t="s">
        <v>47</v>
      </c>
      <c r="H71" s="12">
        <v>2029</v>
      </c>
    </row>
    <row r="72" spans="6:8" ht="15" customHeight="1">
      <c r="F72" s="11">
        <v>47425</v>
      </c>
      <c r="G72" s="7" t="s">
        <v>49</v>
      </c>
      <c r="H72" s="12">
        <v>2029</v>
      </c>
    </row>
    <row r="73" spans="6:8" ht="15" customHeight="1">
      <c r="F73" s="11">
        <v>47445</v>
      </c>
      <c r="G73" s="7" t="s">
        <v>51</v>
      </c>
      <c r="H73" s="12">
        <v>2029</v>
      </c>
    </row>
    <row r="74" spans="6:8" ht="15" customHeight="1">
      <c r="F74" s="11">
        <v>47484</v>
      </c>
      <c r="G74" s="7" t="s">
        <v>9</v>
      </c>
      <c r="H74" s="12">
        <v>2030</v>
      </c>
    </row>
    <row r="75" spans="6:8" ht="15" customHeight="1">
      <c r="F75" s="11">
        <v>47497</v>
      </c>
      <c r="G75" s="7" t="s">
        <v>12</v>
      </c>
      <c r="H75" s="12">
        <v>2030</v>
      </c>
    </row>
    <row r="76" spans="6:8" ht="15" customHeight="1">
      <c r="F76" s="11">
        <v>47525</v>
      </c>
      <c r="G76" s="7" t="s">
        <v>15</v>
      </c>
      <c r="H76" s="12">
        <v>2030</v>
      </c>
    </row>
    <row r="77" spans="6:8" ht="15" customHeight="1">
      <c r="F77" s="11">
        <v>47537</v>
      </c>
      <c r="G77" s="7" t="s">
        <v>18</v>
      </c>
      <c r="H77" s="12">
        <v>2030</v>
      </c>
    </row>
    <row r="78" spans="6:8" ht="15" customHeight="1">
      <c r="F78" s="11">
        <v>47562</v>
      </c>
      <c r="G78" s="7" t="s">
        <v>21</v>
      </c>
      <c r="H78" s="12">
        <v>2030</v>
      </c>
    </row>
    <row r="79" spans="6:8" ht="15" customHeight="1">
      <c r="F79" s="11">
        <v>47602</v>
      </c>
      <c r="G79" s="7" t="s">
        <v>22</v>
      </c>
      <c r="H79" s="12">
        <v>2030</v>
      </c>
    </row>
    <row r="80" spans="6:8" ht="15" customHeight="1">
      <c r="F80" s="11">
        <v>47606</v>
      </c>
      <c r="G80" s="7" t="s">
        <v>23</v>
      </c>
      <c r="H80" s="12">
        <v>2030</v>
      </c>
    </row>
    <row r="81" spans="6:8" ht="15" customHeight="1">
      <c r="F81" s="11">
        <v>47607</v>
      </c>
      <c r="G81" s="7" t="s">
        <v>25</v>
      </c>
      <c r="H81" s="12">
        <v>2030</v>
      </c>
    </row>
    <row r="82" spans="6:8" ht="15" customHeight="1">
      <c r="F82" s="11">
        <v>47608</v>
      </c>
      <c r="G82" s="7" t="s">
        <v>28</v>
      </c>
      <c r="H82" s="12">
        <v>2030</v>
      </c>
    </row>
    <row r="83" spans="6:8" ht="15" customHeight="1">
      <c r="F83" s="11">
        <v>47609</v>
      </c>
      <c r="G83" s="7" t="s">
        <v>31</v>
      </c>
      <c r="H83" s="12">
        <v>2030</v>
      </c>
    </row>
    <row r="84" spans="6:8" ht="15" customHeight="1">
      <c r="F84" s="11">
        <v>47679</v>
      </c>
      <c r="G84" s="7" t="s">
        <v>34</v>
      </c>
      <c r="H84" s="12">
        <v>2030</v>
      </c>
    </row>
    <row r="85" spans="6:8" ht="15" customHeight="1">
      <c r="F85" s="11">
        <v>47706</v>
      </c>
      <c r="G85" s="7" t="s">
        <v>37</v>
      </c>
      <c r="H85" s="12">
        <v>2030</v>
      </c>
    </row>
    <row r="86" spans="6:8" ht="15" customHeight="1">
      <c r="F86" s="11">
        <v>47707</v>
      </c>
      <c r="G86" s="7" t="s">
        <v>31</v>
      </c>
      <c r="H86" s="12">
        <v>2030</v>
      </c>
    </row>
    <row r="87" spans="6:8" ht="15" customHeight="1">
      <c r="F87" s="11">
        <v>47742</v>
      </c>
      <c r="G87" s="7" t="s">
        <v>40</v>
      </c>
      <c r="H87" s="12">
        <v>2030</v>
      </c>
    </row>
    <row r="88" spans="6:8" ht="15" customHeight="1">
      <c r="F88" s="11">
        <v>47749</v>
      </c>
      <c r="G88" s="7" t="s">
        <v>45</v>
      </c>
      <c r="H88" s="12">
        <v>2030</v>
      </c>
    </row>
    <row r="89" spans="6:8" ht="15" customHeight="1">
      <c r="F89" s="11">
        <v>47770</v>
      </c>
      <c r="G89" s="7" t="s">
        <v>47</v>
      </c>
      <c r="H89" s="12">
        <v>2030</v>
      </c>
    </row>
    <row r="90" spans="6:8" ht="15" customHeight="1">
      <c r="F90" s="11">
        <v>47790</v>
      </c>
      <c r="G90" s="7" t="s">
        <v>49</v>
      </c>
      <c r="H90" s="12">
        <v>2030</v>
      </c>
    </row>
    <row r="91" spans="6:8" ht="15" customHeight="1">
      <c r="F91" s="11">
        <v>47791</v>
      </c>
      <c r="G91" s="7" t="s">
        <v>31</v>
      </c>
      <c r="H91" s="12">
        <v>2030</v>
      </c>
    </row>
    <row r="92" spans="6:8" ht="15" customHeight="1">
      <c r="F92" s="11">
        <v>47810</v>
      </c>
      <c r="G92" s="7" t="s">
        <v>51</v>
      </c>
      <c r="H92" s="12">
        <v>2030</v>
      </c>
    </row>
    <row r="93" spans="6:8" ht="15" customHeight="1"/>
    <row r="94" spans="6:8" ht="15" customHeight="1"/>
    <row r="95" spans="6:8" ht="15" customHeight="1"/>
    <row r="96" spans="6:8" ht="15" customHeight="1"/>
    <row r="97" ht="15" customHeight="1"/>
    <row r="98" ht="15" customHeight="1"/>
    <row r="99" ht="15" customHeight="1"/>
    <row r="100" ht="15" customHeight="1"/>
  </sheetData>
  <mergeCells count="14">
    <mergeCell ref="C19:D19"/>
    <mergeCell ref="C20:D20"/>
    <mergeCell ref="C21:D21"/>
    <mergeCell ref="C22:D22"/>
    <mergeCell ref="C14:D14"/>
    <mergeCell ref="C15:D15"/>
    <mergeCell ref="C16:D16"/>
    <mergeCell ref="C17:D17"/>
    <mergeCell ref="B18:D18"/>
    <mergeCell ref="B2:D2"/>
    <mergeCell ref="F2:H2"/>
    <mergeCell ref="B11:D11"/>
    <mergeCell ref="C12:D12"/>
    <mergeCell ref="C13:D13"/>
  </mergeCells>
  <phoneticPr fontId="43"/>
  <pageMargins left="0.75" right="0.75" top="1" bottom="1" header="0.511811023622047" footer="0.511811023622047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W4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7月分　出面表　"</f>
        <v xml:space="preserve"> 2026年 7月分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IFERROR(IF(従業員マスタ!$C$4="","",対象年度&amp;"年7月　"&amp;従業員マスタ!$C$4),"")</f>
        <v>2026年7月　建設　太郎</v>
      </c>
      <c r="E2" s="92"/>
      <c r="F2" s="92"/>
      <c r="G2" s="92"/>
      <c r="H2" s="92"/>
      <c r="I2" s="92" t="str">
        <f>IFERROR(IF(従業員マスタ!$C$5="","",対象年度&amp;"年7月　"&amp;従業員マスタ!$C$5),"")</f>
        <v>2026年7月　配管　次郎</v>
      </c>
      <c r="J2" s="92"/>
      <c r="K2" s="92"/>
      <c r="L2" s="92"/>
      <c r="M2" s="92"/>
      <c r="N2" s="92" t="str">
        <f>IFERROR(IF(従業員マスタ!$C$6="","",対象年度&amp;"年7月　"&amp;従業員マスタ!$C$6),"")</f>
        <v>2026年7月　設備　一郎</v>
      </c>
      <c r="O2" s="92"/>
      <c r="P2" s="92"/>
      <c r="Q2" s="92"/>
      <c r="R2" s="92"/>
      <c r="S2" s="92" t="str">
        <f>IFERROR(IF(従業員マスタ!$C$7="","",対象年度&amp;"年7月　"&amp;従業員マスタ!$C$7),"")</f>
        <v>2026年7月　土木　三郎</v>
      </c>
      <c r="T2" s="92"/>
      <c r="U2" s="92"/>
      <c r="V2" s="92"/>
      <c r="W2" s="92"/>
      <c r="X2" s="92" t="str">
        <f>IFERROR(IF(従業員マスタ!$C$8="","",対象年度&amp;"年7月　"&amp;従業員マスタ!$C$8),"")</f>
        <v>2026年7月　塗装　史郎</v>
      </c>
      <c r="Y2" s="92"/>
      <c r="Z2" s="92"/>
      <c r="AA2" s="92"/>
      <c r="AB2" s="92"/>
      <c r="AC2" s="92" t="str">
        <f>IFERROR(IF(従業員マスタ!$C$9="","",対象年度&amp;"年7月　"&amp;従業員マスタ!$C$9),"")</f>
        <v>2026年7月　電工　五郎</v>
      </c>
      <c r="AD2" s="92"/>
      <c r="AE2" s="92"/>
      <c r="AF2" s="92"/>
      <c r="AG2" s="92"/>
      <c r="AH2" s="92" t="str">
        <f>IFERROR(IF(従業員マスタ!$C$10="","",対象年度&amp;"年7月　"&amp;従業員マスタ!$C$10),"")</f>
        <v>2026年7月　現場　花子</v>
      </c>
      <c r="AI2" s="92"/>
      <c r="AJ2" s="92"/>
      <c r="AK2" s="92"/>
      <c r="AL2" s="92"/>
      <c r="AM2" s="92" t="str">
        <f>IFERROR(IF(従業員マスタ!$C$11="","",対象年度&amp;"年7月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IFERROR(IF(従業員マスタ!$C$12="","",対象年度&amp;"年7月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IFERROR(IF(従業員マスタ!$C$13="","",対象年度&amp;"年7月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IFERROR(IF(従業員マスタ!$C$14="","",対象年度&amp;"年7月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IFERROR(IF(従業員マスタ!$C$15="","",対象年度&amp;"年7月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IFERROR(IF(従業員マスタ!$C$16="","",対象年度&amp;"年7月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IFERROR(IF(従業員マスタ!$C$17="","",対象年度&amp;"年7月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IFERROR(IF(従業員マスタ!$C$18="","",対象年度&amp;"年7月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IFERROR(IF(従業員マスタ!$C$19="","",対象年度&amp;"年7月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IFERROR(IF(従業員マスタ!$C$20="","",対象年度&amp;"年7月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IFERROR(IF(従業員マスタ!$C$21="","",対象年度&amp;"年7月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IFERROR(IF(従業員マスタ!$C$22="","",対象年度&amp;"年7月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IFERROR(IF(従業員マスタ!$C$23="","",対象年度&amp;"年7月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IFERROR(IF(従業員マスタ!$C$24="","",対象年度&amp;"年7月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IFERROR(IF(従業員マスタ!$C$25="","",対象年度&amp;"年7月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IFERROR(IF(従業員マスタ!$C$26="","",対象年度&amp;"年7月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IFERROR(IF(従業員マスタ!$C$27="","",対象年度&amp;"年7月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IFERROR(IF(従業員マスタ!$C$28="","",対象年度&amp;"年7月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IFERROR(IF(従業員マスタ!$C$29="","",対象年度&amp;"年7月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IFERROR(IF(従業員マスタ!$C$30="","",対象年度&amp;"年7月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IFERROR(IF(従業員マスタ!$C$31="","",対象年度&amp;"年7月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IFERROR(IF(従業員マスタ!$C$32="","",対象年度&amp;"年7月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IFERROR(IF(従業員マスタ!$C$33="","",対象年度&amp;"年7月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IF(DAY(DATE(対象年度,7,1))&lt;&gt;1,"",1)</f>
        <v>1</v>
      </c>
      <c r="B4" s="26" t="str">
        <f>IF(DAY(DATE(対象年度,7,1))&lt;&gt;1,"",CHOOSE(WEEKDAY(DATE(対象年度,7,1),2),"月","火","水","木","金","土","日"))</f>
        <v>水</v>
      </c>
      <c r="C4" s="26" t="str">
        <f>IF(DAY(DATE(対象年度,7,1))&lt;&gt;1,"",IF(ISNUMBER(MATCH(DATE(対象年度,7,1),祝日リスト,0)),"祝",""))</f>
        <v/>
      </c>
      <c r="D4" s="27"/>
      <c r="E4" s="28"/>
      <c r="F4" s="29" t="str">
        <f t="shared" ref="F4:F34" si="0">IF(D4="","",IF(ISNUMBER(SEARCH("夜勤",D4)),"",IF(A4="","","○")))</f>
        <v/>
      </c>
      <c r="G4" s="30" t="str">
        <f t="shared" ref="G4:G34" si="1">IF(A4="","",IF(OR(AND(E4&lt;&gt;"",NOT(OR(E4="有給",E4="休業"))),ISNUMBER(SEARCH("夜勤",D4))),"○",""))</f>
        <v/>
      </c>
      <c r="H4" s="31"/>
      <c r="I4" s="27"/>
      <c r="J4" s="28"/>
      <c r="K4" s="29" t="str">
        <f t="shared" ref="K4:K34" si="2">IF(I4="","",IF(ISNUMBER(SEARCH("夜勤",I4)),"",IF(A4="","","○")))</f>
        <v/>
      </c>
      <c r="L4" s="30" t="str">
        <f t="shared" ref="L4:L34" si="3">IF(A4="","",IF(OR(AND(J4&lt;&gt;"",NOT(OR(J4="有給",J4="休業"))),ISNUMBER(SEARCH("夜勤",I4))),"○",""))</f>
        <v/>
      </c>
      <c r="M4" s="31"/>
      <c r="N4" s="27"/>
      <c r="O4" s="28"/>
      <c r="P4" s="29" t="str">
        <f t="shared" ref="P4:P34" si="4">IF(N4="","",IF(ISNUMBER(SEARCH("夜勤",N4)),"",IF(A4="","","○")))</f>
        <v/>
      </c>
      <c r="Q4" s="30" t="str">
        <f t="shared" ref="Q4:Q34" si="5">IF(A4="","",IF(OR(AND(O4&lt;&gt;"",NOT(OR(O4="有給",O4="休業"))),ISNUMBER(SEARCH("夜勤",N4))),"○",""))</f>
        <v/>
      </c>
      <c r="R4" s="31"/>
      <c r="S4" s="27"/>
      <c r="T4" s="28"/>
      <c r="U4" s="29" t="str">
        <f t="shared" ref="U4:U34" si="6">IF(S4="","",IF(ISNUMBER(SEARCH("夜勤",S4)),"",IF(A4="","","○")))</f>
        <v/>
      </c>
      <c r="V4" s="30" t="str">
        <f t="shared" ref="V4:V34" si="7">IF(A4="","",IF(OR(AND(T4&lt;&gt;"",NOT(OR(T4="有給",T4="休業"))),ISNUMBER(SEARCH("夜勤",S4))),"○",""))</f>
        <v/>
      </c>
      <c r="W4" s="31"/>
      <c r="X4" s="27"/>
      <c r="Y4" s="28"/>
      <c r="Z4" s="29" t="str">
        <f t="shared" ref="Z4:Z34" si="8">IF(X4="","",IF(ISNUMBER(SEARCH("夜勤",X4)),"",IF(A4="","","○")))</f>
        <v/>
      </c>
      <c r="AA4" s="30" t="str">
        <f t="shared" ref="AA4:AA34" si="9">IF(A4="","",IF(OR(AND(Y4&lt;&gt;"",NOT(OR(Y4="有給",Y4="休業"))),ISNUMBER(SEARCH("夜勤",X4))),"○",""))</f>
        <v/>
      </c>
      <c r="AB4" s="31"/>
      <c r="AC4" s="27"/>
      <c r="AD4" s="28"/>
      <c r="AE4" s="29" t="str">
        <f t="shared" ref="AE4:AE34" si="10">IF(AC4="","",IF(ISNUMBER(SEARCH("夜勤",AC4)),"",IF(A4="","","○")))</f>
        <v/>
      </c>
      <c r="AF4" s="30" t="str">
        <f t="shared" ref="AF4:AF34" si="11">IF(A4="","",IF(OR(AND(AD4&lt;&gt;"",NOT(OR(AD4="有給",AD4="休業"))),ISNUMBER(SEARCH("夜勤",AC4))),"○",""))</f>
        <v/>
      </c>
      <c r="AG4" s="31"/>
      <c r="AH4" s="27"/>
      <c r="AI4" s="28"/>
      <c r="AJ4" s="29" t="str">
        <f t="shared" ref="AJ4:AJ34" si="12">IF(AH4="","",IF(ISNUMBER(SEARCH("夜勤",AH4)),"",IF(A4="","","○")))</f>
        <v/>
      </c>
      <c r="AK4" s="30" t="str">
        <f t="shared" ref="AK4:AK34" si="13">IF(A4="","",IF(OR(AND(AI4&lt;&gt;"",NOT(OR(AI4="有給",AI4="休業"))),ISNUMBER(SEARCH("夜勤",AH4))),"○",""))</f>
        <v/>
      </c>
      <c r="AL4" s="31"/>
      <c r="AM4" s="27"/>
      <c r="AN4" s="28"/>
      <c r="AO4" s="29" t="str">
        <f t="shared" ref="AO4:AO34" si="14">IF(AM4="","",IF(ISNUMBER(SEARCH("夜勤",AM4)),"",IF(A4="","","○")))</f>
        <v/>
      </c>
      <c r="AP4" s="30" t="str">
        <f t="shared" ref="AP4:AP34" si="15">IF(A4="","",IF(OR(AND(AN4&lt;&gt;"",NOT(OR(AN4="有給",AN4="休業"))),ISNUMBER(SEARCH("夜勤",AM4))),"○",""))</f>
        <v/>
      </c>
      <c r="AQ4" s="31"/>
      <c r="AR4" s="27"/>
      <c r="AS4" s="28"/>
      <c r="AT4" s="29" t="str">
        <f t="shared" ref="AT4:AT34" si="16">IF(AR4="","",IF(ISNUMBER(SEARCH("夜勤",AR4)),"",IF(A4="","","○")))</f>
        <v/>
      </c>
      <c r="AU4" s="30" t="str">
        <f t="shared" ref="AU4:AU34" si="17">IF(A4="","",IF(OR(AND(AS4&lt;&gt;"",NOT(OR(AS4="有給",AS4="休業"))),ISNUMBER(SEARCH("夜勤",AR4))),"○",""))</f>
        <v/>
      </c>
      <c r="AV4" s="31"/>
      <c r="AW4" s="27"/>
      <c r="AX4" s="28"/>
      <c r="AY4" s="29" t="str">
        <f t="shared" ref="AY4:AY34" si="18">IF(AW4="","",IF(ISNUMBER(SEARCH("夜勤",AW4)),"",IF(A4="","","○")))</f>
        <v/>
      </c>
      <c r="AZ4" s="30" t="str">
        <f t="shared" ref="AZ4:AZ34" si="19">IF(A4="","",IF(OR(AND(AX4&lt;&gt;"",NOT(OR(AX4="有給",AX4="休業"))),ISNUMBER(SEARCH("夜勤",AW4))),"○",""))</f>
        <v/>
      </c>
      <c r="BA4" s="31"/>
      <c r="BB4" s="27"/>
      <c r="BC4" s="28"/>
      <c r="BD4" s="29" t="str">
        <f t="shared" ref="BD4:BD34" si="20">IF(BB4="","",IF(ISNUMBER(SEARCH("夜勤",BB4)),"",IF(A4="","","○")))</f>
        <v/>
      </c>
      <c r="BE4" s="30" t="str">
        <f t="shared" ref="BE4:BE34" si="21">IF(A4="","",IF(OR(AND(BC4&lt;&gt;"",NOT(OR(BC4="有給",BC4="休業"))),ISNUMBER(SEARCH("夜勤",BB4))),"○",""))</f>
        <v/>
      </c>
      <c r="BF4" s="31"/>
      <c r="BG4" s="27"/>
      <c r="BH4" s="28"/>
      <c r="BI4" s="29" t="str">
        <f t="shared" ref="BI4:BI34" si="22">IF(BG4="","",IF(ISNUMBER(SEARCH("夜勤",BG4)),"",IF(A4="","","○")))</f>
        <v/>
      </c>
      <c r="BJ4" s="30" t="str">
        <f t="shared" ref="BJ4:BJ34" si="2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24">IF(BL4="","",IF(ISNUMBER(SEARCH("夜勤",BL4)),"",IF(A4="","","○")))</f>
        <v/>
      </c>
      <c r="BO4" s="30" t="str">
        <f t="shared" ref="BO4:BO34" si="2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26">IF(BQ4="","",IF(ISNUMBER(SEARCH("夜勤",BQ4)),"",IF(A4="","","○")))</f>
        <v/>
      </c>
      <c r="BT4" s="30" t="str">
        <f t="shared" ref="BT4:BT34" si="2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28">IF(BV4="","",IF(ISNUMBER(SEARCH("夜勤",BV4)),"",IF(A4="","","○")))</f>
        <v/>
      </c>
      <c r="BY4" s="30" t="str">
        <f t="shared" ref="BY4:BY34" si="2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30">IF(CA4="","",IF(ISNUMBER(SEARCH("夜勤",CA4)),"",IF(A4="","","○")))</f>
        <v/>
      </c>
      <c r="CD4" s="30" t="str">
        <f t="shared" ref="CD4:CD34" si="3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32">IF(CF4="","",IF(ISNUMBER(SEARCH("夜勤",CF4)),"",IF(A4="","","○")))</f>
        <v/>
      </c>
      <c r="CI4" s="30" t="str">
        <f t="shared" ref="CI4:CI34" si="3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34">IF(CK4="","",IF(ISNUMBER(SEARCH("夜勤",CK4)),"",IF(A4="","","○")))</f>
        <v/>
      </c>
      <c r="CN4" s="30" t="str">
        <f t="shared" ref="CN4:CN34" si="3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36">IF(CP4="","",IF(ISNUMBER(SEARCH("夜勤",CP4)),"",IF(A4="","","○")))</f>
        <v/>
      </c>
      <c r="CS4" s="30" t="str">
        <f t="shared" ref="CS4:CS34" si="3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38">IF(CU4="","",IF(ISNUMBER(SEARCH("夜勤",CU4)),"",IF(A4="","","○")))</f>
        <v/>
      </c>
      <c r="CX4" s="30" t="str">
        <f t="shared" ref="CX4:CX34" si="3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40">IF(CZ4="","",IF(ISNUMBER(SEARCH("夜勤",CZ4)),"",IF(A4="","","○")))</f>
        <v/>
      </c>
      <c r="DC4" s="30" t="str">
        <f t="shared" ref="DC4:DC34" si="4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42">IF(DE4="","",IF(ISNUMBER(SEARCH("夜勤",DE4)),"",IF(A4="","","○")))</f>
        <v/>
      </c>
      <c r="DH4" s="30" t="str">
        <f t="shared" ref="DH4:DH34" si="4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44">IF(DJ4="","",IF(ISNUMBER(SEARCH("夜勤",DJ4)),"",IF(A4="","","○")))</f>
        <v/>
      </c>
      <c r="DM4" s="30" t="str">
        <f t="shared" ref="DM4:DM34" si="4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46">IF(DO4="","",IF(ISNUMBER(SEARCH("夜勤",DO4)),"",IF(A4="","","○")))</f>
        <v/>
      </c>
      <c r="DR4" s="30" t="str">
        <f t="shared" ref="DR4:DR34" si="4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48">IF(DT4="","",IF(ISNUMBER(SEARCH("夜勤",DT4)),"",IF(A4="","","○")))</f>
        <v/>
      </c>
      <c r="DW4" s="30" t="str">
        <f t="shared" ref="DW4:DW34" si="4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50">IF(DY4="","",IF(ISNUMBER(SEARCH("夜勤",DY4)),"",IF(A4="","","○")))</f>
        <v/>
      </c>
      <c r="EB4" s="30" t="str">
        <f t="shared" ref="EB4:EB34" si="5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52">IF(ED4="","",IF(ISNUMBER(SEARCH("夜勤",ED4)),"",IF(A4="","","○")))</f>
        <v/>
      </c>
      <c r="EG4" s="30" t="str">
        <f t="shared" ref="EG4:EG34" si="5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54">IF(EI4="","",IF(ISNUMBER(SEARCH("夜勤",EI4)),"",IF(A4="","","○")))</f>
        <v/>
      </c>
      <c r="EL4" s="30" t="str">
        <f t="shared" ref="EL4:EL34" si="5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56">IF(EN4="","",IF(ISNUMBER(SEARCH("夜勤",EN4)),"",IF(A4="","","○")))</f>
        <v/>
      </c>
      <c r="EQ4" s="30" t="str">
        <f t="shared" ref="EQ4:EQ34" si="5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58">IF(ES4="","",IF(ISNUMBER(SEARCH("夜勤",ES4)),"",IF(A4="","","○")))</f>
        <v/>
      </c>
      <c r="EV4" s="30" t="str">
        <f t="shared" ref="EV4:EV34" si="5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IF(DAY(DATE(対象年度,7,2))&lt;&gt;2,"",2)</f>
        <v>2</v>
      </c>
      <c r="B5" s="32" t="str">
        <f>IF(DAY(DATE(対象年度,7,2))&lt;&gt;2,"",CHOOSE(WEEKDAY(DATE(対象年度,7,2),2),"月","火","水","木","金","土","日"))</f>
        <v>木</v>
      </c>
      <c r="C5" s="32" t="str">
        <f>IF(DAY(DATE(対象年度,7,2))&lt;&gt;2,"",IF(ISNUMBER(MATCH(DATE(対象年度,7,2),祝日リスト,0)),"祝",""))</f>
        <v/>
      </c>
      <c r="D5" s="33"/>
      <c r="E5" s="34"/>
      <c r="F5" s="35" t="str">
        <f t="shared" si="0"/>
        <v/>
      </c>
      <c r="G5" s="36" t="str">
        <f t="shared" si="1"/>
        <v/>
      </c>
      <c r="H5" s="37"/>
      <c r="I5" s="33"/>
      <c r="J5" s="34"/>
      <c r="K5" s="35" t="str">
        <f t="shared" si="2"/>
        <v/>
      </c>
      <c r="L5" s="36" t="str">
        <f t="shared" si="3"/>
        <v/>
      </c>
      <c r="M5" s="37"/>
      <c r="N5" s="33"/>
      <c r="O5" s="34"/>
      <c r="P5" s="35" t="str">
        <f t="shared" si="4"/>
        <v/>
      </c>
      <c r="Q5" s="36" t="str">
        <f t="shared" si="5"/>
        <v/>
      </c>
      <c r="R5" s="37"/>
      <c r="S5" s="33"/>
      <c r="T5" s="34"/>
      <c r="U5" s="35" t="str">
        <f t="shared" si="6"/>
        <v/>
      </c>
      <c r="V5" s="36" t="str">
        <f t="shared" si="7"/>
        <v/>
      </c>
      <c r="W5" s="37"/>
      <c r="X5" s="33"/>
      <c r="Y5" s="34"/>
      <c r="Z5" s="35" t="str">
        <f t="shared" si="8"/>
        <v/>
      </c>
      <c r="AA5" s="36" t="str">
        <f t="shared" si="9"/>
        <v/>
      </c>
      <c r="AB5" s="37"/>
      <c r="AC5" s="33"/>
      <c r="AD5" s="34"/>
      <c r="AE5" s="35" t="str">
        <f t="shared" si="10"/>
        <v/>
      </c>
      <c r="AF5" s="36" t="str">
        <f t="shared" si="11"/>
        <v/>
      </c>
      <c r="AG5" s="37"/>
      <c r="AH5" s="33"/>
      <c r="AI5" s="34"/>
      <c r="AJ5" s="35" t="str">
        <f t="shared" si="12"/>
        <v/>
      </c>
      <c r="AK5" s="36" t="str">
        <f t="shared" si="13"/>
        <v/>
      </c>
      <c r="AL5" s="37"/>
      <c r="AM5" s="33"/>
      <c r="AN5" s="34"/>
      <c r="AO5" s="35" t="str">
        <f t="shared" si="14"/>
        <v/>
      </c>
      <c r="AP5" s="36" t="str">
        <f t="shared" si="15"/>
        <v/>
      </c>
      <c r="AQ5" s="37"/>
      <c r="AR5" s="33"/>
      <c r="AS5" s="34"/>
      <c r="AT5" s="35" t="str">
        <f t="shared" si="16"/>
        <v/>
      </c>
      <c r="AU5" s="36" t="str">
        <f t="shared" si="17"/>
        <v/>
      </c>
      <c r="AV5" s="37"/>
      <c r="AW5" s="33"/>
      <c r="AX5" s="34"/>
      <c r="AY5" s="35" t="str">
        <f t="shared" si="18"/>
        <v/>
      </c>
      <c r="AZ5" s="36" t="str">
        <f t="shared" si="19"/>
        <v/>
      </c>
      <c r="BA5" s="37"/>
      <c r="BB5" s="33"/>
      <c r="BC5" s="34"/>
      <c r="BD5" s="35" t="str">
        <f t="shared" si="20"/>
        <v/>
      </c>
      <c r="BE5" s="36" t="str">
        <f t="shared" si="21"/>
        <v/>
      </c>
      <c r="BF5" s="37"/>
      <c r="BG5" s="33"/>
      <c r="BH5" s="34"/>
      <c r="BI5" s="35" t="str">
        <f t="shared" si="22"/>
        <v/>
      </c>
      <c r="BJ5" s="36" t="str">
        <f t="shared" si="23"/>
        <v/>
      </c>
      <c r="BK5" s="37"/>
      <c r="BL5" s="33"/>
      <c r="BM5" s="34"/>
      <c r="BN5" s="35" t="str">
        <f t="shared" si="24"/>
        <v/>
      </c>
      <c r="BO5" s="36" t="str">
        <f t="shared" si="25"/>
        <v/>
      </c>
      <c r="BP5" s="37"/>
      <c r="BQ5" s="33"/>
      <c r="BR5" s="34"/>
      <c r="BS5" s="35" t="str">
        <f t="shared" si="26"/>
        <v/>
      </c>
      <c r="BT5" s="36" t="str">
        <f t="shared" si="27"/>
        <v/>
      </c>
      <c r="BU5" s="37"/>
      <c r="BV5" s="33"/>
      <c r="BW5" s="34"/>
      <c r="BX5" s="35" t="str">
        <f t="shared" si="28"/>
        <v/>
      </c>
      <c r="BY5" s="36" t="str">
        <f t="shared" si="29"/>
        <v/>
      </c>
      <c r="BZ5" s="37"/>
      <c r="CA5" s="33"/>
      <c r="CB5" s="34"/>
      <c r="CC5" s="35" t="str">
        <f t="shared" si="30"/>
        <v/>
      </c>
      <c r="CD5" s="36" t="str">
        <f t="shared" si="31"/>
        <v/>
      </c>
      <c r="CE5" s="37"/>
      <c r="CF5" s="33"/>
      <c r="CG5" s="34"/>
      <c r="CH5" s="35" t="str">
        <f t="shared" si="32"/>
        <v/>
      </c>
      <c r="CI5" s="36" t="str">
        <f t="shared" si="33"/>
        <v/>
      </c>
      <c r="CJ5" s="37"/>
      <c r="CK5" s="33"/>
      <c r="CL5" s="34"/>
      <c r="CM5" s="35" t="str">
        <f t="shared" si="34"/>
        <v/>
      </c>
      <c r="CN5" s="36" t="str">
        <f t="shared" si="35"/>
        <v/>
      </c>
      <c r="CO5" s="37"/>
      <c r="CP5" s="33"/>
      <c r="CQ5" s="34"/>
      <c r="CR5" s="35" t="str">
        <f t="shared" si="36"/>
        <v/>
      </c>
      <c r="CS5" s="36" t="str">
        <f t="shared" si="37"/>
        <v/>
      </c>
      <c r="CT5" s="37"/>
      <c r="CU5" s="33"/>
      <c r="CV5" s="34"/>
      <c r="CW5" s="35" t="str">
        <f t="shared" si="38"/>
        <v/>
      </c>
      <c r="CX5" s="36" t="str">
        <f t="shared" si="39"/>
        <v/>
      </c>
      <c r="CY5" s="37"/>
      <c r="CZ5" s="33"/>
      <c r="DA5" s="34"/>
      <c r="DB5" s="35" t="str">
        <f t="shared" si="40"/>
        <v/>
      </c>
      <c r="DC5" s="36" t="str">
        <f t="shared" si="41"/>
        <v/>
      </c>
      <c r="DD5" s="37"/>
      <c r="DE5" s="33"/>
      <c r="DF5" s="34"/>
      <c r="DG5" s="35" t="str">
        <f t="shared" si="42"/>
        <v/>
      </c>
      <c r="DH5" s="36" t="str">
        <f t="shared" si="43"/>
        <v/>
      </c>
      <c r="DI5" s="37"/>
      <c r="DJ5" s="33"/>
      <c r="DK5" s="34"/>
      <c r="DL5" s="35" t="str">
        <f t="shared" si="44"/>
        <v/>
      </c>
      <c r="DM5" s="36" t="str">
        <f t="shared" si="45"/>
        <v/>
      </c>
      <c r="DN5" s="37"/>
      <c r="DO5" s="33"/>
      <c r="DP5" s="34"/>
      <c r="DQ5" s="35" t="str">
        <f t="shared" si="46"/>
        <v/>
      </c>
      <c r="DR5" s="36" t="str">
        <f t="shared" si="47"/>
        <v/>
      </c>
      <c r="DS5" s="37"/>
      <c r="DT5" s="33"/>
      <c r="DU5" s="34"/>
      <c r="DV5" s="35" t="str">
        <f t="shared" si="48"/>
        <v/>
      </c>
      <c r="DW5" s="36" t="str">
        <f t="shared" si="49"/>
        <v/>
      </c>
      <c r="DX5" s="37"/>
      <c r="DY5" s="33"/>
      <c r="DZ5" s="34"/>
      <c r="EA5" s="35" t="str">
        <f t="shared" si="50"/>
        <v/>
      </c>
      <c r="EB5" s="36" t="str">
        <f t="shared" si="51"/>
        <v/>
      </c>
      <c r="EC5" s="37"/>
      <c r="ED5" s="33"/>
      <c r="EE5" s="34"/>
      <c r="EF5" s="35" t="str">
        <f t="shared" si="52"/>
        <v/>
      </c>
      <c r="EG5" s="36" t="str">
        <f t="shared" si="53"/>
        <v/>
      </c>
      <c r="EH5" s="37"/>
      <c r="EI5" s="33"/>
      <c r="EJ5" s="34"/>
      <c r="EK5" s="35" t="str">
        <f t="shared" si="54"/>
        <v/>
      </c>
      <c r="EL5" s="36" t="str">
        <f t="shared" si="55"/>
        <v/>
      </c>
      <c r="EM5" s="37"/>
      <c r="EN5" s="33"/>
      <c r="EO5" s="34"/>
      <c r="EP5" s="35" t="str">
        <f t="shared" si="56"/>
        <v/>
      </c>
      <c r="EQ5" s="36" t="str">
        <f t="shared" si="57"/>
        <v/>
      </c>
      <c r="ER5" s="37"/>
      <c r="ES5" s="33"/>
      <c r="ET5" s="34"/>
      <c r="EU5" s="35" t="str">
        <f t="shared" si="58"/>
        <v/>
      </c>
      <c r="EV5" s="36" t="str">
        <f t="shared" si="59"/>
        <v/>
      </c>
      <c r="EW5" s="37"/>
    </row>
    <row r="6" spans="1:153" ht="19.5" customHeight="1">
      <c r="A6" s="32">
        <f>IF(DAY(DATE(対象年度,7,3))&lt;&gt;3,"",3)</f>
        <v>3</v>
      </c>
      <c r="B6" s="32" t="str">
        <f>IF(DAY(DATE(対象年度,7,3))&lt;&gt;3,"",CHOOSE(WEEKDAY(DATE(対象年度,7,3),2),"月","火","水","木","金","土","日"))</f>
        <v>金</v>
      </c>
      <c r="C6" s="32" t="str">
        <f>IF(DAY(DATE(対象年度,7,3))&lt;&gt;3,"",IF(ISNUMBER(MATCH(DATE(対象年度,7,3),祝日リスト,0)),"祝",""))</f>
        <v/>
      </c>
      <c r="D6" s="33"/>
      <c r="E6" s="34"/>
      <c r="F6" s="35" t="str">
        <f t="shared" si="0"/>
        <v/>
      </c>
      <c r="G6" s="36" t="str">
        <f t="shared" si="1"/>
        <v/>
      </c>
      <c r="H6" s="37"/>
      <c r="I6" s="33"/>
      <c r="J6" s="34"/>
      <c r="K6" s="35" t="str">
        <f t="shared" si="2"/>
        <v/>
      </c>
      <c r="L6" s="36" t="str">
        <f t="shared" si="3"/>
        <v/>
      </c>
      <c r="M6" s="37"/>
      <c r="N6" s="33"/>
      <c r="O6" s="34"/>
      <c r="P6" s="35" t="str">
        <f t="shared" si="4"/>
        <v/>
      </c>
      <c r="Q6" s="36" t="str">
        <f t="shared" si="5"/>
        <v/>
      </c>
      <c r="R6" s="37"/>
      <c r="S6" s="33"/>
      <c r="T6" s="34"/>
      <c r="U6" s="35" t="str">
        <f t="shared" si="6"/>
        <v/>
      </c>
      <c r="V6" s="36" t="str">
        <f t="shared" si="7"/>
        <v/>
      </c>
      <c r="W6" s="37"/>
      <c r="X6" s="33"/>
      <c r="Y6" s="34"/>
      <c r="Z6" s="35" t="str">
        <f t="shared" si="8"/>
        <v/>
      </c>
      <c r="AA6" s="36" t="str">
        <f t="shared" si="9"/>
        <v/>
      </c>
      <c r="AB6" s="37"/>
      <c r="AC6" s="33"/>
      <c r="AD6" s="34"/>
      <c r="AE6" s="35" t="str">
        <f t="shared" si="10"/>
        <v/>
      </c>
      <c r="AF6" s="36" t="str">
        <f t="shared" si="11"/>
        <v/>
      </c>
      <c r="AG6" s="37"/>
      <c r="AH6" s="33"/>
      <c r="AI6" s="34"/>
      <c r="AJ6" s="35" t="str">
        <f t="shared" si="12"/>
        <v/>
      </c>
      <c r="AK6" s="36" t="str">
        <f t="shared" si="13"/>
        <v/>
      </c>
      <c r="AL6" s="37"/>
      <c r="AM6" s="33"/>
      <c r="AN6" s="34"/>
      <c r="AO6" s="35" t="str">
        <f t="shared" si="14"/>
        <v/>
      </c>
      <c r="AP6" s="36" t="str">
        <f t="shared" si="15"/>
        <v/>
      </c>
      <c r="AQ6" s="37"/>
      <c r="AR6" s="33"/>
      <c r="AS6" s="34"/>
      <c r="AT6" s="35" t="str">
        <f t="shared" si="16"/>
        <v/>
      </c>
      <c r="AU6" s="36" t="str">
        <f t="shared" si="17"/>
        <v/>
      </c>
      <c r="AV6" s="37"/>
      <c r="AW6" s="33"/>
      <c r="AX6" s="34"/>
      <c r="AY6" s="35" t="str">
        <f t="shared" si="18"/>
        <v/>
      </c>
      <c r="AZ6" s="36" t="str">
        <f t="shared" si="19"/>
        <v/>
      </c>
      <c r="BA6" s="37"/>
      <c r="BB6" s="33"/>
      <c r="BC6" s="34"/>
      <c r="BD6" s="35" t="str">
        <f t="shared" si="20"/>
        <v/>
      </c>
      <c r="BE6" s="36" t="str">
        <f t="shared" si="21"/>
        <v/>
      </c>
      <c r="BF6" s="37"/>
      <c r="BG6" s="33"/>
      <c r="BH6" s="34"/>
      <c r="BI6" s="35" t="str">
        <f t="shared" si="22"/>
        <v/>
      </c>
      <c r="BJ6" s="36" t="str">
        <f t="shared" si="23"/>
        <v/>
      </c>
      <c r="BK6" s="37"/>
      <c r="BL6" s="33"/>
      <c r="BM6" s="34"/>
      <c r="BN6" s="35" t="str">
        <f t="shared" si="24"/>
        <v/>
      </c>
      <c r="BO6" s="36" t="str">
        <f t="shared" si="25"/>
        <v/>
      </c>
      <c r="BP6" s="37"/>
      <c r="BQ6" s="33"/>
      <c r="BR6" s="34"/>
      <c r="BS6" s="35" t="str">
        <f t="shared" si="26"/>
        <v/>
      </c>
      <c r="BT6" s="36" t="str">
        <f t="shared" si="27"/>
        <v/>
      </c>
      <c r="BU6" s="37"/>
      <c r="BV6" s="33"/>
      <c r="BW6" s="34"/>
      <c r="BX6" s="35" t="str">
        <f t="shared" si="28"/>
        <v/>
      </c>
      <c r="BY6" s="36" t="str">
        <f t="shared" si="29"/>
        <v/>
      </c>
      <c r="BZ6" s="37"/>
      <c r="CA6" s="33"/>
      <c r="CB6" s="34"/>
      <c r="CC6" s="35" t="str">
        <f t="shared" si="30"/>
        <v/>
      </c>
      <c r="CD6" s="36" t="str">
        <f t="shared" si="31"/>
        <v/>
      </c>
      <c r="CE6" s="37"/>
      <c r="CF6" s="33"/>
      <c r="CG6" s="34"/>
      <c r="CH6" s="35" t="str">
        <f t="shared" si="32"/>
        <v/>
      </c>
      <c r="CI6" s="36" t="str">
        <f t="shared" si="33"/>
        <v/>
      </c>
      <c r="CJ6" s="37"/>
      <c r="CK6" s="33"/>
      <c r="CL6" s="34"/>
      <c r="CM6" s="35" t="str">
        <f t="shared" si="34"/>
        <v/>
      </c>
      <c r="CN6" s="36" t="str">
        <f t="shared" si="35"/>
        <v/>
      </c>
      <c r="CO6" s="37"/>
      <c r="CP6" s="33"/>
      <c r="CQ6" s="34"/>
      <c r="CR6" s="35" t="str">
        <f t="shared" si="36"/>
        <v/>
      </c>
      <c r="CS6" s="36" t="str">
        <f t="shared" si="37"/>
        <v/>
      </c>
      <c r="CT6" s="37"/>
      <c r="CU6" s="33"/>
      <c r="CV6" s="34"/>
      <c r="CW6" s="35" t="str">
        <f t="shared" si="38"/>
        <v/>
      </c>
      <c r="CX6" s="36" t="str">
        <f t="shared" si="39"/>
        <v/>
      </c>
      <c r="CY6" s="37"/>
      <c r="CZ6" s="33"/>
      <c r="DA6" s="34"/>
      <c r="DB6" s="35" t="str">
        <f t="shared" si="40"/>
        <v/>
      </c>
      <c r="DC6" s="36" t="str">
        <f t="shared" si="41"/>
        <v/>
      </c>
      <c r="DD6" s="37"/>
      <c r="DE6" s="33"/>
      <c r="DF6" s="34"/>
      <c r="DG6" s="35" t="str">
        <f t="shared" si="42"/>
        <v/>
      </c>
      <c r="DH6" s="36" t="str">
        <f t="shared" si="43"/>
        <v/>
      </c>
      <c r="DI6" s="37"/>
      <c r="DJ6" s="33"/>
      <c r="DK6" s="34"/>
      <c r="DL6" s="35" t="str">
        <f t="shared" si="44"/>
        <v/>
      </c>
      <c r="DM6" s="36" t="str">
        <f t="shared" si="45"/>
        <v/>
      </c>
      <c r="DN6" s="37"/>
      <c r="DO6" s="33"/>
      <c r="DP6" s="34"/>
      <c r="DQ6" s="35" t="str">
        <f t="shared" si="46"/>
        <v/>
      </c>
      <c r="DR6" s="36" t="str">
        <f t="shared" si="47"/>
        <v/>
      </c>
      <c r="DS6" s="37"/>
      <c r="DT6" s="33"/>
      <c r="DU6" s="34"/>
      <c r="DV6" s="35" t="str">
        <f t="shared" si="48"/>
        <v/>
      </c>
      <c r="DW6" s="36" t="str">
        <f t="shared" si="49"/>
        <v/>
      </c>
      <c r="DX6" s="37"/>
      <c r="DY6" s="33"/>
      <c r="DZ6" s="34"/>
      <c r="EA6" s="35" t="str">
        <f t="shared" si="50"/>
        <v/>
      </c>
      <c r="EB6" s="36" t="str">
        <f t="shared" si="51"/>
        <v/>
      </c>
      <c r="EC6" s="37"/>
      <c r="ED6" s="33"/>
      <c r="EE6" s="34"/>
      <c r="EF6" s="35" t="str">
        <f t="shared" si="52"/>
        <v/>
      </c>
      <c r="EG6" s="36" t="str">
        <f t="shared" si="53"/>
        <v/>
      </c>
      <c r="EH6" s="37"/>
      <c r="EI6" s="33"/>
      <c r="EJ6" s="34"/>
      <c r="EK6" s="35" t="str">
        <f t="shared" si="54"/>
        <v/>
      </c>
      <c r="EL6" s="36" t="str">
        <f t="shared" si="55"/>
        <v/>
      </c>
      <c r="EM6" s="37"/>
      <c r="EN6" s="33"/>
      <c r="EO6" s="34"/>
      <c r="EP6" s="35" t="str">
        <f t="shared" si="56"/>
        <v/>
      </c>
      <c r="EQ6" s="36" t="str">
        <f t="shared" si="57"/>
        <v/>
      </c>
      <c r="ER6" s="37"/>
      <c r="ES6" s="33"/>
      <c r="ET6" s="34"/>
      <c r="EU6" s="35" t="str">
        <f t="shared" si="58"/>
        <v/>
      </c>
      <c r="EV6" s="36" t="str">
        <f t="shared" si="59"/>
        <v/>
      </c>
      <c r="EW6" s="37"/>
    </row>
    <row r="7" spans="1:153" ht="19.5" customHeight="1">
      <c r="A7" s="32">
        <f>IF(DAY(DATE(対象年度,7,4))&lt;&gt;4,"",4)</f>
        <v>4</v>
      </c>
      <c r="B7" s="32" t="str">
        <f>IF(DAY(DATE(対象年度,7,4))&lt;&gt;4,"",CHOOSE(WEEKDAY(DATE(対象年度,7,4),2),"月","火","水","木","金","土","日"))</f>
        <v>土</v>
      </c>
      <c r="C7" s="32" t="str">
        <f>IF(DAY(DATE(対象年度,7,4))&lt;&gt;4,"",IF(ISNUMBER(MATCH(DATE(対象年度,7,4),祝日リスト,0)),"祝",""))</f>
        <v/>
      </c>
      <c r="D7" s="33"/>
      <c r="E7" s="34"/>
      <c r="F7" s="35" t="str">
        <f t="shared" si="0"/>
        <v/>
      </c>
      <c r="G7" s="36" t="str">
        <f t="shared" si="1"/>
        <v/>
      </c>
      <c r="H7" s="37"/>
      <c r="I7" s="33"/>
      <c r="J7" s="34"/>
      <c r="K7" s="35" t="str">
        <f t="shared" si="2"/>
        <v/>
      </c>
      <c r="L7" s="36" t="str">
        <f t="shared" si="3"/>
        <v/>
      </c>
      <c r="M7" s="37"/>
      <c r="N7" s="33"/>
      <c r="O7" s="34"/>
      <c r="P7" s="35" t="str">
        <f t="shared" si="4"/>
        <v/>
      </c>
      <c r="Q7" s="36" t="str">
        <f t="shared" si="5"/>
        <v/>
      </c>
      <c r="R7" s="37"/>
      <c r="S7" s="33"/>
      <c r="T7" s="34"/>
      <c r="U7" s="35" t="str">
        <f t="shared" si="6"/>
        <v/>
      </c>
      <c r="V7" s="36" t="str">
        <f t="shared" si="7"/>
        <v/>
      </c>
      <c r="W7" s="37"/>
      <c r="X7" s="33"/>
      <c r="Y7" s="34"/>
      <c r="Z7" s="35" t="str">
        <f t="shared" si="8"/>
        <v/>
      </c>
      <c r="AA7" s="36" t="str">
        <f t="shared" si="9"/>
        <v/>
      </c>
      <c r="AB7" s="37"/>
      <c r="AC7" s="33"/>
      <c r="AD7" s="34"/>
      <c r="AE7" s="35" t="str">
        <f t="shared" si="10"/>
        <v/>
      </c>
      <c r="AF7" s="36" t="str">
        <f t="shared" si="11"/>
        <v/>
      </c>
      <c r="AG7" s="37"/>
      <c r="AH7" s="33"/>
      <c r="AI7" s="34"/>
      <c r="AJ7" s="35" t="str">
        <f t="shared" si="12"/>
        <v/>
      </c>
      <c r="AK7" s="36" t="str">
        <f t="shared" si="13"/>
        <v/>
      </c>
      <c r="AL7" s="37"/>
      <c r="AM7" s="33"/>
      <c r="AN7" s="34"/>
      <c r="AO7" s="35" t="str">
        <f t="shared" si="14"/>
        <v/>
      </c>
      <c r="AP7" s="36" t="str">
        <f t="shared" si="15"/>
        <v/>
      </c>
      <c r="AQ7" s="37"/>
      <c r="AR7" s="33"/>
      <c r="AS7" s="34"/>
      <c r="AT7" s="35" t="str">
        <f t="shared" si="16"/>
        <v/>
      </c>
      <c r="AU7" s="36" t="str">
        <f t="shared" si="17"/>
        <v/>
      </c>
      <c r="AV7" s="37"/>
      <c r="AW7" s="33"/>
      <c r="AX7" s="34"/>
      <c r="AY7" s="35" t="str">
        <f t="shared" si="18"/>
        <v/>
      </c>
      <c r="AZ7" s="36" t="str">
        <f t="shared" si="19"/>
        <v/>
      </c>
      <c r="BA7" s="37"/>
      <c r="BB7" s="33"/>
      <c r="BC7" s="34"/>
      <c r="BD7" s="35" t="str">
        <f t="shared" si="20"/>
        <v/>
      </c>
      <c r="BE7" s="36" t="str">
        <f t="shared" si="21"/>
        <v/>
      </c>
      <c r="BF7" s="37"/>
      <c r="BG7" s="33"/>
      <c r="BH7" s="34"/>
      <c r="BI7" s="35" t="str">
        <f t="shared" si="22"/>
        <v/>
      </c>
      <c r="BJ7" s="36" t="str">
        <f t="shared" si="23"/>
        <v/>
      </c>
      <c r="BK7" s="37"/>
      <c r="BL7" s="33"/>
      <c r="BM7" s="34"/>
      <c r="BN7" s="35" t="str">
        <f t="shared" si="24"/>
        <v/>
      </c>
      <c r="BO7" s="36" t="str">
        <f t="shared" si="25"/>
        <v/>
      </c>
      <c r="BP7" s="37"/>
      <c r="BQ7" s="33"/>
      <c r="BR7" s="34"/>
      <c r="BS7" s="35" t="str">
        <f t="shared" si="26"/>
        <v/>
      </c>
      <c r="BT7" s="36" t="str">
        <f t="shared" si="27"/>
        <v/>
      </c>
      <c r="BU7" s="37"/>
      <c r="BV7" s="33"/>
      <c r="BW7" s="34"/>
      <c r="BX7" s="35" t="str">
        <f t="shared" si="28"/>
        <v/>
      </c>
      <c r="BY7" s="36" t="str">
        <f t="shared" si="29"/>
        <v/>
      </c>
      <c r="BZ7" s="37"/>
      <c r="CA7" s="33"/>
      <c r="CB7" s="34"/>
      <c r="CC7" s="35" t="str">
        <f t="shared" si="30"/>
        <v/>
      </c>
      <c r="CD7" s="36" t="str">
        <f t="shared" si="31"/>
        <v/>
      </c>
      <c r="CE7" s="37"/>
      <c r="CF7" s="33"/>
      <c r="CG7" s="34"/>
      <c r="CH7" s="35" t="str">
        <f t="shared" si="32"/>
        <v/>
      </c>
      <c r="CI7" s="36" t="str">
        <f t="shared" si="33"/>
        <v/>
      </c>
      <c r="CJ7" s="37"/>
      <c r="CK7" s="33"/>
      <c r="CL7" s="34"/>
      <c r="CM7" s="35" t="str">
        <f t="shared" si="34"/>
        <v/>
      </c>
      <c r="CN7" s="36" t="str">
        <f t="shared" si="35"/>
        <v/>
      </c>
      <c r="CO7" s="37"/>
      <c r="CP7" s="33"/>
      <c r="CQ7" s="34"/>
      <c r="CR7" s="35" t="str">
        <f t="shared" si="36"/>
        <v/>
      </c>
      <c r="CS7" s="36" t="str">
        <f t="shared" si="37"/>
        <v/>
      </c>
      <c r="CT7" s="37"/>
      <c r="CU7" s="33"/>
      <c r="CV7" s="34"/>
      <c r="CW7" s="35" t="str">
        <f t="shared" si="38"/>
        <v/>
      </c>
      <c r="CX7" s="36" t="str">
        <f t="shared" si="39"/>
        <v/>
      </c>
      <c r="CY7" s="37"/>
      <c r="CZ7" s="33"/>
      <c r="DA7" s="34"/>
      <c r="DB7" s="35" t="str">
        <f t="shared" si="40"/>
        <v/>
      </c>
      <c r="DC7" s="36" t="str">
        <f t="shared" si="41"/>
        <v/>
      </c>
      <c r="DD7" s="37"/>
      <c r="DE7" s="33"/>
      <c r="DF7" s="34"/>
      <c r="DG7" s="35" t="str">
        <f t="shared" si="42"/>
        <v/>
      </c>
      <c r="DH7" s="36" t="str">
        <f t="shared" si="43"/>
        <v/>
      </c>
      <c r="DI7" s="37"/>
      <c r="DJ7" s="33"/>
      <c r="DK7" s="34"/>
      <c r="DL7" s="35" t="str">
        <f t="shared" si="44"/>
        <v/>
      </c>
      <c r="DM7" s="36" t="str">
        <f t="shared" si="45"/>
        <v/>
      </c>
      <c r="DN7" s="37"/>
      <c r="DO7" s="33"/>
      <c r="DP7" s="34"/>
      <c r="DQ7" s="35" t="str">
        <f t="shared" si="46"/>
        <v/>
      </c>
      <c r="DR7" s="36" t="str">
        <f t="shared" si="47"/>
        <v/>
      </c>
      <c r="DS7" s="37"/>
      <c r="DT7" s="33"/>
      <c r="DU7" s="34"/>
      <c r="DV7" s="35" t="str">
        <f t="shared" si="48"/>
        <v/>
      </c>
      <c r="DW7" s="36" t="str">
        <f t="shared" si="49"/>
        <v/>
      </c>
      <c r="DX7" s="37"/>
      <c r="DY7" s="33"/>
      <c r="DZ7" s="34"/>
      <c r="EA7" s="35" t="str">
        <f t="shared" si="50"/>
        <v/>
      </c>
      <c r="EB7" s="36" t="str">
        <f t="shared" si="51"/>
        <v/>
      </c>
      <c r="EC7" s="37"/>
      <c r="ED7" s="33"/>
      <c r="EE7" s="34"/>
      <c r="EF7" s="35" t="str">
        <f t="shared" si="52"/>
        <v/>
      </c>
      <c r="EG7" s="36" t="str">
        <f t="shared" si="53"/>
        <v/>
      </c>
      <c r="EH7" s="37"/>
      <c r="EI7" s="33"/>
      <c r="EJ7" s="34"/>
      <c r="EK7" s="35" t="str">
        <f t="shared" si="54"/>
        <v/>
      </c>
      <c r="EL7" s="36" t="str">
        <f t="shared" si="55"/>
        <v/>
      </c>
      <c r="EM7" s="37"/>
      <c r="EN7" s="33"/>
      <c r="EO7" s="34"/>
      <c r="EP7" s="35" t="str">
        <f t="shared" si="56"/>
        <v/>
      </c>
      <c r="EQ7" s="36" t="str">
        <f t="shared" si="57"/>
        <v/>
      </c>
      <c r="ER7" s="37"/>
      <c r="ES7" s="33"/>
      <c r="ET7" s="34"/>
      <c r="EU7" s="35" t="str">
        <f t="shared" si="58"/>
        <v/>
      </c>
      <c r="EV7" s="36" t="str">
        <f t="shared" si="59"/>
        <v/>
      </c>
      <c r="EW7" s="37"/>
    </row>
    <row r="8" spans="1:153" ht="19.5" customHeight="1">
      <c r="A8" s="32">
        <f>IF(DAY(DATE(対象年度,7,5))&lt;&gt;5,"",5)</f>
        <v>5</v>
      </c>
      <c r="B8" s="32" t="str">
        <f>IF(DAY(DATE(対象年度,7,5))&lt;&gt;5,"",CHOOSE(WEEKDAY(DATE(対象年度,7,5),2),"月","火","水","木","金","土","日"))</f>
        <v>日</v>
      </c>
      <c r="C8" s="32" t="str">
        <f>IF(DAY(DATE(対象年度,7,5))&lt;&gt;5,"",IF(ISNUMBER(MATCH(DATE(対象年度,7,5),祝日リスト,0)),"祝",""))</f>
        <v/>
      </c>
      <c r="D8" s="33"/>
      <c r="E8" s="34"/>
      <c r="F8" s="35" t="str">
        <f t="shared" si="0"/>
        <v/>
      </c>
      <c r="G8" s="36" t="str">
        <f t="shared" si="1"/>
        <v/>
      </c>
      <c r="H8" s="37"/>
      <c r="I8" s="33"/>
      <c r="J8" s="34"/>
      <c r="K8" s="35" t="str">
        <f t="shared" si="2"/>
        <v/>
      </c>
      <c r="L8" s="36" t="str">
        <f t="shared" si="3"/>
        <v/>
      </c>
      <c r="M8" s="37"/>
      <c r="N8" s="33"/>
      <c r="O8" s="34"/>
      <c r="P8" s="35" t="str">
        <f t="shared" si="4"/>
        <v/>
      </c>
      <c r="Q8" s="36" t="str">
        <f t="shared" si="5"/>
        <v/>
      </c>
      <c r="R8" s="37"/>
      <c r="S8" s="33"/>
      <c r="T8" s="34"/>
      <c r="U8" s="35" t="str">
        <f t="shared" si="6"/>
        <v/>
      </c>
      <c r="V8" s="36" t="str">
        <f t="shared" si="7"/>
        <v/>
      </c>
      <c r="W8" s="37"/>
      <c r="X8" s="33"/>
      <c r="Y8" s="34"/>
      <c r="Z8" s="35" t="str">
        <f t="shared" si="8"/>
        <v/>
      </c>
      <c r="AA8" s="36" t="str">
        <f t="shared" si="9"/>
        <v/>
      </c>
      <c r="AB8" s="37"/>
      <c r="AC8" s="33"/>
      <c r="AD8" s="34"/>
      <c r="AE8" s="35" t="str">
        <f t="shared" si="10"/>
        <v/>
      </c>
      <c r="AF8" s="36" t="str">
        <f t="shared" si="11"/>
        <v/>
      </c>
      <c r="AG8" s="37"/>
      <c r="AH8" s="33"/>
      <c r="AI8" s="34"/>
      <c r="AJ8" s="35" t="str">
        <f t="shared" si="12"/>
        <v/>
      </c>
      <c r="AK8" s="36" t="str">
        <f t="shared" si="13"/>
        <v/>
      </c>
      <c r="AL8" s="37"/>
      <c r="AM8" s="33"/>
      <c r="AN8" s="34"/>
      <c r="AO8" s="35" t="str">
        <f t="shared" si="14"/>
        <v/>
      </c>
      <c r="AP8" s="36" t="str">
        <f t="shared" si="15"/>
        <v/>
      </c>
      <c r="AQ8" s="37"/>
      <c r="AR8" s="33"/>
      <c r="AS8" s="34"/>
      <c r="AT8" s="35" t="str">
        <f t="shared" si="16"/>
        <v/>
      </c>
      <c r="AU8" s="36" t="str">
        <f t="shared" si="17"/>
        <v/>
      </c>
      <c r="AV8" s="37"/>
      <c r="AW8" s="33"/>
      <c r="AX8" s="34"/>
      <c r="AY8" s="35" t="str">
        <f t="shared" si="18"/>
        <v/>
      </c>
      <c r="AZ8" s="36" t="str">
        <f t="shared" si="19"/>
        <v/>
      </c>
      <c r="BA8" s="37"/>
      <c r="BB8" s="33"/>
      <c r="BC8" s="34"/>
      <c r="BD8" s="35" t="str">
        <f t="shared" si="20"/>
        <v/>
      </c>
      <c r="BE8" s="36" t="str">
        <f t="shared" si="21"/>
        <v/>
      </c>
      <c r="BF8" s="37"/>
      <c r="BG8" s="33"/>
      <c r="BH8" s="34"/>
      <c r="BI8" s="35" t="str">
        <f t="shared" si="22"/>
        <v/>
      </c>
      <c r="BJ8" s="36" t="str">
        <f t="shared" si="23"/>
        <v/>
      </c>
      <c r="BK8" s="37"/>
      <c r="BL8" s="33"/>
      <c r="BM8" s="34"/>
      <c r="BN8" s="35" t="str">
        <f t="shared" si="24"/>
        <v/>
      </c>
      <c r="BO8" s="36" t="str">
        <f t="shared" si="25"/>
        <v/>
      </c>
      <c r="BP8" s="37"/>
      <c r="BQ8" s="33"/>
      <c r="BR8" s="34"/>
      <c r="BS8" s="35" t="str">
        <f t="shared" si="26"/>
        <v/>
      </c>
      <c r="BT8" s="36" t="str">
        <f t="shared" si="27"/>
        <v/>
      </c>
      <c r="BU8" s="37"/>
      <c r="BV8" s="33"/>
      <c r="BW8" s="34"/>
      <c r="BX8" s="35" t="str">
        <f t="shared" si="28"/>
        <v/>
      </c>
      <c r="BY8" s="36" t="str">
        <f t="shared" si="29"/>
        <v/>
      </c>
      <c r="BZ8" s="37"/>
      <c r="CA8" s="33"/>
      <c r="CB8" s="34"/>
      <c r="CC8" s="35" t="str">
        <f t="shared" si="30"/>
        <v/>
      </c>
      <c r="CD8" s="36" t="str">
        <f t="shared" si="31"/>
        <v/>
      </c>
      <c r="CE8" s="37"/>
      <c r="CF8" s="33"/>
      <c r="CG8" s="34"/>
      <c r="CH8" s="35" t="str">
        <f t="shared" si="32"/>
        <v/>
      </c>
      <c r="CI8" s="36" t="str">
        <f t="shared" si="33"/>
        <v/>
      </c>
      <c r="CJ8" s="37"/>
      <c r="CK8" s="33"/>
      <c r="CL8" s="34"/>
      <c r="CM8" s="35" t="str">
        <f t="shared" si="34"/>
        <v/>
      </c>
      <c r="CN8" s="36" t="str">
        <f t="shared" si="35"/>
        <v/>
      </c>
      <c r="CO8" s="37"/>
      <c r="CP8" s="33"/>
      <c r="CQ8" s="34"/>
      <c r="CR8" s="35" t="str">
        <f t="shared" si="36"/>
        <v/>
      </c>
      <c r="CS8" s="36" t="str">
        <f t="shared" si="37"/>
        <v/>
      </c>
      <c r="CT8" s="37"/>
      <c r="CU8" s="33"/>
      <c r="CV8" s="34"/>
      <c r="CW8" s="35" t="str">
        <f t="shared" si="38"/>
        <v/>
      </c>
      <c r="CX8" s="36" t="str">
        <f t="shared" si="39"/>
        <v/>
      </c>
      <c r="CY8" s="37"/>
      <c r="CZ8" s="33"/>
      <c r="DA8" s="34"/>
      <c r="DB8" s="35" t="str">
        <f t="shared" si="40"/>
        <v/>
      </c>
      <c r="DC8" s="36" t="str">
        <f t="shared" si="41"/>
        <v/>
      </c>
      <c r="DD8" s="37"/>
      <c r="DE8" s="33"/>
      <c r="DF8" s="34"/>
      <c r="DG8" s="35" t="str">
        <f t="shared" si="42"/>
        <v/>
      </c>
      <c r="DH8" s="36" t="str">
        <f t="shared" si="43"/>
        <v/>
      </c>
      <c r="DI8" s="37"/>
      <c r="DJ8" s="33"/>
      <c r="DK8" s="34"/>
      <c r="DL8" s="35" t="str">
        <f t="shared" si="44"/>
        <v/>
      </c>
      <c r="DM8" s="36" t="str">
        <f t="shared" si="45"/>
        <v/>
      </c>
      <c r="DN8" s="37"/>
      <c r="DO8" s="33"/>
      <c r="DP8" s="34"/>
      <c r="DQ8" s="35" t="str">
        <f t="shared" si="46"/>
        <v/>
      </c>
      <c r="DR8" s="36" t="str">
        <f t="shared" si="47"/>
        <v/>
      </c>
      <c r="DS8" s="37"/>
      <c r="DT8" s="33"/>
      <c r="DU8" s="34"/>
      <c r="DV8" s="35" t="str">
        <f t="shared" si="48"/>
        <v/>
      </c>
      <c r="DW8" s="36" t="str">
        <f t="shared" si="49"/>
        <v/>
      </c>
      <c r="DX8" s="37"/>
      <c r="DY8" s="33"/>
      <c r="DZ8" s="34"/>
      <c r="EA8" s="35" t="str">
        <f t="shared" si="50"/>
        <v/>
      </c>
      <c r="EB8" s="36" t="str">
        <f t="shared" si="51"/>
        <v/>
      </c>
      <c r="EC8" s="37"/>
      <c r="ED8" s="33"/>
      <c r="EE8" s="34"/>
      <c r="EF8" s="35" t="str">
        <f t="shared" si="52"/>
        <v/>
      </c>
      <c r="EG8" s="36" t="str">
        <f t="shared" si="53"/>
        <v/>
      </c>
      <c r="EH8" s="37"/>
      <c r="EI8" s="33"/>
      <c r="EJ8" s="34"/>
      <c r="EK8" s="35" t="str">
        <f t="shared" si="54"/>
        <v/>
      </c>
      <c r="EL8" s="36" t="str">
        <f t="shared" si="55"/>
        <v/>
      </c>
      <c r="EM8" s="37"/>
      <c r="EN8" s="33"/>
      <c r="EO8" s="34"/>
      <c r="EP8" s="35" t="str">
        <f t="shared" si="56"/>
        <v/>
      </c>
      <c r="EQ8" s="36" t="str">
        <f t="shared" si="57"/>
        <v/>
      </c>
      <c r="ER8" s="37"/>
      <c r="ES8" s="33"/>
      <c r="ET8" s="34"/>
      <c r="EU8" s="35" t="str">
        <f t="shared" si="58"/>
        <v/>
      </c>
      <c r="EV8" s="36" t="str">
        <f t="shared" si="59"/>
        <v/>
      </c>
      <c r="EW8" s="37"/>
    </row>
    <row r="9" spans="1:153" ht="19.5" customHeight="1">
      <c r="A9" s="32">
        <f>IF(DAY(DATE(対象年度,7,6))&lt;&gt;6,"",6)</f>
        <v>6</v>
      </c>
      <c r="B9" s="32" t="str">
        <f>IF(DAY(DATE(対象年度,7,6))&lt;&gt;6,"",CHOOSE(WEEKDAY(DATE(対象年度,7,6),2),"月","火","水","木","金","土","日"))</f>
        <v>月</v>
      </c>
      <c r="C9" s="32" t="str">
        <f>IF(DAY(DATE(対象年度,7,6))&lt;&gt;6,"",IF(ISNUMBER(MATCH(DATE(対象年度,7,6),祝日リスト,0)),"祝",""))</f>
        <v/>
      </c>
      <c r="D9" s="33"/>
      <c r="E9" s="34"/>
      <c r="F9" s="35" t="str">
        <f t="shared" si="0"/>
        <v/>
      </c>
      <c r="G9" s="36" t="str">
        <f t="shared" si="1"/>
        <v/>
      </c>
      <c r="H9" s="37"/>
      <c r="I9" s="33"/>
      <c r="J9" s="34"/>
      <c r="K9" s="35" t="str">
        <f t="shared" si="2"/>
        <v/>
      </c>
      <c r="L9" s="36" t="str">
        <f t="shared" si="3"/>
        <v/>
      </c>
      <c r="M9" s="37"/>
      <c r="N9" s="33"/>
      <c r="O9" s="34"/>
      <c r="P9" s="35" t="str">
        <f t="shared" si="4"/>
        <v/>
      </c>
      <c r="Q9" s="36" t="str">
        <f t="shared" si="5"/>
        <v/>
      </c>
      <c r="R9" s="37"/>
      <c r="S9" s="33"/>
      <c r="T9" s="34"/>
      <c r="U9" s="35" t="str">
        <f t="shared" si="6"/>
        <v/>
      </c>
      <c r="V9" s="36" t="str">
        <f t="shared" si="7"/>
        <v/>
      </c>
      <c r="W9" s="37"/>
      <c r="X9" s="33"/>
      <c r="Y9" s="34"/>
      <c r="Z9" s="35" t="str">
        <f t="shared" si="8"/>
        <v/>
      </c>
      <c r="AA9" s="36" t="str">
        <f t="shared" si="9"/>
        <v/>
      </c>
      <c r="AB9" s="37"/>
      <c r="AC9" s="33"/>
      <c r="AD9" s="34"/>
      <c r="AE9" s="35" t="str">
        <f t="shared" si="10"/>
        <v/>
      </c>
      <c r="AF9" s="36" t="str">
        <f t="shared" si="11"/>
        <v/>
      </c>
      <c r="AG9" s="37"/>
      <c r="AH9" s="33"/>
      <c r="AI9" s="34"/>
      <c r="AJ9" s="35" t="str">
        <f t="shared" si="12"/>
        <v/>
      </c>
      <c r="AK9" s="36" t="str">
        <f t="shared" si="13"/>
        <v/>
      </c>
      <c r="AL9" s="37"/>
      <c r="AM9" s="33"/>
      <c r="AN9" s="34"/>
      <c r="AO9" s="35" t="str">
        <f t="shared" si="14"/>
        <v/>
      </c>
      <c r="AP9" s="36" t="str">
        <f t="shared" si="15"/>
        <v/>
      </c>
      <c r="AQ9" s="37"/>
      <c r="AR9" s="33"/>
      <c r="AS9" s="34"/>
      <c r="AT9" s="35" t="str">
        <f t="shared" si="16"/>
        <v/>
      </c>
      <c r="AU9" s="36" t="str">
        <f t="shared" si="17"/>
        <v/>
      </c>
      <c r="AV9" s="37"/>
      <c r="AW9" s="33"/>
      <c r="AX9" s="34"/>
      <c r="AY9" s="35" t="str">
        <f t="shared" si="18"/>
        <v/>
      </c>
      <c r="AZ9" s="36" t="str">
        <f t="shared" si="19"/>
        <v/>
      </c>
      <c r="BA9" s="37"/>
      <c r="BB9" s="33"/>
      <c r="BC9" s="34"/>
      <c r="BD9" s="35" t="str">
        <f t="shared" si="20"/>
        <v/>
      </c>
      <c r="BE9" s="36" t="str">
        <f t="shared" si="21"/>
        <v/>
      </c>
      <c r="BF9" s="37"/>
      <c r="BG9" s="33"/>
      <c r="BH9" s="34"/>
      <c r="BI9" s="35" t="str">
        <f t="shared" si="22"/>
        <v/>
      </c>
      <c r="BJ9" s="36" t="str">
        <f t="shared" si="23"/>
        <v/>
      </c>
      <c r="BK9" s="37"/>
      <c r="BL9" s="33"/>
      <c r="BM9" s="34"/>
      <c r="BN9" s="35" t="str">
        <f t="shared" si="24"/>
        <v/>
      </c>
      <c r="BO9" s="36" t="str">
        <f t="shared" si="25"/>
        <v/>
      </c>
      <c r="BP9" s="37"/>
      <c r="BQ9" s="33"/>
      <c r="BR9" s="34"/>
      <c r="BS9" s="35" t="str">
        <f t="shared" si="26"/>
        <v/>
      </c>
      <c r="BT9" s="36" t="str">
        <f t="shared" si="27"/>
        <v/>
      </c>
      <c r="BU9" s="37"/>
      <c r="BV9" s="33"/>
      <c r="BW9" s="34"/>
      <c r="BX9" s="35" t="str">
        <f t="shared" si="28"/>
        <v/>
      </c>
      <c r="BY9" s="36" t="str">
        <f t="shared" si="29"/>
        <v/>
      </c>
      <c r="BZ9" s="37"/>
      <c r="CA9" s="33"/>
      <c r="CB9" s="34"/>
      <c r="CC9" s="35" t="str">
        <f t="shared" si="30"/>
        <v/>
      </c>
      <c r="CD9" s="36" t="str">
        <f t="shared" si="31"/>
        <v/>
      </c>
      <c r="CE9" s="37"/>
      <c r="CF9" s="33"/>
      <c r="CG9" s="34"/>
      <c r="CH9" s="35" t="str">
        <f t="shared" si="32"/>
        <v/>
      </c>
      <c r="CI9" s="36" t="str">
        <f t="shared" si="33"/>
        <v/>
      </c>
      <c r="CJ9" s="37"/>
      <c r="CK9" s="33"/>
      <c r="CL9" s="34"/>
      <c r="CM9" s="35" t="str">
        <f t="shared" si="34"/>
        <v/>
      </c>
      <c r="CN9" s="36" t="str">
        <f t="shared" si="35"/>
        <v/>
      </c>
      <c r="CO9" s="37"/>
      <c r="CP9" s="33"/>
      <c r="CQ9" s="34"/>
      <c r="CR9" s="35" t="str">
        <f t="shared" si="36"/>
        <v/>
      </c>
      <c r="CS9" s="36" t="str">
        <f t="shared" si="37"/>
        <v/>
      </c>
      <c r="CT9" s="37"/>
      <c r="CU9" s="33"/>
      <c r="CV9" s="34"/>
      <c r="CW9" s="35" t="str">
        <f t="shared" si="38"/>
        <v/>
      </c>
      <c r="CX9" s="36" t="str">
        <f t="shared" si="39"/>
        <v/>
      </c>
      <c r="CY9" s="37"/>
      <c r="CZ9" s="33"/>
      <c r="DA9" s="34"/>
      <c r="DB9" s="35" t="str">
        <f t="shared" si="40"/>
        <v/>
      </c>
      <c r="DC9" s="36" t="str">
        <f t="shared" si="41"/>
        <v/>
      </c>
      <c r="DD9" s="37"/>
      <c r="DE9" s="33"/>
      <c r="DF9" s="34"/>
      <c r="DG9" s="35" t="str">
        <f t="shared" si="42"/>
        <v/>
      </c>
      <c r="DH9" s="36" t="str">
        <f t="shared" si="43"/>
        <v/>
      </c>
      <c r="DI9" s="37"/>
      <c r="DJ9" s="33"/>
      <c r="DK9" s="34"/>
      <c r="DL9" s="35" t="str">
        <f t="shared" si="44"/>
        <v/>
      </c>
      <c r="DM9" s="36" t="str">
        <f t="shared" si="45"/>
        <v/>
      </c>
      <c r="DN9" s="37"/>
      <c r="DO9" s="33"/>
      <c r="DP9" s="34"/>
      <c r="DQ9" s="35" t="str">
        <f t="shared" si="46"/>
        <v/>
      </c>
      <c r="DR9" s="36" t="str">
        <f t="shared" si="47"/>
        <v/>
      </c>
      <c r="DS9" s="37"/>
      <c r="DT9" s="33"/>
      <c r="DU9" s="34"/>
      <c r="DV9" s="35" t="str">
        <f t="shared" si="48"/>
        <v/>
      </c>
      <c r="DW9" s="36" t="str">
        <f t="shared" si="49"/>
        <v/>
      </c>
      <c r="DX9" s="37"/>
      <c r="DY9" s="33"/>
      <c r="DZ9" s="34"/>
      <c r="EA9" s="35" t="str">
        <f t="shared" si="50"/>
        <v/>
      </c>
      <c r="EB9" s="36" t="str">
        <f t="shared" si="51"/>
        <v/>
      </c>
      <c r="EC9" s="37"/>
      <c r="ED9" s="33"/>
      <c r="EE9" s="34"/>
      <c r="EF9" s="35" t="str">
        <f t="shared" si="52"/>
        <v/>
      </c>
      <c r="EG9" s="36" t="str">
        <f t="shared" si="53"/>
        <v/>
      </c>
      <c r="EH9" s="37"/>
      <c r="EI9" s="33"/>
      <c r="EJ9" s="34"/>
      <c r="EK9" s="35" t="str">
        <f t="shared" si="54"/>
        <v/>
      </c>
      <c r="EL9" s="36" t="str">
        <f t="shared" si="55"/>
        <v/>
      </c>
      <c r="EM9" s="37"/>
      <c r="EN9" s="33"/>
      <c r="EO9" s="34"/>
      <c r="EP9" s="35" t="str">
        <f t="shared" si="56"/>
        <v/>
      </c>
      <c r="EQ9" s="36" t="str">
        <f t="shared" si="57"/>
        <v/>
      </c>
      <c r="ER9" s="37"/>
      <c r="ES9" s="33"/>
      <c r="ET9" s="34"/>
      <c r="EU9" s="35" t="str">
        <f t="shared" si="58"/>
        <v/>
      </c>
      <c r="EV9" s="36" t="str">
        <f t="shared" si="59"/>
        <v/>
      </c>
      <c r="EW9" s="37"/>
    </row>
    <row r="10" spans="1:153" ht="19.5" customHeight="1">
      <c r="A10" s="32">
        <f>IF(DAY(DATE(対象年度,7,7))&lt;&gt;7,"",7)</f>
        <v>7</v>
      </c>
      <c r="B10" s="32" t="str">
        <f>IF(DAY(DATE(対象年度,7,7))&lt;&gt;7,"",CHOOSE(WEEKDAY(DATE(対象年度,7,7),2),"月","火","水","木","金","土","日"))</f>
        <v>火</v>
      </c>
      <c r="C10" s="32" t="str">
        <f>IF(DAY(DATE(対象年度,7,7))&lt;&gt;7,"",IF(ISNUMBER(MATCH(DATE(対象年度,7,7),祝日リスト,0)),"祝",""))</f>
        <v/>
      </c>
      <c r="D10" s="33"/>
      <c r="E10" s="34"/>
      <c r="F10" s="35" t="str">
        <f t="shared" si="0"/>
        <v/>
      </c>
      <c r="G10" s="36" t="str">
        <f t="shared" si="1"/>
        <v/>
      </c>
      <c r="H10" s="37"/>
      <c r="I10" s="33"/>
      <c r="J10" s="34"/>
      <c r="K10" s="35" t="str">
        <f t="shared" si="2"/>
        <v/>
      </c>
      <c r="L10" s="36" t="str">
        <f t="shared" si="3"/>
        <v/>
      </c>
      <c r="M10" s="37"/>
      <c r="N10" s="33"/>
      <c r="O10" s="34"/>
      <c r="P10" s="35" t="str">
        <f t="shared" si="4"/>
        <v/>
      </c>
      <c r="Q10" s="36" t="str">
        <f t="shared" si="5"/>
        <v/>
      </c>
      <c r="R10" s="37"/>
      <c r="S10" s="33"/>
      <c r="T10" s="34"/>
      <c r="U10" s="35" t="str">
        <f t="shared" si="6"/>
        <v/>
      </c>
      <c r="V10" s="36" t="str">
        <f t="shared" si="7"/>
        <v/>
      </c>
      <c r="W10" s="37"/>
      <c r="X10" s="33"/>
      <c r="Y10" s="34"/>
      <c r="Z10" s="35" t="str">
        <f t="shared" si="8"/>
        <v/>
      </c>
      <c r="AA10" s="36" t="str">
        <f t="shared" si="9"/>
        <v/>
      </c>
      <c r="AB10" s="37"/>
      <c r="AC10" s="33"/>
      <c r="AD10" s="34"/>
      <c r="AE10" s="35" t="str">
        <f t="shared" si="10"/>
        <v/>
      </c>
      <c r="AF10" s="36" t="str">
        <f t="shared" si="11"/>
        <v/>
      </c>
      <c r="AG10" s="37"/>
      <c r="AH10" s="33"/>
      <c r="AI10" s="34"/>
      <c r="AJ10" s="35" t="str">
        <f t="shared" si="12"/>
        <v/>
      </c>
      <c r="AK10" s="36" t="str">
        <f t="shared" si="13"/>
        <v/>
      </c>
      <c r="AL10" s="37"/>
      <c r="AM10" s="33"/>
      <c r="AN10" s="34"/>
      <c r="AO10" s="35" t="str">
        <f t="shared" si="14"/>
        <v/>
      </c>
      <c r="AP10" s="36" t="str">
        <f t="shared" si="15"/>
        <v/>
      </c>
      <c r="AQ10" s="37"/>
      <c r="AR10" s="33"/>
      <c r="AS10" s="34"/>
      <c r="AT10" s="35" t="str">
        <f t="shared" si="16"/>
        <v/>
      </c>
      <c r="AU10" s="36" t="str">
        <f t="shared" si="17"/>
        <v/>
      </c>
      <c r="AV10" s="37"/>
      <c r="AW10" s="33"/>
      <c r="AX10" s="34"/>
      <c r="AY10" s="35" t="str">
        <f t="shared" si="18"/>
        <v/>
      </c>
      <c r="AZ10" s="36" t="str">
        <f t="shared" si="19"/>
        <v/>
      </c>
      <c r="BA10" s="37"/>
      <c r="BB10" s="33"/>
      <c r="BC10" s="34"/>
      <c r="BD10" s="35" t="str">
        <f t="shared" si="20"/>
        <v/>
      </c>
      <c r="BE10" s="36" t="str">
        <f t="shared" si="21"/>
        <v/>
      </c>
      <c r="BF10" s="37"/>
      <c r="BG10" s="33"/>
      <c r="BH10" s="34"/>
      <c r="BI10" s="35" t="str">
        <f t="shared" si="22"/>
        <v/>
      </c>
      <c r="BJ10" s="36" t="str">
        <f t="shared" si="23"/>
        <v/>
      </c>
      <c r="BK10" s="37"/>
      <c r="BL10" s="33"/>
      <c r="BM10" s="34"/>
      <c r="BN10" s="35" t="str">
        <f t="shared" si="24"/>
        <v/>
      </c>
      <c r="BO10" s="36" t="str">
        <f t="shared" si="25"/>
        <v/>
      </c>
      <c r="BP10" s="37"/>
      <c r="BQ10" s="33"/>
      <c r="BR10" s="34"/>
      <c r="BS10" s="35" t="str">
        <f t="shared" si="26"/>
        <v/>
      </c>
      <c r="BT10" s="36" t="str">
        <f t="shared" si="27"/>
        <v/>
      </c>
      <c r="BU10" s="37"/>
      <c r="BV10" s="33"/>
      <c r="BW10" s="34"/>
      <c r="BX10" s="35" t="str">
        <f t="shared" si="28"/>
        <v/>
      </c>
      <c r="BY10" s="36" t="str">
        <f t="shared" si="29"/>
        <v/>
      </c>
      <c r="BZ10" s="37"/>
      <c r="CA10" s="33"/>
      <c r="CB10" s="34"/>
      <c r="CC10" s="35" t="str">
        <f t="shared" si="30"/>
        <v/>
      </c>
      <c r="CD10" s="36" t="str">
        <f t="shared" si="31"/>
        <v/>
      </c>
      <c r="CE10" s="37"/>
      <c r="CF10" s="33"/>
      <c r="CG10" s="34"/>
      <c r="CH10" s="35" t="str">
        <f t="shared" si="32"/>
        <v/>
      </c>
      <c r="CI10" s="36" t="str">
        <f t="shared" si="33"/>
        <v/>
      </c>
      <c r="CJ10" s="37"/>
      <c r="CK10" s="33"/>
      <c r="CL10" s="34"/>
      <c r="CM10" s="35" t="str">
        <f t="shared" si="34"/>
        <v/>
      </c>
      <c r="CN10" s="36" t="str">
        <f t="shared" si="35"/>
        <v/>
      </c>
      <c r="CO10" s="37"/>
      <c r="CP10" s="33"/>
      <c r="CQ10" s="34"/>
      <c r="CR10" s="35" t="str">
        <f t="shared" si="36"/>
        <v/>
      </c>
      <c r="CS10" s="36" t="str">
        <f t="shared" si="37"/>
        <v/>
      </c>
      <c r="CT10" s="37"/>
      <c r="CU10" s="33"/>
      <c r="CV10" s="34"/>
      <c r="CW10" s="35" t="str">
        <f t="shared" si="38"/>
        <v/>
      </c>
      <c r="CX10" s="36" t="str">
        <f t="shared" si="39"/>
        <v/>
      </c>
      <c r="CY10" s="37"/>
      <c r="CZ10" s="33"/>
      <c r="DA10" s="34"/>
      <c r="DB10" s="35" t="str">
        <f t="shared" si="40"/>
        <v/>
      </c>
      <c r="DC10" s="36" t="str">
        <f t="shared" si="41"/>
        <v/>
      </c>
      <c r="DD10" s="37"/>
      <c r="DE10" s="33"/>
      <c r="DF10" s="34"/>
      <c r="DG10" s="35" t="str">
        <f t="shared" si="42"/>
        <v/>
      </c>
      <c r="DH10" s="36" t="str">
        <f t="shared" si="43"/>
        <v/>
      </c>
      <c r="DI10" s="37"/>
      <c r="DJ10" s="33"/>
      <c r="DK10" s="34"/>
      <c r="DL10" s="35" t="str">
        <f t="shared" si="44"/>
        <v/>
      </c>
      <c r="DM10" s="36" t="str">
        <f t="shared" si="45"/>
        <v/>
      </c>
      <c r="DN10" s="37"/>
      <c r="DO10" s="33"/>
      <c r="DP10" s="34"/>
      <c r="DQ10" s="35" t="str">
        <f t="shared" si="46"/>
        <v/>
      </c>
      <c r="DR10" s="36" t="str">
        <f t="shared" si="47"/>
        <v/>
      </c>
      <c r="DS10" s="37"/>
      <c r="DT10" s="33"/>
      <c r="DU10" s="34"/>
      <c r="DV10" s="35" t="str">
        <f t="shared" si="48"/>
        <v/>
      </c>
      <c r="DW10" s="36" t="str">
        <f t="shared" si="49"/>
        <v/>
      </c>
      <c r="DX10" s="37"/>
      <c r="DY10" s="33"/>
      <c r="DZ10" s="34"/>
      <c r="EA10" s="35" t="str">
        <f t="shared" si="50"/>
        <v/>
      </c>
      <c r="EB10" s="36" t="str">
        <f t="shared" si="51"/>
        <v/>
      </c>
      <c r="EC10" s="37"/>
      <c r="ED10" s="33"/>
      <c r="EE10" s="34"/>
      <c r="EF10" s="35" t="str">
        <f t="shared" si="52"/>
        <v/>
      </c>
      <c r="EG10" s="36" t="str">
        <f t="shared" si="53"/>
        <v/>
      </c>
      <c r="EH10" s="37"/>
      <c r="EI10" s="33"/>
      <c r="EJ10" s="34"/>
      <c r="EK10" s="35" t="str">
        <f t="shared" si="54"/>
        <v/>
      </c>
      <c r="EL10" s="36" t="str">
        <f t="shared" si="55"/>
        <v/>
      </c>
      <c r="EM10" s="37"/>
      <c r="EN10" s="33"/>
      <c r="EO10" s="34"/>
      <c r="EP10" s="35" t="str">
        <f t="shared" si="56"/>
        <v/>
      </c>
      <c r="EQ10" s="36" t="str">
        <f t="shared" si="57"/>
        <v/>
      </c>
      <c r="ER10" s="37"/>
      <c r="ES10" s="33"/>
      <c r="ET10" s="34"/>
      <c r="EU10" s="35" t="str">
        <f t="shared" si="58"/>
        <v/>
      </c>
      <c r="EV10" s="36" t="str">
        <f t="shared" si="59"/>
        <v/>
      </c>
      <c r="EW10" s="37"/>
    </row>
    <row r="11" spans="1:153" ht="19.5" customHeight="1">
      <c r="A11" s="32">
        <f>IF(DAY(DATE(対象年度,7,8))&lt;&gt;8,"",8)</f>
        <v>8</v>
      </c>
      <c r="B11" s="32" t="str">
        <f>IF(DAY(DATE(対象年度,7,8))&lt;&gt;8,"",CHOOSE(WEEKDAY(DATE(対象年度,7,8),2),"月","火","水","木","金","土","日"))</f>
        <v>水</v>
      </c>
      <c r="C11" s="32" t="str">
        <f>IF(DAY(DATE(対象年度,7,8))&lt;&gt;8,"",IF(ISNUMBER(MATCH(DATE(対象年度,7,8),祝日リスト,0)),"祝",""))</f>
        <v/>
      </c>
      <c r="D11" s="33"/>
      <c r="E11" s="34"/>
      <c r="F11" s="35" t="str">
        <f t="shared" si="0"/>
        <v/>
      </c>
      <c r="G11" s="36" t="str">
        <f t="shared" si="1"/>
        <v/>
      </c>
      <c r="H11" s="37"/>
      <c r="I11" s="33"/>
      <c r="J11" s="34"/>
      <c r="K11" s="35" t="str">
        <f t="shared" si="2"/>
        <v/>
      </c>
      <c r="L11" s="36" t="str">
        <f t="shared" si="3"/>
        <v/>
      </c>
      <c r="M11" s="37"/>
      <c r="N11" s="33"/>
      <c r="O11" s="34"/>
      <c r="P11" s="35" t="str">
        <f t="shared" si="4"/>
        <v/>
      </c>
      <c r="Q11" s="36" t="str">
        <f t="shared" si="5"/>
        <v/>
      </c>
      <c r="R11" s="37"/>
      <c r="S11" s="33"/>
      <c r="T11" s="34"/>
      <c r="U11" s="35" t="str">
        <f t="shared" si="6"/>
        <v/>
      </c>
      <c r="V11" s="36" t="str">
        <f t="shared" si="7"/>
        <v/>
      </c>
      <c r="W11" s="37"/>
      <c r="X11" s="33"/>
      <c r="Y11" s="34"/>
      <c r="Z11" s="35" t="str">
        <f t="shared" si="8"/>
        <v/>
      </c>
      <c r="AA11" s="36" t="str">
        <f t="shared" si="9"/>
        <v/>
      </c>
      <c r="AB11" s="37"/>
      <c r="AC11" s="33"/>
      <c r="AD11" s="34"/>
      <c r="AE11" s="35" t="str">
        <f t="shared" si="10"/>
        <v/>
      </c>
      <c r="AF11" s="36" t="str">
        <f t="shared" si="11"/>
        <v/>
      </c>
      <c r="AG11" s="37"/>
      <c r="AH11" s="33"/>
      <c r="AI11" s="34"/>
      <c r="AJ11" s="35" t="str">
        <f t="shared" si="12"/>
        <v/>
      </c>
      <c r="AK11" s="36" t="str">
        <f t="shared" si="13"/>
        <v/>
      </c>
      <c r="AL11" s="37"/>
      <c r="AM11" s="33"/>
      <c r="AN11" s="34"/>
      <c r="AO11" s="35" t="str">
        <f t="shared" si="14"/>
        <v/>
      </c>
      <c r="AP11" s="36" t="str">
        <f t="shared" si="15"/>
        <v/>
      </c>
      <c r="AQ11" s="37"/>
      <c r="AR11" s="33"/>
      <c r="AS11" s="34"/>
      <c r="AT11" s="35" t="str">
        <f t="shared" si="16"/>
        <v/>
      </c>
      <c r="AU11" s="36" t="str">
        <f t="shared" si="17"/>
        <v/>
      </c>
      <c r="AV11" s="37"/>
      <c r="AW11" s="33"/>
      <c r="AX11" s="34"/>
      <c r="AY11" s="35" t="str">
        <f t="shared" si="18"/>
        <v/>
      </c>
      <c r="AZ11" s="36" t="str">
        <f t="shared" si="19"/>
        <v/>
      </c>
      <c r="BA11" s="37"/>
      <c r="BB11" s="33"/>
      <c r="BC11" s="34"/>
      <c r="BD11" s="35" t="str">
        <f t="shared" si="20"/>
        <v/>
      </c>
      <c r="BE11" s="36" t="str">
        <f t="shared" si="21"/>
        <v/>
      </c>
      <c r="BF11" s="37"/>
      <c r="BG11" s="33"/>
      <c r="BH11" s="34"/>
      <c r="BI11" s="35" t="str">
        <f t="shared" si="22"/>
        <v/>
      </c>
      <c r="BJ11" s="36" t="str">
        <f t="shared" si="23"/>
        <v/>
      </c>
      <c r="BK11" s="37"/>
      <c r="BL11" s="33"/>
      <c r="BM11" s="34"/>
      <c r="BN11" s="35" t="str">
        <f t="shared" si="24"/>
        <v/>
      </c>
      <c r="BO11" s="36" t="str">
        <f t="shared" si="25"/>
        <v/>
      </c>
      <c r="BP11" s="37"/>
      <c r="BQ11" s="33"/>
      <c r="BR11" s="34"/>
      <c r="BS11" s="35" t="str">
        <f t="shared" si="26"/>
        <v/>
      </c>
      <c r="BT11" s="36" t="str">
        <f t="shared" si="27"/>
        <v/>
      </c>
      <c r="BU11" s="37"/>
      <c r="BV11" s="33"/>
      <c r="BW11" s="34"/>
      <c r="BX11" s="35" t="str">
        <f t="shared" si="28"/>
        <v/>
      </c>
      <c r="BY11" s="36" t="str">
        <f t="shared" si="29"/>
        <v/>
      </c>
      <c r="BZ11" s="37"/>
      <c r="CA11" s="33"/>
      <c r="CB11" s="34"/>
      <c r="CC11" s="35" t="str">
        <f t="shared" si="30"/>
        <v/>
      </c>
      <c r="CD11" s="36" t="str">
        <f t="shared" si="31"/>
        <v/>
      </c>
      <c r="CE11" s="37"/>
      <c r="CF11" s="33"/>
      <c r="CG11" s="34"/>
      <c r="CH11" s="35" t="str">
        <f t="shared" si="32"/>
        <v/>
      </c>
      <c r="CI11" s="36" t="str">
        <f t="shared" si="33"/>
        <v/>
      </c>
      <c r="CJ11" s="37"/>
      <c r="CK11" s="33"/>
      <c r="CL11" s="34"/>
      <c r="CM11" s="35" t="str">
        <f t="shared" si="34"/>
        <v/>
      </c>
      <c r="CN11" s="36" t="str">
        <f t="shared" si="35"/>
        <v/>
      </c>
      <c r="CO11" s="37"/>
      <c r="CP11" s="33"/>
      <c r="CQ11" s="34"/>
      <c r="CR11" s="35" t="str">
        <f t="shared" si="36"/>
        <v/>
      </c>
      <c r="CS11" s="36" t="str">
        <f t="shared" si="37"/>
        <v/>
      </c>
      <c r="CT11" s="37"/>
      <c r="CU11" s="33"/>
      <c r="CV11" s="34"/>
      <c r="CW11" s="35" t="str">
        <f t="shared" si="38"/>
        <v/>
      </c>
      <c r="CX11" s="36" t="str">
        <f t="shared" si="39"/>
        <v/>
      </c>
      <c r="CY11" s="37"/>
      <c r="CZ11" s="33"/>
      <c r="DA11" s="34"/>
      <c r="DB11" s="35" t="str">
        <f t="shared" si="40"/>
        <v/>
      </c>
      <c r="DC11" s="36" t="str">
        <f t="shared" si="41"/>
        <v/>
      </c>
      <c r="DD11" s="37"/>
      <c r="DE11" s="33"/>
      <c r="DF11" s="34"/>
      <c r="DG11" s="35" t="str">
        <f t="shared" si="42"/>
        <v/>
      </c>
      <c r="DH11" s="36" t="str">
        <f t="shared" si="43"/>
        <v/>
      </c>
      <c r="DI11" s="37"/>
      <c r="DJ11" s="33"/>
      <c r="DK11" s="34"/>
      <c r="DL11" s="35" t="str">
        <f t="shared" si="44"/>
        <v/>
      </c>
      <c r="DM11" s="36" t="str">
        <f t="shared" si="45"/>
        <v/>
      </c>
      <c r="DN11" s="37"/>
      <c r="DO11" s="33"/>
      <c r="DP11" s="34"/>
      <c r="DQ11" s="35" t="str">
        <f t="shared" si="46"/>
        <v/>
      </c>
      <c r="DR11" s="36" t="str">
        <f t="shared" si="47"/>
        <v/>
      </c>
      <c r="DS11" s="37"/>
      <c r="DT11" s="33"/>
      <c r="DU11" s="34"/>
      <c r="DV11" s="35" t="str">
        <f t="shared" si="48"/>
        <v/>
      </c>
      <c r="DW11" s="36" t="str">
        <f t="shared" si="49"/>
        <v/>
      </c>
      <c r="DX11" s="37"/>
      <c r="DY11" s="33"/>
      <c r="DZ11" s="34"/>
      <c r="EA11" s="35" t="str">
        <f t="shared" si="50"/>
        <v/>
      </c>
      <c r="EB11" s="36" t="str">
        <f t="shared" si="51"/>
        <v/>
      </c>
      <c r="EC11" s="37"/>
      <c r="ED11" s="33"/>
      <c r="EE11" s="34"/>
      <c r="EF11" s="35" t="str">
        <f t="shared" si="52"/>
        <v/>
      </c>
      <c r="EG11" s="36" t="str">
        <f t="shared" si="53"/>
        <v/>
      </c>
      <c r="EH11" s="37"/>
      <c r="EI11" s="33"/>
      <c r="EJ11" s="34"/>
      <c r="EK11" s="35" t="str">
        <f t="shared" si="54"/>
        <v/>
      </c>
      <c r="EL11" s="36" t="str">
        <f t="shared" si="55"/>
        <v/>
      </c>
      <c r="EM11" s="37"/>
      <c r="EN11" s="33"/>
      <c r="EO11" s="34"/>
      <c r="EP11" s="35" t="str">
        <f t="shared" si="56"/>
        <v/>
      </c>
      <c r="EQ11" s="36" t="str">
        <f t="shared" si="57"/>
        <v/>
      </c>
      <c r="ER11" s="37"/>
      <c r="ES11" s="33"/>
      <c r="ET11" s="34"/>
      <c r="EU11" s="35" t="str">
        <f t="shared" si="58"/>
        <v/>
      </c>
      <c r="EV11" s="36" t="str">
        <f t="shared" si="59"/>
        <v/>
      </c>
      <c r="EW11" s="37"/>
    </row>
    <row r="12" spans="1:153" ht="19.5" customHeight="1">
      <c r="A12" s="32">
        <f>IF(DAY(DATE(対象年度,7,9))&lt;&gt;9,"",9)</f>
        <v>9</v>
      </c>
      <c r="B12" s="32" t="str">
        <f>IF(DAY(DATE(対象年度,7,9))&lt;&gt;9,"",CHOOSE(WEEKDAY(DATE(対象年度,7,9),2),"月","火","水","木","金","土","日"))</f>
        <v>木</v>
      </c>
      <c r="C12" s="32" t="str">
        <f>IF(DAY(DATE(対象年度,7,9))&lt;&gt;9,"",IF(ISNUMBER(MATCH(DATE(対象年度,7,9),祝日リスト,0)),"祝",""))</f>
        <v/>
      </c>
      <c r="D12" s="33"/>
      <c r="E12" s="34"/>
      <c r="F12" s="35" t="str">
        <f t="shared" si="0"/>
        <v/>
      </c>
      <c r="G12" s="36" t="str">
        <f t="shared" si="1"/>
        <v/>
      </c>
      <c r="H12" s="37"/>
      <c r="I12" s="33"/>
      <c r="J12" s="34"/>
      <c r="K12" s="35" t="str">
        <f t="shared" si="2"/>
        <v/>
      </c>
      <c r="L12" s="36" t="str">
        <f t="shared" si="3"/>
        <v/>
      </c>
      <c r="M12" s="37"/>
      <c r="N12" s="33"/>
      <c r="O12" s="34"/>
      <c r="P12" s="35" t="str">
        <f t="shared" si="4"/>
        <v/>
      </c>
      <c r="Q12" s="36" t="str">
        <f t="shared" si="5"/>
        <v/>
      </c>
      <c r="R12" s="37"/>
      <c r="S12" s="33"/>
      <c r="T12" s="34"/>
      <c r="U12" s="35" t="str">
        <f t="shared" si="6"/>
        <v/>
      </c>
      <c r="V12" s="36" t="str">
        <f t="shared" si="7"/>
        <v/>
      </c>
      <c r="W12" s="37"/>
      <c r="X12" s="33"/>
      <c r="Y12" s="34"/>
      <c r="Z12" s="35" t="str">
        <f t="shared" si="8"/>
        <v/>
      </c>
      <c r="AA12" s="36" t="str">
        <f t="shared" si="9"/>
        <v/>
      </c>
      <c r="AB12" s="37"/>
      <c r="AC12" s="33"/>
      <c r="AD12" s="34"/>
      <c r="AE12" s="35" t="str">
        <f t="shared" si="10"/>
        <v/>
      </c>
      <c r="AF12" s="36" t="str">
        <f t="shared" si="11"/>
        <v/>
      </c>
      <c r="AG12" s="37"/>
      <c r="AH12" s="33"/>
      <c r="AI12" s="34"/>
      <c r="AJ12" s="35" t="str">
        <f t="shared" si="12"/>
        <v/>
      </c>
      <c r="AK12" s="36" t="str">
        <f t="shared" si="13"/>
        <v/>
      </c>
      <c r="AL12" s="37"/>
      <c r="AM12" s="33"/>
      <c r="AN12" s="34"/>
      <c r="AO12" s="35" t="str">
        <f t="shared" si="14"/>
        <v/>
      </c>
      <c r="AP12" s="36" t="str">
        <f t="shared" si="15"/>
        <v/>
      </c>
      <c r="AQ12" s="37"/>
      <c r="AR12" s="33"/>
      <c r="AS12" s="34"/>
      <c r="AT12" s="35" t="str">
        <f t="shared" si="16"/>
        <v/>
      </c>
      <c r="AU12" s="36" t="str">
        <f t="shared" si="17"/>
        <v/>
      </c>
      <c r="AV12" s="37"/>
      <c r="AW12" s="33"/>
      <c r="AX12" s="34"/>
      <c r="AY12" s="35" t="str">
        <f t="shared" si="18"/>
        <v/>
      </c>
      <c r="AZ12" s="36" t="str">
        <f t="shared" si="19"/>
        <v/>
      </c>
      <c r="BA12" s="37"/>
      <c r="BB12" s="33"/>
      <c r="BC12" s="34"/>
      <c r="BD12" s="35" t="str">
        <f t="shared" si="20"/>
        <v/>
      </c>
      <c r="BE12" s="36" t="str">
        <f t="shared" si="21"/>
        <v/>
      </c>
      <c r="BF12" s="37"/>
      <c r="BG12" s="33"/>
      <c r="BH12" s="34"/>
      <c r="BI12" s="35" t="str">
        <f t="shared" si="22"/>
        <v/>
      </c>
      <c r="BJ12" s="36" t="str">
        <f t="shared" si="23"/>
        <v/>
      </c>
      <c r="BK12" s="37"/>
      <c r="BL12" s="33"/>
      <c r="BM12" s="34"/>
      <c r="BN12" s="35" t="str">
        <f t="shared" si="24"/>
        <v/>
      </c>
      <c r="BO12" s="36" t="str">
        <f t="shared" si="25"/>
        <v/>
      </c>
      <c r="BP12" s="37"/>
      <c r="BQ12" s="33"/>
      <c r="BR12" s="34"/>
      <c r="BS12" s="35" t="str">
        <f t="shared" si="26"/>
        <v/>
      </c>
      <c r="BT12" s="36" t="str">
        <f t="shared" si="27"/>
        <v/>
      </c>
      <c r="BU12" s="37"/>
      <c r="BV12" s="33"/>
      <c r="BW12" s="34"/>
      <c r="BX12" s="35" t="str">
        <f t="shared" si="28"/>
        <v/>
      </c>
      <c r="BY12" s="36" t="str">
        <f t="shared" si="29"/>
        <v/>
      </c>
      <c r="BZ12" s="37"/>
      <c r="CA12" s="33"/>
      <c r="CB12" s="34"/>
      <c r="CC12" s="35" t="str">
        <f t="shared" si="30"/>
        <v/>
      </c>
      <c r="CD12" s="36" t="str">
        <f t="shared" si="31"/>
        <v/>
      </c>
      <c r="CE12" s="37"/>
      <c r="CF12" s="33"/>
      <c r="CG12" s="34"/>
      <c r="CH12" s="35" t="str">
        <f t="shared" si="32"/>
        <v/>
      </c>
      <c r="CI12" s="36" t="str">
        <f t="shared" si="33"/>
        <v/>
      </c>
      <c r="CJ12" s="37"/>
      <c r="CK12" s="33"/>
      <c r="CL12" s="34"/>
      <c r="CM12" s="35" t="str">
        <f t="shared" si="34"/>
        <v/>
      </c>
      <c r="CN12" s="36" t="str">
        <f t="shared" si="35"/>
        <v/>
      </c>
      <c r="CO12" s="37"/>
      <c r="CP12" s="33"/>
      <c r="CQ12" s="34"/>
      <c r="CR12" s="35" t="str">
        <f t="shared" si="36"/>
        <v/>
      </c>
      <c r="CS12" s="36" t="str">
        <f t="shared" si="37"/>
        <v/>
      </c>
      <c r="CT12" s="37"/>
      <c r="CU12" s="33"/>
      <c r="CV12" s="34"/>
      <c r="CW12" s="35" t="str">
        <f t="shared" si="38"/>
        <v/>
      </c>
      <c r="CX12" s="36" t="str">
        <f t="shared" si="39"/>
        <v/>
      </c>
      <c r="CY12" s="37"/>
      <c r="CZ12" s="33"/>
      <c r="DA12" s="34"/>
      <c r="DB12" s="35" t="str">
        <f t="shared" si="40"/>
        <v/>
      </c>
      <c r="DC12" s="36" t="str">
        <f t="shared" si="41"/>
        <v/>
      </c>
      <c r="DD12" s="37"/>
      <c r="DE12" s="33"/>
      <c r="DF12" s="34"/>
      <c r="DG12" s="35" t="str">
        <f t="shared" si="42"/>
        <v/>
      </c>
      <c r="DH12" s="36" t="str">
        <f t="shared" si="43"/>
        <v/>
      </c>
      <c r="DI12" s="37"/>
      <c r="DJ12" s="33"/>
      <c r="DK12" s="34"/>
      <c r="DL12" s="35" t="str">
        <f t="shared" si="44"/>
        <v/>
      </c>
      <c r="DM12" s="36" t="str">
        <f t="shared" si="45"/>
        <v/>
      </c>
      <c r="DN12" s="37"/>
      <c r="DO12" s="33"/>
      <c r="DP12" s="34"/>
      <c r="DQ12" s="35" t="str">
        <f t="shared" si="46"/>
        <v/>
      </c>
      <c r="DR12" s="36" t="str">
        <f t="shared" si="47"/>
        <v/>
      </c>
      <c r="DS12" s="37"/>
      <c r="DT12" s="33"/>
      <c r="DU12" s="34"/>
      <c r="DV12" s="35" t="str">
        <f t="shared" si="48"/>
        <v/>
      </c>
      <c r="DW12" s="36" t="str">
        <f t="shared" si="49"/>
        <v/>
      </c>
      <c r="DX12" s="37"/>
      <c r="DY12" s="33"/>
      <c r="DZ12" s="34"/>
      <c r="EA12" s="35" t="str">
        <f t="shared" si="50"/>
        <v/>
      </c>
      <c r="EB12" s="36" t="str">
        <f t="shared" si="51"/>
        <v/>
      </c>
      <c r="EC12" s="37"/>
      <c r="ED12" s="33"/>
      <c r="EE12" s="34"/>
      <c r="EF12" s="35" t="str">
        <f t="shared" si="52"/>
        <v/>
      </c>
      <c r="EG12" s="36" t="str">
        <f t="shared" si="53"/>
        <v/>
      </c>
      <c r="EH12" s="37"/>
      <c r="EI12" s="33"/>
      <c r="EJ12" s="34"/>
      <c r="EK12" s="35" t="str">
        <f t="shared" si="54"/>
        <v/>
      </c>
      <c r="EL12" s="36" t="str">
        <f t="shared" si="55"/>
        <v/>
      </c>
      <c r="EM12" s="37"/>
      <c r="EN12" s="33"/>
      <c r="EO12" s="34"/>
      <c r="EP12" s="35" t="str">
        <f t="shared" si="56"/>
        <v/>
      </c>
      <c r="EQ12" s="36" t="str">
        <f t="shared" si="57"/>
        <v/>
      </c>
      <c r="ER12" s="37"/>
      <c r="ES12" s="33"/>
      <c r="ET12" s="34"/>
      <c r="EU12" s="35" t="str">
        <f t="shared" si="58"/>
        <v/>
      </c>
      <c r="EV12" s="36" t="str">
        <f t="shared" si="59"/>
        <v/>
      </c>
      <c r="EW12" s="37"/>
    </row>
    <row r="13" spans="1:153" ht="19.5" customHeight="1">
      <c r="A13" s="32">
        <f>IF(DAY(DATE(対象年度,7,10))&lt;&gt;10,"",10)</f>
        <v>10</v>
      </c>
      <c r="B13" s="32" t="str">
        <f>IF(DAY(DATE(対象年度,7,10))&lt;&gt;10,"",CHOOSE(WEEKDAY(DATE(対象年度,7,10),2),"月","火","水","木","金","土","日"))</f>
        <v>金</v>
      </c>
      <c r="C13" s="32" t="str">
        <f>IF(DAY(DATE(対象年度,7,10))&lt;&gt;10,"",IF(ISNUMBER(MATCH(DATE(対象年度,7,10),祝日リスト,0)),"祝",""))</f>
        <v/>
      </c>
      <c r="D13" s="33"/>
      <c r="E13" s="34"/>
      <c r="F13" s="35" t="str">
        <f t="shared" si="0"/>
        <v/>
      </c>
      <c r="G13" s="36" t="str">
        <f t="shared" si="1"/>
        <v/>
      </c>
      <c r="H13" s="37"/>
      <c r="I13" s="33"/>
      <c r="J13" s="34"/>
      <c r="K13" s="35" t="str">
        <f t="shared" si="2"/>
        <v/>
      </c>
      <c r="L13" s="36" t="str">
        <f t="shared" si="3"/>
        <v/>
      </c>
      <c r="M13" s="37"/>
      <c r="N13" s="33"/>
      <c r="O13" s="34"/>
      <c r="P13" s="35" t="str">
        <f t="shared" si="4"/>
        <v/>
      </c>
      <c r="Q13" s="36" t="str">
        <f t="shared" si="5"/>
        <v/>
      </c>
      <c r="R13" s="37"/>
      <c r="S13" s="33"/>
      <c r="T13" s="34"/>
      <c r="U13" s="35" t="str">
        <f t="shared" si="6"/>
        <v/>
      </c>
      <c r="V13" s="36" t="str">
        <f t="shared" si="7"/>
        <v/>
      </c>
      <c r="W13" s="37"/>
      <c r="X13" s="33"/>
      <c r="Y13" s="34"/>
      <c r="Z13" s="35" t="str">
        <f t="shared" si="8"/>
        <v/>
      </c>
      <c r="AA13" s="36" t="str">
        <f t="shared" si="9"/>
        <v/>
      </c>
      <c r="AB13" s="37"/>
      <c r="AC13" s="33"/>
      <c r="AD13" s="34"/>
      <c r="AE13" s="35" t="str">
        <f t="shared" si="10"/>
        <v/>
      </c>
      <c r="AF13" s="36" t="str">
        <f t="shared" si="11"/>
        <v/>
      </c>
      <c r="AG13" s="37"/>
      <c r="AH13" s="33"/>
      <c r="AI13" s="34"/>
      <c r="AJ13" s="35" t="str">
        <f t="shared" si="12"/>
        <v/>
      </c>
      <c r="AK13" s="36" t="str">
        <f t="shared" si="13"/>
        <v/>
      </c>
      <c r="AL13" s="37"/>
      <c r="AM13" s="33"/>
      <c r="AN13" s="34"/>
      <c r="AO13" s="35" t="str">
        <f t="shared" si="14"/>
        <v/>
      </c>
      <c r="AP13" s="36" t="str">
        <f t="shared" si="15"/>
        <v/>
      </c>
      <c r="AQ13" s="37"/>
      <c r="AR13" s="33"/>
      <c r="AS13" s="34"/>
      <c r="AT13" s="35" t="str">
        <f t="shared" si="16"/>
        <v/>
      </c>
      <c r="AU13" s="36" t="str">
        <f t="shared" si="17"/>
        <v/>
      </c>
      <c r="AV13" s="37"/>
      <c r="AW13" s="33"/>
      <c r="AX13" s="34"/>
      <c r="AY13" s="35" t="str">
        <f t="shared" si="18"/>
        <v/>
      </c>
      <c r="AZ13" s="36" t="str">
        <f t="shared" si="19"/>
        <v/>
      </c>
      <c r="BA13" s="37"/>
      <c r="BB13" s="33"/>
      <c r="BC13" s="34"/>
      <c r="BD13" s="35" t="str">
        <f t="shared" si="20"/>
        <v/>
      </c>
      <c r="BE13" s="36" t="str">
        <f t="shared" si="21"/>
        <v/>
      </c>
      <c r="BF13" s="37"/>
      <c r="BG13" s="33"/>
      <c r="BH13" s="34"/>
      <c r="BI13" s="35" t="str">
        <f t="shared" si="22"/>
        <v/>
      </c>
      <c r="BJ13" s="36" t="str">
        <f t="shared" si="23"/>
        <v/>
      </c>
      <c r="BK13" s="37"/>
      <c r="BL13" s="33"/>
      <c r="BM13" s="34"/>
      <c r="BN13" s="35" t="str">
        <f t="shared" si="24"/>
        <v/>
      </c>
      <c r="BO13" s="36" t="str">
        <f t="shared" si="25"/>
        <v/>
      </c>
      <c r="BP13" s="37"/>
      <c r="BQ13" s="33"/>
      <c r="BR13" s="34"/>
      <c r="BS13" s="35" t="str">
        <f t="shared" si="26"/>
        <v/>
      </c>
      <c r="BT13" s="36" t="str">
        <f t="shared" si="27"/>
        <v/>
      </c>
      <c r="BU13" s="37"/>
      <c r="BV13" s="33"/>
      <c r="BW13" s="34"/>
      <c r="BX13" s="35" t="str">
        <f t="shared" si="28"/>
        <v/>
      </c>
      <c r="BY13" s="36" t="str">
        <f t="shared" si="29"/>
        <v/>
      </c>
      <c r="BZ13" s="37"/>
      <c r="CA13" s="33"/>
      <c r="CB13" s="34"/>
      <c r="CC13" s="35" t="str">
        <f t="shared" si="30"/>
        <v/>
      </c>
      <c r="CD13" s="36" t="str">
        <f t="shared" si="31"/>
        <v/>
      </c>
      <c r="CE13" s="37"/>
      <c r="CF13" s="33"/>
      <c r="CG13" s="34"/>
      <c r="CH13" s="35" t="str">
        <f t="shared" si="32"/>
        <v/>
      </c>
      <c r="CI13" s="36" t="str">
        <f t="shared" si="33"/>
        <v/>
      </c>
      <c r="CJ13" s="37"/>
      <c r="CK13" s="33"/>
      <c r="CL13" s="34"/>
      <c r="CM13" s="35" t="str">
        <f t="shared" si="34"/>
        <v/>
      </c>
      <c r="CN13" s="36" t="str">
        <f t="shared" si="35"/>
        <v/>
      </c>
      <c r="CO13" s="37"/>
      <c r="CP13" s="33"/>
      <c r="CQ13" s="34"/>
      <c r="CR13" s="35" t="str">
        <f t="shared" si="36"/>
        <v/>
      </c>
      <c r="CS13" s="36" t="str">
        <f t="shared" si="37"/>
        <v/>
      </c>
      <c r="CT13" s="37"/>
      <c r="CU13" s="33"/>
      <c r="CV13" s="34"/>
      <c r="CW13" s="35" t="str">
        <f t="shared" si="38"/>
        <v/>
      </c>
      <c r="CX13" s="36" t="str">
        <f t="shared" si="39"/>
        <v/>
      </c>
      <c r="CY13" s="37"/>
      <c r="CZ13" s="33"/>
      <c r="DA13" s="34"/>
      <c r="DB13" s="35" t="str">
        <f t="shared" si="40"/>
        <v/>
      </c>
      <c r="DC13" s="36" t="str">
        <f t="shared" si="41"/>
        <v/>
      </c>
      <c r="DD13" s="37"/>
      <c r="DE13" s="33"/>
      <c r="DF13" s="34"/>
      <c r="DG13" s="35" t="str">
        <f t="shared" si="42"/>
        <v/>
      </c>
      <c r="DH13" s="36" t="str">
        <f t="shared" si="43"/>
        <v/>
      </c>
      <c r="DI13" s="37"/>
      <c r="DJ13" s="33"/>
      <c r="DK13" s="34"/>
      <c r="DL13" s="35" t="str">
        <f t="shared" si="44"/>
        <v/>
      </c>
      <c r="DM13" s="36" t="str">
        <f t="shared" si="45"/>
        <v/>
      </c>
      <c r="DN13" s="37"/>
      <c r="DO13" s="33"/>
      <c r="DP13" s="34"/>
      <c r="DQ13" s="35" t="str">
        <f t="shared" si="46"/>
        <v/>
      </c>
      <c r="DR13" s="36" t="str">
        <f t="shared" si="47"/>
        <v/>
      </c>
      <c r="DS13" s="37"/>
      <c r="DT13" s="33"/>
      <c r="DU13" s="34"/>
      <c r="DV13" s="35" t="str">
        <f t="shared" si="48"/>
        <v/>
      </c>
      <c r="DW13" s="36" t="str">
        <f t="shared" si="49"/>
        <v/>
      </c>
      <c r="DX13" s="37"/>
      <c r="DY13" s="33"/>
      <c r="DZ13" s="34"/>
      <c r="EA13" s="35" t="str">
        <f t="shared" si="50"/>
        <v/>
      </c>
      <c r="EB13" s="36" t="str">
        <f t="shared" si="51"/>
        <v/>
      </c>
      <c r="EC13" s="37"/>
      <c r="ED13" s="33"/>
      <c r="EE13" s="34"/>
      <c r="EF13" s="35" t="str">
        <f t="shared" si="52"/>
        <v/>
      </c>
      <c r="EG13" s="36" t="str">
        <f t="shared" si="53"/>
        <v/>
      </c>
      <c r="EH13" s="37"/>
      <c r="EI13" s="33"/>
      <c r="EJ13" s="34"/>
      <c r="EK13" s="35" t="str">
        <f t="shared" si="54"/>
        <v/>
      </c>
      <c r="EL13" s="36" t="str">
        <f t="shared" si="55"/>
        <v/>
      </c>
      <c r="EM13" s="37"/>
      <c r="EN13" s="33"/>
      <c r="EO13" s="34"/>
      <c r="EP13" s="35" t="str">
        <f t="shared" si="56"/>
        <v/>
      </c>
      <c r="EQ13" s="36" t="str">
        <f t="shared" si="57"/>
        <v/>
      </c>
      <c r="ER13" s="37"/>
      <c r="ES13" s="33"/>
      <c r="ET13" s="34"/>
      <c r="EU13" s="35" t="str">
        <f t="shared" si="58"/>
        <v/>
      </c>
      <c r="EV13" s="36" t="str">
        <f t="shared" si="59"/>
        <v/>
      </c>
      <c r="EW13" s="37"/>
    </row>
    <row r="14" spans="1:153" ht="19.5" customHeight="1">
      <c r="A14" s="32">
        <f>IF(DAY(DATE(対象年度,7,11))&lt;&gt;11,"",11)</f>
        <v>11</v>
      </c>
      <c r="B14" s="32" t="str">
        <f>IF(DAY(DATE(対象年度,7,11))&lt;&gt;11,"",CHOOSE(WEEKDAY(DATE(対象年度,7,11),2),"月","火","水","木","金","土","日"))</f>
        <v>土</v>
      </c>
      <c r="C14" s="32" t="str">
        <f>IF(DAY(DATE(対象年度,7,11))&lt;&gt;11,"",IF(ISNUMBER(MATCH(DATE(対象年度,7,11),祝日リスト,0)),"祝",""))</f>
        <v/>
      </c>
      <c r="D14" s="33"/>
      <c r="E14" s="34"/>
      <c r="F14" s="35" t="str">
        <f t="shared" si="0"/>
        <v/>
      </c>
      <c r="G14" s="36" t="str">
        <f t="shared" si="1"/>
        <v/>
      </c>
      <c r="H14" s="37"/>
      <c r="I14" s="33"/>
      <c r="J14" s="34"/>
      <c r="K14" s="35" t="str">
        <f t="shared" si="2"/>
        <v/>
      </c>
      <c r="L14" s="36" t="str">
        <f t="shared" si="3"/>
        <v/>
      </c>
      <c r="M14" s="37"/>
      <c r="N14" s="33"/>
      <c r="O14" s="34"/>
      <c r="P14" s="35" t="str">
        <f t="shared" si="4"/>
        <v/>
      </c>
      <c r="Q14" s="36" t="str">
        <f t="shared" si="5"/>
        <v/>
      </c>
      <c r="R14" s="37"/>
      <c r="S14" s="33"/>
      <c r="T14" s="34"/>
      <c r="U14" s="35" t="str">
        <f t="shared" si="6"/>
        <v/>
      </c>
      <c r="V14" s="36" t="str">
        <f t="shared" si="7"/>
        <v/>
      </c>
      <c r="W14" s="37"/>
      <c r="X14" s="33"/>
      <c r="Y14" s="34"/>
      <c r="Z14" s="35" t="str">
        <f t="shared" si="8"/>
        <v/>
      </c>
      <c r="AA14" s="36" t="str">
        <f t="shared" si="9"/>
        <v/>
      </c>
      <c r="AB14" s="37"/>
      <c r="AC14" s="33"/>
      <c r="AD14" s="34"/>
      <c r="AE14" s="35" t="str">
        <f t="shared" si="10"/>
        <v/>
      </c>
      <c r="AF14" s="36" t="str">
        <f t="shared" si="11"/>
        <v/>
      </c>
      <c r="AG14" s="37"/>
      <c r="AH14" s="33"/>
      <c r="AI14" s="34"/>
      <c r="AJ14" s="35" t="str">
        <f t="shared" si="12"/>
        <v/>
      </c>
      <c r="AK14" s="36" t="str">
        <f t="shared" si="13"/>
        <v/>
      </c>
      <c r="AL14" s="37"/>
      <c r="AM14" s="33"/>
      <c r="AN14" s="34"/>
      <c r="AO14" s="35" t="str">
        <f t="shared" si="14"/>
        <v/>
      </c>
      <c r="AP14" s="36" t="str">
        <f t="shared" si="15"/>
        <v/>
      </c>
      <c r="AQ14" s="37"/>
      <c r="AR14" s="33"/>
      <c r="AS14" s="34"/>
      <c r="AT14" s="35" t="str">
        <f t="shared" si="16"/>
        <v/>
      </c>
      <c r="AU14" s="36" t="str">
        <f t="shared" si="17"/>
        <v/>
      </c>
      <c r="AV14" s="37"/>
      <c r="AW14" s="33"/>
      <c r="AX14" s="34"/>
      <c r="AY14" s="35" t="str">
        <f t="shared" si="18"/>
        <v/>
      </c>
      <c r="AZ14" s="36" t="str">
        <f t="shared" si="19"/>
        <v/>
      </c>
      <c r="BA14" s="37"/>
      <c r="BB14" s="33"/>
      <c r="BC14" s="34"/>
      <c r="BD14" s="35" t="str">
        <f t="shared" si="20"/>
        <v/>
      </c>
      <c r="BE14" s="36" t="str">
        <f t="shared" si="21"/>
        <v/>
      </c>
      <c r="BF14" s="37"/>
      <c r="BG14" s="33"/>
      <c r="BH14" s="34"/>
      <c r="BI14" s="35" t="str">
        <f t="shared" si="22"/>
        <v/>
      </c>
      <c r="BJ14" s="36" t="str">
        <f t="shared" si="23"/>
        <v/>
      </c>
      <c r="BK14" s="37"/>
      <c r="BL14" s="33"/>
      <c r="BM14" s="34"/>
      <c r="BN14" s="35" t="str">
        <f t="shared" si="24"/>
        <v/>
      </c>
      <c r="BO14" s="36" t="str">
        <f t="shared" si="25"/>
        <v/>
      </c>
      <c r="BP14" s="37"/>
      <c r="BQ14" s="33"/>
      <c r="BR14" s="34"/>
      <c r="BS14" s="35" t="str">
        <f t="shared" si="26"/>
        <v/>
      </c>
      <c r="BT14" s="36" t="str">
        <f t="shared" si="27"/>
        <v/>
      </c>
      <c r="BU14" s="37"/>
      <c r="BV14" s="33"/>
      <c r="BW14" s="34"/>
      <c r="BX14" s="35" t="str">
        <f t="shared" si="28"/>
        <v/>
      </c>
      <c r="BY14" s="36" t="str">
        <f t="shared" si="29"/>
        <v/>
      </c>
      <c r="BZ14" s="37"/>
      <c r="CA14" s="33"/>
      <c r="CB14" s="34"/>
      <c r="CC14" s="35" t="str">
        <f t="shared" si="30"/>
        <v/>
      </c>
      <c r="CD14" s="36" t="str">
        <f t="shared" si="31"/>
        <v/>
      </c>
      <c r="CE14" s="37"/>
      <c r="CF14" s="33"/>
      <c r="CG14" s="34"/>
      <c r="CH14" s="35" t="str">
        <f t="shared" si="32"/>
        <v/>
      </c>
      <c r="CI14" s="36" t="str">
        <f t="shared" si="33"/>
        <v/>
      </c>
      <c r="CJ14" s="37"/>
      <c r="CK14" s="33"/>
      <c r="CL14" s="34"/>
      <c r="CM14" s="35" t="str">
        <f t="shared" si="34"/>
        <v/>
      </c>
      <c r="CN14" s="36" t="str">
        <f t="shared" si="35"/>
        <v/>
      </c>
      <c r="CO14" s="37"/>
      <c r="CP14" s="33"/>
      <c r="CQ14" s="34"/>
      <c r="CR14" s="35" t="str">
        <f t="shared" si="36"/>
        <v/>
      </c>
      <c r="CS14" s="36" t="str">
        <f t="shared" si="37"/>
        <v/>
      </c>
      <c r="CT14" s="37"/>
      <c r="CU14" s="33"/>
      <c r="CV14" s="34"/>
      <c r="CW14" s="35" t="str">
        <f t="shared" si="38"/>
        <v/>
      </c>
      <c r="CX14" s="36" t="str">
        <f t="shared" si="39"/>
        <v/>
      </c>
      <c r="CY14" s="37"/>
      <c r="CZ14" s="33"/>
      <c r="DA14" s="34"/>
      <c r="DB14" s="35" t="str">
        <f t="shared" si="40"/>
        <v/>
      </c>
      <c r="DC14" s="36" t="str">
        <f t="shared" si="41"/>
        <v/>
      </c>
      <c r="DD14" s="37"/>
      <c r="DE14" s="33"/>
      <c r="DF14" s="34"/>
      <c r="DG14" s="35" t="str">
        <f t="shared" si="42"/>
        <v/>
      </c>
      <c r="DH14" s="36" t="str">
        <f t="shared" si="43"/>
        <v/>
      </c>
      <c r="DI14" s="37"/>
      <c r="DJ14" s="33"/>
      <c r="DK14" s="34"/>
      <c r="DL14" s="35" t="str">
        <f t="shared" si="44"/>
        <v/>
      </c>
      <c r="DM14" s="36" t="str">
        <f t="shared" si="45"/>
        <v/>
      </c>
      <c r="DN14" s="37"/>
      <c r="DO14" s="33"/>
      <c r="DP14" s="34"/>
      <c r="DQ14" s="35" t="str">
        <f t="shared" si="46"/>
        <v/>
      </c>
      <c r="DR14" s="36" t="str">
        <f t="shared" si="47"/>
        <v/>
      </c>
      <c r="DS14" s="37"/>
      <c r="DT14" s="33"/>
      <c r="DU14" s="34"/>
      <c r="DV14" s="35" t="str">
        <f t="shared" si="48"/>
        <v/>
      </c>
      <c r="DW14" s="36" t="str">
        <f t="shared" si="49"/>
        <v/>
      </c>
      <c r="DX14" s="37"/>
      <c r="DY14" s="33"/>
      <c r="DZ14" s="34"/>
      <c r="EA14" s="35" t="str">
        <f t="shared" si="50"/>
        <v/>
      </c>
      <c r="EB14" s="36" t="str">
        <f t="shared" si="51"/>
        <v/>
      </c>
      <c r="EC14" s="37"/>
      <c r="ED14" s="33"/>
      <c r="EE14" s="34"/>
      <c r="EF14" s="35" t="str">
        <f t="shared" si="52"/>
        <v/>
      </c>
      <c r="EG14" s="36" t="str">
        <f t="shared" si="53"/>
        <v/>
      </c>
      <c r="EH14" s="37"/>
      <c r="EI14" s="33"/>
      <c r="EJ14" s="34"/>
      <c r="EK14" s="35" t="str">
        <f t="shared" si="54"/>
        <v/>
      </c>
      <c r="EL14" s="36" t="str">
        <f t="shared" si="55"/>
        <v/>
      </c>
      <c r="EM14" s="37"/>
      <c r="EN14" s="33"/>
      <c r="EO14" s="34"/>
      <c r="EP14" s="35" t="str">
        <f t="shared" si="56"/>
        <v/>
      </c>
      <c r="EQ14" s="36" t="str">
        <f t="shared" si="57"/>
        <v/>
      </c>
      <c r="ER14" s="37"/>
      <c r="ES14" s="33"/>
      <c r="ET14" s="34"/>
      <c r="EU14" s="35" t="str">
        <f t="shared" si="58"/>
        <v/>
      </c>
      <c r="EV14" s="36" t="str">
        <f t="shared" si="59"/>
        <v/>
      </c>
      <c r="EW14" s="37"/>
    </row>
    <row r="15" spans="1:153" ht="19.5" customHeight="1">
      <c r="A15" s="32">
        <f>IF(DAY(DATE(対象年度,7,12))&lt;&gt;12,"",12)</f>
        <v>12</v>
      </c>
      <c r="B15" s="32" t="str">
        <f>IF(DAY(DATE(対象年度,7,12))&lt;&gt;12,"",CHOOSE(WEEKDAY(DATE(対象年度,7,12),2),"月","火","水","木","金","土","日"))</f>
        <v>日</v>
      </c>
      <c r="C15" s="32" t="str">
        <f>IF(DAY(DATE(対象年度,7,12))&lt;&gt;12,"",IF(ISNUMBER(MATCH(DATE(対象年度,7,12),祝日リスト,0)),"祝",""))</f>
        <v/>
      </c>
      <c r="D15" s="33"/>
      <c r="E15" s="34"/>
      <c r="F15" s="35" t="str">
        <f t="shared" si="0"/>
        <v/>
      </c>
      <c r="G15" s="36" t="str">
        <f t="shared" si="1"/>
        <v/>
      </c>
      <c r="H15" s="37"/>
      <c r="I15" s="33"/>
      <c r="J15" s="34"/>
      <c r="K15" s="35" t="str">
        <f t="shared" si="2"/>
        <v/>
      </c>
      <c r="L15" s="36" t="str">
        <f t="shared" si="3"/>
        <v/>
      </c>
      <c r="M15" s="37"/>
      <c r="N15" s="33"/>
      <c r="O15" s="34"/>
      <c r="P15" s="35" t="str">
        <f t="shared" si="4"/>
        <v/>
      </c>
      <c r="Q15" s="36" t="str">
        <f t="shared" si="5"/>
        <v/>
      </c>
      <c r="R15" s="37"/>
      <c r="S15" s="33"/>
      <c r="T15" s="34"/>
      <c r="U15" s="35" t="str">
        <f t="shared" si="6"/>
        <v/>
      </c>
      <c r="V15" s="36" t="str">
        <f t="shared" si="7"/>
        <v/>
      </c>
      <c r="W15" s="37"/>
      <c r="X15" s="33"/>
      <c r="Y15" s="34"/>
      <c r="Z15" s="35" t="str">
        <f t="shared" si="8"/>
        <v/>
      </c>
      <c r="AA15" s="36" t="str">
        <f t="shared" si="9"/>
        <v/>
      </c>
      <c r="AB15" s="37"/>
      <c r="AC15" s="33"/>
      <c r="AD15" s="34"/>
      <c r="AE15" s="35" t="str">
        <f t="shared" si="10"/>
        <v/>
      </c>
      <c r="AF15" s="36" t="str">
        <f t="shared" si="11"/>
        <v/>
      </c>
      <c r="AG15" s="37"/>
      <c r="AH15" s="33"/>
      <c r="AI15" s="34"/>
      <c r="AJ15" s="35" t="str">
        <f t="shared" si="12"/>
        <v/>
      </c>
      <c r="AK15" s="36" t="str">
        <f t="shared" si="13"/>
        <v/>
      </c>
      <c r="AL15" s="37"/>
      <c r="AM15" s="33"/>
      <c r="AN15" s="34"/>
      <c r="AO15" s="35" t="str">
        <f t="shared" si="14"/>
        <v/>
      </c>
      <c r="AP15" s="36" t="str">
        <f t="shared" si="15"/>
        <v/>
      </c>
      <c r="AQ15" s="37"/>
      <c r="AR15" s="33"/>
      <c r="AS15" s="34"/>
      <c r="AT15" s="35" t="str">
        <f t="shared" si="16"/>
        <v/>
      </c>
      <c r="AU15" s="36" t="str">
        <f t="shared" si="17"/>
        <v/>
      </c>
      <c r="AV15" s="37"/>
      <c r="AW15" s="33"/>
      <c r="AX15" s="34"/>
      <c r="AY15" s="35" t="str">
        <f t="shared" si="18"/>
        <v/>
      </c>
      <c r="AZ15" s="36" t="str">
        <f t="shared" si="19"/>
        <v/>
      </c>
      <c r="BA15" s="37"/>
      <c r="BB15" s="33"/>
      <c r="BC15" s="34"/>
      <c r="BD15" s="35" t="str">
        <f t="shared" si="20"/>
        <v/>
      </c>
      <c r="BE15" s="36" t="str">
        <f t="shared" si="21"/>
        <v/>
      </c>
      <c r="BF15" s="37"/>
      <c r="BG15" s="33"/>
      <c r="BH15" s="34"/>
      <c r="BI15" s="35" t="str">
        <f t="shared" si="22"/>
        <v/>
      </c>
      <c r="BJ15" s="36" t="str">
        <f t="shared" si="23"/>
        <v/>
      </c>
      <c r="BK15" s="37"/>
      <c r="BL15" s="33"/>
      <c r="BM15" s="34"/>
      <c r="BN15" s="35" t="str">
        <f t="shared" si="24"/>
        <v/>
      </c>
      <c r="BO15" s="36" t="str">
        <f t="shared" si="25"/>
        <v/>
      </c>
      <c r="BP15" s="37"/>
      <c r="BQ15" s="33"/>
      <c r="BR15" s="34"/>
      <c r="BS15" s="35" t="str">
        <f t="shared" si="26"/>
        <v/>
      </c>
      <c r="BT15" s="36" t="str">
        <f t="shared" si="27"/>
        <v/>
      </c>
      <c r="BU15" s="37"/>
      <c r="BV15" s="33"/>
      <c r="BW15" s="34"/>
      <c r="BX15" s="35" t="str">
        <f t="shared" si="28"/>
        <v/>
      </c>
      <c r="BY15" s="36" t="str">
        <f t="shared" si="29"/>
        <v/>
      </c>
      <c r="BZ15" s="37"/>
      <c r="CA15" s="33"/>
      <c r="CB15" s="34"/>
      <c r="CC15" s="35" t="str">
        <f t="shared" si="30"/>
        <v/>
      </c>
      <c r="CD15" s="36" t="str">
        <f t="shared" si="31"/>
        <v/>
      </c>
      <c r="CE15" s="37"/>
      <c r="CF15" s="33"/>
      <c r="CG15" s="34"/>
      <c r="CH15" s="35" t="str">
        <f t="shared" si="32"/>
        <v/>
      </c>
      <c r="CI15" s="36" t="str">
        <f t="shared" si="33"/>
        <v/>
      </c>
      <c r="CJ15" s="37"/>
      <c r="CK15" s="33"/>
      <c r="CL15" s="34"/>
      <c r="CM15" s="35" t="str">
        <f t="shared" si="34"/>
        <v/>
      </c>
      <c r="CN15" s="36" t="str">
        <f t="shared" si="35"/>
        <v/>
      </c>
      <c r="CO15" s="37"/>
      <c r="CP15" s="33"/>
      <c r="CQ15" s="34"/>
      <c r="CR15" s="35" t="str">
        <f t="shared" si="36"/>
        <v/>
      </c>
      <c r="CS15" s="36" t="str">
        <f t="shared" si="37"/>
        <v/>
      </c>
      <c r="CT15" s="37"/>
      <c r="CU15" s="33"/>
      <c r="CV15" s="34"/>
      <c r="CW15" s="35" t="str">
        <f t="shared" si="38"/>
        <v/>
      </c>
      <c r="CX15" s="36" t="str">
        <f t="shared" si="39"/>
        <v/>
      </c>
      <c r="CY15" s="37"/>
      <c r="CZ15" s="33"/>
      <c r="DA15" s="34"/>
      <c r="DB15" s="35" t="str">
        <f t="shared" si="40"/>
        <v/>
      </c>
      <c r="DC15" s="36" t="str">
        <f t="shared" si="41"/>
        <v/>
      </c>
      <c r="DD15" s="37"/>
      <c r="DE15" s="33"/>
      <c r="DF15" s="34"/>
      <c r="DG15" s="35" t="str">
        <f t="shared" si="42"/>
        <v/>
      </c>
      <c r="DH15" s="36" t="str">
        <f t="shared" si="43"/>
        <v/>
      </c>
      <c r="DI15" s="37"/>
      <c r="DJ15" s="33"/>
      <c r="DK15" s="34"/>
      <c r="DL15" s="35" t="str">
        <f t="shared" si="44"/>
        <v/>
      </c>
      <c r="DM15" s="36" t="str">
        <f t="shared" si="45"/>
        <v/>
      </c>
      <c r="DN15" s="37"/>
      <c r="DO15" s="33"/>
      <c r="DP15" s="34"/>
      <c r="DQ15" s="35" t="str">
        <f t="shared" si="46"/>
        <v/>
      </c>
      <c r="DR15" s="36" t="str">
        <f t="shared" si="47"/>
        <v/>
      </c>
      <c r="DS15" s="37"/>
      <c r="DT15" s="33"/>
      <c r="DU15" s="34"/>
      <c r="DV15" s="35" t="str">
        <f t="shared" si="48"/>
        <v/>
      </c>
      <c r="DW15" s="36" t="str">
        <f t="shared" si="49"/>
        <v/>
      </c>
      <c r="DX15" s="37"/>
      <c r="DY15" s="33"/>
      <c r="DZ15" s="34"/>
      <c r="EA15" s="35" t="str">
        <f t="shared" si="50"/>
        <v/>
      </c>
      <c r="EB15" s="36" t="str">
        <f t="shared" si="51"/>
        <v/>
      </c>
      <c r="EC15" s="37"/>
      <c r="ED15" s="33"/>
      <c r="EE15" s="34"/>
      <c r="EF15" s="35" t="str">
        <f t="shared" si="52"/>
        <v/>
      </c>
      <c r="EG15" s="36" t="str">
        <f t="shared" si="53"/>
        <v/>
      </c>
      <c r="EH15" s="37"/>
      <c r="EI15" s="33"/>
      <c r="EJ15" s="34"/>
      <c r="EK15" s="35" t="str">
        <f t="shared" si="54"/>
        <v/>
      </c>
      <c r="EL15" s="36" t="str">
        <f t="shared" si="55"/>
        <v/>
      </c>
      <c r="EM15" s="37"/>
      <c r="EN15" s="33"/>
      <c r="EO15" s="34"/>
      <c r="EP15" s="35" t="str">
        <f t="shared" si="56"/>
        <v/>
      </c>
      <c r="EQ15" s="36" t="str">
        <f t="shared" si="57"/>
        <v/>
      </c>
      <c r="ER15" s="37"/>
      <c r="ES15" s="33"/>
      <c r="ET15" s="34"/>
      <c r="EU15" s="35" t="str">
        <f t="shared" si="58"/>
        <v/>
      </c>
      <c r="EV15" s="36" t="str">
        <f t="shared" si="59"/>
        <v/>
      </c>
      <c r="EW15" s="37"/>
    </row>
    <row r="16" spans="1:153" ht="19.5" customHeight="1">
      <c r="A16" s="32">
        <f>IF(DAY(DATE(対象年度,7,13))&lt;&gt;13,"",13)</f>
        <v>13</v>
      </c>
      <c r="B16" s="32" t="str">
        <f>IF(DAY(DATE(対象年度,7,13))&lt;&gt;13,"",CHOOSE(WEEKDAY(DATE(対象年度,7,13),2),"月","火","水","木","金","土","日"))</f>
        <v>月</v>
      </c>
      <c r="C16" s="32" t="str">
        <f>IF(DAY(DATE(対象年度,7,13))&lt;&gt;13,"",IF(ISNUMBER(MATCH(DATE(対象年度,7,13),祝日リスト,0)),"祝",""))</f>
        <v/>
      </c>
      <c r="D16" s="33"/>
      <c r="E16" s="34"/>
      <c r="F16" s="35" t="str">
        <f t="shared" si="0"/>
        <v/>
      </c>
      <c r="G16" s="36" t="str">
        <f t="shared" si="1"/>
        <v/>
      </c>
      <c r="H16" s="37"/>
      <c r="I16" s="33"/>
      <c r="J16" s="34"/>
      <c r="K16" s="35" t="str">
        <f t="shared" si="2"/>
        <v/>
      </c>
      <c r="L16" s="36" t="str">
        <f t="shared" si="3"/>
        <v/>
      </c>
      <c r="M16" s="37"/>
      <c r="N16" s="33"/>
      <c r="O16" s="34"/>
      <c r="P16" s="35" t="str">
        <f t="shared" si="4"/>
        <v/>
      </c>
      <c r="Q16" s="36" t="str">
        <f t="shared" si="5"/>
        <v/>
      </c>
      <c r="R16" s="37"/>
      <c r="S16" s="33"/>
      <c r="T16" s="34"/>
      <c r="U16" s="35" t="str">
        <f t="shared" si="6"/>
        <v/>
      </c>
      <c r="V16" s="36" t="str">
        <f t="shared" si="7"/>
        <v/>
      </c>
      <c r="W16" s="37"/>
      <c r="X16" s="33"/>
      <c r="Y16" s="34"/>
      <c r="Z16" s="35" t="str">
        <f t="shared" si="8"/>
        <v/>
      </c>
      <c r="AA16" s="36" t="str">
        <f t="shared" si="9"/>
        <v/>
      </c>
      <c r="AB16" s="37"/>
      <c r="AC16" s="33"/>
      <c r="AD16" s="34"/>
      <c r="AE16" s="35" t="str">
        <f t="shared" si="10"/>
        <v/>
      </c>
      <c r="AF16" s="36" t="str">
        <f t="shared" si="11"/>
        <v/>
      </c>
      <c r="AG16" s="37"/>
      <c r="AH16" s="33"/>
      <c r="AI16" s="34"/>
      <c r="AJ16" s="35" t="str">
        <f t="shared" si="12"/>
        <v/>
      </c>
      <c r="AK16" s="36" t="str">
        <f t="shared" si="13"/>
        <v/>
      </c>
      <c r="AL16" s="37"/>
      <c r="AM16" s="33"/>
      <c r="AN16" s="34"/>
      <c r="AO16" s="35" t="str">
        <f t="shared" si="14"/>
        <v/>
      </c>
      <c r="AP16" s="36" t="str">
        <f t="shared" si="15"/>
        <v/>
      </c>
      <c r="AQ16" s="37"/>
      <c r="AR16" s="33"/>
      <c r="AS16" s="34"/>
      <c r="AT16" s="35" t="str">
        <f t="shared" si="16"/>
        <v/>
      </c>
      <c r="AU16" s="36" t="str">
        <f t="shared" si="17"/>
        <v/>
      </c>
      <c r="AV16" s="37"/>
      <c r="AW16" s="33"/>
      <c r="AX16" s="34"/>
      <c r="AY16" s="35" t="str">
        <f t="shared" si="18"/>
        <v/>
      </c>
      <c r="AZ16" s="36" t="str">
        <f t="shared" si="19"/>
        <v/>
      </c>
      <c r="BA16" s="37"/>
      <c r="BB16" s="33"/>
      <c r="BC16" s="34"/>
      <c r="BD16" s="35" t="str">
        <f t="shared" si="20"/>
        <v/>
      </c>
      <c r="BE16" s="36" t="str">
        <f t="shared" si="21"/>
        <v/>
      </c>
      <c r="BF16" s="37"/>
      <c r="BG16" s="33"/>
      <c r="BH16" s="34"/>
      <c r="BI16" s="35" t="str">
        <f t="shared" si="22"/>
        <v/>
      </c>
      <c r="BJ16" s="36" t="str">
        <f t="shared" si="23"/>
        <v/>
      </c>
      <c r="BK16" s="37"/>
      <c r="BL16" s="33"/>
      <c r="BM16" s="34"/>
      <c r="BN16" s="35" t="str">
        <f t="shared" si="24"/>
        <v/>
      </c>
      <c r="BO16" s="36" t="str">
        <f t="shared" si="25"/>
        <v/>
      </c>
      <c r="BP16" s="37"/>
      <c r="BQ16" s="33"/>
      <c r="BR16" s="34"/>
      <c r="BS16" s="35" t="str">
        <f t="shared" si="26"/>
        <v/>
      </c>
      <c r="BT16" s="36" t="str">
        <f t="shared" si="27"/>
        <v/>
      </c>
      <c r="BU16" s="37"/>
      <c r="BV16" s="33"/>
      <c r="BW16" s="34"/>
      <c r="BX16" s="35" t="str">
        <f t="shared" si="28"/>
        <v/>
      </c>
      <c r="BY16" s="36" t="str">
        <f t="shared" si="29"/>
        <v/>
      </c>
      <c r="BZ16" s="37"/>
      <c r="CA16" s="33"/>
      <c r="CB16" s="34"/>
      <c r="CC16" s="35" t="str">
        <f t="shared" si="30"/>
        <v/>
      </c>
      <c r="CD16" s="36" t="str">
        <f t="shared" si="31"/>
        <v/>
      </c>
      <c r="CE16" s="37"/>
      <c r="CF16" s="33"/>
      <c r="CG16" s="34"/>
      <c r="CH16" s="35" t="str">
        <f t="shared" si="32"/>
        <v/>
      </c>
      <c r="CI16" s="36" t="str">
        <f t="shared" si="33"/>
        <v/>
      </c>
      <c r="CJ16" s="37"/>
      <c r="CK16" s="33"/>
      <c r="CL16" s="34"/>
      <c r="CM16" s="35" t="str">
        <f t="shared" si="34"/>
        <v/>
      </c>
      <c r="CN16" s="36" t="str">
        <f t="shared" si="35"/>
        <v/>
      </c>
      <c r="CO16" s="37"/>
      <c r="CP16" s="33"/>
      <c r="CQ16" s="34"/>
      <c r="CR16" s="35" t="str">
        <f t="shared" si="36"/>
        <v/>
      </c>
      <c r="CS16" s="36" t="str">
        <f t="shared" si="37"/>
        <v/>
      </c>
      <c r="CT16" s="37"/>
      <c r="CU16" s="33"/>
      <c r="CV16" s="34"/>
      <c r="CW16" s="35" t="str">
        <f t="shared" si="38"/>
        <v/>
      </c>
      <c r="CX16" s="36" t="str">
        <f t="shared" si="39"/>
        <v/>
      </c>
      <c r="CY16" s="37"/>
      <c r="CZ16" s="33"/>
      <c r="DA16" s="34"/>
      <c r="DB16" s="35" t="str">
        <f t="shared" si="40"/>
        <v/>
      </c>
      <c r="DC16" s="36" t="str">
        <f t="shared" si="41"/>
        <v/>
      </c>
      <c r="DD16" s="37"/>
      <c r="DE16" s="33"/>
      <c r="DF16" s="34"/>
      <c r="DG16" s="35" t="str">
        <f t="shared" si="42"/>
        <v/>
      </c>
      <c r="DH16" s="36" t="str">
        <f t="shared" si="43"/>
        <v/>
      </c>
      <c r="DI16" s="37"/>
      <c r="DJ16" s="33"/>
      <c r="DK16" s="34"/>
      <c r="DL16" s="35" t="str">
        <f t="shared" si="44"/>
        <v/>
      </c>
      <c r="DM16" s="36" t="str">
        <f t="shared" si="45"/>
        <v/>
      </c>
      <c r="DN16" s="37"/>
      <c r="DO16" s="33"/>
      <c r="DP16" s="34"/>
      <c r="DQ16" s="35" t="str">
        <f t="shared" si="46"/>
        <v/>
      </c>
      <c r="DR16" s="36" t="str">
        <f t="shared" si="47"/>
        <v/>
      </c>
      <c r="DS16" s="37"/>
      <c r="DT16" s="33"/>
      <c r="DU16" s="34"/>
      <c r="DV16" s="35" t="str">
        <f t="shared" si="48"/>
        <v/>
      </c>
      <c r="DW16" s="36" t="str">
        <f t="shared" si="49"/>
        <v/>
      </c>
      <c r="DX16" s="37"/>
      <c r="DY16" s="33"/>
      <c r="DZ16" s="34"/>
      <c r="EA16" s="35" t="str">
        <f t="shared" si="50"/>
        <v/>
      </c>
      <c r="EB16" s="36" t="str">
        <f t="shared" si="51"/>
        <v/>
      </c>
      <c r="EC16" s="37"/>
      <c r="ED16" s="33"/>
      <c r="EE16" s="34"/>
      <c r="EF16" s="35" t="str">
        <f t="shared" si="52"/>
        <v/>
      </c>
      <c r="EG16" s="36" t="str">
        <f t="shared" si="53"/>
        <v/>
      </c>
      <c r="EH16" s="37"/>
      <c r="EI16" s="33"/>
      <c r="EJ16" s="34"/>
      <c r="EK16" s="35" t="str">
        <f t="shared" si="54"/>
        <v/>
      </c>
      <c r="EL16" s="36" t="str">
        <f t="shared" si="55"/>
        <v/>
      </c>
      <c r="EM16" s="37"/>
      <c r="EN16" s="33"/>
      <c r="EO16" s="34"/>
      <c r="EP16" s="35" t="str">
        <f t="shared" si="56"/>
        <v/>
      </c>
      <c r="EQ16" s="36" t="str">
        <f t="shared" si="57"/>
        <v/>
      </c>
      <c r="ER16" s="37"/>
      <c r="ES16" s="33"/>
      <c r="ET16" s="34"/>
      <c r="EU16" s="35" t="str">
        <f t="shared" si="58"/>
        <v/>
      </c>
      <c r="EV16" s="36" t="str">
        <f t="shared" si="59"/>
        <v/>
      </c>
      <c r="EW16" s="37"/>
    </row>
    <row r="17" spans="1:153" ht="19.5" customHeight="1">
      <c r="A17" s="32">
        <f>IF(DAY(DATE(対象年度,7,14))&lt;&gt;14,"",14)</f>
        <v>14</v>
      </c>
      <c r="B17" s="32" t="str">
        <f>IF(DAY(DATE(対象年度,7,14))&lt;&gt;14,"",CHOOSE(WEEKDAY(DATE(対象年度,7,14),2),"月","火","水","木","金","土","日"))</f>
        <v>火</v>
      </c>
      <c r="C17" s="32" t="str">
        <f>IF(DAY(DATE(対象年度,7,14))&lt;&gt;14,"",IF(ISNUMBER(MATCH(DATE(対象年度,7,14),祝日リスト,0)),"祝",""))</f>
        <v/>
      </c>
      <c r="D17" s="33"/>
      <c r="E17" s="34"/>
      <c r="F17" s="35" t="str">
        <f t="shared" si="0"/>
        <v/>
      </c>
      <c r="G17" s="36" t="str">
        <f t="shared" si="1"/>
        <v/>
      </c>
      <c r="H17" s="37"/>
      <c r="I17" s="33"/>
      <c r="J17" s="34"/>
      <c r="K17" s="35" t="str">
        <f t="shared" si="2"/>
        <v/>
      </c>
      <c r="L17" s="36" t="str">
        <f t="shared" si="3"/>
        <v/>
      </c>
      <c r="M17" s="37"/>
      <c r="N17" s="33"/>
      <c r="O17" s="34"/>
      <c r="P17" s="35" t="str">
        <f t="shared" si="4"/>
        <v/>
      </c>
      <c r="Q17" s="36" t="str">
        <f t="shared" si="5"/>
        <v/>
      </c>
      <c r="R17" s="37"/>
      <c r="S17" s="33"/>
      <c r="T17" s="34"/>
      <c r="U17" s="35" t="str">
        <f t="shared" si="6"/>
        <v/>
      </c>
      <c r="V17" s="36" t="str">
        <f t="shared" si="7"/>
        <v/>
      </c>
      <c r="W17" s="37"/>
      <c r="X17" s="33"/>
      <c r="Y17" s="34"/>
      <c r="Z17" s="35" t="str">
        <f t="shared" si="8"/>
        <v/>
      </c>
      <c r="AA17" s="36" t="str">
        <f t="shared" si="9"/>
        <v/>
      </c>
      <c r="AB17" s="37"/>
      <c r="AC17" s="33"/>
      <c r="AD17" s="34"/>
      <c r="AE17" s="35" t="str">
        <f t="shared" si="10"/>
        <v/>
      </c>
      <c r="AF17" s="36" t="str">
        <f t="shared" si="11"/>
        <v/>
      </c>
      <c r="AG17" s="37"/>
      <c r="AH17" s="33"/>
      <c r="AI17" s="34"/>
      <c r="AJ17" s="35" t="str">
        <f t="shared" si="12"/>
        <v/>
      </c>
      <c r="AK17" s="36" t="str">
        <f t="shared" si="13"/>
        <v/>
      </c>
      <c r="AL17" s="37"/>
      <c r="AM17" s="33"/>
      <c r="AN17" s="34"/>
      <c r="AO17" s="35" t="str">
        <f t="shared" si="14"/>
        <v/>
      </c>
      <c r="AP17" s="36" t="str">
        <f t="shared" si="15"/>
        <v/>
      </c>
      <c r="AQ17" s="37"/>
      <c r="AR17" s="33"/>
      <c r="AS17" s="34"/>
      <c r="AT17" s="35" t="str">
        <f t="shared" si="16"/>
        <v/>
      </c>
      <c r="AU17" s="36" t="str">
        <f t="shared" si="17"/>
        <v/>
      </c>
      <c r="AV17" s="37"/>
      <c r="AW17" s="33"/>
      <c r="AX17" s="34"/>
      <c r="AY17" s="35" t="str">
        <f t="shared" si="18"/>
        <v/>
      </c>
      <c r="AZ17" s="36" t="str">
        <f t="shared" si="19"/>
        <v/>
      </c>
      <c r="BA17" s="37"/>
      <c r="BB17" s="33"/>
      <c r="BC17" s="34"/>
      <c r="BD17" s="35" t="str">
        <f t="shared" si="20"/>
        <v/>
      </c>
      <c r="BE17" s="36" t="str">
        <f t="shared" si="21"/>
        <v/>
      </c>
      <c r="BF17" s="37"/>
      <c r="BG17" s="33"/>
      <c r="BH17" s="34"/>
      <c r="BI17" s="35" t="str">
        <f t="shared" si="22"/>
        <v/>
      </c>
      <c r="BJ17" s="36" t="str">
        <f t="shared" si="23"/>
        <v/>
      </c>
      <c r="BK17" s="37"/>
      <c r="BL17" s="33"/>
      <c r="BM17" s="34"/>
      <c r="BN17" s="35" t="str">
        <f t="shared" si="24"/>
        <v/>
      </c>
      <c r="BO17" s="36" t="str">
        <f t="shared" si="25"/>
        <v/>
      </c>
      <c r="BP17" s="37"/>
      <c r="BQ17" s="33"/>
      <c r="BR17" s="34"/>
      <c r="BS17" s="35" t="str">
        <f t="shared" si="26"/>
        <v/>
      </c>
      <c r="BT17" s="36" t="str">
        <f t="shared" si="27"/>
        <v/>
      </c>
      <c r="BU17" s="37"/>
      <c r="BV17" s="33"/>
      <c r="BW17" s="34"/>
      <c r="BX17" s="35" t="str">
        <f t="shared" si="28"/>
        <v/>
      </c>
      <c r="BY17" s="36" t="str">
        <f t="shared" si="29"/>
        <v/>
      </c>
      <c r="BZ17" s="37"/>
      <c r="CA17" s="33"/>
      <c r="CB17" s="34"/>
      <c r="CC17" s="35" t="str">
        <f t="shared" si="30"/>
        <v/>
      </c>
      <c r="CD17" s="36" t="str">
        <f t="shared" si="31"/>
        <v/>
      </c>
      <c r="CE17" s="37"/>
      <c r="CF17" s="33"/>
      <c r="CG17" s="34"/>
      <c r="CH17" s="35" t="str">
        <f t="shared" si="32"/>
        <v/>
      </c>
      <c r="CI17" s="36" t="str">
        <f t="shared" si="33"/>
        <v/>
      </c>
      <c r="CJ17" s="37"/>
      <c r="CK17" s="33"/>
      <c r="CL17" s="34"/>
      <c r="CM17" s="35" t="str">
        <f t="shared" si="34"/>
        <v/>
      </c>
      <c r="CN17" s="36" t="str">
        <f t="shared" si="35"/>
        <v/>
      </c>
      <c r="CO17" s="37"/>
      <c r="CP17" s="33"/>
      <c r="CQ17" s="34"/>
      <c r="CR17" s="35" t="str">
        <f t="shared" si="36"/>
        <v/>
      </c>
      <c r="CS17" s="36" t="str">
        <f t="shared" si="37"/>
        <v/>
      </c>
      <c r="CT17" s="37"/>
      <c r="CU17" s="33"/>
      <c r="CV17" s="34"/>
      <c r="CW17" s="35" t="str">
        <f t="shared" si="38"/>
        <v/>
      </c>
      <c r="CX17" s="36" t="str">
        <f t="shared" si="39"/>
        <v/>
      </c>
      <c r="CY17" s="37"/>
      <c r="CZ17" s="33"/>
      <c r="DA17" s="34"/>
      <c r="DB17" s="35" t="str">
        <f t="shared" si="40"/>
        <v/>
      </c>
      <c r="DC17" s="36" t="str">
        <f t="shared" si="41"/>
        <v/>
      </c>
      <c r="DD17" s="37"/>
      <c r="DE17" s="33"/>
      <c r="DF17" s="34"/>
      <c r="DG17" s="35" t="str">
        <f t="shared" si="42"/>
        <v/>
      </c>
      <c r="DH17" s="36" t="str">
        <f t="shared" si="43"/>
        <v/>
      </c>
      <c r="DI17" s="37"/>
      <c r="DJ17" s="33"/>
      <c r="DK17" s="34"/>
      <c r="DL17" s="35" t="str">
        <f t="shared" si="44"/>
        <v/>
      </c>
      <c r="DM17" s="36" t="str">
        <f t="shared" si="45"/>
        <v/>
      </c>
      <c r="DN17" s="37"/>
      <c r="DO17" s="33"/>
      <c r="DP17" s="34"/>
      <c r="DQ17" s="35" t="str">
        <f t="shared" si="46"/>
        <v/>
      </c>
      <c r="DR17" s="36" t="str">
        <f t="shared" si="47"/>
        <v/>
      </c>
      <c r="DS17" s="37"/>
      <c r="DT17" s="33"/>
      <c r="DU17" s="34"/>
      <c r="DV17" s="35" t="str">
        <f t="shared" si="48"/>
        <v/>
      </c>
      <c r="DW17" s="36" t="str">
        <f t="shared" si="49"/>
        <v/>
      </c>
      <c r="DX17" s="37"/>
      <c r="DY17" s="33"/>
      <c r="DZ17" s="34"/>
      <c r="EA17" s="35" t="str">
        <f t="shared" si="50"/>
        <v/>
      </c>
      <c r="EB17" s="36" t="str">
        <f t="shared" si="51"/>
        <v/>
      </c>
      <c r="EC17" s="37"/>
      <c r="ED17" s="33"/>
      <c r="EE17" s="34"/>
      <c r="EF17" s="35" t="str">
        <f t="shared" si="52"/>
        <v/>
      </c>
      <c r="EG17" s="36" t="str">
        <f t="shared" si="53"/>
        <v/>
      </c>
      <c r="EH17" s="37"/>
      <c r="EI17" s="33"/>
      <c r="EJ17" s="34"/>
      <c r="EK17" s="35" t="str">
        <f t="shared" si="54"/>
        <v/>
      </c>
      <c r="EL17" s="36" t="str">
        <f t="shared" si="55"/>
        <v/>
      </c>
      <c r="EM17" s="37"/>
      <c r="EN17" s="33"/>
      <c r="EO17" s="34"/>
      <c r="EP17" s="35" t="str">
        <f t="shared" si="56"/>
        <v/>
      </c>
      <c r="EQ17" s="36" t="str">
        <f t="shared" si="57"/>
        <v/>
      </c>
      <c r="ER17" s="37"/>
      <c r="ES17" s="33"/>
      <c r="ET17" s="34"/>
      <c r="EU17" s="35" t="str">
        <f t="shared" si="58"/>
        <v/>
      </c>
      <c r="EV17" s="36" t="str">
        <f t="shared" si="59"/>
        <v/>
      </c>
      <c r="EW17" s="37"/>
    </row>
    <row r="18" spans="1:153" ht="19.5" customHeight="1">
      <c r="A18" s="32">
        <f>IF(DAY(DATE(対象年度,7,15))&lt;&gt;15,"",15)</f>
        <v>15</v>
      </c>
      <c r="B18" s="32" t="str">
        <f>IF(DAY(DATE(対象年度,7,15))&lt;&gt;15,"",CHOOSE(WEEKDAY(DATE(対象年度,7,15),2),"月","火","水","木","金","土","日"))</f>
        <v>水</v>
      </c>
      <c r="C18" s="32" t="str">
        <f>IF(DAY(DATE(対象年度,7,15))&lt;&gt;15,"",IF(ISNUMBER(MATCH(DATE(対象年度,7,15),祝日リスト,0)),"祝",""))</f>
        <v/>
      </c>
      <c r="D18" s="33"/>
      <c r="E18" s="34"/>
      <c r="F18" s="35" t="str">
        <f t="shared" si="0"/>
        <v/>
      </c>
      <c r="G18" s="36" t="str">
        <f t="shared" si="1"/>
        <v/>
      </c>
      <c r="H18" s="37"/>
      <c r="I18" s="33"/>
      <c r="J18" s="34"/>
      <c r="K18" s="35" t="str">
        <f t="shared" si="2"/>
        <v/>
      </c>
      <c r="L18" s="36" t="str">
        <f t="shared" si="3"/>
        <v/>
      </c>
      <c r="M18" s="37"/>
      <c r="N18" s="33"/>
      <c r="O18" s="34"/>
      <c r="P18" s="35" t="str">
        <f t="shared" si="4"/>
        <v/>
      </c>
      <c r="Q18" s="36" t="str">
        <f t="shared" si="5"/>
        <v/>
      </c>
      <c r="R18" s="37"/>
      <c r="S18" s="33"/>
      <c r="T18" s="34"/>
      <c r="U18" s="35" t="str">
        <f t="shared" si="6"/>
        <v/>
      </c>
      <c r="V18" s="36" t="str">
        <f t="shared" si="7"/>
        <v/>
      </c>
      <c r="W18" s="37"/>
      <c r="X18" s="33"/>
      <c r="Y18" s="34"/>
      <c r="Z18" s="35" t="str">
        <f t="shared" si="8"/>
        <v/>
      </c>
      <c r="AA18" s="36" t="str">
        <f t="shared" si="9"/>
        <v/>
      </c>
      <c r="AB18" s="37"/>
      <c r="AC18" s="33"/>
      <c r="AD18" s="34"/>
      <c r="AE18" s="35" t="str">
        <f t="shared" si="10"/>
        <v/>
      </c>
      <c r="AF18" s="36" t="str">
        <f t="shared" si="11"/>
        <v/>
      </c>
      <c r="AG18" s="37"/>
      <c r="AH18" s="33"/>
      <c r="AI18" s="34"/>
      <c r="AJ18" s="35" t="str">
        <f t="shared" si="12"/>
        <v/>
      </c>
      <c r="AK18" s="36" t="str">
        <f t="shared" si="13"/>
        <v/>
      </c>
      <c r="AL18" s="37"/>
      <c r="AM18" s="33"/>
      <c r="AN18" s="34"/>
      <c r="AO18" s="35" t="str">
        <f t="shared" si="14"/>
        <v/>
      </c>
      <c r="AP18" s="36" t="str">
        <f t="shared" si="15"/>
        <v/>
      </c>
      <c r="AQ18" s="37"/>
      <c r="AR18" s="33"/>
      <c r="AS18" s="34"/>
      <c r="AT18" s="35" t="str">
        <f t="shared" si="16"/>
        <v/>
      </c>
      <c r="AU18" s="36" t="str">
        <f t="shared" si="17"/>
        <v/>
      </c>
      <c r="AV18" s="37"/>
      <c r="AW18" s="33"/>
      <c r="AX18" s="34"/>
      <c r="AY18" s="35" t="str">
        <f t="shared" si="18"/>
        <v/>
      </c>
      <c r="AZ18" s="36" t="str">
        <f t="shared" si="19"/>
        <v/>
      </c>
      <c r="BA18" s="37"/>
      <c r="BB18" s="33"/>
      <c r="BC18" s="34"/>
      <c r="BD18" s="35" t="str">
        <f t="shared" si="20"/>
        <v/>
      </c>
      <c r="BE18" s="36" t="str">
        <f t="shared" si="21"/>
        <v/>
      </c>
      <c r="BF18" s="37"/>
      <c r="BG18" s="33"/>
      <c r="BH18" s="34"/>
      <c r="BI18" s="35" t="str">
        <f t="shared" si="22"/>
        <v/>
      </c>
      <c r="BJ18" s="36" t="str">
        <f t="shared" si="23"/>
        <v/>
      </c>
      <c r="BK18" s="37"/>
      <c r="BL18" s="33"/>
      <c r="BM18" s="34"/>
      <c r="BN18" s="35" t="str">
        <f t="shared" si="24"/>
        <v/>
      </c>
      <c r="BO18" s="36" t="str">
        <f t="shared" si="25"/>
        <v/>
      </c>
      <c r="BP18" s="37"/>
      <c r="BQ18" s="33"/>
      <c r="BR18" s="34"/>
      <c r="BS18" s="35" t="str">
        <f t="shared" si="26"/>
        <v/>
      </c>
      <c r="BT18" s="36" t="str">
        <f t="shared" si="27"/>
        <v/>
      </c>
      <c r="BU18" s="37"/>
      <c r="BV18" s="33"/>
      <c r="BW18" s="34"/>
      <c r="BX18" s="35" t="str">
        <f t="shared" si="28"/>
        <v/>
      </c>
      <c r="BY18" s="36" t="str">
        <f t="shared" si="29"/>
        <v/>
      </c>
      <c r="BZ18" s="37"/>
      <c r="CA18" s="33"/>
      <c r="CB18" s="34"/>
      <c r="CC18" s="35" t="str">
        <f t="shared" si="30"/>
        <v/>
      </c>
      <c r="CD18" s="36" t="str">
        <f t="shared" si="31"/>
        <v/>
      </c>
      <c r="CE18" s="37"/>
      <c r="CF18" s="33"/>
      <c r="CG18" s="34"/>
      <c r="CH18" s="35" t="str">
        <f t="shared" si="32"/>
        <v/>
      </c>
      <c r="CI18" s="36" t="str">
        <f t="shared" si="33"/>
        <v/>
      </c>
      <c r="CJ18" s="37"/>
      <c r="CK18" s="33"/>
      <c r="CL18" s="34"/>
      <c r="CM18" s="35" t="str">
        <f t="shared" si="34"/>
        <v/>
      </c>
      <c r="CN18" s="36" t="str">
        <f t="shared" si="35"/>
        <v/>
      </c>
      <c r="CO18" s="37"/>
      <c r="CP18" s="33"/>
      <c r="CQ18" s="34"/>
      <c r="CR18" s="35" t="str">
        <f t="shared" si="36"/>
        <v/>
      </c>
      <c r="CS18" s="36" t="str">
        <f t="shared" si="37"/>
        <v/>
      </c>
      <c r="CT18" s="37"/>
      <c r="CU18" s="33"/>
      <c r="CV18" s="34"/>
      <c r="CW18" s="35" t="str">
        <f t="shared" si="38"/>
        <v/>
      </c>
      <c r="CX18" s="36" t="str">
        <f t="shared" si="39"/>
        <v/>
      </c>
      <c r="CY18" s="37"/>
      <c r="CZ18" s="33"/>
      <c r="DA18" s="34"/>
      <c r="DB18" s="35" t="str">
        <f t="shared" si="40"/>
        <v/>
      </c>
      <c r="DC18" s="36" t="str">
        <f t="shared" si="41"/>
        <v/>
      </c>
      <c r="DD18" s="37"/>
      <c r="DE18" s="33"/>
      <c r="DF18" s="34"/>
      <c r="DG18" s="35" t="str">
        <f t="shared" si="42"/>
        <v/>
      </c>
      <c r="DH18" s="36" t="str">
        <f t="shared" si="43"/>
        <v/>
      </c>
      <c r="DI18" s="37"/>
      <c r="DJ18" s="33"/>
      <c r="DK18" s="34"/>
      <c r="DL18" s="35" t="str">
        <f t="shared" si="44"/>
        <v/>
      </c>
      <c r="DM18" s="36" t="str">
        <f t="shared" si="45"/>
        <v/>
      </c>
      <c r="DN18" s="37"/>
      <c r="DO18" s="33"/>
      <c r="DP18" s="34"/>
      <c r="DQ18" s="35" t="str">
        <f t="shared" si="46"/>
        <v/>
      </c>
      <c r="DR18" s="36" t="str">
        <f t="shared" si="47"/>
        <v/>
      </c>
      <c r="DS18" s="37"/>
      <c r="DT18" s="33"/>
      <c r="DU18" s="34"/>
      <c r="DV18" s="35" t="str">
        <f t="shared" si="48"/>
        <v/>
      </c>
      <c r="DW18" s="36" t="str">
        <f t="shared" si="49"/>
        <v/>
      </c>
      <c r="DX18" s="37"/>
      <c r="DY18" s="33"/>
      <c r="DZ18" s="34"/>
      <c r="EA18" s="35" t="str">
        <f t="shared" si="50"/>
        <v/>
      </c>
      <c r="EB18" s="36" t="str">
        <f t="shared" si="51"/>
        <v/>
      </c>
      <c r="EC18" s="37"/>
      <c r="ED18" s="33"/>
      <c r="EE18" s="34"/>
      <c r="EF18" s="35" t="str">
        <f t="shared" si="52"/>
        <v/>
      </c>
      <c r="EG18" s="36" t="str">
        <f t="shared" si="53"/>
        <v/>
      </c>
      <c r="EH18" s="37"/>
      <c r="EI18" s="33"/>
      <c r="EJ18" s="34"/>
      <c r="EK18" s="35" t="str">
        <f t="shared" si="54"/>
        <v/>
      </c>
      <c r="EL18" s="36" t="str">
        <f t="shared" si="55"/>
        <v/>
      </c>
      <c r="EM18" s="37"/>
      <c r="EN18" s="33"/>
      <c r="EO18" s="34"/>
      <c r="EP18" s="35" t="str">
        <f t="shared" si="56"/>
        <v/>
      </c>
      <c r="EQ18" s="36" t="str">
        <f t="shared" si="57"/>
        <v/>
      </c>
      <c r="ER18" s="37"/>
      <c r="ES18" s="33"/>
      <c r="ET18" s="34"/>
      <c r="EU18" s="35" t="str">
        <f t="shared" si="58"/>
        <v/>
      </c>
      <c r="EV18" s="36" t="str">
        <f t="shared" si="59"/>
        <v/>
      </c>
      <c r="EW18" s="37"/>
    </row>
    <row r="19" spans="1:153" ht="19.5" customHeight="1">
      <c r="A19" s="32">
        <f>IF(DAY(DATE(対象年度,7,16))&lt;&gt;16,"",16)</f>
        <v>16</v>
      </c>
      <c r="B19" s="32" t="str">
        <f>IF(DAY(DATE(対象年度,7,16))&lt;&gt;16,"",CHOOSE(WEEKDAY(DATE(対象年度,7,16),2),"月","火","水","木","金","土","日"))</f>
        <v>木</v>
      </c>
      <c r="C19" s="32" t="str">
        <f>IF(DAY(DATE(対象年度,7,16))&lt;&gt;16,"",IF(ISNUMBER(MATCH(DATE(対象年度,7,16),祝日リスト,0)),"祝",""))</f>
        <v/>
      </c>
      <c r="D19" s="33"/>
      <c r="E19" s="34"/>
      <c r="F19" s="35" t="str">
        <f t="shared" si="0"/>
        <v/>
      </c>
      <c r="G19" s="36" t="str">
        <f t="shared" si="1"/>
        <v/>
      </c>
      <c r="H19" s="37"/>
      <c r="I19" s="33"/>
      <c r="J19" s="34"/>
      <c r="K19" s="35" t="str">
        <f t="shared" si="2"/>
        <v/>
      </c>
      <c r="L19" s="36" t="str">
        <f t="shared" si="3"/>
        <v/>
      </c>
      <c r="M19" s="37"/>
      <c r="N19" s="33"/>
      <c r="O19" s="34"/>
      <c r="P19" s="35" t="str">
        <f t="shared" si="4"/>
        <v/>
      </c>
      <c r="Q19" s="36" t="str">
        <f t="shared" si="5"/>
        <v/>
      </c>
      <c r="R19" s="37"/>
      <c r="S19" s="33"/>
      <c r="T19" s="34"/>
      <c r="U19" s="35" t="str">
        <f t="shared" si="6"/>
        <v/>
      </c>
      <c r="V19" s="36" t="str">
        <f t="shared" si="7"/>
        <v/>
      </c>
      <c r="W19" s="37"/>
      <c r="X19" s="33"/>
      <c r="Y19" s="34"/>
      <c r="Z19" s="35" t="str">
        <f t="shared" si="8"/>
        <v/>
      </c>
      <c r="AA19" s="36" t="str">
        <f t="shared" si="9"/>
        <v/>
      </c>
      <c r="AB19" s="37"/>
      <c r="AC19" s="33"/>
      <c r="AD19" s="34"/>
      <c r="AE19" s="35" t="str">
        <f t="shared" si="10"/>
        <v/>
      </c>
      <c r="AF19" s="36" t="str">
        <f t="shared" si="11"/>
        <v/>
      </c>
      <c r="AG19" s="37"/>
      <c r="AH19" s="33"/>
      <c r="AI19" s="34"/>
      <c r="AJ19" s="35" t="str">
        <f t="shared" si="12"/>
        <v/>
      </c>
      <c r="AK19" s="36" t="str">
        <f t="shared" si="13"/>
        <v/>
      </c>
      <c r="AL19" s="37"/>
      <c r="AM19" s="33"/>
      <c r="AN19" s="34"/>
      <c r="AO19" s="35" t="str">
        <f t="shared" si="14"/>
        <v/>
      </c>
      <c r="AP19" s="36" t="str">
        <f t="shared" si="15"/>
        <v/>
      </c>
      <c r="AQ19" s="37"/>
      <c r="AR19" s="33"/>
      <c r="AS19" s="34"/>
      <c r="AT19" s="35" t="str">
        <f t="shared" si="16"/>
        <v/>
      </c>
      <c r="AU19" s="36" t="str">
        <f t="shared" si="17"/>
        <v/>
      </c>
      <c r="AV19" s="37"/>
      <c r="AW19" s="33"/>
      <c r="AX19" s="34"/>
      <c r="AY19" s="35" t="str">
        <f t="shared" si="18"/>
        <v/>
      </c>
      <c r="AZ19" s="36" t="str">
        <f t="shared" si="19"/>
        <v/>
      </c>
      <c r="BA19" s="37"/>
      <c r="BB19" s="33"/>
      <c r="BC19" s="34"/>
      <c r="BD19" s="35" t="str">
        <f t="shared" si="20"/>
        <v/>
      </c>
      <c r="BE19" s="36" t="str">
        <f t="shared" si="21"/>
        <v/>
      </c>
      <c r="BF19" s="37"/>
      <c r="BG19" s="33"/>
      <c r="BH19" s="34"/>
      <c r="BI19" s="35" t="str">
        <f t="shared" si="22"/>
        <v/>
      </c>
      <c r="BJ19" s="36" t="str">
        <f t="shared" si="23"/>
        <v/>
      </c>
      <c r="BK19" s="37"/>
      <c r="BL19" s="33"/>
      <c r="BM19" s="34"/>
      <c r="BN19" s="35" t="str">
        <f t="shared" si="24"/>
        <v/>
      </c>
      <c r="BO19" s="36" t="str">
        <f t="shared" si="25"/>
        <v/>
      </c>
      <c r="BP19" s="37"/>
      <c r="BQ19" s="33"/>
      <c r="BR19" s="34"/>
      <c r="BS19" s="35" t="str">
        <f t="shared" si="26"/>
        <v/>
      </c>
      <c r="BT19" s="36" t="str">
        <f t="shared" si="27"/>
        <v/>
      </c>
      <c r="BU19" s="37"/>
      <c r="BV19" s="33"/>
      <c r="BW19" s="34"/>
      <c r="BX19" s="35" t="str">
        <f t="shared" si="28"/>
        <v/>
      </c>
      <c r="BY19" s="36" t="str">
        <f t="shared" si="29"/>
        <v/>
      </c>
      <c r="BZ19" s="37"/>
      <c r="CA19" s="33"/>
      <c r="CB19" s="34"/>
      <c r="CC19" s="35" t="str">
        <f t="shared" si="30"/>
        <v/>
      </c>
      <c r="CD19" s="36" t="str">
        <f t="shared" si="31"/>
        <v/>
      </c>
      <c r="CE19" s="37"/>
      <c r="CF19" s="33"/>
      <c r="CG19" s="34"/>
      <c r="CH19" s="35" t="str">
        <f t="shared" si="32"/>
        <v/>
      </c>
      <c r="CI19" s="36" t="str">
        <f t="shared" si="33"/>
        <v/>
      </c>
      <c r="CJ19" s="37"/>
      <c r="CK19" s="33"/>
      <c r="CL19" s="34"/>
      <c r="CM19" s="35" t="str">
        <f t="shared" si="34"/>
        <v/>
      </c>
      <c r="CN19" s="36" t="str">
        <f t="shared" si="35"/>
        <v/>
      </c>
      <c r="CO19" s="37"/>
      <c r="CP19" s="33"/>
      <c r="CQ19" s="34"/>
      <c r="CR19" s="35" t="str">
        <f t="shared" si="36"/>
        <v/>
      </c>
      <c r="CS19" s="36" t="str">
        <f t="shared" si="37"/>
        <v/>
      </c>
      <c r="CT19" s="37"/>
      <c r="CU19" s="33"/>
      <c r="CV19" s="34"/>
      <c r="CW19" s="35" t="str">
        <f t="shared" si="38"/>
        <v/>
      </c>
      <c r="CX19" s="36" t="str">
        <f t="shared" si="39"/>
        <v/>
      </c>
      <c r="CY19" s="37"/>
      <c r="CZ19" s="33"/>
      <c r="DA19" s="34"/>
      <c r="DB19" s="35" t="str">
        <f t="shared" si="40"/>
        <v/>
      </c>
      <c r="DC19" s="36" t="str">
        <f t="shared" si="41"/>
        <v/>
      </c>
      <c r="DD19" s="37"/>
      <c r="DE19" s="33"/>
      <c r="DF19" s="34"/>
      <c r="DG19" s="35" t="str">
        <f t="shared" si="42"/>
        <v/>
      </c>
      <c r="DH19" s="36" t="str">
        <f t="shared" si="43"/>
        <v/>
      </c>
      <c r="DI19" s="37"/>
      <c r="DJ19" s="33"/>
      <c r="DK19" s="34"/>
      <c r="DL19" s="35" t="str">
        <f t="shared" si="44"/>
        <v/>
      </c>
      <c r="DM19" s="36" t="str">
        <f t="shared" si="45"/>
        <v/>
      </c>
      <c r="DN19" s="37"/>
      <c r="DO19" s="33"/>
      <c r="DP19" s="34"/>
      <c r="DQ19" s="35" t="str">
        <f t="shared" si="46"/>
        <v/>
      </c>
      <c r="DR19" s="36" t="str">
        <f t="shared" si="47"/>
        <v/>
      </c>
      <c r="DS19" s="37"/>
      <c r="DT19" s="33"/>
      <c r="DU19" s="34"/>
      <c r="DV19" s="35" t="str">
        <f t="shared" si="48"/>
        <v/>
      </c>
      <c r="DW19" s="36" t="str">
        <f t="shared" si="49"/>
        <v/>
      </c>
      <c r="DX19" s="37"/>
      <c r="DY19" s="33"/>
      <c r="DZ19" s="34"/>
      <c r="EA19" s="35" t="str">
        <f t="shared" si="50"/>
        <v/>
      </c>
      <c r="EB19" s="36" t="str">
        <f t="shared" si="51"/>
        <v/>
      </c>
      <c r="EC19" s="37"/>
      <c r="ED19" s="33"/>
      <c r="EE19" s="34"/>
      <c r="EF19" s="35" t="str">
        <f t="shared" si="52"/>
        <v/>
      </c>
      <c r="EG19" s="36" t="str">
        <f t="shared" si="53"/>
        <v/>
      </c>
      <c r="EH19" s="37"/>
      <c r="EI19" s="33"/>
      <c r="EJ19" s="34"/>
      <c r="EK19" s="35" t="str">
        <f t="shared" si="54"/>
        <v/>
      </c>
      <c r="EL19" s="36" t="str">
        <f t="shared" si="55"/>
        <v/>
      </c>
      <c r="EM19" s="37"/>
      <c r="EN19" s="33"/>
      <c r="EO19" s="34"/>
      <c r="EP19" s="35" t="str">
        <f t="shared" si="56"/>
        <v/>
      </c>
      <c r="EQ19" s="36" t="str">
        <f t="shared" si="57"/>
        <v/>
      </c>
      <c r="ER19" s="37"/>
      <c r="ES19" s="33"/>
      <c r="ET19" s="34"/>
      <c r="EU19" s="35" t="str">
        <f t="shared" si="58"/>
        <v/>
      </c>
      <c r="EV19" s="36" t="str">
        <f t="shared" si="59"/>
        <v/>
      </c>
      <c r="EW19" s="37"/>
    </row>
    <row r="20" spans="1:153" ht="19.5" customHeight="1">
      <c r="A20" s="32">
        <f>IF(DAY(DATE(対象年度,7,17))&lt;&gt;17,"",17)</f>
        <v>17</v>
      </c>
      <c r="B20" s="32" t="str">
        <f>IF(DAY(DATE(対象年度,7,17))&lt;&gt;17,"",CHOOSE(WEEKDAY(DATE(対象年度,7,17),2),"月","火","水","木","金","土","日"))</f>
        <v>金</v>
      </c>
      <c r="C20" s="32" t="str">
        <f>IF(DAY(DATE(対象年度,7,17))&lt;&gt;17,"",IF(ISNUMBER(MATCH(DATE(対象年度,7,17),祝日リスト,0)),"祝",""))</f>
        <v/>
      </c>
      <c r="D20" s="33"/>
      <c r="E20" s="34"/>
      <c r="F20" s="35" t="str">
        <f t="shared" si="0"/>
        <v/>
      </c>
      <c r="G20" s="36" t="str">
        <f t="shared" si="1"/>
        <v/>
      </c>
      <c r="H20" s="37"/>
      <c r="I20" s="33"/>
      <c r="J20" s="34"/>
      <c r="K20" s="35" t="str">
        <f t="shared" si="2"/>
        <v/>
      </c>
      <c r="L20" s="36" t="str">
        <f t="shared" si="3"/>
        <v/>
      </c>
      <c r="M20" s="37"/>
      <c r="N20" s="33"/>
      <c r="O20" s="34"/>
      <c r="P20" s="35" t="str">
        <f t="shared" si="4"/>
        <v/>
      </c>
      <c r="Q20" s="36" t="str">
        <f t="shared" si="5"/>
        <v/>
      </c>
      <c r="R20" s="37"/>
      <c r="S20" s="33"/>
      <c r="T20" s="34"/>
      <c r="U20" s="35" t="str">
        <f t="shared" si="6"/>
        <v/>
      </c>
      <c r="V20" s="36" t="str">
        <f t="shared" si="7"/>
        <v/>
      </c>
      <c r="W20" s="37"/>
      <c r="X20" s="33"/>
      <c r="Y20" s="34"/>
      <c r="Z20" s="35" t="str">
        <f t="shared" si="8"/>
        <v/>
      </c>
      <c r="AA20" s="36" t="str">
        <f t="shared" si="9"/>
        <v/>
      </c>
      <c r="AB20" s="37"/>
      <c r="AC20" s="33"/>
      <c r="AD20" s="34"/>
      <c r="AE20" s="35" t="str">
        <f t="shared" si="10"/>
        <v/>
      </c>
      <c r="AF20" s="36" t="str">
        <f t="shared" si="11"/>
        <v/>
      </c>
      <c r="AG20" s="37"/>
      <c r="AH20" s="33"/>
      <c r="AI20" s="34"/>
      <c r="AJ20" s="35" t="str">
        <f t="shared" si="12"/>
        <v/>
      </c>
      <c r="AK20" s="36" t="str">
        <f t="shared" si="13"/>
        <v/>
      </c>
      <c r="AL20" s="37"/>
      <c r="AM20" s="33"/>
      <c r="AN20" s="34"/>
      <c r="AO20" s="35" t="str">
        <f t="shared" si="14"/>
        <v/>
      </c>
      <c r="AP20" s="36" t="str">
        <f t="shared" si="15"/>
        <v/>
      </c>
      <c r="AQ20" s="37"/>
      <c r="AR20" s="33"/>
      <c r="AS20" s="34"/>
      <c r="AT20" s="35" t="str">
        <f t="shared" si="16"/>
        <v/>
      </c>
      <c r="AU20" s="36" t="str">
        <f t="shared" si="17"/>
        <v/>
      </c>
      <c r="AV20" s="37"/>
      <c r="AW20" s="33"/>
      <c r="AX20" s="34"/>
      <c r="AY20" s="35" t="str">
        <f t="shared" si="18"/>
        <v/>
      </c>
      <c r="AZ20" s="36" t="str">
        <f t="shared" si="19"/>
        <v/>
      </c>
      <c r="BA20" s="37"/>
      <c r="BB20" s="33"/>
      <c r="BC20" s="34"/>
      <c r="BD20" s="35" t="str">
        <f t="shared" si="20"/>
        <v/>
      </c>
      <c r="BE20" s="36" t="str">
        <f t="shared" si="21"/>
        <v/>
      </c>
      <c r="BF20" s="37"/>
      <c r="BG20" s="33"/>
      <c r="BH20" s="34"/>
      <c r="BI20" s="35" t="str">
        <f t="shared" si="22"/>
        <v/>
      </c>
      <c r="BJ20" s="36" t="str">
        <f t="shared" si="23"/>
        <v/>
      </c>
      <c r="BK20" s="37"/>
      <c r="BL20" s="33"/>
      <c r="BM20" s="34"/>
      <c r="BN20" s="35" t="str">
        <f t="shared" si="24"/>
        <v/>
      </c>
      <c r="BO20" s="36" t="str">
        <f t="shared" si="25"/>
        <v/>
      </c>
      <c r="BP20" s="37"/>
      <c r="BQ20" s="33"/>
      <c r="BR20" s="34"/>
      <c r="BS20" s="35" t="str">
        <f t="shared" si="26"/>
        <v/>
      </c>
      <c r="BT20" s="36" t="str">
        <f t="shared" si="27"/>
        <v/>
      </c>
      <c r="BU20" s="37"/>
      <c r="BV20" s="33"/>
      <c r="BW20" s="34"/>
      <c r="BX20" s="35" t="str">
        <f t="shared" si="28"/>
        <v/>
      </c>
      <c r="BY20" s="36" t="str">
        <f t="shared" si="29"/>
        <v/>
      </c>
      <c r="BZ20" s="37"/>
      <c r="CA20" s="33"/>
      <c r="CB20" s="34"/>
      <c r="CC20" s="35" t="str">
        <f t="shared" si="30"/>
        <v/>
      </c>
      <c r="CD20" s="36" t="str">
        <f t="shared" si="31"/>
        <v/>
      </c>
      <c r="CE20" s="37"/>
      <c r="CF20" s="33"/>
      <c r="CG20" s="34"/>
      <c r="CH20" s="35" t="str">
        <f t="shared" si="32"/>
        <v/>
      </c>
      <c r="CI20" s="36" t="str">
        <f t="shared" si="33"/>
        <v/>
      </c>
      <c r="CJ20" s="37"/>
      <c r="CK20" s="33"/>
      <c r="CL20" s="34"/>
      <c r="CM20" s="35" t="str">
        <f t="shared" si="34"/>
        <v/>
      </c>
      <c r="CN20" s="36" t="str">
        <f t="shared" si="35"/>
        <v/>
      </c>
      <c r="CO20" s="37"/>
      <c r="CP20" s="33"/>
      <c r="CQ20" s="34"/>
      <c r="CR20" s="35" t="str">
        <f t="shared" si="36"/>
        <v/>
      </c>
      <c r="CS20" s="36" t="str">
        <f t="shared" si="37"/>
        <v/>
      </c>
      <c r="CT20" s="37"/>
      <c r="CU20" s="33"/>
      <c r="CV20" s="34"/>
      <c r="CW20" s="35" t="str">
        <f t="shared" si="38"/>
        <v/>
      </c>
      <c r="CX20" s="36" t="str">
        <f t="shared" si="39"/>
        <v/>
      </c>
      <c r="CY20" s="37"/>
      <c r="CZ20" s="33"/>
      <c r="DA20" s="34"/>
      <c r="DB20" s="35" t="str">
        <f t="shared" si="40"/>
        <v/>
      </c>
      <c r="DC20" s="36" t="str">
        <f t="shared" si="41"/>
        <v/>
      </c>
      <c r="DD20" s="37"/>
      <c r="DE20" s="33"/>
      <c r="DF20" s="34"/>
      <c r="DG20" s="35" t="str">
        <f t="shared" si="42"/>
        <v/>
      </c>
      <c r="DH20" s="36" t="str">
        <f t="shared" si="43"/>
        <v/>
      </c>
      <c r="DI20" s="37"/>
      <c r="DJ20" s="33"/>
      <c r="DK20" s="34"/>
      <c r="DL20" s="35" t="str">
        <f t="shared" si="44"/>
        <v/>
      </c>
      <c r="DM20" s="36" t="str">
        <f t="shared" si="45"/>
        <v/>
      </c>
      <c r="DN20" s="37"/>
      <c r="DO20" s="33"/>
      <c r="DP20" s="34"/>
      <c r="DQ20" s="35" t="str">
        <f t="shared" si="46"/>
        <v/>
      </c>
      <c r="DR20" s="36" t="str">
        <f t="shared" si="47"/>
        <v/>
      </c>
      <c r="DS20" s="37"/>
      <c r="DT20" s="33"/>
      <c r="DU20" s="34"/>
      <c r="DV20" s="35" t="str">
        <f t="shared" si="48"/>
        <v/>
      </c>
      <c r="DW20" s="36" t="str">
        <f t="shared" si="49"/>
        <v/>
      </c>
      <c r="DX20" s="37"/>
      <c r="DY20" s="33"/>
      <c r="DZ20" s="34"/>
      <c r="EA20" s="35" t="str">
        <f t="shared" si="50"/>
        <v/>
      </c>
      <c r="EB20" s="36" t="str">
        <f t="shared" si="51"/>
        <v/>
      </c>
      <c r="EC20" s="37"/>
      <c r="ED20" s="33"/>
      <c r="EE20" s="34"/>
      <c r="EF20" s="35" t="str">
        <f t="shared" si="52"/>
        <v/>
      </c>
      <c r="EG20" s="36" t="str">
        <f t="shared" si="53"/>
        <v/>
      </c>
      <c r="EH20" s="37"/>
      <c r="EI20" s="33"/>
      <c r="EJ20" s="34"/>
      <c r="EK20" s="35" t="str">
        <f t="shared" si="54"/>
        <v/>
      </c>
      <c r="EL20" s="36" t="str">
        <f t="shared" si="55"/>
        <v/>
      </c>
      <c r="EM20" s="37"/>
      <c r="EN20" s="33"/>
      <c r="EO20" s="34"/>
      <c r="EP20" s="35" t="str">
        <f t="shared" si="56"/>
        <v/>
      </c>
      <c r="EQ20" s="36" t="str">
        <f t="shared" si="57"/>
        <v/>
      </c>
      <c r="ER20" s="37"/>
      <c r="ES20" s="33"/>
      <c r="ET20" s="34"/>
      <c r="EU20" s="35" t="str">
        <f t="shared" si="58"/>
        <v/>
      </c>
      <c r="EV20" s="36" t="str">
        <f t="shared" si="59"/>
        <v/>
      </c>
      <c r="EW20" s="37"/>
    </row>
    <row r="21" spans="1:153" ht="19.5" customHeight="1">
      <c r="A21" s="32">
        <f>IF(DAY(DATE(対象年度,7,18))&lt;&gt;18,"",18)</f>
        <v>18</v>
      </c>
      <c r="B21" s="32" t="str">
        <f>IF(DAY(DATE(対象年度,7,18))&lt;&gt;18,"",CHOOSE(WEEKDAY(DATE(対象年度,7,18),2),"月","火","水","木","金","土","日"))</f>
        <v>土</v>
      </c>
      <c r="C21" s="32" t="str">
        <f>IF(DAY(DATE(対象年度,7,18))&lt;&gt;18,"",IF(ISNUMBER(MATCH(DATE(対象年度,7,18),祝日リスト,0)),"祝",""))</f>
        <v/>
      </c>
      <c r="D21" s="33"/>
      <c r="E21" s="34"/>
      <c r="F21" s="35" t="str">
        <f t="shared" si="0"/>
        <v/>
      </c>
      <c r="G21" s="36" t="str">
        <f t="shared" si="1"/>
        <v/>
      </c>
      <c r="H21" s="37"/>
      <c r="I21" s="33"/>
      <c r="J21" s="34"/>
      <c r="K21" s="35" t="str">
        <f t="shared" si="2"/>
        <v/>
      </c>
      <c r="L21" s="36" t="str">
        <f t="shared" si="3"/>
        <v/>
      </c>
      <c r="M21" s="37"/>
      <c r="N21" s="33"/>
      <c r="O21" s="34"/>
      <c r="P21" s="35" t="str">
        <f t="shared" si="4"/>
        <v/>
      </c>
      <c r="Q21" s="36" t="str">
        <f t="shared" si="5"/>
        <v/>
      </c>
      <c r="R21" s="37"/>
      <c r="S21" s="33"/>
      <c r="T21" s="34"/>
      <c r="U21" s="35" t="str">
        <f t="shared" si="6"/>
        <v/>
      </c>
      <c r="V21" s="36" t="str">
        <f t="shared" si="7"/>
        <v/>
      </c>
      <c r="W21" s="37"/>
      <c r="X21" s="33"/>
      <c r="Y21" s="34"/>
      <c r="Z21" s="35" t="str">
        <f t="shared" si="8"/>
        <v/>
      </c>
      <c r="AA21" s="36" t="str">
        <f t="shared" si="9"/>
        <v/>
      </c>
      <c r="AB21" s="37"/>
      <c r="AC21" s="33"/>
      <c r="AD21" s="34"/>
      <c r="AE21" s="35" t="str">
        <f t="shared" si="10"/>
        <v/>
      </c>
      <c r="AF21" s="36" t="str">
        <f t="shared" si="11"/>
        <v/>
      </c>
      <c r="AG21" s="37"/>
      <c r="AH21" s="33"/>
      <c r="AI21" s="34"/>
      <c r="AJ21" s="35" t="str">
        <f t="shared" si="12"/>
        <v/>
      </c>
      <c r="AK21" s="36" t="str">
        <f t="shared" si="13"/>
        <v/>
      </c>
      <c r="AL21" s="37"/>
      <c r="AM21" s="33"/>
      <c r="AN21" s="34"/>
      <c r="AO21" s="35" t="str">
        <f t="shared" si="14"/>
        <v/>
      </c>
      <c r="AP21" s="36" t="str">
        <f t="shared" si="15"/>
        <v/>
      </c>
      <c r="AQ21" s="37"/>
      <c r="AR21" s="33"/>
      <c r="AS21" s="34"/>
      <c r="AT21" s="35" t="str">
        <f t="shared" si="16"/>
        <v/>
      </c>
      <c r="AU21" s="36" t="str">
        <f t="shared" si="17"/>
        <v/>
      </c>
      <c r="AV21" s="37"/>
      <c r="AW21" s="33"/>
      <c r="AX21" s="34"/>
      <c r="AY21" s="35" t="str">
        <f t="shared" si="18"/>
        <v/>
      </c>
      <c r="AZ21" s="36" t="str">
        <f t="shared" si="19"/>
        <v/>
      </c>
      <c r="BA21" s="37"/>
      <c r="BB21" s="33"/>
      <c r="BC21" s="34"/>
      <c r="BD21" s="35" t="str">
        <f t="shared" si="20"/>
        <v/>
      </c>
      <c r="BE21" s="36" t="str">
        <f t="shared" si="21"/>
        <v/>
      </c>
      <c r="BF21" s="37"/>
      <c r="BG21" s="33"/>
      <c r="BH21" s="34"/>
      <c r="BI21" s="35" t="str">
        <f t="shared" si="22"/>
        <v/>
      </c>
      <c r="BJ21" s="36" t="str">
        <f t="shared" si="23"/>
        <v/>
      </c>
      <c r="BK21" s="37"/>
      <c r="BL21" s="33"/>
      <c r="BM21" s="34"/>
      <c r="BN21" s="35" t="str">
        <f t="shared" si="24"/>
        <v/>
      </c>
      <c r="BO21" s="36" t="str">
        <f t="shared" si="25"/>
        <v/>
      </c>
      <c r="BP21" s="37"/>
      <c r="BQ21" s="33"/>
      <c r="BR21" s="34"/>
      <c r="BS21" s="35" t="str">
        <f t="shared" si="26"/>
        <v/>
      </c>
      <c r="BT21" s="36" t="str">
        <f t="shared" si="27"/>
        <v/>
      </c>
      <c r="BU21" s="37"/>
      <c r="BV21" s="33"/>
      <c r="BW21" s="34"/>
      <c r="BX21" s="35" t="str">
        <f t="shared" si="28"/>
        <v/>
      </c>
      <c r="BY21" s="36" t="str">
        <f t="shared" si="29"/>
        <v/>
      </c>
      <c r="BZ21" s="37"/>
      <c r="CA21" s="33"/>
      <c r="CB21" s="34"/>
      <c r="CC21" s="35" t="str">
        <f t="shared" si="30"/>
        <v/>
      </c>
      <c r="CD21" s="36" t="str">
        <f t="shared" si="31"/>
        <v/>
      </c>
      <c r="CE21" s="37"/>
      <c r="CF21" s="33"/>
      <c r="CG21" s="34"/>
      <c r="CH21" s="35" t="str">
        <f t="shared" si="32"/>
        <v/>
      </c>
      <c r="CI21" s="36" t="str">
        <f t="shared" si="33"/>
        <v/>
      </c>
      <c r="CJ21" s="37"/>
      <c r="CK21" s="33"/>
      <c r="CL21" s="34"/>
      <c r="CM21" s="35" t="str">
        <f t="shared" si="34"/>
        <v/>
      </c>
      <c r="CN21" s="36" t="str">
        <f t="shared" si="35"/>
        <v/>
      </c>
      <c r="CO21" s="37"/>
      <c r="CP21" s="33"/>
      <c r="CQ21" s="34"/>
      <c r="CR21" s="35" t="str">
        <f t="shared" si="36"/>
        <v/>
      </c>
      <c r="CS21" s="36" t="str">
        <f t="shared" si="37"/>
        <v/>
      </c>
      <c r="CT21" s="37"/>
      <c r="CU21" s="33"/>
      <c r="CV21" s="34"/>
      <c r="CW21" s="35" t="str">
        <f t="shared" si="38"/>
        <v/>
      </c>
      <c r="CX21" s="36" t="str">
        <f t="shared" si="39"/>
        <v/>
      </c>
      <c r="CY21" s="37"/>
      <c r="CZ21" s="33"/>
      <c r="DA21" s="34"/>
      <c r="DB21" s="35" t="str">
        <f t="shared" si="40"/>
        <v/>
      </c>
      <c r="DC21" s="36" t="str">
        <f t="shared" si="41"/>
        <v/>
      </c>
      <c r="DD21" s="37"/>
      <c r="DE21" s="33"/>
      <c r="DF21" s="34"/>
      <c r="DG21" s="35" t="str">
        <f t="shared" si="42"/>
        <v/>
      </c>
      <c r="DH21" s="36" t="str">
        <f t="shared" si="43"/>
        <v/>
      </c>
      <c r="DI21" s="37"/>
      <c r="DJ21" s="33"/>
      <c r="DK21" s="34"/>
      <c r="DL21" s="35" t="str">
        <f t="shared" si="44"/>
        <v/>
      </c>
      <c r="DM21" s="36" t="str">
        <f t="shared" si="45"/>
        <v/>
      </c>
      <c r="DN21" s="37"/>
      <c r="DO21" s="33"/>
      <c r="DP21" s="34"/>
      <c r="DQ21" s="35" t="str">
        <f t="shared" si="46"/>
        <v/>
      </c>
      <c r="DR21" s="36" t="str">
        <f t="shared" si="47"/>
        <v/>
      </c>
      <c r="DS21" s="37"/>
      <c r="DT21" s="33"/>
      <c r="DU21" s="34"/>
      <c r="DV21" s="35" t="str">
        <f t="shared" si="48"/>
        <v/>
      </c>
      <c r="DW21" s="36" t="str">
        <f t="shared" si="49"/>
        <v/>
      </c>
      <c r="DX21" s="37"/>
      <c r="DY21" s="33"/>
      <c r="DZ21" s="34"/>
      <c r="EA21" s="35" t="str">
        <f t="shared" si="50"/>
        <v/>
      </c>
      <c r="EB21" s="36" t="str">
        <f t="shared" si="51"/>
        <v/>
      </c>
      <c r="EC21" s="37"/>
      <c r="ED21" s="33"/>
      <c r="EE21" s="34"/>
      <c r="EF21" s="35" t="str">
        <f t="shared" si="52"/>
        <v/>
      </c>
      <c r="EG21" s="36" t="str">
        <f t="shared" si="53"/>
        <v/>
      </c>
      <c r="EH21" s="37"/>
      <c r="EI21" s="33"/>
      <c r="EJ21" s="34"/>
      <c r="EK21" s="35" t="str">
        <f t="shared" si="54"/>
        <v/>
      </c>
      <c r="EL21" s="36" t="str">
        <f t="shared" si="55"/>
        <v/>
      </c>
      <c r="EM21" s="37"/>
      <c r="EN21" s="33"/>
      <c r="EO21" s="34"/>
      <c r="EP21" s="35" t="str">
        <f t="shared" si="56"/>
        <v/>
      </c>
      <c r="EQ21" s="36" t="str">
        <f t="shared" si="57"/>
        <v/>
      </c>
      <c r="ER21" s="37"/>
      <c r="ES21" s="33"/>
      <c r="ET21" s="34"/>
      <c r="EU21" s="35" t="str">
        <f t="shared" si="58"/>
        <v/>
      </c>
      <c r="EV21" s="36" t="str">
        <f t="shared" si="59"/>
        <v/>
      </c>
      <c r="EW21" s="37"/>
    </row>
    <row r="22" spans="1:153" ht="19.5" customHeight="1">
      <c r="A22" s="32">
        <f>IF(DAY(DATE(対象年度,7,19))&lt;&gt;19,"",19)</f>
        <v>19</v>
      </c>
      <c r="B22" s="32" t="str">
        <f>IF(DAY(DATE(対象年度,7,19))&lt;&gt;19,"",CHOOSE(WEEKDAY(DATE(対象年度,7,19),2),"月","火","水","木","金","土","日"))</f>
        <v>日</v>
      </c>
      <c r="C22" s="32" t="str">
        <f>IF(DAY(DATE(対象年度,7,19))&lt;&gt;19,"",IF(ISNUMBER(MATCH(DATE(対象年度,7,19),祝日リスト,0)),"祝",""))</f>
        <v/>
      </c>
      <c r="D22" s="33"/>
      <c r="E22" s="34"/>
      <c r="F22" s="35" t="str">
        <f t="shared" si="0"/>
        <v/>
      </c>
      <c r="G22" s="36" t="str">
        <f t="shared" si="1"/>
        <v/>
      </c>
      <c r="H22" s="37"/>
      <c r="I22" s="33"/>
      <c r="J22" s="34"/>
      <c r="K22" s="35" t="str">
        <f t="shared" si="2"/>
        <v/>
      </c>
      <c r="L22" s="36" t="str">
        <f t="shared" si="3"/>
        <v/>
      </c>
      <c r="M22" s="37"/>
      <c r="N22" s="33"/>
      <c r="O22" s="34"/>
      <c r="P22" s="35" t="str">
        <f t="shared" si="4"/>
        <v/>
      </c>
      <c r="Q22" s="36" t="str">
        <f t="shared" si="5"/>
        <v/>
      </c>
      <c r="R22" s="37"/>
      <c r="S22" s="33"/>
      <c r="T22" s="34"/>
      <c r="U22" s="35" t="str">
        <f t="shared" si="6"/>
        <v/>
      </c>
      <c r="V22" s="36" t="str">
        <f t="shared" si="7"/>
        <v/>
      </c>
      <c r="W22" s="37"/>
      <c r="X22" s="33"/>
      <c r="Y22" s="34"/>
      <c r="Z22" s="35" t="str">
        <f t="shared" si="8"/>
        <v/>
      </c>
      <c r="AA22" s="36" t="str">
        <f t="shared" si="9"/>
        <v/>
      </c>
      <c r="AB22" s="37"/>
      <c r="AC22" s="33"/>
      <c r="AD22" s="34"/>
      <c r="AE22" s="35" t="str">
        <f t="shared" si="10"/>
        <v/>
      </c>
      <c r="AF22" s="36" t="str">
        <f t="shared" si="11"/>
        <v/>
      </c>
      <c r="AG22" s="37"/>
      <c r="AH22" s="33"/>
      <c r="AI22" s="34"/>
      <c r="AJ22" s="35" t="str">
        <f t="shared" si="12"/>
        <v/>
      </c>
      <c r="AK22" s="36" t="str">
        <f t="shared" si="13"/>
        <v/>
      </c>
      <c r="AL22" s="37"/>
      <c r="AM22" s="33"/>
      <c r="AN22" s="34"/>
      <c r="AO22" s="35" t="str">
        <f t="shared" si="14"/>
        <v/>
      </c>
      <c r="AP22" s="36" t="str">
        <f t="shared" si="15"/>
        <v/>
      </c>
      <c r="AQ22" s="37"/>
      <c r="AR22" s="33"/>
      <c r="AS22" s="34"/>
      <c r="AT22" s="35" t="str">
        <f t="shared" si="16"/>
        <v/>
      </c>
      <c r="AU22" s="36" t="str">
        <f t="shared" si="17"/>
        <v/>
      </c>
      <c r="AV22" s="37"/>
      <c r="AW22" s="33"/>
      <c r="AX22" s="34"/>
      <c r="AY22" s="35" t="str">
        <f t="shared" si="18"/>
        <v/>
      </c>
      <c r="AZ22" s="36" t="str">
        <f t="shared" si="19"/>
        <v/>
      </c>
      <c r="BA22" s="37"/>
      <c r="BB22" s="33"/>
      <c r="BC22" s="34"/>
      <c r="BD22" s="35" t="str">
        <f t="shared" si="20"/>
        <v/>
      </c>
      <c r="BE22" s="36" t="str">
        <f t="shared" si="21"/>
        <v/>
      </c>
      <c r="BF22" s="37"/>
      <c r="BG22" s="33"/>
      <c r="BH22" s="34"/>
      <c r="BI22" s="35" t="str">
        <f t="shared" si="22"/>
        <v/>
      </c>
      <c r="BJ22" s="36" t="str">
        <f t="shared" si="23"/>
        <v/>
      </c>
      <c r="BK22" s="37"/>
      <c r="BL22" s="33"/>
      <c r="BM22" s="34"/>
      <c r="BN22" s="35" t="str">
        <f t="shared" si="24"/>
        <v/>
      </c>
      <c r="BO22" s="36" t="str">
        <f t="shared" si="25"/>
        <v/>
      </c>
      <c r="BP22" s="37"/>
      <c r="BQ22" s="33"/>
      <c r="BR22" s="34"/>
      <c r="BS22" s="35" t="str">
        <f t="shared" si="26"/>
        <v/>
      </c>
      <c r="BT22" s="36" t="str">
        <f t="shared" si="27"/>
        <v/>
      </c>
      <c r="BU22" s="37"/>
      <c r="BV22" s="33"/>
      <c r="BW22" s="34"/>
      <c r="BX22" s="35" t="str">
        <f t="shared" si="28"/>
        <v/>
      </c>
      <c r="BY22" s="36" t="str">
        <f t="shared" si="29"/>
        <v/>
      </c>
      <c r="BZ22" s="37"/>
      <c r="CA22" s="33"/>
      <c r="CB22" s="34"/>
      <c r="CC22" s="35" t="str">
        <f t="shared" si="30"/>
        <v/>
      </c>
      <c r="CD22" s="36" t="str">
        <f t="shared" si="31"/>
        <v/>
      </c>
      <c r="CE22" s="37"/>
      <c r="CF22" s="33"/>
      <c r="CG22" s="34"/>
      <c r="CH22" s="35" t="str">
        <f t="shared" si="32"/>
        <v/>
      </c>
      <c r="CI22" s="36" t="str">
        <f t="shared" si="33"/>
        <v/>
      </c>
      <c r="CJ22" s="37"/>
      <c r="CK22" s="33"/>
      <c r="CL22" s="34"/>
      <c r="CM22" s="35" t="str">
        <f t="shared" si="34"/>
        <v/>
      </c>
      <c r="CN22" s="36" t="str">
        <f t="shared" si="35"/>
        <v/>
      </c>
      <c r="CO22" s="37"/>
      <c r="CP22" s="33"/>
      <c r="CQ22" s="34"/>
      <c r="CR22" s="35" t="str">
        <f t="shared" si="36"/>
        <v/>
      </c>
      <c r="CS22" s="36" t="str">
        <f t="shared" si="37"/>
        <v/>
      </c>
      <c r="CT22" s="37"/>
      <c r="CU22" s="33"/>
      <c r="CV22" s="34"/>
      <c r="CW22" s="35" t="str">
        <f t="shared" si="38"/>
        <v/>
      </c>
      <c r="CX22" s="36" t="str">
        <f t="shared" si="39"/>
        <v/>
      </c>
      <c r="CY22" s="37"/>
      <c r="CZ22" s="33"/>
      <c r="DA22" s="34"/>
      <c r="DB22" s="35" t="str">
        <f t="shared" si="40"/>
        <v/>
      </c>
      <c r="DC22" s="36" t="str">
        <f t="shared" si="41"/>
        <v/>
      </c>
      <c r="DD22" s="37"/>
      <c r="DE22" s="33"/>
      <c r="DF22" s="34"/>
      <c r="DG22" s="35" t="str">
        <f t="shared" si="42"/>
        <v/>
      </c>
      <c r="DH22" s="36" t="str">
        <f t="shared" si="43"/>
        <v/>
      </c>
      <c r="DI22" s="37"/>
      <c r="DJ22" s="33"/>
      <c r="DK22" s="34"/>
      <c r="DL22" s="35" t="str">
        <f t="shared" si="44"/>
        <v/>
      </c>
      <c r="DM22" s="36" t="str">
        <f t="shared" si="45"/>
        <v/>
      </c>
      <c r="DN22" s="37"/>
      <c r="DO22" s="33"/>
      <c r="DP22" s="34"/>
      <c r="DQ22" s="35" t="str">
        <f t="shared" si="46"/>
        <v/>
      </c>
      <c r="DR22" s="36" t="str">
        <f t="shared" si="47"/>
        <v/>
      </c>
      <c r="DS22" s="37"/>
      <c r="DT22" s="33"/>
      <c r="DU22" s="34"/>
      <c r="DV22" s="35" t="str">
        <f t="shared" si="48"/>
        <v/>
      </c>
      <c r="DW22" s="36" t="str">
        <f t="shared" si="49"/>
        <v/>
      </c>
      <c r="DX22" s="37"/>
      <c r="DY22" s="33"/>
      <c r="DZ22" s="34"/>
      <c r="EA22" s="35" t="str">
        <f t="shared" si="50"/>
        <v/>
      </c>
      <c r="EB22" s="36" t="str">
        <f t="shared" si="51"/>
        <v/>
      </c>
      <c r="EC22" s="37"/>
      <c r="ED22" s="33"/>
      <c r="EE22" s="34"/>
      <c r="EF22" s="35" t="str">
        <f t="shared" si="52"/>
        <v/>
      </c>
      <c r="EG22" s="36" t="str">
        <f t="shared" si="53"/>
        <v/>
      </c>
      <c r="EH22" s="37"/>
      <c r="EI22" s="33"/>
      <c r="EJ22" s="34"/>
      <c r="EK22" s="35" t="str">
        <f t="shared" si="54"/>
        <v/>
      </c>
      <c r="EL22" s="36" t="str">
        <f t="shared" si="55"/>
        <v/>
      </c>
      <c r="EM22" s="37"/>
      <c r="EN22" s="33"/>
      <c r="EO22" s="34"/>
      <c r="EP22" s="35" t="str">
        <f t="shared" si="56"/>
        <v/>
      </c>
      <c r="EQ22" s="36" t="str">
        <f t="shared" si="57"/>
        <v/>
      </c>
      <c r="ER22" s="37"/>
      <c r="ES22" s="33"/>
      <c r="ET22" s="34"/>
      <c r="EU22" s="35" t="str">
        <f t="shared" si="58"/>
        <v/>
      </c>
      <c r="EV22" s="36" t="str">
        <f t="shared" si="59"/>
        <v/>
      </c>
      <c r="EW22" s="37"/>
    </row>
    <row r="23" spans="1:153" ht="19.5" customHeight="1">
      <c r="A23" s="32">
        <f>IF(DAY(DATE(対象年度,7,20))&lt;&gt;20,"",20)</f>
        <v>20</v>
      </c>
      <c r="B23" s="32" t="str">
        <f>IF(DAY(DATE(対象年度,7,20))&lt;&gt;20,"",CHOOSE(WEEKDAY(DATE(対象年度,7,20),2),"月","火","水","木","金","土","日"))</f>
        <v>月</v>
      </c>
      <c r="C23" s="32" t="str">
        <f>IF(DAY(DATE(対象年度,7,20))&lt;&gt;20,"",IF(ISNUMBER(MATCH(DATE(対象年度,7,20),祝日リスト,0)),"祝",""))</f>
        <v>祝</v>
      </c>
      <c r="D23" s="33"/>
      <c r="E23" s="34"/>
      <c r="F23" s="35" t="str">
        <f t="shared" si="0"/>
        <v/>
      </c>
      <c r="G23" s="36" t="str">
        <f t="shared" si="1"/>
        <v/>
      </c>
      <c r="H23" s="37"/>
      <c r="I23" s="33"/>
      <c r="J23" s="34"/>
      <c r="K23" s="35" t="str">
        <f t="shared" si="2"/>
        <v/>
      </c>
      <c r="L23" s="36" t="str">
        <f t="shared" si="3"/>
        <v/>
      </c>
      <c r="M23" s="37"/>
      <c r="N23" s="33"/>
      <c r="O23" s="34"/>
      <c r="P23" s="35" t="str">
        <f t="shared" si="4"/>
        <v/>
      </c>
      <c r="Q23" s="36" t="str">
        <f t="shared" si="5"/>
        <v/>
      </c>
      <c r="R23" s="37"/>
      <c r="S23" s="33"/>
      <c r="T23" s="34"/>
      <c r="U23" s="35" t="str">
        <f t="shared" si="6"/>
        <v/>
      </c>
      <c r="V23" s="36" t="str">
        <f t="shared" si="7"/>
        <v/>
      </c>
      <c r="W23" s="37"/>
      <c r="X23" s="33"/>
      <c r="Y23" s="34"/>
      <c r="Z23" s="35" t="str">
        <f t="shared" si="8"/>
        <v/>
      </c>
      <c r="AA23" s="36" t="str">
        <f t="shared" si="9"/>
        <v/>
      </c>
      <c r="AB23" s="37"/>
      <c r="AC23" s="33"/>
      <c r="AD23" s="34"/>
      <c r="AE23" s="35" t="str">
        <f t="shared" si="10"/>
        <v/>
      </c>
      <c r="AF23" s="36" t="str">
        <f t="shared" si="11"/>
        <v/>
      </c>
      <c r="AG23" s="37"/>
      <c r="AH23" s="33"/>
      <c r="AI23" s="34"/>
      <c r="AJ23" s="35" t="str">
        <f t="shared" si="12"/>
        <v/>
      </c>
      <c r="AK23" s="36" t="str">
        <f t="shared" si="13"/>
        <v/>
      </c>
      <c r="AL23" s="37"/>
      <c r="AM23" s="33"/>
      <c r="AN23" s="34"/>
      <c r="AO23" s="35" t="str">
        <f t="shared" si="14"/>
        <v/>
      </c>
      <c r="AP23" s="36" t="str">
        <f t="shared" si="15"/>
        <v/>
      </c>
      <c r="AQ23" s="37"/>
      <c r="AR23" s="33"/>
      <c r="AS23" s="34"/>
      <c r="AT23" s="35" t="str">
        <f t="shared" si="16"/>
        <v/>
      </c>
      <c r="AU23" s="36" t="str">
        <f t="shared" si="17"/>
        <v/>
      </c>
      <c r="AV23" s="37"/>
      <c r="AW23" s="33"/>
      <c r="AX23" s="34"/>
      <c r="AY23" s="35" t="str">
        <f t="shared" si="18"/>
        <v/>
      </c>
      <c r="AZ23" s="36" t="str">
        <f t="shared" si="19"/>
        <v/>
      </c>
      <c r="BA23" s="37"/>
      <c r="BB23" s="33"/>
      <c r="BC23" s="34"/>
      <c r="BD23" s="35" t="str">
        <f t="shared" si="20"/>
        <v/>
      </c>
      <c r="BE23" s="36" t="str">
        <f t="shared" si="21"/>
        <v/>
      </c>
      <c r="BF23" s="37"/>
      <c r="BG23" s="33"/>
      <c r="BH23" s="34"/>
      <c r="BI23" s="35" t="str">
        <f t="shared" si="22"/>
        <v/>
      </c>
      <c r="BJ23" s="36" t="str">
        <f t="shared" si="23"/>
        <v/>
      </c>
      <c r="BK23" s="37"/>
      <c r="BL23" s="33"/>
      <c r="BM23" s="34"/>
      <c r="BN23" s="35" t="str">
        <f t="shared" si="24"/>
        <v/>
      </c>
      <c r="BO23" s="36" t="str">
        <f t="shared" si="25"/>
        <v/>
      </c>
      <c r="BP23" s="37"/>
      <c r="BQ23" s="33"/>
      <c r="BR23" s="34"/>
      <c r="BS23" s="35" t="str">
        <f t="shared" si="26"/>
        <v/>
      </c>
      <c r="BT23" s="36" t="str">
        <f t="shared" si="27"/>
        <v/>
      </c>
      <c r="BU23" s="37"/>
      <c r="BV23" s="33"/>
      <c r="BW23" s="34"/>
      <c r="BX23" s="35" t="str">
        <f t="shared" si="28"/>
        <v/>
      </c>
      <c r="BY23" s="36" t="str">
        <f t="shared" si="29"/>
        <v/>
      </c>
      <c r="BZ23" s="37"/>
      <c r="CA23" s="33"/>
      <c r="CB23" s="34"/>
      <c r="CC23" s="35" t="str">
        <f t="shared" si="30"/>
        <v/>
      </c>
      <c r="CD23" s="36" t="str">
        <f t="shared" si="31"/>
        <v/>
      </c>
      <c r="CE23" s="37"/>
      <c r="CF23" s="33"/>
      <c r="CG23" s="34"/>
      <c r="CH23" s="35" t="str">
        <f t="shared" si="32"/>
        <v/>
      </c>
      <c r="CI23" s="36" t="str">
        <f t="shared" si="33"/>
        <v/>
      </c>
      <c r="CJ23" s="37"/>
      <c r="CK23" s="33"/>
      <c r="CL23" s="34"/>
      <c r="CM23" s="35" t="str">
        <f t="shared" si="34"/>
        <v/>
      </c>
      <c r="CN23" s="36" t="str">
        <f t="shared" si="35"/>
        <v/>
      </c>
      <c r="CO23" s="37"/>
      <c r="CP23" s="33"/>
      <c r="CQ23" s="34"/>
      <c r="CR23" s="35" t="str">
        <f t="shared" si="36"/>
        <v/>
      </c>
      <c r="CS23" s="36" t="str">
        <f t="shared" si="37"/>
        <v/>
      </c>
      <c r="CT23" s="37"/>
      <c r="CU23" s="33"/>
      <c r="CV23" s="34"/>
      <c r="CW23" s="35" t="str">
        <f t="shared" si="38"/>
        <v/>
      </c>
      <c r="CX23" s="36" t="str">
        <f t="shared" si="39"/>
        <v/>
      </c>
      <c r="CY23" s="37"/>
      <c r="CZ23" s="33"/>
      <c r="DA23" s="34"/>
      <c r="DB23" s="35" t="str">
        <f t="shared" si="40"/>
        <v/>
      </c>
      <c r="DC23" s="36" t="str">
        <f t="shared" si="41"/>
        <v/>
      </c>
      <c r="DD23" s="37"/>
      <c r="DE23" s="33"/>
      <c r="DF23" s="34"/>
      <c r="DG23" s="35" t="str">
        <f t="shared" si="42"/>
        <v/>
      </c>
      <c r="DH23" s="36" t="str">
        <f t="shared" si="43"/>
        <v/>
      </c>
      <c r="DI23" s="37"/>
      <c r="DJ23" s="33"/>
      <c r="DK23" s="34"/>
      <c r="DL23" s="35" t="str">
        <f t="shared" si="44"/>
        <v/>
      </c>
      <c r="DM23" s="36" t="str">
        <f t="shared" si="45"/>
        <v/>
      </c>
      <c r="DN23" s="37"/>
      <c r="DO23" s="33"/>
      <c r="DP23" s="34"/>
      <c r="DQ23" s="35" t="str">
        <f t="shared" si="46"/>
        <v/>
      </c>
      <c r="DR23" s="36" t="str">
        <f t="shared" si="47"/>
        <v/>
      </c>
      <c r="DS23" s="37"/>
      <c r="DT23" s="33"/>
      <c r="DU23" s="34"/>
      <c r="DV23" s="35" t="str">
        <f t="shared" si="48"/>
        <v/>
      </c>
      <c r="DW23" s="36" t="str">
        <f t="shared" si="49"/>
        <v/>
      </c>
      <c r="DX23" s="37"/>
      <c r="DY23" s="33"/>
      <c r="DZ23" s="34"/>
      <c r="EA23" s="35" t="str">
        <f t="shared" si="50"/>
        <v/>
      </c>
      <c r="EB23" s="36" t="str">
        <f t="shared" si="51"/>
        <v/>
      </c>
      <c r="EC23" s="37"/>
      <c r="ED23" s="33"/>
      <c r="EE23" s="34"/>
      <c r="EF23" s="35" t="str">
        <f t="shared" si="52"/>
        <v/>
      </c>
      <c r="EG23" s="36" t="str">
        <f t="shared" si="53"/>
        <v/>
      </c>
      <c r="EH23" s="37"/>
      <c r="EI23" s="33"/>
      <c r="EJ23" s="34"/>
      <c r="EK23" s="35" t="str">
        <f t="shared" si="54"/>
        <v/>
      </c>
      <c r="EL23" s="36" t="str">
        <f t="shared" si="55"/>
        <v/>
      </c>
      <c r="EM23" s="37"/>
      <c r="EN23" s="33"/>
      <c r="EO23" s="34"/>
      <c r="EP23" s="35" t="str">
        <f t="shared" si="56"/>
        <v/>
      </c>
      <c r="EQ23" s="36" t="str">
        <f t="shared" si="57"/>
        <v/>
      </c>
      <c r="ER23" s="37"/>
      <c r="ES23" s="33"/>
      <c r="ET23" s="34"/>
      <c r="EU23" s="35" t="str">
        <f t="shared" si="58"/>
        <v/>
      </c>
      <c r="EV23" s="36" t="str">
        <f t="shared" si="59"/>
        <v/>
      </c>
      <c r="EW23" s="37"/>
    </row>
    <row r="24" spans="1:153" ht="19.5" customHeight="1">
      <c r="A24" s="32">
        <f>IF(DAY(DATE(対象年度,7,21))&lt;&gt;21,"",21)</f>
        <v>21</v>
      </c>
      <c r="B24" s="32" t="str">
        <f>IF(DAY(DATE(対象年度,7,21))&lt;&gt;21,"",CHOOSE(WEEKDAY(DATE(対象年度,7,21),2),"月","火","水","木","金","土","日"))</f>
        <v>火</v>
      </c>
      <c r="C24" s="32" t="str">
        <f>IF(DAY(DATE(対象年度,7,21))&lt;&gt;21,"",IF(ISNUMBER(MATCH(DATE(対象年度,7,21),祝日リスト,0)),"祝",""))</f>
        <v/>
      </c>
      <c r="D24" s="33"/>
      <c r="E24" s="34"/>
      <c r="F24" s="35" t="str">
        <f t="shared" si="0"/>
        <v/>
      </c>
      <c r="G24" s="36" t="str">
        <f t="shared" si="1"/>
        <v/>
      </c>
      <c r="H24" s="37"/>
      <c r="I24" s="33"/>
      <c r="J24" s="34"/>
      <c r="K24" s="35" t="str">
        <f t="shared" si="2"/>
        <v/>
      </c>
      <c r="L24" s="36" t="str">
        <f t="shared" si="3"/>
        <v/>
      </c>
      <c r="M24" s="37"/>
      <c r="N24" s="33"/>
      <c r="O24" s="34"/>
      <c r="P24" s="35" t="str">
        <f t="shared" si="4"/>
        <v/>
      </c>
      <c r="Q24" s="36" t="str">
        <f t="shared" si="5"/>
        <v/>
      </c>
      <c r="R24" s="37"/>
      <c r="S24" s="33"/>
      <c r="T24" s="34"/>
      <c r="U24" s="35" t="str">
        <f t="shared" si="6"/>
        <v/>
      </c>
      <c r="V24" s="36" t="str">
        <f t="shared" si="7"/>
        <v/>
      </c>
      <c r="W24" s="37"/>
      <c r="X24" s="33"/>
      <c r="Y24" s="34"/>
      <c r="Z24" s="35" t="str">
        <f t="shared" si="8"/>
        <v/>
      </c>
      <c r="AA24" s="36" t="str">
        <f t="shared" si="9"/>
        <v/>
      </c>
      <c r="AB24" s="37"/>
      <c r="AC24" s="33"/>
      <c r="AD24" s="34"/>
      <c r="AE24" s="35" t="str">
        <f t="shared" si="10"/>
        <v/>
      </c>
      <c r="AF24" s="36" t="str">
        <f t="shared" si="11"/>
        <v/>
      </c>
      <c r="AG24" s="37"/>
      <c r="AH24" s="33"/>
      <c r="AI24" s="34"/>
      <c r="AJ24" s="35" t="str">
        <f t="shared" si="12"/>
        <v/>
      </c>
      <c r="AK24" s="36" t="str">
        <f t="shared" si="13"/>
        <v/>
      </c>
      <c r="AL24" s="37"/>
      <c r="AM24" s="33"/>
      <c r="AN24" s="34"/>
      <c r="AO24" s="35" t="str">
        <f t="shared" si="14"/>
        <v/>
      </c>
      <c r="AP24" s="36" t="str">
        <f t="shared" si="15"/>
        <v/>
      </c>
      <c r="AQ24" s="37"/>
      <c r="AR24" s="33"/>
      <c r="AS24" s="34"/>
      <c r="AT24" s="35" t="str">
        <f t="shared" si="16"/>
        <v/>
      </c>
      <c r="AU24" s="36" t="str">
        <f t="shared" si="17"/>
        <v/>
      </c>
      <c r="AV24" s="37"/>
      <c r="AW24" s="33"/>
      <c r="AX24" s="34"/>
      <c r="AY24" s="35" t="str">
        <f t="shared" si="18"/>
        <v/>
      </c>
      <c r="AZ24" s="36" t="str">
        <f t="shared" si="19"/>
        <v/>
      </c>
      <c r="BA24" s="37"/>
      <c r="BB24" s="33"/>
      <c r="BC24" s="34"/>
      <c r="BD24" s="35" t="str">
        <f t="shared" si="20"/>
        <v/>
      </c>
      <c r="BE24" s="36" t="str">
        <f t="shared" si="21"/>
        <v/>
      </c>
      <c r="BF24" s="37"/>
      <c r="BG24" s="33"/>
      <c r="BH24" s="34"/>
      <c r="BI24" s="35" t="str">
        <f t="shared" si="22"/>
        <v/>
      </c>
      <c r="BJ24" s="36" t="str">
        <f t="shared" si="23"/>
        <v/>
      </c>
      <c r="BK24" s="37"/>
      <c r="BL24" s="33"/>
      <c r="BM24" s="34"/>
      <c r="BN24" s="35" t="str">
        <f t="shared" si="24"/>
        <v/>
      </c>
      <c r="BO24" s="36" t="str">
        <f t="shared" si="25"/>
        <v/>
      </c>
      <c r="BP24" s="37"/>
      <c r="BQ24" s="33"/>
      <c r="BR24" s="34"/>
      <c r="BS24" s="35" t="str">
        <f t="shared" si="26"/>
        <v/>
      </c>
      <c r="BT24" s="36" t="str">
        <f t="shared" si="27"/>
        <v/>
      </c>
      <c r="BU24" s="37"/>
      <c r="BV24" s="33"/>
      <c r="BW24" s="34"/>
      <c r="BX24" s="35" t="str">
        <f t="shared" si="28"/>
        <v/>
      </c>
      <c r="BY24" s="36" t="str">
        <f t="shared" si="29"/>
        <v/>
      </c>
      <c r="BZ24" s="37"/>
      <c r="CA24" s="33"/>
      <c r="CB24" s="34"/>
      <c r="CC24" s="35" t="str">
        <f t="shared" si="30"/>
        <v/>
      </c>
      <c r="CD24" s="36" t="str">
        <f t="shared" si="31"/>
        <v/>
      </c>
      <c r="CE24" s="37"/>
      <c r="CF24" s="33"/>
      <c r="CG24" s="34"/>
      <c r="CH24" s="35" t="str">
        <f t="shared" si="32"/>
        <v/>
      </c>
      <c r="CI24" s="36" t="str">
        <f t="shared" si="33"/>
        <v/>
      </c>
      <c r="CJ24" s="37"/>
      <c r="CK24" s="33"/>
      <c r="CL24" s="34"/>
      <c r="CM24" s="35" t="str">
        <f t="shared" si="34"/>
        <v/>
      </c>
      <c r="CN24" s="36" t="str">
        <f t="shared" si="35"/>
        <v/>
      </c>
      <c r="CO24" s="37"/>
      <c r="CP24" s="33"/>
      <c r="CQ24" s="34"/>
      <c r="CR24" s="35" t="str">
        <f t="shared" si="36"/>
        <v/>
      </c>
      <c r="CS24" s="36" t="str">
        <f t="shared" si="37"/>
        <v/>
      </c>
      <c r="CT24" s="37"/>
      <c r="CU24" s="33"/>
      <c r="CV24" s="34"/>
      <c r="CW24" s="35" t="str">
        <f t="shared" si="38"/>
        <v/>
      </c>
      <c r="CX24" s="36" t="str">
        <f t="shared" si="39"/>
        <v/>
      </c>
      <c r="CY24" s="37"/>
      <c r="CZ24" s="33"/>
      <c r="DA24" s="34"/>
      <c r="DB24" s="35" t="str">
        <f t="shared" si="40"/>
        <v/>
      </c>
      <c r="DC24" s="36" t="str">
        <f t="shared" si="41"/>
        <v/>
      </c>
      <c r="DD24" s="37"/>
      <c r="DE24" s="33"/>
      <c r="DF24" s="34"/>
      <c r="DG24" s="35" t="str">
        <f t="shared" si="42"/>
        <v/>
      </c>
      <c r="DH24" s="36" t="str">
        <f t="shared" si="43"/>
        <v/>
      </c>
      <c r="DI24" s="37"/>
      <c r="DJ24" s="33"/>
      <c r="DK24" s="34"/>
      <c r="DL24" s="35" t="str">
        <f t="shared" si="44"/>
        <v/>
      </c>
      <c r="DM24" s="36" t="str">
        <f t="shared" si="45"/>
        <v/>
      </c>
      <c r="DN24" s="37"/>
      <c r="DO24" s="33"/>
      <c r="DP24" s="34"/>
      <c r="DQ24" s="35" t="str">
        <f t="shared" si="46"/>
        <v/>
      </c>
      <c r="DR24" s="36" t="str">
        <f t="shared" si="47"/>
        <v/>
      </c>
      <c r="DS24" s="37"/>
      <c r="DT24" s="33"/>
      <c r="DU24" s="34"/>
      <c r="DV24" s="35" t="str">
        <f t="shared" si="48"/>
        <v/>
      </c>
      <c r="DW24" s="36" t="str">
        <f t="shared" si="49"/>
        <v/>
      </c>
      <c r="DX24" s="37"/>
      <c r="DY24" s="33"/>
      <c r="DZ24" s="34"/>
      <c r="EA24" s="35" t="str">
        <f t="shared" si="50"/>
        <v/>
      </c>
      <c r="EB24" s="36" t="str">
        <f t="shared" si="51"/>
        <v/>
      </c>
      <c r="EC24" s="37"/>
      <c r="ED24" s="33"/>
      <c r="EE24" s="34"/>
      <c r="EF24" s="35" t="str">
        <f t="shared" si="52"/>
        <v/>
      </c>
      <c r="EG24" s="36" t="str">
        <f t="shared" si="53"/>
        <v/>
      </c>
      <c r="EH24" s="37"/>
      <c r="EI24" s="33"/>
      <c r="EJ24" s="34"/>
      <c r="EK24" s="35" t="str">
        <f t="shared" si="54"/>
        <v/>
      </c>
      <c r="EL24" s="36" t="str">
        <f t="shared" si="55"/>
        <v/>
      </c>
      <c r="EM24" s="37"/>
      <c r="EN24" s="33"/>
      <c r="EO24" s="34"/>
      <c r="EP24" s="35" t="str">
        <f t="shared" si="56"/>
        <v/>
      </c>
      <c r="EQ24" s="36" t="str">
        <f t="shared" si="57"/>
        <v/>
      </c>
      <c r="ER24" s="37"/>
      <c r="ES24" s="33"/>
      <c r="ET24" s="34"/>
      <c r="EU24" s="35" t="str">
        <f t="shared" si="58"/>
        <v/>
      </c>
      <c r="EV24" s="36" t="str">
        <f t="shared" si="59"/>
        <v/>
      </c>
      <c r="EW24" s="37"/>
    </row>
    <row r="25" spans="1:153" ht="19.5" customHeight="1">
      <c r="A25" s="32">
        <f>IF(DAY(DATE(対象年度,7,22))&lt;&gt;22,"",22)</f>
        <v>22</v>
      </c>
      <c r="B25" s="32" t="str">
        <f>IF(DAY(DATE(対象年度,7,22))&lt;&gt;22,"",CHOOSE(WEEKDAY(DATE(対象年度,7,22),2),"月","火","水","木","金","土","日"))</f>
        <v>水</v>
      </c>
      <c r="C25" s="32" t="str">
        <f>IF(DAY(DATE(対象年度,7,22))&lt;&gt;22,"",IF(ISNUMBER(MATCH(DATE(対象年度,7,22),祝日リスト,0)),"祝",""))</f>
        <v/>
      </c>
      <c r="D25" s="33"/>
      <c r="E25" s="34"/>
      <c r="F25" s="35" t="str">
        <f t="shared" si="0"/>
        <v/>
      </c>
      <c r="G25" s="36" t="str">
        <f t="shared" si="1"/>
        <v/>
      </c>
      <c r="H25" s="37"/>
      <c r="I25" s="33"/>
      <c r="J25" s="34"/>
      <c r="K25" s="35" t="str">
        <f t="shared" si="2"/>
        <v/>
      </c>
      <c r="L25" s="36" t="str">
        <f t="shared" si="3"/>
        <v/>
      </c>
      <c r="M25" s="37"/>
      <c r="N25" s="33"/>
      <c r="O25" s="34"/>
      <c r="P25" s="35" t="str">
        <f t="shared" si="4"/>
        <v/>
      </c>
      <c r="Q25" s="36" t="str">
        <f t="shared" si="5"/>
        <v/>
      </c>
      <c r="R25" s="37"/>
      <c r="S25" s="33"/>
      <c r="T25" s="34"/>
      <c r="U25" s="35" t="str">
        <f t="shared" si="6"/>
        <v/>
      </c>
      <c r="V25" s="36" t="str">
        <f t="shared" si="7"/>
        <v/>
      </c>
      <c r="W25" s="37"/>
      <c r="X25" s="33"/>
      <c r="Y25" s="34"/>
      <c r="Z25" s="35" t="str">
        <f t="shared" si="8"/>
        <v/>
      </c>
      <c r="AA25" s="36" t="str">
        <f t="shared" si="9"/>
        <v/>
      </c>
      <c r="AB25" s="37"/>
      <c r="AC25" s="33"/>
      <c r="AD25" s="34"/>
      <c r="AE25" s="35" t="str">
        <f t="shared" si="10"/>
        <v/>
      </c>
      <c r="AF25" s="36" t="str">
        <f t="shared" si="11"/>
        <v/>
      </c>
      <c r="AG25" s="37"/>
      <c r="AH25" s="33"/>
      <c r="AI25" s="34"/>
      <c r="AJ25" s="35" t="str">
        <f t="shared" si="12"/>
        <v/>
      </c>
      <c r="AK25" s="36" t="str">
        <f t="shared" si="13"/>
        <v/>
      </c>
      <c r="AL25" s="37"/>
      <c r="AM25" s="33"/>
      <c r="AN25" s="34"/>
      <c r="AO25" s="35" t="str">
        <f t="shared" si="14"/>
        <v/>
      </c>
      <c r="AP25" s="36" t="str">
        <f t="shared" si="15"/>
        <v/>
      </c>
      <c r="AQ25" s="37"/>
      <c r="AR25" s="33"/>
      <c r="AS25" s="34"/>
      <c r="AT25" s="35" t="str">
        <f t="shared" si="16"/>
        <v/>
      </c>
      <c r="AU25" s="36" t="str">
        <f t="shared" si="17"/>
        <v/>
      </c>
      <c r="AV25" s="37"/>
      <c r="AW25" s="33"/>
      <c r="AX25" s="34"/>
      <c r="AY25" s="35" t="str">
        <f t="shared" si="18"/>
        <v/>
      </c>
      <c r="AZ25" s="36" t="str">
        <f t="shared" si="19"/>
        <v/>
      </c>
      <c r="BA25" s="37"/>
      <c r="BB25" s="33"/>
      <c r="BC25" s="34"/>
      <c r="BD25" s="35" t="str">
        <f t="shared" si="20"/>
        <v/>
      </c>
      <c r="BE25" s="36" t="str">
        <f t="shared" si="21"/>
        <v/>
      </c>
      <c r="BF25" s="37"/>
      <c r="BG25" s="33"/>
      <c r="BH25" s="34"/>
      <c r="BI25" s="35" t="str">
        <f t="shared" si="22"/>
        <v/>
      </c>
      <c r="BJ25" s="36" t="str">
        <f t="shared" si="23"/>
        <v/>
      </c>
      <c r="BK25" s="37"/>
      <c r="BL25" s="33"/>
      <c r="BM25" s="34"/>
      <c r="BN25" s="35" t="str">
        <f t="shared" si="24"/>
        <v/>
      </c>
      <c r="BO25" s="36" t="str">
        <f t="shared" si="25"/>
        <v/>
      </c>
      <c r="BP25" s="37"/>
      <c r="BQ25" s="33"/>
      <c r="BR25" s="34"/>
      <c r="BS25" s="35" t="str">
        <f t="shared" si="26"/>
        <v/>
      </c>
      <c r="BT25" s="36" t="str">
        <f t="shared" si="27"/>
        <v/>
      </c>
      <c r="BU25" s="37"/>
      <c r="BV25" s="33"/>
      <c r="BW25" s="34"/>
      <c r="BX25" s="35" t="str">
        <f t="shared" si="28"/>
        <v/>
      </c>
      <c r="BY25" s="36" t="str">
        <f t="shared" si="29"/>
        <v/>
      </c>
      <c r="BZ25" s="37"/>
      <c r="CA25" s="33"/>
      <c r="CB25" s="34"/>
      <c r="CC25" s="35" t="str">
        <f t="shared" si="30"/>
        <v/>
      </c>
      <c r="CD25" s="36" t="str">
        <f t="shared" si="31"/>
        <v/>
      </c>
      <c r="CE25" s="37"/>
      <c r="CF25" s="33"/>
      <c r="CG25" s="34"/>
      <c r="CH25" s="35" t="str">
        <f t="shared" si="32"/>
        <v/>
      </c>
      <c r="CI25" s="36" t="str">
        <f t="shared" si="33"/>
        <v/>
      </c>
      <c r="CJ25" s="37"/>
      <c r="CK25" s="33"/>
      <c r="CL25" s="34"/>
      <c r="CM25" s="35" t="str">
        <f t="shared" si="34"/>
        <v/>
      </c>
      <c r="CN25" s="36" t="str">
        <f t="shared" si="35"/>
        <v/>
      </c>
      <c r="CO25" s="37"/>
      <c r="CP25" s="33"/>
      <c r="CQ25" s="34"/>
      <c r="CR25" s="35" t="str">
        <f t="shared" si="36"/>
        <v/>
      </c>
      <c r="CS25" s="36" t="str">
        <f t="shared" si="37"/>
        <v/>
      </c>
      <c r="CT25" s="37"/>
      <c r="CU25" s="33"/>
      <c r="CV25" s="34"/>
      <c r="CW25" s="35" t="str">
        <f t="shared" si="38"/>
        <v/>
      </c>
      <c r="CX25" s="36" t="str">
        <f t="shared" si="39"/>
        <v/>
      </c>
      <c r="CY25" s="37"/>
      <c r="CZ25" s="33"/>
      <c r="DA25" s="34"/>
      <c r="DB25" s="35" t="str">
        <f t="shared" si="40"/>
        <v/>
      </c>
      <c r="DC25" s="36" t="str">
        <f t="shared" si="41"/>
        <v/>
      </c>
      <c r="DD25" s="37"/>
      <c r="DE25" s="33"/>
      <c r="DF25" s="34"/>
      <c r="DG25" s="35" t="str">
        <f t="shared" si="42"/>
        <v/>
      </c>
      <c r="DH25" s="36" t="str">
        <f t="shared" si="43"/>
        <v/>
      </c>
      <c r="DI25" s="37"/>
      <c r="DJ25" s="33"/>
      <c r="DK25" s="34"/>
      <c r="DL25" s="35" t="str">
        <f t="shared" si="44"/>
        <v/>
      </c>
      <c r="DM25" s="36" t="str">
        <f t="shared" si="45"/>
        <v/>
      </c>
      <c r="DN25" s="37"/>
      <c r="DO25" s="33"/>
      <c r="DP25" s="34"/>
      <c r="DQ25" s="35" t="str">
        <f t="shared" si="46"/>
        <v/>
      </c>
      <c r="DR25" s="36" t="str">
        <f t="shared" si="47"/>
        <v/>
      </c>
      <c r="DS25" s="37"/>
      <c r="DT25" s="33"/>
      <c r="DU25" s="34"/>
      <c r="DV25" s="35" t="str">
        <f t="shared" si="48"/>
        <v/>
      </c>
      <c r="DW25" s="36" t="str">
        <f t="shared" si="49"/>
        <v/>
      </c>
      <c r="DX25" s="37"/>
      <c r="DY25" s="33"/>
      <c r="DZ25" s="34"/>
      <c r="EA25" s="35" t="str">
        <f t="shared" si="50"/>
        <v/>
      </c>
      <c r="EB25" s="36" t="str">
        <f t="shared" si="51"/>
        <v/>
      </c>
      <c r="EC25" s="37"/>
      <c r="ED25" s="33"/>
      <c r="EE25" s="34"/>
      <c r="EF25" s="35" t="str">
        <f t="shared" si="52"/>
        <v/>
      </c>
      <c r="EG25" s="36" t="str">
        <f t="shared" si="53"/>
        <v/>
      </c>
      <c r="EH25" s="37"/>
      <c r="EI25" s="33"/>
      <c r="EJ25" s="34"/>
      <c r="EK25" s="35" t="str">
        <f t="shared" si="54"/>
        <v/>
      </c>
      <c r="EL25" s="36" t="str">
        <f t="shared" si="55"/>
        <v/>
      </c>
      <c r="EM25" s="37"/>
      <c r="EN25" s="33"/>
      <c r="EO25" s="34"/>
      <c r="EP25" s="35" t="str">
        <f t="shared" si="56"/>
        <v/>
      </c>
      <c r="EQ25" s="36" t="str">
        <f t="shared" si="57"/>
        <v/>
      </c>
      <c r="ER25" s="37"/>
      <c r="ES25" s="33"/>
      <c r="ET25" s="34"/>
      <c r="EU25" s="35" t="str">
        <f t="shared" si="58"/>
        <v/>
      </c>
      <c r="EV25" s="36" t="str">
        <f t="shared" si="59"/>
        <v/>
      </c>
      <c r="EW25" s="37"/>
    </row>
    <row r="26" spans="1:153" ht="19.5" customHeight="1">
      <c r="A26" s="32">
        <f>IF(DAY(DATE(対象年度,7,23))&lt;&gt;23,"",23)</f>
        <v>23</v>
      </c>
      <c r="B26" s="32" t="str">
        <f>IF(DAY(DATE(対象年度,7,23))&lt;&gt;23,"",CHOOSE(WEEKDAY(DATE(対象年度,7,23),2),"月","火","水","木","金","土","日"))</f>
        <v>木</v>
      </c>
      <c r="C26" s="32" t="str">
        <f>IF(DAY(DATE(対象年度,7,23))&lt;&gt;23,"",IF(ISNUMBER(MATCH(DATE(対象年度,7,23),祝日リスト,0)),"祝",""))</f>
        <v/>
      </c>
      <c r="D26" s="33"/>
      <c r="E26" s="34"/>
      <c r="F26" s="35" t="str">
        <f t="shared" si="0"/>
        <v/>
      </c>
      <c r="G26" s="36" t="str">
        <f t="shared" si="1"/>
        <v/>
      </c>
      <c r="H26" s="37"/>
      <c r="I26" s="33"/>
      <c r="J26" s="34"/>
      <c r="K26" s="35" t="str">
        <f t="shared" si="2"/>
        <v/>
      </c>
      <c r="L26" s="36" t="str">
        <f t="shared" si="3"/>
        <v/>
      </c>
      <c r="M26" s="37"/>
      <c r="N26" s="33"/>
      <c r="O26" s="34"/>
      <c r="P26" s="35" t="str">
        <f t="shared" si="4"/>
        <v/>
      </c>
      <c r="Q26" s="36" t="str">
        <f t="shared" si="5"/>
        <v/>
      </c>
      <c r="R26" s="37"/>
      <c r="S26" s="33"/>
      <c r="T26" s="34"/>
      <c r="U26" s="35" t="str">
        <f t="shared" si="6"/>
        <v/>
      </c>
      <c r="V26" s="36" t="str">
        <f t="shared" si="7"/>
        <v/>
      </c>
      <c r="W26" s="37"/>
      <c r="X26" s="33"/>
      <c r="Y26" s="34"/>
      <c r="Z26" s="35" t="str">
        <f t="shared" si="8"/>
        <v/>
      </c>
      <c r="AA26" s="36" t="str">
        <f t="shared" si="9"/>
        <v/>
      </c>
      <c r="AB26" s="37"/>
      <c r="AC26" s="33"/>
      <c r="AD26" s="34"/>
      <c r="AE26" s="35" t="str">
        <f t="shared" si="10"/>
        <v/>
      </c>
      <c r="AF26" s="36" t="str">
        <f t="shared" si="11"/>
        <v/>
      </c>
      <c r="AG26" s="37"/>
      <c r="AH26" s="33"/>
      <c r="AI26" s="34"/>
      <c r="AJ26" s="35" t="str">
        <f t="shared" si="12"/>
        <v/>
      </c>
      <c r="AK26" s="36" t="str">
        <f t="shared" si="13"/>
        <v/>
      </c>
      <c r="AL26" s="37"/>
      <c r="AM26" s="33"/>
      <c r="AN26" s="34"/>
      <c r="AO26" s="35" t="str">
        <f t="shared" si="14"/>
        <v/>
      </c>
      <c r="AP26" s="36" t="str">
        <f t="shared" si="15"/>
        <v/>
      </c>
      <c r="AQ26" s="37"/>
      <c r="AR26" s="33"/>
      <c r="AS26" s="34"/>
      <c r="AT26" s="35" t="str">
        <f t="shared" si="16"/>
        <v/>
      </c>
      <c r="AU26" s="36" t="str">
        <f t="shared" si="17"/>
        <v/>
      </c>
      <c r="AV26" s="37"/>
      <c r="AW26" s="33"/>
      <c r="AX26" s="34"/>
      <c r="AY26" s="35" t="str">
        <f t="shared" si="18"/>
        <v/>
      </c>
      <c r="AZ26" s="36" t="str">
        <f t="shared" si="19"/>
        <v/>
      </c>
      <c r="BA26" s="37"/>
      <c r="BB26" s="33"/>
      <c r="BC26" s="34"/>
      <c r="BD26" s="35" t="str">
        <f t="shared" si="20"/>
        <v/>
      </c>
      <c r="BE26" s="36" t="str">
        <f t="shared" si="21"/>
        <v/>
      </c>
      <c r="BF26" s="37"/>
      <c r="BG26" s="33"/>
      <c r="BH26" s="34"/>
      <c r="BI26" s="35" t="str">
        <f t="shared" si="22"/>
        <v/>
      </c>
      <c r="BJ26" s="36" t="str">
        <f t="shared" si="23"/>
        <v/>
      </c>
      <c r="BK26" s="37"/>
      <c r="BL26" s="33"/>
      <c r="BM26" s="34"/>
      <c r="BN26" s="35" t="str">
        <f t="shared" si="24"/>
        <v/>
      </c>
      <c r="BO26" s="36" t="str">
        <f t="shared" si="25"/>
        <v/>
      </c>
      <c r="BP26" s="37"/>
      <c r="BQ26" s="33"/>
      <c r="BR26" s="34"/>
      <c r="BS26" s="35" t="str">
        <f t="shared" si="26"/>
        <v/>
      </c>
      <c r="BT26" s="36" t="str">
        <f t="shared" si="27"/>
        <v/>
      </c>
      <c r="BU26" s="37"/>
      <c r="BV26" s="33"/>
      <c r="BW26" s="34"/>
      <c r="BX26" s="35" t="str">
        <f t="shared" si="28"/>
        <v/>
      </c>
      <c r="BY26" s="36" t="str">
        <f t="shared" si="29"/>
        <v/>
      </c>
      <c r="BZ26" s="37"/>
      <c r="CA26" s="33"/>
      <c r="CB26" s="34"/>
      <c r="CC26" s="35" t="str">
        <f t="shared" si="30"/>
        <v/>
      </c>
      <c r="CD26" s="36" t="str">
        <f t="shared" si="31"/>
        <v/>
      </c>
      <c r="CE26" s="37"/>
      <c r="CF26" s="33"/>
      <c r="CG26" s="34"/>
      <c r="CH26" s="35" t="str">
        <f t="shared" si="32"/>
        <v/>
      </c>
      <c r="CI26" s="36" t="str">
        <f t="shared" si="33"/>
        <v/>
      </c>
      <c r="CJ26" s="37"/>
      <c r="CK26" s="33"/>
      <c r="CL26" s="34"/>
      <c r="CM26" s="35" t="str">
        <f t="shared" si="34"/>
        <v/>
      </c>
      <c r="CN26" s="36" t="str">
        <f t="shared" si="35"/>
        <v/>
      </c>
      <c r="CO26" s="37"/>
      <c r="CP26" s="33"/>
      <c r="CQ26" s="34"/>
      <c r="CR26" s="35" t="str">
        <f t="shared" si="36"/>
        <v/>
      </c>
      <c r="CS26" s="36" t="str">
        <f t="shared" si="37"/>
        <v/>
      </c>
      <c r="CT26" s="37"/>
      <c r="CU26" s="33"/>
      <c r="CV26" s="34"/>
      <c r="CW26" s="35" t="str">
        <f t="shared" si="38"/>
        <v/>
      </c>
      <c r="CX26" s="36" t="str">
        <f t="shared" si="39"/>
        <v/>
      </c>
      <c r="CY26" s="37"/>
      <c r="CZ26" s="33"/>
      <c r="DA26" s="34"/>
      <c r="DB26" s="35" t="str">
        <f t="shared" si="40"/>
        <v/>
      </c>
      <c r="DC26" s="36" t="str">
        <f t="shared" si="41"/>
        <v/>
      </c>
      <c r="DD26" s="37"/>
      <c r="DE26" s="33"/>
      <c r="DF26" s="34"/>
      <c r="DG26" s="35" t="str">
        <f t="shared" si="42"/>
        <v/>
      </c>
      <c r="DH26" s="36" t="str">
        <f t="shared" si="43"/>
        <v/>
      </c>
      <c r="DI26" s="37"/>
      <c r="DJ26" s="33"/>
      <c r="DK26" s="34"/>
      <c r="DL26" s="35" t="str">
        <f t="shared" si="44"/>
        <v/>
      </c>
      <c r="DM26" s="36" t="str">
        <f t="shared" si="45"/>
        <v/>
      </c>
      <c r="DN26" s="37"/>
      <c r="DO26" s="33"/>
      <c r="DP26" s="34"/>
      <c r="DQ26" s="35" t="str">
        <f t="shared" si="46"/>
        <v/>
      </c>
      <c r="DR26" s="36" t="str">
        <f t="shared" si="47"/>
        <v/>
      </c>
      <c r="DS26" s="37"/>
      <c r="DT26" s="33"/>
      <c r="DU26" s="34"/>
      <c r="DV26" s="35" t="str">
        <f t="shared" si="48"/>
        <v/>
      </c>
      <c r="DW26" s="36" t="str">
        <f t="shared" si="49"/>
        <v/>
      </c>
      <c r="DX26" s="37"/>
      <c r="DY26" s="33"/>
      <c r="DZ26" s="34"/>
      <c r="EA26" s="35" t="str">
        <f t="shared" si="50"/>
        <v/>
      </c>
      <c r="EB26" s="36" t="str">
        <f t="shared" si="51"/>
        <v/>
      </c>
      <c r="EC26" s="37"/>
      <c r="ED26" s="33"/>
      <c r="EE26" s="34"/>
      <c r="EF26" s="35" t="str">
        <f t="shared" si="52"/>
        <v/>
      </c>
      <c r="EG26" s="36" t="str">
        <f t="shared" si="53"/>
        <v/>
      </c>
      <c r="EH26" s="37"/>
      <c r="EI26" s="33"/>
      <c r="EJ26" s="34"/>
      <c r="EK26" s="35" t="str">
        <f t="shared" si="54"/>
        <v/>
      </c>
      <c r="EL26" s="36" t="str">
        <f t="shared" si="55"/>
        <v/>
      </c>
      <c r="EM26" s="37"/>
      <c r="EN26" s="33"/>
      <c r="EO26" s="34"/>
      <c r="EP26" s="35" t="str">
        <f t="shared" si="56"/>
        <v/>
      </c>
      <c r="EQ26" s="36" t="str">
        <f t="shared" si="57"/>
        <v/>
      </c>
      <c r="ER26" s="37"/>
      <c r="ES26" s="33"/>
      <c r="ET26" s="34"/>
      <c r="EU26" s="35" t="str">
        <f t="shared" si="58"/>
        <v/>
      </c>
      <c r="EV26" s="36" t="str">
        <f t="shared" si="59"/>
        <v/>
      </c>
      <c r="EW26" s="37"/>
    </row>
    <row r="27" spans="1:153" ht="19.5" customHeight="1">
      <c r="A27" s="32">
        <f>IF(DAY(DATE(対象年度,7,24))&lt;&gt;24,"",24)</f>
        <v>24</v>
      </c>
      <c r="B27" s="32" t="str">
        <f>IF(DAY(DATE(対象年度,7,24))&lt;&gt;24,"",CHOOSE(WEEKDAY(DATE(対象年度,7,24),2),"月","火","水","木","金","土","日"))</f>
        <v>金</v>
      </c>
      <c r="C27" s="32" t="str">
        <f>IF(DAY(DATE(対象年度,7,24))&lt;&gt;24,"",IF(ISNUMBER(MATCH(DATE(対象年度,7,24),祝日リスト,0)),"祝",""))</f>
        <v/>
      </c>
      <c r="D27" s="33"/>
      <c r="E27" s="34"/>
      <c r="F27" s="35" t="str">
        <f t="shared" si="0"/>
        <v/>
      </c>
      <c r="G27" s="36" t="str">
        <f t="shared" si="1"/>
        <v/>
      </c>
      <c r="H27" s="37"/>
      <c r="I27" s="33"/>
      <c r="J27" s="34"/>
      <c r="K27" s="35" t="str">
        <f t="shared" si="2"/>
        <v/>
      </c>
      <c r="L27" s="36" t="str">
        <f t="shared" si="3"/>
        <v/>
      </c>
      <c r="M27" s="37"/>
      <c r="N27" s="33"/>
      <c r="O27" s="34"/>
      <c r="P27" s="35" t="str">
        <f t="shared" si="4"/>
        <v/>
      </c>
      <c r="Q27" s="36" t="str">
        <f t="shared" si="5"/>
        <v/>
      </c>
      <c r="R27" s="37"/>
      <c r="S27" s="33"/>
      <c r="T27" s="34"/>
      <c r="U27" s="35" t="str">
        <f t="shared" si="6"/>
        <v/>
      </c>
      <c r="V27" s="36" t="str">
        <f t="shared" si="7"/>
        <v/>
      </c>
      <c r="W27" s="37"/>
      <c r="X27" s="33"/>
      <c r="Y27" s="34"/>
      <c r="Z27" s="35" t="str">
        <f t="shared" si="8"/>
        <v/>
      </c>
      <c r="AA27" s="36" t="str">
        <f t="shared" si="9"/>
        <v/>
      </c>
      <c r="AB27" s="37"/>
      <c r="AC27" s="33"/>
      <c r="AD27" s="34"/>
      <c r="AE27" s="35" t="str">
        <f t="shared" si="10"/>
        <v/>
      </c>
      <c r="AF27" s="36" t="str">
        <f t="shared" si="11"/>
        <v/>
      </c>
      <c r="AG27" s="37"/>
      <c r="AH27" s="33"/>
      <c r="AI27" s="34"/>
      <c r="AJ27" s="35" t="str">
        <f t="shared" si="12"/>
        <v/>
      </c>
      <c r="AK27" s="36" t="str">
        <f t="shared" si="13"/>
        <v/>
      </c>
      <c r="AL27" s="37"/>
      <c r="AM27" s="33"/>
      <c r="AN27" s="34"/>
      <c r="AO27" s="35" t="str">
        <f t="shared" si="14"/>
        <v/>
      </c>
      <c r="AP27" s="36" t="str">
        <f t="shared" si="15"/>
        <v/>
      </c>
      <c r="AQ27" s="37"/>
      <c r="AR27" s="33"/>
      <c r="AS27" s="34"/>
      <c r="AT27" s="35" t="str">
        <f t="shared" si="16"/>
        <v/>
      </c>
      <c r="AU27" s="36" t="str">
        <f t="shared" si="17"/>
        <v/>
      </c>
      <c r="AV27" s="37"/>
      <c r="AW27" s="33"/>
      <c r="AX27" s="34"/>
      <c r="AY27" s="35" t="str">
        <f t="shared" si="18"/>
        <v/>
      </c>
      <c r="AZ27" s="36" t="str">
        <f t="shared" si="19"/>
        <v/>
      </c>
      <c r="BA27" s="37"/>
      <c r="BB27" s="33"/>
      <c r="BC27" s="34"/>
      <c r="BD27" s="35" t="str">
        <f t="shared" si="20"/>
        <v/>
      </c>
      <c r="BE27" s="36" t="str">
        <f t="shared" si="21"/>
        <v/>
      </c>
      <c r="BF27" s="37"/>
      <c r="BG27" s="33"/>
      <c r="BH27" s="34"/>
      <c r="BI27" s="35" t="str">
        <f t="shared" si="22"/>
        <v/>
      </c>
      <c r="BJ27" s="36" t="str">
        <f t="shared" si="23"/>
        <v/>
      </c>
      <c r="BK27" s="37"/>
      <c r="BL27" s="33"/>
      <c r="BM27" s="34"/>
      <c r="BN27" s="35" t="str">
        <f t="shared" si="24"/>
        <v/>
      </c>
      <c r="BO27" s="36" t="str">
        <f t="shared" si="25"/>
        <v/>
      </c>
      <c r="BP27" s="37"/>
      <c r="BQ27" s="33"/>
      <c r="BR27" s="34"/>
      <c r="BS27" s="35" t="str">
        <f t="shared" si="26"/>
        <v/>
      </c>
      <c r="BT27" s="36" t="str">
        <f t="shared" si="27"/>
        <v/>
      </c>
      <c r="BU27" s="37"/>
      <c r="BV27" s="33"/>
      <c r="BW27" s="34"/>
      <c r="BX27" s="35" t="str">
        <f t="shared" si="28"/>
        <v/>
      </c>
      <c r="BY27" s="36" t="str">
        <f t="shared" si="29"/>
        <v/>
      </c>
      <c r="BZ27" s="37"/>
      <c r="CA27" s="33"/>
      <c r="CB27" s="34"/>
      <c r="CC27" s="35" t="str">
        <f t="shared" si="30"/>
        <v/>
      </c>
      <c r="CD27" s="36" t="str">
        <f t="shared" si="31"/>
        <v/>
      </c>
      <c r="CE27" s="37"/>
      <c r="CF27" s="33"/>
      <c r="CG27" s="34"/>
      <c r="CH27" s="35" t="str">
        <f t="shared" si="32"/>
        <v/>
      </c>
      <c r="CI27" s="36" t="str">
        <f t="shared" si="33"/>
        <v/>
      </c>
      <c r="CJ27" s="37"/>
      <c r="CK27" s="33"/>
      <c r="CL27" s="34"/>
      <c r="CM27" s="35" t="str">
        <f t="shared" si="34"/>
        <v/>
      </c>
      <c r="CN27" s="36" t="str">
        <f t="shared" si="35"/>
        <v/>
      </c>
      <c r="CO27" s="37"/>
      <c r="CP27" s="33"/>
      <c r="CQ27" s="34"/>
      <c r="CR27" s="35" t="str">
        <f t="shared" si="36"/>
        <v/>
      </c>
      <c r="CS27" s="36" t="str">
        <f t="shared" si="37"/>
        <v/>
      </c>
      <c r="CT27" s="37"/>
      <c r="CU27" s="33"/>
      <c r="CV27" s="34"/>
      <c r="CW27" s="35" t="str">
        <f t="shared" si="38"/>
        <v/>
      </c>
      <c r="CX27" s="36" t="str">
        <f t="shared" si="39"/>
        <v/>
      </c>
      <c r="CY27" s="37"/>
      <c r="CZ27" s="33"/>
      <c r="DA27" s="34"/>
      <c r="DB27" s="35" t="str">
        <f t="shared" si="40"/>
        <v/>
      </c>
      <c r="DC27" s="36" t="str">
        <f t="shared" si="41"/>
        <v/>
      </c>
      <c r="DD27" s="37"/>
      <c r="DE27" s="33"/>
      <c r="DF27" s="34"/>
      <c r="DG27" s="35" t="str">
        <f t="shared" si="42"/>
        <v/>
      </c>
      <c r="DH27" s="36" t="str">
        <f t="shared" si="43"/>
        <v/>
      </c>
      <c r="DI27" s="37"/>
      <c r="DJ27" s="33"/>
      <c r="DK27" s="34"/>
      <c r="DL27" s="35" t="str">
        <f t="shared" si="44"/>
        <v/>
      </c>
      <c r="DM27" s="36" t="str">
        <f t="shared" si="45"/>
        <v/>
      </c>
      <c r="DN27" s="37"/>
      <c r="DO27" s="33"/>
      <c r="DP27" s="34"/>
      <c r="DQ27" s="35" t="str">
        <f t="shared" si="46"/>
        <v/>
      </c>
      <c r="DR27" s="36" t="str">
        <f t="shared" si="47"/>
        <v/>
      </c>
      <c r="DS27" s="37"/>
      <c r="DT27" s="33"/>
      <c r="DU27" s="34"/>
      <c r="DV27" s="35" t="str">
        <f t="shared" si="48"/>
        <v/>
      </c>
      <c r="DW27" s="36" t="str">
        <f t="shared" si="49"/>
        <v/>
      </c>
      <c r="DX27" s="37"/>
      <c r="DY27" s="33"/>
      <c r="DZ27" s="34"/>
      <c r="EA27" s="35" t="str">
        <f t="shared" si="50"/>
        <v/>
      </c>
      <c r="EB27" s="36" t="str">
        <f t="shared" si="51"/>
        <v/>
      </c>
      <c r="EC27" s="37"/>
      <c r="ED27" s="33"/>
      <c r="EE27" s="34"/>
      <c r="EF27" s="35" t="str">
        <f t="shared" si="52"/>
        <v/>
      </c>
      <c r="EG27" s="36" t="str">
        <f t="shared" si="53"/>
        <v/>
      </c>
      <c r="EH27" s="37"/>
      <c r="EI27" s="33"/>
      <c r="EJ27" s="34"/>
      <c r="EK27" s="35" t="str">
        <f t="shared" si="54"/>
        <v/>
      </c>
      <c r="EL27" s="36" t="str">
        <f t="shared" si="55"/>
        <v/>
      </c>
      <c r="EM27" s="37"/>
      <c r="EN27" s="33"/>
      <c r="EO27" s="34"/>
      <c r="EP27" s="35" t="str">
        <f t="shared" si="56"/>
        <v/>
      </c>
      <c r="EQ27" s="36" t="str">
        <f t="shared" si="57"/>
        <v/>
      </c>
      <c r="ER27" s="37"/>
      <c r="ES27" s="33"/>
      <c r="ET27" s="34"/>
      <c r="EU27" s="35" t="str">
        <f t="shared" si="58"/>
        <v/>
      </c>
      <c r="EV27" s="36" t="str">
        <f t="shared" si="59"/>
        <v/>
      </c>
      <c r="EW27" s="37"/>
    </row>
    <row r="28" spans="1:153" ht="19.5" customHeight="1">
      <c r="A28" s="32">
        <f>IF(DAY(DATE(対象年度,7,25))&lt;&gt;25,"",25)</f>
        <v>25</v>
      </c>
      <c r="B28" s="32" t="str">
        <f>IF(DAY(DATE(対象年度,7,25))&lt;&gt;25,"",CHOOSE(WEEKDAY(DATE(対象年度,7,25),2),"月","火","水","木","金","土","日"))</f>
        <v>土</v>
      </c>
      <c r="C28" s="32" t="str">
        <f>IF(DAY(DATE(対象年度,7,25))&lt;&gt;25,"",IF(ISNUMBER(MATCH(DATE(対象年度,7,25),祝日リスト,0)),"祝",""))</f>
        <v/>
      </c>
      <c r="D28" s="33"/>
      <c r="E28" s="34"/>
      <c r="F28" s="35" t="str">
        <f t="shared" si="0"/>
        <v/>
      </c>
      <c r="G28" s="36" t="str">
        <f t="shared" si="1"/>
        <v/>
      </c>
      <c r="H28" s="37"/>
      <c r="I28" s="33"/>
      <c r="J28" s="34"/>
      <c r="K28" s="35" t="str">
        <f t="shared" si="2"/>
        <v/>
      </c>
      <c r="L28" s="36" t="str">
        <f t="shared" si="3"/>
        <v/>
      </c>
      <c r="M28" s="37"/>
      <c r="N28" s="33"/>
      <c r="O28" s="34"/>
      <c r="P28" s="35" t="str">
        <f t="shared" si="4"/>
        <v/>
      </c>
      <c r="Q28" s="36" t="str">
        <f t="shared" si="5"/>
        <v/>
      </c>
      <c r="R28" s="37"/>
      <c r="S28" s="33"/>
      <c r="T28" s="34"/>
      <c r="U28" s="35" t="str">
        <f t="shared" si="6"/>
        <v/>
      </c>
      <c r="V28" s="36" t="str">
        <f t="shared" si="7"/>
        <v/>
      </c>
      <c r="W28" s="37"/>
      <c r="X28" s="33"/>
      <c r="Y28" s="34"/>
      <c r="Z28" s="35" t="str">
        <f t="shared" si="8"/>
        <v/>
      </c>
      <c r="AA28" s="36" t="str">
        <f t="shared" si="9"/>
        <v/>
      </c>
      <c r="AB28" s="37"/>
      <c r="AC28" s="33"/>
      <c r="AD28" s="34"/>
      <c r="AE28" s="35" t="str">
        <f t="shared" si="10"/>
        <v/>
      </c>
      <c r="AF28" s="36" t="str">
        <f t="shared" si="11"/>
        <v/>
      </c>
      <c r="AG28" s="37"/>
      <c r="AH28" s="33"/>
      <c r="AI28" s="34"/>
      <c r="AJ28" s="35" t="str">
        <f t="shared" si="12"/>
        <v/>
      </c>
      <c r="AK28" s="36" t="str">
        <f t="shared" si="13"/>
        <v/>
      </c>
      <c r="AL28" s="37"/>
      <c r="AM28" s="33"/>
      <c r="AN28" s="34"/>
      <c r="AO28" s="35" t="str">
        <f t="shared" si="14"/>
        <v/>
      </c>
      <c r="AP28" s="36" t="str">
        <f t="shared" si="15"/>
        <v/>
      </c>
      <c r="AQ28" s="37"/>
      <c r="AR28" s="33"/>
      <c r="AS28" s="34"/>
      <c r="AT28" s="35" t="str">
        <f t="shared" si="16"/>
        <v/>
      </c>
      <c r="AU28" s="36" t="str">
        <f t="shared" si="17"/>
        <v/>
      </c>
      <c r="AV28" s="37"/>
      <c r="AW28" s="33"/>
      <c r="AX28" s="34"/>
      <c r="AY28" s="35" t="str">
        <f t="shared" si="18"/>
        <v/>
      </c>
      <c r="AZ28" s="36" t="str">
        <f t="shared" si="19"/>
        <v/>
      </c>
      <c r="BA28" s="37"/>
      <c r="BB28" s="33"/>
      <c r="BC28" s="34"/>
      <c r="BD28" s="35" t="str">
        <f t="shared" si="20"/>
        <v/>
      </c>
      <c r="BE28" s="36" t="str">
        <f t="shared" si="21"/>
        <v/>
      </c>
      <c r="BF28" s="37"/>
      <c r="BG28" s="33"/>
      <c r="BH28" s="34"/>
      <c r="BI28" s="35" t="str">
        <f t="shared" si="22"/>
        <v/>
      </c>
      <c r="BJ28" s="36" t="str">
        <f t="shared" si="23"/>
        <v/>
      </c>
      <c r="BK28" s="37"/>
      <c r="BL28" s="33"/>
      <c r="BM28" s="34"/>
      <c r="BN28" s="35" t="str">
        <f t="shared" si="24"/>
        <v/>
      </c>
      <c r="BO28" s="36" t="str">
        <f t="shared" si="25"/>
        <v/>
      </c>
      <c r="BP28" s="37"/>
      <c r="BQ28" s="33"/>
      <c r="BR28" s="34"/>
      <c r="BS28" s="35" t="str">
        <f t="shared" si="26"/>
        <v/>
      </c>
      <c r="BT28" s="36" t="str">
        <f t="shared" si="27"/>
        <v/>
      </c>
      <c r="BU28" s="37"/>
      <c r="BV28" s="33"/>
      <c r="BW28" s="34"/>
      <c r="BX28" s="35" t="str">
        <f t="shared" si="28"/>
        <v/>
      </c>
      <c r="BY28" s="36" t="str">
        <f t="shared" si="29"/>
        <v/>
      </c>
      <c r="BZ28" s="37"/>
      <c r="CA28" s="33"/>
      <c r="CB28" s="34"/>
      <c r="CC28" s="35" t="str">
        <f t="shared" si="30"/>
        <v/>
      </c>
      <c r="CD28" s="36" t="str">
        <f t="shared" si="31"/>
        <v/>
      </c>
      <c r="CE28" s="37"/>
      <c r="CF28" s="33"/>
      <c r="CG28" s="34"/>
      <c r="CH28" s="35" t="str">
        <f t="shared" si="32"/>
        <v/>
      </c>
      <c r="CI28" s="36" t="str">
        <f t="shared" si="33"/>
        <v/>
      </c>
      <c r="CJ28" s="37"/>
      <c r="CK28" s="33"/>
      <c r="CL28" s="34"/>
      <c r="CM28" s="35" t="str">
        <f t="shared" si="34"/>
        <v/>
      </c>
      <c r="CN28" s="36" t="str">
        <f t="shared" si="35"/>
        <v/>
      </c>
      <c r="CO28" s="37"/>
      <c r="CP28" s="33"/>
      <c r="CQ28" s="34"/>
      <c r="CR28" s="35" t="str">
        <f t="shared" si="36"/>
        <v/>
      </c>
      <c r="CS28" s="36" t="str">
        <f t="shared" si="37"/>
        <v/>
      </c>
      <c r="CT28" s="37"/>
      <c r="CU28" s="33"/>
      <c r="CV28" s="34"/>
      <c r="CW28" s="35" t="str">
        <f t="shared" si="38"/>
        <v/>
      </c>
      <c r="CX28" s="36" t="str">
        <f t="shared" si="39"/>
        <v/>
      </c>
      <c r="CY28" s="37"/>
      <c r="CZ28" s="33"/>
      <c r="DA28" s="34"/>
      <c r="DB28" s="35" t="str">
        <f t="shared" si="40"/>
        <v/>
      </c>
      <c r="DC28" s="36" t="str">
        <f t="shared" si="41"/>
        <v/>
      </c>
      <c r="DD28" s="37"/>
      <c r="DE28" s="33"/>
      <c r="DF28" s="34"/>
      <c r="DG28" s="35" t="str">
        <f t="shared" si="42"/>
        <v/>
      </c>
      <c r="DH28" s="36" t="str">
        <f t="shared" si="43"/>
        <v/>
      </c>
      <c r="DI28" s="37"/>
      <c r="DJ28" s="33"/>
      <c r="DK28" s="34"/>
      <c r="DL28" s="35" t="str">
        <f t="shared" si="44"/>
        <v/>
      </c>
      <c r="DM28" s="36" t="str">
        <f t="shared" si="45"/>
        <v/>
      </c>
      <c r="DN28" s="37"/>
      <c r="DO28" s="33"/>
      <c r="DP28" s="34"/>
      <c r="DQ28" s="35" t="str">
        <f t="shared" si="46"/>
        <v/>
      </c>
      <c r="DR28" s="36" t="str">
        <f t="shared" si="47"/>
        <v/>
      </c>
      <c r="DS28" s="37"/>
      <c r="DT28" s="33"/>
      <c r="DU28" s="34"/>
      <c r="DV28" s="35" t="str">
        <f t="shared" si="48"/>
        <v/>
      </c>
      <c r="DW28" s="36" t="str">
        <f t="shared" si="49"/>
        <v/>
      </c>
      <c r="DX28" s="37"/>
      <c r="DY28" s="33"/>
      <c r="DZ28" s="34"/>
      <c r="EA28" s="35" t="str">
        <f t="shared" si="50"/>
        <v/>
      </c>
      <c r="EB28" s="36" t="str">
        <f t="shared" si="51"/>
        <v/>
      </c>
      <c r="EC28" s="37"/>
      <c r="ED28" s="33"/>
      <c r="EE28" s="34"/>
      <c r="EF28" s="35" t="str">
        <f t="shared" si="52"/>
        <v/>
      </c>
      <c r="EG28" s="36" t="str">
        <f t="shared" si="53"/>
        <v/>
      </c>
      <c r="EH28" s="37"/>
      <c r="EI28" s="33"/>
      <c r="EJ28" s="34"/>
      <c r="EK28" s="35" t="str">
        <f t="shared" si="54"/>
        <v/>
      </c>
      <c r="EL28" s="36" t="str">
        <f t="shared" si="55"/>
        <v/>
      </c>
      <c r="EM28" s="37"/>
      <c r="EN28" s="33"/>
      <c r="EO28" s="34"/>
      <c r="EP28" s="35" t="str">
        <f t="shared" si="56"/>
        <v/>
      </c>
      <c r="EQ28" s="36" t="str">
        <f t="shared" si="57"/>
        <v/>
      </c>
      <c r="ER28" s="37"/>
      <c r="ES28" s="33"/>
      <c r="ET28" s="34"/>
      <c r="EU28" s="35" t="str">
        <f t="shared" si="58"/>
        <v/>
      </c>
      <c r="EV28" s="36" t="str">
        <f t="shared" si="59"/>
        <v/>
      </c>
      <c r="EW28" s="37"/>
    </row>
    <row r="29" spans="1:153" ht="19.5" customHeight="1">
      <c r="A29" s="32">
        <f>IF(DAY(DATE(対象年度,7,26))&lt;&gt;26,"",26)</f>
        <v>26</v>
      </c>
      <c r="B29" s="32" t="str">
        <f>IF(DAY(DATE(対象年度,7,26))&lt;&gt;26,"",CHOOSE(WEEKDAY(DATE(対象年度,7,26),2),"月","火","水","木","金","土","日"))</f>
        <v>日</v>
      </c>
      <c r="C29" s="32" t="str">
        <f>IF(DAY(DATE(対象年度,7,26))&lt;&gt;26,"",IF(ISNUMBER(MATCH(DATE(対象年度,7,26),祝日リスト,0)),"祝",""))</f>
        <v/>
      </c>
      <c r="D29" s="33"/>
      <c r="E29" s="34"/>
      <c r="F29" s="35" t="str">
        <f t="shared" si="0"/>
        <v/>
      </c>
      <c r="G29" s="36" t="str">
        <f t="shared" si="1"/>
        <v/>
      </c>
      <c r="H29" s="37"/>
      <c r="I29" s="33"/>
      <c r="J29" s="34"/>
      <c r="K29" s="35" t="str">
        <f t="shared" si="2"/>
        <v/>
      </c>
      <c r="L29" s="36" t="str">
        <f t="shared" si="3"/>
        <v/>
      </c>
      <c r="M29" s="37"/>
      <c r="N29" s="33"/>
      <c r="O29" s="34"/>
      <c r="P29" s="35" t="str">
        <f t="shared" si="4"/>
        <v/>
      </c>
      <c r="Q29" s="36" t="str">
        <f t="shared" si="5"/>
        <v/>
      </c>
      <c r="R29" s="37"/>
      <c r="S29" s="33"/>
      <c r="T29" s="34"/>
      <c r="U29" s="35" t="str">
        <f t="shared" si="6"/>
        <v/>
      </c>
      <c r="V29" s="36" t="str">
        <f t="shared" si="7"/>
        <v/>
      </c>
      <c r="W29" s="37"/>
      <c r="X29" s="33"/>
      <c r="Y29" s="34"/>
      <c r="Z29" s="35" t="str">
        <f t="shared" si="8"/>
        <v/>
      </c>
      <c r="AA29" s="36" t="str">
        <f t="shared" si="9"/>
        <v/>
      </c>
      <c r="AB29" s="37"/>
      <c r="AC29" s="33"/>
      <c r="AD29" s="34"/>
      <c r="AE29" s="35" t="str">
        <f t="shared" si="10"/>
        <v/>
      </c>
      <c r="AF29" s="36" t="str">
        <f t="shared" si="11"/>
        <v/>
      </c>
      <c r="AG29" s="37"/>
      <c r="AH29" s="33"/>
      <c r="AI29" s="34"/>
      <c r="AJ29" s="35" t="str">
        <f t="shared" si="12"/>
        <v/>
      </c>
      <c r="AK29" s="36" t="str">
        <f t="shared" si="13"/>
        <v/>
      </c>
      <c r="AL29" s="37"/>
      <c r="AM29" s="33"/>
      <c r="AN29" s="34"/>
      <c r="AO29" s="35" t="str">
        <f t="shared" si="14"/>
        <v/>
      </c>
      <c r="AP29" s="36" t="str">
        <f t="shared" si="15"/>
        <v/>
      </c>
      <c r="AQ29" s="37"/>
      <c r="AR29" s="33"/>
      <c r="AS29" s="34"/>
      <c r="AT29" s="35" t="str">
        <f t="shared" si="16"/>
        <v/>
      </c>
      <c r="AU29" s="36" t="str">
        <f t="shared" si="17"/>
        <v/>
      </c>
      <c r="AV29" s="37"/>
      <c r="AW29" s="33"/>
      <c r="AX29" s="34"/>
      <c r="AY29" s="35" t="str">
        <f t="shared" si="18"/>
        <v/>
      </c>
      <c r="AZ29" s="36" t="str">
        <f t="shared" si="19"/>
        <v/>
      </c>
      <c r="BA29" s="37"/>
      <c r="BB29" s="33"/>
      <c r="BC29" s="34"/>
      <c r="BD29" s="35" t="str">
        <f t="shared" si="20"/>
        <v/>
      </c>
      <c r="BE29" s="36" t="str">
        <f t="shared" si="21"/>
        <v/>
      </c>
      <c r="BF29" s="37"/>
      <c r="BG29" s="33"/>
      <c r="BH29" s="34"/>
      <c r="BI29" s="35" t="str">
        <f t="shared" si="22"/>
        <v/>
      </c>
      <c r="BJ29" s="36" t="str">
        <f t="shared" si="23"/>
        <v/>
      </c>
      <c r="BK29" s="37"/>
      <c r="BL29" s="33"/>
      <c r="BM29" s="34"/>
      <c r="BN29" s="35" t="str">
        <f t="shared" si="24"/>
        <v/>
      </c>
      <c r="BO29" s="36" t="str">
        <f t="shared" si="25"/>
        <v/>
      </c>
      <c r="BP29" s="37"/>
      <c r="BQ29" s="33"/>
      <c r="BR29" s="34"/>
      <c r="BS29" s="35" t="str">
        <f t="shared" si="26"/>
        <v/>
      </c>
      <c r="BT29" s="36" t="str">
        <f t="shared" si="27"/>
        <v/>
      </c>
      <c r="BU29" s="37"/>
      <c r="BV29" s="33"/>
      <c r="BW29" s="34"/>
      <c r="BX29" s="35" t="str">
        <f t="shared" si="28"/>
        <v/>
      </c>
      <c r="BY29" s="36" t="str">
        <f t="shared" si="29"/>
        <v/>
      </c>
      <c r="BZ29" s="37"/>
      <c r="CA29" s="33"/>
      <c r="CB29" s="34"/>
      <c r="CC29" s="35" t="str">
        <f t="shared" si="30"/>
        <v/>
      </c>
      <c r="CD29" s="36" t="str">
        <f t="shared" si="31"/>
        <v/>
      </c>
      <c r="CE29" s="37"/>
      <c r="CF29" s="33"/>
      <c r="CG29" s="34"/>
      <c r="CH29" s="35" t="str">
        <f t="shared" si="32"/>
        <v/>
      </c>
      <c r="CI29" s="36" t="str">
        <f t="shared" si="33"/>
        <v/>
      </c>
      <c r="CJ29" s="37"/>
      <c r="CK29" s="33"/>
      <c r="CL29" s="34"/>
      <c r="CM29" s="35" t="str">
        <f t="shared" si="34"/>
        <v/>
      </c>
      <c r="CN29" s="36" t="str">
        <f t="shared" si="35"/>
        <v/>
      </c>
      <c r="CO29" s="37"/>
      <c r="CP29" s="33"/>
      <c r="CQ29" s="34"/>
      <c r="CR29" s="35" t="str">
        <f t="shared" si="36"/>
        <v/>
      </c>
      <c r="CS29" s="36" t="str">
        <f t="shared" si="37"/>
        <v/>
      </c>
      <c r="CT29" s="37"/>
      <c r="CU29" s="33"/>
      <c r="CV29" s="34"/>
      <c r="CW29" s="35" t="str">
        <f t="shared" si="38"/>
        <v/>
      </c>
      <c r="CX29" s="36" t="str">
        <f t="shared" si="39"/>
        <v/>
      </c>
      <c r="CY29" s="37"/>
      <c r="CZ29" s="33"/>
      <c r="DA29" s="34"/>
      <c r="DB29" s="35" t="str">
        <f t="shared" si="40"/>
        <v/>
      </c>
      <c r="DC29" s="36" t="str">
        <f t="shared" si="41"/>
        <v/>
      </c>
      <c r="DD29" s="37"/>
      <c r="DE29" s="33"/>
      <c r="DF29" s="34"/>
      <c r="DG29" s="35" t="str">
        <f t="shared" si="42"/>
        <v/>
      </c>
      <c r="DH29" s="36" t="str">
        <f t="shared" si="43"/>
        <v/>
      </c>
      <c r="DI29" s="37"/>
      <c r="DJ29" s="33"/>
      <c r="DK29" s="34"/>
      <c r="DL29" s="35" t="str">
        <f t="shared" si="44"/>
        <v/>
      </c>
      <c r="DM29" s="36" t="str">
        <f t="shared" si="45"/>
        <v/>
      </c>
      <c r="DN29" s="37"/>
      <c r="DO29" s="33"/>
      <c r="DP29" s="34"/>
      <c r="DQ29" s="35" t="str">
        <f t="shared" si="46"/>
        <v/>
      </c>
      <c r="DR29" s="36" t="str">
        <f t="shared" si="47"/>
        <v/>
      </c>
      <c r="DS29" s="37"/>
      <c r="DT29" s="33"/>
      <c r="DU29" s="34"/>
      <c r="DV29" s="35" t="str">
        <f t="shared" si="48"/>
        <v/>
      </c>
      <c r="DW29" s="36" t="str">
        <f t="shared" si="49"/>
        <v/>
      </c>
      <c r="DX29" s="37"/>
      <c r="DY29" s="33"/>
      <c r="DZ29" s="34"/>
      <c r="EA29" s="35" t="str">
        <f t="shared" si="50"/>
        <v/>
      </c>
      <c r="EB29" s="36" t="str">
        <f t="shared" si="51"/>
        <v/>
      </c>
      <c r="EC29" s="37"/>
      <c r="ED29" s="33"/>
      <c r="EE29" s="34"/>
      <c r="EF29" s="35" t="str">
        <f t="shared" si="52"/>
        <v/>
      </c>
      <c r="EG29" s="36" t="str">
        <f t="shared" si="53"/>
        <v/>
      </c>
      <c r="EH29" s="37"/>
      <c r="EI29" s="33"/>
      <c r="EJ29" s="34"/>
      <c r="EK29" s="35" t="str">
        <f t="shared" si="54"/>
        <v/>
      </c>
      <c r="EL29" s="36" t="str">
        <f t="shared" si="55"/>
        <v/>
      </c>
      <c r="EM29" s="37"/>
      <c r="EN29" s="33"/>
      <c r="EO29" s="34"/>
      <c r="EP29" s="35" t="str">
        <f t="shared" si="56"/>
        <v/>
      </c>
      <c r="EQ29" s="36" t="str">
        <f t="shared" si="57"/>
        <v/>
      </c>
      <c r="ER29" s="37"/>
      <c r="ES29" s="33"/>
      <c r="ET29" s="34"/>
      <c r="EU29" s="35" t="str">
        <f t="shared" si="58"/>
        <v/>
      </c>
      <c r="EV29" s="36" t="str">
        <f t="shared" si="59"/>
        <v/>
      </c>
      <c r="EW29" s="37"/>
    </row>
    <row r="30" spans="1:153" ht="19.5" customHeight="1">
      <c r="A30" s="32">
        <f>IF(DAY(DATE(対象年度,7,27))&lt;&gt;27,"",27)</f>
        <v>27</v>
      </c>
      <c r="B30" s="32" t="str">
        <f>IF(DAY(DATE(対象年度,7,27))&lt;&gt;27,"",CHOOSE(WEEKDAY(DATE(対象年度,7,27),2),"月","火","水","木","金","土","日"))</f>
        <v>月</v>
      </c>
      <c r="C30" s="32" t="str">
        <f>IF(DAY(DATE(対象年度,7,27))&lt;&gt;27,"",IF(ISNUMBER(MATCH(DATE(対象年度,7,27),祝日リスト,0)),"祝",""))</f>
        <v/>
      </c>
      <c r="D30" s="33"/>
      <c r="E30" s="34"/>
      <c r="F30" s="35" t="str">
        <f t="shared" si="0"/>
        <v/>
      </c>
      <c r="G30" s="36" t="str">
        <f t="shared" si="1"/>
        <v/>
      </c>
      <c r="H30" s="37"/>
      <c r="I30" s="33"/>
      <c r="J30" s="34"/>
      <c r="K30" s="35" t="str">
        <f t="shared" si="2"/>
        <v/>
      </c>
      <c r="L30" s="36" t="str">
        <f t="shared" si="3"/>
        <v/>
      </c>
      <c r="M30" s="37"/>
      <c r="N30" s="33"/>
      <c r="O30" s="34"/>
      <c r="P30" s="35" t="str">
        <f t="shared" si="4"/>
        <v/>
      </c>
      <c r="Q30" s="36" t="str">
        <f t="shared" si="5"/>
        <v/>
      </c>
      <c r="R30" s="37"/>
      <c r="S30" s="33"/>
      <c r="T30" s="34"/>
      <c r="U30" s="35" t="str">
        <f t="shared" si="6"/>
        <v/>
      </c>
      <c r="V30" s="36" t="str">
        <f t="shared" si="7"/>
        <v/>
      </c>
      <c r="W30" s="37"/>
      <c r="X30" s="33"/>
      <c r="Y30" s="34"/>
      <c r="Z30" s="35" t="str">
        <f t="shared" si="8"/>
        <v/>
      </c>
      <c r="AA30" s="36" t="str">
        <f t="shared" si="9"/>
        <v/>
      </c>
      <c r="AB30" s="37"/>
      <c r="AC30" s="33"/>
      <c r="AD30" s="34"/>
      <c r="AE30" s="35" t="str">
        <f t="shared" si="10"/>
        <v/>
      </c>
      <c r="AF30" s="36" t="str">
        <f t="shared" si="11"/>
        <v/>
      </c>
      <c r="AG30" s="37"/>
      <c r="AH30" s="33"/>
      <c r="AI30" s="34"/>
      <c r="AJ30" s="35" t="str">
        <f t="shared" si="12"/>
        <v/>
      </c>
      <c r="AK30" s="36" t="str">
        <f t="shared" si="13"/>
        <v/>
      </c>
      <c r="AL30" s="37"/>
      <c r="AM30" s="33"/>
      <c r="AN30" s="34"/>
      <c r="AO30" s="35" t="str">
        <f t="shared" si="14"/>
        <v/>
      </c>
      <c r="AP30" s="36" t="str">
        <f t="shared" si="15"/>
        <v/>
      </c>
      <c r="AQ30" s="37"/>
      <c r="AR30" s="33"/>
      <c r="AS30" s="34"/>
      <c r="AT30" s="35" t="str">
        <f t="shared" si="16"/>
        <v/>
      </c>
      <c r="AU30" s="36" t="str">
        <f t="shared" si="17"/>
        <v/>
      </c>
      <c r="AV30" s="37"/>
      <c r="AW30" s="33"/>
      <c r="AX30" s="34"/>
      <c r="AY30" s="35" t="str">
        <f t="shared" si="18"/>
        <v/>
      </c>
      <c r="AZ30" s="36" t="str">
        <f t="shared" si="19"/>
        <v/>
      </c>
      <c r="BA30" s="37"/>
      <c r="BB30" s="33"/>
      <c r="BC30" s="34"/>
      <c r="BD30" s="35" t="str">
        <f t="shared" si="20"/>
        <v/>
      </c>
      <c r="BE30" s="36" t="str">
        <f t="shared" si="21"/>
        <v/>
      </c>
      <c r="BF30" s="37"/>
      <c r="BG30" s="33"/>
      <c r="BH30" s="34"/>
      <c r="BI30" s="35" t="str">
        <f t="shared" si="22"/>
        <v/>
      </c>
      <c r="BJ30" s="36" t="str">
        <f t="shared" si="23"/>
        <v/>
      </c>
      <c r="BK30" s="37"/>
      <c r="BL30" s="33"/>
      <c r="BM30" s="34"/>
      <c r="BN30" s="35" t="str">
        <f t="shared" si="24"/>
        <v/>
      </c>
      <c r="BO30" s="36" t="str">
        <f t="shared" si="25"/>
        <v/>
      </c>
      <c r="BP30" s="37"/>
      <c r="BQ30" s="33"/>
      <c r="BR30" s="34"/>
      <c r="BS30" s="35" t="str">
        <f t="shared" si="26"/>
        <v/>
      </c>
      <c r="BT30" s="36" t="str">
        <f t="shared" si="27"/>
        <v/>
      </c>
      <c r="BU30" s="37"/>
      <c r="BV30" s="33"/>
      <c r="BW30" s="34"/>
      <c r="BX30" s="35" t="str">
        <f t="shared" si="28"/>
        <v/>
      </c>
      <c r="BY30" s="36" t="str">
        <f t="shared" si="29"/>
        <v/>
      </c>
      <c r="BZ30" s="37"/>
      <c r="CA30" s="33"/>
      <c r="CB30" s="34"/>
      <c r="CC30" s="35" t="str">
        <f t="shared" si="30"/>
        <v/>
      </c>
      <c r="CD30" s="36" t="str">
        <f t="shared" si="31"/>
        <v/>
      </c>
      <c r="CE30" s="37"/>
      <c r="CF30" s="33"/>
      <c r="CG30" s="34"/>
      <c r="CH30" s="35" t="str">
        <f t="shared" si="32"/>
        <v/>
      </c>
      <c r="CI30" s="36" t="str">
        <f t="shared" si="33"/>
        <v/>
      </c>
      <c r="CJ30" s="37"/>
      <c r="CK30" s="33"/>
      <c r="CL30" s="34"/>
      <c r="CM30" s="35" t="str">
        <f t="shared" si="34"/>
        <v/>
      </c>
      <c r="CN30" s="36" t="str">
        <f t="shared" si="35"/>
        <v/>
      </c>
      <c r="CO30" s="37"/>
      <c r="CP30" s="33"/>
      <c r="CQ30" s="34"/>
      <c r="CR30" s="35" t="str">
        <f t="shared" si="36"/>
        <v/>
      </c>
      <c r="CS30" s="36" t="str">
        <f t="shared" si="37"/>
        <v/>
      </c>
      <c r="CT30" s="37"/>
      <c r="CU30" s="33"/>
      <c r="CV30" s="34"/>
      <c r="CW30" s="35" t="str">
        <f t="shared" si="38"/>
        <v/>
      </c>
      <c r="CX30" s="36" t="str">
        <f t="shared" si="39"/>
        <v/>
      </c>
      <c r="CY30" s="37"/>
      <c r="CZ30" s="33"/>
      <c r="DA30" s="34"/>
      <c r="DB30" s="35" t="str">
        <f t="shared" si="40"/>
        <v/>
      </c>
      <c r="DC30" s="36" t="str">
        <f t="shared" si="41"/>
        <v/>
      </c>
      <c r="DD30" s="37"/>
      <c r="DE30" s="33"/>
      <c r="DF30" s="34"/>
      <c r="DG30" s="35" t="str">
        <f t="shared" si="42"/>
        <v/>
      </c>
      <c r="DH30" s="36" t="str">
        <f t="shared" si="43"/>
        <v/>
      </c>
      <c r="DI30" s="37"/>
      <c r="DJ30" s="33"/>
      <c r="DK30" s="34"/>
      <c r="DL30" s="35" t="str">
        <f t="shared" si="44"/>
        <v/>
      </c>
      <c r="DM30" s="36" t="str">
        <f t="shared" si="45"/>
        <v/>
      </c>
      <c r="DN30" s="37"/>
      <c r="DO30" s="33"/>
      <c r="DP30" s="34"/>
      <c r="DQ30" s="35" t="str">
        <f t="shared" si="46"/>
        <v/>
      </c>
      <c r="DR30" s="36" t="str">
        <f t="shared" si="47"/>
        <v/>
      </c>
      <c r="DS30" s="37"/>
      <c r="DT30" s="33"/>
      <c r="DU30" s="34"/>
      <c r="DV30" s="35" t="str">
        <f t="shared" si="48"/>
        <v/>
      </c>
      <c r="DW30" s="36" t="str">
        <f t="shared" si="49"/>
        <v/>
      </c>
      <c r="DX30" s="37"/>
      <c r="DY30" s="33"/>
      <c r="DZ30" s="34"/>
      <c r="EA30" s="35" t="str">
        <f t="shared" si="50"/>
        <v/>
      </c>
      <c r="EB30" s="36" t="str">
        <f t="shared" si="51"/>
        <v/>
      </c>
      <c r="EC30" s="37"/>
      <c r="ED30" s="33"/>
      <c r="EE30" s="34"/>
      <c r="EF30" s="35" t="str">
        <f t="shared" si="52"/>
        <v/>
      </c>
      <c r="EG30" s="36" t="str">
        <f t="shared" si="53"/>
        <v/>
      </c>
      <c r="EH30" s="37"/>
      <c r="EI30" s="33"/>
      <c r="EJ30" s="34"/>
      <c r="EK30" s="35" t="str">
        <f t="shared" si="54"/>
        <v/>
      </c>
      <c r="EL30" s="36" t="str">
        <f t="shared" si="55"/>
        <v/>
      </c>
      <c r="EM30" s="37"/>
      <c r="EN30" s="33"/>
      <c r="EO30" s="34"/>
      <c r="EP30" s="35" t="str">
        <f t="shared" si="56"/>
        <v/>
      </c>
      <c r="EQ30" s="36" t="str">
        <f t="shared" si="57"/>
        <v/>
      </c>
      <c r="ER30" s="37"/>
      <c r="ES30" s="33"/>
      <c r="ET30" s="34"/>
      <c r="EU30" s="35" t="str">
        <f t="shared" si="58"/>
        <v/>
      </c>
      <c r="EV30" s="36" t="str">
        <f t="shared" si="59"/>
        <v/>
      </c>
      <c r="EW30" s="37"/>
    </row>
    <row r="31" spans="1:153" ht="19.5" customHeight="1">
      <c r="A31" s="32">
        <f>IF(DAY(DATE(対象年度,7,28))&lt;&gt;28,"",28)</f>
        <v>28</v>
      </c>
      <c r="B31" s="32" t="str">
        <f>IF(DAY(DATE(対象年度,7,28))&lt;&gt;28,"",CHOOSE(WEEKDAY(DATE(対象年度,7,28),2),"月","火","水","木","金","土","日"))</f>
        <v>火</v>
      </c>
      <c r="C31" s="32" t="str">
        <f>IF(DAY(DATE(対象年度,7,28))&lt;&gt;28,"",IF(ISNUMBER(MATCH(DATE(対象年度,7,28),祝日リスト,0)),"祝",""))</f>
        <v/>
      </c>
      <c r="D31" s="33"/>
      <c r="E31" s="34"/>
      <c r="F31" s="35" t="str">
        <f t="shared" si="0"/>
        <v/>
      </c>
      <c r="G31" s="36" t="str">
        <f t="shared" si="1"/>
        <v/>
      </c>
      <c r="H31" s="37"/>
      <c r="I31" s="33"/>
      <c r="J31" s="34"/>
      <c r="K31" s="35" t="str">
        <f t="shared" si="2"/>
        <v/>
      </c>
      <c r="L31" s="36" t="str">
        <f t="shared" si="3"/>
        <v/>
      </c>
      <c r="M31" s="37"/>
      <c r="N31" s="33"/>
      <c r="O31" s="34"/>
      <c r="P31" s="35" t="str">
        <f t="shared" si="4"/>
        <v/>
      </c>
      <c r="Q31" s="36" t="str">
        <f t="shared" si="5"/>
        <v/>
      </c>
      <c r="R31" s="37"/>
      <c r="S31" s="33"/>
      <c r="T31" s="34"/>
      <c r="U31" s="35" t="str">
        <f t="shared" si="6"/>
        <v/>
      </c>
      <c r="V31" s="36" t="str">
        <f t="shared" si="7"/>
        <v/>
      </c>
      <c r="W31" s="37"/>
      <c r="X31" s="33"/>
      <c r="Y31" s="34"/>
      <c r="Z31" s="35" t="str">
        <f t="shared" si="8"/>
        <v/>
      </c>
      <c r="AA31" s="36" t="str">
        <f t="shared" si="9"/>
        <v/>
      </c>
      <c r="AB31" s="37"/>
      <c r="AC31" s="33"/>
      <c r="AD31" s="34"/>
      <c r="AE31" s="35" t="str">
        <f t="shared" si="10"/>
        <v/>
      </c>
      <c r="AF31" s="36" t="str">
        <f t="shared" si="11"/>
        <v/>
      </c>
      <c r="AG31" s="37"/>
      <c r="AH31" s="33"/>
      <c r="AI31" s="34"/>
      <c r="AJ31" s="35" t="str">
        <f t="shared" si="12"/>
        <v/>
      </c>
      <c r="AK31" s="36" t="str">
        <f t="shared" si="13"/>
        <v/>
      </c>
      <c r="AL31" s="37"/>
      <c r="AM31" s="33"/>
      <c r="AN31" s="34"/>
      <c r="AO31" s="35" t="str">
        <f t="shared" si="14"/>
        <v/>
      </c>
      <c r="AP31" s="36" t="str">
        <f t="shared" si="15"/>
        <v/>
      </c>
      <c r="AQ31" s="37"/>
      <c r="AR31" s="33"/>
      <c r="AS31" s="34"/>
      <c r="AT31" s="35" t="str">
        <f t="shared" si="16"/>
        <v/>
      </c>
      <c r="AU31" s="36" t="str">
        <f t="shared" si="17"/>
        <v/>
      </c>
      <c r="AV31" s="37"/>
      <c r="AW31" s="33"/>
      <c r="AX31" s="34"/>
      <c r="AY31" s="35" t="str">
        <f t="shared" si="18"/>
        <v/>
      </c>
      <c r="AZ31" s="36" t="str">
        <f t="shared" si="19"/>
        <v/>
      </c>
      <c r="BA31" s="37"/>
      <c r="BB31" s="33"/>
      <c r="BC31" s="34"/>
      <c r="BD31" s="35" t="str">
        <f t="shared" si="20"/>
        <v/>
      </c>
      <c r="BE31" s="36" t="str">
        <f t="shared" si="21"/>
        <v/>
      </c>
      <c r="BF31" s="37"/>
      <c r="BG31" s="33"/>
      <c r="BH31" s="34"/>
      <c r="BI31" s="35" t="str">
        <f t="shared" si="22"/>
        <v/>
      </c>
      <c r="BJ31" s="36" t="str">
        <f t="shared" si="23"/>
        <v/>
      </c>
      <c r="BK31" s="37"/>
      <c r="BL31" s="33"/>
      <c r="BM31" s="34"/>
      <c r="BN31" s="35" t="str">
        <f t="shared" si="24"/>
        <v/>
      </c>
      <c r="BO31" s="36" t="str">
        <f t="shared" si="25"/>
        <v/>
      </c>
      <c r="BP31" s="37"/>
      <c r="BQ31" s="33"/>
      <c r="BR31" s="34"/>
      <c r="BS31" s="35" t="str">
        <f t="shared" si="26"/>
        <v/>
      </c>
      <c r="BT31" s="36" t="str">
        <f t="shared" si="27"/>
        <v/>
      </c>
      <c r="BU31" s="37"/>
      <c r="BV31" s="33"/>
      <c r="BW31" s="34"/>
      <c r="BX31" s="35" t="str">
        <f t="shared" si="28"/>
        <v/>
      </c>
      <c r="BY31" s="36" t="str">
        <f t="shared" si="29"/>
        <v/>
      </c>
      <c r="BZ31" s="37"/>
      <c r="CA31" s="33"/>
      <c r="CB31" s="34"/>
      <c r="CC31" s="35" t="str">
        <f t="shared" si="30"/>
        <v/>
      </c>
      <c r="CD31" s="36" t="str">
        <f t="shared" si="31"/>
        <v/>
      </c>
      <c r="CE31" s="37"/>
      <c r="CF31" s="33"/>
      <c r="CG31" s="34"/>
      <c r="CH31" s="35" t="str">
        <f t="shared" si="32"/>
        <v/>
      </c>
      <c r="CI31" s="36" t="str">
        <f t="shared" si="33"/>
        <v/>
      </c>
      <c r="CJ31" s="37"/>
      <c r="CK31" s="33"/>
      <c r="CL31" s="34"/>
      <c r="CM31" s="35" t="str">
        <f t="shared" si="34"/>
        <v/>
      </c>
      <c r="CN31" s="36" t="str">
        <f t="shared" si="35"/>
        <v/>
      </c>
      <c r="CO31" s="37"/>
      <c r="CP31" s="33"/>
      <c r="CQ31" s="34"/>
      <c r="CR31" s="35" t="str">
        <f t="shared" si="36"/>
        <v/>
      </c>
      <c r="CS31" s="36" t="str">
        <f t="shared" si="37"/>
        <v/>
      </c>
      <c r="CT31" s="37"/>
      <c r="CU31" s="33"/>
      <c r="CV31" s="34"/>
      <c r="CW31" s="35" t="str">
        <f t="shared" si="38"/>
        <v/>
      </c>
      <c r="CX31" s="36" t="str">
        <f t="shared" si="39"/>
        <v/>
      </c>
      <c r="CY31" s="37"/>
      <c r="CZ31" s="33"/>
      <c r="DA31" s="34"/>
      <c r="DB31" s="35" t="str">
        <f t="shared" si="40"/>
        <v/>
      </c>
      <c r="DC31" s="36" t="str">
        <f t="shared" si="41"/>
        <v/>
      </c>
      <c r="DD31" s="37"/>
      <c r="DE31" s="33"/>
      <c r="DF31" s="34"/>
      <c r="DG31" s="35" t="str">
        <f t="shared" si="42"/>
        <v/>
      </c>
      <c r="DH31" s="36" t="str">
        <f t="shared" si="43"/>
        <v/>
      </c>
      <c r="DI31" s="37"/>
      <c r="DJ31" s="33"/>
      <c r="DK31" s="34"/>
      <c r="DL31" s="35" t="str">
        <f t="shared" si="44"/>
        <v/>
      </c>
      <c r="DM31" s="36" t="str">
        <f t="shared" si="45"/>
        <v/>
      </c>
      <c r="DN31" s="37"/>
      <c r="DO31" s="33"/>
      <c r="DP31" s="34"/>
      <c r="DQ31" s="35" t="str">
        <f t="shared" si="46"/>
        <v/>
      </c>
      <c r="DR31" s="36" t="str">
        <f t="shared" si="47"/>
        <v/>
      </c>
      <c r="DS31" s="37"/>
      <c r="DT31" s="33"/>
      <c r="DU31" s="34"/>
      <c r="DV31" s="35" t="str">
        <f t="shared" si="48"/>
        <v/>
      </c>
      <c r="DW31" s="36" t="str">
        <f t="shared" si="49"/>
        <v/>
      </c>
      <c r="DX31" s="37"/>
      <c r="DY31" s="33"/>
      <c r="DZ31" s="34"/>
      <c r="EA31" s="35" t="str">
        <f t="shared" si="50"/>
        <v/>
      </c>
      <c r="EB31" s="36" t="str">
        <f t="shared" si="51"/>
        <v/>
      </c>
      <c r="EC31" s="37"/>
      <c r="ED31" s="33"/>
      <c r="EE31" s="34"/>
      <c r="EF31" s="35" t="str">
        <f t="shared" si="52"/>
        <v/>
      </c>
      <c r="EG31" s="36" t="str">
        <f t="shared" si="53"/>
        <v/>
      </c>
      <c r="EH31" s="37"/>
      <c r="EI31" s="33"/>
      <c r="EJ31" s="34"/>
      <c r="EK31" s="35" t="str">
        <f t="shared" si="54"/>
        <v/>
      </c>
      <c r="EL31" s="36" t="str">
        <f t="shared" si="55"/>
        <v/>
      </c>
      <c r="EM31" s="37"/>
      <c r="EN31" s="33"/>
      <c r="EO31" s="34"/>
      <c r="EP31" s="35" t="str">
        <f t="shared" si="56"/>
        <v/>
      </c>
      <c r="EQ31" s="36" t="str">
        <f t="shared" si="57"/>
        <v/>
      </c>
      <c r="ER31" s="37"/>
      <c r="ES31" s="33"/>
      <c r="ET31" s="34"/>
      <c r="EU31" s="35" t="str">
        <f t="shared" si="58"/>
        <v/>
      </c>
      <c r="EV31" s="36" t="str">
        <f t="shared" si="59"/>
        <v/>
      </c>
      <c r="EW31" s="37"/>
    </row>
    <row r="32" spans="1:153" ht="19.5" customHeight="1">
      <c r="A32" s="32">
        <f>IF(DAY(DATE(対象年度,7,29))&lt;&gt;29,"",29)</f>
        <v>29</v>
      </c>
      <c r="B32" s="32" t="str">
        <f>IF(DAY(DATE(対象年度,7,29))&lt;&gt;29,"",CHOOSE(WEEKDAY(DATE(対象年度,7,29),2),"月","火","水","木","金","土","日"))</f>
        <v>水</v>
      </c>
      <c r="C32" s="32" t="str">
        <f>IF(DAY(DATE(対象年度,7,29))&lt;&gt;29,"",IF(ISNUMBER(MATCH(DATE(対象年度,7,29),祝日リスト,0)),"祝",""))</f>
        <v/>
      </c>
      <c r="D32" s="33"/>
      <c r="E32" s="34"/>
      <c r="F32" s="35" t="str">
        <f t="shared" si="0"/>
        <v/>
      </c>
      <c r="G32" s="36" t="str">
        <f t="shared" si="1"/>
        <v/>
      </c>
      <c r="H32" s="37"/>
      <c r="I32" s="33"/>
      <c r="J32" s="34"/>
      <c r="K32" s="35" t="str">
        <f t="shared" si="2"/>
        <v/>
      </c>
      <c r="L32" s="36" t="str">
        <f t="shared" si="3"/>
        <v/>
      </c>
      <c r="M32" s="37"/>
      <c r="N32" s="33"/>
      <c r="O32" s="34"/>
      <c r="P32" s="35" t="str">
        <f t="shared" si="4"/>
        <v/>
      </c>
      <c r="Q32" s="36" t="str">
        <f t="shared" si="5"/>
        <v/>
      </c>
      <c r="R32" s="37"/>
      <c r="S32" s="33"/>
      <c r="T32" s="34"/>
      <c r="U32" s="35" t="str">
        <f t="shared" si="6"/>
        <v/>
      </c>
      <c r="V32" s="36" t="str">
        <f t="shared" si="7"/>
        <v/>
      </c>
      <c r="W32" s="37"/>
      <c r="X32" s="33"/>
      <c r="Y32" s="34"/>
      <c r="Z32" s="35" t="str">
        <f t="shared" si="8"/>
        <v/>
      </c>
      <c r="AA32" s="36" t="str">
        <f t="shared" si="9"/>
        <v/>
      </c>
      <c r="AB32" s="37"/>
      <c r="AC32" s="33"/>
      <c r="AD32" s="34"/>
      <c r="AE32" s="35" t="str">
        <f t="shared" si="10"/>
        <v/>
      </c>
      <c r="AF32" s="36" t="str">
        <f t="shared" si="11"/>
        <v/>
      </c>
      <c r="AG32" s="37"/>
      <c r="AH32" s="33"/>
      <c r="AI32" s="34"/>
      <c r="AJ32" s="35" t="str">
        <f t="shared" si="12"/>
        <v/>
      </c>
      <c r="AK32" s="36" t="str">
        <f t="shared" si="13"/>
        <v/>
      </c>
      <c r="AL32" s="37"/>
      <c r="AM32" s="33"/>
      <c r="AN32" s="34"/>
      <c r="AO32" s="35" t="str">
        <f t="shared" si="14"/>
        <v/>
      </c>
      <c r="AP32" s="36" t="str">
        <f t="shared" si="15"/>
        <v/>
      </c>
      <c r="AQ32" s="37"/>
      <c r="AR32" s="33"/>
      <c r="AS32" s="34"/>
      <c r="AT32" s="35" t="str">
        <f t="shared" si="16"/>
        <v/>
      </c>
      <c r="AU32" s="36" t="str">
        <f t="shared" si="17"/>
        <v/>
      </c>
      <c r="AV32" s="37"/>
      <c r="AW32" s="33"/>
      <c r="AX32" s="34"/>
      <c r="AY32" s="35" t="str">
        <f t="shared" si="18"/>
        <v/>
      </c>
      <c r="AZ32" s="36" t="str">
        <f t="shared" si="19"/>
        <v/>
      </c>
      <c r="BA32" s="37"/>
      <c r="BB32" s="33"/>
      <c r="BC32" s="34"/>
      <c r="BD32" s="35" t="str">
        <f t="shared" si="20"/>
        <v/>
      </c>
      <c r="BE32" s="36" t="str">
        <f t="shared" si="21"/>
        <v/>
      </c>
      <c r="BF32" s="37"/>
      <c r="BG32" s="33"/>
      <c r="BH32" s="34"/>
      <c r="BI32" s="35" t="str">
        <f t="shared" si="22"/>
        <v/>
      </c>
      <c r="BJ32" s="36" t="str">
        <f t="shared" si="23"/>
        <v/>
      </c>
      <c r="BK32" s="37"/>
      <c r="BL32" s="33"/>
      <c r="BM32" s="34"/>
      <c r="BN32" s="35" t="str">
        <f t="shared" si="24"/>
        <v/>
      </c>
      <c r="BO32" s="36" t="str">
        <f t="shared" si="25"/>
        <v/>
      </c>
      <c r="BP32" s="37"/>
      <c r="BQ32" s="33"/>
      <c r="BR32" s="34"/>
      <c r="BS32" s="35" t="str">
        <f t="shared" si="26"/>
        <v/>
      </c>
      <c r="BT32" s="36" t="str">
        <f t="shared" si="27"/>
        <v/>
      </c>
      <c r="BU32" s="37"/>
      <c r="BV32" s="33"/>
      <c r="BW32" s="34"/>
      <c r="BX32" s="35" t="str">
        <f t="shared" si="28"/>
        <v/>
      </c>
      <c r="BY32" s="36" t="str">
        <f t="shared" si="29"/>
        <v/>
      </c>
      <c r="BZ32" s="37"/>
      <c r="CA32" s="33"/>
      <c r="CB32" s="34"/>
      <c r="CC32" s="35" t="str">
        <f t="shared" si="30"/>
        <v/>
      </c>
      <c r="CD32" s="36" t="str">
        <f t="shared" si="31"/>
        <v/>
      </c>
      <c r="CE32" s="37"/>
      <c r="CF32" s="33"/>
      <c r="CG32" s="34"/>
      <c r="CH32" s="35" t="str">
        <f t="shared" si="32"/>
        <v/>
      </c>
      <c r="CI32" s="36" t="str">
        <f t="shared" si="33"/>
        <v/>
      </c>
      <c r="CJ32" s="37"/>
      <c r="CK32" s="33"/>
      <c r="CL32" s="34"/>
      <c r="CM32" s="35" t="str">
        <f t="shared" si="34"/>
        <v/>
      </c>
      <c r="CN32" s="36" t="str">
        <f t="shared" si="35"/>
        <v/>
      </c>
      <c r="CO32" s="37"/>
      <c r="CP32" s="33"/>
      <c r="CQ32" s="34"/>
      <c r="CR32" s="35" t="str">
        <f t="shared" si="36"/>
        <v/>
      </c>
      <c r="CS32" s="36" t="str">
        <f t="shared" si="37"/>
        <v/>
      </c>
      <c r="CT32" s="37"/>
      <c r="CU32" s="33"/>
      <c r="CV32" s="34"/>
      <c r="CW32" s="35" t="str">
        <f t="shared" si="38"/>
        <v/>
      </c>
      <c r="CX32" s="36" t="str">
        <f t="shared" si="39"/>
        <v/>
      </c>
      <c r="CY32" s="37"/>
      <c r="CZ32" s="33"/>
      <c r="DA32" s="34"/>
      <c r="DB32" s="35" t="str">
        <f t="shared" si="40"/>
        <v/>
      </c>
      <c r="DC32" s="36" t="str">
        <f t="shared" si="41"/>
        <v/>
      </c>
      <c r="DD32" s="37"/>
      <c r="DE32" s="33"/>
      <c r="DF32" s="34"/>
      <c r="DG32" s="35" t="str">
        <f t="shared" si="42"/>
        <v/>
      </c>
      <c r="DH32" s="36" t="str">
        <f t="shared" si="43"/>
        <v/>
      </c>
      <c r="DI32" s="37"/>
      <c r="DJ32" s="33"/>
      <c r="DK32" s="34"/>
      <c r="DL32" s="35" t="str">
        <f t="shared" si="44"/>
        <v/>
      </c>
      <c r="DM32" s="36" t="str">
        <f t="shared" si="45"/>
        <v/>
      </c>
      <c r="DN32" s="37"/>
      <c r="DO32" s="33"/>
      <c r="DP32" s="34"/>
      <c r="DQ32" s="35" t="str">
        <f t="shared" si="46"/>
        <v/>
      </c>
      <c r="DR32" s="36" t="str">
        <f t="shared" si="47"/>
        <v/>
      </c>
      <c r="DS32" s="37"/>
      <c r="DT32" s="33"/>
      <c r="DU32" s="34"/>
      <c r="DV32" s="35" t="str">
        <f t="shared" si="48"/>
        <v/>
      </c>
      <c r="DW32" s="36" t="str">
        <f t="shared" si="49"/>
        <v/>
      </c>
      <c r="DX32" s="37"/>
      <c r="DY32" s="33"/>
      <c r="DZ32" s="34"/>
      <c r="EA32" s="35" t="str">
        <f t="shared" si="50"/>
        <v/>
      </c>
      <c r="EB32" s="36" t="str">
        <f t="shared" si="51"/>
        <v/>
      </c>
      <c r="EC32" s="37"/>
      <c r="ED32" s="33"/>
      <c r="EE32" s="34"/>
      <c r="EF32" s="35" t="str">
        <f t="shared" si="52"/>
        <v/>
      </c>
      <c r="EG32" s="36" t="str">
        <f t="shared" si="53"/>
        <v/>
      </c>
      <c r="EH32" s="37"/>
      <c r="EI32" s="33"/>
      <c r="EJ32" s="34"/>
      <c r="EK32" s="35" t="str">
        <f t="shared" si="54"/>
        <v/>
      </c>
      <c r="EL32" s="36" t="str">
        <f t="shared" si="55"/>
        <v/>
      </c>
      <c r="EM32" s="37"/>
      <c r="EN32" s="33"/>
      <c r="EO32" s="34"/>
      <c r="EP32" s="35" t="str">
        <f t="shared" si="56"/>
        <v/>
      </c>
      <c r="EQ32" s="36" t="str">
        <f t="shared" si="57"/>
        <v/>
      </c>
      <c r="ER32" s="37"/>
      <c r="ES32" s="33"/>
      <c r="ET32" s="34"/>
      <c r="EU32" s="35" t="str">
        <f t="shared" si="58"/>
        <v/>
      </c>
      <c r="EV32" s="36" t="str">
        <f t="shared" si="59"/>
        <v/>
      </c>
      <c r="EW32" s="37"/>
    </row>
    <row r="33" spans="1:153" ht="19.5" customHeight="1">
      <c r="A33" s="32">
        <f>IF(DAY(DATE(対象年度,7,30))&lt;&gt;30,"",30)</f>
        <v>30</v>
      </c>
      <c r="B33" s="32" t="str">
        <f>IF(DAY(DATE(対象年度,7,30))&lt;&gt;30,"",CHOOSE(WEEKDAY(DATE(対象年度,7,30),2),"月","火","水","木","金","土","日"))</f>
        <v>木</v>
      </c>
      <c r="C33" s="32" t="str">
        <f>IF(DAY(DATE(対象年度,7,30))&lt;&gt;30,"",IF(ISNUMBER(MATCH(DATE(対象年度,7,30),祝日リスト,0)),"祝",""))</f>
        <v/>
      </c>
      <c r="D33" s="33"/>
      <c r="E33" s="34"/>
      <c r="F33" s="35" t="str">
        <f t="shared" si="0"/>
        <v/>
      </c>
      <c r="G33" s="36" t="str">
        <f t="shared" si="1"/>
        <v/>
      </c>
      <c r="H33" s="37"/>
      <c r="I33" s="33"/>
      <c r="J33" s="34"/>
      <c r="K33" s="35" t="str">
        <f t="shared" si="2"/>
        <v/>
      </c>
      <c r="L33" s="36" t="str">
        <f t="shared" si="3"/>
        <v/>
      </c>
      <c r="M33" s="37"/>
      <c r="N33" s="33"/>
      <c r="O33" s="34"/>
      <c r="P33" s="35" t="str">
        <f t="shared" si="4"/>
        <v/>
      </c>
      <c r="Q33" s="36" t="str">
        <f t="shared" si="5"/>
        <v/>
      </c>
      <c r="R33" s="37"/>
      <c r="S33" s="33"/>
      <c r="T33" s="34"/>
      <c r="U33" s="35" t="str">
        <f t="shared" si="6"/>
        <v/>
      </c>
      <c r="V33" s="36" t="str">
        <f t="shared" si="7"/>
        <v/>
      </c>
      <c r="W33" s="37"/>
      <c r="X33" s="33"/>
      <c r="Y33" s="34"/>
      <c r="Z33" s="35" t="str">
        <f t="shared" si="8"/>
        <v/>
      </c>
      <c r="AA33" s="36" t="str">
        <f t="shared" si="9"/>
        <v/>
      </c>
      <c r="AB33" s="37"/>
      <c r="AC33" s="33"/>
      <c r="AD33" s="34"/>
      <c r="AE33" s="35" t="str">
        <f t="shared" si="10"/>
        <v/>
      </c>
      <c r="AF33" s="36" t="str">
        <f t="shared" si="11"/>
        <v/>
      </c>
      <c r="AG33" s="37"/>
      <c r="AH33" s="33"/>
      <c r="AI33" s="34"/>
      <c r="AJ33" s="35" t="str">
        <f t="shared" si="12"/>
        <v/>
      </c>
      <c r="AK33" s="36" t="str">
        <f t="shared" si="13"/>
        <v/>
      </c>
      <c r="AL33" s="37"/>
      <c r="AM33" s="33"/>
      <c r="AN33" s="34"/>
      <c r="AO33" s="35" t="str">
        <f t="shared" si="14"/>
        <v/>
      </c>
      <c r="AP33" s="36" t="str">
        <f t="shared" si="15"/>
        <v/>
      </c>
      <c r="AQ33" s="37"/>
      <c r="AR33" s="33"/>
      <c r="AS33" s="34"/>
      <c r="AT33" s="35" t="str">
        <f t="shared" si="16"/>
        <v/>
      </c>
      <c r="AU33" s="36" t="str">
        <f t="shared" si="17"/>
        <v/>
      </c>
      <c r="AV33" s="37"/>
      <c r="AW33" s="33"/>
      <c r="AX33" s="34"/>
      <c r="AY33" s="35" t="str">
        <f t="shared" si="18"/>
        <v/>
      </c>
      <c r="AZ33" s="36" t="str">
        <f t="shared" si="19"/>
        <v/>
      </c>
      <c r="BA33" s="37"/>
      <c r="BB33" s="33"/>
      <c r="BC33" s="34"/>
      <c r="BD33" s="35" t="str">
        <f t="shared" si="20"/>
        <v/>
      </c>
      <c r="BE33" s="36" t="str">
        <f t="shared" si="21"/>
        <v/>
      </c>
      <c r="BF33" s="37"/>
      <c r="BG33" s="33"/>
      <c r="BH33" s="34"/>
      <c r="BI33" s="35" t="str">
        <f t="shared" si="22"/>
        <v/>
      </c>
      <c r="BJ33" s="36" t="str">
        <f t="shared" si="23"/>
        <v/>
      </c>
      <c r="BK33" s="37"/>
      <c r="BL33" s="33"/>
      <c r="BM33" s="34"/>
      <c r="BN33" s="35" t="str">
        <f t="shared" si="24"/>
        <v/>
      </c>
      <c r="BO33" s="36" t="str">
        <f t="shared" si="25"/>
        <v/>
      </c>
      <c r="BP33" s="37"/>
      <c r="BQ33" s="33"/>
      <c r="BR33" s="34"/>
      <c r="BS33" s="35" t="str">
        <f t="shared" si="26"/>
        <v/>
      </c>
      <c r="BT33" s="36" t="str">
        <f t="shared" si="27"/>
        <v/>
      </c>
      <c r="BU33" s="37"/>
      <c r="BV33" s="33"/>
      <c r="BW33" s="34"/>
      <c r="BX33" s="35" t="str">
        <f t="shared" si="28"/>
        <v/>
      </c>
      <c r="BY33" s="36" t="str">
        <f t="shared" si="29"/>
        <v/>
      </c>
      <c r="BZ33" s="37"/>
      <c r="CA33" s="33"/>
      <c r="CB33" s="34"/>
      <c r="CC33" s="35" t="str">
        <f t="shared" si="30"/>
        <v/>
      </c>
      <c r="CD33" s="36" t="str">
        <f t="shared" si="31"/>
        <v/>
      </c>
      <c r="CE33" s="37"/>
      <c r="CF33" s="33"/>
      <c r="CG33" s="34"/>
      <c r="CH33" s="35" t="str">
        <f t="shared" si="32"/>
        <v/>
      </c>
      <c r="CI33" s="36" t="str">
        <f t="shared" si="33"/>
        <v/>
      </c>
      <c r="CJ33" s="37"/>
      <c r="CK33" s="33"/>
      <c r="CL33" s="34"/>
      <c r="CM33" s="35" t="str">
        <f t="shared" si="34"/>
        <v/>
      </c>
      <c r="CN33" s="36" t="str">
        <f t="shared" si="35"/>
        <v/>
      </c>
      <c r="CO33" s="37"/>
      <c r="CP33" s="33"/>
      <c r="CQ33" s="34"/>
      <c r="CR33" s="35" t="str">
        <f t="shared" si="36"/>
        <v/>
      </c>
      <c r="CS33" s="36" t="str">
        <f t="shared" si="37"/>
        <v/>
      </c>
      <c r="CT33" s="37"/>
      <c r="CU33" s="33"/>
      <c r="CV33" s="34"/>
      <c r="CW33" s="35" t="str">
        <f t="shared" si="38"/>
        <v/>
      </c>
      <c r="CX33" s="36" t="str">
        <f t="shared" si="39"/>
        <v/>
      </c>
      <c r="CY33" s="37"/>
      <c r="CZ33" s="33"/>
      <c r="DA33" s="34"/>
      <c r="DB33" s="35" t="str">
        <f t="shared" si="40"/>
        <v/>
      </c>
      <c r="DC33" s="36" t="str">
        <f t="shared" si="41"/>
        <v/>
      </c>
      <c r="DD33" s="37"/>
      <c r="DE33" s="33"/>
      <c r="DF33" s="34"/>
      <c r="DG33" s="35" t="str">
        <f t="shared" si="42"/>
        <v/>
      </c>
      <c r="DH33" s="36" t="str">
        <f t="shared" si="43"/>
        <v/>
      </c>
      <c r="DI33" s="37"/>
      <c r="DJ33" s="33"/>
      <c r="DK33" s="34"/>
      <c r="DL33" s="35" t="str">
        <f t="shared" si="44"/>
        <v/>
      </c>
      <c r="DM33" s="36" t="str">
        <f t="shared" si="45"/>
        <v/>
      </c>
      <c r="DN33" s="37"/>
      <c r="DO33" s="33"/>
      <c r="DP33" s="34"/>
      <c r="DQ33" s="35" t="str">
        <f t="shared" si="46"/>
        <v/>
      </c>
      <c r="DR33" s="36" t="str">
        <f t="shared" si="47"/>
        <v/>
      </c>
      <c r="DS33" s="37"/>
      <c r="DT33" s="33"/>
      <c r="DU33" s="34"/>
      <c r="DV33" s="35" t="str">
        <f t="shared" si="48"/>
        <v/>
      </c>
      <c r="DW33" s="36" t="str">
        <f t="shared" si="49"/>
        <v/>
      </c>
      <c r="DX33" s="37"/>
      <c r="DY33" s="33"/>
      <c r="DZ33" s="34"/>
      <c r="EA33" s="35" t="str">
        <f t="shared" si="50"/>
        <v/>
      </c>
      <c r="EB33" s="36" t="str">
        <f t="shared" si="51"/>
        <v/>
      </c>
      <c r="EC33" s="37"/>
      <c r="ED33" s="33"/>
      <c r="EE33" s="34"/>
      <c r="EF33" s="35" t="str">
        <f t="shared" si="52"/>
        <v/>
      </c>
      <c r="EG33" s="36" t="str">
        <f t="shared" si="53"/>
        <v/>
      </c>
      <c r="EH33" s="37"/>
      <c r="EI33" s="33"/>
      <c r="EJ33" s="34"/>
      <c r="EK33" s="35" t="str">
        <f t="shared" si="54"/>
        <v/>
      </c>
      <c r="EL33" s="36" t="str">
        <f t="shared" si="55"/>
        <v/>
      </c>
      <c r="EM33" s="37"/>
      <c r="EN33" s="33"/>
      <c r="EO33" s="34"/>
      <c r="EP33" s="35" t="str">
        <f t="shared" si="56"/>
        <v/>
      </c>
      <c r="EQ33" s="36" t="str">
        <f t="shared" si="57"/>
        <v/>
      </c>
      <c r="ER33" s="37"/>
      <c r="ES33" s="33"/>
      <c r="ET33" s="34"/>
      <c r="EU33" s="35" t="str">
        <f t="shared" si="58"/>
        <v/>
      </c>
      <c r="EV33" s="36" t="str">
        <f t="shared" si="59"/>
        <v/>
      </c>
      <c r="EW33" s="37"/>
    </row>
    <row r="34" spans="1:153" ht="19.5" customHeight="1">
      <c r="A34" s="39">
        <f>IF(DAY(DATE(対象年度,7,31))&lt;&gt;31,"",31)</f>
        <v>31</v>
      </c>
      <c r="B34" s="39" t="str">
        <f>IF(DAY(DATE(対象年度,7,31))&lt;&gt;31,"",CHOOSE(WEEKDAY(DATE(対象年度,7,31),2),"月","火","水","木","金","土","日"))</f>
        <v>金</v>
      </c>
      <c r="C34" s="39" t="str">
        <f>IF(DAY(DATE(対象年度,7,31))&lt;&gt;31,"",IF(ISNUMBER(MATCH(DATE(対象年度,7,31),祝日リスト,0)),"祝",""))</f>
        <v/>
      </c>
      <c r="D34" s="40"/>
      <c r="E34" s="41"/>
      <c r="F34" s="42" t="str">
        <f t="shared" si="0"/>
        <v/>
      </c>
      <c r="G34" s="43" t="str">
        <f t="shared" si="1"/>
        <v/>
      </c>
      <c r="H34" s="44"/>
      <c r="I34" s="40"/>
      <c r="J34" s="41"/>
      <c r="K34" s="42" t="str">
        <f t="shared" si="2"/>
        <v/>
      </c>
      <c r="L34" s="43" t="str">
        <f t="shared" si="3"/>
        <v/>
      </c>
      <c r="M34" s="44"/>
      <c r="N34" s="40"/>
      <c r="O34" s="41"/>
      <c r="P34" s="42" t="str">
        <f t="shared" si="4"/>
        <v/>
      </c>
      <c r="Q34" s="43" t="str">
        <f t="shared" si="5"/>
        <v/>
      </c>
      <c r="R34" s="44"/>
      <c r="S34" s="40"/>
      <c r="T34" s="41"/>
      <c r="U34" s="42" t="str">
        <f t="shared" si="6"/>
        <v/>
      </c>
      <c r="V34" s="43" t="str">
        <f t="shared" si="7"/>
        <v/>
      </c>
      <c r="W34" s="44"/>
      <c r="X34" s="40"/>
      <c r="Y34" s="41"/>
      <c r="Z34" s="42" t="str">
        <f t="shared" si="8"/>
        <v/>
      </c>
      <c r="AA34" s="43" t="str">
        <f t="shared" si="9"/>
        <v/>
      </c>
      <c r="AB34" s="44"/>
      <c r="AC34" s="40"/>
      <c r="AD34" s="41"/>
      <c r="AE34" s="42" t="str">
        <f t="shared" si="10"/>
        <v/>
      </c>
      <c r="AF34" s="43" t="str">
        <f t="shared" si="11"/>
        <v/>
      </c>
      <c r="AG34" s="44"/>
      <c r="AH34" s="40"/>
      <c r="AI34" s="41"/>
      <c r="AJ34" s="42" t="str">
        <f t="shared" si="12"/>
        <v/>
      </c>
      <c r="AK34" s="43" t="str">
        <f t="shared" si="13"/>
        <v/>
      </c>
      <c r="AL34" s="44"/>
      <c r="AM34" s="40"/>
      <c r="AN34" s="41"/>
      <c r="AO34" s="42" t="str">
        <f t="shared" si="14"/>
        <v/>
      </c>
      <c r="AP34" s="43" t="str">
        <f t="shared" si="15"/>
        <v/>
      </c>
      <c r="AQ34" s="44"/>
      <c r="AR34" s="40"/>
      <c r="AS34" s="41"/>
      <c r="AT34" s="42" t="str">
        <f t="shared" si="16"/>
        <v/>
      </c>
      <c r="AU34" s="43" t="str">
        <f t="shared" si="17"/>
        <v/>
      </c>
      <c r="AV34" s="44"/>
      <c r="AW34" s="40"/>
      <c r="AX34" s="41"/>
      <c r="AY34" s="42" t="str">
        <f t="shared" si="18"/>
        <v/>
      </c>
      <c r="AZ34" s="43" t="str">
        <f t="shared" si="19"/>
        <v/>
      </c>
      <c r="BA34" s="44"/>
      <c r="BB34" s="40"/>
      <c r="BC34" s="41"/>
      <c r="BD34" s="42" t="str">
        <f t="shared" si="20"/>
        <v/>
      </c>
      <c r="BE34" s="43" t="str">
        <f t="shared" si="21"/>
        <v/>
      </c>
      <c r="BF34" s="44"/>
      <c r="BG34" s="40"/>
      <c r="BH34" s="41"/>
      <c r="BI34" s="42" t="str">
        <f t="shared" si="22"/>
        <v/>
      </c>
      <c r="BJ34" s="43" t="str">
        <f t="shared" si="23"/>
        <v/>
      </c>
      <c r="BK34" s="44"/>
      <c r="BL34" s="40"/>
      <c r="BM34" s="41"/>
      <c r="BN34" s="42" t="str">
        <f t="shared" si="24"/>
        <v/>
      </c>
      <c r="BO34" s="43" t="str">
        <f t="shared" si="25"/>
        <v/>
      </c>
      <c r="BP34" s="44"/>
      <c r="BQ34" s="40"/>
      <c r="BR34" s="41"/>
      <c r="BS34" s="42" t="str">
        <f t="shared" si="26"/>
        <v/>
      </c>
      <c r="BT34" s="43" t="str">
        <f t="shared" si="27"/>
        <v/>
      </c>
      <c r="BU34" s="44"/>
      <c r="BV34" s="40"/>
      <c r="BW34" s="41"/>
      <c r="BX34" s="42" t="str">
        <f t="shared" si="28"/>
        <v/>
      </c>
      <c r="BY34" s="43" t="str">
        <f t="shared" si="29"/>
        <v/>
      </c>
      <c r="BZ34" s="44"/>
      <c r="CA34" s="40"/>
      <c r="CB34" s="41"/>
      <c r="CC34" s="42" t="str">
        <f t="shared" si="30"/>
        <v/>
      </c>
      <c r="CD34" s="43" t="str">
        <f t="shared" si="31"/>
        <v/>
      </c>
      <c r="CE34" s="44"/>
      <c r="CF34" s="40"/>
      <c r="CG34" s="41"/>
      <c r="CH34" s="42" t="str">
        <f t="shared" si="32"/>
        <v/>
      </c>
      <c r="CI34" s="43" t="str">
        <f t="shared" si="33"/>
        <v/>
      </c>
      <c r="CJ34" s="44"/>
      <c r="CK34" s="40"/>
      <c r="CL34" s="41"/>
      <c r="CM34" s="42" t="str">
        <f t="shared" si="34"/>
        <v/>
      </c>
      <c r="CN34" s="43" t="str">
        <f t="shared" si="35"/>
        <v/>
      </c>
      <c r="CO34" s="44"/>
      <c r="CP34" s="40"/>
      <c r="CQ34" s="41"/>
      <c r="CR34" s="42" t="str">
        <f t="shared" si="36"/>
        <v/>
      </c>
      <c r="CS34" s="43" t="str">
        <f t="shared" si="37"/>
        <v/>
      </c>
      <c r="CT34" s="44"/>
      <c r="CU34" s="40"/>
      <c r="CV34" s="41"/>
      <c r="CW34" s="42" t="str">
        <f t="shared" si="38"/>
        <v/>
      </c>
      <c r="CX34" s="43" t="str">
        <f t="shared" si="39"/>
        <v/>
      </c>
      <c r="CY34" s="44"/>
      <c r="CZ34" s="40"/>
      <c r="DA34" s="41"/>
      <c r="DB34" s="42" t="str">
        <f t="shared" si="40"/>
        <v/>
      </c>
      <c r="DC34" s="43" t="str">
        <f t="shared" si="41"/>
        <v/>
      </c>
      <c r="DD34" s="44"/>
      <c r="DE34" s="40"/>
      <c r="DF34" s="41"/>
      <c r="DG34" s="42" t="str">
        <f t="shared" si="42"/>
        <v/>
      </c>
      <c r="DH34" s="43" t="str">
        <f t="shared" si="43"/>
        <v/>
      </c>
      <c r="DI34" s="44"/>
      <c r="DJ34" s="40"/>
      <c r="DK34" s="41"/>
      <c r="DL34" s="42" t="str">
        <f t="shared" si="44"/>
        <v/>
      </c>
      <c r="DM34" s="43" t="str">
        <f t="shared" si="45"/>
        <v/>
      </c>
      <c r="DN34" s="44"/>
      <c r="DO34" s="40"/>
      <c r="DP34" s="41"/>
      <c r="DQ34" s="42" t="str">
        <f t="shared" si="46"/>
        <v/>
      </c>
      <c r="DR34" s="43" t="str">
        <f t="shared" si="47"/>
        <v/>
      </c>
      <c r="DS34" s="44"/>
      <c r="DT34" s="40"/>
      <c r="DU34" s="41"/>
      <c r="DV34" s="42" t="str">
        <f t="shared" si="48"/>
        <v/>
      </c>
      <c r="DW34" s="43" t="str">
        <f t="shared" si="49"/>
        <v/>
      </c>
      <c r="DX34" s="44"/>
      <c r="DY34" s="40"/>
      <c r="DZ34" s="41"/>
      <c r="EA34" s="42" t="str">
        <f t="shared" si="50"/>
        <v/>
      </c>
      <c r="EB34" s="43" t="str">
        <f t="shared" si="51"/>
        <v/>
      </c>
      <c r="EC34" s="44"/>
      <c r="ED34" s="40"/>
      <c r="EE34" s="41"/>
      <c r="EF34" s="42" t="str">
        <f t="shared" si="52"/>
        <v/>
      </c>
      <c r="EG34" s="43" t="str">
        <f t="shared" si="53"/>
        <v/>
      </c>
      <c r="EH34" s="44"/>
      <c r="EI34" s="40"/>
      <c r="EJ34" s="41"/>
      <c r="EK34" s="42" t="str">
        <f t="shared" si="54"/>
        <v/>
      </c>
      <c r="EL34" s="43" t="str">
        <f t="shared" si="55"/>
        <v/>
      </c>
      <c r="EM34" s="44"/>
      <c r="EN34" s="40"/>
      <c r="EO34" s="41"/>
      <c r="EP34" s="42" t="str">
        <f t="shared" si="56"/>
        <v/>
      </c>
      <c r="EQ34" s="43" t="str">
        <f t="shared" si="57"/>
        <v/>
      </c>
      <c r="ER34" s="44"/>
      <c r="ES34" s="40"/>
      <c r="ET34" s="41"/>
      <c r="EU34" s="42" t="str">
        <f t="shared" si="58"/>
        <v/>
      </c>
      <c r="EV34" s="43" t="str">
        <f t="shared" si="5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0</v>
      </c>
      <c r="E35" s="94"/>
      <c r="F35" s="94"/>
      <c r="G35" s="94"/>
      <c r="H35" s="94"/>
      <c r="I35" s="94">
        <f>COUNTIF(K4:K34,"○")</f>
        <v>0</v>
      </c>
      <c r="J35" s="94"/>
      <c r="K35" s="94"/>
      <c r="L35" s="94"/>
      <c r="M35" s="94"/>
      <c r="N35" s="94">
        <f>COUNTIF(P4:P34,"○")</f>
        <v>0</v>
      </c>
      <c r="O35" s="94"/>
      <c r="P35" s="94"/>
      <c r="Q35" s="94"/>
      <c r="R35" s="94"/>
      <c r="S35" s="94">
        <f>COUNTIF(U4:U34,"○")</f>
        <v>0</v>
      </c>
      <c r="T35" s="94"/>
      <c r="U35" s="94"/>
      <c r="V35" s="94"/>
      <c r="W35" s="94"/>
      <c r="X35" s="94">
        <f>COUNTIF(Z4:Z34,"○")</f>
        <v>0</v>
      </c>
      <c r="Y35" s="94"/>
      <c r="Z35" s="94"/>
      <c r="AA35" s="94"/>
      <c r="AB35" s="94"/>
      <c r="AC35" s="94">
        <f>COUNTIF(AE4:AE34,"○")</f>
        <v>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0</v>
      </c>
      <c r="E37" s="98"/>
      <c r="F37" s="98"/>
      <c r="G37" s="98"/>
      <c r="H37" s="98"/>
      <c r="I37" s="98">
        <f>I35+I36</f>
        <v>0</v>
      </c>
      <c r="J37" s="98"/>
      <c r="K37" s="98"/>
      <c r="L37" s="98"/>
      <c r="M37" s="98"/>
      <c r="N37" s="98">
        <f>N35+N36</f>
        <v>0</v>
      </c>
      <c r="O37" s="98"/>
      <c r="P37" s="98"/>
      <c r="Q37" s="98"/>
      <c r="R37" s="98"/>
      <c r="S37" s="98">
        <f>S35+S36</f>
        <v>0</v>
      </c>
      <c r="T37" s="98"/>
      <c r="U37" s="98"/>
      <c r="V37" s="98"/>
      <c r="W37" s="98"/>
      <c r="X37" s="98">
        <f>X35+X36</f>
        <v>0</v>
      </c>
      <c r="Y37" s="98"/>
      <c r="Z37" s="98"/>
      <c r="AA37" s="98"/>
      <c r="AB37" s="98"/>
      <c r="AC37" s="98">
        <f>AC35+AC36</f>
        <v>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0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442" priority="63">
      <formula>$B4="日"</formula>
    </cfRule>
    <cfRule type="expression" dxfId="441" priority="64">
      <formula>$B4="土"</formula>
    </cfRule>
    <cfRule type="expression" dxfId="440" priority="62">
      <formula>AND($A4&lt;&gt;"",ISNUMBER(MATCH(DATE(対象年度,7,$A4),祝日リスト,0)))</formula>
    </cfRule>
  </conditionalFormatting>
  <conditionalFormatting sqref="D4:D34">
    <cfRule type="expression" dxfId="439" priority="3">
      <formula>$D4="休業"</formula>
    </cfRule>
    <cfRule type="expression" dxfId="438" priority="2">
      <formula>$D4="有給"</formula>
    </cfRule>
  </conditionalFormatting>
  <conditionalFormatting sqref="I4:I34">
    <cfRule type="expression" dxfId="437" priority="4">
      <formula>$I4="有給"</formula>
    </cfRule>
    <cfRule type="expression" dxfId="436" priority="5">
      <formula>$I4="休業"</formula>
    </cfRule>
  </conditionalFormatting>
  <conditionalFormatting sqref="N4:N34">
    <cfRule type="expression" dxfId="435" priority="6">
      <formula>$N4="有給"</formula>
    </cfRule>
    <cfRule type="expression" dxfId="434" priority="7">
      <formula>$N4="休業"</formula>
    </cfRule>
  </conditionalFormatting>
  <conditionalFormatting sqref="S4:S34">
    <cfRule type="expression" dxfId="433" priority="8">
      <formula>$S4="有給"</formula>
    </cfRule>
    <cfRule type="expression" dxfId="432" priority="9">
      <formula>$S4="休業"</formula>
    </cfRule>
  </conditionalFormatting>
  <conditionalFormatting sqref="X4:X34">
    <cfRule type="expression" dxfId="431" priority="10">
      <formula>$X4="有給"</formula>
    </cfRule>
    <cfRule type="expression" dxfId="430" priority="11">
      <formula>$X4="休業"</formula>
    </cfRule>
  </conditionalFormatting>
  <conditionalFormatting sqref="AC4:AC34">
    <cfRule type="expression" dxfId="429" priority="12">
      <formula>$AC4="有給"</formula>
    </cfRule>
    <cfRule type="expression" dxfId="428" priority="13">
      <formula>$AC4="休業"</formula>
    </cfRule>
  </conditionalFormatting>
  <conditionalFormatting sqref="AH4:AH34">
    <cfRule type="expression" dxfId="427" priority="14">
      <formula>$AH4="有給"</formula>
    </cfRule>
    <cfRule type="expression" dxfId="426" priority="15">
      <formula>$AH4="休業"</formula>
    </cfRule>
  </conditionalFormatting>
  <conditionalFormatting sqref="AM4:AM34">
    <cfRule type="expression" dxfId="425" priority="17">
      <formula>$AM4="休業"</formula>
    </cfRule>
    <cfRule type="expression" dxfId="424" priority="16">
      <formula>$AM4="有給"</formula>
    </cfRule>
  </conditionalFormatting>
  <conditionalFormatting sqref="AR4:AR34">
    <cfRule type="expression" dxfId="423" priority="19">
      <formula>$AR4="休業"</formula>
    </cfRule>
    <cfRule type="expression" dxfId="422" priority="18">
      <formula>$AR4="有給"</formula>
    </cfRule>
  </conditionalFormatting>
  <conditionalFormatting sqref="AW4:AW34">
    <cfRule type="expression" dxfId="421" priority="20">
      <formula>$AW4="有給"</formula>
    </cfRule>
    <cfRule type="expression" dxfId="420" priority="21">
      <formula>$AW4="休業"</formula>
    </cfRule>
  </conditionalFormatting>
  <conditionalFormatting sqref="BB4:BB34">
    <cfRule type="expression" dxfId="419" priority="22">
      <formula>$BB4="有給"</formula>
    </cfRule>
    <cfRule type="expression" dxfId="418" priority="23">
      <formula>$BB4="休業"</formula>
    </cfRule>
  </conditionalFormatting>
  <conditionalFormatting sqref="BG4:BG34">
    <cfRule type="expression" dxfId="417" priority="24">
      <formula>$BG4="有給"</formula>
    </cfRule>
    <cfRule type="expression" dxfId="416" priority="25">
      <formula>$BG4="休業"</formula>
    </cfRule>
  </conditionalFormatting>
  <conditionalFormatting sqref="BL4:BL34">
    <cfRule type="expression" dxfId="415" priority="26">
      <formula>$BL4="有給"</formula>
    </cfRule>
    <cfRule type="expression" dxfId="414" priority="27">
      <formula>$BL4="休業"</formula>
    </cfRule>
  </conditionalFormatting>
  <conditionalFormatting sqref="BQ4:BQ34">
    <cfRule type="expression" dxfId="413" priority="28">
      <formula>$BQ4="有給"</formula>
    </cfRule>
    <cfRule type="expression" dxfId="412" priority="29">
      <formula>$BQ4="休業"</formula>
    </cfRule>
  </conditionalFormatting>
  <conditionalFormatting sqref="BV4:BV34">
    <cfRule type="expression" dxfId="411" priority="30">
      <formula>$BV4="有給"</formula>
    </cfRule>
    <cfRule type="expression" dxfId="410" priority="31">
      <formula>$BV4="休業"</formula>
    </cfRule>
  </conditionalFormatting>
  <conditionalFormatting sqref="CA4:CA34">
    <cfRule type="expression" dxfId="409" priority="33">
      <formula>$CA4="休業"</formula>
    </cfRule>
    <cfRule type="expression" dxfId="408" priority="32">
      <formula>$CA4="有給"</formula>
    </cfRule>
  </conditionalFormatting>
  <conditionalFormatting sqref="CF4:CF34">
    <cfRule type="expression" dxfId="407" priority="34">
      <formula>$CF4="有給"</formula>
    </cfRule>
    <cfRule type="expression" dxfId="406" priority="35">
      <formula>$CF4="休業"</formula>
    </cfRule>
  </conditionalFormatting>
  <conditionalFormatting sqref="CK4:CK34">
    <cfRule type="expression" dxfId="405" priority="37">
      <formula>$CK4="休業"</formula>
    </cfRule>
    <cfRule type="expression" dxfId="404" priority="36">
      <formula>$CK4="有給"</formula>
    </cfRule>
  </conditionalFormatting>
  <conditionalFormatting sqref="CP4:CP34">
    <cfRule type="expression" dxfId="403" priority="38">
      <formula>$CP4="有給"</formula>
    </cfRule>
    <cfRule type="expression" dxfId="402" priority="39">
      <formula>$CP4="休業"</formula>
    </cfRule>
  </conditionalFormatting>
  <conditionalFormatting sqref="CU4:CU34">
    <cfRule type="expression" dxfId="401" priority="40">
      <formula>$CU4="有給"</formula>
    </cfRule>
    <cfRule type="expression" dxfId="400" priority="41">
      <formula>$CU4="休業"</formula>
    </cfRule>
  </conditionalFormatting>
  <conditionalFormatting sqref="CZ4:CZ34">
    <cfRule type="expression" dxfId="399" priority="42">
      <formula>$CZ4="有給"</formula>
    </cfRule>
    <cfRule type="expression" dxfId="398" priority="43">
      <formula>$CZ4="休業"</formula>
    </cfRule>
  </conditionalFormatting>
  <conditionalFormatting sqref="DE4:DE34">
    <cfRule type="expression" dxfId="397" priority="44">
      <formula>$DE4="有給"</formula>
    </cfRule>
    <cfRule type="expression" dxfId="396" priority="45">
      <formula>$DE4="休業"</formula>
    </cfRule>
  </conditionalFormatting>
  <conditionalFormatting sqref="DJ4:DJ34">
    <cfRule type="expression" dxfId="395" priority="46">
      <formula>$DJ4="有給"</formula>
    </cfRule>
    <cfRule type="expression" dxfId="394" priority="47">
      <formula>$DJ4="休業"</formula>
    </cfRule>
  </conditionalFormatting>
  <conditionalFormatting sqref="DO4:DO34">
    <cfRule type="expression" dxfId="393" priority="48">
      <formula>$DO4="有給"</formula>
    </cfRule>
    <cfRule type="expression" dxfId="392" priority="49">
      <formula>$DO4="休業"</formula>
    </cfRule>
  </conditionalFormatting>
  <conditionalFormatting sqref="DT4:DT34">
    <cfRule type="expression" dxfId="391" priority="51">
      <formula>$DT4="休業"</formula>
    </cfRule>
    <cfRule type="expression" dxfId="390" priority="50">
      <formula>$DT4="有給"</formula>
    </cfRule>
  </conditionalFormatting>
  <conditionalFormatting sqref="DY4:DY34">
    <cfRule type="expression" dxfId="389" priority="52">
      <formula>$DY4="有給"</formula>
    </cfRule>
    <cfRule type="expression" dxfId="388" priority="53">
      <formula>$DY4="休業"</formula>
    </cfRule>
  </conditionalFormatting>
  <conditionalFormatting sqref="ED4:ED34">
    <cfRule type="expression" dxfId="387" priority="54">
      <formula>$ED4="有給"</formula>
    </cfRule>
    <cfRule type="expression" dxfId="386" priority="55">
      <formula>$ED4="休業"</formula>
    </cfRule>
  </conditionalFormatting>
  <conditionalFormatting sqref="EI4:EI34">
    <cfRule type="expression" dxfId="385" priority="56">
      <formula>$EI4="有給"</formula>
    </cfRule>
    <cfRule type="expression" dxfId="384" priority="57">
      <formula>$EI4="休業"</formula>
    </cfRule>
  </conditionalFormatting>
  <conditionalFormatting sqref="EN4:EN34">
    <cfRule type="expression" dxfId="383" priority="58">
      <formula>$EN4="有給"</formula>
    </cfRule>
    <cfRule type="expression" dxfId="382" priority="59">
      <formula>$EN4="休業"</formula>
    </cfRule>
  </conditionalFormatting>
  <conditionalFormatting sqref="ES4:ES34">
    <cfRule type="expression" dxfId="381" priority="60">
      <formula>$ES4="有給"</formula>
    </cfRule>
    <cfRule type="expression" dxfId="380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9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EW4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8月分　出面表　"</f>
        <v xml:space="preserve"> 2026年 8月分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IFERROR(IF(従業員マスタ!$C$4="","",対象年度&amp;"年8月　"&amp;従業員マスタ!$C$4),"")</f>
        <v>2026年8月　建設　太郎</v>
      </c>
      <c r="E2" s="92"/>
      <c r="F2" s="92"/>
      <c r="G2" s="92"/>
      <c r="H2" s="92"/>
      <c r="I2" s="92" t="str">
        <f>IFERROR(IF(従業員マスタ!$C$5="","",対象年度&amp;"年8月　"&amp;従業員マスタ!$C$5),"")</f>
        <v>2026年8月　配管　次郎</v>
      </c>
      <c r="J2" s="92"/>
      <c r="K2" s="92"/>
      <c r="L2" s="92"/>
      <c r="M2" s="92"/>
      <c r="N2" s="92" t="str">
        <f>IFERROR(IF(従業員マスタ!$C$6="","",対象年度&amp;"年8月　"&amp;従業員マスタ!$C$6),"")</f>
        <v>2026年8月　設備　一郎</v>
      </c>
      <c r="O2" s="92"/>
      <c r="P2" s="92"/>
      <c r="Q2" s="92"/>
      <c r="R2" s="92"/>
      <c r="S2" s="92" t="str">
        <f>IFERROR(IF(従業員マスタ!$C$7="","",対象年度&amp;"年8月　"&amp;従業員マスタ!$C$7),"")</f>
        <v>2026年8月　土木　三郎</v>
      </c>
      <c r="T2" s="92"/>
      <c r="U2" s="92"/>
      <c r="V2" s="92"/>
      <c r="W2" s="92"/>
      <c r="X2" s="92" t="str">
        <f>IFERROR(IF(従業員マスタ!$C$8="","",対象年度&amp;"年8月　"&amp;従業員マスタ!$C$8),"")</f>
        <v>2026年8月　塗装　史郎</v>
      </c>
      <c r="Y2" s="92"/>
      <c r="Z2" s="92"/>
      <c r="AA2" s="92"/>
      <c r="AB2" s="92"/>
      <c r="AC2" s="92" t="str">
        <f>IFERROR(IF(従業員マスタ!$C$9="","",対象年度&amp;"年8月　"&amp;従業員マスタ!$C$9),"")</f>
        <v>2026年8月　電工　五郎</v>
      </c>
      <c r="AD2" s="92"/>
      <c r="AE2" s="92"/>
      <c r="AF2" s="92"/>
      <c r="AG2" s="92"/>
      <c r="AH2" s="92" t="str">
        <f>IFERROR(IF(従業員マスタ!$C$10="","",対象年度&amp;"年8月　"&amp;従業員マスタ!$C$10),"")</f>
        <v>2026年8月　現場　花子</v>
      </c>
      <c r="AI2" s="92"/>
      <c r="AJ2" s="92"/>
      <c r="AK2" s="92"/>
      <c r="AL2" s="92"/>
      <c r="AM2" s="92" t="str">
        <f>IFERROR(IF(従業員マスタ!$C$11="","",対象年度&amp;"年8月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IFERROR(IF(従業員マスタ!$C$12="","",対象年度&amp;"年8月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IFERROR(IF(従業員マスタ!$C$13="","",対象年度&amp;"年8月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IFERROR(IF(従業員マスタ!$C$14="","",対象年度&amp;"年8月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IFERROR(IF(従業員マスタ!$C$15="","",対象年度&amp;"年8月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IFERROR(IF(従業員マスタ!$C$16="","",対象年度&amp;"年8月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IFERROR(IF(従業員マスタ!$C$17="","",対象年度&amp;"年8月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IFERROR(IF(従業員マスタ!$C$18="","",対象年度&amp;"年8月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IFERROR(IF(従業員マスタ!$C$19="","",対象年度&amp;"年8月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IFERROR(IF(従業員マスタ!$C$20="","",対象年度&amp;"年8月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IFERROR(IF(従業員マスタ!$C$21="","",対象年度&amp;"年8月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IFERROR(IF(従業員マスタ!$C$22="","",対象年度&amp;"年8月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IFERROR(IF(従業員マスタ!$C$23="","",対象年度&amp;"年8月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IFERROR(IF(従業員マスタ!$C$24="","",対象年度&amp;"年8月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IFERROR(IF(従業員マスタ!$C$25="","",対象年度&amp;"年8月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IFERROR(IF(従業員マスタ!$C$26="","",対象年度&amp;"年8月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IFERROR(IF(従業員マスタ!$C$27="","",対象年度&amp;"年8月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IFERROR(IF(従業員マスタ!$C$28="","",対象年度&amp;"年8月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IFERROR(IF(従業員マスタ!$C$29="","",対象年度&amp;"年8月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IFERROR(IF(従業員マスタ!$C$30="","",対象年度&amp;"年8月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IFERROR(IF(従業員マスタ!$C$31="","",対象年度&amp;"年8月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IFERROR(IF(従業員マスタ!$C$32="","",対象年度&amp;"年8月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IFERROR(IF(従業員マスタ!$C$33="","",対象年度&amp;"年8月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IF(DAY(DATE(対象年度,8,1))&lt;&gt;1,"",1)</f>
        <v>1</v>
      </c>
      <c r="B4" s="26" t="str">
        <f>IF(DAY(DATE(対象年度,8,1))&lt;&gt;1,"",CHOOSE(WEEKDAY(DATE(対象年度,8,1),2),"月","火","水","木","金","土","日"))</f>
        <v>土</v>
      </c>
      <c r="C4" s="26" t="str">
        <f>IF(DAY(DATE(対象年度,8,1))&lt;&gt;1,"",IF(ISNUMBER(MATCH(DATE(対象年度,8,1),祝日リスト,0)),"祝",""))</f>
        <v/>
      </c>
      <c r="D4" s="27"/>
      <c r="E4" s="28"/>
      <c r="F4" s="29" t="str">
        <f t="shared" ref="F4:F34" si="0">IF(D4="","",IF(ISNUMBER(SEARCH("夜勤",D4)),"",IF(A4="","","○")))</f>
        <v/>
      </c>
      <c r="G4" s="30" t="str">
        <f t="shared" ref="G4:G34" si="1">IF(A4="","",IF(OR(AND(E4&lt;&gt;"",NOT(OR(E4="有給",E4="休業"))),ISNUMBER(SEARCH("夜勤",D4))),"○",""))</f>
        <v/>
      </c>
      <c r="H4" s="31"/>
      <c r="I4" s="27"/>
      <c r="J4" s="28"/>
      <c r="K4" s="29" t="str">
        <f t="shared" ref="K4:K34" si="2">IF(I4="","",IF(ISNUMBER(SEARCH("夜勤",I4)),"",IF(A4="","","○")))</f>
        <v/>
      </c>
      <c r="L4" s="30" t="str">
        <f t="shared" ref="L4:L34" si="3">IF(A4="","",IF(OR(AND(J4&lt;&gt;"",NOT(OR(J4="有給",J4="休業"))),ISNUMBER(SEARCH("夜勤",I4))),"○",""))</f>
        <v/>
      </c>
      <c r="M4" s="31"/>
      <c r="N4" s="27"/>
      <c r="O4" s="28"/>
      <c r="P4" s="29" t="str">
        <f t="shared" ref="P4:P34" si="4">IF(N4="","",IF(ISNUMBER(SEARCH("夜勤",N4)),"",IF(A4="","","○")))</f>
        <v/>
      </c>
      <c r="Q4" s="30" t="str">
        <f t="shared" ref="Q4:Q34" si="5">IF(A4="","",IF(OR(AND(O4&lt;&gt;"",NOT(OR(O4="有給",O4="休業"))),ISNUMBER(SEARCH("夜勤",N4))),"○",""))</f>
        <v/>
      </c>
      <c r="R4" s="31"/>
      <c r="S4" s="27"/>
      <c r="T4" s="28"/>
      <c r="U4" s="29" t="str">
        <f t="shared" ref="U4:U34" si="6">IF(S4="","",IF(ISNUMBER(SEARCH("夜勤",S4)),"",IF(A4="","","○")))</f>
        <v/>
      </c>
      <c r="V4" s="30" t="str">
        <f t="shared" ref="V4:V34" si="7">IF(A4="","",IF(OR(AND(T4&lt;&gt;"",NOT(OR(T4="有給",T4="休業"))),ISNUMBER(SEARCH("夜勤",S4))),"○",""))</f>
        <v/>
      </c>
      <c r="W4" s="31"/>
      <c r="X4" s="27"/>
      <c r="Y4" s="28"/>
      <c r="Z4" s="29" t="str">
        <f t="shared" ref="Z4:Z34" si="8">IF(X4="","",IF(ISNUMBER(SEARCH("夜勤",X4)),"",IF(A4="","","○")))</f>
        <v/>
      </c>
      <c r="AA4" s="30" t="str">
        <f t="shared" ref="AA4:AA34" si="9">IF(A4="","",IF(OR(AND(Y4&lt;&gt;"",NOT(OR(Y4="有給",Y4="休業"))),ISNUMBER(SEARCH("夜勤",X4))),"○",""))</f>
        <v/>
      </c>
      <c r="AB4" s="31"/>
      <c r="AC4" s="27"/>
      <c r="AD4" s="28"/>
      <c r="AE4" s="29" t="str">
        <f t="shared" ref="AE4:AE34" si="10">IF(AC4="","",IF(ISNUMBER(SEARCH("夜勤",AC4)),"",IF(A4="","","○")))</f>
        <v/>
      </c>
      <c r="AF4" s="30" t="str">
        <f t="shared" ref="AF4:AF34" si="11">IF(A4="","",IF(OR(AND(AD4&lt;&gt;"",NOT(OR(AD4="有給",AD4="休業"))),ISNUMBER(SEARCH("夜勤",AC4))),"○",""))</f>
        <v/>
      </c>
      <c r="AG4" s="31"/>
      <c r="AH4" s="27"/>
      <c r="AI4" s="28"/>
      <c r="AJ4" s="29" t="str">
        <f t="shared" ref="AJ4:AJ34" si="12">IF(AH4="","",IF(ISNUMBER(SEARCH("夜勤",AH4)),"",IF(A4="","","○")))</f>
        <v/>
      </c>
      <c r="AK4" s="30" t="str">
        <f t="shared" ref="AK4:AK34" si="13">IF(A4="","",IF(OR(AND(AI4&lt;&gt;"",NOT(OR(AI4="有給",AI4="休業"))),ISNUMBER(SEARCH("夜勤",AH4))),"○",""))</f>
        <v/>
      </c>
      <c r="AL4" s="31"/>
      <c r="AM4" s="27"/>
      <c r="AN4" s="28"/>
      <c r="AO4" s="29" t="str">
        <f t="shared" ref="AO4:AO34" si="14">IF(AM4="","",IF(ISNUMBER(SEARCH("夜勤",AM4)),"",IF(A4="","","○")))</f>
        <v/>
      </c>
      <c r="AP4" s="30" t="str">
        <f t="shared" ref="AP4:AP34" si="15">IF(A4="","",IF(OR(AND(AN4&lt;&gt;"",NOT(OR(AN4="有給",AN4="休業"))),ISNUMBER(SEARCH("夜勤",AM4))),"○",""))</f>
        <v/>
      </c>
      <c r="AQ4" s="31"/>
      <c r="AR4" s="27"/>
      <c r="AS4" s="28"/>
      <c r="AT4" s="29" t="str">
        <f t="shared" ref="AT4:AT34" si="16">IF(AR4="","",IF(ISNUMBER(SEARCH("夜勤",AR4)),"",IF(A4="","","○")))</f>
        <v/>
      </c>
      <c r="AU4" s="30" t="str">
        <f t="shared" ref="AU4:AU34" si="17">IF(A4="","",IF(OR(AND(AS4&lt;&gt;"",NOT(OR(AS4="有給",AS4="休業"))),ISNUMBER(SEARCH("夜勤",AR4))),"○",""))</f>
        <v/>
      </c>
      <c r="AV4" s="31"/>
      <c r="AW4" s="27"/>
      <c r="AX4" s="28"/>
      <c r="AY4" s="29" t="str">
        <f t="shared" ref="AY4:AY34" si="18">IF(AW4="","",IF(ISNUMBER(SEARCH("夜勤",AW4)),"",IF(A4="","","○")))</f>
        <v/>
      </c>
      <c r="AZ4" s="30" t="str">
        <f t="shared" ref="AZ4:AZ34" si="19">IF(A4="","",IF(OR(AND(AX4&lt;&gt;"",NOT(OR(AX4="有給",AX4="休業"))),ISNUMBER(SEARCH("夜勤",AW4))),"○",""))</f>
        <v/>
      </c>
      <c r="BA4" s="31"/>
      <c r="BB4" s="27"/>
      <c r="BC4" s="28"/>
      <c r="BD4" s="29" t="str">
        <f t="shared" ref="BD4:BD34" si="20">IF(BB4="","",IF(ISNUMBER(SEARCH("夜勤",BB4)),"",IF(A4="","","○")))</f>
        <v/>
      </c>
      <c r="BE4" s="30" t="str">
        <f t="shared" ref="BE4:BE34" si="21">IF(A4="","",IF(OR(AND(BC4&lt;&gt;"",NOT(OR(BC4="有給",BC4="休業"))),ISNUMBER(SEARCH("夜勤",BB4))),"○",""))</f>
        <v/>
      </c>
      <c r="BF4" s="31"/>
      <c r="BG4" s="27"/>
      <c r="BH4" s="28"/>
      <c r="BI4" s="29" t="str">
        <f t="shared" ref="BI4:BI34" si="22">IF(BG4="","",IF(ISNUMBER(SEARCH("夜勤",BG4)),"",IF(A4="","","○")))</f>
        <v/>
      </c>
      <c r="BJ4" s="30" t="str">
        <f t="shared" ref="BJ4:BJ34" si="2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24">IF(BL4="","",IF(ISNUMBER(SEARCH("夜勤",BL4)),"",IF(A4="","","○")))</f>
        <v/>
      </c>
      <c r="BO4" s="30" t="str">
        <f t="shared" ref="BO4:BO34" si="2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26">IF(BQ4="","",IF(ISNUMBER(SEARCH("夜勤",BQ4)),"",IF(A4="","","○")))</f>
        <v/>
      </c>
      <c r="BT4" s="30" t="str">
        <f t="shared" ref="BT4:BT34" si="2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28">IF(BV4="","",IF(ISNUMBER(SEARCH("夜勤",BV4)),"",IF(A4="","","○")))</f>
        <v/>
      </c>
      <c r="BY4" s="30" t="str">
        <f t="shared" ref="BY4:BY34" si="2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30">IF(CA4="","",IF(ISNUMBER(SEARCH("夜勤",CA4)),"",IF(A4="","","○")))</f>
        <v/>
      </c>
      <c r="CD4" s="30" t="str">
        <f t="shared" ref="CD4:CD34" si="3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32">IF(CF4="","",IF(ISNUMBER(SEARCH("夜勤",CF4)),"",IF(A4="","","○")))</f>
        <v/>
      </c>
      <c r="CI4" s="30" t="str">
        <f t="shared" ref="CI4:CI34" si="3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34">IF(CK4="","",IF(ISNUMBER(SEARCH("夜勤",CK4)),"",IF(A4="","","○")))</f>
        <v/>
      </c>
      <c r="CN4" s="30" t="str">
        <f t="shared" ref="CN4:CN34" si="3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36">IF(CP4="","",IF(ISNUMBER(SEARCH("夜勤",CP4)),"",IF(A4="","","○")))</f>
        <v/>
      </c>
      <c r="CS4" s="30" t="str">
        <f t="shared" ref="CS4:CS34" si="3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38">IF(CU4="","",IF(ISNUMBER(SEARCH("夜勤",CU4)),"",IF(A4="","","○")))</f>
        <v/>
      </c>
      <c r="CX4" s="30" t="str">
        <f t="shared" ref="CX4:CX34" si="3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40">IF(CZ4="","",IF(ISNUMBER(SEARCH("夜勤",CZ4)),"",IF(A4="","","○")))</f>
        <v/>
      </c>
      <c r="DC4" s="30" t="str">
        <f t="shared" ref="DC4:DC34" si="4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42">IF(DE4="","",IF(ISNUMBER(SEARCH("夜勤",DE4)),"",IF(A4="","","○")))</f>
        <v/>
      </c>
      <c r="DH4" s="30" t="str">
        <f t="shared" ref="DH4:DH34" si="4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44">IF(DJ4="","",IF(ISNUMBER(SEARCH("夜勤",DJ4)),"",IF(A4="","","○")))</f>
        <v/>
      </c>
      <c r="DM4" s="30" t="str">
        <f t="shared" ref="DM4:DM34" si="4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46">IF(DO4="","",IF(ISNUMBER(SEARCH("夜勤",DO4)),"",IF(A4="","","○")))</f>
        <v/>
      </c>
      <c r="DR4" s="30" t="str">
        <f t="shared" ref="DR4:DR34" si="4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48">IF(DT4="","",IF(ISNUMBER(SEARCH("夜勤",DT4)),"",IF(A4="","","○")))</f>
        <v/>
      </c>
      <c r="DW4" s="30" t="str">
        <f t="shared" ref="DW4:DW34" si="4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50">IF(DY4="","",IF(ISNUMBER(SEARCH("夜勤",DY4)),"",IF(A4="","","○")))</f>
        <v/>
      </c>
      <c r="EB4" s="30" t="str">
        <f t="shared" ref="EB4:EB34" si="5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52">IF(ED4="","",IF(ISNUMBER(SEARCH("夜勤",ED4)),"",IF(A4="","","○")))</f>
        <v/>
      </c>
      <c r="EG4" s="30" t="str">
        <f t="shared" ref="EG4:EG34" si="5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54">IF(EI4="","",IF(ISNUMBER(SEARCH("夜勤",EI4)),"",IF(A4="","","○")))</f>
        <v/>
      </c>
      <c r="EL4" s="30" t="str">
        <f t="shared" ref="EL4:EL34" si="5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56">IF(EN4="","",IF(ISNUMBER(SEARCH("夜勤",EN4)),"",IF(A4="","","○")))</f>
        <v/>
      </c>
      <c r="EQ4" s="30" t="str">
        <f t="shared" ref="EQ4:EQ34" si="5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58">IF(ES4="","",IF(ISNUMBER(SEARCH("夜勤",ES4)),"",IF(A4="","","○")))</f>
        <v/>
      </c>
      <c r="EV4" s="30" t="str">
        <f t="shared" ref="EV4:EV34" si="5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IF(DAY(DATE(対象年度,8,2))&lt;&gt;2,"",2)</f>
        <v>2</v>
      </c>
      <c r="B5" s="32" t="str">
        <f>IF(DAY(DATE(対象年度,8,2))&lt;&gt;2,"",CHOOSE(WEEKDAY(DATE(対象年度,8,2),2),"月","火","水","木","金","土","日"))</f>
        <v>日</v>
      </c>
      <c r="C5" s="32" t="str">
        <f>IF(DAY(DATE(対象年度,8,2))&lt;&gt;2,"",IF(ISNUMBER(MATCH(DATE(対象年度,8,2),祝日リスト,0)),"祝",""))</f>
        <v/>
      </c>
      <c r="D5" s="33"/>
      <c r="E5" s="34"/>
      <c r="F5" s="35" t="str">
        <f t="shared" si="0"/>
        <v/>
      </c>
      <c r="G5" s="36" t="str">
        <f t="shared" si="1"/>
        <v/>
      </c>
      <c r="H5" s="37"/>
      <c r="I5" s="33"/>
      <c r="J5" s="34"/>
      <c r="K5" s="35" t="str">
        <f t="shared" si="2"/>
        <v/>
      </c>
      <c r="L5" s="36" t="str">
        <f t="shared" si="3"/>
        <v/>
      </c>
      <c r="M5" s="37"/>
      <c r="N5" s="33"/>
      <c r="O5" s="34"/>
      <c r="P5" s="35" t="str">
        <f t="shared" si="4"/>
        <v/>
      </c>
      <c r="Q5" s="36" t="str">
        <f t="shared" si="5"/>
        <v/>
      </c>
      <c r="R5" s="37"/>
      <c r="S5" s="33"/>
      <c r="T5" s="34"/>
      <c r="U5" s="35" t="str">
        <f t="shared" si="6"/>
        <v/>
      </c>
      <c r="V5" s="36" t="str">
        <f t="shared" si="7"/>
        <v/>
      </c>
      <c r="W5" s="37"/>
      <c r="X5" s="33"/>
      <c r="Y5" s="34"/>
      <c r="Z5" s="35" t="str">
        <f t="shared" si="8"/>
        <v/>
      </c>
      <c r="AA5" s="36" t="str">
        <f t="shared" si="9"/>
        <v/>
      </c>
      <c r="AB5" s="37"/>
      <c r="AC5" s="33"/>
      <c r="AD5" s="34"/>
      <c r="AE5" s="35" t="str">
        <f t="shared" si="10"/>
        <v/>
      </c>
      <c r="AF5" s="36" t="str">
        <f t="shared" si="11"/>
        <v/>
      </c>
      <c r="AG5" s="37"/>
      <c r="AH5" s="33"/>
      <c r="AI5" s="34"/>
      <c r="AJ5" s="35" t="str">
        <f t="shared" si="12"/>
        <v/>
      </c>
      <c r="AK5" s="36" t="str">
        <f t="shared" si="13"/>
        <v/>
      </c>
      <c r="AL5" s="37"/>
      <c r="AM5" s="33"/>
      <c r="AN5" s="34"/>
      <c r="AO5" s="35" t="str">
        <f t="shared" si="14"/>
        <v/>
      </c>
      <c r="AP5" s="36" t="str">
        <f t="shared" si="15"/>
        <v/>
      </c>
      <c r="AQ5" s="37"/>
      <c r="AR5" s="33"/>
      <c r="AS5" s="34"/>
      <c r="AT5" s="35" t="str">
        <f t="shared" si="16"/>
        <v/>
      </c>
      <c r="AU5" s="36" t="str">
        <f t="shared" si="17"/>
        <v/>
      </c>
      <c r="AV5" s="37"/>
      <c r="AW5" s="33"/>
      <c r="AX5" s="34"/>
      <c r="AY5" s="35" t="str">
        <f t="shared" si="18"/>
        <v/>
      </c>
      <c r="AZ5" s="36" t="str">
        <f t="shared" si="19"/>
        <v/>
      </c>
      <c r="BA5" s="37"/>
      <c r="BB5" s="33"/>
      <c r="BC5" s="34"/>
      <c r="BD5" s="35" t="str">
        <f t="shared" si="20"/>
        <v/>
      </c>
      <c r="BE5" s="36" t="str">
        <f t="shared" si="21"/>
        <v/>
      </c>
      <c r="BF5" s="37"/>
      <c r="BG5" s="33"/>
      <c r="BH5" s="34"/>
      <c r="BI5" s="35" t="str">
        <f t="shared" si="22"/>
        <v/>
      </c>
      <c r="BJ5" s="36" t="str">
        <f t="shared" si="23"/>
        <v/>
      </c>
      <c r="BK5" s="37"/>
      <c r="BL5" s="33"/>
      <c r="BM5" s="34"/>
      <c r="BN5" s="35" t="str">
        <f t="shared" si="24"/>
        <v/>
      </c>
      <c r="BO5" s="36" t="str">
        <f t="shared" si="25"/>
        <v/>
      </c>
      <c r="BP5" s="37"/>
      <c r="BQ5" s="33"/>
      <c r="BR5" s="34"/>
      <c r="BS5" s="35" t="str">
        <f t="shared" si="26"/>
        <v/>
      </c>
      <c r="BT5" s="36" t="str">
        <f t="shared" si="27"/>
        <v/>
      </c>
      <c r="BU5" s="37"/>
      <c r="BV5" s="33"/>
      <c r="BW5" s="34"/>
      <c r="BX5" s="35" t="str">
        <f t="shared" si="28"/>
        <v/>
      </c>
      <c r="BY5" s="36" t="str">
        <f t="shared" si="29"/>
        <v/>
      </c>
      <c r="BZ5" s="37"/>
      <c r="CA5" s="33"/>
      <c r="CB5" s="34"/>
      <c r="CC5" s="35" t="str">
        <f t="shared" si="30"/>
        <v/>
      </c>
      <c r="CD5" s="36" t="str">
        <f t="shared" si="31"/>
        <v/>
      </c>
      <c r="CE5" s="37"/>
      <c r="CF5" s="33"/>
      <c r="CG5" s="34"/>
      <c r="CH5" s="35" t="str">
        <f t="shared" si="32"/>
        <v/>
      </c>
      <c r="CI5" s="36" t="str">
        <f t="shared" si="33"/>
        <v/>
      </c>
      <c r="CJ5" s="37"/>
      <c r="CK5" s="33"/>
      <c r="CL5" s="34"/>
      <c r="CM5" s="35" t="str">
        <f t="shared" si="34"/>
        <v/>
      </c>
      <c r="CN5" s="36" t="str">
        <f t="shared" si="35"/>
        <v/>
      </c>
      <c r="CO5" s="37"/>
      <c r="CP5" s="33"/>
      <c r="CQ5" s="34"/>
      <c r="CR5" s="35" t="str">
        <f t="shared" si="36"/>
        <v/>
      </c>
      <c r="CS5" s="36" t="str">
        <f t="shared" si="37"/>
        <v/>
      </c>
      <c r="CT5" s="37"/>
      <c r="CU5" s="33"/>
      <c r="CV5" s="34"/>
      <c r="CW5" s="35" t="str">
        <f t="shared" si="38"/>
        <v/>
      </c>
      <c r="CX5" s="36" t="str">
        <f t="shared" si="39"/>
        <v/>
      </c>
      <c r="CY5" s="37"/>
      <c r="CZ5" s="33"/>
      <c r="DA5" s="34"/>
      <c r="DB5" s="35" t="str">
        <f t="shared" si="40"/>
        <v/>
      </c>
      <c r="DC5" s="36" t="str">
        <f t="shared" si="41"/>
        <v/>
      </c>
      <c r="DD5" s="37"/>
      <c r="DE5" s="33"/>
      <c r="DF5" s="34"/>
      <c r="DG5" s="35" t="str">
        <f t="shared" si="42"/>
        <v/>
      </c>
      <c r="DH5" s="36" t="str">
        <f t="shared" si="43"/>
        <v/>
      </c>
      <c r="DI5" s="37"/>
      <c r="DJ5" s="33"/>
      <c r="DK5" s="34"/>
      <c r="DL5" s="35" t="str">
        <f t="shared" si="44"/>
        <v/>
      </c>
      <c r="DM5" s="36" t="str">
        <f t="shared" si="45"/>
        <v/>
      </c>
      <c r="DN5" s="37"/>
      <c r="DO5" s="33"/>
      <c r="DP5" s="34"/>
      <c r="DQ5" s="35" t="str">
        <f t="shared" si="46"/>
        <v/>
      </c>
      <c r="DR5" s="36" t="str">
        <f t="shared" si="47"/>
        <v/>
      </c>
      <c r="DS5" s="37"/>
      <c r="DT5" s="33"/>
      <c r="DU5" s="34"/>
      <c r="DV5" s="35" t="str">
        <f t="shared" si="48"/>
        <v/>
      </c>
      <c r="DW5" s="36" t="str">
        <f t="shared" si="49"/>
        <v/>
      </c>
      <c r="DX5" s="37"/>
      <c r="DY5" s="33"/>
      <c r="DZ5" s="34"/>
      <c r="EA5" s="35" t="str">
        <f t="shared" si="50"/>
        <v/>
      </c>
      <c r="EB5" s="36" t="str">
        <f t="shared" si="51"/>
        <v/>
      </c>
      <c r="EC5" s="37"/>
      <c r="ED5" s="33"/>
      <c r="EE5" s="34"/>
      <c r="EF5" s="35" t="str">
        <f t="shared" si="52"/>
        <v/>
      </c>
      <c r="EG5" s="36" t="str">
        <f t="shared" si="53"/>
        <v/>
      </c>
      <c r="EH5" s="37"/>
      <c r="EI5" s="33"/>
      <c r="EJ5" s="34"/>
      <c r="EK5" s="35" t="str">
        <f t="shared" si="54"/>
        <v/>
      </c>
      <c r="EL5" s="36" t="str">
        <f t="shared" si="55"/>
        <v/>
      </c>
      <c r="EM5" s="37"/>
      <c r="EN5" s="33"/>
      <c r="EO5" s="34"/>
      <c r="EP5" s="35" t="str">
        <f t="shared" si="56"/>
        <v/>
      </c>
      <c r="EQ5" s="36" t="str">
        <f t="shared" si="57"/>
        <v/>
      </c>
      <c r="ER5" s="37"/>
      <c r="ES5" s="33"/>
      <c r="ET5" s="34"/>
      <c r="EU5" s="35" t="str">
        <f t="shared" si="58"/>
        <v/>
      </c>
      <c r="EV5" s="36" t="str">
        <f t="shared" si="59"/>
        <v/>
      </c>
      <c r="EW5" s="37"/>
    </row>
    <row r="6" spans="1:153" ht="19.5" customHeight="1">
      <c r="A6" s="32">
        <f>IF(DAY(DATE(対象年度,8,3))&lt;&gt;3,"",3)</f>
        <v>3</v>
      </c>
      <c r="B6" s="32" t="str">
        <f>IF(DAY(DATE(対象年度,8,3))&lt;&gt;3,"",CHOOSE(WEEKDAY(DATE(対象年度,8,3),2),"月","火","水","木","金","土","日"))</f>
        <v>月</v>
      </c>
      <c r="C6" s="32" t="str">
        <f>IF(DAY(DATE(対象年度,8,3))&lt;&gt;3,"",IF(ISNUMBER(MATCH(DATE(対象年度,8,3),祝日リスト,0)),"祝",""))</f>
        <v/>
      </c>
      <c r="D6" s="33"/>
      <c r="E6" s="34"/>
      <c r="F6" s="35" t="str">
        <f t="shared" si="0"/>
        <v/>
      </c>
      <c r="G6" s="36" t="str">
        <f t="shared" si="1"/>
        <v/>
      </c>
      <c r="H6" s="37"/>
      <c r="I6" s="33"/>
      <c r="J6" s="34"/>
      <c r="K6" s="35" t="str">
        <f t="shared" si="2"/>
        <v/>
      </c>
      <c r="L6" s="36" t="str">
        <f t="shared" si="3"/>
        <v/>
      </c>
      <c r="M6" s="37"/>
      <c r="N6" s="33"/>
      <c r="O6" s="34"/>
      <c r="P6" s="35" t="str">
        <f t="shared" si="4"/>
        <v/>
      </c>
      <c r="Q6" s="36" t="str">
        <f t="shared" si="5"/>
        <v/>
      </c>
      <c r="R6" s="37"/>
      <c r="S6" s="33"/>
      <c r="T6" s="34"/>
      <c r="U6" s="35" t="str">
        <f t="shared" si="6"/>
        <v/>
      </c>
      <c r="V6" s="36" t="str">
        <f t="shared" si="7"/>
        <v/>
      </c>
      <c r="W6" s="37"/>
      <c r="X6" s="33"/>
      <c r="Y6" s="34"/>
      <c r="Z6" s="35" t="str">
        <f t="shared" si="8"/>
        <v/>
      </c>
      <c r="AA6" s="36" t="str">
        <f t="shared" si="9"/>
        <v/>
      </c>
      <c r="AB6" s="37"/>
      <c r="AC6" s="33"/>
      <c r="AD6" s="34"/>
      <c r="AE6" s="35" t="str">
        <f t="shared" si="10"/>
        <v/>
      </c>
      <c r="AF6" s="36" t="str">
        <f t="shared" si="11"/>
        <v/>
      </c>
      <c r="AG6" s="37"/>
      <c r="AH6" s="33"/>
      <c r="AI6" s="34"/>
      <c r="AJ6" s="35" t="str">
        <f t="shared" si="12"/>
        <v/>
      </c>
      <c r="AK6" s="36" t="str">
        <f t="shared" si="13"/>
        <v/>
      </c>
      <c r="AL6" s="37"/>
      <c r="AM6" s="33"/>
      <c r="AN6" s="34"/>
      <c r="AO6" s="35" t="str">
        <f t="shared" si="14"/>
        <v/>
      </c>
      <c r="AP6" s="36" t="str">
        <f t="shared" si="15"/>
        <v/>
      </c>
      <c r="AQ6" s="37"/>
      <c r="AR6" s="33"/>
      <c r="AS6" s="34"/>
      <c r="AT6" s="35" t="str">
        <f t="shared" si="16"/>
        <v/>
      </c>
      <c r="AU6" s="36" t="str">
        <f t="shared" si="17"/>
        <v/>
      </c>
      <c r="AV6" s="37"/>
      <c r="AW6" s="33"/>
      <c r="AX6" s="34"/>
      <c r="AY6" s="35" t="str">
        <f t="shared" si="18"/>
        <v/>
      </c>
      <c r="AZ6" s="36" t="str">
        <f t="shared" si="19"/>
        <v/>
      </c>
      <c r="BA6" s="37"/>
      <c r="BB6" s="33"/>
      <c r="BC6" s="34"/>
      <c r="BD6" s="35" t="str">
        <f t="shared" si="20"/>
        <v/>
      </c>
      <c r="BE6" s="36" t="str">
        <f t="shared" si="21"/>
        <v/>
      </c>
      <c r="BF6" s="37"/>
      <c r="BG6" s="33"/>
      <c r="BH6" s="34"/>
      <c r="BI6" s="35" t="str">
        <f t="shared" si="22"/>
        <v/>
      </c>
      <c r="BJ6" s="36" t="str">
        <f t="shared" si="23"/>
        <v/>
      </c>
      <c r="BK6" s="37"/>
      <c r="BL6" s="33"/>
      <c r="BM6" s="34"/>
      <c r="BN6" s="35" t="str">
        <f t="shared" si="24"/>
        <v/>
      </c>
      <c r="BO6" s="36" t="str">
        <f t="shared" si="25"/>
        <v/>
      </c>
      <c r="BP6" s="37"/>
      <c r="BQ6" s="33"/>
      <c r="BR6" s="34"/>
      <c r="BS6" s="35" t="str">
        <f t="shared" si="26"/>
        <v/>
      </c>
      <c r="BT6" s="36" t="str">
        <f t="shared" si="27"/>
        <v/>
      </c>
      <c r="BU6" s="37"/>
      <c r="BV6" s="33"/>
      <c r="BW6" s="34"/>
      <c r="BX6" s="35" t="str">
        <f t="shared" si="28"/>
        <v/>
      </c>
      <c r="BY6" s="36" t="str">
        <f t="shared" si="29"/>
        <v/>
      </c>
      <c r="BZ6" s="37"/>
      <c r="CA6" s="33"/>
      <c r="CB6" s="34"/>
      <c r="CC6" s="35" t="str">
        <f t="shared" si="30"/>
        <v/>
      </c>
      <c r="CD6" s="36" t="str">
        <f t="shared" si="31"/>
        <v/>
      </c>
      <c r="CE6" s="37"/>
      <c r="CF6" s="33"/>
      <c r="CG6" s="34"/>
      <c r="CH6" s="35" t="str">
        <f t="shared" si="32"/>
        <v/>
      </c>
      <c r="CI6" s="36" t="str">
        <f t="shared" si="33"/>
        <v/>
      </c>
      <c r="CJ6" s="37"/>
      <c r="CK6" s="33"/>
      <c r="CL6" s="34"/>
      <c r="CM6" s="35" t="str">
        <f t="shared" si="34"/>
        <v/>
      </c>
      <c r="CN6" s="36" t="str">
        <f t="shared" si="35"/>
        <v/>
      </c>
      <c r="CO6" s="37"/>
      <c r="CP6" s="33"/>
      <c r="CQ6" s="34"/>
      <c r="CR6" s="35" t="str">
        <f t="shared" si="36"/>
        <v/>
      </c>
      <c r="CS6" s="36" t="str">
        <f t="shared" si="37"/>
        <v/>
      </c>
      <c r="CT6" s="37"/>
      <c r="CU6" s="33"/>
      <c r="CV6" s="34"/>
      <c r="CW6" s="35" t="str">
        <f t="shared" si="38"/>
        <v/>
      </c>
      <c r="CX6" s="36" t="str">
        <f t="shared" si="39"/>
        <v/>
      </c>
      <c r="CY6" s="37"/>
      <c r="CZ6" s="33"/>
      <c r="DA6" s="34"/>
      <c r="DB6" s="35" t="str">
        <f t="shared" si="40"/>
        <v/>
      </c>
      <c r="DC6" s="36" t="str">
        <f t="shared" si="41"/>
        <v/>
      </c>
      <c r="DD6" s="37"/>
      <c r="DE6" s="33"/>
      <c r="DF6" s="34"/>
      <c r="DG6" s="35" t="str">
        <f t="shared" si="42"/>
        <v/>
      </c>
      <c r="DH6" s="36" t="str">
        <f t="shared" si="43"/>
        <v/>
      </c>
      <c r="DI6" s="37"/>
      <c r="DJ6" s="33"/>
      <c r="DK6" s="34"/>
      <c r="DL6" s="35" t="str">
        <f t="shared" si="44"/>
        <v/>
      </c>
      <c r="DM6" s="36" t="str">
        <f t="shared" si="45"/>
        <v/>
      </c>
      <c r="DN6" s="37"/>
      <c r="DO6" s="33"/>
      <c r="DP6" s="34"/>
      <c r="DQ6" s="35" t="str">
        <f t="shared" si="46"/>
        <v/>
      </c>
      <c r="DR6" s="36" t="str">
        <f t="shared" si="47"/>
        <v/>
      </c>
      <c r="DS6" s="37"/>
      <c r="DT6" s="33"/>
      <c r="DU6" s="34"/>
      <c r="DV6" s="35" t="str">
        <f t="shared" si="48"/>
        <v/>
      </c>
      <c r="DW6" s="36" t="str">
        <f t="shared" si="49"/>
        <v/>
      </c>
      <c r="DX6" s="37"/>
      <c r="DY6" s="33"/>
      <c r="DZ6" s="34"/>
      <c r="EA6" s="35" t="str">
        <f t="shared" si="50"/>
        <v/>
      </c>
      <c r="EB6" s="36" t="str">
        <f t="shared" si="51"/>
        <v/>
      </c>
      <c r="EC6" s="37"/>
      <c r="ED6" s="33"/>
      <c r="EE6" s="34"/>
      <c r="EF6" s="35" t="str">
        <f t="shared" si="52"/>
        <v/>
      </c>
      <c r="EG6" s="36" t="str">
        <f t="shared" si="53"/>
        <v/>
      </c>
      <c r="EH6" s="37"/>
      <c r="EI6" s="33"/>
      <c r="EJ6" s="34"/>
      <c r="EK6" s="35" t="str">
        <f t="shared" si="54"/>
        <v/>
      </c>
      <c r="EL6" s="36" t="str">
        <f t="shared" si="55"/>
        <v/>
      </c>
      <c r="EM6" s="37"/>
      <c r="EN6" s="33"/>
      <c r="EO6" s="34"/>
      <c r="EP6" s="35" t="str">
        <f t="shared" si="56"/>
        <v/>
      </c>
      <c r="EQ6" s="36" t="str">
        <f t="shared" si="57"/>
        <v/>
      </c>
      <c r="ER6" s="37"/>
      <c r="ES6" s="33"/>
      <c r="ET6" s="34"/>
      <c r="EU6" s="35" t="str">
        <f t="shared" si="58"/>
        <v/>
      </c>
      <c r="EV6" s="36" t="str">
        <f t="shared" si="59"/>
        <v/>
      </c>
      <c r="EW6" s="37"/>
    </row>
    <row r="7" spans="1:153" ht="19.5" customHeight="1">
      <c r="A7" s="32">
        <f>IF(DAY(DATE(対象年度,8,4))&lt;&gt;4,"",4)</f>
        <v>4</v>
      </c>
      <c r="B7" s="32" t="str">
        <f>IF(DAY(DATE(対象年度,8,4))&lt;&gt;4,"",CHOOSE(WEEKDAY(DATE(対象年度,8,4),2),"月","火","水","木","金","土","日"))</f>
        <v>火</v>
      </c>
      <c r="C7" s="32" t="str">
        <f>IF(DAY(DATE(対象年度,8,4))&lt;&gt;4,"",IF(ISNUMBER(MATCH(DATE(対象年度,8,4),祝日リスト,0)),"祝",""))</f>
        <v/>
      </c>
      <c r="D7" s="33"/>
      <c r="E7" s="34"/>
      <c r="F7" s="35" t="str">
        <f t="shared" si="0"/>
        <v/>
      </c>
      <c r="G7" s="36" t="str">
        <f t="shared" si="1"/>
        <v/>
      </c>
      <c r="H7" s="37"/>
      <c r="I7" s="33"/>
      <c r="J7" s="34"/>
      <c r="K7" s="35" t="str">
        <f t="shared" si="2"/>
        <v/>
      </c>
      <c r="L7" s="36" t="str">
        <f t="shared" si="3"/>
        <v/>
      </c>
      <c r="M7" s="37"/>
      <c r="N7" s="33"/>
      <c r="O7" s="34"/>
      <c r="P7" s="35" t="str">
        <f t="shared" si="4"/>
        <v/>
      </c>
      <c r="Q7" s="36" t="str">
        <f t="shared" si="5"/>
        <v/>
      </c>
      <c r="R7" s="37"/>
      <c r="S7" s="33"/>
      <c r="T7" s="34"/>
      <c r="U7" s="35" t="str">
        <f t="shared" si="6"/>
        <v/>
      </c>
      <c r="V7" s="36" t="str">
        <f t="shared" si="7"/>
        <v/>
      </c>
      <c r="W7" s="37"/>
      <c r="X7" s="33"/>
      <c r="Y7" s="34"/>
      <c r="Z7" s="35" t="str">
        <f t="shared" si="8"/>
        <v/>
      </c>
      <c r="AA7" s="36" t="str">
        <f t="shared" si="9"/>
        <v/>
      </c>
      <c r="AB7" s="37"/>
      <c r="AC7" s="33"/>
      <c r="AD7" s="34"/>
      <c r="AE7" s="35" t="str">
        <f t="shared" si="10"/>
        <v/>
      </c>
      <c r="AF7" s="36" t="str">
        <f t="shared" si="11"/>
        <v/>
      </c>
      <c r="AG7" s="37"/>
      <c r="AH7" s="33"/>
      <c r="AI7" s="34"/>
      <c r="AJ7" s="35" t="str">
        <f t="shared" si="12"/>
        <v/>
      </c>
      <c r="AK7" s="36" t="str">
        <f t="shared" si="13"/>
        <v/>
      </c>
      <c r="AL7" s="37"/>
      <c r="AM7" s="33"/>
      <c r="AN7" s="34"/>
      <c r="AO7" s="35" t="str">
        <f t="shared" si="14"/>
        <v/>
      </c>
      <c r="AP7" s="36" t="str">
        <f t="shared" si="15"/>
        <v/>
      </c>
      <c r="AQ7" s="37"/>
      <c r="AR7" s="33"/>
      <c r="AS7" s="34"/>
      <c r="AT7" s="35" t="str">
        <f t="shared" si="16"/>
        <v/>
      </c>
      <c r="AU7" s="36" t="str">
        <f t="shared" si="17"/>
        <v/>
      </c>
      <c r="AV7" s="37"/>
      <c r="AW7" s="33"/>
      <c r="AX7" s="34"/>
      <c r="AY7" s="35" t="str">
        <f t="shared" si="18"/>
        <v/>
      </c>
      <c r="AZ7" s="36" t="str">
        <f t="shared" si="19"/>
        <v/>
      </c>
      <c r="BA7" s="37"/>
      <c r="BB7" s="33"/>
      <c r="BC7" s="34"/>
      <c r="BD7" s="35" t="str">
        <f t="shared" si="20"/>
        <v/>
      </c>
      <c r="BE7" s="36" t="str">
        <f t="shared" si="21"/>
        <v/>
      </c>
      <c r="BF7" s="37"/>
      <c r="BG7" s="33"/>
      <c r="BH7" s="34"/>
      <c r="BI7" s="35" t="str">
        <f t="shared" si="22"/>
        <v/>
      </c>
      <c r="BJ7" s="36" t="str">
        <f t="shared" si="23"/>
        <v/>
      </c>
      <c r="BK7" s="37"/>
      <c r="BL7" s="33"/>
      <c r="BM7" s="34"/>
      <c r="BN7" s="35" t="str">
        <f t="shared" si="24"/>
        <v/>
      </c>
      <c r="BO7" s="36" t="str">
        <f t="shared" si="25"/>
        <v/>
      </c>
      <c r="BP7" s="37"/>
      <c r="BQ7" s="33"/>
      <c r="BR7" s="34"/>
      <c r="BS7" s="35" t="str">
        <f t="shared" si="26"/>
        <v/>
      </c>
      <c r="BT7" s="36" t="str">
        <f t="shared" si="27"/>
        <v/>
      </c>
      <c r="BU7" s="37"/>
      <c r="BV7" s="33"/>
      <c r="BW7" s="34"/>
      <c r="BX7" s="35" t="str">
        <f t="shared" si="28"/>
        <v/>
      </c>
      <c r="BY7" s="36" t="str">
        <f t="shared" si="29"/>
        <v/>
      </c>
      <c r="BZ7" s="37"/>
      <c r="CA7" s="33"/>
      <c r="CB7" s="34"/>
      <c r="CC7" s="35" t="str">
        <f t="shared" si="30"/>
        <v/>
      </c>
      <c r="CD7" s="36" t="str">
        <f t="shared" si="31"/>
        <v/>
      </c>
      <c r="CE7" s="37"/>
      <c r="CF7" s="33"/>
      <c r="CG7" s="34"/>
      <c r="CH7" s="35" t="str">
        <f t="shared" si="32"/>
        <v/>
      </c>
      <c r="CI7" s="36" t="str">
        <f t="shared" si="33"/>
        <v/>
      </c>
      <c r="CJ7" s="37"/>
      <c r="CK7" s="33"/>
      <c r="CL7" s="34"/>
      <c r="CM7" s="35" t="str">
        <f t="shared" si="34"/>
        <v/>
      </c>
      <c r="CN7" s="36" t="str">
        <f t="shared" si="35"/>
        <v/>
      </c>
      <c r="CO7" s="37"/>
      <c r="CP7" s="33"/>
      <c r="CQ7" s="34"/>
      <c r="CR7" s="35" t="str">
        <f t="shared" si="36"/>
        <v/>
      </c>
      <c r="CS7" s="36" t="str">
        <f t="shared" si="37"/>
        <v/>
      </c>
      <c r="CT7" s="37"/>
      <c r="CU7" s="33"/>
      <c r="CV7" s="34"/>
      <c r="CW7" s="35" t="str">
        <f t="shared" si="38"/>
        <v/>
      </c>
      <c r="CX7" s="36" t="str">
        <f t="shared" si="39"/>
        <v/>
      </c>
      <c r="CY7" s="37"/>
      <c r="CZ7" s="33"/>
      <c r="DA7" s="34"/>
      <c r="DB7" s="35" t="str">
        <f t="shared" si="40"/>
        <v/>
      </c>
      <c r="DC7" s="36" t="str">
        <f t="shared" si="41"/>
        <v/>
      </c>
      <c r="DD7" s="37"/>
      <c r="DE7" s="33"/>
      <c r="DF7" s="34"/>
      <c r="DG7" s="35" t="str">
        <f t="shared" si="42"/>
        <v/>
      </c>
      <c r="DH7" s="36" t="str">
        <f t="shared" si="43"/>
        <v/>
      </c>
      <c r="DI7" s="37"/>
      <c r="DJ7" s="33"/>
      <c r="DK7" s="34"/>
      <c r="DL7" s="35" t="str">
        <f t="shared" si="44"/>
        <v/>
      </c>
      <c r="DM7" s="36" t="str">
        <f t="shared" si="45"/>
        <v/>
      </c>
      <c r="DN7" s="37"/>
      <c r="DO7" s="33"/>
      <c r="DP7" s="34"/>
      <c r="DQ7" s="35" t="str">
        <f t="shared" si="46"/>
        <v/>
      </c>
      <c r="DR7" s="36" t="str">
        <f t="shared" si="47"/>
        <v/>
      </c>
      <c r="DS7" s="37"/>
      <c r="DT7" s="33"/>
      <c r="DU7" s="34"/>
      <c r="DV7" s="35" t="str">
        <f t="shared" si="48"/>
        <v/>
      </c>
      <c r="DW7" s="36" t="str">
        <f t="shared" si="49"/>
        <v/>
      </c>
      <c r="DX7" s="37"/>
      <c r="DY7" s="33"/>
      <c r="DZ7" s="34"/>
      <c r="EA7" s="35" t="str">
        <f t="shared" si="50"/>
        <v/>
      </c>
      <c r="EB7" s="36" t="str">
        <f t="shared" si="51"/>
        <v/>
      </c>
      <c r="EC7" s="37"/>
      <c r="ED7" s="33"/>
      <c r="EE7" s="34"/>
      <c r="EF7" s="35" t="str">
        <f t="shared" si="52"/>
        <v/>
      </c>
      <c r="EG7" s="36" t="str">
        <f t="shared" si="53"/>
        <v/>
      </c>
      <c r="EH7" s="37"/>
      <c r="EI7" s="33"/>
      <c r="EJ7" s="34"/>
      <c r="EK7" s="35" t="str">
        <f t="shared" si="54"/>
        <v/>
      </c>
      <c r="EL7" s="36" t="str">
        <f t="shared" si="55"/>
        <v/>
      </c>
      <c r="EM7" s="37"/>
      <c r="EN7" s="33"/>
      <c r="EO7" s="34"/>
      <c r="EP7" s="35" t="str">
        <f t="shared" si="56"/>
        <v/>
      </c>
      <c r="EQ7" s="36" t="str">
        <f t="shared" si="57"/>
        <v/>
      </c>
      <c r="ER7" s="37"/>
      <c r="ES7" s="33"/>
      <c r="ET7" s="34"/>
      <c r="EU7" s="35" t="str">
        <f t="shared" si="58"/>
        <v/>
      </c>
      <c r="EV7" s="36" t="str">
        <f t="shared" si="59"/>
        <v/>
      </c>
      <c r="EW7" s="37"/>
    </row>
    <row r="8" spans="1:153" ht="19.5" customHeight="1">
      <c r="A8" s="32">
        <f>IF(DAY(DATE(対象年度,8,5))&lt;&gt;5,"",5)</f>
        <v>5</v>
      </c>
      <c r="B8" s="32" t="str">
        <f>IF(DAY(DATE(対象年度,8,5))&lt;&gt;5,"",CHOOSE(WEEKDAY(DATE(対象年度,8,5),2),"月","火","水","木","金","土","日"))</f>
        <v>水</v>
      </c>
      <c r="C8" s="32" t="str">
        <f>IF(DAY(DATE(対象年度,8,5))&lt;&gt;5,"",IF(ISNUMBER(MATCH(DATE(対象年度,8,5),祝日リスト,0)),"祝",""))</f>
        <v/>
      </c>
      <c r="D8" s="33"/>
      <c r="E8" s="34"/>
      <c r="F8" s="35" t="str">
        <f t="shared" si="0"/>
        <v/>
      </c>
      <c r="G8" s="36" t="str">
        <f t="shared" si="1"/>
        <v/>
      </c>
      <c r="H8" s="37"/>
      <c r="I8" s="33"/>
      <c r="J8" s="34"/>
      <c r="K8" s="35" t="str">
        <f t="shared" si="2"/>
        <v/>
      </c>
      <c r="L8" s="36" t="str">
        <f t="shared" si="3"/>
        <v/>
      </c>
      <c r="M8" s="37"/>
      <c r="N8" s="33"/>
      <c r="O8" s="34"/>
      <c r="P8" s="35" t="str">
        <f t="shared" si="4"/>
        <v/>
      </c>
      <c r="Q8" s="36" t="str">
        <f t="shared" si="5"/>
        <v/>
      </c>
      <c r="R8" s="37"/>
      <c r="S8" s="33"/>
      <c r="T8" s="34"/>
      <c r="U8" s="35" t="str">
        <f t="shared" si="6"/>
        <v/>
      </c>
      <c r="V8" s="36" t="str">
        <f t="shared" si="7"/>
        <v/>
      </c>
      <c r="W8" s="37"/>
      <c r="X8" s="33"/>
      <c r="Y8" s="34"/>
      <c r="Z8" s="35" t="str">
        <f t="shared" si="8"/>
        <v/>
      </c>
      <c r="AA8" s="36" t="str">
        <f t="shared" si="9"/>
        <v/>
      </c>
      <c r="AB8" s="37"/>
      <c r="AC8" s="33"/>
      <c r="AD8" s="34"/>
      <c r="AE8" s="35" t="str">
        <f t="shared" si="10"/>
        <v/>
      </c>
      <c r="AF8" s="36" t="str">
        <f t="shared" si="11"/>
        <v/>
      </c>
      <c r="AG8" s="37"/>
      <c r="AH8" s="33"/>
      <c r="AI8" s="34"/>
      <c r="AJ8" s="35" t="str">
        <f t="shared" si="12"/>
        <v/>
      </c>
      <c r="AK8" s="36" t="str">
        <f t="shared" si="13"/>
        <v/>
      </c>
      <c r="AL8" s="37"/>
      <c r="AM8" s="33"/>
      <c r="AN8" s="34"/>
      <c r="AO8" s="35" t="str">
        <f t="shared" si="14"/>
        <v/>
      </c>
      <c r="AP8" s="36" t="str">
        <f t="shared" si="15"/>
        <v/>
      </c>
      <c r="AQ8" s="37"/>
      <c r="AR8" s="33"/>
      <c r="AS8" s="34"/>
      <c r="AT8" s="35" t="str">
        <f t="shared" si="16"/>
        <v/>
      </c>
      <c r="AU8" s="36" t="str">
        <f t="shared" si="17"/>
        <v/>
      </c>
      <c r="AV8" s="37"/>
      <c r="AW8" s="33"/>
      <c r="AX8" s="34"/>
      <c r="AY8" s="35" t="str">
        <f t="shared" si="18"/>
        <v/>
      </c>
      <c r="AZ8" s="36" t="str">
        <f t="shared" si="19"/>
        <v/>
      </c>
      <c r="BA8" s="37"/>
      <c r="BB8" s="33"/>
      <c r="BC8" s="34"/>
      <c r="BD8" s="35" t="str">
        <f t="shared" si="20"/>
        <v/>
      </c>
      <c r="BE8" s="36" t="str">
        <f t="shared" si="21"/>
        <v/>
      </c>
      <c r="BF8" s="37"/>
      <c r="BG8" s="33"/>
      <c r="BH8" s="34"/>
      <c r="BI8" s="35" t="str">
        <f t="shared" si="22"/>
        <v/>
      </c>
      <c r="BJ8" s="36" t="str">
        <f t="shared" si="23"/>
        <v/>
      </c>
      <c r="BK8" s="37"/>
      <c r="BL8" s="33"/>
      <c r="BM8" s="34"/>
      <c r="BN8" s="35" t="str">
        <f t="shared" si="24"/>
        <v/>
      </c>
      <c r="BO8" s="36" t="str">
        <f t="shared" si="25"/>
        <v/>
      </c>
      <c r="BP8" s="37"/>
      <c r="BQ8" s="33"/>
      <c r="BR8" s="34"/>
      <c r="BS8" s="35" t="str">
        <f t="shared" si="26"/>
        <v/>
      </c>
      <c r="BT8" s="36" t="str">
        <f t="shared" si="27"/>
        <v/>
      </c>
      <c r="BU8" s="37"/>
      <c r="BV8" s="33"/>
      <c r="BW8" s="34"/>
      <c r="BX8" s="35" t="str">
        <f t="shared" si="28"/>
        <v/>
      </c>
      <c r="BY8" s="36" t="str">
        <f t="shared" si="29"/>
        <v/>
      </c>
      <c r="BZ8" s="37"/>
      <c r="CA8" s="33"/>
      <c r="CB8" s="34"/>
      <c r="CC8" s="35" t="str">
        <f t="shared" si="30"/>
        <v/>
      </c>
      <c r="CD8" s="36" t="str">
        <f t="shared" si="31"/>
        <v/>
      </c>
      <c r="CE8" s="37"/>
      <c r="CF8" s="33"/>
      <c r="CG8" s="34"/>
      <c r="CH8" s="35" t="str">
        <f t="shared" si="32"/>
        <v/>
      </c>
      <c r="CI8" s="36" t="str">
        <f t="shared" si="33"/>
        <v/>
      </c>
      <c r="CJ8" s="37"/>
      <c r="CK8" s="33"/>
      <c r="CL8" s="34"/>
      <c r="CM8" s="35" t="str">
        <f t="shared" si="34"/>
        <v/>
      </c>
      <c r="CN8" s="36" t="str">
        <f t="shared" si="35"/>
        <v/>
      </c>
      <c r="CO8" s="37"/>
      <c r="CP8" s="33"/>
      <c r="CQ8" s="34"/>
      <c r="CR8" s="35" t="str">
        <f t="shared" si="36"/>
        <v/>
      </c>
      <c r="CS8" s="36" t="str">
        <f t="shared" si="37"/>
        <v/>
      </c>
      <c r="CT8" s="37"/>
      <c r="CU8" s="33"/>
      <c r="CV8" s="34"/>
      <c r="CW8" s="35" t="str">
        <f t="shared" si="38"/>
        <v/>
      </c>
      <c r="CX8" s="36" t="str">
        <f t="shared" si="39"/>
        <v/>
      </c>
      <c r="CY8" s="37"/>
      <c r="CZ8" s="33"/>
      <c r="DA8" s="34"/>
      <c r="DB8" s="35" t="str">
        <f t="shared" si="40"/>
        <v/>
      </c>
      <c r="DC8" s="36" t="str">
        <f t="shared" si="41"/>
        <v/>
      </c>
      <c r="DD8" s="37"/>
      <c r="DE8" s="33"/>
      <c r="DF8" s="34"/>
      <c r="DG8" s="35" t="str">
        <f t="shared" si="42"/>
        <v/>
      </c>
      <c r="DH8" s="36" t="str">
        <f t="shared" si="43"/>
        <v/>
      </c>
      <c r="DI8" s="37"/>
      <c r="DJ8" s="33"/>
      <c r="DK8" s="34"/>
      <c r="DL8" s="35" t="str">
        <f t="shared" si="44"/>
        <v/>
      </c>
      <c r="DM8" s="36" t="str">
        <f t="shared" si="45"/>
        <v/>
      </c>
      <c r="DN8" s="37"/>
      <c r="DO8" s="33"/>
      <c r="DP8" s="34"/>
      <c r="DQ8" s="35" t="str">
        <f t="shared" si="46"/>
        <v/>
      </c>
      <c r="DR8" s="36" t="str">
        <f t="shared" si="47"/>
        <v/>
      </c>
      <c r="DS8" s="37"/>
      <c r="DT8" s="33"/>
      <c r="DU8" s="34"/>
      <c r="DV8" s="35" t="str">
        <f t="shared" si="48"/>
        <v/>
      </c>
      <c r="DW8" s="36" t="str">
        <f t="shared" si="49"/>
        <v/>
      </c>
      <c r="DX8" s="37"/>
      <c r="DY8" s="33"/>
      <c r="DZ8" s="34"/>
      <c r="EA8" s="35" t="str">
        <f t="shared" si="50"/>
        <v/>
      </c>
      <c r="EB8" s="36" t="str">
        <f t="shared" si="51"/>
        <v/>
      </c>
      <c r="EC8" s="37"/>
      <c r="ED8" s="33"/>
      <c r="EE8" s="34"/>
      <c r="EF8" s="35" t="str">
        <f t="shared" si="52"/>
        <v/>
      </c>
      <c r="EG8" s="36" t="str">
        <f t="shared" si="53"/>
        <v/>
      </c>
      <c r="EH8" s="37"/>
      <c r="EI8" s="33"/>
      <c r="EJ8" s="34"/>
      <c r="EK8" s="35" t="str">
        <f t="shared" si="54"/>
        <v/>
      </c>
      <c r="EL8" s="36" t="str">
        <f t="shared" si="55"/>
        <v/>
      </c>
      <c r="EM8" s="37"/>
      <c r="EN8" s="33"/>
      <c r="EO8" s="34"/>
      <c r="EP8" s="35" t="str">
        <f t="shared" si="56"/>
        <v/>
      </c>
      <c r="EQ8" s="36" t="str">
        <f t="shared" si="57"/>
        <v/>
      </c>
      <c r="ER8" s="37"/>
      <c r="ES8" s="33"/>
      <c r="ET8" s="34"/>
      <c r="EU8" s="35" t="str">
        <f t="shared" si="58"/>
        <v/>
      </c>
      <c r="EV8" s="36" t="str">
        <f t="shared" si="59"/>
        <v/>
      </c>
      <c r="EW8" s="37"/>
    </row>
    <row r="9" spans="1:153" ht="19.5" customHeight="1">
      <c r="A9" s="32">
        <f>IF(DAY(DATE(対象年度,8,6))&lt;&gt;6,"",6)</f>
        <v>6</v>
      </c>
      <c r="B9" s="32" t="str">
        <f>IF(DAY(DATE(対象年度,8,6))&lt;&gt;6,"",CHOOSE(WEEKDAY(DATE(対象年度,8,6),2),"月","火","水","木","金","土","日"))</f>
        <v>木</v>
      </c>
      <c r="C9" s="32" t="str">
        <f>IF(DAY(DATE(対象年度,8,6))&lt;&gt;6,"",IF(ISNUMBER(MATCH(DATE(対象年度,8,6),祝日リスト,0)),"祝",""))</f>
        <v/>
      </c>
      <c r="D9" s="33"/>
      <c r="E9" s="34"/>
      <c r="F9" s="35" t="str">
        <f t="shared" si="0"/>
        <v/>
      </c>
      <c r="G9" s="36" t="str">
        <f t="shared" si="1"/>
        <v/>
      </c>
      <c r="H9" s="37"/>
      <c r="I9" s="33"/>
      <c r="J9" s="34"/>
      <c r="K9" s="35" t="str">
        <f t="shared" si="2"/>
        <v/>
      </c>
      <c r="L9" s="36" t="str">
        <f t="shared" si="3"/>
        <v/>
      </c>
      <c r="M9" s="37"/>
      <c r="N9" s="33"/>
      <c r="O9" s="34"/>
      <c r="P9" s="35" t="str">
        <f t="shared" si="4"/>
        <v/>
      </c>
      <c r="Q9" s="36" t="str">
        <f t="shared" si="5"/>
        <v/>
      </c>
      <c r="R9" s="37"/>
      <c r="S9" s="33"/>
      <c r="T9" s="34"/>
      <c r="U9" s="35" t="str">
        <f t="shared" si="6"/>
        <v/>
      </c>
      <c r="V9" s="36" t="str">
        <f t="shared" si="7"/>
        <v/>
      </c>
      <c r="W9" s="37"/>
      <c r="X9" s="33"/>
      <c r="Y9" s="34"/>
      <c r="Z9" s="35" t="str">
        <f t="shared" si="8"/>
        <v/>
      </c>
      <c r="AA9" s="36" t="str">
        <f t="shared" si="9"/>
        <v/>
      </c>
      <c r="AB9" s="37"/>
      <c r="AC9" s="33"/>
      <c r="AD9" s="34"/>
      <c r="AE9" s="35" t="str">
        <f t="shared" si="10"/>
        <v/>
      </c>
      <c r="AF9" s="36" t="str">
        <f t="shared" si="11"/>
        <v/>
      </c>
      <c r="AG9" s="37"/>
      <c r="AH9" s="33"/>
      <c r="AI9" s="34"/>
      <c r="AJ9" s="35" t="str">
        <f t="shared" si="12"/>
        <v/>
      </c>
      <c r="AK9" s="36" t="str">
        <f t="shared" si="13"/>
        <v/>
      </c>
      <c r="AL9" s="37"/>
      <c r="AM9" s="33"/>
      <c r="AN9" s="34"/>
      <c r="AO9" s="35" t="str">
        <f t="shared" si="14"/>
        <v/>
      </c>
      <c r="AP9" s="36" t="str">
        <f t="shared" si="15"/>
        <v/>
      </c>
      <c r="AQ9" s="37"/>
      <c r="AR9" s="33"/>
      <c r="AS9" s="34"/>
      <c r="AT9" s="35" t="str">
        <f t="shared" si="16"/>
        <v/>
      </c>
      <c r="AU9" s="36" t="str">
        <f t="shared" si="17"/>
        <v/>
      </c>
      <c r="AV9" s="37"/>
      <c r="AW9" s="33"/>
      <c r="AX9" s="34"/>
      <c r="AY9" s="35" t="str">
        <f t="shared" si="18"/>
        <v/>
      </c>
      <c r="AZ9" s="36" t="str">
        <f t="shared" si="19"/>
        <v/>
      </c>
      <c r="BA9" s="37"/>
      <c r="BB9" s="33"/>
      <c r="BC9" s="34"/>
      <c r="BD9" s="35" t="str">
        <f t="shared" si="20"/>
        <v/>
      </c>
      <c r="BE9" s="36" t="str">
        <f t="shared" si="21"/>
        <v/>
      </c>
      <c r="BF9" s="37"/>
      <c r="BG9" s="33"/>
      <c r="BH9" s="34"/>
      <c r="BI9" s="35" t="str">
        <f t="shared" si="22"/>
        <v/>
      </c>
      <c r="BJ9" s="36" t="str">
        <f t="shared" si="23"/>
        <v/>
      </c>
      <c r="BK9" s="37"/>
      <c r="BL9" s="33"/>
      <c r="BM9" s="34"/>
      <c r="BN9" s="35" t="str">
        <f t="shared" si="24"/>
        <v/>
      </c>
      <c r="BO9" s="36" t="str">
        <f t="shared" si="25"/>
        <v/>
      </c>
      <c r="BP9" s="37"/>
      <c r="BQ9" s="33"/>
      <c r="BR9" s="34"/>
      <c r="BS9" s="35" t="str">
        <f t="shared" si="26"/>
        <v/>
      </c>
      <c r="BT9" s="36" t="str">
        <f t="shared" si="27"/>
        <v/>
      </c>
      <c r="BU9" s="37"/>
      <c r="BV9" s="33"/>
      <c r="BW9" s="34"/>
      <c r="BX9" s="35" t="str">
        <f t="shared" si="28"/>
        <v/>
      </c>
      <c r="BY9" s="36" t="str">
        <f t="shared" si="29"/>
        <v/>
      </c>
      <c r="BZ9" s="37"/>
      <c r="CA9" s="33"/>
      <c r="CB9" s="34"/>
      <c r="CC9" s="35" t="str">
        <f t="shared" si="30"/>
        <v/>
      </c>
      <c r="CD9" s="36" t="str">
        <f t="shared" si="31"/>
        <v/>
      </c>
      <c r="CE9" s="37"/>
      <c r="CF9" s="33"/>
      <c r="CG9" s="34"/>
      <c r="CH9" s="35" t="str">
        <f t="shared" si="32"/>
        <v/>
      </c>
      <c r="CI9" s="36" t="str">
        <f t="shared" si="33"/>
        <v/>
      </c>
      <c r="CJ9" s="37"/>
      <c r="CK9" s="33"/>
      <c r="CL9" s="34"/>
      <c r="CM9" s="35" t="str">
        <f t="shared" si="34"/>
        <v/>
      </c>
      <c r="CN9" s="36" t="str">
        <f t="shared" si="35"/>
        <v/>
      </c>
      <c r="CO9" s="37"/>
      <c r="CP9" s="33"/>
      <c r="CQ9" s="34"/>
      <c r="CR9" s="35" t="str">
        <f t="shared" si="36"/>
        <v/>
      </c>
      <c r="CS9" s="36" t="str">
        <f t="shared" si="37"/>
        <v/>
      </c>
      <c r="CT9" s="37"/>
      <c r="CU9" s="33"/>
      <c r="CV9" s="34"/>
      <c r="CW9" s="35" t="str">
        <f t="shared" si="38"/>
        <v/>
      </c>
      <c r="CX9" s="36" t="str">
        <f t="shared" si="39"/>
        <v/>
      </c>
      <c r="CY9" s="37"/>
      <c r="CZ9" s="33"/>
      <c r="DA9" s="34"/>
      <c r="DB9" s="35" t="str">
        <f t="shared" si="40"/>
        <v/>
      </c>
      <c r="DC9" s="36" t="str">
        <f t="shared" si="41"/>
        <v/>
      </c>
      <c r="DD9" s="37"/>
      <c r="DE9" s="33"/>
      <c r="DF9" s="34"/>
      <c r="DG9" s="35" t="str">
        <f t="shared" si="42"/>
        <v/>
      </c>
      <c r="DH9" s="36" t="str">
        <f t="shared" si="43"/>
        <v/>
      </c>
      <c r="DI9" s="37"/>
      <c r="DJ9" s="33"/>
      <c r="DK9" s="34"/>
      <c r="DL9" s="35" t="str">
        <f t="shared" si="44"/>
        <v/>
      </c>
      <c r="DM9" s="36" t="str">
        <f t="shared" si="45"/>
        <v/>
      </c>
      <c r="DN9" s="37"/>
      <c r="DO9" s="33"/>
      <c r="DP9" s="34"/>
      <c r="DQ9" s="35" t="str">
        <f t="shared" si="46"/>
        <v/>
      </c>
      <c r="DR9" s="36" t="str">
        <f t="shared" si="47"/>
        <v/>
      </c>
      <c r="DS9" s="37"/>
      <c r="DT9" s="33"/>
      <c r="DU9" s="34"/>
      <c r="DV9" s="35" t="str">
        <f t="shared" si="48"/>
        <v/>
      </c>
      <c r="DW9" s="36" t="str">
        <f t="shared" si="49"/>
        <v/>
      </c>
      <c r="DX9" s="37"/>
      <c r="DY9" s="33"/>
      <c r="DZ9" s="34"/>
      <c r="EA9" s="35" t="str">
        <f t="shared" si="50"/>
        <v/>
      </c>
      <c r="EB9" s="36" t="str">
        <f t="shared" si="51"/>
        <v/>
      </c>
      <c r="EC9" s="37"/>
      <c r="ED9" s="33"/>
      <c r="EE9" s="34"/>
      <c r="EF9" s="35" t="str">
        <f t="shared" si="52"/>
        <v/>
      </c>
      <c r="EG9" s="36" t="str">
        <f t="shared" si="53"/>
        <v/>
      </c>
      <c r="EH9" s="37"/>
      <c r="EI9" s="33"/>
      <c r="EJ9" s="34"/>
      <c r="EK9" s="35" t="str">
        <f t="shared" si="54"/>
        <v/>
      </c>
      <c r="EL9" s="36" t="str">
        <f t="shared" si="55"/>
        <v/>
      </c>
      <c r="EM9" s="37"/>
      <c r="EN9" s="33"/>
      <c r="EO9" s="34"/>
      <c r="EP9" s="35" t="str">
        <f t="shared" si="56"/>
        <v/>
      </c>
      <c r="EQ9" s="36" t="str">
        <f t="shared" si="57"/>
        <v/>
      </c>
      <c r="ER9" s="37"/>
      <c r="ES9" s="33"/>
      <c r="ET9" s="34"/>
      <c r="EU9" s="35" t="str">
        <f t="shared" si="58"/>
        <v/>
      </c>
      <c r="EV9" s="36" t="str">
        <f t="shared" si="59"/>
        <v/>
      </c>
      <c r="EW9" s="37"/>
    </row>
    <row r="10" spans="1:153" ht="19.5" customHeight="1">
      <c r="A10" s="32">
        <f>IF(DAY(DATE(対象年度,8,7))&lt;&gt;7,"",7)</f>
        <v>7</v>
      </c>
      <c r="B10" s="32" t="str">
        <f>IF(DAY(DATE(対象年度,8,7))&lt;&gt;7,"",CHOOSE(WEEKDAY(DATE(対象年度,8,7),2),"月","火","水","木","金","土","日"))</f>
        <v>金</v>
      </c>
      <c r="C10" s="32" t="str">
        <f>IF(DAY(DATE(対象年度,8,7))&lt;&gt;7,"",IF(ISNUMBER(MATCH(DATE(対象年度,8,7),祝日リスト,0)),"祝",""))</f>
        <v/>
      </c>
      <c r="D10" s="33"/>
      <c r="E10" s="34"/>
      <c r="F10" s="35" t="str">
        <f t="shared" si="0"/>
        <v/>
      </c>
      <c r="G10" s="36" t="str">
        <f t="shared" si="1"/>
        <v/>
      </c>
      <c r="H10" s="37"/>
      <c r="I10" s="33"/>
      <c r="J10" s="34"/>
      <c r="K10" s="35" t="str">
        <f t="shared" si="2"/>
        <v/>
      </c>
      <c r="L10" s="36" t="str">
        <f t="shared" si="3"/>
        <v/>
      </c>
      <c r="M10" s="37"/>
      <c r="N10" s="33"/>
      <c r="O10" s="34"/>
      <c r="P10" s="35" t="str">
        <f t="shared" si="4"/>
        <v/>
      </c>
      <c r="Q10" s="36" t="str">
        <f t="shared" si="5"/>
        <v/>
      </c>
      <c r="R10" s="37"/>
      <c r="S10" s="33"/>
      <c r="T10" s="34"/>
      <c r="U10" s="35" t="str">
        <f t="shared" si="6"/>
        <v/>
      </c>
      <c r="V10" s="36" t="str">
        <f t="shared" si="7"/>
        <v/>
      </c>
      <c r="W10" s="37"/>
      <c r="X10" s="33"/>
      <c r="Y10" s="34"/>
      <c r="Z10" s="35" t="str">
        <f t="shared" si="8"/>
        <v/>
      </c>
      <c r="AA10" s="36" t="str">
        <f t="shared" si="9"/>
        <v/>
      </c>
      <c r="AB10" s="37"/>
      <c r="AC10" s="33"/>
      <c r="AD10" s="34"/>
      <c r="AE10" s="35" t="str">
        <f t="shared" si="10"/>
        <v/>
      </c>
      <c r="AF10" s="36" t="str">
        <f t="shared" si="11"/>
        <v/>
      </c>
      <c r="AG10" s="37"/>
      <c r="AH10" s="33"/>
      <c r="AI10" s="34"/>
      <c r="AJ10" s="35" t="str">
        <f t="shared" si="12"/>
        <v/>
      </c>
      <c r="AK10" s="36" t="str">
        <f t="shared" si="13"/>
        <v/>
      </c>
      <c r="AL10" s="37"/>
      <c r="AM10" s="33"/>
      <c r="AN10" s="34"/>
      <c r="AO10" s="35" t="str">
        <f t="shared" si="14"/>
        <v/>
      </c>
      <c r="AP10" s="36" t="str">
        <f t="shared" si="15"/>
        <v/>
      </c>
      <c r="AQ10" s="37"/>
      <c r="AR10" s="33"/>
      <c r="AS10" s="34"/>
      <c r="AT10" s="35" t="str">
        <f t="shared" si="16"/>
        <v/>
      </c>
      <c r="AU10" s="36" t="str">
        <f t="shared" si="17"/>
        <v/>
      </c>
      <c r="AV10" s="37"/>
      <c r="AW10" s="33"/>
      <c r="AX10" s="34"/>
      <c r="AY10" s="35" t="str">
        <f t="shared" si="18"/>
        <v/>
      </c>
      <c r="AZ10" s="36" t="str">
        <f t="shared" si="19"/>
        <v/>
      </c>
      <c r="BA10" s="37"/>
      <c r="BB10" s="33"/>
      <c r="BC10" s="34"/>
      <c r="BD10" s="35" t="str">
        <f t="shared" si="20"/>
        <v/>
      </c>
      <c r="BE10" s="36" t="str">
        <f t="shared" si="21"/>
        <v/>
      </c>
      <c r="BF10" s="37"/>
      <c r="BG10" s="33"/>
      <c r="BH10" s="34"/>
      <c r="BI10" s="35" t="str">
        <f t="shared" si="22"/>
        <v/>
      </c>
      <c r="BJ10" s="36" t="str">
        <f t="shared" si="23"/>
        <v/>
      </c>
      <c r="BK10" s="37"/>
      <c r="BL10" s="33"/>
      <c r="BM10" s="34"/>
      <c r="BN10" s="35" t="str">
        <f t="shared" si="24"/>
        <v/>
      </c>
      <c r="BO10" s="36" t="str">
        <f t="shared" si="25"/>
        <v/>
      </c>
      <c r="BP10" s="37"/>
      <c r="BQ10" s="33"/>
      <c r="BR10" s="34"/>
      <c r="BS10" s="35" t="str">
        <f t="shared" si="26"/>
        <v/>
      </c>
      <c r="BT10" s="36" t="str">
        <f t="shared" si="27"/>
        <v/>
      </c>
      <c r="BU10" s="37"/>
      <c r="BV10" s="33"/>
      <c r="BW10" s="34"/>
      <c r="BX10" s="35" t="str">
        <f t="shared" si="28"/>
        <v/>
      </c>
      <c r="BY10" s="36" t="str">
        <f t="shared" si="29"/>
        <v/>
      </c>
      <c r="BZ10" s="37"/>
      <c r="CA10" s="33"/>
      <c r="CB10" s="34"/>
      <c r="CC10" s="35" t="str">
        <f t="shared" si="30"/>
        <v/>
      </c>
      <c r="CD10" s="36" t="str">
        <f t="shared" si="31"/>
        <v/>
      </c>
      <c r="CE10" s="37"/>
      <c r="CF10" s="33"/>
      <c r="CG10" s="34"/>
      <c r="CH10" s="35" t="str">
        <f t="shared" si="32"/>
        <v/>
      </c>
      <c r="CI10" s="36" t="str">
        <f t="shared" si="33"/>
        <v/>
      </c>
      <c r="CJ10" s="37"/>
      <c r="CK10" s="33"/>
      <c r="CL10" s="34"/>
      <c r="CM10" s="35" t="str">
        <f t="shared" si="34"/>
        <v/>
      </c>
      <c r="CN10" s="36" t="str">
        <f t="shared" si="35"/>
        <v/>
      </c>
      <c r="CO10" s="37"/>
      <c r="CP10" s="33"/>
      <c r="CQ10" s="34"/>
      <c r="CR10" s="35" t="str">
        <f t="shared" si="36"/>
        <v/>
      </c>
      <c r="CS10" s="36" t="str">
        <f t="shared" si="37"/>
        <v/>
      </c>
      <c r="CT10" s="37"/>
      <c r="CU10" s="33"/>
      <c r="CV10" s="34"/>
      <c r="CW10" s="35" t="str">
        <f t="shared" si="38"/>
        <v/>
      </c>
      <c r="CX10" s="36" t="str">
        <f t="shared" si="39"/>
        <v/>
      </c>
      <c r="CY10" s="37"/>
      <c r="CZ10" s="33"/>
      <c r="DA10" s="34"/>
      <c r="DB10" s="35" t="str">
        <f t="shared" si="40"/>
        <v/>
      </c>
      <c r="DC10" s="36" t="str">
        <f t="shared" si="41"/>
        <v/>
      </c>
      <c r="DD10" s="37"/>
      <c r="DE10" s="33"/>
      <c r="DF10" s="34"/>
      <c r="DG10" s="35" t="str">
        <f t="shared" si="42"/>
        <v/>
      </c>
      <c r="DH10" s="36" t="str">
        <f t="shared" si="43"/>
        <v/>
      </c>
      <c r="DI10" s="37"/>
      <c r="DJ10" s="33"/>
      <c r="DK10" s="34"/>
      <c r="DL10" s="35" t="str">
        <f t="shared" si="44"/>
        <v/>
      </c>
      <c r="DM10" s="36" t="str">
        <f t="shared" si="45"/>
        <v/>
      </c>
      <c r="DN10" s="37"/>
      <c r="DO10" s="33"/>
      <c r="DP10" s="34"/>
      <c r="DQ10" s="35" t="str">
        <f t="shared" si="46"/>
        <v/>
      </c>
      <c r="DR10" s="36" t="str">
        <f t="shared" si="47"/>
        <v/>
      </c>
      <c r="DS10" s="37"/>
      <c r="DT10" s="33"/>
      <c r="DU10" s="34"/>
      <c r="DV10" s="35" t="str">
        <f t="shared" si="48"/>
        <v/>
      </c>
      <c r="DW10" s="36" t="str">
        <f t="shared" si="49"/>
        <v/>
      </c>
      <c r="DX10" s="37"/>
      <c r="DY10" s="33"/>
      <c r="DZ10" s="34"/>
      <c r="EA10" s="35" t="str">
        <f t="shared" si="50"/>
        <v/>
      </c>
      <c r="EB10" s="36" t="str">
        <f t="shared" si="51"/>
        <v/>
      </c>
      <c r="EC10" s="37"/>
      <c r="ED10" s="33"/>
      <c r="EE10" s="34"/>
      <c r="EF10" s="35" t="str">
        <f t="shared" si="52"/>
        <v/>
      </c>
      <c r="EG10" s="36" t="str">
        <f t="shared" si="53"/>
        <v/>
      </c>
      <c r="EH10" s="37"/>
      <c r="EI10" s="33"/>
      <c r="EJ10" s="34"/>
      <c r="EK10" s="35" t="str">
        <f t="shared" si="54"/>
        <v/>
      </c>
      <c r="EL10" s="36" t="str">
        <f t="shared" si="55"/>
        <v/>
      </c>
      <c r="EM10" s="37"/>
      <c r="EN10" s="33"/>
      <c r="EO10" s="34"/>
      <c r="EP10" s="35" t="str">
        <f t="shared" si="56"/>
        <v/>
      </c>
      <c r="EQ10" s="36" t="str">
        <f t="shared" si="57"/>
        <v/>
      </c>
      <c r="ER10" s="37"/>
      <c r="ES10" s="33"/>
      <c r="ET10" s="34"/>
      <c r="EU10" s="35" t="str">
        <f t="shared" si="58"/>
        <v/>
      </c>
      <c r="EV10" s="36" t="str">
        <f t="shared" si="59"/>
        <v/>
      </c>
      <c r="EW10" s="37"/>
    </row>
    <row r="11" spans="1:153" ht="19.5" customHeight="1">
      <c r="A11" s="32">
        <f>IF(DAY(DATE(対象年度,8,8))&lt;&gt;8,"",8)</f>
        <v>8</v>
      </c>
      <c r="B11" s="32" t="str">
        <f>IF(DAY(DATE(対象年度,8,8))&lt;&gt;8,"",CHOOSE(WEEKDAY(DATE(対象年度,8,8),2),"月","火","水","木","金","土","日"))</f>
        <v>土</v>
      </c>
      <c r="C11" s="32" t="str">
        <f>IF(DAY(DATE(対象年度,8,8))&lt;&gt;8,"",IF(ISNUMBER(MATCH(DATE(対象年度,8,8),祝日リスト,0)),"祝",""))</f>
        <v/>
      </c>
      <c r="D11" s="33"/>
      <c r="E11" s="34"/>
      <c r="F11" s="35" t="str">
        <f t="shared" si="0"/>
        <v/>
      </c>
      <c r="G11" s="36" t="str">
        <f t="shared" si="1"/>
        <v/>
      </c>
      <c r="H11" s="37"/>
      <c r="I11" s="33"/>
      <c r="J11" s="34"/>
      <c r="K11" s="35" t="str">
        <f t="shared" si="2"/>
        <v/>
      </c>
      <c r="L11" s="36" t="str">
        <f t="shared" si="3"/>
        <v/>
      </c>
      <c r="M11" s="37"/>
      <c r="N11" s="33"/>
      <c r="O11" s="34"/>
      <c r="P11" s="35" t="str">
        <f t="shared" si="4"/>
        <v/>
      </c>
      <c r="Q11" s="36" t="str">
        <f t="shared" si="5"/>
        <v/>
      </c>
      <c r="R11" s="37"/>
      <c r="S11" s="33"/>
      <c r="T11" s="34"/>
      <c r="U11" s="35" t="str">
        <f t="shared" si="6"/>
        <v/>
      </c>
      <c r="V11" s="36" t="str">
        <f t="shared" si="7"/>
        <v/>
      </c>
      <c r="W11" s="37"/>
      <c r="X11" s="33"/>
      <c r="Y11" s="34"/>
      <c r="Z11" s="35" t="str">
        <f t="shared" si="8"/>
        <v/>
      </c>
      <c r="AA11" s="36" t="str">
        <f t="shared" si="9"/>
        <v/>
      </c>
      <c r="AB11" s="37"/>
      <c r="AC11" s="33"/>
      <c r="AD11" s="34"/>
      <c r="AE11" s="35" t="str">
        <f t="shared" si="10"/>
        <v/>
      </c>
      <c r="AF11" s="36" t="str">
        <f t="shared" si="11"/>
        <v/>
      </c>
      <c r="AG11" s="37"/>
      <c r="AH11" s="33"/>
      <c r="AI11" s="34"/>
      <c r="AJ11" s="35" t="str">
        <f t="shared" si="12"/>
        <v/>
      </c>
      <c r="AK11" s="36" t="str">
        <f t="shared" si="13"/>
        <v/>
      </c>
      <c r="AL11" s="37"/>
      <c r="AM11" s="33"/>
      <c r="AN11" s="34"/>
      <c r="AO11" s="35" t="str">
        <f t="shared" si="14"/>
        <v/>
      </c>
      <c r="AP11" s="36" t="str">
        <f t="shared" si="15"/>
        <v/>
      </c>
      <c r="AQ11" s="37"/>
      <c r="AR11" s="33"/>
      <c r="AS11" s="34"/>
      <c r="AT11" s="35" t="str">
        <f t="shared" si="16"/>
        <v/>
      </c>
      <c r="AU11" s="36" t="str">
        <f t="shared" si="17"/>
        <v/>
      </c>
      <c r="AV11" s="37"/>
      <c r="AW11" s="33"/>
      <c r="AX11" s="34"/>
      <c r="AY11" s="35" t="str">
        <f t="shared" si="18"/>
        <v/>
      </c>
      <c r="AZ11" s="36" t="str">
        <f t="shared" si="19"/>
        <v/>
      </c>
      <c r="BA11" s="37"/>
      <c r="BB11" s="33"/>
      <c r="BC11" s="34"/>
      <c r="BD11" s="35" t="str">
        <f t="shared" si="20"/>
        <v/>
      </c>
      <c r="BE11" s="36" t="str">
        <f t="shared" si="21"/>
        <v/>
      </c>
      <c r="BF11" s="37"/>
      <c r="BG11" s="33"/>
      <c r="BH11" s="34"/>
      <c r="BI11" s="35" t="str">
        <f t="shared" si="22"/>
        <v/>
      </c>
      <c r="BJ11" s="36" t="str">
        <f t="shared" si="23"/>
        <v/>
      </c>
      <c r="BK11" s="37"/>
      <c r="BL11" s="33"/>
      <c r="BM11" s="34"/>
      <c r="BN11" s="35" t="str">
        <f t="shared" si="24"/>
        <v/>
      </c>
      <c r="BO11" s="36" t="str">
        <f t="shared" si="25"/>
        <v/>
      </c>
      <c r="BP11" s="37"/>
      <c r="BQ11" s="33"/>
      <c r="BR11" s="34"/>
      <c r="BS11" s="35" t="str">
        <f t="shared" si="26"/>
        <v/>
      </c>
      <c r="BT11" s="36" t="str">
        <f t="shared" si="27"/>
        <v/>
      </c>
      <c r="BU11" s="37"/>
      <c r="BV11" s="33"/>
      <c r="BW11" s="34"/>
      <c r="BX11" s="35" t="str">
        <f t="shared" si="28"/>
        <v/>
      </c>
      <c r="BY11" s="36" t="str">
        <f t="shared" si="29"/>
        <v/>
      </c>
      <c r="BZ11" s="37"/>
      <c r="CA11" s="33"/>
      <c r="CB11" s="34"/>
      <c r="CC11" s="35" t="str">
        <f t="shared" si="30"/>
        <v/>
      </c>
      <c r="CD11" s="36" t="str">
        <f t="shared" si="31"/>
        <v/>
      </c>
      <c r="CE11" s="37"/>
      <c r="CF11" s="33"/>
      <c r="CG11" s="34"/>
      <c r="CH11" s="35" t="str">
        <f t="shared" si="32"/>
        <v/>
      </c>
      <c r="CI11" s="36" t="str">
        <f t="shared" si="33"/>
        <v/>
      </c>
      <c r="CJ11" s="37"/>
      <c r="CK11" s="33"/>
      <c r="CL11" s="34"/>
      <c r="CM11" s="35" t="str">
        <f t="shared" si="34"/>
        <v/>
      </c>
      <c r="CN11" s="36" t="str">
        <f t="shared" si="35"/>
        <v/>
      </c>
      <c r="CO11" s="37"/>
      <c r="CP11" s="33"/>
      <c r="CQ11" s="34"/>
      <c r="CR11" s="35" t="str">
        <f t="shared" si="36"/>
        <v/>
      </c>
      <c r="CS11" s="36" t="str">
        <f t="shared" si="37"/>
        <v/>
      </c>
      <c r="CT11" s="37"/>
      <c r="CU11" s="33"/>
      <c r="CV11" s="34"/>
      <c r="CW11" s="35" t="str">
        <f t="shared" si="38"/>
        <v/>
      </c>
      <c r="CX11" s="36" t="str">
        <f t="shared" si="39"/>
        <v/>
      </c>
      <c r="CY11" s="37"/>
      <c r="CZ11" s="33"/>
      <c r="DA11" s="34"/>
      <c r="DB11" s="35" t="str">
        <f t="shared" si="40"/>
        <v/>
      </c>
      <c r="DC11" s="36" t="str">
        <f t="shared" si="41"/>
        <v/>
      </c>
      <c r="DD11" s="37"/>
      <c r="DE11" s="33"/>
      <c r="DF11" s="34"/>
      <c r="DG11" s="35" t="str">
        <f t="shared" si="42"/>
        <v/>
      </c>
      <c r="DH11" s="36" t="str">
        <f t="shared" si="43"/>
        <v/>
      </c>
      <c r="DI11" s="37"/>
      <c r="DJ11" s="33"/>
      <c r="DK11" s="34"/>
      <c r="DL11" s="35" t="str">
        <f t="shared" si="44"/>
        <v/>
      </c>
      <c r="DM11" s="36" t="str">
        <f t="shared" si="45"/>
        <v/>
      </c>
      <c r="DN11" s="37"/>
      <c r="DO11" s="33"/>
      <c r="DP11" s="34"/>
      <c r="DQ11" s="35" t="str">
        <f t="shared" si="46"/>
        <v/>
      </c>
      <c r="DR11" s="36" t="str">
        <f t="shared" si="47"/>
        <v/>
      </c>
      <c r="DS11" s="37"/>
      <c r="DT11" s="33"/>
      <c r="DU11" s="34"/>
      <c r="DV11" s="35" t="str">
        <f t="shared" si="48"/>
        <v/>
      </c>
      <c r="DW11" s="36" t="str">
        <f t="shared" si="49"/>
        <v/>
      </c>
      <c r="DX11" s="37"/>
      <c r="DY11" s="33"/>
      <c r="DZ11" s="34"/>
      <c r="EA11" s="35" t="str">
        <f t="shared" si="50"/>
        <v/>
      </c>
      <c r="EB11" s="36" t="str">
        <f t="shared" si="51"/>
        <v/>
      </c>
      <c r="EC11" s="37"/>
      <c r="ED11" s="33"/>
      <c r="EE11" s="34"/>
      <c r="EF11" s="35" t="str">
        <f t="shared" si="52"/>
        <v/>
      </c>
      <c r="EG11" s="36" t="str">
        <f t="shared" si="53"/>
        <v/>
      </c>
      <c r="EH11" s="37"/>
      <c r="EI11" s="33"/>
      <c r="EJ11" s="34"/>
      <c r="EK11" s="35" t="str">
        <f t="shared" si="54"/>
        <v/>
      </c>
      <c r="EL11" s="36" t="str">
        <f t="shared" si="55"/>
        <v/>
      </c>
      <c r="EM11" s="37"/>
      <c r="EN11" s="33"/>
      <c r="EO11" s="34"/>
      <c r="EP11" s="35" t="str">
        <f t="shared" si="56"/>
        <v/>
      </c>
      <c r="EQ11" s="36" t="str">
        <f t="shared" si="57"/>
        <v/>
      </c>
      <c r="ER11" s="37"/>
      <c r="ES11" s="33"/>
      <c r="ET11" s="34"/>
      <c r="EU11" s="35" t="str">
        <f t="shared" si="58"/>
        <v/>
      </c>
      <c r="EV11" s="36" t="str">
        <f t="shared" si="59"/>
        <v/>
      </c>
      <c r="EW11" s="37"/>
    </row>
    <row r="12" spans="1:153" ht="19.5" customHeight="1">
      <c r="A12" s="32">
        <f>IF(DAY(DATE(対象年度,8,9))&lt;&gt;9,"",9)</f>
        <v>9</v>
      </c>
      <c r="B12" s="32" t="str">
        <f>IF(DAY(DATE(対象年度,8,9))&lt;&gt;9,"",CHOOSE(WEEKDAY(DATE(対象年度,8,9),2),"月","火","水","木","金","土","日"))</f>
        <v>日</v>
      </c>
      <c r="C12" s="32" t="str">
        <f>IF(DAY(DATE(対象年度,8,9))&lt;&gt;9,"",IF(ISNUMBER(MATCH(DATE(対象年度,8,9),祝日リスト,0)),"祝",""))</f>
        <v/>
      </c>
      <c r="D12" s="33"/>
      <c r="E12" s="34"/>
      <c r="F12" s="35" t="str">
        <f t="shared" si="0"/>
        <v/>
      </c>
      <c r="G12" s="36" t="str">
        <f t="shared" si="1"/>
        <v/>
      </c>
      <c r="H12" s="37"/>
      <c r="I12" s="33"/>
      <c r="J12" s="34"/>
      <c r="K12" s="35" t="str">
        <f t="shared" si="2"/>
        <v/>
      </c>
      <c r="L12" s="36" t="str">
        <f t="shared" si="3"/>
        <v/>
      </c>
      <c r="M12" s="37"/>
      <c r="N12" s="33"/>
      <c r="O12" s="34"/>
      <c r="P12" s="35" t="str">
        <f t="shared" si="4"/>
        <v/>
      </c>
      <c r="Q12" s="36" t="str">
        <f t="shared" si="5"/>
        <v/>
      </c>
      <c r="R12" s="37"/>
      <c r="S12" s="33"/>
      <c r="T12" s="34"/>
      <c r="U12" s="35" t="str">
        <f t="shared" si="6"/>
        <v/>
      </c>
      <c r="V12" s="36" t="str">
        <f t="shared" si="7"/>
        <v/>
      </c>
      <c r="W12" s="37"/>
      <c r="X12" s="33"/>
      <c r="Y12" s="34"/>
      <c r="Z12" s="35" t="str">
        <f t="shared" si="8"/>
        <v/>
      </c>
      <c r="AA12" s="36" t="str">
        <f t="shared" si="9"/>
        <v/>
      </c>
      <c r="AB12" s="37"/>
      <c r="AC12" s="33"/>
      <c r="AD12" s="34"/>
      <c r="AE12" s="35" t="str">
        <f t="shared" si="10"/>
        <v/>
      </c>
      <c r="AF12" s="36" t="str">
        <f t="shared" si="11"/>
        <v/>
      </c>
      <c r="AG12" s="37"/>
      <c r="AH12" s="33"/>
      <c r="AI12" s="34"/>
      <c r="AJ12" s="35" t="str">
        <f t="shared" si="12"/>
        <v/>
      </c>
      <c r="AK12" s="36" t="str">
        <f t="shared" si="13"/>
        <v/>
      </c>
      <c r="AL12" s="37"/>
      <c r="AM12" s="33"/>
      <c r="AN12" s="34"/>
      <c r="AO12" s="35" t="str">
        <f t="shared" si="14"/>
        <v/>
      </c>
      <c r="AP12" s="36" t="str">
        <f t="shared" si="15"/>
        <v/>
      </c>
      <c r="AQ12" s="37"/>
      <c r="AR12" s="33"/>
      <c r="AS12" s="34"/>
      <c r="AT12" s="35" t="str">
        <f t="shared" si="16"/>
        <v/>
      </c>
      <c r="AU12" s="36" t="str">
        <f t="shared" si="17"/>
        <v/>
      </c>
      <c r="AV12" s="37"/>
      <c r="AW12" s="33"/>
      <c r="AX12" s="34"/>
      <c r="AY12" s="35" t="str">
        <f t="shared" si="18"/>
        <v/>
      </c>
      <c r="AZ12" s="36" t="str">
        <f t="shared" si="19"/>
        <v/>
      </c>
      <c r="BA12" s="37"/>
      <c r="BB12" s="33"/>
      <c r="BC12" s="34"/>
      <c r="BD12" s="35" t="str">
        <f t="shared" si="20"/>
        <v/>
      </c>
      <c r="BE12" s="36" t="str">
        <f t="shared" si="21"/>
        <v/>
      </c>
      <c r="BF12" s="37"/>
      <c r="BG12" s="33"/>
      <c r="BH12" s="34"/>
      <c r="BI12" s="35" t="str">
        <f t="shared" si="22"/>
        <v/>
      </c>
      <c r="BJ12" s="36" t="str">
        <f t="shared" si="23"/>
        <v/>
      </c>
      <c r="BK12" s="37"/>
      <c r="BL12" s="33"/>
      <c r="BM12" s="34"/>
      <c r="BN12" s="35" t="str">
        <f t="shared" si="24"/>
        <v/>
      </c>
      <c r="BO12" s="36" t="str">
        <f t="shared" si="25"/>
        <v/>
      </c>
      <c r="BP12" s="37"/>
      <c r="BQ12" s="33"/>
      <c r="BR12" s="34"/>
      <c r="BS12" s="35" t="str">
        <f t="shared" si="26"/>
        <v/>
      </c>
      <c r="BT12" s="36" t="str">
        <f t="shared" si="27"/>
        <v/>
      </c>
      <c r="BU12" s="37"/>
      <c r="BV12" s="33"/>
      <c r="BW12" s="34"/>
      <c r="BX12" s="35" t="str">
        <f t="shared" si="28"/>
        <v/>
      </c>
      <c r="BY12" s="36" t="str">
        <f t="shared" si="29"/>
        <v/>
      </c>
      <c r="BZ12" s="37"/>
      <c r="CA12" s="33"/>
      <c r="CB12" s="34"/>
      <c r="CC12" s="35" t="str">
        <f t="shared" si="30"/>
        <v/>
      </c>
      <c r="CD12" s="36" t="str">
        <f t="shared" si="31"/>
        <v/>
      </c>
      <c r="CE12" s="37"/>
      <c r="CF12" s="33"/>
      <c r="CG12" s="34"/>
      <c r="CH12" s="35" t="str">
        <f t="shared" si="32"/>
        <v/>
      </c>
      <c r="CI12" s="36" t="str">
        <f t="shared" si="33"/>
        <v/>
      </c>
      <c r="CJ12" s="37"/>
      <c r="CK12" s="33"/>
      <c r="CL12" s="34"/>
      <c r="CM12" s="35" t="str">
        <f t="shared" si="34"/>
        <v/>
      </c>
      <c r="CN12" s="36" t="str">
        <f t="shared" si="35"/>
        <v/>
      </c>
      <c r="CO12" s="37"/>
      <c r="CP12" s="33"/>
      <c r="CQ12" s="34"/>
      <c r="CR12" s="35" t="str">
        <f t="shared" si="36"/>
        <v/>
      </c>
      <c r="CS12" s="36" t="str">
        <f t="shared" si="37"/>
        <v/>
      </c>
      <c r="CT12" s="37"/>
      <c r="CU12" s="33"/>
      <c r="CV12" s="34"/>
      <c r="CW12" s="35" t="str">
        <f t="shared" si="38"/>
        <v/>
      </c>
      <c r="CX12" s="36" t="str">
        <f t="shared" si="39"/>
        <v/>
      </c>
      <c r="CY12" s="37"/>
      <c r="CZ12" s="33"/>
      <c r="DA12" s="34"/>
      <c r="DB12" s="35" t="str">
        <f t="shared" si="40"/>
        <v/>
      </c>
      <c r="DC12" s="36" t="str">
        <f t="shared" si="41"/>
        <v/>
      </c>
      <c r="DD12" s="37"/>
      <c r="DE12" s="33"/>
      <c r="DF12" s="34"/>
      <c r="DG12" s="35" t="str">
        <f t="shared" si="42"/>
        <v/>
      </c>
      <c r="DH12" s="36" t="str">
        <f t="shared" si="43"/>
        <v/>
      </c>
      <c r="DI12" s="37"/>
      <c r="DJ12" s="33"/>
      <c r="DK12" s="34"/>
      <c r="DL12" s="35" t="str">
        <f t="shared" si="44"/>
        <v/>
      </c>
      <c r="DM12" s="36" t="str">
        <f t="shared" si="45"/>
        <v/>
      </c>
      <c r="DN12" s="37"/>
      <c r="DO12" s="33"/>
      <c r="DP12" s="34"/>
      <c r="DQ12" s="35" t="str">
        <f t="shared" si="46"/>
        <v/>
      </c>
      <c r="DR12" s="36" t="str">
        <f t="shared" si="47"/>
        <v/>
      </c>
      <c r="DS12" s="37"/>
      <c r="DT12" s="33"/>
      <c r="DU12" s="34"/>
      <c r="DV12" s="35" t="str">
        <f t="shared" si="48"/>
        <v/>
      </c>
      <c r="DW12" s="36" t="str">
        <f t="shared" si="49"/>
        <v/>
      </c>
      <c r="DX12" s="37"/>
      <c r="DY12" s="33"/>
      <c r="DZ12" s="34"/>
      <c r="EA12" s="35" t="str">
        <f t="shared" si="50"/>
        <v/>
      </c>
      <c r="EB12" s="36" t="str">
        <f t="shared" si="51"/>
        <v/>
      </c>
      <c r="EC12" s="37"/>
      <c r="ED12" s="33"/>
      <c r="EE12" s="34"/>
      <c r="EF12" s="35" t="str">
        <f t="shared" si="52"/>
        <v/>
      </c>
      <c r="EG12" s="36" t="str">
        <f t="shared" si="53"/>
        <v/>
      </c>
      <c r="EH12" s="37"/>
      <c r="EI12" s="33"/>
      <c r="EJ12" s="34"/>
      <c r="EK12" s="35" t="str">
        <f t="shared" si="54"/>
        <v/>
      </c>
      <c r="EL12" s="36" t="str">
        <f t="shared" si="55"/>
        <v/>
      </c>
      <c r="EM12" s="37"/>
      <c r="EN12" s="33"/>
      <c r="EO12" s="34"/>
      <c r="EP12" s="35" t="str">
        <f t="shared" si="56"/>
        <v/>
      </c>
      <c r="EQ12" s="36" t="str">
        <f t="shared" si="57"/>
        <v/>
      </c>
      <c r="ER12" s="37"/>
      <c r="ES12" s="33"/>
      <c r="ET12" s="34"/>
      <c r="EU12" s="35" t="str">
        <f t="shared" si="58"/>
        <v/>
      </c>
      <c r="EV12" s="36" t="str">
        <f t="shared" si="59"/>
        <v/>
      </c>
      <c r="EW12" s="37"/>
    </row>
    <row r="13" spans="1:153" ht="19.5" customHeight="1">
      <c r="A13" s="32">
        <f>IF(DAY(DATE(対象年度,8,10))&lt;&gt;10,"",10)</f>
        <v>10</v>
      </c>
      <c r="B13" s="32" t="str">
        <f>IF(DAY(DATE(対象年度,8,10))&lt;&gt;10,"",CHOOSE(WEEKDAY(DATE(対象年度,8,10),2),"月","火","水","木","金","土","日"))</f>
        <v>月</v>
      </c>
      <c r="C13" s="32" t="str">
        <f>IF(DAY(DATE(対象年度,8,10))&lt;&gt;10,"",IF(ISNUMBER(MATCH(DATE(対象年度,8,10),祝日リスト,0)),"祝",""))</f>
        <v/>
      </c>
      <c r="D13" s="33"/>
      <c r="E13" s="34"/>
      <c r="F13" s="35" t="str">
        <f t="shared" si="0"/>
        <v/>
      </c>
      <c r="G13" s="36" t="str">
        <f t="shared" si="1"/>
        <v/>
      </c>
      <c r="H13" s="37"/>
      <c r="I13" s="33"/>
      <c r="J13" s="34"/>
      <c r="K13" s="35" t="str">
        <f t="shared" si="2"/>
        <v/>
      </c>
      <c r="L13" s="36" t="str">
        <f t="shared" si="3"/>
        <v/>
      </c>
      <c r="M13" s="37"/>
      <c r="N13" s="33"/>
      <c r="O13" s="34"/>
      <c r="P13" s="35" t="str">
        <f t="shared" si="4"/>
        <v/>
      </c>
      <c r="Q13" s="36" t="str">
        <f t="shared" si="5"/>
        <v/>
      </c>
      <c r="R13" s="37"/>
      <c r="S13" s="33"/>
      <c r="T13" s="34"/>
      <c r="U13" s="35" t="str">
        <f t="shared" si="6"/>
        <v/>
      </c>
      <c r="V13" s="36" t="str">
        <f t="shared" si="7"/>
        <v/>
      </c>
      <c r="W13" s="37"/>
      <c r="X13" s="33"/>
      <c r="Y13" s="34"/>
      <c r="Z13" s="35" t="str">
        <f t="shared" si="8"/>
        <v/>
      </c>
      <c r="AA13" s="36" t="str">
        <f t="shared" si="9"/>
        <v/>
      </c>
      <c r="AB13" s="37"/>
      <c r="AC13" s="33"/>
      <c r="AD13" s="34"/>
      <c r="AE13" s="35" t="str">
        <f t="shared" si="10"/>
        <v/>
      </c>
      <c r="AF13" s="36" t="str">
        <f t="shared" si="11"/>
        <v/>
      </c>
      <c r="AG13" s="37"/>
      <c r="AH13" s="33"/>
      <c r="AI13" s="34"/>
      <c r="AJ13" s="35" t="str">
        <f t="shared" si="12"/>
        <v/>
      </c>
      <c r="AK13" s="36" t="str">
        <f t="shared" si="13"/>
        <v/>
      </c>
      <c r="AL13" s="37"/>
      <c r="AM13" s="33"/>
      <c r="AN13" s="34"/>
      <c r="AO13" s="35" t="str">
        <f t="shared" si="14"/>
        <v/>
      </c>
      <c r="AP13" s="36" t="str">
        <f t="shared" si="15"/>
        <v/>
      </c>
      <c r="AQ13" s="37"/>
      <c r="AR13" s="33"/>
      <c r="AS13" s="34"/>
      <c r="AT13" s="35" t="str">
        <f t="shared" si="16"/>
        <v/>
      </c>
      <c r="AU13" s="36" t="str">
        <f t="shared" si="17"/>
        <v/>
      </c>
      <c r="AV13" s="37"/>
      <c r="AW13" s="33"/>
      <c r="AX13" s="34"/>
      <c r="AY13" s="35" t="str">
        <f t="shared" si="18"/>
        <v/>
      </c>
      <c r="AZ13" s="36" t="str">
        <f t="shared" si="19"/>
        <v/>
      </c>
      <c r="BA13" s="37"/>
      <c r="BB13" s="33"/>
      <c r="BC13" s="34"/>
      <c r="BD13" s="35" t="str">
        <f t="shared" si="20"/>
        <v/>
      </c>
      <c r="BE13" s="36" t="str">
        <f t="shared" si="21"/>
        <v/>
      </c>
      <c r="BF13" s="37"/>
      <c r="BG13" s="33"/>
      <c r="BH13" s="34"/>
      <c r="BI13" s="35" t="str">
        <f t="shared" si="22"/>
        <v/>
      </c>
      <c r="BJ13" s="36" t="str">
        <f t="shared" si="23"/>
        <v/>
      </c>
      <c r="BK13" s="37"/>
      <c r="BL13" s="33"/>
      <c r="BM13" s="34"/>
      <c r="BN13" s="35" t="str">
        <f t="shared" si="24"/>
        <v/>
      </c>
      <c r="BO13" s="36" t="str">
        <f t="shared" si="25"/>
        <v/>
      </c>
      <c r="BP13" s="37"/>
      <c r="BQ13" s="33"/>
      <c r="BR13" s="34"/>
      <c r="BS13" s="35" t="str">
        <f t="shared" si="26"/>
        <v/>
      </c>
      <c r="BT13" s="36" t="str">
        <f t="shared" si="27"/>
        <v/>
      </c>
      <c r="BU13" s="37"/>
      <c r="BV13" s="33"/>
      <c r="BW13" s="34"/>
      <c r="BX13" s="35" t="str">
        <f t="shared" si="28"/>
        <v/>
      </c>
      <c r="BY13" s="36" t="str">
        <f t="shared" si="29"/>
        <v/>
      </c>
      <c r="BZ13" s="37"/>
      <c r="CA13" s="33"/>
      <c r="CB13" s="34"/>
      <c r="CC13" s="35" t="str">
        <f t="shared" si="30"/>
        <v/>
      </c>
      <c r="CD13" s="36" t="str">
        <f t="shared" si="31"/>
        <v/>
      </c>
      <c r="CE13" s="37"/>
      <c r="CF13" s="33"/>
      <c r="CG13" s="34"/>
      <c r="CH13" s="35" t="str">
        <f t="shared" si="32"/>
        <v/>
      </c>
      <c r="CI13" s="36" t="str">
        <f t="shared" si="33"/>
        <v/>
      </c>
      <c r="CJ13" s="37"/>
      <c r="CK13" s="33"/>
      <c r="CL13" s="34"/>
      <c r="CM13" s="35" t="str">
        <f t="shared" si="34"/>
        <v/>
      </c>
      <c r="CN13" s="36" t="str">
        <f t="shared" si="35"/>
        <v/>
      </c>
      <c r="CO13" s="37"/>
      <c r="CP13" s="33"/>
      <c r="CQ13" s="34"/>
      <c r="CR13" s="35" t="str">
        <f t="shared" si="36"/>
        <v/>
      </c>
      <c r="CS13" s="36" t="str">
        <f t="shared" si="37"/>
        <v/>
      </c>
      <c r="CT13" s="37"/>
      <c r="CU13" s="33"/>
      <c r="CV13" s="34"/>
      <c r="CW13" s="35" t="str">
        <f t="shared" si="38"/>
        <v/>
      </c>
      <c r="CX13" s="36" t="str">
        <f t="shared" si="39"/>
        <v/>
      </c>
      <c r="CY13" s="37"/>
      <c r="CZ13" s="33"/>
      <c r="DA13" s="34"/>
      <c r="DB13" s="35" t="str">
        <f t="shared" si="40"/>
        <v/>
      </c>
      <c r="DC13" s="36" t="str">
        <f t="shared" si="41"/>
        <v/>
      </c>
      <c r="DD13" s="37"/>
      <c r="DE13" s="33"/>
      <c r="DF13" s="34"/>
      <c r="DG13" s="35" t="str">
        <f t="shared" si="42"/>
        <v/>
      </c>
      <c r="DH13" s="36" t="str">
        <f t="shared" si="43"/>
        <v/>
      </c>
      <c r="DI13" s="37"/>
      <c r="DJ13" s="33"/>
      <c r="DK13" s="34"/>
      <c r="DL13" s="35" t="str">
        <f t="shared" si="44"/>
        <v/>
      </c>
      <c r="DM13" s="36" t="str">
        <f t="shared" si="45"/>
        <v/>
      </c>
      <c r="DN13" s="37"/>
      <c r="DO13" s="33"/>
      <c r="DP13" s="34"/>
      <c r="DQ13" s="35" t="str">
        <f t="shared" si="46"/>
        <v/>
      </c>
      <c r="DR13" s="36" t="str">
        <f t="shared" si="47"/>
        <v/>
      </c>
      <c r="DS13" s="37"/>
      <c r="DT13" s="33"/>
      <c r="DU13" s="34"/>
      <c r="DV13" s="35" t="str">
        <f t="shared" si="48"/>
        <v/>
      </c>
      <c r="DW13" s="36" t="str">
        <f t="shared" si="49"/>
        <v/>
      </c>
      <c r="DX13" s="37"/>
      <c r="DY13" s="33"/>
      <c r="DZ13" s="34"/>
      <c r="EA13" s="35" t="str">
        <f t="shared" si="50"/>
        <v/>
      </c>
      <c r="EB13" s="36" t="str">
        <f t="shared" si="51"/>
        <v/>
      </c>
      <c r="EC13" s="37"/>
      <c r="ED13" s="33"/>
      <c r="EE13" s="34"/>
      <c r="EF13" s="35" t="str">
        <f t="shared" si="52"/>
        <v/>
      </c>
      <c r="EG13" s="36" t="str">
        <f t="shared" si="53"/>
        <v/>
      </c>
      <c r="EH13" s="37"/>
      <c r="EI13" s="33"/>
      <c r="EJ13" s="34"/>
      <c r="EK13" s="35" t="str">
        <f t="shared" si="54"/>
        <v/>
      </c>
      <c r="EL13" s="36" t="str">
        <f t="shared" si="55"/>
        <v/>
      </c>
      <c r="EM13" s="37"/>
      <c r="EN13" s="33"/>
      <c r="EO13" s="34"/>
      <c r="EP13" s="35" t="str">
        <f t="shared" si="56"/>
        <v/>
      </c>
      <c r="EQ13" s="36" t="str">
        <f t="shared" si="57"/>
        <v/>
      </c>
      <c r="ER13" s="37"/>
      <c r="ES13" s="33"/>
      <c r="ET13" s="34"/>
      <c r="EU13" s="35" t="str">
        <f t="shared" si="58"/>
        <v/>
      </c>
      <c r="EV13" s="36" t="str">
        <f t="shared" si="59"/>
        <v/>
      </c>
      <c r="EW13" s="37"/>
    </row>
    <row r="14" spans="1:153" ht="19.5" customHeight="1">
      <c r="A14" s="32">
        <f>IF(DAY(DATE(対象年度,8,11))&lt;&gt;11,"",11)</f>
        <v>11</v>
      </c>
      <c r="B14" s="32" t="str">
        <f>IF(DAY(DATE(対象年度,8,11))&lt;&gt;11,"",CHOOSE(WEEKDAY(DATE(対象年度,8,11),2),"月","火","水","木","金","土","日"))</f>
        <v>火</v>
      </c>
      <c r="C14" s="32" t="str">
        <f>IF(DAY(DATE(対象年度,8,11))&lt;&gt;11,"",IF(ISNUMBER(MATCH(DATE(対象年度,8,11),祝日リスト,0)),"祝",""))</f>
        <v>祝</v>
      </c>
      <c r="D14" s="33"/>
      <c r="E14" s="34"/>
      <c r="F14" s="35" t="str">
        <f t="shared" si="0"/>
        <v/>
      </c>
      <c r="G14" s="36" t="str">
        <f t="shared" si="1"/>
        <v/>
      </c>
      <c r="H14" s="37"/>
      <c r="I14" s="33"/>
      <c r="J14" s="34"/>
      <c r="K14" s="35" t="str">
        <f t="shared" si="2"/>
        <v/>
      </c>
      <c r="L14" s="36" t="str">
        <f t="shared" si="3"/>
        <v/>
      </c>
      <c r="M14" s="37"/>
      <c r="N14" s="33"/>
      <c r="O14" s="34"/>
      <c r="P14" s="35" t="str">
        <f t="shared" si="4"/>
        <v/>
      </c>
      <c r="Q14" s="36" t="str">
        <f t="shared" si="5"/>
        <v/>
      </c>
      <c r="R14" s="37"/>
      <c r="S14" s="33"/>
      <c r="T14" s="34"/>
      <c r="U14" s="35" t="str">
        <f t="shared" si="6"/>
        <v/>
      </c>
      <c r="V14" s="36" t="str">
        <f t="shared" si="7"/>
        <v/>
      </c>
      <c r="W14" s="37"/>
      <c r="X14" s="33"/>
      <c r="Y14" s="34"/>
      <c r="Z14" s="35" t="str">
        <f t="shared" si="8"/>
        <v/>
      </c>
      <c r="AA14" s="36" t="str">
        <f t="shared" si="9"/>
        <v/>
      </c>
      <c r="AB14" s="37"/>
      <c r="AC14" s="33"/>
      <c r="AD14" s="34"/>
      <c r="AE14" s="35" t="str">
        <f t="shared" si="10"/>
        <v/>
      </c>
      <c r="AF14" s="36" t="str">
        <f t="shared" si="11"/>
        <v/>
      </c>
      <c r="AG14" s="37"/>
      <c r="AH14" s="33"/>
      <c r="AI14" s="34"/>
      <c r="AJ14" s="35" t="str">
        <f t="shared" si="12"/>
        <v/>
      </c>
      <c r="AK14" s="36" t="str">
        <f t="shared" si="13"/>
        <v/>
      </c>
      <c r="AL14" s="37"/>
      <c r="AM14" s="33"/>
      <c r="AN14" s="34"/>
      <c r="AO14" s="35" t="str">
        <f t="shared" si="14"/>
        <v/>
      </c>
      <c r="AP14" s="36" t="str">
        <f t="shared" si="15"/>
        <v/>
      </c>
      <c r="AQ14" s="37"/>
      <c r="AR14" s="33"/>
      <c r="AS14" s="34"/>
      <c r="AT14" s="35" t="str">
        <f t="shared" si="16"/>
        <v/>
      </c>
      <c r="AU14" s="36" t="str">
        <f t="shared" si="17"/>
        <v/>
      </c>
      <c r="AV14" s="37"/>
      <c r="AW14" s="33"/>
      <c r="AX14" s="34"/>
      <c r="AY14" s="35" t="str">
        <f t="shared" si="18"/>
        <v/>
      </c>
      <c r="AZ14" s="36" t="str">
        <f t="shared" si="19"/>
        <v/>
      </c>
      <c r="BA14" s="37"/>
      <c r="BB14" s="33"/>
      <c r="BC14" s="34"/>
      <c r="BD14" s="35" t="str">
        <f t="shared" si="20"/>
        <v/>
      </c>
      <c r="BE14" s="36" t="str">
        <f t="shared" si="21"/>
        <v/>
      </c>
      <c r="BF14" s="37"/>
      <c r="BG14" s="33"/>
      <c r="BH14" s="34"/>
      <c r="BI14" s="35" t="str">
        <f t="shared" si="22"/>
        <v/>
      </c>
      <c r="BJ14" s="36" t="str">
        <f t="shared" si="23"/>
        <v/>
      </c>
      <c r="BK14" s="37"/>
      <c r="BL14" s="33"/>
      <c r="BM14" s="34"/>
      <c r="BN14" s="35" t="str">
        <f t="shared" si="24"/>
        <v/>
      </c>
      <c r="BO14" s="36" t="str">
        <f t="shared" si="25"/>
        <v/>
      </c>
      <c r="BP14" s="37"/>
      <c r="BQ14" s="33"/>
      <c r="BR14" s="34"/>
      <c r="BS14" s="35" t="str">
        <f t="shared" si="26"/>
        <v/>
      </c>
      <c r="BT14" s="36" t="str">
        <f t="shared" si="27"/>
        <v/>
      </c>
      <c r="BU14" s="37"/>
      <c r="BV14" s="33"/>
      <c r="BW14" s="34"/>
      <c r="BX14" s="35" t="str">
        <f t="shared" si="28"/>
        <v/>
      </c>
      <c r="BY14" s="36" t="str">
        <f t="shared" si="29"/>
        <v/>
      </c>
      <c r="BZ14" s="37"/>
      <c r="CA14" s="33"/>
      <c r="CB14" s="34"/>
      <c r="CC14" s="35" t="str">
        <f t="shared" si="30"/>
        <v/>
      </c>
      <c r="CD14" s="36" t="str">
        <f t="shared" si="31"/>
        <v/>
      </c>
      <c r="CE14" s="37"/>
      <c r="CF14" s="33"/>
      <c r="CG14" s="34"/>
      <c r="CH14" s="35" t="str">
        <f t="shared" si="32"/>
        <v/>
      </c>
      <c r="CI14" s="36" t="str">
        <f t="shared" si="33"/>
        <v/>
      </c>
      <c r="CJ14" s="37"/>
      <c r="CK14" s="33"/>
      <c r="CL14" s="34"/>
      <c r="CM14" s="35" t="str">
        <f t="shared" si="34"/>
        <v/>
      </c>
      <c r="CN14" s="36" t="str">
        <f t="shared" si="35"/>
        <v/>
      </c>
      <c r="CO14" s="37"/>
      <c r="CP14" s="33"/>
      <c r="CQ14" s="34"/>
      <c r="CR14" s="35" t="str">
        <f t="shared" si="36"/>
        <v/>
      </c>
      <c r="CS14" s="36" t="str">
        <f t="shared" si="37"/>
        <v/>
      </c>
      <c r="CT14" s="37"/>
      <c r="CU14" s="33"/>
      <c r="CV14" s="34"/>
      <c r="CW14" s="35" t="str">
        <f t="shared" si="38"/>
        <v/>
      </c>
      <c r="CX14" s="36" t="str">
        <f t="shared" si="39"/>
        <v/>
      </c>
      <c r="CY14" s="37"/>
      <c r="CZ14" s="33"/>
      <c r="DA14" s="34"/>
      <c r="DB14" s="35" t="str">
        <f t="shared" si="40"/>
        <v/>
      </c>
      <c r="DC14" s="36" t="str">
        <f t="shared" si="41"/>
        <v/>
      </c>
      <c r="DD14" s="37"/>
      <c r="DE14" s="33"/>
      <c r="DF14" s="34"/>
      <c r="DG14" s="35" t="str">
        <f t="shared" si="42"/>
        <v/>
      </c>
      <c r="DH14" s="36" t="str">
        <f t="shared" si="43"/>
        <v/>
      </c>
      <c r="DI14" s="37"/>
      <c r="DJ14" s="33"/>
      <c r="DK14" s="34"/>
      <c r="DL14" s="35" t="str">
        <f t="shared" si="44"/>
        <v/>
      </c>
      <c r="DM14" s="36" t="str">
        <f t="shared" si="45"/>
        <v/>
      </c>
      <c r="DN14" s="37"/>
      <c r="DO14" s="33"/>
      <c r="DP14" s="34"/>
      <c r="DQ14" s="35" t="str">
        <f t="shared" si="46"/>
        <v/>
      </c>
      <c r="DR14" s="36" t="str">
        <f t="shared" si="47"/>
        <v/>
      </c>
      <c r="DS14" s="37"/>
      <c r="DT14" s="33"/>
      <c r="DU14" s="34"/>
      <c r="DV14" s="35" t="str">
        <f t="shared" si="48"/>
        <v/>
      </c>
      <c r="DW14" s="36" t="str">
        <f t="shared" si="49"/>
        <v/>
      </c>
      <c r="DX14" s="37"/>
      <c r="DY14" s="33"/>
      <c r="DZ14" s="34"/>
      <c r="EA14" s="35" t="str">
        <f t="shared" si="50"/>
        <v/>
      </c>
      <c r="EB14" s="36" t="str">
        <f t="shared" si="51"/>
        <v/>
      </c>
      <c r="EC14" s="37"/>
      <c r="ED14" s="33"/>
      <c r="EE14" s="34"/>
      <c r="EF14" s="35" t="str">
        <f t="shared" si="52"/>
        <v/>
      </c>
      <c r="EG14" s="36" t="str">
        <f t="shared" si="53"/>
        <v/>
      </c>
      <c r="EH14" s="37"/>
      <c r="EI14" s="33"/>
      <c r="EJ14" s="34"/>
      <c r="EK14" s="35" t="str">
        <f t="shared" si="54"/>
        <v/>
      </c>
      <c r="EL14" s="36" t="str">
        <f t="shared" si="55"/>
        <v/>
      </c>
      <c r="EM14" s="37"/>
      <c r="EN14" s="33"/>
      <c r="EO14" s="34"/>
      <c r="EP14" s="35" t="str">
        <f t="shared" si="56"/>
        <v/>
      </c>
      <c r="EQ14" s="36" t="str">
        <f t="shared" si="57"/>
        <v/>
      </c>
      <c r="ER14" s="37"/>
      <c r="ES14" s="33"/>
      <c r="ET14" s="34"/>
      <c r="EU14" s="35" t="str">
        <f t="shared" si="58"/>
        <v/>
      </c>
      <c r="EV14" s="36" t="str">
        <f t="shared" si="59"/>
        <v/>
      </c>
      <c r="EW14" s="37"/>
    </row>
    <row r="15" spans="1:153" ht="19.5" customHeight="1">
      <c r="A15" s="32">
        <f>IF(DAY(DATE(対象年度,8,12))&lt;&gt;12,"",12)</f>
        <v>12</v>
      </c>
      <c r="B15" s="32" t="str">
        <f>IF(DAY(DATE(対象年度,8,12))&lt;&gt;12,"",CHOOSE(WEEKDAY(DATE(対象年度,8,12),2),"月","火","水","木","金","土","日"))</f>
        <v>水</v>
      </c>
      <c r="C15" s="32" t="str">
        <f>IF(DAY(DATE(対象年度,8,12))&lt;&gt;12,"",IF(ISNUMBER(MATCH(DATE(対象年度,8,12),祝日リスト,0)),"祝",""))</f>
        <v/>
      </c>
      <c r="D15" s="33"/>
      <c r="E15" s="34"/>
      <c r="F15" s="35" t="str">
        <f t="shared" si="0"/>
        <v/>
      </c>
      <c r="G15" s="36" t="str">
        <f t="shared" si="1"/>
        <v/>
      </c>
      <c r="H15" s="37"/>
      <c r="I15" s="33"/>
      <c r="J15" s="34"/>
      <c r="K15" s="35" t="str">
        <f t="shared" si="2"/>
        <v/>
      </c>
      <c r="L15" s="36" t="str">
        <f t="shared" si="3"/>
        <v/>
      </c>
      <c r="M15" s="37"/>
      <c r="N15" s="33"/>
      <c r="O15" s="34"/>
      <c r="P15" s="35" t="str">
        <f t="shared" si="4"/>
        <v/>
      </c>
      <c r="Q15" s="36" t="str">
        <f t="shared" si="5"/>
        <v/>
      </c>
      <c r="R15" s="37"/>
      <c r="S15" s="33"/>
      <c r="T15" s="34"/>
      <c r="U15" s="35" t="str">
        <f t="shared" si="6"/>
        <v/>
      </c>
      <c r="V15" s="36" t="str">
        <f t="shared" si="7"/>
        <v/>
      </c>
      <c r="W15" s="37"/>
      <c r="X15" s="33"/>
      <c r="Y15" s="34"/>
      <c r="Z15" s="35" t="str">
        <f t="shared" si="8"/>
        <v/>
      </c>
      <c r="AA15" s="36" t="str">
        <f t="shared" si="9"/>
        <v/>
      </c>
      <c r="AB15" s="37"/>
      <c r="AC15" s="33"/>
      <c r="AD15" s="34"/>
      <c r="AE15" s="35" t="str">
        <f t="shared" si="10"/>
        <v/>
      </c>
      <c r="AF15" s="36" t="str">
        <f t="shared" si="11"/>
        <v/>
      </c>
      <c r="AG15" s="37"/>
      <c r="AH15" s="33"/>
      <c r="AI15" s="34"/>
      <c r="AJ15" s="35" t="str">
        <f t="shared" si="12"/>
        <v/>
      </c>
      <c r="AK15" s="36" t="str">
        <f t="shared" si="13"/>
        <v/>
      </c>
      <c r="AL15" s="37"/>
      <c r="AM15" s="33"/>
      <c r="AN15" s="34"/>
      <c r="AO15" s="35" t="str">
        <f t="shared" si="14"/>
        <v/>
      </c>
      <c r="AP15" s="36" t="str">
        <f t="shared" si="15"/>
        <v/>
      </c>
      <c r="AQ15" s="37"/>
      <c r="AR15" s="33"/>
      <c r="AS15" s="34"/>
      <c r="AT15" s="35" t="str">
        <f t="shared" si="16"/>
        <v/>
      </c>
      <c r="AU15" s="36" t="str">
        <f t="shared" si="17"/>
        <v/>
      </c>
      <c r="AV15" s="37"/>
      <c r="AW15" s="33"/>
      <c r="AX15" s="34"/>
      <c r="AY15" s="35" t="str">
        <f t="shared" si="18"/>
        <v/>
      </c>
      <c r="AZ15" s="36" t="str">
        <f t="shared" si="19"/>
        <v/>
      </c>
      <c r="BA15" s="37"/>
      <c r="BB15" s="33"/>
      <c r="BC15" s="34"/>
      <c r="BD15" s="35" t="str">
        <f t="shared" si="20"/>
        <v/>
      </c>
      <c r="BE15" s="36" t="str">
        <f t="shared" si="21"/>
        <v/>
      </c>
      <c r="BF15" s="37"/>
      <c r="BG15" s="33"/>
      <c r="BH15" s="34"/>
      <c r="BI15" s="35" t="str">
        <f t="shared" si="22"/>
        <v/>
      </c>
      <c r="BJ15" s="36" t="str">
        <f t="shared" si="23"/>
        <v/>
      </c>
      <c r="BK15" s="37"/>
      <c r="BL15" s="33"/>
      <c r="BM15" s="34"/>
      <c r="BN15" s="35" t="str">
        <f t="shared" si="24"/>
        <v/>
      </c>
      <c r="BO15" s="36" t="str">
        <f t="shared" si="25"/>
        <v/>
      </c>
      <c r="BP15" s="37"/>
      <c r="BQ15" s="33"/>
      <c r="BR15" s="34"/>
      <c r="BS15" s="35" t="str">
        <f t="shared" si="26"/>
        <v/>
      </c>
      <c r="BT15" s="36" t="str">
        <f t="shared" si="27"/>
        <v/>
      </c>
      <c r="BU15" s="37"/>
      <c r="BV15" s="33"/>
      <c r="BW15" s="34"/>
      <c r="BX15" s="35" t="str">
        <f t="shared" si="28"/>
        <v/>
      </c>
      <c r="BY15" s="36" t="str">
        <f t="shared" si="29"/>
        <v/>
      </c>
      <c r="BZ15" s="37"/>
      <c r="CA15" s="33"/>
      <c r="CB15" s="34"/>
      <c r="CC15" s="35" t="str">
        <f t="shared" si="30"/>
        <v/>
      </c>
      <c r="CD15" s="36" t="str">
        <f t="shared" si="31"/>
        <v/>
      </c>
      <c r="CE15" s="37"/>
      <c r="CF15" s="33"/>
      <c r="CG15" s="34"/>
      <c r="CH15" s="35" t="str">
        <f t="shared" si="32"/>
        <v/>
      </c>
      <c r="CI15" s="36" t="str">
        <f t="shared" si="33"/>
        <v/>
      </c>
      <c r="CJ15" s="37"/>
      <c r="CK15" s="33"/>
      <c r="CL15" s="34"/>
      <c r="CM15" s="35" t="str">
        <f t="shared" si="34"/>
        <v/>
      </c>
      <c r="CN15" s="36" t="str">
        <f t="shared" si="35"/>
        <v/>
      </c>
      <c r="CO15" s="37"/>
      <c r="CP15" s="33"/>
      <c r="CQ15" s="34"/>
      <c r="CR15" s="35" t="str">
        <f t="shared" si="36"/>
        <v/>
      </c>
      <c r="CS15" s="36" t="str">
        <f t="shared" si="37"/>
        <v/>
      </c>
      <c r="CT15" s="37"/>
      <c r="CU15" s="33"/>
      <c r="CV15" s="34"/>
      <c r="CW15" s="35" t="str">
        <f t="shared" si="38"/>
        <v/>
      </c>
      <c r="CX15" s="36" t="str">
        <f t="shared" si="39"/>
        <v/>
      </c>
      <c r="CY15" s="37"/>
      <c r="CZ15" s="33"/>
      <c r="DA15" s="34"/>
      <c r="DB15" s="35" t="str">
        <f t="shared" si="40"/>
        <v/>
      </c>
      <c r="DC15" s="36" t="str">
        <f t="shared" si="41"/>
        <v/>
      </c>
      <c r="DD15" s="37"/>
      <c r="DE15" s="33"/>
      <c r="DF15" s="34"/>
      <c r="DG15" s="35" t="str">
        <f t="shared" si="42"/>
        <v/>
      </c>
      <c r="DH15" s="36" t="str">
        <f t="shared" si="43"/>
        <v/>
      </c>
      <c r="DI15" s="37"/>
      <c r="DJ15" s="33"/>
      <c r="DK15" s="34"/>
      <c r="DL15" s="35" t="str">
        <f t="shared" si="44"/>
        <v/>
      </c>
      <c r="DM15" s="36" t="str">
        <f t="shared" si="45"/>
        <v/>
      </c>
      <c r="DN15" s="37"/>
      <c r="DO15" s="33"/>
      <c r="DP15" s="34"/>
      <c r="DQ15" s="35" t="str">
        <f t="shared" si="46"/>
        <v/>
      </c>
      <c r="DR15" s="36" t="str">
        <f t="shared" si="47"/>
        <v/>
      </c>
      <c r="DS15" s="37"/>
      <c r="DT15" s="33"/>
      <c r="DU15" s="34"/>
      <c r="DV15" s="35" t="str">
        <f t="shared" si="48"/>
        <v/>
      </c>
      <c r="DW15" s="36" t="str">
        <f t="shared" si="49"/>
        <v/>
      </c>
      <c r="DX15" s="37"/>
      <c r="DY15" s="33"/>
      <c r="DZ15" s="34"/>
      <c r="EA15" s="35" t="str">
        <f t="shared" si="50"/>
        <v/>
      </c>
      <c r="EB15" s="36" t="str">
        <f t="shared" si="51"/>
        <v/>
      </c>
      <c r="EC15" s="37"/>
      <c r="ED15" s="33"/>
      <c r="EE15" s="34"/>
      <c r="EF15" s="35" t="str">
        <f t="shared" si="52"/>
        <v/>
      </c>
      <c r="EG15" s="36" t="str">
        <f t="shared" si="53"/>
        <v/>
      </c>
      <c r="EH15" s="37"/>
      <c r="EI15" s="33"/>
      <c r="EJ15" s="34"/>
      <c r="EK15" s="35" t="str">
        <f t="shared" si="54"/>
        <v/>
      </c>
      <c r="EL15" s="36" t="str">
        <f t="shared" si="55"/>
        <v/>
      </c>
      <c r="EM15" s="37"/>
      <c r="EN15" s="33"/>
      <c r="EO15" s="34"/>
      <c r="EP15" s="35" t="str">
        <f t="shared" si="56"/>
        <v/>
      </c>
      <c r="EQ15" s="36" t="str">
        <f t="shared" si="57"/>
        <v/>
      </c>
      <c r="ER15" s="37"/>
      <c r="ES15" s="33"/>
      <c r="ET15" s="34"/>
      <c r="EU15" s="35" t="str">
        <f t="shared" si="58"/>
        <v/>
      </c>
      <c r="EV15" s="36" t="str">
        <f t="shared" si="59"/>
        <v/>
      </c>
      <c r="EW15" s="37"/>
    </row>
    <row r="16" spans="1:153" ht="19.5" customHeight="1">
      <c r="A16" s="32">
        <f>IF(DAY(DATE(対象年度,8,13))&lt;&gt;13,"",13)</f>
        <v>13</v>
      </c>
      <c r="B16" s="32" t="str">
        <f>IF(DAY(DATE(対象年度,8,13))&lt;&gt;13,"",CHOOSE(WEEKDAY(DATE(対象年度,8,13),2),"月","火","水","木","金","土","日"))</f>
        <v>木</v>
      </c>
      <c r="C16" s="32" t="str">
        <f>IF(DAY(DATE(対象年度,8,13))&lt;&gt;13,"",IF(ISNUMBER(MATCH(DATE(対象年度,8,13),祝日リスト,0)),"祝",""))</f>
        <v/>
      </c>
      <c r="D16" s="33"/>
      <c r="E16" s="34"/>
      <c r="F16" s="35" t="str">
        <f t="shared" si="0"/>
        <v/>
      </c>
      <c r="G16" s="36" t="str">
        <f t="shared" si="1"/>
        <v/>
      </c>
      <c r="H16" s="37"/>
      <c r="I16" s="33"/>
      <c r="J16" s="34"/>
      <c r="K16" s="35" t="str">
        <f t="shared" si="2"/>
        <v/>
      </c>
      <c r="L16" s="36" t="str">
        <f t="shared" si="3"/>
        <v/>
      </c>
      <c r="M16" s="37"/>
      <c r="N16" s="33"/>
      <c r="O16" s="34"/>
      <c r="P16" s="35" t="str">
        <f t="shared" si="4"/>
        <v/>
      </c>
      <c r="Q16" s="36" t="str">
        <f t="shared" si="5"/>
        <v/>
      </c>
      <c r="R16" s="37"/>
      <c r="S16" s="33"/>
      <c r="T16" s="34"/>
      <c r="U16" s="35" t="str">
        <f t="shared" si="6"/>
        <v/>
      </c>
      <c r="V16" s="36" t="str">
        <f t="shared" si="7"/>
        <v/>
      </c>
      <c r="W16" s="37"/>
      <c r="X16" s="33"/>
      <c r="Y16" s="34"/>
      <c r="Z16" s="35" t="str">
        <f t="shared" si="8"/>
        <v/>
      </c>
      <c r="AA16" s="36" t="str">
        <f t="shared" si="9"/>
        <v/>
      </c>
      <c r="AB16" s="37"/>
      <c r="AC16" s="33"/>
      <c r="AD16" s="34"/>
      <c r="AE16" s="35" t="str">
        <f t="shared" si="10"/>
        <v/>
      </c>
      <c r="AF16" s="36" t="str">
        <f t="shared" si="11"/>
        <v/>
      </c>
      <c r="AG16" s="37"/>
      <c r="AH16" s="33"/>
      <c r="AI16" s="34"/>
      <c r="AJ16" s="35" t="str">
        <f t="shared" si="12"/>
        <v/>
      </c>
      <c r="AK16" s="36" t="str">
        <f t="shared" si="13"/>
        <v/>
      </c>
      <c r="AL16" s="37"/>
      <c r="AM16" s="33"/>
      <c r="AN16" s="34"/>
      <c r="AO16" s="35" t="str">
        <f t="shared" si="14"/>
        <v/>
      </c>
      <c r="AP16" s="36" t="str">
        <f t="shared" si="15"/>
        <v/>
      </c>
      <c r="AQ16" s="37"/>
      <c r="AR16" s="33"/>
      <c r="AS16" s="34"/>
      <c r="AT16" s="35" t="str">
        <f t="shared" si="16"/>
        <v/>
      </c>
      <c r="AU16" s="36" t="str">
        <f t="shared" si="17"/>
        <v/>
      </c>
      <c r="AV16" s="37"/>
      <c r="AW16" s="33"/>
      <c r="AX16" s="34"/>
      <c r="AY16" s="35" t="str">
        <f t="shared" si="18"/>
        <v/>
      </c>
      <c r="AZ16" s="36" t="str">
        <f t="shared" si="19"/>
        <v/>
      </c>
      <c r="BA16" s="37"/>
      <c r="BB16" s="33"/>
      <c r="BC16" s="34"/>
      <c r="BD16" s="35" t="str">
        <f t="shared" si="20"/>
        <v/>
      </c>
      <c r="BE16" s="36" t="str">
        <f t="shared" si="21"/>
        <v/>
      </c>
      <c r="BF16" s="37"/>
      <c r="BG16" s="33"/>
      <c r="BH16" s="34"/>
      <c r="BI16" s="35" t="str">
        <f t="shared" si="22"/>
        <v/>
      </c>
      <c r="BJ16" s="36" t="str">
        <f t="shared" si="23"/>
        <v/>
      </c>
      <c r="BK16" s="37"/>
      <c r="BL16" s="33"/>
      <c r="BM16" s="34"/>
      <c r="BN16" s="35" t="str">
        <f t="shared" si="24"/>
        <v/>
      </c>
      <c r="BO16" s="36" t="str">
        <f t="shared" si="25"/>
        <v/>
      </c>
      <c r="BP16" s="37"/>
      <c r="BQ16" s="33"/>
      <c r="BR16" s="34"/>
      <c r="BS16" s="35" t="str">
        <f t="shared" si="26"/>
        <v/>
      </c>
      <c r="BT16" s="36" t="str">
        <f t="shared" si="27"/>
        <v/>
      </c>
      <c r="BU16" s="37"/>
      <c r="BV16" s="33"/>
      <c r="BW16" s="34"/>
      <c r="BX16" s="35" t="str">
        <f t="shared" si="28"/>
        <v/>
      </c>
      <c r="BY16" s="36" t="str">
        <f t="shared" si="29"/>
        <v/>
      </c>
      <c r="BZ16" s="37"/>
      <c r="CA16" s="33"/>
      <c r="CB16" s="34"/>
      <c r="CC16" s="35" t="str">
        <f t="shared" si="30"/>
        <v/>
      </c>
      <c r="CD16" s="36" t="str">
        <f t="shared" si="31"/>
        <v/>
      </c>
      <c r="CE16" s="37"/>
      <c r="CF16" s="33"/>
      <c r="CG16" s="34"/>
      <c r="CH16" s="35" t="str">
        <f t="shared" si="32"/>
        <v/>
      </c>
      <c r="CI16" s="36" t="str">
        <f t="shared" si="33"/>
        <v/>
      </c>
      <c r="CJ16" s="37"/>
      <c r="CK16" s="33"/>
      <c r="CL16" s="34"/>
      <c r="CM16" s="35" t="str">
        <f t="shared" si="34"/>
        <v/>
      </c>
      <c r="CN16" s="36" t="str">
        <f t="shared" si="35"/>
        <v/>
      </c>
      <c r="CO16" s="37"/>
      <c r="CP16" s="33"/>
      <c r="CQ16" s="34"/>
      <c r="CR16" s="35" t="str">
        <f t="shared" si="36"/>
        <v/>
      </c>
      <c r="CS16" s="36" t="str">
        <f t="shared" si="37"/>
        <v/>
      </c>
      <c r="CT16" s="37"/>
      <c r="CU16" s="33"/>
      <c r="CV16" s="34"/>
      <c r="CW16" s="35" t="str">
        <f t="shared" si="38"/>
        <v/>
      </c>
      <c r="CX16" s="36" t="str">
        <f t="shared" si="39"/>
        <v/>
      </c>
      <c r="CY16" s="37"/>
      <c r="CZ16" s="33"/>
      <c r="DA16" s="34"/>
      <c r="DB16" s="35" t="str">
        <f t="shared" si="40"/>
        <v/>
      </c>
      <c r="DC16" s="36" t="str">
        <f t="shared" si="41"/>
        <v/>
      </c>
      <c r="DD16" s="37"/>
      <c r="DE16" s="33"/>
      <c r="DF16" s="34"/>
      <c r="DG16" s="35" t="str">
        <f t="shared" si="42"/>
        <v/>
      </c>
      <c r="DH16" s="36" t="str">
        <f t="shared" si="43"/>
        <v/>
      </c>
      <c r="DI16" s="37"/>
      <c r="DJ16" s="33"/>
      <c r="DK16" s="34"/>
      <c r="DL16" s="35" t="str">
        <f t="shared" si="44"/>
        <v/>
      </c>
      <c r="DM16" s="36" t="str">
        <f t="shared" si="45"/>
        <v/>
      </c>
      <c r="DN16" s="37"/>
      <c r="DO16" s="33"/>
      <c r="DP16" s="34"/>
      <c r="DQ16" s="35" t="str">
        <f t="shared" si="46"/>
        <v/>
      </c>
      <c r="DR16" s="36" t="str">
        <f t="shared" si="47"/>
        <v/>
      </c>
      <c r="DS16" s="37"/>
      <c r="DT16" s="33"/>
      <c r="DU16" s="34"/>
      <c r="DV16" s="35" t="str">
        <f t="shared" si="48"/>
        <v/>
      </c>
      <c r="DW16" s="36" t="str">
        <f t="shared" si="49"/>
        <v/>
      </c>
      <c r="DX16" s="37"/>
      <c r="DY16" s="33"/>
      <c r="DZ16" s="34"/>
      <c r="EA16" s="35" t="str">
        <f t="shared" si="50"/>
        <v/>
      </c>
      <c r="EB16" s="36" t="str">
        <f t="shared" si="51"/>
        <v/>
      </c>
      <c r="EC16" s="37"/>
      <c r="ED16" s="33"/>
      <c r="EE16" s="34"/>
      <c r="EF16" s="35" t="str">
        <f t="shared" si="52"/>
        <v/>
      </c>
      <c r="EG16" s="36" t="str">
        <f t="shared" si="53"/>
        <v/>
      </c>
      <c r="EH16" s="37"/>
      <c r="EI16" s="33"/>
      <c r="EJ16" s="34"/>
      <c r="EK16" s="35" t="str">
        <f t="shared" si="54"/>
        <v/>
      </c>
      <c r="EL16" s="36" t="str">
        <f t="shared" si="55"/>
        <v/>
      </c>
      <c r="EM16" s="37"/>
      <c r="EN16" s="33"/>
      <c r="EO16" s="34"/>
      <c r="EP16" s="35" t="str">
        <f t="shared" si="56"/>
        <v/>
      </c>
      <c r="EQ16" s="36" t="str">
        <f t="shared" si="57"/>
        <v/>
      </c>
      <c r="ER16" s="37"/>
      <c r="ES16" s="33"/>
      <c r="ET16" s="34"/>
      <c r="EU16" s="35" t="str">
        <f t="shared" si="58"/>
        <v/>
      </c>
      <c r="EV16" s="36" t="str">
        <f t="shared" si="59"/>
        <v/>
      </c>
      <c r="EW16" s="37"/>
    </row>
    <row r="17" spans="1:153" ht="19.5" customHeight="1">
      <c r="A17" s="32">
        <f>IF(DAY(DATE(対象年度,8,14))&lt;&gt;14,"",14)</f>
        <v>14</v>
      </c>
      <c r="B17" s="32" t="str">
        <f>IF(DAY(DATE(対象年度,8,14))&lt;&gt;14,"",CHOOSE(WEEKDAY(DATE(対象年度,8,14),2),"月","火","水","木","金","土","日"))</f>
        <v>金</v>
      </c>
      <c r="C17" s="32" t="str">
        <f>IF(DAY(DATE(対象年度,8,14))&lt;&gt;14,"",IF(ISNUMBER(MATCH(DATE(対象年度,8,14),祝日リスト,0)),"祝",""))</f>
        <v/>
      </c>
      <c r="D17" s="33"/>
      <c r="E17" s="34"/>
      <c r="F17" s="35" t="str">
        <f t="shared" si="0"/>
        <v/>
      </c>
      <c r="G17" s="36" t="str">
        <f t="shared" si="1"/>
        <v/>
      </c>
      <c r="H17" s="37"/>
      <c r="I17" s="33"/>
      <c r="J17" s="34"/>
      <c r="K17" s="35" t="str">
        <f t="shared" si="2"/>
        <v/>
      </c>
      <c r="L17" s="36" t="str">
        <f t="shared" si="3"/>
        <v/>
      </c>
      <c r="M17" s="37"/>
      <c r="N17" s="33"/>
      <c r="O17" s="34"/>
      <c r="P17" s="35" t="str">
        <f t="shared" si="4"/>
        <v/>
      </c>
      <c r="Q17" s="36" t="str">
        <f t="shared" si="5"/>
        <v/>
      </c>
      <c r="R17" s="37"/>
      <c r="S17" s="33"/>
      <c r="T17" s="34"/>
      <c r="U17" s="35" t="str">
        <f t="shared" si="6"/>
        <v/>
      </c>
      <c r="V17" s="36" t="str">
        <f t="shared" si="7"/>
        <v/>
      </c>
      <c r="W17" s="37"/>
      <c r="X17" s="33"/>
      <c r="Y17" s="34"/>
      <c r="Z17" s="35" t="str">
        <f t="shared" si="8"/>
        <v/>
      </c>
      <c r="AA17" s="36" t="str">
        <f t="shared" si="9"/>
        <v/>
      </c>
      <c r="AB17" s="37"/>
      <c r="AC17" s="33"/>
      <c r="AD17" s="34"/>
      <c r="AE17" s="35" t="str">
        <f t="shared" si="10"/>
        <v/>
      </c>
      <c r="AF17" s="36" t="str">
        <f t="shared" si="11"/>
        <v/>
      </c>
      <c r="AG17" s="37"/>
      <c r="AH17" s="33"/>
      <c r="AI17" s="34"/>
      <c r="AJ17" s="35" t="str">
        <f t="shared" si="12"/>
        <v/>
      </c>
      <c r="AK17" s="36" t="str">
        <f t="shared" si="13"/>
        <v/>
      </c>
      <c r="AL17" s="37"/>
      <c r="AM17" s="33"/>
      <c r="AN17" s="34"/>
      <c r="AO17" s="35" t="str">
        <f t="shared" si="14"/>
        <v/>
      </c>
      <c r="AP17" s="36" t="str">
        <f t="shared" si="15"/>
        <v/>
      </c>
      <c r="AQ17" s="37"/>
      <c r="AR17" s="33"/>
      <c r="AS17" s="34"/>
      <c r="AT17" s="35" t="str">
        <f t="shared" si="16"/>
        <v/>
      </c>
      <c r="AU17" s="36" t="str">
        <f t="shared" si="17"/>
        <v/>
      </c>
      <c r="AV17" s="37"/>
      <c r="AW17" s="33"/>
      <c r="AX17" s="34"/>
      <c r="AY17" s="35" t="str">
        <f t="shared" si="18"/>
        <v/>
      </c>
      <c r="AZ17" s="36" t="str">
        <f t="shared" si="19"/>
        <v/>
      </c>
      <c r="BA17" s="37"/>
      <c r="BB17" s="33"/>
      <c r="BC17" s="34"/>
      <c r="BD17" s="35" t="str">
        <f t="shared" si="20"/>
        <v/>
      </c>
      <c r="BE17" s="36" t="str">
        <f t="shared" si="21"/>
        <v/>
      </c>
      <c r="BF17" s="37"/>
      <c r="BG17" s="33"/>
      <c r="BH17" s="34"/>
      <c r="BI17" s="35" t="str">
        <f t="shared" si="22"/>
        <v/>
      </c>
      <c r="BJ17" s="36" t="str">
        <f t="shared" si="23"/>
        <v/>
      </c>
      <c r="BK17" s="37"/>
      <c r="BL17" s="33"/>
      <c r="BM17" s="34"/>
      <c r="BN17" s="35" t="str">
        <f t="shared" si="24"/>
        <v/>
      </c>
      <c r="BO17" s="36" t="str">
        <f t="shared" si="25"/>
        <v/>
      </c>
      <c r="BP17" s="37"/>
      <c r="BQ17" s="33"/>
      <c r="BR17" s="34"/>
      <c r="BS17" s="35" t="str">
        <f t="shared" si="26"/>
        <v/>
      </c>
      <c r="BT17" s="36" t="str">
        <f t="shared" si="27"/>
        <v/>
      </c>
      <c r="BU17" s="37"/>
      <c r="BV17" s="33"/>
      <c r="BW17" s="34"/>
      <c r="BX17" s="35" t="str">
        <f t="shared" si="28"/>
        <v/>
      </c>
      <c r="BY17" s="36" t="str">
        <f t="shared" si="29"/>
        <v/>
      </c>
      <c r="BZ17" s="37"/>
      <c r="CA17" s="33"/>
      <c r="CB17" s="34"/>
      <c r="CC17" s="35" t="str">
        <f t="shared" si="30"/>
        <v/>
      </c>
      <c r="CD17" s="36" t="str">
        <f t="shared" si="31"/>
        <v/>
      </c>
      <c r="CE17" s="37"/>
      <c r="CF17" s="33"/>
      <c r="CG17" s="34"/>
      <c r="CH17" s="35" t="str">
        <f t="shared" si="32"/>
        <v/>
      </c>
      <c r="CI17" s="36" t="str">
        <f t="shared" si="33"/>
        <v/>
      </c>
      <c r="CJ17" s="37"/>
      <c r="CK17" s="33"/>
      <c r="CL17" s="34"/>
      <c r="CM17" s="35" t="str">
        <f t="shared" si="34"/>
        <v/>
      </c>
      <c r="CN17" s="36" t="str">
        <f t="shared" si="35"/>
        <v/>
      </c>
      <c r="CO17" s="37"/>
      <c r="CP17" s="33"/>
      <c r="CQ17" s="34"/>
      <c r="CR17" s="35" t="str">
        <f t="shared" si="36"/>
        <v/>
      </c>
      <c r="CS17" s="36" t="str">
        <f t="shared" si="37"/>
        <v/>
      </c>
      <c r="CT17" s="37"/>
      <c r="CU17" s="33"/>
      <c r="CV17" s="34"/>
      <c r="CW17" s="35" t="str">
        <f t="shared" si="38"/>
        <v/>
      </c>
      <c r="CX17" s="36" t="str">
        <f t="shared" si="39"/>
        <v/>
      </c>
      <c r="CY17" s="37"/>
      <c r="CZ17" s="33"/>
      <c r="DA17" s="34"/>
      <c r="DB17" s="35" t="str">
        <f t="shared" si="40"/>
        <v/>
      </c>
      <c r="DC17" s="36" t="str">
        <f t="shared" si="41"/>
        <v/>
      </c>
      <c r="DD17" s="37"/>
      <c r="DE17" s="33"/>
      <c r="DF17" s="34"/>
      <c r="DG17" s="35" t="str">
        <f t="shared" si="42"/>
        <v/>
      </c>
      <c r="DH17" s="36" t="str">
        <f t="shared" si="43"/>
        <v/>
      </c>
      <c r="DI17" s="37"/>
      <c r="DJ17" s="33"/>
      <c r="DK17" s="34"/>
      <c r="DL17" s="35" t="str">
        <f t="shared" si="44"/>
        <v/>
      </c>
      <c r="DM17" s="36" t="str">
        <f t="shared" si="45"/>
        <v/>
      </c>
      <c r="DN17" s="37"/>
      <c r="DO17" s="33"/>
      <c r="DP17" s="34"/>
      <c r="DQ17" s="35" t="str">
        <f t="shared" si="46"/>
        <v/>
      </c>
      <c r="DR17" s="36" t="str">
        <f t="shared" si="47"/>
        <v/>
      </c>
      <c r="DS17" s="37"/>
      <c r="DT17" s="33"/>
      <c r="DU17" s="34"/>
      <c r="DV17" s="35" t="str">
        <f t="shared" si="48"/>
        <v/>
      </c>
      <c r="DW17" s="36" t="str">
        <f t="shared" si="49"/>
        <v/>
      </c>
      <c r="DX17" s="37"/>
      <c r="DY17" s="33"/>
      <c r="DZ17" s="34"/>
      <c r="EA17" s="35" t="str">
        <f t="shared" si="50"/>
        <v/>
      </c>
      <c r="EB17" s="36" t="str">
        <f t="shared" si="51"/>
        <v/>
      </c>
      <c r="EC17" s="37"/>
      <c r="ED17" s="33"/>
      <c r="EE17" s="34"/>
      <c r="EF17" s="35" t="str">
        <f t="shared" si="52"/>
        <v/>
      </c>
      <c r="EG17" s="36" t="str">
        <f t="shared" si="53"/>
        <v/>
      </c>
      <c r="EH17" s="37"/>
      <c r="EI17" s="33"/>
      <c r="EJ17" s="34"/>
      <c r="EK17" s="35" t="str">
        <f t="shared" si="54"/>
        <v/>
      </c>
      <c r="EL17" s="36" t="str">
        <f t="shared" si="55"/>
        <v/>
      </c>
      <c r="EM17" s="37"/>
      <c r="EN17" s="33"/>
      <c r="EO17" s="34"/>
      <c r="EP17" s="35" t="str">
        <f t="shared" si="56"/>
        <v/>
      </c>
      <c r="EQ17" s="36" t="str">
        <f t="shared" si="57"/>
        <v/>
      </c>
      <c r="ER17" s="37"/>
      <c r="ES17" s="33"/>
      <c r="ET17" s="34"/>
      <c r="EU17" s="35" t="str">
        <f t="shared" si="58"/>
        <v/>
      </c>
      <c r="EV17" s="36" t="str">
        <f t="shared" si="59"/>
        <v/>
      </c>
      <c r="EW17" s="37"/>
    </row>
    <row r="18" spans="1:153" ht="19.5" customHeight="1">
      <c r="A18" s="32">
        <f>IF(DAY(DATE(対象年度,8,15))&lt;&gt;15,"",15)</f>
        <v>15</v>
      </c>
      <c r="B18" s="32" t="str">
        <f>IF(DAY(DATE(対象年度,8,15))&lt;&gt;15,"",CHOOSE(WEEKDAY(DATE(対象年度,8,15),2),"月","火","水","木","金","土","日"))</f>
        <v>土</v>
      </c>
      <c r="C18" s="32" t="str">
        <f>IF(DAY(DATE(対象年度,8,15))&lt;&gt;15,"",IF(ISNUMBER(MATCH(DATE(対象年度,8,15),祝日リスト,0)),"祝",""))</f>
        <v/>
      </c>
      <c r="D18" s="33"/>
      <c r="E18" s="34"/>
      <c r="F18" s="35" t="str">
        <f t="shared" si="0"/>
        <v/>
      </c>
      <c r="G18" s="36" t="str">
        <f t="shared" si="1"/>
        <v/>
      </c>
      <c r="H18" s="37"/>
      <c r="I18" s="33"/>
      <c r="J18" s="34"/>
      <c r="K18" s="35" t="str">
        <f t="shared" si="2"/>
        <v/>
      </c>
      <c r="L18" s="36" t="str">
        <f t="shared" si="3"/>
        <v/>
      </c>
      <c r="M18" s="37"/>
      <c r="N18" s="33"/>
      <c r="O18" s="34"/>
      <c r="P18" s="35" t="str">
        <f t="shared" si="4"/>
        <v/>
      </c>
      <c r="Q18" s="36" t="str">
        <f t="shared" si="5"/>
        <v/>
      </c>
      <c r="R18" s="37"/>
      <c r="S18" s="33"/>
      <c r="T18" s="34"/>
      <c r="U18" s="35" t="str">
        <f t="shared" si="6"/>
        <v/>
      </c>
      <c r="V18" s="36" t="str">
        <f t="shared" si="7"/>
        <v/>
      </c>
      <c r="W18" s="37"/>
      <c r="X18" s="33"/>
      <c r="Y18" s="34"/>
      <c r="Z18" s="35" t="str">
        <f t="shared" si="8"/>
        <v/>
      </c>
      <c r="AA18" s="36" t="str">
        <f t="shared" si="9"/>
        <v/>
      </c>
      <c r="AB18" s="37"/>
      <c r="AC18" s="33"/>
      <c r="AD18" s="34"/>
      <c r="AE18" s="35" t="str">
        <f t="shared" si="10"/>
        <v/>
      </c>
      <c r="AF18" s="36" t="str">
        <f t="shared" si="11"/>
        <v/>
      </c>
      <c r="AG18" s="37"/>
      <c r="AH18" s="33"/>
      <c r="AI18" s="34"/>
      <c r="AJ18" s="35" t="str">
        <f t="shared" si="12"/>
        <v/>
      </c>
      <c r="AK18" s="36" t="str">
        <f t="shared" si="13"/>
        <v/>
      </c>
      <c r="AL18" s="37"/>
      <c r="AM18" s="33"/>
      <c r="AN18" s="34"/>
      <c r="AO18" s="35" t="str">
        <f t="shared" si="14"/>
        <v/>
      </c>
      <c r="AP18" s="36" t="str">
        <f t="shared" si="15"/>
        <v/>
      </c>
      <c r="AQ18" s="37"/>
      <c r="AR18" s="33"/>
      <c r="AS18" s="34"/>
      <c r="AT18" s="35" t="str">
        <f t="shared" si="16"/>
        <v/>
      </c>
      <c r="AU18" s="36" t="str">
        <f t="shared" si="17"/>
        <v/>
      </c>
      <c r="AV18" s="37"/>
      <c r="AW18" s="33"/>
      <c r="AX18" s="34"/>
      <c r="AY18" s="35" t="str">
        <f t="shared" si="18"/>
        <v/>
      </c>
      <c r="AZ18" s="36" t="str">
        <f t="shared" si="19"/>
        <v/>
      </c>
      <c r="BA18" s="37"/>
      <c r="BB18" s="33"/>
      <c r="BC18" s="34"/>
      <c r="BD18" s="35" t="str">
        <f t="shared" si="20"/>
        <v/>
      </c>
      <c r="BE18" s="36" t="str">
        <f t="shared" si="21"/>
        <v/>
      </c>
      <c r="BF18" s="37"/>
      <c r="BG18" s="33"/>
      <c r="BH18" s="34"/>
      <c r="BI18" s="35" t="str">
        <f t="shared" si="22"/>
        <v/>
      </c>
      <c r="BJ18" s="36" t="str">
        <f t="shared" si="23"/>
        <v/>
      </c>
      <c r="BK18" s="37"/>
      <c r="BL18" s="33"/>
      <c r="BM18" s="34"/>
      <c r="BN18" s="35" t="str">
        <f t="shared" si="24"/>
        <v/>
      </c>
      <c r="BO18" s="36" t="str">
        <f t="shared" si="25"/>
        <v/>
      </c>
      <c r="BP18" s="37"/>
      <c r="BQ18" s="33"/>
      <c r="BR18" s="34"/>
      <c r="BS18" s="35" t="str">
        <f t="shared" si="26"/>
        <v/>
      </c>
      <c r="BT18" s="36" t="str">
        <f t="shared" si="27"/>
        <v/>
      </c>
      <c r="BU18" s="37"/>
      <c r="BV18" s="33"/>
      <c r="BW18" s="34"/>
      <c r="BX18" s="35" t="str">
        <f t="shared" si="28"/>
        <v/>
      </c>
      <c r="BY18" s="36" t="str">
        <f t="shared" si="29"/>
        <v/>
      </c>
      <c r="BZ18" s="37"/>
      <c r="CA18" s="33"/>
      <c r="CB18" s="34"/>
      <c r="CC18" s="35" t="str">
        <f t="shared" si="30"/>
        <v/>
      </c>
      <c r="CD18" s="36" t="str">
        <f t="shared" si="31"/>
        <v/>
      </c>
      <c r="CE18" s="37"/>
      <c r="CF18" s="33"/>
      <c r="CG18" s="34"/>
      <c r="CH18" s="35" t="str">
        <f t="shared" si="32"/>
        <v/>
      </c>
      <c r="CI18" s="36" t="str">
        <f t="shared" si="33"/>
        <v/>
      </c>
      <c r="CJ18" s="37"/>
      <c r="CK18" s="33"/>
      <c r="CL18" s="34"/>
      <c r="CM18" s="35" t="str">
        <f t="shared" si="34"/>
        <v/>
      </c>
      <c r="CN18" s="36" t="str">
        <f t="shared" si="35"/>
        <v/>
      </c>
      <c r="CO18" s="37"/>
      <c r="CP18" s="33"/>
      <c r="CQ18" s="34"/>
      <c r="CR18" s="35" t="str">
        <f t="shared" si="36"/>
        <v/>
      </c>
      <c r="CS18" s="36" t="str">
        <f t="shared" si="37"/>
        <v/>
      </c>
      <c r="CT18" s="37"/>
      <c r="CU18" s="33"/>
      <c r="CV18" s="34"/>
      <c r="CW18" s="35" t="str">
        <f t="shared" si="38"/>
        <v/>
      </c>
      <c r="CX18" s="36" t="str">
        <f t="shared" si="39"/>
        <v/>
      </c>
      <c r="CY18" s="37"/>
      <c r="CZ18" s="33"/>
      <c r="DA18" s="34"/>
      <c r="DB18" s="35" t="str">
        <f t="shared" si="40"/>
        <v/>
      </c>
      <c r="DC18" s="36" t="str">
        <f t="shared" si="41"/>
        <v/>
      </c>
      <c r="DD18" s="37"/>
      <c r="DE18" s="33"/>
      <c r="DF18" s="34"/>
      <c r="DG18" s="35" t="str">
        <f t="shared" si="42"/>
        <v/>
      </c>
      <c r="DH18" s="36" t="str">
        <f t="shared" si="43"/>
        <v/>
      </c>
      <c r="DI18" s="37"/>
      <c r="DJ18" s="33"/>
      <c r="DK18" s="34"/>
      <c r="DL18" s="35" t="str">
        <f t="shared" si="44"/>
        <v/>
      </c>
      <c r="DM18" s="36" t="str">
        <f t="shared" si="45"/>
        <v/>
      </c>
      <c r="DN18" s="37"/>
      <c r="DO18" s="33"/>
      <c r="DP18" s="34"/>
      <c r="DQ18" s="35" t="str">
        <f t="shared" si="46"/>
        <v/>
      </c>
      <c r="DR18" s="36" t="str">
        <f t="shared" si="47"/>
        <v/>
      </c>
      <c r="DS18" s="37"/>
      <c r="DT18" s="33"/>
      <c r="DU18" s="34"/>
      <c r="DV18" s="35" t="str">
        <f t="shared" si="48"/>
        <v/>
      </c>
      <c r="DW18" s="36" t="str">
        <f t="shared" si="49"/>
        <v/>
      </c>
      <c r="DX18" s="37"/>
      <c r="DY18" s="33"/>
      <c r="DZ18" s="34"/>
      <c r="EA18" s="35" t="str">
        <f t="shared" si="50"/>
        <v/>
      </c>
      <c r="EB18" s="36" t="str">
        <f t="shared" si="51"/>
        <v/>
      </c>
      <c r="EC18" s="37"/>
      <c r="ED18" s="33"/>
      <c r="EE18" s="34"/>
      <c r="EF18" s="35" t="str">
        <f t="shared" si="52"/>
        <v/>
      </c>
      <c r="EG18" s="36" t="str">
        <f t="shared" si="53"/>
        <v/>
      </c>
      <c r="EH18" s="37"/>
      <c r="EI18" s="33"/>
      <c r="EJ18" s="34"/>
      <c r="EK18" s="35" t="str">
        <f t="shared" si="54"/>
        <v/>
      </c>
      <c r="EL18" s="36" t="str">
        <f t="shared" si="55"/>
        <v/>
      </c>
      <c r="EM18" s="37"/>
      <c r="EN18" s="33"/>
      <c r="EO18" s="34"/>
      <c r="EP18" s="35" t="str">
        <f t="shared" si="56"/>
        <v/>
      </c>
      <c r="EQ18" s="36" t="str">
        <f t="shared" si="57"/>
        <v/>
      </c>
      <c r="ER18" s="37"/>
      <c r="ES18" s="33"/>
      <c r="ET18" s="34"/>
      <c r="EU18" s="35" t="str">
        <f t="shared" si="58"/>
        <v/>
      </c>
      <c r="EV18" s="36" t="str">
        <f t="shared" si="59"/>
        <v/>
      </c>
      <c r="EW18" s="37"/>
    </row>
    <row r="19" spans="1:153" ht="19.5" customHeight="1">
      <c r="A19" s="32">
        <f>IF(DAY(DATE(対象年度,8,16))&lt;&gt;16,"",16)</f>
        <v>16</v>
      </c>
      <c r="B19" s="32" t="str">
        <f>IF(DAY(DATE(対象年度,8,16))&lt;&gt;16,"",CHOOSE(WEEKDAY(DATE(対象年度,8,16),2),"月","火","水","木","金","土","日"))</f>
        <v>日</v>
      </c>
      <c r="C19" s="32" t="str">
        <f>IF(DAY(DATE(対象年度,8,16))&lt;&gt;16,"",IF(ISNUMBER(MATCH(DATE(対象年度,8,16),祝日リスト,0)),"祝",""))</f>
        <v/>
      </c>
      <c r="D19" s="33"/>
      <c r="E19" s="34"/>
      <c r="F19" s="35" t="str">
        <f t="shared" si="0"/>
        <v/>
      </c>
      <c r="G19" s="36" t="str">
        <f t="shared" si="1"/>
        <v/>
      </c>
      <c r="H19" s="37"/>
      <c r="I19" s="33"/>
      <c r="J19" s="34"/>
      <c r="K19" s="35" t="str">
        <f t="shared" si="2"/>
        <v/>
      </c>
      <c r="L19" s="36" t="str">
        <f t="shared" si="3"/>
        <v/>
      </c>
      <c r="M19" s="37"/>
      <c r="N19" s="33"/>
      <c r="O19" s="34"/>
      <c r="P19" s="35" t="str">
        <f t="shared" si="4"/>
        <v/>
      </c>
      <c r="Q19" s="36" t="str">
        <f t="shared" si="5"/>
        <v/>
      </c>
      <c r="R19" s="37"/>
      <c r="S19" s="33"/>
      <c r="T19" s="34"/>
      <c r="U19" s="35" t="str">
        <f t="shared" si="6"/>
        <v/>
      </c>
      <c r="V19" s="36" t="str">
        <f t="shared" si="7"/>
        <v/>
      </c>
      <c r="W19" s="37"/>
      <c r="X19" s="33"/>
      <c r="Y19" s="34"/>
      <c r="Z19" s="35" t="str">
        <f t="shared" si="8"/>
        <v/>
      </c>
      <c r="AA19" s="36" t="str">
        <f t="shared" si="9"/>
        <v/>
      </c>
      <c r="AB19" s="37"/>
      <c r="AC19" s="33"/>
      <c r="AD19" s="34"/>
      <c r="AE19" s="35" t="str">
        <f t="shared" si="10"/>
        <v/>
      </c>
      <c r="AF19" s="36" t="str">
        <f t="shared" si="11"/>
        <v/>
      </c>
      <c r="AG19" s="37"/>
      <c r="AH19" s="33"/>
      <c r="AI19" s="34"/>
      <c r="AJ19" s="35" t="str">
        <f t="shared" si="12"/>
        <v/>
      </c>
      <c r="AK19" s="36" t="str">
        <f t="shared" si="13"/>
        <v/>
      </c>
      <c r="AL19" s="37"/>
      <c r="AM19" s="33"/>
      <c r="AN19" s="34"/>
      <c r="AO19" s="35" t="str">
        <f t="shared" si="14"/>
        <v/>
      </c>
      <c r="AP19" s="36" t="str">
        <f t="shared" si="15"/>
        <v/>
      </c>
      <c r="AQ19" s="37"/>
      <c r="AR19" s="33"/>
      <c r="AS19" s="34"/>
      <c r="AT19" s="35" t="str">
        <f t="shared" si="16"/>
        <v/>
      </c>
      <c r="AU19" s="36" t="str">
        <f t="shared" si="17"/>
        <v/>
      </c>
      <c r="AV19" s="37"/>
      <c r="AW19" s="33"/>
      <c r="AX19" s="34"/>
      <c r="AY19" s="35" t="str">
        <f t="shared" si="18"/>
        <v/>
      </c>
      <c r="AZ19" s="36" t="str">
        <f t="shared" si="19"/>
        <v/>
      </c>
      <c r="BA19" s="37"/>
      <c r="BB19" s="33"/>
      <c r="BC19" s="34"/>
      <c r="BD19" s="35" t="str">
        <f t="shared" si="20"/>
        <v/>
      </c>
      <c r="BE19" s="36" t="str">
        <f t="shared" si="21"/>
        <v/>
      </c>
      <c r="BF19" s="37"/>
      <c r="BG19" s="33"/>
      <c r="BH19" s="34"/>
      <c r="BI19" s="35" t="str">
        <f t="shared" si="22"/>
        <v/>
      </c>
      <c r="BJ19" s="36" t="str">
        <f t="shared" si="23"/>
        <v/>
      </c>
      <c r="BK19" s="37"/>
      <c r="BL19" s="33"/>
      <c r="BM19" s="34"/>
      <c r="BN19" s="35" t="str">
        <f t="shared" si="24"/>
        <v/>
      </c>
      <c r="BO19" s="36" t="str">
        <f t="shared" si="25"/>
        <v/>
      </c>
      <c r="BP19" s="37"/>
      <c r="BQ19" s="33"/>
      <c r="BR19" s="34"/>
      <c r="BS19" s="35" t="str">
        <f t="shared" si="26"/>
        <v/>
      </c>
      <c r="BT19" s="36" t="str">
        <f t="shared" si="27"/>
        <v/>
      </c>
      <c r="BU19" s="37"/>
      <c r="BV19" s="33"/>
      <c r="BW19" s="34"/>
      <c r="BX19" s="35" t="str">
        <f t="shared" si="28"/>
        <v/>
      </c>
      <c r="BY19" s="36" t="str">
        <f t="shared" si="29"/>
        <v/>
      </c>
      <c r="BZ19" s="37"/>
      <c r="CA19" s="33"/>
      <c r="CB19" s="34"/>
      <c r="CC19" s="35" t="str">
        <f t="shared" si="30"/>
        <v/>
      </c>
      <c r="CD19" s="36" t="str">
        <f t="shared" si="31"/>
        <v/>
      </c>
      <c r="CE19" s="37"/>
      <c r="CF19" s="33"/>
      <c r="CG19" s="34"/>
      <c r="CH19" s="35" t="str">
        <f t="shared" si="32"/>
        <v/>
      </c>
      <c r="CI19" s="36" t="str">
        <f t="shared" si="33"/>
        <v/>
      </c>
      <c r="CJ19" s="37"/>
      <c r="CK19" s="33"/>
      <c r="CL19" s="34"/>
      <c r="CM19" s="35" t="str">
        <f t="shared" si="34"/>
        <v/>
      </c>
      <c r="CN19" s="36" t="str">
        <f t="shared" si="35"/>
        <v/>
      </c>
      <c r="CO19" s="37"/>
      <c r="CP19" s="33"/>
      <c r="CQ19" s="34"/>
      <c r="CR19" s="35" t="str">
        <f t="shared" si="36"/>
        <v/>
      </c>
      <c r="CS19" s="36" t="str">
        <f t="shared" si="37"/>
        <v/>
      </c>
      <c r="CT19" s="37"/>
      <c r="CU19" s="33"/>
      <c r="CV19" s="34"/>
      <c r="CW19" s="35" t="str">
        <f t="shared" si="38"/>
        <v/>
      </c>
      <c r="CX19" s="36" t="str">
        <f t="shared" si="39"/>
        <v/>
      </c>
      <c r="CY19" s="37"/>
      <c r="CZ19" s="33"/>
      <c r="DA19" s="34"/>
      <c r="DB19" s="35" t="str">
        <f t="shared" si="40"/>
        <v/>
      </c>
      <c r="DC19" s="36" t="str">
        <f t="shared" si="41"/>
        <v/>
      </c>
      <c r="DD19" s="37"/>
      <c r="DE19" s="33"/>
      <c r="DF19" s="34"/>
      <c r="DG19" s="35" t="str">
        <f t="shared" si="42"/>
        <v/>
      </c>
      <c r="DH19" s="36" t="str">
        <f t="shared" si="43"/>
        <v/>
      </c>
      <c r="DI19" s="37"/>
      <c r="DJ19" s="33"/>
      <c r="DK19" s="34"/>
      <c r="DL19" s="35" t="str">
        <f t="shared" si="44"/>
        <v/>
      </c>
      <c r="DM19" s="36" t="str">
        <f t="shared" si="45"/>
        <v/>
      </c>
      <c r="DN19" s="37"/>
      <c r="DO19" s="33"/>
      <c r="DP19" s="34"/>
      <c r="DQ19" s="35" t="str">
        <f t="shared" si="46"/>
        <v/>
      </c>
      <c r="DR19" s="36" t="str">
        <f t="shared" si="47"/>
        <v/>
      </c>
      <c r="DS19" s="37"/>
      <c r="DT19" s="33"/>
      <c r="DU19" s="34"/>
      <c r="DV19" s="35" t="str">
        <f t="shared" si="48"/>
        <v/>
      </c>
      <c r="DW19" s="36" t="str">
        <f t="shared" si="49"/>
        <v/>
      </c>
      <c r="DX19" s="37"/>
      <c r="DY19" s="33"/>
      <c r="DZ19" s="34"/>
      <c r="EA19" s="35" t="str">
        <f t="shared" si="50"/>
        <v/>
      </c>
      <c r="EB19" s="36" t="str">
        <f t="shared" si="51"/>
        <v/>
      </c>
      <c r="EC19" s="37"/>
      <c r="ED19" s="33"/>
      <c r="EE19" s="34"/>
      <c r="EF19" s="35" t="str">
        <f t="shared" si="52"/>
        <v/>
      </c>
      <c r="EG19" s="36" t="str">
        <f t="shared" si="53"/>
        <v/>
      </c>
      <c r="EH19" s="37"/>
      <c r="EI19" s="33"/>
      <c r="EJ19" s="34"/>
      <c r="EK19" s="35" t="str">
        <f t="shared" si="54"/>
        <v/>
      </c>
      <c r="EL19" s="36" t="str">
        <f t="shared" si="55"/>
        <v/>
      </c>
      <c r="EM19" s="37"/>
      <c r="EN19" s="33"/>
      <c r="EO19" s="34"/>
      <c r="EP19" s="35" t="str">
        <f t="shared" si="56"/>
        <v/>
      </c>
      <c r="EQ19" s="36" t="str">
        <f t="shared" si="57"/>
        <v/>
      </c>
      <c r="ER19" s="37"/>
      <c r="ES19" s="33"/>
      <c r="ET19" s="34"/>
      <c r="EU19" s="35" t="str">
        <f t="shared" si="58"/>
        <v/>
      </c>
      <c r="EV19" s="36" t="str">
        <f t="shared" si="59"/>
        <v/>
      </c>
      <c r="EW19" s="37"/>
    </row>
    <row r="20" spans="1:153" ht="19.5" customHeight="1">
      <c r="A20" s="32">
        <f>IF(DAY(DATE(対象年度,8,17))&lt;&gt;17,"",17)</f>
        <v>17</v>
      </c>
      <c r="B20" s="32" t="str">
        <f>IF(DAY(DATE(対象年度,8,17))&lt;&gt;17,"",CHOOSE(WEEKDAY(DATE(対象年度,8,17),2),"月","火","水","木","金","土","日"))</f>
        <v>月</v>
      </c>
      <c r="C20" s="32" t="str">
        <f>IF(DAY(DATE(対象年度,8,17))&lt;&gt;17,"",IF(ISNUMBER(MATCH(DATE(対象年度,8,17),祝日リスト,0)),"祝",""))</f>
        <v/>
      </c>
      <c r="D20" s="33"/>
      <c r="E20" s="34"/>
      <c r="F20" s="35" t="str">
        <f t="shared" si="0"/>
        <v/>
      </c>
      <c r="G20" s="36" t="str">
        <f t="shared" si="1"/>
        <v/>
      </c>
      <c r="H20" s="37"/>
      <c r="I20" s="33"/>
      <c r="J20" s="34"/>
      <c r="K20" s="35" t="str">
        <f t="shared" si="2"/>
        <v/>
      </c>
      <c r="L20" s="36" t="str">
        <f t="shared" si="3"/>
        <v/>
      </c>
      <c r="M20" s="37"/>
      <c r="N20" s="33"/>
      <c r="O20" s="34"/>
      <c r="P20" s="35" t="str">
        <f t="shared" si="4"/>
        <v/>
      </c>
      <c r="Q20" s="36" t="str">
        <f t="shared" si="5"/>
        <v/>
      </c>
      <c r="R20" s="37"/>
      <c r="S20" s="33"/>
      <c r="T20" s="34"/>
      <c r="U20" s="35" t="str">
        <f t="shared" si="6"/>
        <v/>
      </c>
      <c r="V20" s="36" t="str">
        <f t="shared" si="7"/>
        <v/>
      </c>
      <c r="W20" s="37"/>
      <c r="X20" s="33"/>
      <c r="Y20" s="34"/>
      <c r="Z20" s="35" t="str">
        <f t="shared" si="8"/>
        <v/>
      </c>
      <c r="AA20" s="36" t="str">
        <f t="shared" si="9"/>
        <v/>
      </c>
      <c r="AB20" s="37"/>
      <c r="AC20" s="33"/>
      <c r="AD20" s="34"/>
      <c r="AE20" s="35" t="str">
        <f t="shared" si="10"/>
        <v/>
      </c>
      <c r="AF20" s="36" t="str">
        <f t="shared" si="11"/>
        <v/>
      </c>
      <c r="AG20" s="37"/>
      <c r="AH20" s="33"/>
      <c r="AI20" s="34"/>
      <c r="AJ20" s="35" t="str">
        <f t="shared" si="12"/>
        <v/>
      </c>
      <c r="AK20" s="36" t="str">
        <f t="shared" si="13"/>
        <v/>
      </c>
      <c r="AL20" s="37"/>
      <c r="AM20" s="33"/>
      <c r="AN20" s="34"/>
      <c r="AO20" s="35" t="str">
        <f t="shared" si="14"/>
        <v/>
      </c>
      <c r="AP20" s="36" t="str">
        <f t="shared" si="15"/>
        <v/>
      </c>
      <c r="AQ20" s="37"/>
      <c r="AR20" s="33"/>
      <c r="AS20" s="34"/>
      <c r="AT20" s="35" t="str">
        <f t="shared" si="16"/>
        <v/>
      </c>
      <c r="AU20" s="36" t="str">
        <f t="shared" si="17"/>
        <v/>
      </c>
      <c r="AV20" s="37"/>
      <c r="AW20" s="33"/>
      <c r="AX20" s="34"/>
      <c r="AY20" s="35" t="str">
        <f t="shared" si="18"/>
        <v/>
      </c>
      <c r="AZ20" s="36" t="str">
        <f t="shared" si="19"/>
        <v/>
      </c>
      <c r="BA20" s="37"/>
      <c r="BB20" s="33"/>
      <c r="BC20" s="34"/>
      <c r="BD20" s="35" t="str">
        <f t="shared" si="20"/>
        <v/>
      </c>
      <c r="BE20" s="36" t="str">
        <f t="shared" si="21"/>
        <v/>
      </c>
      <c r="BF20" s="37"/>
      <c r="BG20" s="33"/>
      <c r="BH20" s="34"/>
      <c r="BI20" s="35" t="str">
        <f t="shared" si="22"/>
        <v/>
      </c>
      <c r="BJ20" s="36" t="str">
        <f t="shared" si="23"/>
        <v/>
      </c>
      <c r="BK20" s="37"/>
      <c r="BL20" s="33"/>
      <c r="BM20" s="34"/>
      <c r="BN20" s="35" t="str">
        <f t="shared" si="24"/>
        <v/>
      </c>
      <c r="BO20" s="36" t="str">
        <f t="shared" si="25"/>
        <v/>
      </c>
      <c r="BP20" s="37"/>
      <c r="BQ20" s="33"/>
      <c r="BR20" s="34"/>
      <c r="BS20" s="35" t="str">
        <f t="shared" si="26"/>
        <v/>
      </c>
      <c r="BT20" s="36" t="str">
        <f t="shared" si="27"/>
        <v/>
      </c>
      <c r="BU20" s="37"/>
      <c r="BV20" s="33"/>
      <c r="BW20" s="34"/>
      <c r="BX20" s="35" t="str">
        <f t="shared" si="28"/>
        <v/>
      </c>
      <c r="BY20" s="36" t="str">
        <f t="shared" si="29"/>
        <v/>
      </c>
      <c r="BZ20" s="37"/>
      <c r="CA20" s="33"/>
      <c r="CB20" s="34"/>
      <c r="CC20" s="35" t="str">
        <f t="shared" si="30"/>
        <v/>
      </c>
      <c r="CD20" s="36" t="str">
        <f t="shared" si="31"/>
        <v/>
      </c>
      <c r="CE20" s="37"/>
      <c r="CF20" s="33"/>
      <c r="CG20" s="34"/>
      <c r="CH20" s="35" t="str">
        <f t="shared" si="32"/>
        <v/>
      </c>
      <c r="CI20" s="36" t="str">
        <f t="shared" si="33"/>
        <v/>
      </c>
      <c r="CJ20" s="37"/>
      <c r="CK20" s="33"/>
      <c r="CL20" s="34"/>
      <c r="CM20" s="35" t="str">
        <f t="shared" si="34"/>
        <v/>
      </c>
      <c r="CN20" s="36" t="str">
        <f t="shared" si="35"/>
        <v/>
      </c>
      <c r="CO20" s="37"/>
      <c r="CP20" s="33"/>
      <c r="CQ20" s="34"/>
      <c r="CR20" s="35" t="str">
        <f t="shared" si="36"/>
        <v/>
      </c>
      <c r="CS20" s="36" t="str">
        <f t="shared" si="37"/>
        <v/>
      </c>
      <c r="CT20" s="37"/>
      <c r="CU20" s="33"/>
      <c r="CV20" s="34"/>
      <c r="CW20" s="35" t="str">
        <f t="shared" si="38"/>
        <v/>
      </c>
      <c r="CX20" s="36" t="str">
        <f t="shared" si="39"/>
        <v/>
      </c>
      <c r="CY20" s="37"/>
      <c r="CZ20" s="33"/>
      <c r="DA20" s="34"/>
      <c r="DB20" s="35" t="str">
        <f t="shared" si="40"/>
        <v/>
      </c>
      <c r="DC20" s="36" t="str">
        <f t="shared" si="41"/>
        <v/>
      </c>
      <c r="DD20" s="37"/>
      <c r="DE20" s="33"/>
      <c r="DF20" s="34"/>
      <c r="DG20" s="35" t="str">
        <f t="shared" si="42"/>
        <v/>
      </c>
      <c r="DH20" s="36" t="str">
        <f t="shared" si="43"/>
        <v/>
      </c>
      <c r="DI20" s="37"/>
      <c r="DJ20" s="33"/>
      <c r="DK20" s="34"/>
      <c r="DL20" s="35" t="str">
        <f t="shared" si="44"/>
        <v/>
      </c>
      <c r="DM20" s="36" t="str">
        <f t="shared" si="45"/>
        <v/>
      </c>
      <c r="DN20" s="37"/>
      <c r="DO20" s="33"/>
      <c r="DP20" s="34"/>
      <c r="DQ20" s="35" t="str">
        <f t="shared" si="46"/>
        <v/>
      </c>
      <c r="DR20" s="36" t="str">
        <f t="shared" si="47"/>
        <v/>
      </c>
      <c r="DS20" s="37"/>
      <c r="DT20" s="33"/>
      <c r="DU20" s="34"/>
      <c r="DV20" s="35" t="str">
        <f t="shared" si="48"/>
        <v/>
      </c>
      <c r="DW20" s="36" t="str">
        <f t="shared" si="49"/>
        <v/>
      </c>
      <c r="DX20" s="37"/>
      <c r="DY20" s="33"/>
      <c r="DZ20" s="34"/>
      <c r="EA20" s="35" t="str">
        <f t="shared" si="50"/>
        <v/>
      </c>
      <c r="EB20" s="36" t="str">
        <f t="shared" si="51"/>
        <v/>
      </c>
      <c r="EC20" s="37"/>
      <c r="ED20" s="33"/>
      <c r="EE20" s="34"/>
      <c r="EF20" s="35" t="str">
        <f t="shared" si="52"/>
        <v/>
      </c>
      <c r="EG20" s="36" t="str">
        <f t="shared" si="53"/>
        <v/>
      </c>
      <c r="EH20" s="37"/>
      <c r="EI20" s="33"/>
      <c r="EJ20" s="34"/>
      <c r="EK20" s="35" t="str">
        <f t="shared" si="54"/>
        <v/>
      </c>
      <c r="EL20" s="36" t="str">
        <f t="shared" si="55"/>
        <v/>
      </c>
      <c r="EM20" s="37"/>
      <c r="EN20" s="33"/>
      <c r="EO20" s="34"/>
      <c r="EP20" s="35" t="str">
        <f t="shared" si="56"/>
        <v/>
      </c>
      <c r="EQ20" s="36" t="str">
        <f t="shared" si="57"/>
        <v/>
      </c>
      <c r="ER20" s="37"/>
      <c r="ES20" s="33"/>
      <c r="ET20" s="34"/>
      <c r="EU20" s="35" t="str">
        <f t="shared" si="58"/>
        <v/>
      </c>
      <c r="EV20" s="36" t="str">
        <f t="shared" si="59"/>
        <v/>
      </c>
      <c r="EW20" s="37"/>
    </row>
    <row r="21" spans="1:153" ht="19.5" customHeight="1">
      <c r="A21" s="32">
        <f>IF(DAY(DATE(対象年度,8,18))&lt;&gt;18,"",18)</f>
        <v>18</v>
      </c>
      <c r="B21" s="32" t="str">
        <f>IF(DAY(DATE(対象年度,8,18))&lt;&gt;18,"",CHOOSE(WEEKDAY(DATE(対象年度,8,18),2),"月","火","水","木","金","土","日"))</f>
        <v>火</v>
      </c>
      <c r="C21" s="32" t="str">
        <f>IF(DAY(DATE(対象年度,8,18))&lt;&gt;18,"",IF(ISNUMBER(MATCH(DATE(対象年度,8,18),祝日リスト,0)),"祝",""))</f>
        <v/>
      </c>
      <c r="D21" s="33"/>
      <c r="E21" s="34"/>
      <c r="F21" s="35" t="str">
        <f t="shared" si="0"/>
        <v/>
      </c>
      <c r="G21" s="36" t="str">
        <f t="shared" si="1"/>
        <v/>
      </c>
      <c r="H21" s="37"/>
      <c r="I21" s="33"/>
      <c r="J21" s="34"/>
      <c r="K21" s="35" t="str">
        <f t="shared" si="2"/>
        <v/>
      </c>
      <c r="L21" s="36" t="str">
        <f t="shared" si="3"/>
        <v/>
      </c>
      <c r="M21" s="37"/>
      <c r="N21" s="33"/>
      <c r="O21" s="34"/>
      <c r="P21" s="35" t="str">
        <f t="shared" si="4"/>
        <v/>
      </c>
      <c r="Q21" s="36" t="str">
        <f t="shared" si="5"/>
        <v/>
      </c>
      <c r="R21" s="37"/>
      <c r="S21" s="33"/>
      <c r="T21" s="34"/>
      <c r="U21" s="35" t="str">
        <f t="shared" si="6"/>
        <v/>
      </c>
      <c r="V21" s="36" t="str">
        <f t="shared" si="7"/>
        <v/>
      </c>
      <c r="W21" s="37"/>
      <c r="X21" s="33"/>
      <c r="Y21" s="34"/>
      <c r="Z21" s="35" t="str">
        <f t="shared" si="8"/>
        <v/>
      </c>
      <c r="AA21" s="36" t="str">
        <f t="shared" si="9"/>
        <v/>
      </c>
      <c r="AB21" s="37"/>
      <c r="AC21" s="33"/>
      <c r="AD21" s="34"/>
      <c r="AE21" s="35" t="str">
        <f t="shared" si="10"/>
        <v/>
      </c>
      <c r="AF21" s="36" t="str">
        <f t="shared" si="11"/>
        <v/>
      </c>
      <c r="AG21" s="37"/>
      <c r="AH21" s="33"/>
      <c r="AI21" s="34"/>
      <c r="AJ21" s="35" t="str">
        <f t="shared" si="12"/>
        <v/>
      </c>
      <c r="AK21" s="36" t="str">
        <f t="shared" si="13"/>
        <v/>
      </c>
      <c r="AL21" s="37"/>
      <c r="AM21" s="33"/>
      <c r="AN21" s="34"/>
      <c r="AO21" s="35" t="str">
        <f t="shared" si="14"/>
        <v/>
      </c>
      <c r="AP21" s="36" t="str">
        <f t="shared" si="15"/>
        <v/>
      </c>
      <c r="AQ21" s="37"/>
      <c r="AR21" s="33"/>
      <c r="AS21" s="34"/>
      <c r="AT21" s="35" t="str">
        <f t="shared" si="16"/>
        <v/>
      </c>
      <c r="AU21" s="36" t="str">
        <f t="shared" si="17"/>
        <v/>
      </c>
      <c r="AV21" s="37"/>
      <c r="AW21" s="33"/>
      <c r="AX21" s="34"/>
      <c r="AY21" s="35" t="str">
        <f t="shared" si="18"/>
        <v/>
      </c>
      <c r="AZ21" s="36" t="str">
        <f t="shared" si="19"/>
        <v/>
      </c>
      <c r="BA21" s="37"/>
      <c r="BB21" s="33"/>
      <c r="BC21" s="34"/>
      <c r="BD21" s="35" t="str">
        <f t="shared" si="20"/>
        <v/>
      </c>
      <c r="BE21" s="36" t="str">
        <f t="shared" si="21"/>
        <v/>
      </c>
      <c r="BF21" s="37"/>
      <c r="BG21" s="33"/>
      <c r="BH21" s="34"/>
      <c r="BI21" s="35" t="str">
        <f t="shared" si="22"/>
        <v/>
      </c>
      <c r="BJ21" s="36" t="str">
        <f t="shared" si="23"/>
        <v/>
      </c>
      <c r="BK21" s="37"/>
      <c r="BL21" s="33"/>
      <c r="BM21" s="34"/>
      <c r="BN21" s="35" t="str">
        <f t="shared" si="24"/>
        <v/>
      </c>
      <c r="BO21" s="36" t="str">
        <f t="shared" si="25"/>
        <v/>
      </c>
      <c r="BP21" s="37"/>
      <c r="BQ21" s="33"/>
      <c r="BR21" s="34"/>
      <c r="BS21" s="35" t="str">
        <f t="shared" si="26"/>
        <v/>
      </c>
      <c r="BT21" s="36" t="str">
        <f t="shared" si="27"/>
        <v/>
      </c>
      <c r="BU21" s="37"/>
      <c r="BV21" s="33"/>
      <c r="BW21" s="34"/>
      <c r="BX21" s="35" t="str">
        <f t="shared" si="28"/>
        <v/>
      </c>
      <c r="BY21" s="36" t="str">
        <f t="shared" si="29"/>
        <v/>
      </c>
      <c r="BZ21" s="37"/>
      <c r="CA21" s="33"/>
      <c r="CB21" s="34"/>
      <c r="CC21" s="35" t="str">
        <f t="shared" si="30"/>
        <v/>
      </c>
      <c r="CD21" s="36" t="str">
        <f t="shared" si="31"/>
        <v/>
      </c>
      <c r="CE21" s="37"/>
      <c r="CF21" s="33"/>
      <c r="CG21" s="34"/>
      <c r="CH21" s="35" t="str">
        <f t="shared" si="32"/>
        <v/>
      </c>
      <c r="CI21" s="36" t="str">
        <f t="shared" si="33"/>
        <v/>
      </c>
      <c r="CJ21" s="37"/>
      <c r="CK21" s="33"/>
      <c r="CL21" s="34"/>
      <c r="CM21" s="35" t="str">
        <f t="shared" si="34"/>
        <v/>
      </c>
      <c r="CN21" s="36" t="str">
        <f t="shared" si="35"/>
        <v/>
      </c>
      <c r="CO21" s="37"/>
      <c r="CP21" s="33"/>
      <c r="CQ21" s="34"/>
      <c r="CR21" s="35" t="str">
        <f t="shared" si="36"/>
        <v/>
      </c>
      <c r="CS21" s="36" t="str">
        <f t="shared" si="37"/>
        <v/>
      </c>
      <c r="CT21" s="37"/>
      <c r="CU21" s="33"/>
      <c r="CV21" s="34"/>
      <c r="CW21" s="35" t="str">
        <f t="shared" si="38"/>
        <v/>
      </c>
      <c r="CX21" s="36" t="str">
        <f t="shared" si="39"/>
        <v/>
      </c>
      <c r="CY21" s="37"/>
      <c r="CZ21" s="33"/>
      <c r="DA21" s="34"/>
      <c r="DB21" s="35" t="str">
        <f t="shared" si="40"/>
        <v/>
      </c>
      <c r="DC21" s="36" t="str">
        <f t="shared" si="41"/>
        <v/>
      </c>
      <c r="DD21" s="37"/>
      <c r="DE21" s="33"/>
      <c r="DF21" s="34"/>
      <c r="DG21" s="35" t="str">
        <f t="shared" si="42"/>
        <v/>
      </c>
      <c r="DH21" s="36" t="str">
        <f t="shared" si="43"/>
        <v/>
      </c>
      <c r="DI21" s="37"/>
      <c r="DJ21" s="33"/>
      <c r="DK21" s="34"/>
      <c r="DL21" s="35" t="str">
        <f t="shared" si="44"/>
        <v/>
      </c>
      <c r="DM21" s="36" t="str">
        <f t="shared" si="45"/>
        <v/>
      </c>
      <c r="DN21" s="37"/>
      <c r="DO21" s="33"/>
      <c r="DP21" s="34"/>
      <c r="DQ21" s="35" t="str">
        <f t="shared" si="46"/>
        <v/>
      </c>
      <c r="DR21" s="36" t="str">
        <f t="shared" si="47"/>
        <v/>
      </c>
      <c r="DS21" s="37"/>
      <c r="DT21" s="33"/>
      <c r="DU21" s="34"/>
      <c r="DV21" s="35" t="str">
        <f t="shared" si="48"/>
        <v/>
      </c>
      <c r="DW21" s="36" t="str">
        <f t="shared" si="49"/>
        <v/>
      </c>
      <c r="DX21" s="37"/>
      <c r="DY21" s="33"/>
      <c r="DZ21" s="34"/>
      <c r="EA21" s="35" t="str">
        <f t="shared" si="50"/>
        <v/>
      </c>
      <c r="EB21" s="36" t="str">
        <f t="shared" si="51"/>
        <v/>
      </c>
      <c r="EC21" s="37"/>
      <c r="ED21" s="33"/>
      <c r="EE21" s="34"/>
      <c r="EF21" s="35" t="str">
        <f t="shared" si="52"/>
        <v/>
      </c>
      <c r="EG21" s="36" t="str">
        <f t="shared" si="53"/>
        <v/>
      </c>
      <c r="EH21" s="37"/>
      <c r="EI21" s="33"/>
      <c r="EJ21" s="34"/>
      <c r="EK21" s="35" t="str">
        <f t="shared" si="54"/>
        <v/>
      </c>
      <c r="EL21" s="36" t="str">
        <f t="shared" si="55"/>
        <v/>
      </c>
      <c r="EM21" s="37"/>
      <c r="EN21" s="33"/>
      <c r="EO21" s="34"/>
      <c r="EP21" s="35" t="str">
        <f t="shared" si="56"/>
        <v/>
      </c>
      <c r="EQ21" s="36" t="str">
        <f t="shared" si="57"/>
        <v/>
      </c>
      <c r="ER21" s="37"/>
      <c r="ES21" s="33"/>
      <c r="ET21" s="34"/>
      <c r="EU21" s="35" t="str">
        <f t="shared" si="58"/>
        <v/>
      </c>
      <c r="EV21" s="36" t="str">
        <f t="shared" si="59"/>
        <v/>
      </c>
      <c r="EW21" s="37"/>
    </row>
    <row r="22" spans="1:153" ht="19.5" customHeight="1">
      <c r="A22" s="32">
        <f>IF(DAY(DATE(対象年度,8,19))&lt;&gt;19,"",19)</f>
        <v>19</v>
      </c>
      <c r="B22" s="32" t="str">
        <f>IF(DAY(DATE(対象年度,8,19))&lt;&gt;19,"",CHOOSE(WEEKDAY(DATE(対象年度,8,19),2),"月","火","水","木","金","土","日"))</f>
        <v>水</v>
      </c>
      <c r="C22" s="32" t="str">
        <f>IF(DAY(DATE(対象年度,8,19))&lt;&gt;19,"",IF(ISNUMBER(MATCH(DATE(対象年度,8,19),祝日リスト,0)),"祝",""))</f>
        <v/>
      </c>
      <c r="D22" s="33"/>
      <c r="E22" s="34"/>
      <c r="F22" s="35" t="str">
        <f t="shared" si="0"/>
        <v/>
      </c>
      <c r="G22" s="36" t="str">
        <f t="shared" si="1"/>
        <v/>
      </c>
      <c r="H22" s="37"/>
      <c r="I22" s="33"/>
      <c r="J22" s="34"/>
      <c r="K22" s="35" t="str">
        <f t="shared" si="2"/>
        <v/>
      </c>
      <c r="L22" s="36" t="str">
        <f t="shared" si="3"/>
        <v/>
      </c>
      <c r="M22" s="37"/>
      <c r="N22" s="33"/>
      <c r="O22" s="34"/>
      <c r="P22" s="35" t="str">
        <f t="shared" si="4"/>
        <v/>
      </c>
      <c r="Q22" s="36" t="str">
        <f t="shared" si="5"/>
        <v/>
      </c>
      <c r="R22" s="37"/>
      <c r="S22" s="33"/>
      <c r="T22" s="34"/>
      <c r="U22" s="35" t="str">
        <f t="shared" si="6"/>
        <v/>
      </c>
      <c r="V22" s="36" t="str">
        <f t="shared" si="7"/>
        <v/>
      </c>
      <c r="W22" s="37"/>
      <c r="X22" s="33"/>
      <c r="Y22" s="34"/>
      <c r="Z22" s="35" t="str">
        <f t="shared" si="8"/>
        <v/>
      </c>
      <c r="AA22" s="36" t="str">
        <f t="shared" si="9"/>
        <v/>
      </c>
      <c r="AB22" s="37"/>
      <c r="AC22" s="33"/>
      <c r="AD22" s="34"/>
      <c r="AE22" s="35" t="str">
        <f t="shared" si="10"/>
        <v/>
      </c>
      <c r="AF22" s="36" t="str">
        <f t="shared" si="11"/>
        <v/>
      </c>
      <c r="AG22" s="37"/>
      <c r="AH22" s="33"/>
      <c r="AI22" s="34"/>
      <c r="AJ22" s="35" t="str">
        <f t="shared" si="12"/>
        <v/>
      </c>
      <c r="AK22" s="36" t="str">
        <f t="shared" si="13"/>
        <v/>
      </c>
      <c r="AL22" s="37"/>
      <c r="AM22" s="33"/>
      <c r="AN22" s="34"/>
      <c r="AO22" s="35" t="str">
        <f t="shared" si="14"/>
        <v/>
      </c>
      <c r="AP22" s="36" t="str">
        <f t="shared" si="15"/>
        <v/>
      </c>
      <c r="AQ22" s="37"/>
      <c r="AR22" s="33"/>
      <c r="AS22" s="34"/>
      <c r="AT22" s="35" t="str">
        <f t="shared" si="16"/>
        <v/>
      </c>
      <c r="AU22" s="36" t="str">
        <f t="shared" si="17"/>
        <v/>
      </c>
      <c r="AV22" s="37"/>
      <c r="AW22" s="33"/>
      <c r="AX22" s="34"/>
      <c r="AY22" s="35" t="str">
        <f t="shared" si="18"/>
        <v/>
      </c>
      <c r="AZ22" s="36" t="str">
        <f t="shared" si="19"/>
        <v/>
      </c>
      <c r="BA22" s="37"/>
      <c r="BB22" s="33"/>
      <c r="BC22" s="34"/>
      <c r="BD22" s="35" t="str">
        <f t="shared" si="20"/>
        <v/>
      </c>
      <c r="BE22" s="36" t="str">
        <f t="shared" si="21"/>
        <v/>
      </c>
      <c r="BF22" s="37"/>
      <c r="BG22" s="33"/>
      <c r="BH22" s="34"/>
      <c r="BI22" s="35" t="str">
        <f t="shared" si="22"/>
        <v/>
      </c>
      <c r="BJ22" s="36" t="str">
        <f t="shared" si="23"/>
        <v/>
      </c>
      <c r="BK22" s="37"/>
      <c r="BL22" s="33"/>
      <c r="BM22" s="34"/>
      <c r="BN22" s="35" t="str">
        <f t="shared" si="24"/>
        <v/>
      </c>
      <c r="BO22" s="36" t="str">
        <f t="shared" si="25"/>
        <v/>
      </c>
      <c r="BP22" s="37"/>
      <c r="BQ22" s="33"/>
      <c r="BR22" s="34"/>
      <c r="BS22" s="35" t="str">
        <f t="shared" si="26"/>
        <v/>
      </c>
      <c r="BT22" s="36" t="str">
        <f t="shared" si="27"/>
        <v/>
      </c>
      <c r="BU22" s="37"/>
      <c r="BV22" s="33"/>
      <c r="BW22" s="34"/>
      <c r="BX22" s="35" t="str">
        <f t="shared" si="28"/>
        <v/>
      </c>
      <c r="BY22" s="36" t="str">
        <f t="shared" si="29"/>
        <v/>
      </c>
      <c r="BZ22" s="37"/>
      <c r="CA22" s="33"/>
      <c r="CB22" s="34"/>
      <c r="CC22" s="35" t="str">
        <f t="shared" si="30"/>
        <v/>
      </c>
      <c r="CD22" s="36" t="str">
        <f t="shared" si="31"/>
        <v/>
      </c>
      <c r="CE22" s="37"/>
      <c r="CF22" s="33"/>
      <c r="CG22" s="34"/>
      <c r="CH22" s="35" t="str">
        <f t="shared" si="32"/>
        <v/>
      </c>
      <c r="CI22" s="36" t="str">
        <f t="shared" si="33"/>
        <v/>
      </c>
      <c r="CJ22" s="37"/>
      <c r="CK22" s="33"/>
      <c r="CL22" s="34"/>
      <c r="CM22" s="35" t="str">
        <f t="shared" si="34"/>
        <v/>
      </c>
      <c r="CN22" s="36" t="str">
        <f t="shared" si="35"/>
        <v/>
      </c>
      <c r="CO22" s="37"/>
      <c r="CP22" s="33"/>
      <c r="CQ22" s="34"/>
      <c r="CR22" s="35" t="str">
        <f t="shared" si="36"/>
        <v/>
      </c>
      <c r="CS22" s="36" t="str">
        <f t="shared" si="37"/>
        <v/>
      </c>
      <c r="CT22" s="37"/>
      <c r="CU22" s="33"/>
      <c r="CV22" s="34"/>
      <c r="CW22" s="35" t="str">
        <f t="shared" si="38"/>
        <v/>
      </c>
      <c r="CX22" s="36" t="str">
        <f t="shared" si="39"/>
        <v/>
      </c>
      <c r="CY22" s="37"/>
      <c r="CZ22" s="33"/>
      <c r="DA22" s="34"/>
      <c r="DB22" s="35" t="str">
        <f t="shared" si="40"/>
        <v/>
      </c>
      <c r="DC22" s="36" t="str">
        <f t="shared" si="41"/>
        <v/>
      </c>
      <c r="DD22" s="37"/>
      <c r="DE22" s="33"/>
      <c r="DF22" s="34"/>
      <c r="DG22" s="35" t="str">
        <f t="shared" si="42"/>
        <v/>
      </c>
      <c r="DH22" s="36" t="str">
        <f t="shared" si="43"/>
        <v/>
      </c>
      <c r="DI22" s="37"/>
      <c r="DJ22" s="33"/>
      <c r="DK22" s="34"/>
      <c r="DL22" s="35" t="str">
        <f t="shared" si="44"/>
        <v/>
      </c>
      <c r="DM22" s="36" t="str">
        <f t="shared" si="45"/>
        <v/>
      </c>
      <c r="DN22" s="37"/>
      <c r="DO22" s="33"/>
      <c r="DP22" s="34"/>
      <c r="DQ22" s="35" t="str">
        <f t="shared" si="46"/>
        <v/>
      </c>
      <c r="DR22" s="36" t="str">
        <f t="shared" si="47"/>
        <v/>
      </c>
      <c r="DS22" s="37"/>
      <c r="DT22" s="33"/>
      <c r="DU22" s="34"/>
      <c r="DV22" s="35" t="str">
        <f t="shared" si="48"/>
        <v/>
      </c>
      <c r="DW22" s="36" t="str">
        <f t="shared" si="49"/>
        <v/>
      </c>
      <c r="DX22" s="37"/>
      <c r="DY22" s="33"/>
      <c r="DZ22" s="34"/>
      <c r="EA22" s="35" t="str">
        <f t="shared" si="50"/>
        <v/>
      </c>
      <c r="EB22" s="36" t="str">
        <f t="shared" si="51"/>
        <v/>
      </c>
      <c r="EC22" s="37"/>
      <c r="ED22" s="33"/>
      <c r="EE22" s="34"/>
      <c r="EF22" s="35" t="str">
        <f t="shared" si="52"/>
        <v/>
      </c>
      <c r="EG22" s="36" t="str">
        <f t="shared" si="53"/>
        <v/>
      </c>
      <c r="EH22" s="37"/>
      <c r="EI22" s="33"/>
      <c r="EJ22" s="34"/>
      <c r="EK22" s="35" t="str">
        <f t="shared" si="54"/>
        <v/>
      </c>
      <c r="EL22" s="36" t="str">
        <f t="shared" si="55"/>
        <v/>
      </c>
      <c r="EM22" s="37"/>
      <c r="EN22" s="33"/>
      <c r="EO22" s="34"/>
      <c r="EP22" s="35" t="str">
        <f t="shared" si="56"/>
        <v/>
      </c>
      <c r="EQ22" s="36" t="str">
        <f t="shared" si="57"/>
        <v/>
      </c>
      <c r="ER22" s="37"/>
      <c r="ES22" s="33"/>
      <c r="ET22" s="34"/>
      <c r="EU22" s="35" t="str">
        <f t="shared" si="58"/>
        <v/>
      </c>
      <c r="EV22" s="36" t="str">
        <f t="shared" si="59"/>
        <v/>
      </c>
      <c r="EW22" s="37"/>
    </row>
    <row r="23" spans="1:153" ht="19.5" customHeight="1">
      <c r="A23" s="32">
        <f>IF(DAY(DATE(対象年度,8,20))&lt;&gt;20,"",20)</f>
        <v>20</v>
      </c>
      <c r="B23" s="32" t="str">
        <f>IF(DAY(DATE(対象年度,8,20))&lt;&gt;20,"",CHOOSE(WEEKDAY(DATE(対象年度,8,20),2),"月","火","水","木","金","土","日"))</f>
        <v>木</v>
      </c>
      <c r="C23" s="32" t="str">
        <f>IF(DAY(DATE(対象年度,8,20))&lt;&gt;20,"",IF(ISNUMBER(MATCH(DATE(対象年度,8,20),祝日リスト,0)),"祝",""))</f>
        <v/>
      </c>
      <c r="D23" s="33"/>
      <c r="E23" s="34"/>
      <c r="F23" s="35" t="str">
        <f t="shared" si="0"/>
        <v/>
      </c>
      <c r="G23" s="36" t="str">
        <f t="shared" si="1"/>
        <v/>
      </c>
      <c r="H23" s="37"/>
      <c r="I23" s="33"/>
      <c r="J23" s="34"/>
      <c r="K23" s="35" t="str">
        <f t="shared" si="2"/>
        <v/>
      </c>
      <c r="L23" s="36" t="str">
        <f t="shared" si="3"/>
        <v/>
      </c>
      <c r="M23" s="37"/>
      <c r="N23" s="33"/>
      <c r="O23" s="34"/>
      <c r="P23" s="35" t="str">
        <f t="shared" si="4"/>
        <v/>
      </c>
      <c r="Q23" s="36" t="str">
        <f t="shared" si="5"/>
        <v/>
      </c>
      <c r="R23" s="37"/>
      <c r="S23" s="33"/>
      <c r="T23" s="34"/>
      <c r="U23" s="35" t="str">
        <f t="shared" si="6"/>
        <v/>
      </c>
      <c r="V23" s="36" t="str">
        <f t="shared" si="7"/>
        <v/>
      </c>
      <c r="W23" s="37"/>
      <c r="X23" s="33"/>
      <c r="Y23" s="34"/>
      <c r="Z23" s="35" t="str">
        <f t="shared" si="8"/>
        <v/>
      </c>
      <c r="AA23" s="36" t="str">
        <f t="shared" si="9"/>
        <v/>
      </c>
      <c r="AB23" s="37"/>
      <c r="AC23" s="33"/>
      <c r="AD23" s="34"/>
      <c r="AE23" s="35" t="str">
        <f t="shared" si="10"/>
        <v/>
      </c>
      <c r="AF23" s="36" t="str">
        <f t="shared" si="11"/>
        <v/>
      </c>
      <c r="AG23" s="37"/>
      <c r="AH23" s="33"/>
      <c r="AI23" s="34"/>
      <c r="AJ23" s="35" t="str">
        <f t="shared" si="12"/>
        <v/>
      </c>
      <c r="AK23" s="36" t="str">
        <f t="shared" si="13"/>
        <v/>
      </c>
      <c r="AL23" s="37"/>
      <c r="AM23" s="33"/>
      <c r="AN23" s="34"/>
      <c r="AO23" s="35" t="str">
        <f t="shared" si="14"/>
        <v/>
      </c>
      <c r="AP23" s="36" t="str">
        <f t="shared" si="15"/>
        <v/>
      </c>
      <c r="AQ23" s="37"/>
      <c r="AR23" s="33"/>
      <c r="AS23" s="34"/>
      <c r="AT23" s="35" t="str">
        <f t="shared" si="16"/>
        <v/>
      </c>
      <c r="AU23" s="36" t="str">
        <f t="shared" si="17"/>
        <v/>
      </c>
      <c r="AV23" s="37"/>
      <c r="AW23" s="33"/>
      <c r="AX23" s="34"/>
      <c r="AY23" s="35" t="str">
        <f t="shared" si="18"/>
        <v/>
      </c>
      <c r="AZ23" s="36" t="str">
        <f t="shared" si="19"/>
        <v/>
      </c>
      <c r="BA23" s="37"/>
      <c r="BB23" s="33"/>
      <c r="BC23" s="34"/>
      <c r="BD23" s="35" t="str">
        <f t="shared" si="20"/>
        <v/>
      </c>
      <c r="BE23" s="36" t="str">
        <f t="shared" si="21"/>
        <v/>
      </c>
      <c r="BF23" s="37"/>
      <c r="BG23" s="33"/>
      <c r="BH23" s="34"/>
      <c r="BI23" s="35" t="str">
        <f t="shared" si="22"/>
        <v/>
      </c>
      <c r="BJ23" s="36" t="str">
        <f t="shared" si="23"/>
        <v/>
      </c>
      <c r="BK23" s="37"/>
      <c r="BL23" s="33"/>
      <c r="BM23" s="34"/>
      <c r="BN23" s="35" t="str">
        <f t="shared" si="24"/>
        <v/>
      </c>
      <c r="BO23" s="36" t="str">
        <f t="shared" si="25"/>
        <v/>
      </c>
      <c r="BP23" s="37"/>
      <c r="BQ23" s="33"/>
      <c r="BR23" s="34"/>
      <c r="BS23" s="35" t="str">
        <f t="shared" si="26"/>
        <v/>
      </c>
      <c r="BT23" s="36" t="str">
        <f t="shared" si="27"/>
        <v/>
      </c>
      <c r="BU23" s="37"/>
      <c r="BV23" s="33"/>
      <c r="BW23" s="34"/>
      <c r="BX23" s="35" t="str">
        <f t="shared" si="28"/>
        <v/>
      </c>
      <c r="BY23" s="36" t="str">
        <f t="shared" si="29"/>
        <v/>
      </c>
      <c r="BZ23" s="37"/>
      <c r="CA23" s="33"/>
      <c r="CB23" s="34"/>
      <c r="CC23" s="35" t="str">
        <f t="shared" si="30"/>
        <v/>
      </c>
      <c r="CD23" s="36" t="str">
        <f t="shared" si="31"/>
        <v/>
      </c>
      <c r="CE23" s="37"/>
      <c r="CF23" s="33"/>
      <c r="CG23" s="34"/>
      <c r="CH23" s="35" t="str">
        <f t="shared" si="32"/>
        <v/>
      </c>
      <c r="CI23" s="36" t="str">
        <f t="shared" si="33"/>
        <v/>
      </c>
      <c r="CJ23" s="37"/>
      <c r="CK23" s="33"/>
      <c r="CL23" s="34"/>
      <c r="CM23" s="35" t="str">
        <f t="shared" si="34"/>
        <v/>
      </c>
      <c r="CN23" s="36" t="str">
        <f t="shared" si="35"/>
        <v/>
      </c>
      <c r="CO23" s="37"/>
      <c r="CP23" s="33"/>
      <c r="CQ23" s="34"/>
      <c r="CR23" s="35" t="str">
        <f t="shared" si="36"/>
        <v/>
      </c>
      <c r="CS23" s="36" t="str">
        <f t="shared" si="37"/>
        <v/>
      </c>
      <c r="CT23" s="37"/>
      <c r="CU23" s="33"/>
      <c r="CV23" s="34"/>
      <c r="CW23" s="35" t="str">
        <f t="shared" si="38"/>
        <v/>
      </c>
      <c r="CX23" s="36" t="str">
        <f t="shared" si="39"/>
        <v/>
      </c>
      <c r="CY23" s="37"/>
      <c r="CZ23" s="33"/>
      <c r="DA23" s="34"/>
      <c r="DB23" s="35" t="str">
        <f t="shared" si="40"/>
        <v/>
      </c>
      <c r="DC23" s="36" t="str">
        <f t="shared" si="41"/>
        <v/>
      </c>
      <c r="DD23" s="37"/>
      <c r="DE23" s="33"/>
      <c r="DF23" s="34"/>
      <c r="DG23" s="35" t="str">
        <f t="shared" si="42"/>
        <v/>
      </c>
      <c r="DH23" s="36" t="str">
        <f t="shared" si="43"/>
        <v/>
      </c>
      <c r="DI23" s="37"/>
      <c r="DJ23" s="33"/>
      <c r="DK23" s="34"/>
      <c r="DL23" s="35" t="str">
        <f t="shared" si="44"/>
        <v/>
      </c>
      <c r="DM23" s="36" t="str">
        <f t="shared" si="45"/>
        <v/>
      </c>
      <c r="DN23" s="37"/>
      <c r="DO23" s="33"/>
      <c r="DP23" s="34"/>
      <c r="DQ23" s="35" t="str">
        <f t="shared" si="46"/>
        <v/>
      </c>
      <c r="DR23" s="36" t="str">
        <f t="shared" si="47"/>
        <v/>
      </c>
      <c r="DS23" s="37"/>
      <c r="DT23" s="33"/>
      <c r="DU23" s="34"/>
      <c r="DV23" s="35" t="str">
        <f t="shared" si="48"/>
        <v/>
      </c>
      <c r="DW23" s="36" t="str">
        <f t="shared" si="49"/>
        <v/>
      </c>
      <c r="DX23" s="37"/>
      <c r="DY23" s="33"/>
      <c r="DZ23" s="34"/>
      <c r="EA23" s="35" t="str">
        <f t="shared" si="50"/>
        <v/>
      </c>
      <c r="EB23" s="36" t="str">
        <f t="shared" si="51"/>
        <v/>
      </c>
      <c r="EC23" s="37"/>
      <c r="ED23" s="33"/>
      <c r="EE23" s="34"/>
      <c r="EF23" s="35" t="str">
        <f t="shared" si="52"/>
        <v/>
      </c>
      <c r="EG23" s="36" t="str">
        <f t="shared" si="53"/>
        <v/>
      </c>
      <c r="EH23" s="37"/>
      <c r="EI23" s="33"/>
      <c r="EJ23" s="34"/>
      <c r="EK23" s="35" t="str">
        <f t="shared" si="54"/>
        <v/>
      </c>
      <c r="EL23" s="36" t="str">
        <f t="shared" si="55"/>
        <v/>
      </c>
      <c r="EM23" s="37"/>
      <c r="EN23" s="33"/>
      <c r="EO23" s="34"/>
      <c r="EP23" s="35" t="str">
        <f t="shared" si="56"/>
        <v/>
      </c>
      <c r="EQ23" s="36" t="str">
        <f t="shared" si="57"/>
        <v/>
      </c>
      <c r="ER23" s="37"/>
      <c r="ES23" s="33"/>
      <c r="ET23" s="34"/>
      <c r="EU23" s="35" t="str">
        <f t="shared" si="58"/>
        <v/>
      </c>
      <c r="EV23" s="36" t="str">
        <f t="shared" si="59"/>
        <v/>
      </c>
      <c r="EW23" s="37"/>
    </row>
    <row r="24" spans="1:153" ht="19.5" customHeight="1">
      <c r="A24" s="32">
        <f>IF(DAY(DATE(対象年度,8,21))&lt;&gt;21,"",21)</f>
        <v>21</v>
      </c>
      <c r="B24" s="32" t="str">
        <f>IF(DAY(DATE(対象年度,8,21))&lt;&gt;21,"",CHOOSE(WEEKDAY(DATE(対象年度,8,21),2),"月","火","水","木","金","土","日"))</f>
        <v>金</v>
      </c>
      <c r="C24" s="32" t="str">
        <f>IF(DAY(DATE(対象年度,8,21))&lt;&gt;21,"",IF(ISNUMBER(MATCH(DATE(対象年度,8,21),祝日リスト,0)),"祝",""))</f>
        <v/>
      </c>
      <c r="D24" s="33"/>
      <c r="E24" s="34"/>
      <c r="F24" s="35" t="str">
        <f t="shared" si="0"/>
        <v/>
      </c>
      <c r="G24" s="36" t="str">
        <f t="shared" si="1"/>
        <v/>
      </c>
      <c r="H24" s="37"/>
      <c r="I24" s="33"/>
      <c r="J24" s="34"/>
      <c r="K24" s="35" t="str">
        <f t="shared" si="2"/>
        <v/>
      </c>
      <c r="L24" s="36" t="str">
        <f t="shared" si="3"/>
        <v/>
      </c>
      <c r="M24" s="37"/>
      <c r="N24" s="33"/>
      <c r="O24" s="34"/>
      <c r="P24" s="35" t="str">
        <f t="shared" si="4"/>
        <v/>
      </c>
      <c r="Q24" s="36" t="str">
        <f t="shared" si="5"/>
        <v/>
      </c>
      <c r="R24" s="37"/>
      <c r="S24" s="33"/>
      <c r="T24" s="34"/>
      <c r="U24" s="35" t="str">
        <f t="shared" si="6"/>
        <v/>
      </c>
      <c r="V24" s="36" t="str">
        <f t="shared" si="7"/>
        <v/>
      </c>
      <c r="W24" s="37"/>
      <c r="X24" s="33"/>
      <c r="Y24" s="34"/>
      <c r="Z24" s="35" t="str">
        <f t="shared" si="8"/>
        <v/>
      </c>
      <c r="AA24" s="36" t="str">
        <f t="shared" si="9"/>
        <v/>
      </c>
      <c r="AB24" s="37"/>
      <c r="AC24" s="33"/>
      <c r="AD24" s="34"/>
      <c r="AE24" s="35" t="str">
        <f t="shared" si="10"/>
        <v/>
      </c>
      <c r="AF24" s="36" t="str">
        <f t="shared" si="11"/>
        <v/>
      </c>
      <c r="AG24" s="37"/>
      <c r="AH24" s="33"/>
      <c r="AI24" s="34"/>
      <c r="AJ24" s="35" t="str">
        <f t="shared" si="12"/>
        <v/>
      </c>
      <c r="AK24" s="36" t="str">
        <f t="shared" si="13"/>
        <v/>
      </c>
      <c r="AL24" s="37"/>
      <c r="AM24" s="33"/>
      <c r="AN24" s="34"/>
      <c r="AO24" s="35" t="str">
        <f t="shared" si="14"/>
        <v/>
      </c>
      <c r="AP24" s="36" t="str">
        <f t="shared" si="15"/>
        <v/>
      </c>
      <c r="AQ24" s="37"/>
      <c r="AR24" s="33"/>
      <c r="AS24" s="34"/>
      <c r="AT24" s="35" t="str">
        <f t="shared" si="16"/>
        <v/>
      </c>
      <c r="AU24" s="36" t="str">
        <f t="shared" si="17"/>
        <v/>
      </c>
      <c r="AV24" s="37"/>
      <c r="AW24" s="33"/>
      <c r="AX24" s="34"/>
      <c r="AY24" s="35" t="str">
        <f t="shared" si="18"/>
        <v/>
      </c>
      <c r="AZ24" s="36" t="str">
        <f t="shared" si="19"/>
        <v/>
      </c>
      <c r="BA24" s="37"/>
      <c r="BB24" s="33"/>
      <c r="BC24" s="34"/>
      <c r="BD24" s="35" t="str">
        <f t="shared" si="20"/>
        <v/>
      </c>
      <c r="BE24" s="36" t="str">
        <f t="shared" si="21"/>
        <v/>
      </c>
      <c r="BF24" s="37"/>
      <c r="BG24" s="33"/>
      <c r="BH24" s="34"/>
      <c r="BI24" s="35" t="str">
        <f t="shared" si="22"/>
        <v/>
      </c>
      <c r="BJ24" s="36" t="str">
        <f t="shared" si="23"/>
        <v/>
      </c>
      <c r="BK24" s="37"/>
      <c r="BL24" s="33"/>
      <c r="BM24" s="34"/>
      <c r="BN24" s="35" t="str">
        <f t="shared" si="24"/>
        <v/>
      </c>
      <c r="BO24" s="36" t="str">
        <f t="shared" si="25"/>
        <v/>
      </c>
      <c r="BP24" s="37"/>
      <c r="BQ24" s="33"/>
      <c r="BR24" s="34"/>
      <c r="BS24" s="35" t="str">
        <f t="shared" si="26"/>
        <v/>
      </c>
      <c r="BT24" s="36" t="str">
        <f t="shared" si="27"/>
        <v/>
      </c>
      <c r="BU24" s="37"/>
      <c r="BV24" s="33"/>
      <c r="BW24" s="34"/>
      <c r="BX24" s="35" t="str">
        <f t="shared" si="28"/>
        <v/>
      </c>
      <c r="BY24" s="36" t="str">
        <f t="shared" si="29"/>
        <v/>
      </c>
      <c r="BZ24" s="37"/>
      <c r="CA24" s="33"/>
      <c r="CB24" s="34"/>
      <c r="CC24" s="35" t="str">
        <f t="shared" si="30"/>
        <v/>
      </c>
      <c r="CD24" s="36" t="str">
        <f t="shared" si="31"/>
        <v/>
      </c>
      <c r="CE24" s="37"/>
      <c r="CF24" s="33"/>
      <c r="CG24" s="34"/>
      <c r="CH24" s="35" t="str">
        <f t="shared" si="32"/>
        <v/>
      </c>
      <c r="CI24" s="36" t="str">
        <f t="shared" si="33"/>
        <v/>
      </c>
      <c r="CJ24" s="37"/>
      <c r="CK24" s="33"/>
      <c r="CL24" s="34"/>
      <c r="CM24" s="35" t="str">
        <f t="shared" si="34"/>
        <v/>
      </c>
      <c r="CN24" s="36" t="str">
        <f t="shared" si="35"/>
        <v/>
      </c>
      <c r="CO24" s="37"/>
      <c r="CP24" s="33"/>
      <c r="CQ24" s="34"/>
      <c r="CR24" s="35" t="str">
        <f t="shared" si="36"/>
        <v/>
      </c>
      <c r="CS24" s="36" t="str">
        <f t="shared" si="37"/>
        <v/>
      </c>
      <c r="CT24" s="37"/>
      <c r="CU24" s="33"/>
      <c r="CV24" s="34"/>
      <c r="CW24" s="35" t="str">
        <f t="shared" si="38"/>
        <v/>
      </c>
      <c r="CX24" s="36" t="str">
        <f t="shared" si="39"/>
        <v/>
      </c>
      <c r="CY24" s="37"/>
      <c r="CZ24" s="33"/>
      <c r="DA24" s="34"/>
      <c r="DB24" s="35" t="str">
        <f t="shared" si="40"/>
        <v/>
      </c>
      <c r="DC24" s="36" t="str">
        <f t="shared" si="41"/>
        <v/>
      </c>
      <c r="DD24" s="37"/>
      <c r="DE24" s="33"/>
      <c r="DF24" s="34"/>
      <c r="DG24" s="35" t="str">
        <f t="shared" si="42"/>
        <v/>
      </c>
      <c r="DH24" s="36" t="str">
        <f t="shared" si="43"/>
        <v/>
      </c>
      <c r="DI24" s="37"/>
      <c r="DJ24" s="33"/>
      <c r="DK24" s="34"/>
      <c r="DL24" s="35" t="str">
        <f t="shared" si="44"/>
        <v/>
      </c>
      <c r="DM24" s="36" t="str">
        <f t="shared" si="45"/>
        <v/>
      </c>
      <c r="DN24" s="37"/>
      <c r="DO24" s="33"/>
      <c r="DP24" s="34"/>
      <c r="DQ24" s="35" t="str">
        <f t="shared" si="46"/>
        <v/>
      </c>
      <c r="DR24" s="36" t="str">
        <f t="shared" si="47"/>
        <v/>
      </c>
      <c r="DS24" s="37"/>
      <c r="DT24" s="33"/>
      <c r="DU24" s="34"/>
      <c r="DV24" s="35" t="str">
        <f t="shared" si="48"/>
        <v/>
      </c>
      <c r="DW24" s="36" t="str">
        <f t="shared" si="49"/>
        <v/>
      </c>
      <c r="DX24" s="37"/>
      <c r="DY24" s="33"/>
      <c r="DZ24" s="34"/>
      <c r="EA24" s="35" t="str">
        <f t="shared" si="50"/>
        <v/>
      </c>
      <c r="EB24" s="36" t="str">
        <f t="shared" si="51"/>
        <v/>
      </c>
      <c r="EC24" s="37"/>
      <c r="ED24" s="33"/>
      <c r="EE24" s="34"/>
      <c r="EF24" s="35" t="str">
        <f t="shared" si="52"/>
        <v/>
      </c>
      <c r="EG24" s="36" t="str">
        <f t="shared" si="53"/>
        <v/>
      </c>
      <c r="EH24" s="37"/>
      <c r="EI24" s="33"/>
      <c r="EJ24" s="34"/>
      <c r="EK24" s="35" t="str">
        <f t="shared" si="54"/>
        <v/>
      </c>
      <c r="EL24" s="36" t="str">
        <f t="shared" si="55"/>
        <v/>
      </c>
      <c r="EM24" s="37"/>
      <c r="EN24" s="33"/>
      <c r="EO24" s="34"/>
      <c r="EP24" s="35" t="str">
        <f t="shared" si="56"/>
        <v/>
      </c>
      <c r="EQ24" s="36" t="str">
        <f t="shared" si="57"/>
        <v/>
      </c>
      <c r="ER24" s="37"/>
      <c r="ES24" s="33"/>
      <c r="ET24" s="34"/>
      <c r="EU24" s="35" t="str">
        <f t="shared" si="58"/>
        <v/>
      </c>
      <c r="EV24" s="36" t="str">
        <f t="shared" si="59"/>
        <v/>
      </c>
      <c r="EW24" s="37"/>
    </row>
    <row r="25" spans="1:153" ht="19.5" customHeight="1">
      <c r="A25" s="32">
        <f>IF(DAY(DATE(対象年度,8,22))&lt;&gt;22,"",22)</f>
        <v>22</v>
      </c>
      <c r="B25" s="32" t="str">
        <f>IF(DAY(DATE(対象年度,8,22))&lt;&gt;22,"",CHOOSE(WEEKDAY(DATE(対象年度,8,22),2),"月","火","水","木","金","土","日"))</f>
        <v>土</v>
      </c>
      <c r="C25" s="32" t="str">
        <f>IF(DAY(DATE(対象年度,8,22))&lt;&gt;22,"",IF(ISNUMBER(MATCH(DATE(対象年度,8,22),祝日リスト,0)),"祝",""))</f>
        <v/>
      </c>
      <c r="D25" s="33"/>
      <c r="E25" s="34"/>
      <c r="F25" s="35" t="str">
        <f t="shared" si="0"/>
        <v/>
      </c>
      <c r="G25" s="36" t="str">
        <f t="shared" si="1"/>
        <v/>
      </c>
      <c r="H25" s="37"/>
      <c r="I25" s="33"/>
      <c r="J25" s="34"/>
      <c r="K25" s="35" t="str">
        <f t="shared" si="2"/>
        <v/>
      </c>
      <c r="L25" s="36" t="str">
        <f t="shared" si="3"/>
        <v/>
      </c>
      <c r="M25" s="37"/>
      <c r="N25" s="33"/>
      <c r="O25" s="34"/>
      <c r="P25" s="35" t="str">
        <f t="shared" si="4"/>
        <v/>
      </c>
      <c r="Q25" s="36" t="str">
        <f t="shared" si="5"/>
        <v/>
      </c>
      <c r="R25" s="37"/>
      <c r="S25" s="33"/>
      <c r="T25" s="34"/>
      <c r="U25" s="35" t="str">
        <f t="shared" si="6"/>
        <v/>
      </c>
      <c r="V25" s="36" t="str">
        <f t="shared" si="7"/>
        <v/>
      </c>
      <c r="W25" s="37"/>
      <c r="X25" s="33"/>
      <c r="Y25" s="34"/>
      <c r="Z25" s="35" t="str">
        <f t="shared" si="8"/>
        <v/>
      </c>
      <c r="AA25" s="36" t="str">
        <f t="shared" si="9"/>
        <v/>
      </c>
      <c r="AB25" s="37"/>
      <c r="AC25" s="33"/>
      <c r="AD25" s="34"/>
      <c r="AE25" s="35" t="str">
        <f t="shared" si="10"/>
        <v/>
      </c>
      <c r="AF25" s="36" t="str">
        <f t="shared" si="11"/>
        <v/>
      </c>
      <c r="AG25" s="37"/>
      <c r="AH25" s="33"/>
      <c r="AI25" s="34"/>
      <c r="AJ25" s="35" t="str">
        <f t="shared" si="12"/>
        <v/>
      </c>
      <c r="AK25" s="36" t="str">
        <f t="shared" si="13"/>
        <v/>
      </c>
      <c r="AL25" s="37"/>
      <c r="AM25" s="33"/>
      <c r="AN25" s="34"/>
      <c r="AO25" s="35" t="str">
        <f t="shared" si="14"/>
        <v/>
      </c>
      <c r="AP25" s="36" t="str">
        <f t="shared" si="15"/>
        <v/>
      </c>
      <c r="AQ25" s="37"/>
      <c r="AR25" s="33"/>
      <c r="AS25" s="34"/>
      <c r="AT25" s="35" t="str">
        <f t="shared" si="16"/>
        <v/>
      </c>
      <c r="AU25" s="36" t="str">
        <f t="shared" si="17"/>
        <v/>
      </c>
      <c r="AV25" s="37"/>
      <c r="AW25" s="33"/>
      <c r="AX25" s="34"/>
      <c r="AY25" s="35" t="str">
        <f t="shared" si="18"/>
        <v/>
      </c>
      <c r="AZ25" s="36" t="str">
        <f t="shared" si="19"/>
        <v/>
      </c>
      <c r="BA25" s="37"/>
      <c r="BB25" s="33"/>
      <c r="BC25" s="34"/>
      <c r="BD25" s="35" t="str">
        <f t="shared" si="20"/>
        <v/>
      </c>
      <c r="BE25" s="36" t="str">
        <f t="shared" si="21"/>
        <v/>
      </c>
      <c r="BF25" s="37"/>
      <c r="BG25" s="33"/>
      <c r="BH25" s="34"/>
      <c r="BI25" s="35" t="str">
        <f t="shared" si="22"/>
        <v/>
      </c>
      <c r="BJ25" s="36" t="str">
        <f t="shared" si="23"/>
        <v/>
      </c>
      <c r="BK25" s="37"/>
      <c r="BL25" s="33"/>
      <c r="BM25" s="34"/>
      <c r="BN25" s="35" t="str">
        <f t="shared" si="24"/>
        <v/>
      </c>
      <c r="BO25" s="36" t="str">
        <f t="shared" si="25"/>
        <v/>
      </c>
      <c r="BP25" s="37"/>
      <c r="BQ25" s="33"/>
      <c r="BR25" s="34"/>
      <c r="BS25" s="35" t="str">
        <f t="shared" si="26"/>
        <v/>
      </c>
      <c r="BT25" s="36" t="str">
        <f t="shared" si="27"/>
        <v/>
      </c>
      <c r="BU25" s="37"/>
      <c r="BV25" s="33"/>
      <c r="BW25" s="34"/>
      <c r="BX25" s="35" t="str">
        <f t="shared" si="28"/>
        <v/>
      </c>
      <c r="BY25" s="36" t="str">
        <f t="shared" si="29"/>
        <v/>
      </c>
      <c r="BZ25" s="37"/>
      <c r="CA25" s="33"/>
      <c r="CB25" s="34"/>
      <c r="CC25" s="35" t="str">
        <f t="shared" si="30"/>
        <v/>
      </c>
      <c r="CD25" s="36" t="str">
        <f t="shared" si="31"/>
        <v/>
      </c>
      <c r="CE25" s="37"/>
      <c r="CF25" s="33"/>
      <c r="CG25" s="34"/>
      <c r="CH25" s="35" t="str">
        <f t="shared" si="32"/>
        <v/>
      </c>
      <c r="CI25" s="36" t="str">
        <f t="shared" si="33"/>
        <v/>
      </c>
      <c r="CJ25" s="37"/>
      <c r="CK25" s="33"/>
      <c r="CL25" s="34"/>
      <c r="CM25" s="35" t="str">
        <f t="shared" si="34"/>
        <v/>
      </c>
      <c r="CN25" s="36" t="str">
        <f t="shared" si="35"/>
        <v/>
      </c>
      <c r="CO25" s="37"/>
      <c r="CP25" s="33"/>
      <c r="CQ25" s="34"/>
      <c r="CR25" s="35" t="str">
        <f t="shared" si="36"/>
        <v/>
      </c>
      <c r="CS25" s="36" t="str">
        <f t="shared" si="37"/>
        <v/>
      </c>
      <c r="CT25" s="37"/>
      <c r="CU25" s="33"/>
      <c r="CV25" s="34"/>
      <c r="CW25" s="35" t="str">
        <f t="shared" si="38"/>
        <v/>
      </c>
      <c r="CX25" s="36" t="str">
        <f t="shared" si="39"/>
        <v/>
      </c>
      <c r="CY25" s="37"/>
      <c r="CZ25" s="33"/>
      <c r="DA25" s="34"/>
      <c r="DB25" s="35" t="str">
        <f t="shared" si="40"/>
        <v/>
      </c>
      <c r="DC25" s="36" t="str">
        <f t="shared" si="41"/>
        <v/>
      </c>
      <c r="DD25" s="37"/>
      <c r="DE25" s="33"/>
      <c r="DF25" s="34"/>
      <c r="DG25" s="35" t="str">
        <f t="shared" si="42"/>
        <v/>
      </c>
      <c r="DH25" s="36" t="str">
        <f t="shared" si="43"/>
        <v/>
      </c>
      <c r="DI25" s="37"/>
      <c r="DJ25" s="33"/>
      <c r="DK25" s="34"/>
      <c r="DL25" s="35" t="str">
        <f t="shared" si="44"/>
        <v/>
      </c>
      <c r="DM25" s="36" t="str">
        <f t="shared" si="45"/>
        <v/>
      </c>
      <c r="DN25" s="37"/>
      <c r="DO25" s="33"/>
      <c r="DP25" s="34"/>
      <c r="DQ25" s="35" t="str">
        <f t="shared" si="46"/>
        <v/>
      </c>
      <c r="DR25" s="36" t="str">
        <f t="shared" si="47"/>
        <v/>
      </c>
      <c r="DS25" s="37"/>
      <c r="DT25" s="33"/>
      <c r="DU25" s="34"/>
      <c r="DV25" s="35" t="str">
        <f t="shared" si="48"/>
        <v/>
      </c>
      <c r="DW25" s="36" t="str">
        <f t="shared" si="49"/>
        <v/>
      </c>
      <c r="DX25" s="37"/>
      <c r="DY25" s="33"/>
      <c r="DZ25" s="34"/>
      <c r="EA25" s="35" t="str">
        <f t="shared" si="50"/>
        <v/>
      </c>
      <c r="EB25" s="36" t="str">
        <f t="shared" si="51"/>
        <v/>
      </c>
      <c r="EC25" s="37"/>
      <c r="ED25" s="33"/>
      <c r="EE25" s="34"/>
      <c r="EF25" s="35" t="str">
        <f t="shared" si="52"/>
        <v/>
      </c>
      <c r="EG25" s="36" t="str">
        <f t="shared" si="53"/>
        <v/>
      </c>
      <c r="EH25" s="37"/>
      <c r="EI25" s="33"/>
      <c r="EJ25" s="34"/>
      <c r="EK25" s="35" t="str">
        <f t="shared" si="54"/>
        <v/>
      </c>
      <c r="EL25" s="36" t="str">
        <f t="shared" si="55"/>
        <v/>
      </c>
      <c r="EM25" s="37"/>
      <c r="EN25" s="33"/>
      <c r="EO25" s="34"/>
      <c r="EP25" s="35" t="str">
        <f t="shared" si="56"/>
        <v/>
      </c>
      <c r="EQ25" s="36" t="str">
        <f t="shared" si="57"/>
        <v/>
      </c>
      <c r="ER25" s="37"/>
      <c r="ES25" s="33"/>
      <c r="ET25" s="34"/>
      <c r="EU25" s="35" t="str">
        <f t="shared" si="58"/>
        <v/>
      </c>
      <c r="EV25" s="36" t="str">
        <f t="shared" si="59"/>
        <v/>
      </c>
      <c r="EW25" s="37"/>
    </row>
    <row r="26" spans="1:153" ht="19.5" customHeight="1">
      <c r="A26" s="32">
        <f>IF(DAY(DATE(対象年度,8,23))&lt;&gt;23,"",23)</f>
        <v>23</v>
      </c>
      <c r="B26" s="32" t="str">
        <f>IF(DAY(DATE(対象年度,8,23))&lt;&gt;23,"",CHOOSE(WEEKDAY(DATE(対象年度,8,23),2),"月","火","水","木","金","土","日"))</f>
        <v>日</v>
      </c>
      <c r="C26" s="32" t="str">
        <f>IF(DAY(DATE(対象年度,8,23))&lt;&gt;23,"",IF(ISNUMBER(MATCH(DATE(対象年度,8,23),祝日リスト,0)),"祝",""))</f>
        <v/>
      </c>
      <c r="D26" s="33"/>
      <c r="E26" s="34"/>
      <c r="F26" s="35" t="str">
        <f t="shared" si="0"/>
        <v/>
      </c>
      <c r="G26" s="36" t="str">
        <f t="shared" si="1"/>
        <v/>
      </c>
      <c r="H26" s="37"/>
      <c r="I26" s="33"/>
      <c r="J26" s="34"/>
      <c r="K26" s="35" t="str">
        <f t="shared" si="2"/>
        <v/>
      </c>
      <c r="L26" s="36" t="str">
        <f t="shared" si="3"/>
        <v/>
      </c>
      <c r="M26" s="37"/>
      <c r="N26" s="33"/>
      <c r="O26" s="34"/>
      <c r="P26" s="35" t="str">
        <f t="shared" si="4"/>
        <v/>
      </c>
      <c r="Q26" s="36" t="str">
        <f t="shared" si="5"/>
        <v/>
      </c>
      <c r="R26" s="37"/>
      <c r="S26" s="33"/>
      <c r="T26" s="34"/>
      <c r="U26" s="35" t="str">
        <f t="shared" si="6"/>
        <v/>
      </c>
      <c r="V26" s="36" t="str">
        <f t="shared" si="7"/>
        <v/>
      </c>
      <c r="W26" s="37"/>
      <c r="X26" s="33"/>
      <c r="Y26" s="34"/>
      <c r="Z26" s="35" t="str">
        <f t="shared" si="8"/>
        <v/>
      </c>
      <c r="AA26" s="36" t="str">
        <f t="shared" si="9"/>
        <v/>
      </c>
      <c r="AB26" s="37"/>
      <c r="AC26" s="33"/>
      <c r="AD26" s="34"/>
      <c r="AE26" s="35" t="str">
        <f t="shared" si="10"/>
        <v/>
      </c>
      <c r="AF26" s="36" t="str">
        <f t="shared" si="11"/>
        <v/>
      </c>
      <c r="AG26" s="37"/>
      <c r="AH26" s="33"/>
      <c r="AI26" s="34"/>
      <c r="AJ26" s="35" t="str">
        <f t="shared" si="12"/>
        <v/>
      </c>
      <c r="AK26" s="36" t="str">
        <f t="shared" si="13"/>
        <v/>
      </c>
      <c r="AL26" s="37"/>
      <c r="AM26" s="33"/>
      <c r="AN26" s="34"/>
      <c r="AO26" s="35" t="str">
        <f t="shared" si="14"/>
        <v/>
      </c>
      <c r="AP26" s="36" t="str">
        <f t="shared" si="15"/>
        <v/>
      </c>
      <c r="AQ26" s="37"/>
      <c r="AR26" s="33"/>
      <c r="AS26" s="34"/>
      <c r="AT26" s="35" t="str">
        <f t="shared" si="16"/>
        <v/>
      </c>
      <c r="AU26" s="36" t="str">
        <f t="shared" si="17"/>
        <v/>
      </c>
      <c r="AV26" s="37"/>
      <c r="AW26" s="33"/>
      <c r="AX26" s="34"/>
      <c r="AY26" s="35" t="str">
        <f t="shared" si="18"/>
        <v/>
      </c>
      <c r="AZ26" s="36" t="str">
        <f t="shared" si="19"/>
        <v/>
      </c>
      <c r="BA26" s="37"/>
      <c r="BB26" s="33"/>
      <c r="BC26" s="34"/>
      <c r="BD26" s="35" t="str">
        <f t="shared" si="20"/>
        <v/>
      </c>
      <c r="BE26" s="36" t="str">
        <f t="shared" si="21"/>
        <v/>
      </c>
      <c r="BF26" s="37"/>
      <c r="BG26" s="33"/>
      <c r="BH26" s="34"/>
      <c r="BI26" s="35" t="str">
        <f t="shared" si="22"/>
        <v/>
      </c>
      <c r="BJ26" s="36" t="str">
        <f t="shared" si="23"/>
        <v/>
      </c>
      <c r="BK26" s="37"/>
      <c r="BL26" s="33"/>
      <c r="BM26" s="34"/>
      <c r="BN26" s="35" t="str">
        <f t="shared" si="24"/>
        <v/>
      </c>
      <c r="BO26" s="36" t="str">
        <f t="shared" si="25"/>
        <v/>
      </c>
      <c r="BP26" s="37"/>
      <c r="BQ26" s="33"/>
      <c r="BR26" s="34"/>
      <c r="BS26" s="35" t="str">
        <f t="shared" si="26"/>
        <v/>
      </c>
      <c r="BT26" s="36" t="str">
        <f t="shared" si="27"/>
        <v/>
      </c>
      <c r="BU26" s="37"/>
      <c r="BV26" s="33"/>
      <c r="BW26" s="34"/>
      <c r="BX26" s="35" t="str">
        <f t="shared" si="28"/>
        <v/>
      </c>
      <c r="BY26" s="36" t="str">
        <f t="shared" si="29"/>
        <v/>
      </c>
      <c r="BZ26" s="37"/>
      <c r="CA26" s="33"/>
      <c r="CB26" s="34"/>
      <c r="CC26" s="35" t="str">
        <f t="shared" si="30"/>
        <v/>
      </c>
      <c r="CD26" s="36" t="str">
        <f t="shared" si="31"/>
        <v/>
      </c>
      <c r="CE26" s="37"/>
      <c r="CF26" s="33"/>
      <c r="CG26" s="34"/>
      <c r="CH26" s="35" t="str">
        <f t="shared" si="32"/>
        <v/>
      </c>
      <c r="CI26" s="36" t="str">
        <f t="shared" si="33"/>
        <v/>
      </c>
      <c r="CJ26" s="37"/>
      <c r="CK26" s="33"/>
      <c r="CL26" s="34"/>
      <c r="CM26" s="35" t="str">
        <f t="shared" si="34"/>
        <v/>
      </c>
      <c r="CN26" s="36" t="str">
        <f t="shared" si="35"/>
        <v/>
      </c>
      <c r="CO26" s="37"/>
      <c r="CP26" s="33"/>
      <c r="CQ26" s="34"/>
      <c r="CR26" s="35" t="str">
        <f t="shared" si="36"/>
        <v/>
      </c>
      <c r="CS26" s="36" t="str">
        <f t="shared" si="37"/>
        <v/>
      </c>
      <c r="CT26" s="37"/>
      <c r="CU26" s="33"/>
      <c r="CV26" s="34"/>
      <c r="CW26" s="35" t="str">
        <f t="shared" si="38"/>
        <v/>
      </c>
      <c r="CX26" s="36" t="str">
        <f t="shared" si="39"/>
        <v/>
      </c>
      <c r="CY26" s="37"/>
      <c r="CZ26" s="33"/>
      <c r="DA26" s="34"/>
      <c r="DB26" s="35" t="str">
        <f t="shared" si="40"/>
        <v/>
      </c>
      <c r="DC26" s="36" t="str">
        <f t="shared" si="41"/>
        <v/>
      </c>
      <c r="DD26" s="37"/>
      <c r="DE26" s="33"/>
      <c r="DF26" s="34"/>
      <c r="DG26" s="35" t="str">
        <f t="shared" si="42"/>
        <v/>
      </c>
      <c r="DH26" s="36" t="str">
        <f t="shared" si="43"/>
        <v/>
      </c>
      <c r="DI26" s="37"/>
      <c r="DJ26" s="33"/>
      <c r="DK26" s="34"/>
      <c r="DL26" s="35" t="str">
        <f t="shared" si="44"/>
        <v/>
      </c>
      <c r="DM26" s="36" t="str">
        <f t="shared" si="45"/>
        <v/>
      </c>
      <c r="DN26" s="37"/>
      <c r="DO26" s="33"/>
      <c r="DP26" s="34"/>
      <c r="DQ26" s="35" t="str">
        <f t="shared" si="46"/>
        <v/>
      </c>
      <c r="DR26" s="36" t="str">
        <f t="shared" si="47"/>
        <v/>
      </c>
      <c r="DS26" s="37"/>
      <c r="DT26" s="33"/>
      <c r="DU26" s="34"/>
      <c r="DV26" s="35" t="str">
        <f t="shared" si="48"/>
        <v/>
      </c>
      <c r="DW26" s="36" t="str">
        <f t="shared" si="49"/>
        <v/>
      </c>
      <c r="DX26" s="37"/>
      <c r="DY26" s="33"/>
      <c r="DZ26" s="34"/>
      <c r="EA26" s="35" t="str">
        <f t="shared" si="50"/>
        <v/>
      </c>
      <c r="EB26" s="36" t="str">
        <f t="shared" si="51"/>
        <v/>
      </c>
      <c r="EC26" s="37"/>
      <c r="ED26" s="33"/>
      <c r="EE26" s="34"/>
      <c r="EF26" s="35" t="str">
        <f t="shared" si="52"/>
        <v/>
      </c>
      <c r="EG26" s="36" t="str">
        <f t="shared" si="53"/>
        <v/>
      </c>
      <c r="EH26" s="37"/>
      <c r="EI26" s="33"/>
      <c r="EJ26" s="34"/>
      <c r="EK26" s="35" t="str">
        <f t="shared" si="54"/>
        <v/>
      </c>
      <c r="EL26" s="36" t="str">
        <f t="shared" si="55"/>
        <v/>
      </c>
      <c r="EM26" s="37"/>
      <c r="EN26" s="33"/>
      <c r="EO26" s="34"/>
      <c r="EP26" s="35" t="str">
        <f t="shared" si="56"/>
        <v/>
      </c>
      <c r="EQ26" s="36" t="str">
        <f t="shared" si="57"/>
        <v/>
      </c>
      <c r="ER26" s="37"/>
      <c r="ES26" s="33"/>
      <c r="ET26" s="34"/>
      <c r="EU26" s="35" t="str">
        <f t="shared" si="58"/>
        <v/>
      </c>
      <c r="EV26" s="36" t="str">
        <f t="shared" si="59"/>
        <v/>
      </c>
      <c r="EW26" s="37"/>
    </row>
    <row r="27" spans="1:153" ht="19.5" customHeight="1">
      <c r="A27" s="32">
        <f>IF(DAY(DATE(対象年度,8,24))&lt;&gt;24,"",24)</f>
        <v>24</v>
      </c>
      <c r="B27" s="32" t="str">
        <f>IF(DAY(DATE(対象年度,8,24))&lt;&gt;24,"",CHOOSE(WEEKDAY(DATE(対象年度,8,24),2),"月","火","水","木","金","土","日"))</f>
        <v>月</v>
      </c>
      <c r="C27" s="32" t="str">
        <f>IF(DAY(DATE(対象年度,8,24))&lt;&gt;24,"",IF(ISNUMBER(MATCH(DATE(対象年度,8,24),祝日リスト,0)),"祝",""))</f>
        <v/>
      </c>
      <c r="D27" s="33"/>
      <c r="E27" s="34"/>
      <c r="F27" s="35" t="str">
        <f t="shared" si="0"/>
        <v/>
      </c>
      <c r="G27" s="36" t="str">
        <f t="shared" si="1"/>
        <v/>
      </c>
      <c r="H27" s="37"/>
      <c r="I27" s="33"/>
      <c r="J27" s="34"/>
      <c r="K27" s="35" t="str">
        <f t="shared" si="2"/>
        <v/>
      </c>
      <c r="L27" s="36" t="str">
        <f t="shared" si="3"/>
        <v/>
      </c>
      <c r="M27" s="37"/>
      <c r="N27" s="33"/>
      <c r="O27" s="34"/>
      <c r="P27" s="35" t="str">
        <f t="shared" si="4"/>
        <v/>
      </c>
      <c r="Q27" s="36" t="str">
        <f t="shared" si="5"/>
        <v/>
      </c>
      <c r="R27" s="37"/>
      <c r="S27" s="33"/>
      <c r="T27" s="34"/>
      <c r="U27" s="35" t="str">
        <f t="shared" si="6"/>
        <v/>
      </c>
      <c r="V27" s="36" t="str">
        <f t="shared" si="7"/>
        <v/>
      </c>
      <c r="W27" s="37"/>
      <c r="X27" s="33"/>
      <c r="Y27" s="34"/>
      <c r="Z27" s="35" t="str">
        <f t="shared" si="8"/>
        <v/>
      </c>
      <c r="AA27" s="36" t="str">
        <f t="shared" si="9"/>
        <v/>
      </c>
      <c r="AB27" s="37"/>
      <c r="AC27" s="33"/>
      <c r="AD27" s="34"/>
      <c r="AE27" s="35" t="str">
        <f t="shared" si="10"/>
        <v/>
      </c>
      <c r="AF27" s="36" t="str">
        <f t="shared" si="11"/>
        <v/>
      </c>
      <c r="AG27" s="37"/>
      <c r="AH27" s="33"/>
      <c r="AI27" s="34"/>
      <c r="AJ27" s="35" t="str">
        <f t="shared" si="12"/>
        <v/>
      </c>
      <c r="AK27" s="36" t="str">
        <f t="shared" si="13"/>
        <v/>
      </c>
      <c r="AL27" s="37"/>
      <c r="AM27" s="33"/>
      <c r="AN27" s="34"/>
      <c r="AO27" s="35" t="str">
        <f t="shared" si="14"/>
        <v/>
      </c>
      <c r="AP27" s="36" t="str">
        <f t="shared" si="15"/>
        <v/>
      </c>
      <c r="AQ27" s="37"/>
      <c r="AR27" s="33"/>
      <c r="AS27" s="34"/>
      <c r="AT27" s="35" t="str">
        <f t="shared" si="16"/>
        <v/>
      </c>
      <c r="AU27" s="36" t="str">
        <f t="shared" si="17"/>
        <v/>
      </c>
      <c r="AV27" s="37"/>
      <c r="AW27" s="33"/>
      <c r="AX27" s="34"/>
      <c r="AY27" s="35" t="str">
        <f t="shared" si="18"/>
        <v/>
      </c>
      <c r="AZ27" s="36" t="str">
        <f t="shared" si="19"/>
        <v/>
      </c>
      <c r="BA27" s="37"/>
      <c r="BB27" s="33"/>
      <c r="BC27" s="34"/>
      <c r="BD27" s="35" t="str">
        <f t="shared" si="20"/>
        <v/>
      </c>
      <c r="BE27" s="36" t="str">
        <f t="shared" si="21"/>
        <v/>
      </c>
      <c r="BF27" s="37"/>
      <c r="BG27" s="33"/>
      <c r="BH27" s="34"/>
      <c r="BI27" s="35" t="str">
        <f t="shared" si="22"/>
        <v/>
      </c>
      <c r="BJ27" s="36" t="str">
        <f t="shared" si="23"/>
        <v/>
      </c>
      <c r="BK27" s="37"/>
      <c r="BL27" s="33"/>
      <c r="BM27" s="34"/>
      <c r="BN27" s="35" t="str">
        <f t="shared" si="24"/>
        <v/>
      </c>
      <c r="BO27" s="36" t="str">
        <f t="shared" si="25"/>
        <v/>
      </c>
      <c r="BP27" s="37"/>
      <c r="BQ27" s="33"/>
      <c r="BR27" s="34"/>
      <c r="BS27" s="35" t="str">
        <f t="shared" si="26"/>
        <v/>
      </c>
      <c r="BT27" s="36" t="str">
        <f t="shared" si="27"/>
        <v/>
      </c>
      <c r="BU27" s="37"/>
      <c r="BV27" s="33"/>
      <c r="BW27" s="34"/>
      <c r="BX27" s="35" t="str">
        <f t="shared" si="28"/>
        <v/>
      </c>
      <c r="BY27" s="36" t="str">
        <f t="shared" si="29"/>
        <v/>
      </c>
      <c r="BZ27" s="37"/>
      <c r="CA27" s="33"/>
      <c r="CB27" s="34"/>
      <c r="CC27" s="35" t="str">
        <f t="shared" si="30"/>
        <v/>
      </c>
      <c r="CD27" s="36" t="str">
        <f t="shared" si="31"/>
        <v/>
      </c>
      <c r="CE27" s="37"/>
      <c r="CF27" s="33"/>
      <c r="CG27" s="34"/>
      <c r="CH27" s="35" t="str">
        <f t="shared" si="32"/>
        <v/>
      </c>
      <c r="CI27" s="36" t="str">
        <f t="shared" si="33"/>
        <v/>
      </c>
      <c r="CJ27" s="37"/>
      <c r="CK27" s="33"/>
      <c r="CL27" s="34"/>
      <c r="CM27" s="35" t="str">
        <f t="shared" si="34"/>
        <v/>
      </c>
      <c r="CN27" s="36" t="str">
        <f t="shared" si="35"/>
        <v/>
      </c>
      <c r="CO27" s="37"/>
      <c r="CP27" s="33"/>
      <c r="CQ27" s="34"/>
      <c r="CR27" s="35" t="str">
        <f t="shared" si="36"/>
        <v/>
      </c>
      <c r="CS27" s="36" t="str">
        <f t="shared" si="37"/>
        <v/>
      </c>
      <c r="CT27" s="37"/>
      <c r="CU27" s="33"/>
      <c r="CV27" s="34"/>
      <c r="CW27" s="35" t="str">
        <f t="shared" si="38"/>
        <v/>
      </c>
      <c r="CX27" s="36" t="str">
        <f t="shared" si="39"/>
        <v/>
      </c>
      <c r="CY27" s="37"/>
      <c r="CZ27" s="33"/>
      <c r="DA27" s="34"/>
      <c r="DB27" s="35" t="str">
        <f t="shared" si="40"/>
        <v/>
      </c>
      <c r="DC27" s="36" t="str">
        <f t="shared" si="41"/>
        <v/>
      </c>
      <c r="DD27" s="37"/>
      <c r="DE27" s="33"/>
      <c r="DF27" s="34"/>
      <c r="DG27" s="35" t="str">
        <f t="shared" si="42"/>
        <v/>
      </c>
      <c r="DH27" s="36" t="str">
        <f t="shared" si="43"/>
        <v/>
      </c>
      <c r="DI27" s="37"/>
      <c r="DJ27" s="33"/>
      <c r="DK27" s="34"/>
      <c r="DL27" s="35" t="str">
        <f t="shared" si="44"/>
        <v/>
      </c>
      <c r="DM27" s="36" t="str">
        <f t="shared" si="45"/>
        <v/>
      </c>
      <c r="DN27" s="37"/>
      <c r="DO27" s="33"/>
      <c r="DP27" s="34"/>
      <c r="DQ27" s="35" t="str">
        <f t="shared" si="46"/>
        <v/>
      </c>
      <c r="DR27" s="36" t="str">
        <f t="shared" si="47"/>
        <v/>
      </c>
      <c r="DS27" s="37"/>
      <c r="DT27" s="33"/>
      <c r="DU27" s="34"/>
      <c r="DV27" s="35" t="str">
        <f t="shared" si="48"/>
        <v/>
      </c>
      <c r="DW27" s="36" t="str">
        <f t="shared" si="49"/>
        <v/>
      </c>
      <c r="DX27" s="37"/>
      <c r="DY27" s="33"/>
      <c r="DZ27" s="34"/>
      <c r="EA27" s="35" t="str">
        <f t="shared" si="50"/>
        <v/>
      </c>
      <c r="EB27" s="36" t="str">
        <f t="shared" si="51"/>
        <v/>
      </c>
      <c r="EC27" s="37"/>
      <c r="ED27" s="33"/>
      <c r="EE27" s="34"/>
      <c r="EF27" s="35" t="str">
        <f t="shared" si="52"/>
        <v/>
      </c>
      <c r="EG27" s="36" t="str">
        <f t="shared" si="53"/>
        <v/>
      </c>
      <c r="EH27" s="37"/>
      <c r="EI27" s="33"/>
      <c r="EJ27" s="34"/>
      <c r="EK27" s="35" t="str">
        <f t="shared" si="54"/>
        <v/>
      </c>
      <c r="EL27" s="36" t="str">
        <f t="shared" si="55"/>
        <v/>
      </c>
      <c r="EM27" s="37"/>
      <c r="EN27" s="33"/>
      <c r="EO27" s="34"/>
      <c r="EP27" s="35" t="str">
        <f t="shared" si="56"/>
        <v/>
      </c>
      <c r="EQ27" s="36" t="str">
        <f t="shared" si="57"/>
        <v/>
      </c>
      <c r="ER27" s="37"/>
      <c r="ES27" s="33"/>
      <c r="ET27" s="34"/>
      <c r="EU27" s="35" t="str">
        <f t="shared" si="58"/>
        <v/>
      </c>
      <c r="EV27" s="36" t="str">
        <f t="shared" si="59"/>
        <v/>
      </c>
      <c r="EW27" s="37"/>
    </row>
    <row r="28" spans="1:153" ht="19.5" customHeight="1">
      <c r="A28" s="32">
        <f>IF(DAY(DATE(対象年度,8,25))&lt;&gt;25,"",25)</f>
        <v>25</v>
      </c>
      <c r="B28" s="32" t="str">
        <f>IF(DAY(DATE(対象年度,8,25))&lt;&gt;25,"",CHOOSE(WEEKDAY(DATE(対象年度,8,25),2),"月","火","水","木","金","土","日"))</f>
        <v>火</v>
      </c>
      <c r="C28" s="32" t="str">
        <f>IF(DAY(DATE(対象年度,8,25))&lt;&gt;25,"",IF(ISNUMBER(MATCH(DATE(対象年度,8,25),祝日リスト,0)),"祝",""))</f>
        <v/>
      </c>
      <c r="D28" s="33"/>
      <c r="E28" s="34"/>
      <c r="F28" s="35" t="str">
        <f t="shared" si="0"/>
        <v/>
      </c>
      <c r="G28" s="36" t="str">
        <f t="shared" si="1"/>
        <v/>
      </c>
      <c r="H28" s="37"/>
      <c r="I28" s="33"/>
      <c r="J28" s="34"/>
      <c r="K28" s="35" t="str">
        <f t="shared" si="2"/>
        <v/>
      </c>
      <c r="L28" s="36" t="str">
        <f t="shared" si="3"/>
        <v/>
      </c>
      <c r="M28" s="37"/>
      <c r="N28" s="33"/>
      <c r="O28" s="34"/>
      <c r="P28" s="35" t="str">
        <f t="shared" si="4"/>
        <v/>
      </c>
      <c r="Q28" s="36" t="str">
        <f t="shared" si="5"/>
        <v/>
      </c>
      <c r="R28" s="37"/>
      <c r="S28" s="33"/>
      <c r="T28" s="34"/>
      <c r="U28" s="35" t="str">
        <f t="shared" si="6"/>
        <v/>
      </c>
      <c r="V28" s="36" t="str">
        <f t="shared" si="7"/>
        <v/>
      </c>
      <c r="W28" s="37"/>
      <c r="X28" s="33"/>
      <c r="Y28" s="34"/>
      <c r="Z28" s="35" t="str">
        <f t="shared" si="8"/>
        <v/>
      </c>
      <c r="AA28" s="36" t="str">
        <f t="shared" si="9"/>
        <v/>
      </c>
      <c r="AB28" s="37"/>
      <c r="AC28" s="33"/>
      <c r="AD28" s="34"/>
      <c r="AE28" s="35" t="str">
        <f t="shared" si="10"/>
        <v/>
      </c>
      <c r="AF28" s="36" t="str">
        <f t="shared" si="11"/>
        <v/>
      </c>
      <c r="AG28" s="37"/>
      <c r="AH28" s="33"/>
      <c r="AI28" s="34"/>
      <c r="AJ28" s="35" t="str">
        <f t="shared" si="12"/>
        <v/>
      </c>
      <c r="AK28" s="36" t="str">
        <f t="shared" si="13"/>
        <v/>
      </c>
      <c r="AL28" s="37"/>
      <c r="AM28" s="33"/>
      <c r="AN28" s="34"/>
      <c r="AO28" s="35" t="str">
        <f t="shared" si="14"/>
        <v/>
      </c>
      <c r="AP28" s="36" t="str">
        <f t="shared" si="15"/>
        <v/>
      </c>
      <c r="AQ28" s="37"/>
      <c r="AR28" s="33"/>
      <c r="AS28" s="34"/>
      <c r="AT28" s="35" t="str">
        <f t="shared" si="16"/>
        <v/>
      </c>
      <c r="AU28" s="36" t="str">
        <f t="shared" si="17"/>
        <v/>
      </c>
      <c r="AV28" s="37"/>
      <c r="AW28" s="33"/>
      <c r="AX28" s="34"/>
      <c r="AY28" s="35" t="str">
        <f t="shared" si="18"/>
        <v/>
      </c>
      <c r="AZ28" s="36" t="str">
        <f t="shared" si="19"/>
        <v/>
      </c>
      <c r="BA28" s="37"/>
      <c r="BB28" s="33"/>
      <c r="BC28" s="34"/>
      <c r="BD28" s="35" t="str">
        <f t="shared" si="20"/>
        <v/>
      </c>
      <c r="BE28" s="36" t="str">
        <f t="shared" si="21"/>
        <v/>
      </c>
      <c r="BF28" s="37"/>
      <c r="BG28" s="33"/>
      <c r="BH28" s="34"/>
      <c r="BI28" s="35" t="str">
        <f t="shared" si="22"/>
        <v/>
      </c>
      <c r="BJ28" s="36" t="str">
        <f t="shared" si="23"/>
        <v/>
      </c>
      <c r="BK28" s="37"/>
      <c r="BL28" s="33"/>
      <c r="BM28" s="34"/>
      <c r="BN28" s="35" t="str">
        <f t="shared" si="24"/>
        <v/>
      </c>
      <c r="BO28" s="36" t="str">
        <f t="shared" si="25"/>
        <v/>
      </c>
      <c r="BP28" s="37"/>
      <c r="BQ28" s="33"/>
      <c r="BR28" s="34"/>
      <c r="BS28" s="35" t="str">
        <f t="shared" si="26"/>
        <v/>
      </c>
      <c r="BT28" s="36" t="str">
        <f t="shared" si="27"/>
        <v/>
      </c>
      <c r="BU28" s="37"/>
      <c r="BV28" s="33"/>
      <c r="BW28" s="34"/>
      <c r="BX28" s="35" t="str">
        <f t="shared" si="28"/>
        <v/>
      </c>
      <c r="BY28" s="36" t="str">
        <f t="shared" si="29"/>
        <v/>
      </c>
      <c r="BZ28" s="37"/>
      <c r="CA28" s="33"/>
      <c r="CB28" s="34"/>
      <c r="CC28" s="35" t="str">
        <f t="shared" si="30"/>
        <v/>
      </c>
      <c r="CD28" s="36" t="str">
        <f t="shared" si="31"/>
        <v/>
      </c>
      <c r="CE28" s="37"/>
      <c r="CF28" s="33"/>
      <c r="CG28" s="34"/>
      <c r="CH28" s="35" t="str">
        <f t="shared" si="32"/>
        <v/>
      </c>
      <c r="CI28" s="36" t="str">
        <f t="shared" si="33"/>
        <v/>
      </c>
      <c r="CJ28" s="37"/>
      <c r="CK28" s="33"/>
      <c r="CL28" s="34"/>
      <c r="CM28" s="35" t="str">
        <f t="shared" si="34"/>
        <v/>
      </c>
      <c r="CN28" s="36" t="str">
        <f t="shared" si="35"/>
        <v/>
      </c>
      <c r="CO28" s="37"/>
      <c r="CP28" s="33"/>
      <c r="CQ28" s="34"/>
      <c r="CR28" s="35" t="str">
        <f t="shared" si="36"/>
        <v/>
      </c>
      <c r="CS28" s="36" t="str">
        <f t="shared" si="37"/>
        <v/>
      </c>
      <c r="CT28" s="37"/>
      <c r="CU28" s="33"/>
      <c r="CV28" s="34"/>
      <c r="CW28" s="35" t="str">
        <f t="shared" si="38"/>
        <v/>
      </c>
      <c r="CX28" s="36" t="str">
        <f t="shared" si="39"/>
        <v/>
      </c>
      <c r="CY28" s="37"/>
      <c r="CZ28" s="33"/>
      <c r="DA28" s="34"/>
      <c r="DB28" s="35" t="str">
        <f t="shared" si="40"/>
        <v/>
      </c>
      <c r="DC28" s="36" t="str">
        <f t="shared" si="41"/>
        <v/>
      </c>
      <c r="DD28" s="37"/>
      <c r="DE28" s="33"/>
      <c r="DF28" s="34"/>
      <c r="DG28" s="35" t="str">
        <f t="shared" si="42"/>
        <v/>
      </c>
      <c r="DH28" s="36" t="str">
        <f t="shared" si="43"/>
        <v/>
      </c>
      <c r="DI28" s="37"/>
      <c r="DJ28" s="33"/>
      <c r="DK28" s="34"/>
      <c r="DL28" s="35" t="str">
        <f t="shared" si="44"/>
        <v/>
      </c>
      <c r="DM28" s="36" t="str">
        <f t="shared" si="45"/>
        <v/>
      </c>
      <c r="DN28" s="37"/>
      <c r="DO28" s="33"/>
      <c r="DP28" s="34"/>
      <c r="DQ28" s="35" t="str">
        <f t="shared" si="46"/>
        <v/>
      </c>
      <c r="DR28" s="36" t="str">
        <f t="shared" si="47"/>
        <v/>
      </c>
      <c r="DS28" s="37"/>
      <c r="DT28" s="33"/>
      <c r="DU28" s="34"/>
      <c r="DV28" s="35" t="str">
        <f t="shared" si="48"/>
        <v/>
      </c>
      <c r="DW28" s="36" t="str">
        <f t="shared" si="49"/>
        <v/>
      </c>
      <c r="DX28" s="37"/>
      <c r="DY28" s="33"/>
      <c r="DZ28" s="34"/>
      <c r="EA28" s="35" t="str">
        <f t="shared" si="50"/>
        <v/>
      </c>
      <c r="EB28" s="36" t="str">
        <f t="shared" si="51"/>
        <v/>
      </c>
      <c r="EC28" s="37"/>
      <c r="ED28" s="33"/>
      <c r="EE28" s="34"/>
      <c r="EF28" s="35" t="str">
        <f t="shared" si="52"/>
        <v/>
      </c>
      <c r="EG28" s="36" t="str">
        <f t="shared" si="53"/>
        <v/>
      </c>
      <c r="EH28" s="37"/>
      <c r="EI28" s="33"/>
      <c r="EJ28" s="34"/>
      <c r="EK28" s="35" t="str">
        <f t="shared" si="54"/>
        <v/>
      </c>
      <c r="EL28" s="36" t="str">
        <f t="shared" si="55"/>
        <v/>
      </c>
      <c r="EM28" s="37"/>
      <c r="EN28" s="33"/>
      <c r="EO28" s="34"/>
      <c r="EP28" s="35" t="str">
        <f t="shared" si="56"/>
        <v/>
      </c>
      <c r="EQ28" s="36" t="str">
        <f t="shared" si="57"/>
        <v/>
      </c>
      <c r="ER28" s="37"/>
      <c r="ES28" s="33"/>
      <c r="ET28" s="34"/>
      <c r="EU28" s="35" t="str">
        <f t="shared" si="58"/>
        <v/>
      </c>
      <c r="EV28" s="36" t="str">
        <f t="shared" si="59"/>
        <v/>
      </c>
      <c r="EW28" s="37"/>
    </row>
    <row r="29" spans="1:153" ht="19.5" customHeight="1">
      <c r="A29" s="32">
        <f>IF(DAY(DATE(対象年度,8,26))&lt;&gt;26,"",26)</f>
        <v>26</v>
      </c>
      <c r="B29" s="32" t="str">
        <f>IF(DAY(DATE(対象年度,8,26))&lt;&gt;26,"",CHOOSE(WEEKDAY(DATE(対象年度,8,26),2),"月","火","水","木","金","土","日"))</f>
        <v>水</v>
      </c>
      <c r="C29" s="32" t="str">
        <f>IF(DAY(DATE(対象年度,8,26))&lt;&gt;26,"",IF(ISNUMBER(MATCH(DATE(対象年度,8,26),祝日リスト,0)),"祝",""))</f>
        <v/>
      </c>
      <c r="D29" s="33"/>
      <c r="E29" s="34"/>
      <c r="F29" s="35" t="str">
        <f t="shared" si="0"/>
        <v/>
      </c>
      <c r="G29" s="36" t="str">
        <f t="shared" si="1"/>
        <v/>
      </c>
      <c r="H29" s="37"/>
      <c r="I29" s="33"/>
      <c r="J29" s="34"/>
      <c r="K29" s="35" t="str">
        <f t="shared" si="2"/>
        <v/>
      </c>
      <c r="L29" s="36" t="str">
        <f t="shared" si="3"/>
        <v/>
      </c>
      <c r="M29" s="37"/>
      <c r="N29" s="33"/>
      <c r="O29" s="34"/>
      <c r="P29" s="35" t="str">
        <f t="shared" si="4"/>
        <v/>
      </c>
      <c r="Q29" s="36" t="str">
        <f t="shared" si="5"/>
        <v/>
      </c>
      <c r="R29" s="37"/>
      <c r="S29" s="33"/>
      <c r="T29" s="34"/>
      <c r="U29" s="35" t="str">
        <f t="shared" si="6"/>
        <v/>
      </c>
      <c r="V29" s="36" t="str">
        <f t="shared" si="7"/>
        <v/>
      </c>
      <c r="W29" s="37"/>
      <c r="X29" s="33"/>
      <c r="Y29" s="34"/>
      <c r="Z29" s="35" t="str">
        <f t="shared" si="8"/>
        <v/>
      </c>
      <c r="AA29" s="36" t="str">
        <f t="shared" si="9"/>
        <v/>
      </c>
      <c r="AB29" s="37"/>
      <c r="AC29" s="33"/>
      <c r="AD29" s="34"/>
      <c r="AE29" s="35" t="str">
        <f t="shared" si="10"/>
        <v/>
      </c>
      <c r="AF29" s="36" t="str">
        <f t="shared" si="11"/>
        <v/>
      </c>
      <c r="AG29" s="37"/>
      <c r="AH29" s="33"/>
      <c r="AI29" s="34"/>
      <c r="AJ29" s="35" t="str">
        <f t="shared" si="12"/>
        <v/>
      </c>
      <c r="AK29" s="36" t="str">
        <f t="shared" si="13"/>
        <v/>
      </c>
      <c r="AL29" s="37"/>
      <c r="AM29" s="33"/>
      <c r="AN29" s="34"/>
      <c r="AO29" s="35" t="str">
        <f t="shared" si="14"/>
        <v/>
      </c>
      <c r="AP29" s="36" t="str">
        <f t="shared" si="15"/>
        <v/>
      </c>
      <c r="AQ29" s="37"/>
      <c r="AR29" s="33"/>
      <c r="AS29" s="34"/>
      <c r="AT29" s="35" t="str">
        <f t="shared" si="16"/>
        <v/>
      </c>
      <c r="AU29" s="36" t="str">
        <f t="shared" si="17"/>
        <v/>
      </c>
      <c r="AV29" s="37"/>
      <c r="AW29" s="33"/>
      <c r="AX29" s="34"/>
      <c r="AY29" s="35" t="str">
        <f t="shared" si="18"/>
        <v/>
      </c>
      <c r="AZ29" s="36" t="str">
        <f t="shared" si="19"/>
        <v/>
      </c>
      <c r="BA29" s="37"/>
      <c r="BB29" s="33"/>
      <c r="BC29" s="34"/>
      <c r="BD29" s="35" t="str">
        <f t="shared" si="20"/>
        <v/>
      </c>
      <c r="BE29" s="36" t="str">
        <f t="shared" si="21"/>
        <v/>
      </c>
      <c r="BF29" s="37"/>
      <c r="BG29" s="33"/>
      <c r="BH29" s="34"/>
      <c r="BI29" s="35" t="str">
        <f t="shared" si="22"/>
        <v/>
      </c>
      <c r="BJ29" s="36" t="str">
        <f t="shared" si="23"/>
        <v/>
      </c>
      <c r="BK29" s="37"/>
      <c r="BL29" s="33"/>
      <c r="BM29" s="34"/>
      <c r="BN29" s="35" t="str">
        <f t="shared" si="24"/>
        <v/>
      </c>
      <c r="BO29" s="36" t="str">
        <f t="shared" si="25"/>
        <v/>
      </c>
      <c r="BP29" s="37"/>
      <c r="BQ29" s="33"/>
      <c r="BR29" s="34"/>
      <c r="BS29" s="35" t="str">
        <f t="shared" si="26"/>
        <v/>
      </c>
      <c r="BT29" s="36" t="str">
        <f t="shared" si="27"/>
        <v/>
      </c>
      <c r="BU29" s="37"/>
      <c r="BV29" s="33"/>
      <c r="BW29" s="34"/>
      <c r="BX29" s="35" t="str">
        <f t="shared" si="28"/>
        <v/>
      </c>
      <c r="BY29" s="36" t="str">
        <f t="shared" si="29"/>
        <v/>
      </c>
      <c r="BZ29" s="37"/>
      <c r="CA29" s="33"/>
      <c r="CB29" s="34"/>
      <c r="CC29" s="35" t="str">
        <f t="shared" si="30"/>
        <v/>
      </c>
      <c r="CD29" s="36" t="str">
        <f t="shared" si="31"/>
        <v/>
      </c>
      <c r="CE29" s="37"/>
      <c r="CF29" s="33"/>
      <c r="CG29" s="34"/>
      <c r="CH29" s="35" t="str">
        <f t="shared" si="32"/>
        <v/>
      </c>
      <c r="CI29" s="36" t="str">
        <f t="shared" si="33"/>
        <v/>
      </c>
      <c r="CJ29" s="37"/>
      <c r="CK29" s="33"/>
      <c r="CL29" s="34"/>
      <c r="CM29" s="35" t="str">
        <f t="shared" si="34"/>
        <v/>
      </c>
      <c r="CN29" s="36" t="str">
        <f t="shared" si="35"/>
        <v/>
      </c>
      <c r="CO29" s="37"/>
      <c r="CP29" s="33"/>
      <c r="CQ29" s="34"/>
      <c r="CR29" s="35" t="str">
        <f t="shared" si="36"/>
        <v/>
      </c>
      <c r="CS29" s="36" t="str">
        <f t="shared" si="37"/>
        <v/>
      </c>
      <c r="CT29" s="37"/>
      <c r="CU29" s="33"/>
      <c r="CV29" s="34"/>
      <c r="CW29" s="35" t="str">
        <f t="shared" si="38"/>
        <v/>
      </c>
      <c r="CX29" s="36" t="str">
        <f t="shared" si="39"/>
        <v/>
      </c>
      <c r="CY29" s="37"/>
      <c r="CZ29" s="33"/>
      <c r="DA29" s="34"/>
      <c r="DB29" s="35" t="str">
        <f t="shared" si="40"/>
        <v/>
      </c>
      <c r="DC29" s="36" t="str">
        <f t="shared" si="41"/>
        <v/>
      </c>
      <c r="DD29" s="37"/>
      <c r="DE29" s="33"/>
      <c r="DF29" s="34"/>
      <c r="DG29" s="35" t="str">
        <f t="shared" si="42"/>
        <v/>
      </c>
      <c r="DH29" s="36" t="str">
        <f t="shared" si="43"/>
        <v/>
      </c>
      <c r="DI29" s="37"/>
      <c r="DJ29" s="33"/>
      <c r="DK29" s="34"/>
      <c r="DL29" s="35" t="str">
        <f t="shared" si="44"/>
        <v/>
      </c>
      <c r="DM29" s="36" t="str">
        <f t="shared" si="45"/>
        <v/>
      </c>
      <c r="DN29" s="37"/>
      <c r="DO29" s="33"/>
      <c r="DP29" s="34"/>
      <c r="DQ29" s="35" t="str">
        <f t="shared" si="46"/>
        <v/>
      </c>
      <c r="DR29" s="36" t="str">
        <f t="shared" si="47"/>
        <v/>
      </c>
      <c r="DS29" s="37"/>
      <c r="DT29" s="33"/>
      <c r="DU29" s="34"/>
      <c r="DV29" s="35" t="str">
        <f t="shared" si="48"/>
        <v/>
      </c>
      <c r="DW29" s="36" t="str">
        <f t="shared" si="49"/>
        <v/>
      </c>
      <c r="DX29" s="37"/>
      <c r="DY29" s="33"/>
      <c r="DZ29" s="34"/>
      <c r="EA29" s="35" t="str">
        <f t="shared" si="50"/>
        <v/>
      </c>
      <c r="EB29" s="36" t="str">
        <f t="shared" si="51"/>
        <v/>
      </c>
      <c r="EC29" s="37"/>
      <c r="ED29" s="33"/>
      <c r="EE29" s="34"/>
      <c r="EF29" s="35" t="str">
        <f t="shared" si="52"/>
        <v/>
      </c>
      <c r="EG29" s="36" t="str">
        <f t="shared" si="53"/>
        <v/>
      </c>
      <c r="EH29" s="37"/>
      <c r="EI29" s="33"/>
      <c r="EJ29" s="34"/>
      <c r="EK29" s="35" t="str">
        <f t="shared" si="54"/>
        <v/>
      </c>
      <c r="EL29" s="36" t="str">
        <f t="shared" si="55"/>
        <v/>
      </c>
      <c r="EM29" s="37"/>
      <c r="EN29" s="33"/>
      <c r="EO29" s="34"/>
      <c r="EP29" s="35" t="str">
        <f t="shared" si="56"/>
        <v/>
      </c>
      <c r="EQ29" s="36" t="str">
        <f t="shared" si="57"/>
        <v/>
      </c>
      <c r="ER29" s="37"/>
      <c r="ES29" s="33"/>
      <c r="ET29" s="34"/>
      <c r="EU29" s="35" t="str">
        <f t="shared" si="58"/>
        <v/>
      </c>
      <c r="EV29" s="36" t="str">
        <f t="shared" si="59"/>
        <v/>
      </c>
      <c r="EW29" s="37"/>
    </row>
    <row r="30" spans="1:153" ht="19.5" customHeight="1">
      <c r="A30" s="32">
        <f>IF(DAY(DATE(対象年度,8,27))&lt;&gt;27,"",27)</f>
        <v>27</v>
      </c>
      <c r="B30" s="32" t="str">
        <f>IF(DAY(DATE(対象年度,8,27))&lt;&gt;27,"",CHOOSE(WEEKDAY(DATE(対象年度,8,27),2),"月","火","水","木","金","土","日"))</f>
        <v>木</v>
      </c>
      <c r="C30" s="32" t="str">
        <f>IF(DAY(DATE(対象年度,8,27))&lt;&gt;27,"",IF(ISNUMBER(MATCH(DATE(対象年度,8,27),祝日リスト,0)),"祝",""))</f>
        <v/>
      </c>
      <c r="D30" s="33"/>
      <c r="E30" s="34"/>
      <c r="F30" s="35" t="str">
        <f t="shared" si="0"/>
        <v/>
      </c>
      <c r="G30" s="36" t="str">
        <f t="shared" si="1"/>
        <v/>
      </c>
      <c r="H30" s="37"/>
      <c r="I30" s="33"/>
      <c r="J30" s="34"/>
      <c r="K30" s="35" t="str">
        <f t="shared" si="2"/>
        <v/>
      </c>
      <c r="L30" s="36" t="str">
        <f t="shared" si="3"/>
        <v/>
      </c>
      <c r="M30" s="37"/>
      <c r="N30" s="33"/>
      <c r="O30" s="34"/>
      <c r="P30" s="35" t="str">
        <f t="shared" si="4"/>
        <v/>
      </c>
      <c r="Q30" s="36" t="str">
        <f t="shared" si="5"/>
        <v/>
      </c>
      <c r="R30" s="37"/>
      <c r="S30" s="33"/>
      <c r="T30" s="34"/>
      <c r="U30" s="35" t="str">
        <f t="shared" si="6"/>
        <v/>
      </c>
      <c r="V30" s="36" t="str">
        <f t="shared" si="7"/>
        <v/>
      </c>
      <c r="W30" s="37"/>
      <c r="X30" s="33"/>
      <c r="Y30" s="34"/>
      <c r="Z30" s="35" t="str">
        <f t="shared" si="8"/>
        <v/>
      </c>
      <c r="AA30" s="36" t="str">
        <f t="shared" si="9"/>
        <v/>
      </c>
      <c r="AB30" s="37"/>
      <c r="AC30" s="33"/>
      <c r="AD30" s="34"/>
      <c r="AE30" s="35" t="str">
        <f t="shared" si="10"/>
        <v/>
      </c>
      <c r="AF30" s="36" t="str">
        <f t="shared" si="11"/>
        <v/>
      </c>
      <c r="AG30" s="37"/>
      <c r="AH30" s="33"/>
      <c r="AI30" s="34"/>
      <c r="AJ30" s="35" t="str">
        <f t="shared" si="12"/>
        <v/>
      </c>
      <c r="AK30" s="36" t="str">
        <f t="shared" si="13"/>
        <v/>
      </c>
      <c r="AL30" s="37"/>
      <c r="AM30" s="33"/>
      <c r="AN30" s="34"/>
      <c r="AO30" s="35" t="str">
        <f t="shared" si="14"/>
        <v/>
      </c>
      <c r="AP30" s="36" t="str">
        <f t="shared" si="15"/>
        <v/>
      </c>
      <c r="AQ30" s="37"/>
      <c r="AR30" s="33"/>
      <c r="AS30" s="34"/>
      <c r="AT30" s="35" t="str">
        <f t="shared" si="16"/>
        <v/>
      </c>
      <c r="AU30" s="36" t="str">
        <f t="shared" si="17"/>
        <v/>
      </c>
      <c r="AV30" s="37"/>
      <c r="AW30" s="33"/>
      <c r="AX30" s="34"/>
      <c r="AY30" s="35" t="str">
        <f t="shared" si="18"/>
        <v/>
      </c>
      <c r="AZ30" s="36" t="str">
        <f t="shared" si="19"/>
        <v/>
      </c>
      <c r="BA30" s="37"/>
      <c r="BB30" s="33"/>
      <c r="BC30" s="34"/>
      <c r="BD30" s="35" t="str">
        <f t="shared" si="20"/>
        <v/>
      </c>
      <c r="BE30" s="36" t="str">
        <f t="shared" si="21"/>
        <v/>
      </c>
      <c r="BF30" s="37"/>
      <c r="BG30" s="33"/>
      <c r="BH30" s="34"/>
      <c r="BI30" s="35" t="str">
        <f t="shared" si="22"/>
        <v/>
      </c>
      <c r="BJ30" s="36" t="str">
        <f t="shared" si="23"/>
        <v/>
      </c>
      <c r="BK30" s="37"/>
      <c r="BL30" s="33"/>
      <c r="BM30" s="34"/>
      <c r="BN30" s="35" t="str">
        <f t="shared" si="24"/>
        <v/>
      </c>
      <c r="BO30" s="36" t="str">
        <f t="shared" si="25"/>
        <v/>
      </c>
      <c r="BP30" s="37"/>
      <c r="BQ30" s="33"/>
      <c r="BR30" s="34"/>
      <c r="BS30" s="35" t="str">
        <f t="shared" si="26"/>
        <v/>
      </c>
      <c r="BT30" s="36" t="str">
        <f t="shared" si="27"/>
        <v/>
      </c>
      <c r="BU30" s="37"/>
      <c r="BV30" s="33"/>
      <c r="BW30" s="34"/>
      <c r="BX30" s="35" t="str">
        <f t="shared" si="28"/>
        <v/>
      </c>
      <c r="BY30" s="36" t="str">
        <f t="shared" si="29"/>
        <v/>
      </c>
      <c r="BZ30" s="37"/>
      <c r="CA30" s="33"/>
      <c r="CB30" s="34"/>
      <c r="CC30" s="35" t="str">
        <f t="shared" si="30"/>
        <v/>
      </c>
      <c r="CD30" s="36" t="str">
        <f t="shared" si="31"/>
        <v/>
      </c>
      <c r="CE30" s="37"/>
      <c r="CF30" s="33"/>
      <c r="CG30" s="34"/>
      <c r="CH30" s="35" t="str">
        <f t="shared" si="32"/>
        <v/>
      </c>
      <c r="CI30" s="36" t="str">
        <f t="shared" si="33"/>
        <v/>
      </c>
      <c r="CJ30" s="37"/>
      <c r="CK30" s="33"/>
      <c r="CL30" s="34"/>
      <c r="CM30" s="35" t="str">
        <f t="shared" si="34"/>
        <v/>
      </c>
      <c r="CN30" s="36" t="str">
        <f t="shared" si="35"/>
        <v/>
      </c>
      <c r="CO30" s="37"/>
      <c r="CP30" s="33"/>
      <c r="CQ30" s="34"/>
      <c r="CR30" s="35" t="str">
        <f t="shared" si="36"/>
        <v/>
      </c>
      <c r="CS30" s="36" t="str">
        <f t="shared" si="37"/>
        <v/>
      </c>
      <c r="CT30" s="37"/>
      <c r="CU30" s="33"/>
      <c r="CV30" s="34"/>
      <c r="CW30" s="35" t="str">
        <f t="shared" si="38"/>
        <v/>
      </c>
      <c r="CX30" s="36" t="str">
        <f t="shared" si="39"/>
        <v/>
      </c>
      <c r="CY30" s="37"/>
      <c r="CZ30" s="33"/>
      <c r="DA30" s="34"/>
      <c r="DB30" s="35" t="str">
        <f t="shared" si="40"/>
        <v/>
      </c>
      <c r="DC30" s="36" t="str">
        <f t="shared" si="41"/>
        <v/>
      </c>
      <c r="DD30" s="37"/>
      <c r="DE30" s="33"/>
      <c r="DF30" s="34"/>
      <c r="DG30" s="35" t="str">
        <f t="shared" si="42"/>
        <v/>
      </c>
      <c r="DH30" s="36" t="str">
        <f t="shared" si="43"/>
        <v/>
      </c>
      <c r="DI30" s="37"/>
      <c r="DJ30" s="33"/>
      <c r="DK30" s="34"/>
      <c r="DL30" s="35" t="str">
        <f t="shared" si="44"/>
        <v/>
      </c>
      <c r="DM30" s="36" t="str">
        <f t="shared" si="45"/>
        <v/>
      </c>
      <c r="DN30" s="37"/>
      <c r="DO30" s="33"/>
      <c r="DP30" s="34"/>
      <c r="DQ30" s="35" t="str">
        <f t="shared" si="46"/>
        <v/>
      </c>
      <c r="DR30" s="36" t="str">
        <f t="shared" si="47"/>
        <v/>
      </c>
      <c r="DS30" s="37"/>
      <c r="DT30" s="33"/>
      <c r="DU30" s="34"/>
      <c r="DV30" s="35" t="str">
        <f t="shared" si="48"/>
        <v/>
      </c>
      <c r="DW30" s="36" t="str">
        <f t="shared" si="49"/>
        <v/>
      </c>
      <c r="DX30" s="37"/>
      <c r="DY30" s="33"/>
      <c r="DZ30" s="34"/>
      <c r="EA30" s="35" t="str">
        <f t="shared" si="50"/>
        <v/>
      </c>
      <c r="EB30" s="36" t="str">
        <f t="shared" si="51"/>
        <v/>
      </c>
      <c r="EC30" s="37"/>
      <c r="ED30" s="33"/>
      <c r="EE30" s="34"/>
      <c r="EF30" s="35" t="str">
        <f t="shared" si="52"/>
        <v/>
      </c>
      <c r="EG30" s="36" t="str">
        <f t="shared" si="53"/>
        <v/>
      </c>
      <c r="EH30" s="37"/>
      <c r="EI30" s="33"/>
      <c r="EJ30" s="34"/>
      <c r="EK30" s="35" t="str">
        <f t="shared" si="54"/>
        <v/>
      </c>
      <c r="EL30" s="36" t="str">
        <f t="shared" si="55"/>
        <v/>
      </c>
      <c r="EM30" s="37"/>
      <c r="EN30" s="33"/>
      <c r="EO30" s="34"/>
      <c r="EP30" s="35" t="str">
        <f t="shared" si="56"/>
        <v/>
      </c>
      <c r="EQ30" s="36" t="str">
        <f t="shared" si="57"/>
        <v/>
      </c>
      <c r="ER30" s="37"/>
      <c r="ES30" s="33"/>
      <c r="ET30" s="34"/>
      <c r="EU30" s="35" t="str">
        <f t="shared" si="58"/>
        <v/>
      </c>
      <c r="EV30" s="36" t="str">
        <f t="shared" si="59"/>
        <v/>
      </c>
      <c r="EW30" s="37"/>
    </row>
    <row r="31" spans="1:153" ht="19.5" customHeight="1">
      <c r="A31" s="32">
        <f>IF(DAY(DATE(対象年度,8,28))&lt;&gt;28,"",28)</f>
        <v>28</v>
      </c>
      <c r="B31" s="32" t="str">
        <f>IF(DAY(DATE(対象年度,8,28))&lt;&gt;28,"",CHOOSE(WEEKDAY(DATE(対象年度,8,28),2),"月","火","水","木","金","土","日"))</f>
        <v>金</v>
      </c>
      <c r="C31" s="32" t="str">
        <f>IF(DAY(DATE(対象年度,8,28))&lt;&gt;28,"",IF(ISNUMBER(MATCH(DATE(対象年度,8,28),祝日リスト,0)),"祝",""))</f>
        <v/>
      </c>
      <c r="D31" s="33"/>
      <c r="E31" s="34"/>
      <c r="F31" s="35" t="str">
        <f t="shared" si="0"/>
        <v/>
      </c>
      <c r="G31" s="36" t="str">
        <f t="shared" si="1"/>
        <v/>
      </c>
      <c r="H31" s="37"/>
      <c r="I31" s="33"/>
      <c r="J31" s="34"/>
      <c r="K31" s="35" t="str">
        <f t="shared" si="2"/>
        <v/>
      </c>
      <c r="L31" s="36" t="str">
        <f t="shared" si="3"/>
        <v/>
      </c>
      <c r="M31" s="37"/>
      <c r="N31" s="33"/>
      <c r="O31" s="34"/>
      <c r="P31" s="35" t="str">
        <f t="shared" si="4"/>
        <v/>
      </c>
      <c r="Q31" s="36" t="str">
        <f t="shared" si="5"/>
        <v/>
      </c>
      <c r="R31" s="37"/>
      <c r="S31" s="33"/>
      <c r="T31" s="34"/>
      <c r="U31" s="35" t="str">
        <f t="shared" si="6"/>
        <v/>
      </c>
      <c r="V31" s="36" t="str">
        <f t="shared" si="7"/>
        <v/>
      </c>
      <c r="W31" s="37"/>
      <c r="X31" s="33"/>
      <c r="Y31" s="34"/>
      <c r="Z31" s="35" t="str">
        <f t="shared" si="8"/>
        <v/>
      </c>
      <c r="AA31" s="36" t="str">
        <f t="shared" si="9"/>
        <v/>
      </c>
      <c r="AB31" s="37"/>
      <c r="AC31" s="33"/>
      <c r="AD31" s="34"/>
      <c r="AE31" s="35" t="str">
        <f t="shared" si="10"/>
        <v/>
      </c>
      <c r="AF31" s="36" t="str">
        <f t="shared" si="11"/>
        <v/>
      </c>
      <c r="AG31" s="37"/>
      <c r="AH31" s="33"/>
      <c r="AI31" s="34"/>
      <c r="AJ31" s="35" t="str">
        <f t="shared" si="12"/>
        <v/>
      </c>
      <c r="AK31" s="36" t="str">
        <f t="shared" si="13"/>
        <v/>
      </c>
      <c r="AL31" s="37"/>
      <c r="AM31" s="33"/>
      <c r="AN31" s="34"/>
      <c r="AO31" s="35" t="str">
        <f t="shared" si="14"/>
        <v/>
      </c>
      <c r="AP31" s="36" t="str">
        <f t="shared" si="15"/>
        <v/>
      </c>
      <c r="AQ31" s="37"/>
      <c r="AR31" s="33"/>
      <c r="AS31" s="34"/>
      <c r="AT31" s="35" t="str">
        <f t="shared" si="16"/>
        <v/>
      </c>
      <c r="AU31" s="36" t="str">
        <f t="shared" si="17"/>
        <v/>
      </c>
      <c r="AV31" s="37"/>
      <c r="AW31" s="33"/>
      <c r="AX31" s="34"/>
      <c r="AY31" s="35" t="str">
        <f t="shared" si="18"/>
        <v/>
      </c>
      <c r="AZ31" s="36" t="str">
        <f t="shared" si="19"/>
        <v/>
      </c>
      <c r="BA31" s="37"/>
      <c r="BB31" s="33"/>
      <c r="BC31" s="34"/>
      <c r="BD31" s="35" t="str">
        <f t="shared" si="20"/>
        <v/>
      </c>
      <c r="BE31" s="36" t="str">
        <f t="shared" si="21"/>
        <v/>
      </c>
      <c r="BF31" s="37"/>
      <c r="BG31" s="33"/>
      <c r="BH31" s="34"/>
      <c r="BI31" s="35" t="str">
        <f t="shared" si="22"/>
        <v/>
      </c>
      <c r="BJ31" s="36" t="str">
        <f t="shared" si="23"/>
        <v/>
      </c>
      <c r="BK31" s="37"/>
      <c r="BL31" s="33"/>
      <c r="BM31" s="34"/>
      <c r="BN31" s="35" t="str">
        <f t="shared" si="24"/>
        <v/>
      </c>
      <c r="BO31" s="36" t="str">
        <f t="shared" si="25"/>
        <v/>
      </c>
      <c r="BP31" s="37"/>
      <c r="BQ31" s="33"/>
      <c r="BR31" s="34"/>
      <c r="BS31" s="35" t="str">
        <f t="shared" si="26"/>
        <v/>
      </c>
      <c r="BT31" s="36" t="str">
        <f t="shared" si="27"/>
        <v/>
      </c>
      <c r="BU31" s="37"/>
      <c r="BV31" s="33"/>
      <c r="BW31" s="34"/>
      <c r="BX31" s="35" t="str">
        <f t="shared" si="28"/>
        <v/>
      </c>
      <c r="BY31" s="36" t="str">
        <f t="shared" si="29"/>
        <v/>
      </c>
      <c r="BZ31" s="37"/>
      <c r="CA31" s="33"/>
      <c r="CB31" s="34"/>
      <c r="CC31" s="35" t="str">
        <f t="shared" si="30"/>
        <v/>
      </c>
      <c r="CD31" s="36" t="str">
        <f t="shared" si="31"/>
        <v/>
      </c>
      <c r="CE31" s="37"/>
      <c r="CF31" s="33"/>
      <c r="CG31" s="34"/>
      <c r="CH31" s="35" t="str">
        <f t="shared" si="32"/>
        <v/>
      </c>
      <c r="CI31" s="36" t="str">
        <f t="shared" si="33"/>
        <v/>
      </c>
      <c r="CJ31" s="37"/>
      <c r="CK31" s="33"/>
      <c r="CL31" s="34"/>
      <c r="CM31" s="35" t="str">
        <f t="shared" si="34"/>
        <v/>
      </c>
      <c r="CN31" s="36" t="str">
        <f t="shared" si="35"/>
        <v/>
      </c>
      <c r="CO31" s="37"/>
      <c r="CP31" s="33"/>
      <c r="CQ31" s="34"/>
      <c r="CR31" s="35" t="str">
        <f t="shared" si="36"/>
        <v/>
      </c>
      <c r="CS31" s="36" t="str">
        <f t="shared" si="37"/>
        <v/>
      </c>
      <c r="CT31" s="37"/>
      <c r="CU31" s="33"/>
      <c r="CV31" s="34"/>
      <c r="CW31" s="35" t="str">
        <f t="shared" si="38"/>
        <v/>
      </c>
      <c r="CX31" s="36" t="str">
        <f t="shared" si="39"/>
        <v/>
      </c>
      <c r="CY31" s="37"/>
      <c r="CZ31" s="33"/>
      <c r="DA31" s="34"/>
      <c r="DB31" s="35" t="str">
        <f t="shared" si="40"/>
        <v/>
      </c>
      <c r="DC31" s="36" t="str">
        <f t="shared" si="41"/>
        <v/>
      </c>
      <c r="DD31" s="37"/>
      <c r="DE31" s="33"/>
      <c r="DF31" s="34"/>
      <c r="DG31" s="35" t="str">
        <f t="shared" si="42"/>
        <v/>
      </c>
      <c r="DH31" s="36" t="str">
        <f t="shared" si="43"/>
        <v/>
      </c>
      <c r="DI31" s="37"/>
      <c r="DJ31" s="33"/>
      <c r="DK31" s="34"/>
      <c r="DL31" s="35" t="str">
        <f t="shared" si="44"/>
        <v/>
      </c>
      <c r="DM31" s="36" t="str">
        <f t="shared" si="45"/>
        <v/>
      </c>
      <c r="DN31" s="37"/>
      <c r="DO31" s="33"/>
      <c r="DP31" s="34"/>
      <c r="DQ31" s="35" t="str">
        <f t="shared" si="46"/>
        <v/>
      </c>
      <c r="DR31" s="36" t="str">
        <f t="shared" si="47"/>
        <v/>
      </c>
      <c r="DS31" s="37"/>
      <c r="DT31" s="33"/>
      <c r="DU31" s="34"/>
      <c r="DV31" s="35" t="str">
        <f t="shared" si="48"/>
        <v/>
      </c>
      <c r="DW31" s="36" t="str">
        <f t="shared" si="49"/>
        <v/>
      </c>
      <c r="DX31" s="37"/>
      <c r="DY31" s="33"/>
      <c r="DZ31" s="34"/>
      <c r="EA31" s="35" t="str">
        <f t="shared" si="50"/>
        <v/>
      </c>
      <c r="EB31" s="36" t="str">
        <f t="shared" si="51"/>
        <v/>
      </c>
      <c r="EC31" s="37"/>
      <c r="ED31" s="33"/>
      <c r="EE31" s="34"/>
      <c r="EF31" s="35" t="str">
        <f t="shared" si="52"/>
        <v/>
      </c>
      <c r="EG31" s="36" t="str">
        <f t="shared" si="53"/>
        <v/>
      </c>
      <c r="EH31" s="37"/>
      <c r="EI31" s="33"/>
      <c r="EJ31" s="34"/>
      <c r="EK31" s="35" t="str">
        <f t="shared" si="54"/>
        <v/>
      </c>
      <c r="EL31" s="36" t="str">
        <f t="shared" si="55"/>
        <v/>
      </c>
      <c r="EM31" s="37"/>
      <c r="EN31" s="33"/>
      <c r="EO31" s="34"/>
      <c r="EP31" s="35" t="str">
        <f t="shared" si="56"/>
        <v/>
      </c>
      <c r="EQ31" s="36" t="str">
        <f t="shared" si="57"/>
        <v/>
      </c>
      <c r="ER31" s="37"/>
      <c r="ES31" s="33"/>
      <c r="ET31" s="34"/>
      <c r="EU31" s="35" t="str">
        <f t="shared" si="58"/>
        <v/>
      </c>
      <c r="EV31" s="36" t="str">
        <f t="shared" si="59"/>
        <v/>
      </c>
      <c r="EW31" s="37"/>
    </row>
    <row r="32" spans="1:153" ht="19.5" customHeight="1">
      <c r="A32" s="32">
        <f>IF(DAY(DATE(対象年度,8,29))&lt;&gt;29,"",29)</f>
        <v>29</v>
      </c>
      <c r="B32" s="32" t="str">
        <f>IF(DAY(DATE(対象年度,8,29))&lt;&gt;29,"",CHOOSE(WEEKDAY(DATE(対象年度,8,29),2),"月","火","水","木","金","土","日"))</f>
        <v>土</v>
      </c>
      <c r="C32" s="32" t="str">
        <f>IF(DAY(DATE(対象年度,8,29))&lt;&gt;29,"",IF(ISNUMBER(MATCH(DATE(対象年度,8,29),祝日リスト,0)),"祝",""))</f>
        <v/>
      </c>
      <c r="D32" s="33"/>
      <c r="E32" s="34"/>
      <c r="F32" s="35" t="str">
        <f t="shared" si="0"/>
        <v/>
      </c>
      <c r="G32" s="36" t="str">
        <f t="shared" si="1"/>
        <v/>
      </c>
      <c r="H32" s="37"/>
      <c r="I32" s="33"/>
      <c r="J32" s="34"/>
      <c r="K32" s="35" t="str">
        <f t="shared" si="2"/>
        <v/>
      </c>
      <c r="L32" s="36" t="str">
        <f t="shared" si="3"/>
        <v/>
      </c>
      <c r="M32" s="37"/>
      <c r="N32" s="33"/>
      <c r="O32" s="34"/>
      <c r="P32" s="35" t="str">
        <f t="shared" si="4"/>
        <v/>
      </c>
      <c r="Q32" s="36" t="str">
        <f t="shared" si="5"/>
        <v/>
      </c>
      <c r="R32" s="37"/>
      <c r="S32" s="33"/>
      <c r="T32" s="34"/>
      <c r="U32" s="35" t="str">
        <f t="shared" si="6"/>
        <v/>
      </c>
      <c r="V32" s="36" t="str">
        <f t="shared" si="7"/>
        <v/>
      </c>
      <c r="W32" s="37"/>
      <c r="X32" s="33"/>
      <c r="Y32" s="34"/>
      <c r="Z32" s="35" t="str">
        <f t="shared" si="8"/>
        <v/>
      </c>
      <c r="AA32" s="36" t="str">
        <f t="shared" si="9"/>
        <v/>
      </c>
      <c r="AB32" s="37"/>
      <c r="AC32" s="33"/>
      <c r="AD32" s="34"/>
      <c r="AE32" s="35" t="str">
        <f t="shared" si="10"/>
        <v/>
      </c>
      <c r="AF32" s="36" t="str">
        <f t="shared" si="11"/>
        <v/>
      </c>
      <c r="AG32" s="37"/>
      <c r="AH32" s="33"/>
      <c r="AI32" s="34"/>
      <c r="AJ32" s="35" t="str">
        <f t="shared" si="12"/>
        <v/>
      </c>
      <c r="AK32" s="36" t="str">
        <f t="shared" si="13"/>
        <v/>
      </c>
      <c r="AL32" s="37"/>
      <c r="AM32" s="33"/>
      <c r="AN32" s="34"/>
      <c r="AO32" s="35" t="str">
        <f t="shared" si="14"/>
        <v/>
      </c>
      <c r="AP32" s="36" t="str">
        <f t="shared" si="15"/>
        <v/>
      </c>
      <c r="AQ32" s="37"/>
      <c r="AR32" s="33"/>
      <c r="AS32" s="34"/>
      <c r="AT32" s="35" t="str">
        <f t="shared" si="16"/>
        <v/>
      </c>
      <c r="AU32" s="36" t="str">
        <f t="shared" si="17"/>
        <v/>
      </c>
      <c r="AV32" s="37"/>
      <c r="AW32" s="33"/>
      <c r="AX32" s="34"/>
      <c r="AY32" s="35" t="str">
        <f t="shared" si="18"/>
        <v/>
      </c>
      <c r="AZ32" s="36" t="str">
        <f t="shared" si="19"/>
        <v/>
      </c>
      <c r="BA32" s="37"/>
      <c r="BB32" s="33"/>
      <c r="BC32" s="34"/>
      <c r="BD32" s="35" t="str">
        <f t="shared" si="20"/>
        <v/>
      </c>
      <c r="BE32" s="36" t="str">
        <f t="shared" si="21"/>
        <v/>
      </c>
      <c r="BF32" s="37"/>
      <c r="BG32" s="33"/>
      <c r="BH32" s="34"/>
      <c r="BI32" s="35" t="str">
        <f t="shared" si="22"/>
        <v/>
      </c>
      <c r="BJ32" s="36" t="str">
        <f t="shared" si="23"/>
        <v/>
      </c>
      <c r="BK32" s="37"/>
      <c r="BL32" s="33"/>
      <c r="BM32" s="34"/>
      <c r="BN32" s="35" t="str">
        <f t="shared" si="24"/>
        <v/>
      </c>
      <c r="BO32" s="36" t="str">
        <f t="shared" si="25"/>
        <v/>
      </c>
      <c r="BP32" s="37"/>
      <c r="BQ32" s="33"/>
      <c r="BR32" s="34"/>
      <c r="BS32" s="35" t="str">
        <f t="shared" si="26"/>
        <v/>
      </c>
      <c r="BT32" s="36" t="str">
        <f t="shared" si="27"/>
        <v/>
      </c>
      <c r="BU32" s="37"/>
      <c r="BV32" s="33"/>
      <c r="BW32" s="34"/>
      <c r="BX32" s="35" t="str">
        <f t="shared" si="28"/>
        <v/>
      </c>
      <c r="BY32" s="36" t="str">
        <f t="shared" si="29"/>
        <v/>
      </c>
      <c r="BZ32" s="37"/>
      <c r="CA32" s="33"/>
      <c r="CB32" s="34"/>
      <c r="CC32" s="35" t="str">
        <f t="shared" si="30"/>
        <v/>
      </c>
      <c r="CD32" s="36" t="str">
        <f t="shared" si="31"/>
        <v/>
      </c>
      <c r="CE32" s="37"/>
      <c r="CF32" s="33"/>
      <c r="CG32" s="34"/>
      <c r="CH32" s="35" t="str">
        <f t="shared" si="32"/>
        <v/>
      </c>
      <c r="CI32" s="36" t="str">
        <f t="shared" si="33"/>
        <v/>
      </c>
      <c r="CJ32" s="37"/>
      <c r="CK32" s="33"/>
      <c r="CL32" s="34"/>
      <c r="CM32" s="35" t="str">
        <f t="shared" si="34"/>
        <v/>
      </c>
      <c r="CN32" s="36" t="str">
        <f t="shared" si="35"/>
        <v/>
      </c>
      <c r="CO32" s="37"/>
      <c r="CP32" s="33"/>
      <c r="CQ32" s="34"/>
      <c r="CR32" s="35" t="str">
        <f t="shared" si="36"/>
        <v/>
      </c>
      <c r="CS32" s="36" t="str">
        <f t="shared" si="37"/>
        <v/>
      </c>
      <c r="CT32" s="37"/>
      <c r="CU32" s="33"/>
      <c r="CV32" s="34"/>
      <c r="CW32" s="35" t="str">
        <f t="shared" si="38"/>
        <v/>
      </c>
      <c r="CX32" s="36" t="str">
        <f t="shared" si="39"/>
        <v/>
      </c>
      <c r="CY32" s="37"/>
      <c r="CZ32" s="33"/>
      <c r="DA32" s="34"/>
      <c r="DB32" s="35" t="str">
        <f t="shared" si="40"/>
        <v/>
      </c>
      <c r="DC32" s="36" t="str">
        <f t="shared" si="41"/>
        <v/>
      </c>
      <c r="DD32" s="37"/>
      <c r="DE32" s="33"/>
      <c r="DF32" s="34"/>
      <c r="DG32" s="35" t="str">
        <f t="shared" si="42"/>
        <v/>
      </c>
      <c r="DH32" s="36" t="str">
        <f t="shared" si="43"/>
        <v/>
      </c>
      <c r="DI32" s="37"/>
      <c r="DJ32" s="33"/>
      <c r="DK32" s="34"/>
      <c r="DL32" s="35" t="str">
        <f t="shared" si="44"/>
        <v/>
      </c>
      <c r="DM32" s="36" t="str">
        <f t="shared" si="45"/>
        <v/>
      </c>
      <c r="DN32" s="37"/>
      <c r="DO32" s="33"/>
      <c r="DP32" s="34"/>
      <c r="DQ32" s="35" t="str">
        <f t="shared" si="46"/>
        <v/>
      </c>
      <c r="DR32" s="36" t="str">
        <f t="shared" si="47"/>
        <v/>
      </c>
      <c r="DS32" s="37"/>
      <c r="DT32" s="33"/>
      <c r="DU32" s="34"/>
      <c r="DV32" s="35" t="str">
        <f t="shared" si="48"/>
        <v/>
      </c>
      <c r="DW32" s="36" t="str">
        <f t="shared" si="49"/>
        <v/>
      </c>
      <c r="DX32" s="37"/>
      <c r="DY32" s="33"/>
      <c r="DZ32" s="34"/>
      <c r="EA32" s="35" t="str">
        <f t="shared" si="50"/>
        <v/>
      </c>
      <c r="EB32" s="36" t="str">
        <f t="shared" si="51"/>
        <v/>
      </c>
      <c r="EC32" s="37"/>
      <c r="ED32" s="33"/>
      <c r="EE32" s="34"/>
      <c r="EF32" s="35" t="str">
        <f t="shared" si="52"/>
        <v/>
      </c>
      <c r="EG32" s="36" t="str">
        <f t="shared" si="53"/>
        <v/>
      </c>
      <c r="EH32" s="37"/>
      <c r="EI32" s="33"/>
      <c r="EJ32" s="34"/>
      <c r="EK32" s="35" t="str">
        <f t="shared" si="54"/>
        <v/>
      </c>
      <c r="EL32" s="36" t="str">
        <f t="shared" si="55"/>
        <v/>
      </c>
      <c r="EM32" s="37"/>
      <c r="EN32" s="33"/>
      <c r="EO32" s="34"/>
      <c r="EP32" s="35" t="str">
        <f t="shared" si="56"/>
        <v/>
      </c>
      <c r="EQ32" s="36" t="str">
        <f t="shared" si="57"/>
        <v/>
      </c>
      <c r="ER32" s="37"/>
      <c r="ES32" s="33"/>
      <c r="ET32" s="34"/>
      <c r="EU32" s="35" t="str">
        <f t="shared" si="58"/>
        <v/>
      </c>
      <c r="EV32" s="36" t="str">
        <f t="shared" si="59"/>
        <v/>
      </c>
      <c r="EW32" s="37"/>
    </row>
    <row r="33" spans="1:153" ht="19.5" customHeight="1">
      <c r="A33" s="32">
        <f>IF(DAY(DATE(対象年度,8,30))&lt;&gt;30,"",30)</f>
        <v>30</v>
      </c>
      <c r="B33" s="32" t="str">
        <f>IF(DAY(DATE(対象年度,8,30))&lt;&gt;30,"",CHOOSE(WEEKDAY(DATE(対象年度,8,30),2),"月","火","水","木","金","土","日"))</f>
        <v>日</v>
      </c>
      <c r="C33" s="32" t="str">
        <f>IF(DAY(DATE(対象年度,8,30))&lt;&gt;30,"",IF(ISNUMBER(MATCH(DATE(対象年度,8,30),祝日リスト,0)),"祝",""))</f>
        <v/>
      </c>
      <c r="D33" s="33"/>
      <c r="E33" s="34"/>
      <c r="F33" s="35" t="str">
        <f t="shared" si="0"/>
        <v/>
      </c>
      <c r="G33" s="36" t="str">
        <f t="shared" si="1"/>
        <v/>
      </c>
      <c r="H33" s="37"/>
      <c r="I33" s="33"/>
      <c r="J33" s="34"/>
      <c r="K33" s="35" t="str">
        <f t="shared" si="2"/>
        <v/>
      </c>
      <c r="L33" s="36" t="str">
        <f t="shared" si="3"/>
        <v/>
      </c>
      <c r="M33" s="37"/>
      <c r="N33" s="33"/>
      <c r="O33" s="34"/>
      <c r="P33" s="35" t="str">
        <f t="shared" si="4"/>
        <v/>
      </c>
      <c r="Q33" s="36" t="str">
        <f t="shared" si="5"/>
        <v/>
      </c>
      <c r="R33" s="37"/>
      <c r="S33" s="33"/>
      <c r="T33" s="34"/>
      <c r="U33" s="35" t="str">
        <f t="shared" si="6"/>
        <v/>
      </c>
      <c r="V33" s="36" t="str">
        <f t="shared" si="7"/>
        <v/>
      </c>
      <c r="W33" s="37"/>
      <c r="X33" s="33"/>
      <c r="Y33" s="34"/>
      <c r="Z33" s="35" t="str">
        <f t="shared" si="8"/>
        <v/>
      </c>
      <c r="AA33" s="36" t="str">
        <f t="shared" si="9"/>
        <v/>
      </c>
      <c r="AB33" s="37"/>
      <c r="AC33" s="33"/>
      <c r="AD33" s="34"/>
      <c r="AE33" s="35" t="str">
        <f t="shared" si="10"/>
        <v/>
      </c>
      <c r="AF33" s="36" t="str">
        <f t="shared" si="11"/>
        <v/>
      </c>
      <c r="AG33" s="37"/>
      <c r="AH33" s="33"/>
      <c r="AI33" s="34"/>
      <c r="AJ33" s="35" t="str">
        <f t="shared" si="12"/>
        <v/>
      </c>
      <c r="AK33" s="36" t="str">
        <f t="shared" si="13"/>
        <v/>
      </c>
      <c r="AL33" s="37"/>
      <c r="AM33" s="33"/>
      <c r="AN33" s="34"/>
      <c r="AO33" s="35" t="str">
        <f t="shared" si="14"/>
        <v/>
      </c>
      <c r="AP33" s="36" t="str">
        <f t="shared" si="15"/>
        <v/>
      </c>
      <c r="AQ33" s="37"/>
      <c r="AR33" s="33"/>
      <c r="AS33" s="34"/>
      <c r="AT33" s="35" t="str">
        <f t="shared" si="16"/>
        <v/>
      </c>
      <c r="AU33" s="36" t="str">
        <f t="shared" si="17"/>
        <v/>
      </c>
      <c r="AV33" s="37"/>
      <c r="AW33" s="33"/>
      <c r="AX33" s="34"/>
      <c r="AY33" s="35" t="str">
        <f t="shared" si="18"/>
        <v/>
      </c>
      <c r="AZ33" s="36" t="str">
        <f t="shared" si="19"/>
        <v/>
      </c>
      <c r="BA33" s="37"/>
      <c r="BB33" s="33"/>
      <c r="BC33" s="34"/>
      <c r="BD33" s="35" t="str">
        <f t="shared" si="20"/>
        <v/>
      </c>
      <c r="BE33" s="36" t="str">
        <f t="shared" si="21"/>
        <v/>
      </c>
      <c r="BF33" s="37"/>
      <c r="BG33" s="33"/>
      <c r="BH33" s="34"/>
      <c r="BI33" s="35" t="str">
        <f t="shared" si="22"/>
        <v/>
      </c>
      <c r="BJ33" s="36" t="str">
        <f t="shared" si="23"/>
        <v/>
      </c>
      <c r="BK33" s="37"/>
      <c r="BL33" s="33"/>
      <c r="BM33" s="34"/>
      <c r="BN33" s="35" t="str">
        <f t="shared" si="24"/>
        <v/>
      </c>
      <c r="BO33" s="36" t="str">
        <f t="shared" si="25"/>
        <v/>
      </c>
      <c r="BP33" s="37"/>
      <c r="BQ33" s="33"/>
      <c r="BR33" s="34"/>
      <c r="BS33" s="35" t="str">
        <f t="shared" si="26"/>
        <v/>
      </c>
      <c r="BT33" s="36" t="str">
        <f t="shared" si="27"/>
        <v/>
      </c>
      <c r="BU33" s="37"/>
      <c r="BV33" s="33"/>
      <c r="BW33" s="34"/>
      <c r="BX33" s="35" t="str">
        <f t="shared" si="28"/>
        <v/>
      </c>
      <c r="BY33" s="36" t="str">
        <f t="shared" si="29"/>
        <v/>
      </c>
      <c r="BZ33" s="37"/>
      <c r="CA33" s="33"/>
      <c r="CB33" s="34"/>
      <c r="CC33" s="35" t="str">
        <f t="shared" si="30"/>
        <v/>
      </c>
      <c r="CD33" s="36" t="str">
        <f t="shared" si="31"/>
        <v/>
      </c>
      <c r="CE33" s="37"/>
      <c r="CF33" s="33"/>
      <c r="CG33" s="34"/>
      <c r="CH33" s="35" t="str">
        <f t="shared" si="32"/>
        <v/>
      </c>
      <c r="CI33" s="36" t="str">
        <f t="shared" si="33"/>
        <v/>
      </c>
      <c r="CJ33" s="37"/>
      <c r="CK33" s="33"/>
      <c r="CL33" s="34"/>
      <c r="CM33" s="35" t="str">
        <f t="shared" si="34"/>
        <v/>
      </c>
      <c r="CN33" s="36" t="str">
        <f t="shared" si="35"/>
        <v/>
      </c>
      <c r="CO33" s="37"/>
      <c r="CP33" s="33"/>
      <c r="CQ33" s="34"/>
      <c r="CR33" s="35" t="str">
        <f t="shared" si="36"/>
        <v/>
      </c>
      <c r="CS33" s="36" t="str">
        <f t="shared" si="37"/>
        <v/>
      </c>
      <c r="CT33" s="37"/>
      <c r="CU33" s="33"/>
      <c r="CV33" s="34"/>
      <c r="CW33" s="35" t="str">
        <f t="shared" si="38"/>
        <v/>
      </c>
      <c r="CX33" s="36" t="str">
        <f t="shared" si="39"/>
        <v/>
      </c>
      <c r="CY33" s="37"/>
      <c r="CZ33" s="33"/>
      <c r="DA33" s="34"/>
      <c r="DB33" s="35" t="str">
        <f t="shared" si="40"/>
        <v/>
      </c>
      <c r="DC33" s="36" t="str">
        <f t="shared" si="41"/>
        <v/>
      </c>
      <c r="DD33" s="37"/>
      <c r="DE33" s="33"/>
      <c r="DF33" s="34"/>
      <c r="DG33" s="35" t="str">
        <f t="shared" si="42"/>
        <v/>
      </c>
      <c r="DH33" s="36" t="str">
        <f t="shared" si="43"/>
        <v/>
      </c>
      <c r="DI33" s="37"/>
      <c r="DJ33" s="33"/>
      <c r="DK33" s="34"/>
      <c r="DL33" s="35" t="str">
        <f t="shared" si="44"/>
        <v/>
      </c>
      <c r="DM33" s="36" t="str">
        <f t="shared" si="45"/>
        <v/>
      </c>
      <c r="DN33" s="37"/>
      <c r="DO33" s="33"/>
      <c r="DP33" s="34"/>
      <c r="DQ33" s="35" t="str">
        <f t="shared" si="46"/>
        <v/>
      </c>
      <c r="DR33" s="36" t="str">
        <f t="shared" si="47"/>
        <v/>
      </c>
      <c r="DS33" s="37"/>
      <c r="DT33" s="33"/>
      <c r="DU33" s="34"/>
      <c r="DV33" s="35" t="str">
        <f t="shared" si="48"/>
        <v/>
      </c>
      <c r="DW33" s="36" t="str">
        <f t="shared" si="49"/>
        <v/>
      </c>
      <c r="DX33" s="37"/>
      <c r="DY33" s="33"/>
      <c r="DZ33" s="34"/>
      <c r="EA33" s="35" t="str">
        <f t="shared" si="50"/>
        <v/>
      </c>
      <c r="EB33" s="36" t="str">
        <f t="shared" si="51"/>
        <v/>
      </c>
      <c r="EC33" s="37"/>
      <c r="ED33" s="33"/>
      <c r="EE33" s="34"/>
      <c r="EF33" s="35" t="str">
        <f t="shared" si="52"/>
        <v/>
      </c>
      <c r="EG33" s="36" t="str">
        <f t="shared" si="53"/>
        <v/>
      </c>
      <c r="EH33" s="37"/>
      <c r="EI33" s="33"/>
      <c r="EJ33" s="34"/>
      <c r="EK33" s="35" t="str">
        <f t="shared" si="54"/>
        <v/>
      </c>
      <c r="EL33" s="36" t="str">
        <f t="shared" si="55"/>
        <v/>
      </c>
      <c r="EM33" s="37"/>
      <c r="EN33" s="33"/>
      <c r="EO33" s="34"/>
      <c r="EP33" s="35" t="str">
        <f t="shared" si="56"/>
        <v/>
      </c>
      <c r="EQ33" s="36" t="str">
        <f t="shared" si="57"/>
        <v/>
      </c>
      <c r="ER33" s="37"/>
      <c r="ES33" s="33"/>
      <c r="ET33" s="34"/>
      <c r="EU33" s="35" t="str">
        <f t="shared" si="58"/>
        <v/>
      </c>
      <c r="EV33" s="36" t="str">
        <f t="shared" si="59"/>
        <v/>
      </c>
      <c r="EW33" s="37"/>
    </row>
    <row r="34" spans="1:153" ht="19.5" customHeight="1">
      <c r="A34" s="39">
        <f>IF(DAY(DATE(対象年度,8,31))&lt;&gt;31,"",31)</f>
        <v>31</v>
      </c>
      <c r="B34" s="39" t="str">
        <f>IF(DAY(DATE(対象年度,8,31))&lt;&gt;31,"",CHOOSE(WEEKDAY(DATE(対象年度,8,31),2),"月","火","水","木","金","土","日"))</f>
        <v>月</v>
      </c>
      <c r="C34" s="39" t="str">
        <f>IF(DAY(DATE(対象年度,8,31))&lt;&gt;31,"",IF(ISNUMBER(MATCH(DATE(対象年度,8,31),祝日リスト,0)),"祝",""))</f>
        <v/>
      </c>
      <c r="D34" s="40"/>
      <c r="E34" s="41"/>
      <c r="F34" s="42" t="str">
        <f t="shared" si="0"/>
        <v/>
      </c>
      <c r="G34" s="43" t="str">
        <f t="shared" si="1"/>
        <v/>
      </c>
      <c r="H34" s="44"/>
      <c r="I34" s="40"/>
      <c r="J34" s="41"/>
      <c r="K34" s="42" t="str">
        <f t="shared" si="2"/>
        <v/>
      </c>
      <c r="L34" s="43" t="str">
        <f t="shared" si="3"/>
        <v/>
      </c>
      <c r="M34" s="44"/>
      <c r="N34" s="40"/>
      <c r="O34" s="41"/>
      <c r="P34" s="42" t="str">
        <f t="shared" si="4"/>
        <v/>
      </c>
      <c r="Q34" s="43" t="str">
        <f t="shared" si="5"/>
        <v/>
      </c>
      <c r="R34" s="44"/>
      <c r="S34" s="40"/>
      <c r="T34" s="41"/>
      <c r="U34" s="42" t="str">
        <f t="shared" si="6"/>
        <v/>
      </c>
      <c r="V34" s="43" t="str">
        <f t="shared" si="7"/>
        <v/>
      </c>
      <c r="W34" s="44"/>
      <c r="X34" s="40"/>
      <c r="Y34" s="41"/>
      <c r="Z34" s="42" t="str">
        <f t="shared" si="8"/>
        <v/>
      </c>
      <c r="AA34" s="43" t="str">
        <f t="shared" si="9"/>
        <v/>
      </c>
      <c r="AB34" s="44"/>
      <c r="AC34" s="40"/>
      <c r="AD34" s="41"/>
      <c r="AE34" s="42" t="str">
        <f t="shared" si="10"/>
        <v/>
      </c>
      <c r="AF34" s="43" t="str">
        <f t="shared" si="11"/>
        <v/>
      </c>
      <c r="AG34" s="44"/>
      <c r="AH34" s="40"/>
      <c r="AI34" s="41"/>
      <c r="AJ34" s="42" t="str">
        <f t="shared" si="12"/>
        <v/>
      </c>
      <c r="AK34" s="43" t="str">
        <f t="shared" si="13"/>
        <v/>
      </c>
      <c r="AL34" s="44"/>
      <c r="AM34" s="40"/>
      <c r="AN34" s="41"/>
      <c r="AO34" s="42" t="str">
        <f t="shared" si="14"/>
        <v/>
      </c>
      <c r="AP34" s="43" t="str">
        <f t="shared" si="15"/>
        <v/>
      </c>
      <c r="AQ34" s="44"/>
      <c r="AR34" s="40"/>
      <c r="AS34" s="41"/>
      <c r="AT34" s="42" t="str">
        <f t="shared" si="16"/>
        <v/>
      </c>
      <c r="AU34" s="43" t="str">
        <f t="shared" si="17"/>
        <v/>
      </c>
      <c r="AV34" s="44"/>
      <c r="AW34" s="40"/>
      <c r="AX34" s="41"/>
      <c r="AY34" s="42" t="str">
        <f t="shared" si="18"/>
        <v/>
      </c>
      <c r="AZ34" s="43" t="str">
        <f t="shared" si="19"/>
        <v/>
      </c>
      <c r="BA34" s="44"/>
      <c r="BB34" s="40"/>
      <c r="BC34" s="41"/>
      <c r="BD34" s="42" t="str">
        <f t="shared" si="20"/>
        <v/>
      </c>
      <c r="BE34" s="43" t="str">
        <f t="shared" si="21"/>
        <v/>
      </c>
      <c r="BF34" s="44"/>
      <c r="BG34" s="40"/>
      <c r="BH34" s="41"/>
      <c r="BI34" s="42" t="str">
        <f t="shared" si="22"/>
        <v/>
      </c>
      <c r="BJ34" s="43" t="str">
        <f t="shared" si="23"/>
        <v/>
      </c>
      <c r="BK34" s="44"/>
      <c r="BL34" s="40"/>
      <c r="BM34" s="41"/>
      <c r="BN34" s="42" t="str">
        <f t="shared" si="24"/>
        <v/>
      </c>
      <c r="BO34" s="43" t="str">
        <f t="shared" si="25"/>
        <v/>
      </c>
      <c r="BP34" s="44"/>
      <c r="BQ34" s="40"/>
      <c r="BR34" s="41"/>
      <c r="BS34" s="42" t="str">
        <f t="shared" si="26"/>
        <v/>
      </c>
      <c r="BT34" s="43" t="str">
        <f t="shared" si="27"/>
        <v/>
      </c>
      <c r="BU34" s="44"/>
      <c r="BV34" s="40"/>
      <c r="BW34" s="41"/>
      <c r="BX34" s="42" t="str">
        <f t="shared" si="28"/>
        <v/>
      </c>
      <c r="BY34" s="43" t="str">
        <f t="shared" si="29"/>
        <v/>
      </c>
      <c r="BZ34" s="44"/>
      <c r="CA34" s="40"/>
      <c r="CB34" s="41"/>
      <c r="CC34" s="42" t="str">
        <f t="shared" si="30"/>
        <v/>
      </c>
      <c r="CD34" s="43" t="str">
        <f t="shared" si="31"/>
        <v/>
      </c>
      <c r="CE34" s="44"/>
      <c r="CF34" s="40"/>
      <c r="CG34" s="41"/>
      <c r="CH34" s="42" t="str">
        <f t="shared" si="32"/>
        <v/>
      </c>
      <c r="CI34" s="43" t="str">
        <f t="shared" si="33"/>
        <v/>
      </c>
      <c r="CJ34" s="44"/>
      <c r="CK34" s="40"/>
      <c r="CL34" s="41"/>
      <c r="CM34" s="42" t="str">
        <f t="shared" si="34"/>
        <v/>
      </c>
      <c r="CN34" s="43" t="str">
        <f t="shared" si="35"/>
        <v/>
      </c>
      <c r="CO34" s="44"/>
      <c r="CP34" s="40"/>
      <c r="CQ34" s="41"/>
      <c r="CR34" s="42" t="str">
        <f t="shared" si="36"/>
        <v/>
      </c>
      <c r="CS34" s="43" t="str">
        <f t="shared" si="37"/>
        <v/>
      </c>
      <c r="CT34" s="44"/>
      <c r="CU34" s="40"/>
      <c r="CV34" s="41"/>
      <c r="CW34" s="42" t="str">
        <f t="shared" si="38"/>
        <v/>
      </c>
      <c r="CX34" s="43" t="str">
        <f t="shared" si="39"/>
        <v/>
      </c>
      <c r="CY34" s="44"/>
      <c r="CZ34" s="40"/>
      <c r="DA34" s="41"/>
      <c r="DB34" s="42" t="str">
        <f t="shared" si="40"/>
        <v/>
      </c>
      <c r="DC34" s="43" t="str">
        <f t="shared" si="41"/>
        <v/>
      </c>
      <c r="DD34" s="44"/>
      <c r="DE34" s="40"/>
      <c r="DF34" s="41"/>
      <c r="DG34" s="42" t="str">
        <f t="shared" si="42"/>
        <v/>
      </c>
      <c r="DH34" s="43" t="str">
        <f t="shared" si="43"/>
        <v/>
      </c>
      <c r="DI34" s="44"/>
      <c r="DJ34" s="40"/>
      <c r="DK34" s="41"/>
      <c r="DL34" s="42" t="str">
        <f t="shared" si="44"/>
        <v/>
      </c>
      <c r="DM34" s="43" t="str">
        <f t="shared" si="45"/>
        <v/>
      </c>
      <c r="DN34" s="44"/>
      <c r="DO34" s="40"/>
      <c r="DP34" s="41"/>
      <c r="DQ34" s="42" t="str">
        <f t="shared" si="46"/>
        <v/>
      </c>
      <c r="DR34" s="43" t="str">
        <f t="shared" si="47"/>
        <v/>
      </c>
      <c r="DS34" s="44"/>
      <c r="DT34" s="40"/>
      <c r="DU34" s="41"/>
      <c r="DV34" s="42" t="str">
        <f t="shared" si="48"/>
        <v/>
      </c>
      <c r="DW34" s="43" t="str">
        <f t="shared" si="49"/>
        <v/>
      </c>
      <c r="DX34" s="44"/>
      <c r="DY34" s="40"/>
      <c r="DZ34" s="41"/>
      <c r="EA34" s="42" t="str">
        <f t="shared" si="50"/>
        <v/>
      </c>
      <c r="EB34" s="43" t="str">
        <f t="shared" si="51"/>
        <v/>
      </c>
      <c r="EC34" s="44"/>
      <c r="ED34" s="40"/>
      <c r="EE34" s="41"/>
      <c r="EF34" s="42" t="str">
        <f t="shared" si="52"/>
        <v/>
      </c>
      <c r="EG34" s="43" t="str">
        <f t="shared" si="53"/>
        <v/>
      </c>
      <c r="EH34" s="44"/>
      <c r="EI34" s="40"/>
      <c r="EJ34" s="41"/>
      <c r="EK34" s="42" t="str">
        <f t="shared" si="54"/>
        <v/>
      </c>
      <c r="EL34" s="43" t="str">
        <f t="shared" si="55"/>
        <v/>
      </c>
      <c r="EM34" s="44"/>
      <c r="EN34" s="40"/>
      <c r="EO34" s="41"/>
      <c r="EP34" s="42" t="str">
        <f t="shared" si="56"/>
        <v/>
      </c>
      <c r="EQ34" s="43" t="str">
        <f t="shared" si="57"/>
        <v/>
      </c>
      <c r="ER34" s="44"/>
      <c r="ES34" s="40"/>
      <c r="ET34" s="41"/>
      <c r="EU34" s="42" t="str">
        <f t="shared" si="58"/>
        <v/>
      </c>
      <c r="EV34" s="43" t="str">
        <f t="shared" si="5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0</v>
      </c>
      <c r="E35" s="94"/>
      <c r="F35" s="94"/>
      <c r="G35" s="94"/>
      <c r="H35" s="94"/>
      <c r="I35" s="94">
        <f>COUNTIF(K4:K34,"○")</f>
        <v>0</v>
      </c>
      <c r="J35" s="94"/>
      <c r="K35" s="94"/>
      <c r="L35" s="94"/>
      <c r="M35" s="94"/>
      <c r="N35" s="94">
        <f>COUNTIF(P4:P34,"○")</f>
        <v>0</v>
      </c>
      <c r="O35" s="94"/>
      <c r="P35" s="94"/>
      <c r="Q35" s="94"/>
      <c r="R35" s="94"/>
      <c r="S35" s="94">
        <f>COUNTIF(U4:U34,"○")</f>
        <v>0</v>
      </c>
      <c r="T35" s="94"/>
      <c r="U35" s="94"/>
      <c r="V35" s="94"/>
      <c r="W35" s="94"/>
      <c r="X35" s="94">
        <f>COUNTIF(Z4:Z34,"○")</f>
        <v>0</v>
      </c>
      <c r="Y35" s="94"/>
      <c r="Z35" s="94"/>
      <c r="AA35" s="94"/>
      <c r="AB35" s="94"/>
      <c r="AC35" s="94">
        <f>COUNTIF(AE4:AE34,"○")</f>
        <v>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0</v>
      </c>
      <c r="E37" s="98"/>
      <c r="F37" s="98"/>
      <c r="G37" s="98"/>
      <c r="H37" s="98"/>
      <c r="I37" s="98">
        <f>I35+I36</f>
        <v>0</v>
      </c>
      <c r="J37" s="98"/>
      <c r="K37" s="98"/>
      <c r="L37" s="98"/>
      <c r="M37" s="98"/>
      <c r="N37" s="98">
        <f>N35+N36</f>
        <v>0</v>
      </c>
      <c r="O37" s="98"/>
      <c r="P37" s="98"/>
      <c r="Q37" s="98"/>
      <c r="R37" s="98"/>
      <c r="S37" s="98">
        <f>S35+S36</f>
        <v>0</v>
      </c>
      <c r="T37" s="98"/>
      <c r="U37" s="98"/>
      <c r="V37" s="98"/>
      <c r="W37" s="98"/>
      <c r="X37" s="98">
        <f>X35+X36</f>
        <v>0</v>
      </c>
      <c r="Y37" s="98"/>
      <c r="Z37" s="98"/>
      <c r="AA37" s="98"/>
      <c r="AB37" s="98"/>
      <c r="AC37" s="98">
        <f>AC35+AC36</f>
        <v>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0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379" priority="63">
      <formula>$B4="日"</formula>
    </cfRule>
    <cfRule type="expression" dxfId="378" priority="64">
      <formula>$B4="土"</formula>
    </cfRule>
    <cfRule type="expression" dxfId="377" priority="62">
      <formula>AND($A4&lt;&gt;"",ISNUMBER(MATCH(DATE(対象年度,8,$A4),祝日リスト,0)))</formula>
    </cfRule>
  </conditionalFormatting>
  <conditionalFormatting sqref="D4:D34">
    <cfRule type="expression" dxfId="376" priority="3">
      <formula>$D4="休業"</formula>
    </cfRule>
    <cfRule type="expression" dxfId="375" priority="2">
      <formula>$D4="有給"</formula>
    </cfRule>
  </conditionalFormatting>
  <conditionalFormatting sqref="I4:I34">
    <cfRule type="expression" dxfId="374" priority="4">
      <formula>$I4="有給"</formula>
    </cfRule>
    <cfRule type="expression" dxfId="373" priority="5">
      <formula>$I4="休業"</formula>
    </cfRule>
  </conditionalFormatting>
  <conditionalFormatting sqref="N4:N34">
    <cfRule type="expression" dxfId="372" priority="6">
      <formula>$N4="有給"</formula>
    </cfRule>
    <cfRule type="expression" dxfId="371" priority="7">
      <formula>$N4="休業"</formula>
    </cfRule>
  </conditionalFormatting>
  <conditionalFormatting sqref="S4:S34">
    <cfRule type="expression" dxfId="370" priority="8">
      <formula>$S4="有給"</formula>
    </cfRule>
    <cfRule type="expression" dxfId="369" priority="9">
      <formula>$S4="休業"</formula>
    </cfRule>
  </conditionalFormatting>
  <conditionalFormatting sqref="X4:X34">
    <cfRule type="expression" dxfId="368" priority="10">
      <formula>$X4="有給"</formula>
    </cfRule>
    <cfRule type="expression" dxfId="367" priority="11">
      <formula>$X4="休業"</formula>
    </cfRule>
  </conditionalFormatting>
  <conditionalFormatting sqref="AC4:AC34">
    <cfRule type="expression" dxfId="366" priority="12">
      <formula>$AC4="有給"</formula>
    </cfRule>
    <cfRule type="expression" dxfId="365" priority="13">
      <formula>$AC4="休業"</formula>
    </cfRule>
  </conditionalFormatting>
  <conditionalFormatting sqref="AH4:AH34">
    <cfRule type="expression" dxfId="364" priority="14">
      <formula>$AH4="有給"</formula>
    </cfRule>
    <cfRule type="expression" dxfId="363" priority="15">
      <formula>$AH4="休業"</formula>
    </cfRule>
  </conditionalFormatting>
  <conditionalFormatting sqref="AM4:AM34">
    <cfRule type="expression" dxfId="362" priority="17">
      <formula>$AM4="休業"</formula>
    </cfRule>
    <cfRule type="expression" dxfId="361" priority="16">
      <formula>$AM4="有給"</formula>
    </cfRule>
  </conditionalFormatting>
  <conditionalFormatting sqref="AR4:AR34">
    <cfRule type="expression" dxfId="360" priority="19">
      <formula>$AR4="休業"</formula>
    </cfRule>
    <cfRule type="expression" dxfId="359" priority="18">
      <formula>$AR4="有給"</formula>
    </cfRule>
  </conditionalFormatting>
  <conditionalFormatting sqref="AW4:AW34">
    <cfRule type="expression" dxfId="358" priority="20">
      <formula>$AW4="有給"</formula>
    </cfRule>
    <cfRule type="expression" dxfId="357" priority="21">
      <formula>$AW4="休業"</formula>
    </cfRule>
  </conditionalFormatting>
  <conditionalFormatting sqref="BB4:BB34">
    <cfRule type="expression" dxfId="356" priority="22">
      <formula>$BB4="有給"</formula>
    </cfRule>
    <cfRule type="expression" dxfId="355" priority="23">
      <formula>$BB4="休業"</formula>
    </cfRule>
  </conditionalFormatting>
  <conditionalFormatting sqref="BG4:BG34">
    <cfRule type="expression" dxfId="354" priority="24">
      <formula>$BG4="有給"</formula>
    </cfRule>
    <cfRule type="expression" dxfId="353" priority="25">
      <formula>$BG4="休業"</formula>
    </cfRule>
  </conditionalFormatting>
  <conditionalFormatting sqref="BL4:BL34">
    <cfRule type="expression" dxfId="352" priority="26">
      <formula>$BL4="有給"</formula>
    </cfRule>
    <cfRule type="expression" dxfId="351" priority="27">
      <formula>$BL4="休業"</formula>
    </cfRule>
  </conditionalFormatting>
  <conditionalFormatting sqref="BQ4:BQ34">
    <cfRule type="expression" dxfId="350" priority="28">
      <formula>$BQ4="有給"</formula>
    </cfRule>
    <cfRule type="expression" dxfId="349" priority="29">
      <formula>$BQ4="休業"</formula>
    </cfRule>
  </conditionalFormatting>
  <conditionalFormatting sqref="BV4:BV34">
    <cfRule type="expression" dxfId="348" priority="30">
      <formula>$BV4="有給"</formula>
    </cfRule>
    <cfRule type="expression" dxfId="347" priority="31">
      <formula>$BV4="休業"</formula>
    </cfRule>
  </conditionalFormatting>
  <conditionalFormatting sqref="CA4:CA34">
    <cfRule type="expression" dxfId="346" priority="33">
      <formula>$CA4="休業"</formula>
    </cfRule>
    <cfRule type="expression" dxfId="345" priority="32">
      <formula>$CA4="有給"</formula>
    </cfRule>
  </conditionalFormatting>
  <conditionalFormatting sqref="CF4:CF34">
    <cfRule type="expression" dxfId="344" priority="34">
      <formula>$CF4="有給"</formula>
    </cfRule>
    <cfRule type="expression" dxfId="343" priority="35">
      <formula>$CF4="休業"</formula>
    </cfRule>
  </conditionalFormatting>
  <conditionalFormatting sqref="CK4:CK34">
    <cfRule type="expression" dxfId="342" priority="37">
      <formula>$CK4="休業"</formula>
    </cfRule>
    <cfRule type="expression" dxfId="341" priority="36">
      <formula>$CK4="有給"</formula>
    </cfRule>
  </conditionalFormatting>
  <conditionalFormatting sqref="CP4:CP34">
    <cfRule type="expression" dxfId="340" priority="38">
      <formula>$CP4="有給"</formula>
    </cfRule>
    <cfRule type="expression" dxfId="339" priority="39">
      <formula>$CP4="休業"</formula>
    </cfRule>
  </conditionalFormatting>
  <conditionalFormatting sqref="CU4:CU34">
    <cfRule type="expression" dxfId="338" priority="40">
      <formula>$CU4="有給"</formula>
    </cfRule>
    <cfRule type="expression" dxfId="337" priority="41">
      <formula>$CU4="休業"</formula>
    </cfRule>
  </conditionalFormatting>
  <conditionalFormatting sqref="CZ4:CZ34">
    <cfRule type="expression" dxfId="336" priority="42">
      <formula>$CZ4="有給"</formula>
    </cfRule>
    <cfRule type="expression" dxfId="335" priority="43">
      <formula>$CZ4="休業"</formula>
    </cfRule>
  </conditionalFormatting>
  <conditionalFormatting sqref="DE4:DE34">
    <cfRule type="expression" dxfId="334" priority="44">
      <formula>$DE4="有給"</formula>
    </cfRule>
    <cfRule type="expression" dxfId="333" priority="45">
      <formula>$DE4="休業"</formula>
    </cfRule>
  </conditionalFormatting>
  <conditionalFormatting sqref="DJ4:DJ34">
    <cfRule type="expression" dxfId="332" priority="46">
      <formula>$DJ4="有給"</formula>
    </cfRule>
    <cfRule type="expression" dxfId="331" priority="47">
      <formula>$DJ4="休業"</formula>
    </cfRule>
  </conditionalFormatting>
  <conditionalFormatting sqref="DO4:DO34">
    <cfRule type="expression" dxfId="330" priority="48">
      <formula>$DO4="有給"</formula>
    </cfRule>
    <cfRule type="expression" dxfId="329" priority="49">
      <formula>$DO4="休業"</formula>
    </cfRule>
  </conditionalFormatting>
  <conditionalFormatting sqref="DT4:DT34">
    <cfRule type="expression" dxfId="328" priority="51">
      <formula>$DT4="休業"</formula>
    </cfRule>
    <cfRule type="expression" dxfId="327" priority="50">
      <formula>$DT4="有給"</formula>
    </cfRule>
  </conditionalFormatting>
  <conditionalFormatting sqref="DY4:DY34">
    <cfRule type="expression" dxfId="326" priority="52">
      <formula>$DY4="有給"</formula>
    </cfRule>
    <cfRule type="expression" dxfId="325" priority="53">
      <formula>$DY4="休業"</formula>
    </cfRule>
  </conditionalFormatting>
  <conditionalFormatting sqref="ED4:ED34">
    <cfRule type="expression" dxfId="324" priority="54">
      <formula>$ED4="有給"</formula>
    </cfRule>
    <cfRule type="expression" dxfId="323" priority="55">
      <formula>$ED4="休業"</formula>
    </cfRule>
  </conditionalFormatting>
  <conditionalFormatting sqref="EI4:EI34">
    <cfRule type="expression" dxfId="322" priority="56">
      <formula>$EI4="有給"</formula>
    </cfRule>
    <cfRule type="expression" dxfId="321" priority="57">
      <formula>$EI4="休業"</formula>
    </cfRule>
  </conditionalFormatting>
  <conditionalFormatting sqref="EN4:EN34">
    <cfRule type="expression" dxfId="320" priority="58">
      <formula>$EN4="有給"</formula>
    </cfRule>
    <cfRule type="expression" dxfId="319" priority="59">
      <formula>$EN4="休業"</formula>
    </cfRule>
  </conditionalFormatting>
  <conditionalFormatting sqref="ES4:ES34">
    <cfRule type="expression" dxfId="318" priority="60">
      <formula>$ES4="有給"</formula>
    </cfRule>
    <cfRule type="expression" dxfId="317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A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W4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9月分　出面表　"</f>
        <v xml:space="preserve"> 2026年 9月分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IFERROR(IF(従業員マスタ!$C$4="","",対象年度&amp;"年9月　"&amp;従業員マスタ!$C$4),"")</f>
        <v>2026年9月　建設　太郎</v>
      </c>
      <c r="E2" s="92"/>
      <c r="F2" s="92"/>
      <c r="G2" s="92"/>
      <c r="H2" s="92"/>
      <c r="I2" s="92" t="str">
        <f>IFERROR(IF(従業員マスタ!$C$5="","",対象年度&amp;"年9月　"&amp;従業員マスタ!$C$5),"")</f>
        <v>2026年9月　配管　次郎</v>
      </c>
      <c r="J2" s="92"/>
      <c r="K2" s="92"/>
      <c r="L2" s="92"/>
      <c r="M2" s="92"/>
      <c r="N2" s="92" t="str">
        <f>IFERROR(IF(従業員マスタ!$C$6="","",対象年度&amp;"年9月　"&amp;従業員マスタ!$C$6),"")</f>
        <v>2026年9月　設備　一郎</v>
      </c>
      <c r="O2" s="92"/>
      <c r="P2" s="92"/>
      <c r="Q2" s="92"/>
      <c r="R2" s="92"/>
      <c r="S2" s="92" t="str">
        <f>IFERROR(IF(従業員マスタ!$C$7="","",対象年度&amp;"年9月　"&amp;従業員マスタ!$C$7),"")</f>
        <v>2026年9月　土木　三郎</v>
      </c>
      <c r="T2" s="92"/>
      <c r="U2" s="92"/>
      <c r="V2" s="92"/>
      <c r="W2" s="92"/>
      <c r="X2" s="92" t="str">
        <f>IFERROR(IF(従業員マスタ!$C$8="","",対象年度&amp;"年9月　"&amp;従業員マスタ!$C$8),"")</f>
        <v>2026年9月　塗装　史郎</v>
      </c>
      <c r="Y2" s="92"/>
      <c r="Z2" s="92"/>
      <c r="AA2" s="92"/>
      <c r="AB2" s="92"/>
      <c r="AC2" s="92" t="str">
        <f>IFERROR(IF(従業員マスタ!$C$9="","",対象年度&amp;"年9月　"&amp;従業員マスタ!$C$9),"")</f>
        <v>2026年9月　電工　五郎</v>
      </c>
      <c r="AD2" s="92"/>
      <c r="AE2" s="92"/>
      <c r="AF2" s="92"/>
      <c r="AG2" s="92"/>
      <c r="AH2" s="92" t="str">
        <f>IFERROR(IF(従業員マスタ!$C$10="","",対象年度&amp;"年9月　"&amp;従業員マスタ!$C$10),"")</f>
        <v>2026年9月　現場　花子</v>
      </c>
      <c r="AI2" s="92"/>
      <c r="AJ2" s="92"/>
      <c r="AK2" s="92"/>
      <c r="AL2" s="92"/>
      <c r="AM2" s="92" t="str">
        <f>IFERROR(IF(従業員マスタ!$C$11="","",対象年度&amp;"年9月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IFERROR(IF(従業員マスタ!$C$12="","",対象年度&amp;"年9月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IFERROR(IF(従業員マスタ!$C$13="","",対象年度&amp;"年9月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IFERROR(IF(従業員マスタ!$C$14="","",対象年度&amp;"年9月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IFERROR(IF(従業員マスタ!$C$15="","",対象年度&amp;"年9月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IFERROR(IF(従業員マスタ!$C$16="","",対象年度&amp;"年9月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IFERROR(IF(従業員マスタ!$C$17="","",対象年度&amp;"年9月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IFERROR(IF(従業員マスタ!$C$18="","",対象年度&amp;"年9月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IFERROR(IF(従業員マスタ!$C$19="","",対象年度&amp;"年9月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IFERROR(IF(従業員マスタ!$C$20="","",対象年度&amp;"年9月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IFERROR(IF(従業員マスタ!$C$21="","",対象年度&amp;"年9月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IFERROR(IF(従業員マスタ!$C$22="","",対象年度&amp;"年9月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IFERROR(IF(従業員マスタ!$C$23="","",対象年度&amp;"年9月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IFERROR(IF(従業員マスタ!$C$24="","",対象年度&amp;"年9月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IFERROR(IF(従業員マスタ!$C$25="","",対象年度&amp;"年9月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IFERROR(IF(従業員マスタ!$C$26="","",対象年度&amp;"年9月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IFERROR(IF(従業員マスタ!$C$27="","",対象年度&amp;"年9月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IFERROR(IF(従業員マスタ!$C$28="","",対象年度&amp;"年9月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IFERROR(IF(従業員マスタ!$C$29="","",対象年度&amp;"年9月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IFERROR(IF(従業員マスタ!$C$30="","",対象年度&amp;"年9月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IFERROR(IF(従業員マスタ!$C$31="","",対象年度&amp;"年9月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IFERROR(IF(従業員マスタ!$C$32="","",対象年度&amp;"年9月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IFERROR(IF(従業員マスタ!$C$33="","",対象年度&amp;"年9月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IF(DAY(DATE(対象年度,9,1))&lt;&gt;1,"",1)</f>
        <v>1</v>
      </c>
      <c r="B4" s="26" t="str">
        <f>IF(DAY(DATE(対象年度,9,1))&lt;&gt;1,"",CHOOSE(WEEKDAY(DATE(対象年度,9,1),2),"月","火","水","木","金","土","日"))</f>
        <v>火</v>
      </c>
      <c r="C4" s="26" t="str">
        <f>IF(DAY(DATE(対象年度,9,1))&lt;&gt;1,"",IF(ISNUMBER(MATCH(DATE(対象年度,9,1),祝日リスト,0)),"祝",""))</f>
        <v/>
      </c>
      <c r="D4" s="27"/>
      <c r="E4" s="28"/>
      <c r="F4" s="29" t="str">
        <f t="shared" ref="F4:F34" si="0">IF(D4="","",IF(ISNUMBER(SEARCH("夜勤",D4)),"",IF(A4="","","○")))</f>
        <v/>
      </c>
      <c r="G4" s="30" t="str">
        <f t="shared" ref="G4:G34" si="1">IF(A4="","",IF(OR(AND(E4&lt;&gt;"",NOT(OR(E4="有給",E4="休業"))),ISNUMBER(SEARCH("夜勤",D4))),"○",""))</f>
        <v/>
      </c>
      <c r="H4" s="31"/>
      <c r="I4" s="27"/>
      <c r="J4" s="28"/>
      <c r="K4" s="29" t="str">
        <f t="shared" ref="K4:K34" si="2">IF(I4="","",IF(ISNUMBER(SEARCH("夜勤",I4)),"",IF(A4="","","○")))</f>
        <v/>
      </c>
      <c r="L4" s="30" t="str">
        <f t="shared" ref="L4:L34" si="3">IF(A4="","",IF(OR(AND(J4&lt;&gt;"",NOT(OR(J4="有給",J4="休業"))),ISNUMBER(SEARCH("夜勤",I4))),"○",""))</f>
        <v/>
      </c>
      <c r="M4" s="31"/>
      <c r="N4" s="27"/>
      <c r="O4" s="28"/>
      <c r="P4" s="29" t="str">
        <f t="shared" ref="P4:P34" si="4">IF(N4="","",IF(ISNUMBER(SEARCH("夜勤",N4)),"",IF(A4="","","○")))</f>
        <v/>
      </c>
      <c r="Q4" s="30" t="str">
        <f t="shared" ref="Q4:Q34" si="5">IF(A4="","",IF(OR(AND(O4&lt;&gt;"",NOT(OR(O4="有給",O4="休業"))),ISNUMBER(SEARCH("夜勤",N4))),"○",""))</f>
        <v/>
      </c>
      <c r="R4" s="31"/>
      <c r="S4" s="27"/>
      <c r="T4" s="28"/>
      <c r="U4" s="29" t="str">
        <f t="shared" ref="U4:U34" si="6">IF(S4="","",IF(ISNUMBER(SEARCH("夜勤",S4)),"",IF(A4="","","○")))</f>
        <v/>
      </c>
      <c r="V4" s="30" t="str">
        <f t="shared" ref="V4:V34" si="7">IF(A4="","",IF(OR(AND(T4&lt;&gt;"",NOT(OR(T4="有給",T4="休業"))),ISNUMBER(SEARCH("夜勤",S4))),"○",""))</f>
        <v/>
      </c>
      <c r="W4" s="31"/>
      <c r="X4" s="27"/>
      <c r="Y4" s="28"/>
      <c r="Z4" s="29" t="str">
        <f t="shared" ref="Z4:Z34" si="8">IF(X4="","",IF(ISNUMBER(SEARCH("夜勤",X4)),"",IF(A4="","","○")))</f>
        <v/>
      </c>
      <c r="AA4" s="30" t="str">
        <f t="shared" ref="AA4:AA34" si="9">IF(A4="","",IF(OR(AND(Y4&lt;&gt;"",NOT(OR(Y4="有給",Y4="休業"))),ISNUMBER(SEARCH("夜勤",X4))),"○",""))</f>
        <v/>
      </c>
      <c r="AB4" s="31"/>
      <c r="AC4" s="27"/>
      <c r="AD4" s="28"/>
      <c r="AE4" s="29" t="str">
        <f t="shared" ref="AE4:AE34" si="10">IF(AC4="","",IF(ISNUMBER(SEARCH("夜勤",AC4)),"",IF(A4="","","○")))</f>
        <v/>
      </c>
      <c r="AF4" s="30" t="str">
        <f t="shared" ref="AF4:AF34" si="11">IF(A4="","",IF(OR(AND(AD4&lt;&gt;"",NOT(OR(AD4="有給",AD4="休業"))),ISNUMBER(SEARCH("夜勤",AC4))),"○",""))</f>
        <v/>
      </c>
      <c r="AG4" s="31"/>
      <c r="AH4" s="27"/>
      <c r="AI4" s="28"/>
      <c r="AJ4" s="29" t="str">
        <f t="shared" ref="AJ4:AJ34" si="12">IF(AH4="","",IF(ISNUMBER(SEARCH("夜勤",AH4)),"",IF(A4="","","○")))</f>
        <v/>
      </c>
      <c r="AK4" s="30" t="str">
        <f t="shared" ref="AK4:AK34" si="13">IF(A4="","",IF(OR(AND(AI4&lt;&gt;"",NOT(OR(AI4="有給",AI4="休業"))),ISNUMBER(SEARCH("夜勤",AH4))),"○",""))</f>
        <v/>
      </c>
      <c r="AL4" s="31"/>
      <c r="AM4" s="27"/>
      <c r="AN4" s="28"/>
      <c r="AO4" s="29" t="str">
        <f t="shared" ref="AO4:AO34" si="14">IF(AM4="","",IF(ISNUMBER(SEARCH("夜勤",AM4)),"",IF(A4="","","○")))</f>
        <v/>
      </c>
      <c r="AP4" s="30" t="str">
        <f t="shared" ref="AP4:AP34" si="15">IF(A4="","",IF(OR(AND(AN4&lt;&gt;"",NOT(OR(AN4="有給",AN4="休業"))),ISNUMBER(SEARCH("夜勤",AM4))),"○",""))</f>
        <v/>
      </c>
      <c r="AQ4" s="31"/>
      <c r="AR4" s="27"/>
      <c r="AS4" s="28"/>
      <c r="AT4" s="29" t="str">
        <f t="shared" ref="AT4:AT34" si="16">IF(AR4="","",IF(ISNUMBER(SEARCH("夜勤",AR4)),"",IF(A4="","","○")))</f>
        <v/>
      </c>
      <c r="AU4" s="30" t="str">
        <f t="shared" ref="AU4:AU34" si="17">IF(A4="","",IF(OR(AND(AS4&lt;&gt;"",NOT(OR(AS4="有給",AS4="休業"))),ISNUMBER(SEARCH("夜勤",AR4))),"○",""))</f>
        <v/>
      </c>
      <c r="AV4" s="31"/>
      <c r="AW4" s="27"/>
      <c r="AX4" s="28"/>
      <c r="AY4" s="29" t="str">
        <f t="shared" ref="AY4:AY34" si="18">IF(AW4="","",IF(ISNUMBER(SEARCH("夜勤",AW4)),"",IF(A4="","","○")))</f>
        <v/>
      </c>
      <c r="AZ4" s="30" t="str">
        <f t="shared" ref="AZ4:AZ34" si="19">IF(A4="","",IF(OR(AND(AX4&lt;&gt;"",NOT(OR(AX4="有給",AX4="休業"))),ISNUMBER(SEARCH("夜勤",AW4))),"○",""))</f>
        <v/>
      </c>
      <c r="BA4" s="31"/>
      <c r="BB4" s="27"/>
      <c r="BC4" s="28"/>
      <c r="BD4" s="29" t="str">
        <f t="shared" ref="BD4:BD34" si="20">IF(BB4="","",IF(ISNUMBER(SEARCH("夜勤",BB4)),"",IF(A4="","","○")))</f>
        <v/>
      </c>
      <c r="BE4" s="30" t="str">
        <f t="shared" ref="BE4:BE34" si="21">IF(A4="","",IF(OR(AND(BC4&lt;&gt;"",NOT(OR(BC4="有給",BC4="休業"))),ISNUMBER(SEARCH("夜勤",BB4))),"○",""))</f>
        <v/>
      </c>
      <c r="BF4" s="31"/>
      <c r="BG4" s="27"/>
      <c r="BH4" s="28"/>
      <c r="BI4" s="29" t="str">
        <f t="shared" ref="BI4:BI34" si="22">IF(BG4="","",IF(ISNUMBER(SEARCH("夜勤",BG4)),"",IF(A4="","","○")))</f>
        <v/>
      </c>
      <c r="BJ4" s="30" t="str">
        <f t="shared" ref="BJ4:BJ34" si="2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24">IF(BL4="","",IF(ISNUMBER(SEARCH("夜勤",BL4)),"",IF(A4="","","○")))</f>
        <v/>
      </c>
      <c r="BO4" s="30" t="str">
        <f t="shared" ref="BO4:BO34" si="2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26">IF(BQ4="","",IF(ISNUMBER(SEARCH("夜勤",BQ4)),"",IF(A4="","","○")))</f>
        <v/>
      </c>
      <c r="BT4" s="30" t="str">
        <f t="shared" ref="BT4:BT34" si="2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28">IF(BV4="","",IF(ISNUMBER(SEARCH("夜勤",BV4)),"",IF(A4="","","○")))</f>
        <v/>
      </c>
      <c r="BY4" s="30" t="str">
        <f t="shared" ref="BY4:BY34" si="2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30">IF(CA4="","",IF(ISNUMBER(SEARCH("夜勤",CA4)),"",IF(A4="","","○")))</f>
        <v/>
      </c>
      <c r="CD4" s="30" t="str">
        <f t="shared" ref="CD4:CD34" si="3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32">IF(CF4="","",IF(ISNUMBER(SEARCH("夜勤",CF4)),"",IF(A4="","","○")))</f>
        <v/>
      </c>
      <c r="CI4" s="30" t="str">
        <f t="shared" ref="CI4:CI34" si="3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34">IF(CK4="","",IF(ISNUMBER(SEARCH("夜勤",CK4)),"",IF(A4="","","○")))</f>
        <v/>
      </c>
      <c r="CN4" s="30" t="str">
        <f t="shared" ref="CN4:CN34" si="3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36">IF(CP4="","",IF(ISNUMBER(SEARCH("夜勤",CP4)),"",IF(A4="","","○")))</f>
        <v/>
      </c>
      <c r="CS4" s="30" t="str">
        <f t="shared" ref="CS4:CS34" si="3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38">IF(CU4="","",IF(ISNUMBER(SEARCH("夜勤",CU4)),"",IF(A4="","","○")))</f>
        <v/>
      </c>
      <c r="CX4" s="30" t="str">
        <f t="shared" ref="CX4:CX34" si="3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40">IF(CZ4="","",IF(ISNUMBER(SEARCH("夜勤",CZ4)),"",IF(A4="","","○")))</f>
        <v/>
      </c>
      <c r="DC4" s="30" t="str">
        <f t="shared" ref="DC4:DC34" si="4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42">IF(DE4="","",IF(ISNUMBER(SEARCH("夜勤",DE4)),"",IF(A4="","","○")))</f>
        <v/>
      </c>
      <c r="DH4" s="30" t="str">
        <f t="shared" ref="DH4:DH34" si="4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44">IF(DJ4="","",IF(ISNUMBER(SEARCH("夜勤",DJ4)),"",IF(A4="","","○")))</f>
        <v/>
      </c>
      <c r="DM4" s="30" t="str">
        <f t="shared" ref="DM4:DM34" si="4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46">IF(DO4="","",IF(ISNUMBER(SEARCH("夜勤",DO4)),"",IF(A4="","","○")))</f>
        <v/>
      </c>
      <c r="DR4" s="30" t="str">
        <f t="shared" ref="DR4:DR34" si="4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48">IF(DT4="","",IF(ISNUMBER(SEARCH("夜勤",DT4)),"",IF(A4="","","○")))</f>
        <v/>
      </c>
      <c r="DW4" s="30" t="str">
        <f t="shared" ref="DW4:DW34" si="4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50">IF(DY4="","",IF(ISNUMBER(SEARCH("夜勤",DY4)),"",IF(A4="","","○")))</f>
        <v/>
      </c>
      <c r="EB4" s="30" t="str">
        <f t="shared" ref="EB4:EB34" si="5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52">IF(ED4="","",IF(ISNUMBER(SEARCH("夜勤",ED4)),"",IF(A4="","","○")))</f>
        <v/>
      </c>
      <c r="EG4" s="30" t="str">
        <f t="shared" ref="EG4:EG34" si="5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54">IF(EI4="","",IF(ISNUMBER(SEARCH("夜勤",EI4)),"",IF(A4="","","○")))</f>
        <v/>
      </c>
      <c r="EL4" s="30" t="str">
        <f t="shared" ref="EL4:EL34" si="5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56">IF(EN4="","",IF(ISNUMBER(SEARCH("夜勤",EN4)),"",IF(A4="","","○")))</f>
        <v/>
      </c>
      <c r="EQ4" s="30" t="str">
        <f t="shared" ref="EQ4:EQ34" si="5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58">IF(ES4="","",IF(ISNUMBER(SEARCH("夜勤",ES4)),"",IF(A4="","","○")))</f>
        <v/>
      </c>
      <c r="EV4" s="30" t="str">
        <f t="shared" ref="EV4:EV34" si="5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IF(DAY(DATE(対象年度,9,2))&lt;&gt;2,"",2)</f>
        <v>2</v>
      </c>
      <c r="B5" s="32" t="str">
        <f>IF(DAY(DATE(対象年度,9,2))&lt;&gt;2,"",CHOOSE(WEEKDAY(DATE(対象年度,9,2),2),"月","火","水","木","金","土","日"))</f>
        <v>水</v>
      </c>
      <c r="C5" s="32" t="str">
        <f>IF(DAY(DATE(対象年度,9,2))&lt;&gt;2,"",IF(ISNUMBER(MATCH(DATE(対象年度,9,2),祝日リスト,0)),"祝",""))</f>
        <v/>
      </c>
      <c r="D5" s="33"/>
      <c r="E5" s="34"/>
      <c r="F5" s="35" t="str">
        <f t="shared" si="0"/>
        <v/>
      </c>
      <c r="G5" s="36" t="str">
        <f t="shared" si="1"/>
        <v/>
      </c>
      <c r="H5" s="37"/>
      <c r="I5" s="33"/>
      <c r="J5" s="34"/>
      <c r="K5" s="35" t="str">
        <f t="shared" si="2"/>
        <v/>
      </c>
      <c r="L5" s="36" t="str">
        <f t="shared" si="3"/>
        <v/>
      </c>
      <c r="M5" s="37"/>
      <c r="N5" s="33"/>
      <c r="O5" s="34"/>
      <c r="P5" s="35" t="str">
        <f t="shared" si="4"/>
        <v/>
      </c>
      <c r="Q5" s="36" t="str">
        <f t="shared" si="5"/>
        <v/>
      </c>
      <c r="R5" s="37"/>
      <c r="S5" s="33"/>
      <c r="T5" s="34"/>
      <c r="U5" s="35" t="str">
        <f t="shared" si="6"/>
        <v/>
      </c>
      <c r="V5" s="36" t="str">
        <f t="shared" si="7"/>
        <v/>
      </c>
      <c r="W5" s="37"/>
      <c r="X5" s="33"/>
      <c r="Y5" s="34"/>
      <c r="Z5" s="35" t="str">
        <f t="shared" si="8"/>
        <v/>
      </c>
      <c r="AA5" s="36" t="str">
        <f t="shared" si="9"/>
        <v/>
      </c>
      <c r="AB5" s="37"/>
      <c r="AC5" s="33"/>
      <c r="AD5" s="34"/>
      <c r="AE5" s="35" t="str">
        <f t="shared" si="10"/>
        <v/>
      </c>
      <c r="AF5" s="36" t="str">
        <f t="shared" si="11"/>
        <v/>
      </c>
      <c r="AG5" s="37"/>
      <c r="AH5" s="33"/>
      <c r="AI5" s="34"/>
      <c r="AJ5" s="35" t="str">
        <f t="shared" si="12"/>
        <v/>
      </c>
      <c r="AK5" s="36" t="str">
        <f t="shared" si="13"/>
        <v/>
      </c>
      <c r="AL5" s="37"/>
      <c r="AM5" s="33"/>
      <c r="AN5" s="34"/>
      <c r="AO5" s="35" t="str">
        <f t="shared" si="14"/>
        <v/>
      </c>
      <c r="AP5" s="36" t="str">
        <f t="shared" si="15"/>
        <v/>
      </c>
      <c r="AQ5" s="37"/>
      <c r="AR5" s="33"/>
      <c r="AS5" s="34"/>
      <c r="AT5" s="35" t="str">
        <f t="shared" si="16"/>
        <v/>
      </c>
      <c r="AU5" s="36" t="str">
        <f t="shared" si="17"/>
        <v/>
      </c>
      <c r="AV5" s="37"/>
      <c r="AW5" s="33"/>
      <c r="AX5" s="34"/>
      <c r="AY5" s="35" t="str">
        <f t="shared" si="18"/>
        <v/>
      </c>
      <c r="AZ5" s="36" t="str">
        <f t="shared" si="19"/>
        <v/>
      </c>
      <c r="BA5" s="37"/>
      <c r="BB5" s="33"/>
      <c r="BC5" s="34"/>
      <c r="BD5" s="35" t="str">
        <f t="shared" si="20"/>
        <v/>
      </c>
      <c r="BE5" s="36" t="str">
        <f t="shared" si="21"/>
        <v/>
      </c>
      <c r="BF5" s="37"/>
      <c r="BG5" s="33"/>
      <c r="BH5" s="34"/>
      <c r="BI5" s="35" t="str">
        <f t="shared" si="22"/>
        <v/>
      </c>
      <c r="BJ5" s="36" t="str">
        <f t="shared" si="23"/>
        <v/>
      </c>
      <c r="BK5" s="37"/>
      <c r="BL5" s="33"/>
      <c r="BM5" s="34"/>
      <c r="BN5" s="35" t="str">
        <f t="shared" si="24"/>
        <v/>
      </c>
      <c r="BO5" s="36" t="str">
        <f t="shared" si="25"/>
        <v/>
      </c>
      <c r="BP5" s="37"/>
      <c r="BQ5" s="33"/>
      <c r="BR5" s="34"/>
      <c r="BS5" s="35" t="str">
        <f t="shared" si="26"/>
        <v/>
      </c>
      <c r="BT5" s="36" t="str">
        <f t="shared" si="27"/>
        <v/>
      </c>
      <c r="BU5" s="37"/>
      <c r="BV5" s="33"/>
      <c r="BW5" s="34"/>
      <c r="BX5" s="35" t="str">
        <f t="shared" si="28"/>
        <v/>
      </c>
      <c r="BY5" s="36" t="str">
        <f t="shared" si="29"/>
        <v/>
      </c>
      <c r="BZ5" s="37"/>
      <c r="CA5" s="33"/>
      <c r="CB5" s="34"/>
      <c r="CC5" s="35" t="str">
        <f t="shared" si="30"/>
        <v/>
      </c>
      <c r="CD5" s="36" t="str">
        <f t="shared" si="31"/>
        <v/>
      </c>
      <c r="CE5" s="37"/>
      <c r="CF5" s="33"/>
      <c r="CG5" s="34"/>
      <c r="CH5" s="35" t="str">
        <f t="shared" si="32"/>
        <v/>
      </c>
      <c r="CI5" s="36" t="str">
        <f t="shared" si="33"/>
        <v/>
      </c>
      <c r="CJ5" s="37"/>
      <c r="CK5" s="33"/>
      <c r="CL5" s="34"/>
      <c r="CM5" s="35" t="str">
        <f t="shared" si="34"/>
        <v/>
      </c>
      <c r="CN5" s="36" t="str">
        <f t="shared" si="35"/>
        <v/>
      </c>
      <c r="CO5" s="37"/>
      <c r="CP5" s="33"/>
      <c r="CQ5" s="34"/>
      <c r="CR5" s="35" t="str">
        <f t="shared" si="36"/>
        <v/>
      </c>
      <c r="CS5" s="36" t="str">
        <f t="shared" si="37"/>
        <v/>
      </c>
      <c r="CT5" s="37"/>
      <c r="CU5" s="33"/>
      <c r="CV5" s="34"/>
      <c r="CW5" s="35" t="str">
        <f t="shared" si="38"/>
        <v/>
      </c>
      <c r="CX5" s="36" t="str">
        <f t="shared" si="39"/>
        <v/>
      </c>
      <c r="CY5" s="37"/>
      <c r="CZ5" s="33"/>
      <c r="DA5" s="34"/>
      <c r="DB5" s="35" t="str">
        <f t="shared" si="40"/>
        <v/>
      </c>
      <c r="DC5" s="36" t="str">
        <f t="shared" si="41"/>
        <v/>
      </c>
      <c r="DD5" s="37"/>
      <c r="DE5" s="33"/>
      <c r="DF5" s="34"/>
      <c r="DG5" s="35" t="str">
        <f t="shared" si="42"/>
        <v/>
      </c>
      <c r="DH5" s="36" t="str">
        <f t="shared" si="43"/>
        <v/>
      </c>
      <c r="DI5" s="37"/>
      <c r="DJ5" s="33"/>
      <c r="DK5" s="34"/>
      <c r="DL5" s="35" t="str">
        <f t="shared" si="44"/>
        <v/>
      </c>
      <c r="DM5" s="36" t="str">
        <f t="shared" si="45"/>
        <v/>
      </c>
      <c r="DN5" s="37"/>
      <c r="DO5" s="33"/>
      <c r="DP5" s="34"/>
      <c r="DQ5" s="35" t="str">
        <f t="shared" si="46"/>
        <v/>
      </c>
      <c r="DR5" s="36" t="str">
        <f t="shared" si="47"/>
        <v/>
      </c>
      <c r="DS5" s="37"/>
      <c r="DT5" s="33"/>
      <c r="DU5" s="34"/>
      <c r="DV5" s="35" t="str">
        <f t="shared" si="48"/>
        <v/>
      </c>
      <c r="DW5" s="36" t="str">
        <f t="shared" si="49"/>
        <v/>
      </c>
      <c r="DX5" s="37"/>
      <c r="DY5" s="33"/>
      <c r="DZ5" s="34"/>
      <c r="EA5" s="35" t="str">
        <f t="shared" si="50"/>
        <v/>
      </c>
      <c r="EB5" s="36" t="str">
        <f t="shared" si="51"/>
        <v/>
      </c>
      <c r="EC5" s="37"/>
      <c r="ED5" s="33"/>
      <c r="EE5" s="34"/>
      <c r="EF5" s="35" t="str">
        <f t="shared" si="52"/>
        <v/>
      </c>
      <c r="EG5" s="36" t="str">
        <f t="shared" si="53"/>
        <v/>
      </c>
      <c r="EH5" s="37"/>
      <c r="EI5" s="33"/>
      <c r="EJ5" s="34"/>
      <c r="EK5" s="35" t="str">
        <f t="shared" si="54"/>
        <v/>
      </c>
      <c r="EL5" s="36" t="str">
        <f t="shared" si="55"/>
        <v/>
      </c>
      <c r="EM5" s="37"/>
      <c r="EN5" s="33"/>
      <c r="EO5" s="34"/>
      <c r="EP5" s="35" t="str">
        <f t="shared" si="56"/>
        <v/>
      </c>
      <c r="EQ5" s="36" t="str">
        <f t="shared" si="57"/>
        <v/>
      </c>
      <c r="ER5" s="37"/>
      <c r="ES5" s="33"/>
      <c r="ET5" s="34"/>
      <c r="EU5" s="35" t="str">
        <f t="shared" si="58"/>
        <v/>
      </c>
      <c r="EV5" s="36" t="str">
        <f t="shared" si="59"/>
        <v/>
      </c>
      <c r="EW5" s="37"/>
    </row>
    <row r="6" spans="1:153" ht="19.5" customHeight="1">
      <c r="A6" s="32">
        <f>IF(DAY(DATE(対象年度,9,3))&lt;&gt;3,"",3)</f>
        <v>3</v>
      </c>
      <c r="B6" s="32" t="str">
        <f>IF(DAY(DATE(対象年度,9,3))&lt;&gt;3,"",CHOOSE(WEEKDAY(DATE(対象年度,9,3),2),"月","火","水","木","金","土","日"))</f>
        <v>木</v>
      </c>
      <c r="C6" s="32" t="str">
        <f>IF(DAY(DATE(対象年度,9,3))&lt;&gt;3,"",IF(ISNUMBER(MATCH(DATE(対象年度,9,3),祝日リスト,0)),"祝",""))</f>
        <v/>
      </c>
      <c r="D6" s="33"/>
      <c r="E6" s="34"/>
      <c r="F6" s="35" t="str">
        <f t="shared" si="0"/>
        <v/>
      </c>
      <c r="G6" s="36" t="str">
        <f t="shared" si="1"/>
        <v/>
      </c>
      <c r="H6" s="37"/>
      <c r="I6" s="33"/>
      <c r="J6" s="34"/>
      <c r="K6" s="35" t="str">
        <f t="shared" si="2"/>
        <v/>
      </c>
      <c r="L6" s="36" t="str">
        <f t="shared" si="3"/>
        <v/>
      </c>
      <c r="M6" s="37"/>
      <c r="N6" s="33"/>
      <c r="O6" s="34"/>
      <c r="P6" s="35" t="str">
        <f t="shared" si="4"/>
        <v/>
      </c>
      <c r="Q6" s="36" t="str">
        <f t="shared" si="5"/>
        <v/>
      </c>
      <c r="R6" s="37"/>
      <c r="S6" s="33"/>
      <c r="T6" s="34"/>
      <c r="U6" s="35" t="str">
        <f t="shared" si="6"/>
        <v/>
      </c>
      <c r="V6" s="36" t="str">
        <f t="shared" si="7"/>
        <v/>
      </c>
      <c r="W6" s="37"/>
      <c r="X6" s="33"/>
      <c r="Y6" s="34"/>
      <c r="Z6" s="35" t="str">
        <f t="shared" si="8"/>
        <v/>
      </c>
      <c r="AA6" s="36" t="str">
        <f t="shared" si="9"/>
        <v/>
      </c>
      <c r="AB6" s="37"/>
      <c r="AC6" s="33"/>
      <c r="AD6" s="34"/>
      <c r="AE6" s="35" t="str">
        <f t="shared" si="10"/>
        <v/>
      </c>
      <c r="AF6" s="36" t="str">
        <f t="shared" si="11"/>
        <v/>
      </c>
      <c r="AG6" s="37"/>
      <c r="AH6" s="33"/>
      <c r="AI6" s="34"/>
      <c r="AJ6" s="35" t="str">
        <f t="shared" si="12"/>
        <v/>
      </c>
      <c r="AK6" s="36" t="str">
        <f t="shared" si="13"/>
        <v/>
      </c>
      <c r="AL6" s="37"/>
      <c r="AM6" s="33"/>
      <c r="AN6" s="34"/>
      <c r="AO6" s="35" t="str">
        <f t="shared" si="14"/>
        <v/>
      </c>
      <c r="AP6" s="36" t="str">
        <f t="shared" si="15"/>
        <v/>
      </c>
      <c r="AQ6" s="37"/>
      <c r="AR6" s="33"/>
      <c r="AS6" s="34"/>
      <c r="AT6" s="35" t="str">
        <f t="shared" si="16"/>
        <v/>
      </c>
      <c r="AU6" s="36" t="str">
        <f t="shared" si="17"/>
        <v/>
      </c>
      <c r="AV6" s="37"/>
      <c r="AW6" s="33"/>
      <c r="AX6" s="34"/>
      <c r="AY6" s="35" t="str">
        <f t="shared" si="18"/>
        <v/>
      </c>
      <c r="AZ6" s="36" t="str">
        <f t="shared" si="19"/>
        <v/>
      </c>
      <c r="BA6" s="37"/>
      <c r="BB6" s="33"/>
      <c r="BC6" s="34"/>
      <c r="BD6" s="35" t="str">
        <f t="shared" si="20"/>
        <v/>
      </c>
      <c r="BE6" s="36" t="str">
        <f t="shared" si="21"/>
        <v/>
      </c>
      <c r="BF6" s="37"/>
      <c r="BG6" s="33"/>
      <c r="BH6" s="34"/>
      <c r="BI6" s="35" t="str">
        <f t="shared" si="22"/>
        <v/>
      </c>
      <c r="BJ6" s="36" t="str">
        <f t="shared" si="23"/>
        <v/>
      </c>
      <c r="BK6" s="37"/>
      <c r="BL6" s="33"/>
      <c r="BM6" s="34"/>
      <c r="BN6" s="35" t="str">
        <f t="shared" si="24"/>
        <v/>
      </c>
      <c r="BO6" s="36" t="str">
        <f t="shared" si="25"/>
        <v/>
      </c>
      <c r="BP6" s="37"/>
      <c r="BQ6" s="33"/>
      <c r="BR6" s="34"/>
      <c r="BS6" s="35" t="str">
        <f t="shared" si="26"/>
        <v/>
      </c>
      <c r="BT6" s="36" t="str">
        <f t="shared" si="27"/>
        <v/>
      </c>
      <c r="BU6" s="37"/>
      <c r="BV6" s="33"/>
      <c r="BW6" s="34"/>
      <c r="BX6" s="35" t="str">
        <f t="shared" si="28"/>
        <v/>
      </c>
      <c r="BY6" s="36" t="str">
        <f t="shared" si="29"/>
        <v/>
      </c>
      <c r="BZ6" s="37"/>
      <c r="CA6" s="33"/>
      <c r="CB6" s="34"/>
      <c r="CC6" s="35" t="str">
        <f t="shared" si="30"/>
        <v/>
      </c>
      <c r="CD6" s="36" t="str">
        <f t="shared" si="31"/>
        <v/>
      </c>
      <c r="CE6" s="37"/>
      <c r="CF6" s="33"/>
      <c r="CG6" s="34"/>
      <c r="CH6" s="35" t="str">
        <f t="shared" si="32"/>
        <v/>
      </c>
      <c r="CI6" s="36" t="str">
        <f t="shared" si="33"/>
        <v/>
      </c>
      <c r="CJ6" s="37"/>
      <c r="CK6" s="33"/>
      <c r="CL6" s="34"/>
      <c r="CM6" s="35" t="str">
        <f t="shared" si="34"/>
        <v/>
      </c>
      <c r="CN6" s="36" t="str">
        <f t="shared" si="35"/>
        <v/>
      </c>
      <c r="CO6" s="37"/>
      <c r="CP6" s="33"/>
      <c r="CQ6" s="34"/>
      <c r="CR6" s="35" t="str">
        <f t="shared" si="36"/>
        <v/>
      </c>
      <c r="CS6" s="36" t="str">
        <f t="shared" si="37"/>
        <v/>
      </c>
      <c r="CT6" s="37"/>
      <c r="CU6" s="33"/>
      <c r="CV6" s="34"/>
      <c r="CW6" s="35" t="str">
        <f t="shared" si="38"/>
        <v/>
      </c>
      <c r="CX6" s="36" t="str">
        <f t="shared" si="39"/>
        <v/>
      </c>
      <c r="CY6" s="37"/>
      <c r="CZ6" s="33"/>
      <c r="DA6" s="34"/>
      <c r="DB6" s="35" t="str">
        <f t="shared" si="40"/>
        <v/>
      </c>
      <c r="DC6" s="36" t="str">
        <f t="shared" si="41"/>
        <v/>
      </c>
      <c r="DD6" s="37"/>
      <c r="DE6" s="33"/>
      <c r="DF6" s="34"/>
      <c r="DG6" s="35" t="str">
        <f t="shared" si="42"/>
        <v/>
      </c>
      <c r="DH6" s="36" t="str">
        <f t="shared" si="43"/>
        <v/>
      </c>
      <c r="DI6" s="37"/>
      <c r="DJ6" s="33"/>
      <c r="DK6" s="34"/>
      <c r="DL6" s="35" t="str">
        <f t="shared" si="44"/>
        <v/>
      </c>
      <c r="DM6" s="36" t="str">
        <f t="shared" si="45"/>
        <v/>
      </c>
      <c r="DN6" s="37"/>
      <c r="DO6" s="33"/>
      <c r="DP6" s="34"/>
      <c r="DQ6" s="35" t="str">
        <f t="shared" si="46"/>
        <v/>
      </c>
      <c r="DR6" s="36" t="str">
        <f t="shared" si="47"/>
        <v/>
      </c>
      <c r="DS6" s="37"/>
      <c r="DT6" s="33"/>
      <c r="DU6" s="34"/>
      <c r="DV6" s="35" t="str">
        <f t="shared" si="48"/>
        <v/>
      </c>
      <c r="DW6" s="36" t="str">
        <f t="shared" si="49"/>
        <v/>
      </c>
      <c r="DX6" s="37"/>
      <c r="DY6" s="33"/>
      <c r="DZ6" s="34"/>
      <c r="EA6" s="35" t="str">
        <f t="shared" si="50"/>
        <v/>
      </c>
      <c r="EB6" s="36" t="str">
        <f t="shared" si="51"/>
        <v/>
      </c>
      <c r="EC6" s="37"/>
      <c r="ED6" s="33"/>
      <c r="EE6" s="34"/>
      <c r="EF6" s="35" t="str">
        <f t="shared" si="52"/>
        <v/>
      </c>
      <c r="EG6" s="36" t="str">
        <f t="shared" si="53"/>
        <v/>
      </c>
      <c r="EH6" s="37"/>
      <c r="EI6" s="33"/>
      <c r="EJ6" s="34"/>
      <c r="EK6" s="35" t="str">
        <f t="shared" si="54"/>
        <v/>
      </c>
      <c r="EL6" s="36" t="str">
        <f t="shared" si="55"/>
        <v/>
      </c>
      <c r="EM6" s="37"/>
      <c r="EN6" s="33"/>
      <c r="EO6" s="34"/>
      <c r="EP6" s="35" t="str">
        <f t="shared" si="56"/>
        <v/>
      </c>
      <c r="EQ6" s="36" t="str">
        <f t="shared" si="57"/>
        <v/>
      </c>
      <c r="ER6" s="37"/>
      <c r="ES6" s="33"/>
      <c r="ET6" s="34"/>
      <c r="EU6" s="35" t="str">
        <f t="shared" si="58"/>
        <v/>
      </c>
      <c r="EV6" s="36" t="str">
        <f t="shared" si="59"/>
        <v/>
      </c>
      <c r="EW6" s="37"/>
    </row>
    <row r="7" spans="1:153" ht="19.5" customHeight="1">
      <c r="A7" s="32">
        <f>IF(DAY(DATE(対象年度,9,4))&lt;&gt;4,"",4)</f>
        <v>4</v>
      </c>
      <c r="B7" s="32" t="str">
        <f>IF(DAY(DATE(対象年度,9,4))&lt;&gt;4,"",CHOOSE(WEEKDAY(DATE(対象年度,9,4),2),"月","火","水","木","金","土","日"))</f>
        <v>金</v>
      </c>
      <c r="C7" s="32" t="str">
        <f>IF(DAY(DATE(対象年度,9,4))&lt;&gt;4,"",IF(ISNUMBER(MATCH(DATE(対象年度,9,4),祝日リスト,0)),"祝",""))</f>
        <v/>
      </c>
      <c r="D7" s="33"/>
      <c r="E7" s="34"/>
      <c r="F7" s="35" t="str">
        <f t="shared" si="0"/>
        <v/>
      </c>
      <c r="G7" s="36" t="str">
        <f t="shared" si="1"/>
        <v/>
      </c>
      <c r="H7" s="37"/>
      <c r="I7" s="33"/>
      <c r="J7" s="34"/>
      <c r="K7" s="35" t="str">
        <f t="shared" si="2"/>
        <v/>
      </c>
      <c r="L7" s="36" t="str">
        <f t="shared" si="3"/>
        <v/>
      </c>
      <c r="M7" s="37"/>
      <c r="N7" s="33"/>
      <c r="O7" s="34"/>
      <c r="P7" s="35" t="str">
        <f t="shared" si="4"/>
        <v/>
      </c>
      <c r="Q7" s="36" t="str">
        <f t="shared" si="5"/>
        <v/>
      </c>
      <c r="R7" s="37"/>
      <c r="S7" s="33"/>
      <c r="T7" s="34"/>
      <c r="U7" s="35" t="str">
        <f t="shared" si="6"/>
        <v/>
      </c>
      <c r="V7" s="36" t="str">
        <f t="shared" si="7"/>
        <v/>
      </c>
      <c r="W7" s="37"/>
      <c r="X7" s="33"/>
      <c r="Y7" s="34"/>
      <c r="Z7" s="35" t="str">
        <f t="shared" si="8"/>
        <v/>
      </c>
      <c r="AA7" s="36" t="str">
        <f t="shared" si="9"/>
        <v/>
      </c>
      <c r="AB7" s="37"/>
      <c r="AC7" s="33"/>
      <c r="AD7" s="34"/>
      <c r="AE7" s="35" t="str">
        <f t="shared" si="10"/>
        <v/>
      </c>
      <c r="AF7" s="36" t="str">
        <f t="shared" si="11"/>
        <v/>
      </c>
      <c r="AG7" s="37"/>
      <c r="AH7" s="33"/>
      <c r="AI7" s="34"/>
      <c r="AJ7" s="35" t="str">
        <f t="shared" si="12"/>
        <v/>
      </c>
      <c r="AK7" s="36" t="str">
        <f t="shared" si="13"/>
        <v/>
      </c>
      <c r="AL7" s="37"/>
      <c r="AM7" s="33"/>
      <c r="AN7" s="34"/>
      <c r="AO7" s="35" t="str">
        <f t="shared" si="14"/>
        <v/>
      </c>
      <c r="AP7" s="36" t="str">
        <f t="shared" si="15"/>
        <v/>
      </c>
      <c r="AQ7" s="37"/>
      <c r="AR7" s="33"/>
      <c r="AS7" s="34"/>
      <c r="AT7" s="35" t="str">
        <f t="shared" si="16"/>
        <v/>
      </c>
      <c r="AU7" s="36" t="str">
        <f t="shared" si="17"/>
        <v/>
      </c>
      <c r="AV7" s="37"/>
      <c r="AW7" s="33"/>
      <c r="AX7" s="34"/>
      <c r="AY7" s="35" t="str">
        <f t="shared" si="18"/>
        <v/>
      </c>
      <c r="AZ7" s="36" t="str">
        <f t="shared" si="19"/>
        <v/>
      </c>
      <c r="BA7" s="37"/>
      <c r="BB7" s="33"/>
      <c r="BC7" s="34"/>
      <c r="BD7" s="35" t="str">
        <f t="shared" si="20"/>
        <v/>
      </c>
      <c r="BE7" s="36" t="str">
        <f t="shared" si="21"/>
        <v/>
      </c>
      <c r="BF7" s="37"/>
      <c r="BG7" s="33"/>
      <c r="BH7" s="34"/>
      <c r="BI7" s="35" t="str">
        <f t="shared" si="22"/>
        <v/>
      </c>
      <c r="BJ7" s="36" t="str">
        <f t="shared" si="23"/>
        <v/>
      </c>
      <c r="BK7" s="37"/>
      <c r="BL7" s="33"/>
      <c r="BM7" s="34"/>
      <c r="BN7" s="35" t="str">
        <f t="shared" si="24"/>
        <v/>
      </c>
      <c r="BO7" s="36" t="str">
        <f t="shared" si="25"/>
        <v/>
      </c>
      <c r="BP7" s="37"/>
      <c r="BQ7" s="33"/>
      <c r="BR7" s="34"/>
      <c r="BS7" s="35" t="str">
        <f t="shared" si="26"/>
        <v/>
      </c>
      <c r="BT7" s="36" t="str">
        <f t="shared" si="27"/>
        <v/>
      </c>
      <c r="BU7" s="37"/>
      <c r="BV7" s="33"/>
      <c r="BW7" s="34"/>
      <c r="BX7" s="35" t="str">
        <f t="shared" si="28"/>
        <v/>
      </c>
      <c r="BY7" s="36" t="str">
        <f t="shared" si="29"/>
        <v/>
      </c>
      <c r="BZ7" s="37"/>
      <c r="CA7" s="33"/>
      <c r="CB7" s="34"/>
      <c r="CC7" s="35" t="str">
        <f t="shared" si="30"/>
        <v/>
      </c>
      <c r="CD7" s="36" t="str">
        <f t="shared" si="31"/>
        <v/>
      </c>
      <c r="CE7" s="37"/>
      <c r="CF7" s="33"/>
      <c r="CG7" s="34"/>
      <c r="CH7" s="35" t="str">
        <f t="shared" si="32"/>
        <v/>
      </c>
      <c r="CI7" s="36" t="str">
        <f t="shared" si="33"/>
        <v/>
      </c>
      <c r="CJ7" s="37"/>
      <c r="CK7" s="33"/>
      <c r="CL7" s="34"/>
      <c r="CM7" s="35" t="str">
        <f t="shared" si="34"/>
        <v/>
      </c>
      <c r="CN7" s="36" t="str">
        <f t="shared" si="35"/>
        <v/>
      </c>
      <c r="CO7" s="37"/>
      <c r="CP7" s="33"/>
      <c r="CQ7" s="34"/>
      <c r="CR7" s="35" t="str">
        <f t="shared" si="36"/>
        <v/>
      </c>
      <c r="CS7" s="36" t="str">
        <f t="shared" si="37"/>
        <v/>
      </c>
      <c r="CT7" s="37"/>
      <c r="CU7" s="33"/>
      <c r="CV7" s="34"/>
      <c r="CW7" s="35" t="str">
        <f t="shared" si="38"/>
        <v/>
      </c>
      <c r="CX7" s="36" t="str">
        <f t="shared" si="39"/>
        <v/>
      </c>
      <c r="CY7" s="37"/>
      <c r="CZ7" s="33"/>
      <c r="DA7" s="34"/>
      <c r="DB7" s="35" t="str">
        <f t="shared" si="40"/>
        <v/>
      </c>
      <c r="DC7" s="36" t="str">
        <f t="shared" si="41"/>
        <v/>
      </c>
      <c r="DD7" s="37"/>
      <c r="DE7" s="33"/>
      <c r="DF7" s="34"/>
      <c r="DG7" s="35" t="str">
        <f t="shared" si="42"/>
        <v/>
      </c>
      <c r="DH7" s="36" t="str">
        <f t="shared" si="43"/>
        <v/>
      </c>
      <c r="DI7" s="37"/>
      <c r="DJ7" s="33"/>
      <c r="DK7" s="34"/>
      <c r="DL7" s="35" t="str">
        <f t="shared" si="44"/>
        <v/>
      </c>
      <c r="DM7" s="36" t="str">
        <f t="shared" si="45"/>
        <v/>
      </c>
      <c r="DN7" s="37"/>
      <c r="DO7" s="33"/>
      <c r="DP7" s="34"/>
      <c r="DQ7" s="35" t="str">
        <f t="shared" si="46"/>
        <v/>
      </c>
      <c r="DR7" s="36" t="str">
        <f t="shared" si="47"/>
        <v/>
      </c>
      <c r="DS7" s="37"/>
      <c r="DT7" s="33"/>
      <c r="DU7" s="34"/>
      <c r="DV7" s="35" t="str">
        <f t="shared" si="48"/>
        <v/>
      </c>
      <c r="DW7" s="36" t="str">
        <f t="shared" si="49"/>
        <v/>
      </c>
      <c r="DX7" s="37"/>
      <c r="DY7" s="33"/>
      <c r="DZ7" s="34"/>
      <c r="EA7" s="35" t="str">
        <f t="shared" si="50"/>
        <v/>
      </c>
      <c r="EB7" s="36" t="str">
        <f t="shared" si="51"/>
        <v/>
      </c>
      <c r="EC7" s="37"/>
      <c r="ED7" s="33"/>
      <c r="EE7" s="34"/>
      <c r="EF7" s="35" t="str">
        <f t="shared" si="52"/>
        <v/>
      </c>
      <c r="EG7" s="36" t="str">
        <f t="shared" si="53"/>
        <v/>
      </c>
      <c r="EH7" s="37"/>
      <c r="EI7" s="33"/>
      <c r="EJ7" s="34"/>
      <c r="EK7" s="35" t="str">
        <f t="shared" si="54"/>
        <v/>
      </c>
      <c r="EL7" s="36" t="str">
        <f t="shared" si="55"/>
        <v/>
      </c>
      <c r="EM7" s="37"/>
      <c r="EN7" s="33"/>
      <c r="EO7" s="34"/>
      <c r="EP7" s="35" t="str">
        <f t="shared" si="56"/>
        <v/>
      </c>
      <c r="EQ7" s="36" t="str">
        <f t="shared" si="57"/>
        <v/>
      </c>
      <c r="ER7" s="37"/>
      <c r="ES7" s="33"/>
      <c r="ET7" s="34"/>
      <c r="EU7" s="35" t="str">
        <f t="shared" si="58"/>
        <v/>
      </c>
      <c r="EV7" s="36" t="str">
        <f t="shared" si="59"/>
        <v/>
      </c>
      <c r="EW7" s="37"/>
    </row>
    <row r="8" spans="1:153" ht="19.5" customHeight="1">
      <c r="A8" s="32">
        <f>IF(DAY(DATE(対象年度,9,5))&lt;&gt;5,"",5)</f>
        <v>5</v>
      </c>
      <c r="B8" s="32" t="str">
        <f>IF(DAY(DATE(対象年度,9,5))&lt;&gt;5,"",CHOOSE(WEEKDAY(DATE(対象年度,9,5),2),"月","火","水","木","金","土","日"))</f>
        <v>土</v>
      </c>
      <c r="C8" s="32" t="str">
        <f>IF(DAY(DATE(対象年度,9,5))&lt;&gt;5,"",IF(ISNUMBER(MATCH(DATE(対象年度,9,5),祝日リスト,0)),"祝",""))</f>
        <v/>
      </c>
      <c r="D8" s="33"/>
      <c r="E8" s="34"/>
      <c r="F8" s="35" t="str">
        <f t="shared" si="0"/>
        <v/>
      </c>
      <c r="G8" s="36" t="str">
        <f t="shared" si="1"/>
        <v/>
      </c>
      <c r="H8" s="37"/>
      <c r="I8" s="33"/>
      <c r="J8" s="34"/>
      <c r="K8" s="35" t="str">
        <f t="shared" si="2"/>
        <v/>
      </c>
      <c r="L8" s="36" t="str">
        <f t="shared" si="3"/>
        <v/>
      </c>
      <c r="M8" s="37"/>
      <c r="N8" s="33"/>
      <c r="O8" s="34"/>
      <c r="P8" s="35" t="str">
        <f t="shared" si="4"/>
        <v/>
      </c>
      <c r="Q8" s="36" t="str">
        <f t="shared" si="5"/>
        <v/>
      </c>
      <c r="R8" s="37"/>
      <c r="S8" s="33"/>
      <c r="T8" s="34"/>
      <c r="U8" s="35" t="str">
        <f t="shared" si="6"/>
        <v/>
      </c>
      <c r="V8" s="36" t="str">
        <f t="shared" si="7"/>
        <v/>
      </c>
      <c r="W8" s="37"/>
      <c r="X8" s="33"/>
      <c r="Y8" s="34"/>
      <c r="Z8" s="35" t="str">
        <f t="shared" si="8"/>
        <v/>
      </c>
      <c r="AA8" s="36" t="str">
        <f t="shared" si="9"/>
        <v/>
      </c>
      <c r="AB8" s="37"/>
      <c r="AC8" s="33"/>
      <c r="AD8" s="34"/>
      <c r="AE8" s="35" t="str">
        <f t="shared" si="10"/>
        <v/>
      </c>
      <c r="AF8" s="36" t="str">
        <f t="shared" si="11"/>
        <v/>
      </c>
      <c r="AG8" s="37"/>
      <c r="AH8" s="33"/>
      <c r="AI8" s="34"/>
      <c r="AJ8" s="35" t="str">
        <f t="shared" si="12"/>
        <v/>
      </c>
      <c r="AK8" s="36" t="str">
        <f t="shared" si="13"/>
        <v/>
      </c>
      <c r="AL8" s="37"/>
      <c r="AM8" s="33"/>
      <c r="AN8" s="34"/>
      <c r="AO8" s="35" t="str">
        <f t="shared" si="14"/>
        <v/>
      </c>
      <c r="AP8" s="36" t="str">
        <f t="shared" si="15"/>
        <v/>
      </c>
      <c r="AQ8" s="37"/>
      <c r="AR8" s="33"/>
      <c r="AS8" s="34"/>
      <c r="AT8" s="35" t="str">
        <f t="shared" si="16"/>
        <v/>
      </c>
      <c r="AU8" s="36" t="str">
        <f t="shared" si="17"/>
        <v/>
      </c>
      <c r="AV8" s="37"/>
      <c r="AW8" s="33"/>
      <c r="AX8" s="34"/>
      <c r="AY8" s="35" t="str">
        <f t="shared" si="18"/>
        <v/>
      </c>
      <c r="AZ8" s="36" t="str">
        <f t="shared" si="19"/>
        <v/>
      </c>
      <c r="BA8" s="37"/>
      <c r="BB8" s="33"/>
      <c r="BC8" s="34"/>
      <c r="BD8" s="35" t="str">
        <f t="shared" si="20"/>
        <v/>
      </c>
      <c r="BE8" s="36" t="str">
        <f t="shared" si="21"/>
        <v/>
      </c>
      <c r="BF8" s="37"/>
      <c r="BG8" s="33"/>
      <c r="BH8" s="34"/>
      <c r="BI8" s="35" t="str">
        <f t="shared" si="22"/>
        <v/>
      </c>
      <c r="BJ8" s="36" t="str">
        <f t="shared" si="23"/>
        <v/>
      </c>
      <c r="BK8" s="37"/>
      <c r="BL8" s="33"/>
      <c r="BM8" s="34"/>
      <c r="BN8" s="35" t="str">
        <f t="shared" si="24"/>
        <v/>
      </c>
      <c r="BO8" s="36" t="str">
        <f t="shared" si="25"/>
        <v/>
      </c>
      <c r="BP8" s="37"/>
      <c r="BQ8" s="33"/>
      <c r="BR8" s="34"/>
      <c r="BS8" s="35" t="str">
        <f t="shared" si="26"/>
        <v/>
      </c>
      <c r="BT8" s="36" t="str">
        <f t="shared" si="27"/>
        <v/>
      </c>
      <c r="BU8" s="37"/>
      <c r="BV8" s="33"/>
      <c r="BW8" s="34"/>
      <c r="BX8" s="35" t="str">
        <f t="shared" si="28"/>
        <v/>
      </c>
      <c r="BY8" s="36" t="str">
        <f t="shared" si="29"/>
        <v/>
      </c>
      <c r="BZ8" s="37"/>
      <c r="CA8" s="33"/>
      <c r="CB8" s="34"/>
      <c r="CC8" s="35" t="str">
        <f t="shared" si="30"/>
        <v/>
      </c>
      <c r="CD8" s="36" t="str">
        <f t="shared" si="31"/>
        <v/>
      </c>
      <c r="CE8" s="37"/>
      <c r="CF8" s="33"/>
      <c r="CG8" s="34"/>
      <c r="CH8" s="35" t="str">
        <f t="shared" si="32"/>
        <v/>
      </c>
      <c r="CI8" s="36" t="str">
        <f t="shared" si="33"/>
        <v/>
      </c>
      <c r="CJ8" s="37"/>
      <c r="CK8" s="33"/>
      <c r="CL8" s="34"/>
      <c r="CM8" s="35" t="str">
        <f t="shared" si="34"/>
        <v/>
      </c>
      <c r="CN8" s="36" t="str">
        <f t="shared" si="35"/>
        <v/>
      </c>
      <c r="CO8" s="37"/>
      <c r="CP8" s="33"/>
      <c r="CQ8" s="34"/>
      <c r="CR8" s="35" t="str">
        <f t="shared" si="36"/>
        <v/>
      </c>
      <c r="CS8" s="36" t="str">
        <f t="shared" si="37"/>
        <v/>
      </c>
      <c r="CT8" s="37"/>
      <c r="CU8" s="33"/>
      <c r="CV8" s="34"/>
      <c r="CW8" s="35" t="str">
        <f t="shared" si="38"/>
        <v/>
      </c>
      <c r="CX8" s="36" t="str">
        <f t="shared" si="39"/>
        <v/>
      </c>
      <c r="CY8" s="37"/>
      <c r="CZ8" s="33"/>
      <c r="DA8" s="34"/>
      <c r="DB8" s="35" t="str">
        <f t="shared" si="40"/>
        <v/>
      </c>
      <c r="DC8" s="36" t="str">
        <f t="shared" si="41"/>
        <v/>
      </c>
      <c r="DD8" s="37"/>
      <c r="DE8" s="33"/>
      <c r="DF8" s="34"/>
      <c r="DG8" s="35" t="str">
        <f t="shared" si="42"/>
        <v/>
      </c>
      <c r="DH8" s="36" t="str">
        <f t="shared" si="43"/>
        <v/>
      </c>
      <c r="DI8" s="37"/>
      <c r="DJ8" s="33"/>
      <c r="DK8" s="34"/>
      <c r="DL8" s="35" t="str">
        <f t="shared" si="44"/>
        <v/>
      </c>
      <c r="DM8" s="36" t="str">
        <f t="shared" si="45"/>
        <v/>
      </c>
      <c r="DN8" s="37"/>
      <c r="DO8" s="33"/>
      <c r="DP8" s="34"/>
      <c r="DQ8" s="35" t="str">
        <f t="shared" si="46"/>
        <v/>
      </c>
      <c r="DR8" s="36" t="str">
        <f t="shared" si="47"/>
        <v/>
      </c>
      <c r="DS8" s="37"/>
      <c r="DT8" s="33"/>
      <c r="DU8" s="34"/>
      <c r="DV8" s="35" t="str">
        <f t="shared" si="48"/>
        <v/>
      </c>
      <c r="DW8" s="36" t="str">
        <f t="shared" si="49"/>
        <v/>
      </c>
      <c r="DX8" s="37"/>
      <c r="DY8" s="33"/>
      <c r="DZ8" s="34"/>
      <c r="EA8" s="35" t="str">
        <f t="shared" si="50"/>
        <v/>
      </c>
      <c r="EB8" s="36" t="str">
        <f t="shared" si="51"/>
        <v/>
      </c>
      <c r="EC8" s="37"/>
      <c r="ED8" s="33"/>
      <c r="EE8" s="34"/>
      <c r="EF8" s="35" t="str">
        <f t="shared" si="52"/>
        <v/>
      </c>
      <c r="EG8" s="36" t="str">
        <f t="shared" si="53"/>
        <v/>
      </c>
      <c r="EH8" s="37"/>
      <c r="EI8" s="33"/>
      <c r="EJ8" s="34"/>
      <c r="EK8" s="35" t="str">
        <f t="shared" si="54"/>
        <v/>
      </c>
      <c r="EL8" s="36" t="str">
        <f t="shared" si="55"/>
        <v/>
      </c>
      <c r="EM8" s="37"/>
      <c r="EN8" s="33"/>
      <c r="EO8" s="34"/>
      <c r="EP8" s="35" t="str">
        <f t="shared" si="56"/>
        <v/>
      </c>
      <c r="EQ8" s="36" t="str">
        <f t="shared" si="57"/>
        <v/>
      </c>
      <c r="ER8" s="37"/>
      <c r="ES8" s="33"/>
      <c r="ET8" s="34"/>
      <c r="EU8" s="35" t="str">
        <f t="shared" si="58"/>
        <v/>
      </c>
      <c r="EV8" s="36" t="str">
        <f t="shared" si="59"/>
        <v/>
      </c>
      <c r="EW8" s="37"/>
    </row>
    <row r="9" spans="1:153" ht="19.5" customHeight="1">
      <c r="A9" s="32">
        <f>IF(DAY(DATE(対象年度,9,6))&lt;&gt;6,"",6)</f>
        <v>6</v>
      </c>
      <c r="B9" s="32" t="str">
        <f>IF(DAY(DATE(対象年度,9,6))&lt;&gt;6,"",CHOOSE(WEEKDAY(DATE(対象年度,9,6),2),"月","火","水","木","金","土","日"))</f>
        <v>日</v>
      </c>
      <c r="C9" s="32" t="str">
        <f>IF(DAY(DATE(対象年度,9,6))&lt;&gt;6,"",IF(ISNUMBER(MATCH(DATE(対象年度,9,6),祝日リスト,0)),"祝",""))</f>
        <v/>
      </c>
      <c r="D9" s="33"/>
      <c r="E9" s="34"/>
      <c r="F9" s="35" t="str">
        <f t="shared" si="0"/>
        <v/>
      </c>
      <c r="G9" s="36" t="str">
        <f t="shared" si="1"/>
        <v/>
      </c>
      <c r="H9" s="37"/>
      <c r="I9" s="33"/>
      <c r="J9" s="34"/>
      <c r="K9" s="35" t="str">
        <f t="shared" si="2"/>
        <v/>
      </c>
      <c r="L9" s="36" t="str">
        <f t="shared" si="3"/>
        <v/>
      </c>
      <c r="M9" s="37"/>
      <c r="N9" s="33"/>
      <c r="O9" s="34"/>
      <c r="P9" s="35" t="str">
        <f t="shared" si="4"/>
        <v/>
      </c>
      <c r="Q9" s="36" t="str">
        <f t="shared" si="5"/>
        <v/>
      </c>
      <c r="R9" s="37"/>
      <c r="S9" s="33"/>
      <c r="T9" s="34"/>
      <c r="U9" s="35" t="str">
        <f t="shared" si="6"/>
        <v/>
      </c>
      <c r="V9" s="36" t="str">
        <f t="shared" si="7"/>
        <v/>
      </c>
      <c r="W9" s="37"/>
      <c r="X9" s="33"/>
      <c r="Y9" s="34"/>
      <c r="Z9" s="35" t="str">
        <f t="shared" si="8"/>
        <v/>
      </c>
      <c r="AA9" s="36" t="str">
        <f t="shared" si="9"/>
        <v/>
      </c>
      <c r="AB9" s="37"/>
      <c r="AC9" s="33"/>
      <c r="AD9" s="34"/>
      <c r="AE9" s="35" t="str">
        <f t="shared" si="10"/>
        <v/>
      </c>
      <c r="AF9" s="36" t="str">
        <f t="shared" si="11"/>
        <v/>
      </c>
      <c r="AG9" s="37"/>
      <c r="AH9" s="33"/>
      <c r="AI9" s="34"/>
      <c r="AJ9" s="35" t="str">
        <f t="shared" si="12"/>
        <v/>
      </c>
      <c r="AK9" s="36" t="str">
        <f t="shared" si="13"/>
        <v/>
      </c>
      <c r="AL9" s="37"/>
      <c r="AM9" s="33"/>
      <c r="AN9" s="34"/>
      <c r="AO9" s="35" t="str">
        <f t="shared" si="14"/>
        <v/>
      </c>
      <c r="AP9" s="36" t="str">
        <f t="shared" si="15"/>
        <v/>
      </c>
      <c r="AQ9" s="37"/>
      <c r="AR9" s="33"/>
      <c r="AS9" s="34"/>
      <c r="AT9" s="35" t="str">
        <f t="shared" si="16"/>
        <v/>
      </c>
      <c r="AU9" s="36" t="str">
        <f t="shared" si="17"/>
        <v/>
      </c>
      <c r="AV9" s="37"/>
      <c r="AW9" s="33"/>
      <c r="AX9" s="34"/>
      <c r="AY9" s="35" t="str">
        <f t="shared" si="18"/>
        <v/>
      </c>
      <c r="AZ9" s="36" t="str">
        <f t="shared" si="19"/>
        <v/>
      </c>
      <c r="BA9" s="37"/>
      <c r="BB9" s="33"/>
      <c r="BC9" s="34"/>
      <c r="BD9" s="35" t="str">
        <f t="shared" si="20"/>
        <v/>
      </c>
      <c r="BE9" s="36" t="str">
        <f t="shared" si="21"/>
        <v/>
      </c>
      <c r="BF9" s="37"/>
      <c r="BG9" s="33"/>
      <c r="BH9" s="34"/>
      <c r="BI9" s="35" t="str">
        <f t="shared" si="22"/>
        <v/>
      </c>
      <c r="BJ9" s="36" t="str">
        <f t="shared" si="23"/>
        <v/>
      </c>
      <c r="BK9" s="37"/>
      <c r="BL9" s="33"/>
      <c r="BM9" s="34"/>
      <c r="BN9" s="35" t="str">
        <f t="shared" si="24"/>
        <v/>
      </c>
      <c r="BO9" s="36" t="str">
        <f t="shared" si="25"/>
        <v/>
      </c>
      <c r="BP9" s="37"/>
      <c r="BQ9" s="33"/>
      <c r="BR9" s="34"/>
      <c r="BS9" s="35" t="str">
        <f t="shared" si="26"/>
        <v/>
      </c>
      <c r="BT9" s="36" t="str">
        <f t="shared" si="27"/>
        <v/>
      </c>
      <c r="BU9" s="37"/>
      <c r="BV9" s="33"/>
      <c r="BW9" s="34"/>
      <c r="BX9" s="35" t="str">
        <f t="shared" si="28"/>
        <v/>
      </c>
      <c r="BY9" s="36" t="str">
        <f t="shared" si="29"/>
        <v/>
      </c>
      <c r="BZ9" s="37"/>
      <c r="CA9" s="33"/>
      <c r="CB9" s="34"/>
      <c r="CC9" s="35" t="str">
        <f t="shared" si="30"/>
        <v/>
      </c>
      <c r="CD9" s="36" t="str">
        <f t="shared" si="31"/>
        <v/>
      </c>
      <c r="CE9" s="37"/>
      <c r="CF9" s="33"/>
      <c r="CG9" s="34"/>
      <c r="CH9" s="35" t="str">
        <f t="shared" si="32"/>
        <v/>
      </c>
      <c r="CI9" s="36" t="str">
        <f t="shared" si="33"/>
        <v/>
      </c>
      <c r="CJ9" s="37"/>
      <c r="CK9" s="33"/>
      <c r="CL9" s="34"/>
      <c r="CM9" s="35" t="str">
        <f t="shared" si="34"/>
        <v/>
      </c>
      <c r="CN9" s="36" t="str">
        <f t="shared" si="35"/>
        <v/>
      </c>
      <c r="CO9" s="37"/>
      <c r="CP9" s="33"/>
      <c r="CQ9" s="34"/>
      <c r="CR9" s="35" t="str">
        <f t="shared" si="36"/>
        <v/>
      </c>
      <c r="CS9" s="36" t="str">
        <f t="shared" si="37"/>
        <v/>
      </c>
      <c r="CT9" s="37"/>
      <c r="CU9" s="33"/>
      <c r="CV9" s="34"/>
      <c r="CW9" s="35" t="str">
        <f t="shared" si="38"/>
        <v/>
      </c>
      <c r="CX9" s="36" t="str">
        <f t="shared" si="39"/>
        <v/>
      </c>
      <c r="CY9" s="37"/>
      <c r="CZ9" s="33"/>
      <c r="DA9" s="34"/>
      <c r="DB9" s="35" t="str">
        <f t="shared" si="40"/>
        <v/>
      </c>
      <c r="DC9" s="36" t="str">
        <f t="shared" si="41"/>
        <v/>
      </c>
      <c r="DD9" s="37"/>
      <c r="DE9" s="33"/>
      <c r="DF9" s="34"/>
      <c r="DG9" s="35" t="str">
        <f t="shared" si="42"/>
        <v/>
      </c>
      <c r="DH9" s="36" t="str">
        <f t="shared" si="43"/>
        <v/>
      </c>
      <c r="DI9" s="37"/>
      <c r="DJ9" s="33"/>
      <c r="DK9" s="34"/>
      <c r="DL9" s="35" t="str">
        <f t="shared" si="44"/>
        <v/>
      </c>
      <c r="DM9" s="36" t="str">
        <f t="shared" si="45"/>
        <v/>
      </c>
      <c r="DN9" s="37"/>
      <c r="DO9" s="33"/>
      <c r="DP9" s="34"/>
      <c r="DQ9" s="35" t="str">
        <f t="shared" si="46"/>
        <v/>
      </c>
      <c r="DR9" s="36" t="str">
        <f t="shared" si="47"/>
        <v/>
      </c>
      <c r="DS9" s="37"/>
      <c r="DT9" s="33"/>
      <c r="DU9" s="34"/>
      <c r="DV9" s="35" t="str">
        <f t="shared" si="48"/>
        <v/>
      </c>
      <c r="DW9" s="36" t="str">
        <f t="shared" si="49"/>
        <v/>
      </c>
      <c r="DX9" s="37"/>
      <c r="DY9" s="33"/>
      <c r="DZ9" s="34"/>
      <c r="EA9" s="35" t="str">
        <f t="shared" si="50"/>
        <v/>
      </c>
      <c r="EB9" s="36" t="str">
        <f t="shared" si="51"/>
        <v/>
      </c>
      <c r="EC9" s="37"/>
      <c r="ED9" s="33"/>
      <c r="EE9" s="34"/>
      <c r="EF9" s="35" t="str">
        <f t="shared" si="52"/>
        <v/>
      </c>
      <c r="EG9" s="36" t="str">
        <f t="shared" si="53"/>
        <v/>
      </c>
      <c r="EH9" s="37"/>
      <c r="EI9" s="33"/>
      <c r="EJ9" s="34"/>
      <c r="EK9" s="35" t="str">
        <f t="shared" si="54"/>
        <v/>
      </c>
      <c r="EL9" s="36" t="str">
        <f t="shared" si="55"/>
        <v/>
      </c>
      <c r="EM9" s="37"/>
      <c r="EN9" s="33"/>
      <c r="EO9" s="34"/>
      <c r="EP9" s="35" t="str">
        <f t="shared" si="56"/>
        <v/>
      </c>
      <c r="EQ9" s="36" t="str">
        <f t="shared" si="57"/>
        <v/>
      </c>
      <c r="ER9" s="37"/>
      <c r="ES9" s="33"/>
      <c r="ET9" s="34"/>
      <c r="EU9" s="35" t="str">
        <f t="shared" si="58"/>
        <v/>
      </c>
      <c r="EV9" s="36" t="str">
        <f t="shared" si="59"/>
        <v/>
      </c>
      <c r="EW9" s="37"/>
    </row>
    <row r="10" spans="1:153" ht="19.5" customHeight="1">
      <c r="A10" s="32">
        <f>IF(DAY(DATE(対象年度,9,7))&lt;&gt;7,"",7)</f>
        <v>7</v>
      </c>
      <c r="B10" s="32" t="str">
        <f>IF(DAY(DATE(対象年度,9,7))&lt;&gt;7,"",CHOOSE(WEEKDAY(DATE(対象年度,9,7),2),"月","火","水","木","金","土","日"))</f>
        <v>月</v>
      </c>
      <c r="C10" s="32" t="str">
        <f>IF(DAY(DATE(対象年度,9,7))&lt;&gt;7,"",IF(ISNUMBER(MATCH(DATE(対象年度,9,7),祝日リスト,0)),"祝",""))</f>
        <v/>
      </c>
      <c r="D10" s="33"/>
      <c r="E10" s="34"/>
      <c r="F10" s="35" t="str">
        <f t="shared" si="0"/>
        <v/>
      </c>
      <c r="G10" s="36" t="str">
        <f t="shared" si="1"/>
        <v/>
      </c>
      <c r="H10" s="37"/>
      <c r="I10" s="33"/>
      <c r="J10" s="34"/>
      <c r="K10" s="35" t="str">
        <f t="shared" si="2"/>
        <v/>
      </c>
      <c r="L10" s="36" t="str">
        <f t="shared" si="3"/>
        <v/>
      </c>
      <c r="M10" s="37"/>
      <c r="N10" s="33"/>
      <c r="O10" s="34"/>
      <c r="P10" s="35" t="str">
        <f t="shared" si="4"/>
        <v/>
      </c>
      <c r="Q10" s="36" t="str">
        <f t="shared" si="5"/>
        <v/>
      </c>
      <c r="R10" s="37"/>
      <c r="S10" s="33"/>
      <c r="T10" s="34"/>
      <c r="U10" s="35" t="str">
        <f t="shared" si="6"/>
        <v/>
      </c>
      <c r="V10" s="36" t="str">
        <f t="shared" si="7"/>
        <v/>
      </c>
      <c r="W10" s="37"/>
      <c r="X10" s="33"/>
      <c r="Y10" s="34"/>
      <c r="Z10" s="35" t="str">
        <f t="shared" si="8"/>
        <v/>
      </c>
      <c r="AA10" s="36" t="str">
        <f t="shared" si="9"/>
        <v/>
      </c>
      <c r="AB10" s="37"/>
      <c r="AC10" s="33"/>
      <c r="AD10" s="34"/>
      <c r="AE10" s="35" t="str">
        <f t="shared" si="10"/>
        <v/>
      </c>
      <c r="AF10" s="36" t="str">
        <f t="shared" si="11"/>
        <v/>
      </c>
      <c r="AG10" s="37"/>
      <c r="AH10" s="33"/>
      <c r="AI10" s="34"/>
      <c r="AJ10" s="35" t="str">
        <f t="shared" si="12"/>
        <v/>
      </c>
      <c r="AK10" s="36" t="str">
        <f t="shared" si="13"/>
        <v/>
      </c>
      <c r="AL10" s="37"/>
      <c r="AM10" s="33"/>
      <c r="AN10" s="34"/>
      <c r="AO10" s="35" t="str">
        <f t="shared" si="14"/>
        <v/>
      </c>
      <c r="AP10" s="36" t="str">
        <f t="shared" si="15"/>
        <v/>
      </c>
      <c r="AQ10" s="37"/>
      <c r="AR10" s="33"/>
      <c r="AS10" s="34"/>
      <c r="AT10" s="35" t="str">
        <f t="shared" si="16"/>
        <v/>
      </c>
      <c r="AU10" s="36" t="str">
        <f t="shared" si="17"/>
        <v/>
      </c>
      <c r="AV10" s="37"/>
      <c r="AW10" s="33"/>
      <c r="AX10" s="34"/>
      <c r="AY10" s="35" t="str">
        <f t="shared" si="18"/>
        <v/>
      </c>
      <c r="AZ10" s="36" t="str">
        <f t="shared" si="19"/>
        <v/>
      </c>
      <c r="BA10" s="37"/>
      <c r="BB10" s="33"/>
      <c r="BC10" s="34"/>
      <c r="BD10" s="35" t="str">
        <f t="shared" si="20"/>
        <v/>
      </c>
      <c r="BE10" s="36" t="str">
        <f t="shared" si="21"/>
        <v/>
      </c>
      <c r="BF10" s="37"/>
      <c r="BG10" s="33"/>
      <c r="BH10" s="34"/>
      <c r="BI10" s="35" t="str">
        <f t="shared" si="22"/>
        <v/>
      </c>
      <c r="BJ10" s="36" t="str">
        <f t="shared" si="23"/>
        <v/>
      </c>
      <c r="BK10" s="37"/>
      <c r="BL10" s="33"/>
      <c r="BM10" s="34"/>
      <c r="BN10" s="35" t="str">
        <f t="shared" si="24"/>
        <v/>
      </c>
      <c r="BO10" s="36" t="str">
        <f t="shared" si="25"/>
        <v/>
      </c>
      <c r="BP10" s="37"/>
      <c r="BQ10" s="33"/>
      <c r="BR10" s="34"/>
      <c r="BS10" s="35" t="str">
        <f t="shared" si="26"/>
        <v/>
      </c>
      <c r="BT10" s="36" t="str">
        <f t="shared" si="27"/>
        <v/>
      </c>
      <c r="BU10" s="37"/>
      <c r="BV10" s="33"/>
      <c r="BW10" s="34"/>
      <c r="BX10" s="35" t="str">
        <f t="shared" si="28"/>
        <v/>
      </c>
      <c r="BY10" s="36" t="str">
        <f t="shared" si="29"/>
        <v/>
      </c>
      <c r="BZ10" s="37"/>
      <c r="CA10" s="33"/>
      <c r="CB10" s="34"/>
      <c r="CC10" s="35" t="str">
        <f t="shared" si="30"/>
        <v/>
      </c>
      <c r="CD10" s="36" t="str">
        <f t="shared" si="31"/>
        <v/>
      </c>
      <c r="CE10" s="37"/>
      <c r="CF10" s="33"/>
      <c r="CG10" s="34"/>
      <c r="CH10" s="35" t="str">
        <f t="shared" si="32"/>
        <v/>
      </c>
      <c r="CI10" s="36" t="str">
        <f t="shared" si="33"/>
        <v/>
      </c>
      <c r="CJ10" s="37"/>
      <c r="CK10" s="33"/>
      <c r="CL10" s="34"/>
      <c r="CM10" s="35" t="str">
        <f t="shared" si="34"/>
        <v/>
      </c>
      <c r="CN10" s="36" t="str">
        <f t="shared" si="35"/>
        <v/>
      </c>
      <c r="CO10" s="37"/>
      <c r="CP10" s="33"/>
      <c r="CQ10" s="34"/>
      <c r="CR10" s="35" t="str">
        <f t="shared" si="36"/>
        <v/>
      </c>
      <c r="CS10" s="36" t="str">
        <f t="shared" si="37"/>
        <v/>
      </c>
      <c r="CT10" s="37"/>
      <c r="CU10" s="33"/>
      <c r="CV10" s="34"/>
      <c r="CW10" s="35" t="str">
        <f t="shared" si="38"/>
        <v/>
      </c>
      <c r="CX10" s="36" t="str">
        <f t="shared" si="39"/>
        <v/>
      </c>
      <c r="CY10" s="37"/>
      <c r="CZ10" s="33"/>
      <c r="DA10" s="34"/>
      <c r="DB10" s="35" t="str">
        <f t="shared" si="40"/>
        <v/>
      </c>
      <c r="DC10" s="36" t="str">
        <f t="shared" si="41"/>
        <v/>
      </c>
      <c r="DD10" s="37"/>
      <c r="DE10" s="33"/>
      <c r="DF10" s="34"/>
      <c r="DG10" s="35" t="str">
        <f t="shared" si="42"/>
        <v/>
      </c>
      <c r="DH10" s="36" t="str">
        <f t="shared" si="43"/>
        <v/>
      </c>
      <c r="DI10" s="37"/>
      <c r="DJ10" s="33"/>
      <c r="DK10" s="34"/>
      <c r="DL10" s="35" t="str">
        <f t="shared" si="44"/>
        <v/>
      </c>
      <c r="DM10" s="36" t="str">
        <f t="shared" si="45"/>
        <v/>
      </c>
      <c r="DN10" s="37"/>
      <c r="DO10" s="33"/>
      <c r="DP10" s="34"/>
      <c r="DQ10" s="35" t="str">
        <f t="shared" si="46"/>
        <v/>
      </c>
      <c r="DR10" s="36" t="str">
        <f t="shared" si="47"/>
        <v/>
      </c>
      <c r="DS10" s="37"/>
      <c r="DT10" s="33"/>
      <c r="DU10" s="34"/>
      <c r="DV10" s="35" t="str">
        <f t="shared" si="48"/>
        <v/>
      </c>
      <c r="DW10" s="36" t="str">
        <f t="shared" si="49"/>
        <v/>
      </c>
      <c r="DX10" s="37"/>
      <c r="DY10" s="33"/>
      <c r="DZ10" s="34"/>
      <c r="EA10" s="35" t="str">
        <f t="shared" si="50"/>
        <v/>
      </c>
      <c r="EB10" s="36" t="str">
        <f t="shared" si="51"/>
        <v/>
      </c>
      <c r="EC10" s="37"/>
      <c r="ED10" s="33"/>
      <c r="EE10" s="34"/>
      <c r="EF10" s="35" t="str">
        <f t="shared" si="52"/>
        <v/>
      </c>
      <c r="EG10" s="36" t="str">
        <f t="shared" si="53"/>
        <v/>
      </c>
      <c r="EH10" s="37"/>
      <c r="EI10" s="33"/>
      <c r="EJ10" s="34"/>
      <c r="EK10" s="35" t="str">
        <f t="shared" si="54"/>
        <v/>
      </c>
      <c r="EL10" s="36" t="str">
        <f t="shared" si="55"/>
        <v/>
      </c>
      <c r="EM10" s="37"/>
      <c r="EN10" s="33"/>
      <c r="EO10" s="34"/>
      <c r="EP10" s="35" t="str">
        <f t="shared" si="56"/>
        <v/>
      </c>
      <c r="EQ10" s="36" t="str">
        <f t="shared" si="57"/>
        <v/>
      </c>
      <c r="ER10" s="37"/>
      <c r="ES10" s="33"/>
      <c r="ET10" s="34"/>
      <c r="EU10" s="35" t="str">
        <f t="shared" si="58"/>
        <v/>
      </c>
      <c r="EV10" s="36" t="str">
        <f t="shared" si="59"/>
        <v/>
      </c>
      <c r="EW10" s="37"/>
    </row>
    <row r="11" spans="1:153" ht="19.5" customHeight="1">
      <c r="A11" s="32">
        <f>IF(DAY(DATE(対象年度,9,8))&lt;&gt;8,"",8)</f>
        <v>8</v>
      </c>
      <c r="B11" s="32" t="str">
        <f>IF(DAY(DATE(対象年度,9,8))&lt;&gt;8,"",CHOOSE(WEEKDAY(DATE(対象年度,9,8),2),"月","火","水","木","金","土","日"))</f>
        <v>火</v>
      </c>
      <c r="C11" s="32" t="str">
        <f>IF(DAY(DATE(対象年度,9,8))&lt;&gt;8,"",IF(ISNUMBER(MATCH(DATE(対象年度,9,8),祝日リスト,0)),"祝",""))</f>
        <v/>
      </c>
      <c r="D11" s="33"/>
      <c r="E11" s="34"/>
      <c r="F11" s="35" t="str">
        <f t="shared" si="0"/>
        <v/>
      </c>
      <c r="G11" s="36" t="str">
        <f t="shared" si="1"/>
        <v/>
      </c>
      <c r="H11" s="37"/>
      <c r="I11" s="33"/>
      <c r="J11" s="34"/>
      <c r="K11" s="35" t="str">
        <f t="shared" si="2"/>
        <v/>
      </c>
      <c r="L11" s="36" t="str">
        <f t="shared" si="3"/>
        <v/>
      </c>
      <c r="M11" s="37"/>
      <c r="N11" s="33"/>
      <c r="O11" s="34"/>
      <c r="P11" s="35" t="str">
        <f t="shared" si="4"/>
        <v/>
      </c>
      <c r="Q11" s="36" t="str">
        <f t="shared" si="5"/>
        <v/>
      </c>
      <c r="R11" s="37"/>
      <c r="S11" s="33"/>
      <c r="T11" s="34"/>
      <c r="U11" s="35" t="str">
        <f t="shared" si="6"/>
        <v/>
      </c>
      <c r="V11" s="36" t="str">
        <f t="shared" si="7"/>
        <v/>
      </c>
      <c r="W11" s="37"/>
      <c r="X11" s="33"/>
      <c r="Y11" s="34"/>
      <c r="Z11" s="35" t="str">
        <f t="shared" si="8"/>
        <v/>
      </c>
      <c r="AA11" s="36" t="str">
        <f t="shared" si="9"/>
        <v/>
      </c>
      <c r="AB11" s="37"/>
      <c r="AC11" s="33"/>
      <c r="AD11" s="34"/>
      <c r="AE11" s="35" t="str">
        <f t="shared" si="10"/>
        <v/>
      </c>
      <c r="AF11" s="36" t="str">
        <f t="shared" si="11"/>
        <v/>
      </c>
      <c r="AG11" s="37"/>
      <c r="AH11" s="33"/>
      <c r="AI11" s="34"/>
      <c r="AJ11" s="35" t="str">
        <f t="shared" si="12"/>
        <v/>
      </c>
      <c r="AK11" s="36" t="str">
        <f t="shared" si="13"/>
        <v/>
      </c>
      <c r="AL11" s="37"/>
      <c r="AM11" s="33"/>
      <c r="AN11" s="34"/>
      <c r="AO11" s="35" t="str">
        <f t="shared" si="14"/>
        <v/>
      </c>
      <c r="AP11" s="36" t="str">
        <f t="shared" si="15"/>
        <v/>
      </c>
      <c r="AQ11" s="37"/>
      <c r="AR11" s="33"/>
      <c r="AS11" s="34"/>
      <c r="AT11" s="35" t="str">
        <f t="shared" si="16"/>
        <v/>
      </c>
      <c r="AU11" s="36" t="str">
        <f t="shared" si="17"/>
        <v/>
      </c>
      <c r="AV11" s="37"/>
      <c r="AW11" s="33"/>
      <c r="AX11" s="34"/>
      <c r="AY11" s="35" t="str">
        <f t="shared" si="18"/>
        <v/>
      </c>
      <c r="AZ11" s="36" t="str">
        <f t="shared" si="19"/>
        <v/>
      </c>
      <c r="BA11" s="37"/>
      <c r="BB11" s="33"/>
      <c r="BC11" s="34"/>
      <c r="BD11" s="35" t="str">
        <f t="shared" si="20"/>
        <v/>
      </c>
      <c r="BE11" s="36" t="str">
        <f t="shared" si="21"/>
        <v/>
      </c>
      <c r="BF11" s="37"/>
      <c r="BG11" s="33"/>
      <c r="BH11" s="34"/>
      <c r="BI11" s="35" t="str">
        <f t="shared" si="22"/>
        <v/>
      </c>
      <c r="BJ11" s="36" t="str">
        <f t="shared" si="23"/>
        <v/>
      </c>
      <c r="BK11" s="37"/>
      <c r="BL11" s="33"/>
      <c r="BM11" s="34"/>
      <c r="BN11" s="35" t="str">
        <f t="shared" si="24"/>
        <v/>
      </c>
      <c r="BO11" s="36" t="str">
        <f t="shared" si="25"/>
        <v/>
      </c>
      <c r="BP11" s="37"/>
      <c r="BQ11" s="33"/>
      <c r="BR11" s="34"/>
      <c r="BS11" s="35" t="str">
        <f t="shared" si="26"/>
        <v/>
      </c>
      <c r="BT11" s="36" t="str">
        <f t="shared" si="27"/>
        <v/>
      </c>
      <c r="BU11" s="37"/>
      <c r="BV11" s="33"/>
      <c r="BW11" s="34"/>
      <c r="BX11" s="35" t="str">
        <f t="shared" si="28"/>
        <v/>
      </c>
      <c r="BY11" s="36" t="str">
        <f t="shared" si="29"/>
        <v/>
      </c>
      <c r="BZ11" s="37"/>
      <c r="CA11" s="33"/>
      <c r="CB11" s="34"/>
      <c r="CC11" s="35" t="str">
        <f t="shared" si="30"/>
        <v/>
      </c>
      <c r="CD11" s="36" t="str">
        <f t="shared" si="31"/>
        <v/>
      </c>
      <c r="CE11" s="37"/>
      <c r="CF11" s="33"/>
      <c r="CG11" s="34"/>
      <c r="CH11" s="35" t="str">
        <f t="shared" si="32"/>
        <v/>
      </c>
      <c r="CI11" s="36" t="str">
        <f t="shared" si="33"/>
        <v/>
      </c>
      <c r="CJ11" s="37"/>
      <c r="CK11" s="33"/>
      <c r="CL11" s="34"/>
      <c r="CM11" s="35" t="str">
        <f t="shared" si="34"/>
        <v/>
      </c>
      <c r="CN11" s="36" t="str">
        <f t="shared" si="35"/>
        <v/>
      </c>
      <c r="CO11" s="37"/>
      <c r="CP11" s="33"/>
      <c r="CQ11" s="34"/>
      <c r="CR11" s="35" t="str">
        <f t="shared" si="36"/>
        <v/>
      </c>
      <c r="CS11" s="36" t="str">
        <f t="shared" si="37"/>
        <v/>
      </c>
      <c r="CT11" s="37"/>
      <c r="CU11" s="33"/>
      <c r="CV11" s="34"/>
      <c r="CW11" s="35" t="str">
        <f t="shared" si="38"/>
        <v/>
      </c>
      <c r="CX11" s="36" t="str">
        <f t="shared" si="39"/>
        <v/>
      </c>
      <c r="CY11" s="37"/>
      <c r="CZ11" s="33"/>
      <c r="DA11" s="34"/>
      <c r="DB11" s="35" t="str">
        <f t="shared" si="40"/>
        <v/>
      </c>
      <c r="DC11" s="36" t="str">
        <f t="shared" si="41"/>
        <v/>
      </c>
      <c r="DD11" s="37"/>
      <c r="DE11" s="33"/>
      <c r="DF11" s="34"/>
      <c r="DG11" s="35" t="str">
        <f t="shared" si="42"/>
        <v/>
      </c>
      <c r="DH11" s="36" t="str">
        <f t="shared" si="43"/>
        <v/>
      </c>
      <c r="DI11" s="37"/>
      <c r="DJ11" s="33"/>
      <c r="DK11" s="34"/>
      <c r="DL11" s="35" t="str">
        <f t="shared" si="44"/>
        <v/>
      </c>
      <c r="DM11" s="36" t="str">
        <f t="shared" si="45"/>
        <v/>
      </c>
      <c r="DN11" s="37"/>
      <c r="DO11" s="33"/>
      <c r="DP11" s="34"/>
      <c r="DQ11" s="35" t="str">
        <f t="shared" si="46"/>
        <v/>
      </c>
      <c r="DR11" s="36" t="str">
        <f t="shared" si="47"/>
        <v/>
      </c>
      <c r="DS11" s="37"/>
      <c r="DT11" s="33"/>
      <c r="DU11" s="34"/>
      <c r="DV11" s="35" t="str">
        <f t="shared" si="48"/>
        <v/>
      </c>
      <c r="DW11" s="36" t="str">
        <f t="shared" si="49"/>
        <v/>
      </c>
      <c r="DX11" s="37"/>
      <c r="DY11" s="33"/>
      <c r="DZ11" s="34"/>
      <c r="EA11" s="35" t="str">
        <f t="shared" si="50"/>
        <v/>
      </c>
      <c r="EB11" s="36" t="str">
        <f t="shared" si="51"/>
        <v/>
      </c>
      <c r="EC11" s="37"/>
      <c r="ED11" s="33"/>
      <c r="EE11" s="34"/>
      <c r="EF11" s="35" t="str">
        <f t="shared" si="52"/>
        <v/>
      </c>
      <c r="EG11" s="36" t="str">
        <f t="shared" si="53"/>
        <v/>
      </c>
      <c r="EH11" s="37"/>
      <c r="EI11" s="33"/>
      <c r="EJ11" s="34"/>
      <c r="EK11" s="35" t="str">
        <f t="shared" si="54"/>
        <v/>
      </c>
      <c r="EL11" s="36" t="str">
        <f t="shared" si="55"/>
        <v/>
      </c>
      <c r="EM11" s="37"/>
      <c r="EN11" s="33"/>
      <c r="EO11" s="34"/>
      <c r="EP11" s="35" t="str">
        <f t="shared" si="56"/>
        <v/>
      </c>
      <c r="EQ11" s="36" t="str">
        <f t="shared" si="57"/>
        <v/>
      </c>
      <c r="ER11" s="37"/>
      <c r="ES11" s="33"/>
      <c r="ET11" s="34"/>
      <c r="EU11" s="35" t="str">
        <f t="shared" si="58"/>
        <v/>
      </c>
      <c r="EV11" s="36" t="str">
        <f t="shared" si="59"/>
        <v/>
      </c>
      <c r="EW11" s="37"/>
    </row>
    <row r="12" spans="1:153" ht="19.5" customHeight="1">
      <c r="A12" s="32">
        <f>IF(DAY(DATE(対象年度,9,9))&lt;&gt;9,"",9)</f>
        <v>9</v>
      </c>
      <c r="B12" s="32" t="str">
        <f>IF(DAY(DATE(対象年度,9,9))&lt;&gt;9,"",CHOOSE(WEEKDAY(DATE(対象年度,9,9),2),"月","火","水","木","金","土","日"))</f>
        <v>水</v>
      </c>
      <c r="C12" s="32" t="str">
        <f>IF(DAY(DATE(対象年度,9,9))&lt;&gt;9,"",IF(ISNUMBER(MATCH(DATE(対象年度,9,9),祝日リスト,0)),"祝",""))</f>
        <v/>
      </c>
      <c r="D12" s="33"/>
      <c r="E12" s="34"/>
      <c r="F12" s="35" t="str">
        <f t="shared" si="0"/>
        <v/>
      </c>
      <c r="G12" s="36" t="str">
        <f t="shared" si="1"/>
        <v/>
      </c>
      <c r="H12" s="37"/>
      <c r="I12" s="33"/>
      <c r="J12" s="34"/>
      <c r="K12" s="35" t="str">
        <f t="shared" si="2"/>
        <v/>
      </c>
      <c r="L12" s="36" t="str">
        <f t="shared" si="3"/>
        <v/>
      </c>
      <c r="M12" s="37"/>
      <c r="N12" s="33"/>
      <c r="O12" s="34"/>
      <c r="P12" s="35" t="str">
        <f t="shared" si="4"/>
        <v/>
      </c>
      <c r="Q12" s="36" t="str">
        <f t="shared" si="5"/>
        <v/>
      </c>
      <c r="R12" s="37"/>
      <c r="S12" s="33"/>
      <c r="T12" s="34"/>
      <c r="U12" s="35" t="str">
        <f t="shared" si="6"/>
        <v/>
      </c>
      <c r="V12" s="36" t="str">
        <f t="shared" si="7"/>
        <v/>
      </c>
      <c r="W12" s="37"/>
      <c r="X12" s="33"/>
      <c r="Y12" s="34"/>
      <c r="Z12" s="35" t="str">
        <f t="shared" si="8"/>
        <v/>
      </c>
      <c r="AA12" s="36" t="str">
        <f t="shared" si="9"/>
        <v/>
      </c>
      <c r="AB12" s="37"/>
      <c r="AC12" s="33"/>
      <c r="AD12" s="34"/>
      <c r="AE12" s="35" t="str">
        <f t="shared" si="10"/>
        <v/>
      </c>
      <c r="AF12" s="36" t="str">
        <f t="shared" si="11"/>
        <v/>
      </c>
      <c r="AG12" s="37"/>
      <c r="AH12" s="33"/>
      <c r="AI12" s="34"/>
      <c r="AJ12" s="35" t="str">
        <f t="shared" si="12"/>
        <v/>
      </c>
      <c r="AK12" s="36" t="str">
        <f t="shared" si="13"/>
        <v/>
      </c>
      <c r="AL12" s="37"/>
      <c r="AM12" s="33"/>
      <c r="AN12" s="34"/>
      <c r="AO12" s="35" t="str">
        <f t="shared" si="14"/>
        <v/>
      </c>
      <c r="AP12" s="36" t="str">
        <f t="shared" si="15"/>
        <v/>
      </c>
      <c r="AQ12" s="37"/>
      <c r="AR12" s="33"/>
      <c r="AS12" s="34"/>
      <c r="AT12" s="35" t="str">
        <f t="shared" si="16"/>
        <v/>
      </c>
      <c r="AU12" s="36" t="str">
        <f t="shared" si="17"/>
        <v/>
      </c>
      <c r="AV12" s="37"/>
      <c r="AW12" s="33"/>
      <c r="AX12" s="34"/>
      <c r="AY12" s="35" t="str">
        <f t="shared" si="18"/>
        <v/>
      </c>
      <c r="AZ12" s="36" t="str">
        <f t="shared" si="19"/>
        <v/>
      </c>
      <c r="BA12" s="37"/>
      <c r="BB12" s="33"/>
      <c r="BC12" s="34"/>
      <c r="BD12" s="35" t="str">
        <f t="shared" si="20"/>
        <v/>
      </c>
      <c r="BE12" s="36" t="str">
        <f t="shared" si="21"/>
        <v/>
      </c>
      <c r="BF12" s="37"/>
      <c r="BG12" s="33"/>
      <c r="BH12" s="34"/>
      <c r="BI12" s="35" t="str">
        <f t="shared" si="22"/>
        <v/>
      </c>
      <c r="BJ12" s="36" t="str">
        <f t="shared" si="23"/>
        <v/>
      </c>
      <c r="BK12" s="37"/>
      <c r="BL12" s="33"/>
      <c r="BM12" s="34"/>
      <c r="BN12" s="35" t="str">
        <f t="shared" si="24"/>
        <v/>
      </c>
      <c r="BO12" s="36" t="str">
        <f t="shared" si="25"/>
        <v/>
      </c>
      <c r="BP12" s="37"/>
      <c r="BQ12" s="33"/>
      <c r="BR12" s="34"/>
      <c r="BS12" s="35" t="str">
        <f t="shared" si="26"/>
        <v/>
      </c>
      <c r="BT12" s="36" t="str">
        <f t="shared" si="27"/>
        <v/>
      </c>
      <c r="BU12" s="37"/>
      <c r="BV12" s="33"/>
      <c r="BW12" s="34"/>
      <c r="BX12" s="35" t="str">
        <f t="shared" si="28"/>
        <v/>
      </c>
      <c r="BY12" s="36" t="str">
        <f t="shared" si="29"/>
        <v/>
      </c>
      <c r="BZ12" s="37"/>
      <c r="CA12" s="33"/>
      <c r="CB12" s="34"/>
      <c r="CC12" s="35" t="str">
        <f t="shared" si="30"/>
        <v/>
      </c>
      <c r="CD12" s="36" t="str">
        <f t="shared" si="31"/>
        <v/>
      </c>
      <c r="CE12" s="37"/>
      <c r="CF12" s="33"/>
      <c r="CG12" s="34"/>
      <c r="CH12" s="35" t="str">
        <f t="shared" si="32"/>
        <v/>
      </c>
      <c r="CI12" s="36" t="str">
        <f t="shared" si="33"/>
        <v/>
      </c>
      <c r="CJ12" s="37"/>
      <c r="CK12" s="33"/>
      <c r="CL12" s="34"/>
      <c r="CM12" s="35" t="str">
        <f t="shared" si="34"/>
        <v/>
      </c>
      <c r="CN12" s="36" t="str">
        <f t="shared" si="35"/>
        <v/>
      </c>
      <c r="CO12" s="37"/>
      <c r="CP12" s="33"/>
      <c r="CQ12" s="34"/>
      <c r="CR12" s="35" t="str">
        <f t="shared" si="36"/>
        <v/>
      </c>
      <c r="CS12" s="36" t="str">
        <f t="shared" si="37"/>
        <v/>
      </c>
      <c r="CT12" s="37"/>
      <c r="CU12" s="33"/>
      <c r="CV12" s="34"/>
      <c r="CW12" s="35" t="str">
        <f t="shared" si="38"/>
        <v/>
      </c>
      <c r="CX12" s="36" t="str">
        <f t="shared" si="39"/>
        <v/>
      </c>
      <c r="CY12" s="37"/>
      <c r="CZ12" s="33"/>
      <c r="DA12" s="34"/>
      <c r="DB12" s="35" t="str">
        <f t="shared" si="40"/>
        <v/>
      </c>
      <c r="DC12" s="36" t="str">
        <f t="shared" si="41"/>
        <v/>
      </c>
      <c r="DD12" s="37"/>
      <c r="DE12" s="33"/>
      <c r="DF12" s="34"/>
      <c r="DG12" s="35" t="str">
        <f t="shared" si="42"/>
        <v/>
      </c>
      <c r="DH12" s="36" t="str">
        <f t="shared" si="43"/>
        <v/>
      </c>
      <c r="DI12" s="37"/>
      <c r="DJ12" s="33"/>
      <c r="DK12" s="34"/>
      <c r="DL12" s="35" t="str">
        <f t="shared" si="44"/>
        <v/>
      </c>
      <c r="DM12" s="36" t="str">
        <f t="shared" si="45"/>
        <v/>
      </c>
      <c r="DN12" s="37"/>
      <c r="DO12" s="33"/>
      <c r="DP12" s="34"/>
      <c r="DQ12" s="35" t="str">
        <f t="shared" si="46"/>
        <v/>
      </c>
      <c r="DR12" s="36" t="str">
        <f t="shared" si="47"/>
        <v/>
      </c>
      <c r="DS12" s="37"/>
      <c r="DT12" s="33"/>
      <c r="DU12" s="34"/>
      <c r="DV12" s="35" t="str">
        <f t="shared" si="48"/>
        <v/>
      </c>
      <c r="DW12" s="36" t="str">
        <f t="shared" si="49"/>
        <v/>
      </c>
      <c r="DX12" s="37"/>
      <c r="DY12" s="33"/>
      <c r="DZ12" s="34"/>
      <c r="EA12" s="35" t="str">
        <f t="shared" si="50"/>
        <v/>
      </c>
      <c r="EB12" s="36" t="str">
        <f t="shared" si="51"/>
        <v/>
      </c>
      <c r="EC12" s="37"/>
      <c r="ED12" s="33"/>
      <c r="EE12" s="34"/>
      <c r="EF12" s="35" t="str">
        <f t="shared" si="52"/>
        <v/>
      </c>
      <c r="EG12" s="36" t="str">
        <f t="shared" si="53"/>
        <v/>
      </c>
      <c r="EH12" s="37"/>
      <c r="EI12" s="33"/>
      <c r="EJ12" s="34"/>
      <c r="EK12" s="35" t="str">
        <f t="shared" si="54"/>
        <v/>
      </c>
      <c r="EL12" s="36" t="str">
        <f t="shared" si="55"/>
        <v/>
      </c>
      <c r="EM12" s="37"/>
      <c r="EN12" s="33"/>
      <c r="EO12" s="34"/>
      <c r="EP12" s="35" t="str">
        <f t="shared" si="56"/>
        <v/>
      </c>
      <c r="EQ12" s="36" t="str">
        <f t="shared" si="57"/>
        <v/>
      </c>
      <c r="ER12" s="37"/>
      <c r="ES12" s="33"/>
      <c r="ET12" s="34"/>
      <c r="EU12" s="35" t="str">
        <f t="shared" si="58"/>
        <v/>
      </c>
      <c r="EV12" s="36" t="str">
        <f t="shared" si="59"/>
        <v/>
      </c>
      <c r="EW12" s="37"/>
    </row>
    <row r="13" spans="1:153" ht="19.5" customHeight="1">
      <c r="A13" s="32">
        <f>IF(DAY(DATE(対象年度,9,10))&lt;&gt;10,"",10)</f>
        <v>10</v>
      </c>
      <c r="B13" s="32" t="str">
        <f>IF(DAY(DATE(対象年度,9,10))&lt;&gt;10,"",CHOOSE(WEEKDAY(DATE(対象年度,9,10),2),"月","火","水","木","金","土","日"))</f>
        <v>木</v>
      </c>
      <c r="C13" s="32" t="str">
        <f>IF(DAY(DATE(対象年度,9,10))&lt;&gt;10,"",IF(ISNUMBER(MATCH(DATE(対象年度,9,10),祝日リスト,0)),"祝",""))</f>
        <v/>
      </c>
      <c r="D13" s="33"/>
      <c r="E13" s="34"/>
      <c r="F13" s="35" t="str">
        <f t="shared" si="0"/>
        <v/>
      </c>
      <c r="G13" s="36" t="str">
        <f t="shared" si="1"/>
        <v/>
      </c>
      <c r="H13" s="37"/>
      <c r="I13" s="33"/>
      <c r="J13" s="34"/>
      <c r="K13" s="35" t="str">
        <f t="shared" si="2"/>
        <v/>
      </c>
      <c r="L13" s="36" t="str">
        <f t="shared" si="3"/>
        <v/>
      </c>
      <c r="M13" s="37"/>
      <c r="N13" s="33"/>
      <c r="O13" s="34"/>
      <c r="P13" s="35" t="str">
        <f t="shared" si="4"/>
        <v/>
      </c>
      <c r="Q13" s="36" t="str">
        <f t="shared" si="5"/>
        <v/>
      </c>
      <c r="R13" s="37"/>
      <c r="S13" s="33"/>
      <c r="T13" s="34"/>
      <c r="U13" s="35" t="str">
        <f t="shared" si="6"/>
        <v/>
      </c>
      <c r="V13" s="36" t="str">
        <f t="shared" si="7"/>
        <v/>
      </c>
      <c r="W13" s="37"/>
      <c r="X13" s="33"/>
      <c r="Y13" s="34"/>
      <c r="Z13" s="35" t="str">
        <f t="shared" si="8"/>
        <v/>
      </c>
      <c r="AA13" s="36" t="str">
        <f t="shared" si="9"/>
        <v/>
      </c>
      <c r="AB13" s="37"/>
      <c r="AC13" s="33"/>
      <c r="AD13" s="34"/>
      <c r="AE13" s="35" t="str">
        <f t="shared" si="10"/>
        <v/>
      </c>
      <c r="AF13" s="36" t="str">
        <f t="shared" si="11"/>
        <v/>
      </c>
      <c r="AG13" s="37"/>
      <c r="AH13" s="33"/>
      <c r="AI13" s="34"/>
      <c r="AJ13" s="35" t="str">
        <f t="shared" si="12"/>
        <v/>
      </c>
      <c r="AK13" s="36" t="str">
        <f t="shared" si="13"/>
        <v/>
      </c>
      <c r="AL13" s="37"/>
      <c r="AM13" s="33"/>
      <c r="AN13" s="34"/>
      <c r="AO13" s="35" t="str">
        <f t="shared" si="14"/>
        <v/>
      </c>
      <c r="AP13" s="36" t="str">
        <f t="shared" si="15"/>
        <v/>
      </c>
      <c r="AQ13" s="37"/>
      <c r="AR13" s="33"/>
      <c r="AS13" s="34"/>
      <c r="AT13" s="35" t="str">
        <f t="shared" si="16"/>
        <v/>
      </c>
      <c r="AU13" s="36" t="str">
        <f t="shared" si="17"/>
        <v/>
      </c>
      <c r="AV13" s="37"/>
      <c r="AW13" s="33"/>
      <c r="AX13" s="34"/>
      <c r="AY13" s="35" t="str">
        <f t="shared" si="18"/>
        <v/>
      </c>
      <c r="AZ13" s="36" t="str">
        <f t="shared" si="19"/>
        <v/>
      </c>
      <c r="BA13" s="37"/>
      <c r="BB13" s="33"/>
      <c r="BC13" s="34"/>
      <c r="BD13" s="35" t="str">
        <f t="shared" si="20"/>
        <v/>
      </c>
      <c r="BE13" s="36" t="str">
        <f t="shared" si="21"/>
        <v/>
      </c>
      <c r="BF13" s="37"/>
      <c r="BG13" s="33"/>
      <c r="BH13" s="34"/>
      <c r="BI13" s="35" t="str">
        <f t="shared" si="22"/>
        <v/>
      </c>
      <c r="BJ13" s="36" t="str">
        <f t="shared" si="23"/>
        <v/>
      </c>
      <c r="BK13" s="37"/>
      <c r="BL13" s="33"/>
      <c r="BM13" s="34"/>
      <c r="BN13" s="35" t="str">
        <f t="shared" si="24"/>
        <v/>
      </c>
      <c r="BO13" s="36" t="str">
        <f t="shared" si="25"/>
        <v/>
      </c>
      <c r="BP13" s="37"/>
      <c r="BQ13" s="33"/>
      <c r="BR13" s="34"/>
      <c r="BS13" s="35" t="str">
        <f t="shared" si="26"/>
        <v/>
      </c>
      <c r="BT13" s="36" t="str">
        <f t="shared" si="27"/>
        <v/>
      </c>
      <c r="BU13" s="37"/>
      <c r="BV13" s="33"/>
      <c r="BW13" s="34"/>
      <c r="BX13" s="35" t="str">
        <f t="shared" si="28"/>
        <v/>
      </c>
      <c r="BY13" s="36" t="str">
        <f t="shared" si="29"/>
        <v/>
      </c>
      <c r="BZ13" s="37"/>
      <c r="CA13" s="33"/>
      <c r="CB13" s="34"/>
      <c r="CC13" s="35" t="str">
        <f t="shared" si="30"/>
        <v/>
      </c>
      <c r="CD13" s="36" t="str">
        <f t="shared" si="31"/>
        <v/>
      </c>
      <c r="CE13" s="37"/>
      <c r="CF13" s="33"/>
      <c r="CG13" s="34"/>
      <c r="CH13" s="35" t="str">
        <f t="shared" si="32"/>
        <v/>
      </c>
      <c r="CI13" s="36" t="str">
        <f t="shared" si="33"/>
        <v/>
      </c>
      <c r="CJ13" s="37"/>
      <c r="CK13" s="33"/>
      <c r="CL13" s="34"/>
      <c r="CM13" s="35" t="str">
        <f t="shared" si="34"/>
        <v/>
      </c>
      <c r="CN13" s="36" t="str">
        <f t="shared" si="35"/>
        <v/>
      </c>
      <c r="CO13" s="37"/>
      <c r="CP13" s="33"/>
      <c r="CQ13" s="34"/>
      <c r="CR13" s="35" t="str">
        <f t="shared" si="36"/>
        <v/>
      </c>
      <c r="CS13" s="36" t="str">
        <f t="shared" si="37"/>
        <v/>
      </c>
      <c r="CT13" s="37"/>
      <c r="CU13" s="33"/>
      <c r="CV13" s="34"/>
      <c r="CW13" s="35" t="str">
        <f t="shared" si="38"/>
        <v/>
      </c>
      <c r="CX13" s="36" t="str">
        <f t="shared" si="39"/>
        <v/>
      </c>
      <c r="CY13" s="37"/>
      <c r="CZ13" s="33"/>
      <c r="DA13" s="34"/>
      <c r="DB13" s="35" t="str">
        <f t="shared" si="40"/>
        <v/>
      </c>
      <c r="DC13" s="36" t="str">
        <f t="shared" si="41"/>
        <v/>
      </c>
      <c r="DD13" s="37"/>
      <c r="DE13" s="33"/>
      <c r="DF13" s="34"/>
      <c r="DG13" s="35" t="str">
        <f t="shared" si="42"/>
        <v/>
      </c>
      <c r="DH13" s="36" t="str">
        <f t="shared" si="43"/>
        <v/>
      </c>
      <c r="DI13" s="37"/>
      <c r="DJ13" s="33"/>
      <c r="DK13" s="34"/>
      <c r="DL13" s="35" t="str">
        <f t="shared" si="44"/>
        <v/>
      </c>
      <c r="DM13" s="36" t="str">
        <f t="shared" si="45"/>
        <v/>
      </c>
      <c r="DN13" s="37"/>
      <c r="DO13" s="33"/>
      <c r="DP13" s="34"/>
      <c r="DQ13" s="35" t="str">
        <f t="shared" si="46"/>
        <v/>
      </c>
      <c r="DR13" s="36" t="str">
        <f t="shared" si="47"/>
        <v/>
      </c>
      <c r="DS13" s="37"/>
      <c r="DT13" s="33"/>
      <c r="DU13" s="34"/>
      <c r="DV13" s="35" t="str">
        <f t="shared" si="48"/>
        <v/>
      </c>
      <c r="DW13" s="36" t="str">
        <f t="shared" si="49"/>
        <v/>
      </c>
      <c r="DX13" s="37"/>
      <c r="DY13" s="33"/>
      <c r="DZ13" s="34"/>
      <c r="EA13" s="35" t="str">
        <f t="shared" si="50"/>
        <v/>
      </c>
      <c r="EB13" s="36" t="str">
        <f t="shared" si="51"/>
        <v/>
      </c>
      <c r="EC13" s="37"/>
      <c r="ED13" s="33"/>
      <c r="EE13" s="34"/>
      <c r="EF13" s="35" t="str">
        <f t="shared" si="52"/>
        <v/>
      </c>
      <c r="EG13" s="36" t="str">
        <f t="shared" si="53"/>
        <v/>
      </c>
      <c r="EH13" s="37"/>
      <c r="EI13" s="33"/>
      <c r="EJ13" s="34"/>
      <c r="EK13" s="35" t="str">
        <f t="shared" si="54"/>
        <v/>
      </c>
      <c r="EL13" s="36" t="str">
        <f t="shared" si="55"/>
        <v/>
      </c>
      <c r="EM13" s="37"/>
      <c r="EN13" s="33"/>
      <c r="EO13" s="34"/>
      <c r="EP13" s="35" t="str">
        <f t="shared" si="56"/>
        <v/>
      </c>
      <c r="EQ13" s="36" t="str">
        <f t="shared" si="57"/>
        <v/>
      </c>
      <c r="ER13" s="37"/>
      <c r="ES13" s="33"/>
      <c r="ET13" s="34"/>
      <c r="EU13" s="35" t="str">
        <f t="shared" si="58"/>
        <v/>
      </c>
      <c r="EV13" s="36" t="str">
        <f t="shared" si="59"/>
        <v/>
      </c>
      <c r="EW13" s="37"/>
    </row>
    <row r="14" spans="1:153" ht="19.5" customHeight="1">
      <c r="A14" s="32">
        <f>IF(DAY(DATE(対象年度,9,11))&lt;&gt;11,"",11)</f>
        <v>11</v>
      </c>
      <c r="B14" s="32" t="str">
        <f>IF(DAY(DATE(対象年度,9,11))&lt;&gt;11,"",CHOOSE(WEEKDAY(DATE(対象年度,9,11),2),"月","火","水","木","金","土","日"))</f>
        <v>金</v>
      </c>
      <c r="C14" s="32" t="str">
        <f>IF(DAY(DATE(対象年度,9,11))&lt;&gt;11,"",IF(ISNUMBER(MATCH(DATE(対象年度,9,11),祝日リスト,0)),"祝",""))</f>
        <v/>
      </c>
      <c r="D14" s="33"/>
      <c r="E14" s="34"/>
      <c r="F14" s="35" t="str">
        <f t="shared" si="0"/>
        <v/>
      </c>
      <c r="G14" s="36" t="str">
        <f t="shared" si="1"/>
        <v/>
      </c>
      <c r="H14" s="37"/>
      <c r="I14" s="33"/>
      <c r="J14" s="34"/>
      <c r="K14" s="35" t="str">
        <f t="shared" si="2"/>
        <v/>
      </c>
      <c r="L14" s="36" t="str">
        <f t="shared" si="3"/>
        <v/>
      </c>
      <c r="M14" s="37"/>
      <c r="N14" s="33"/>
      <c r="O14" s="34"/>
      <c r="P14" s="35" t="str">
        <f t="shared" si="4"/>
        <v/>
      </c>
      <c r="Q14" s="36" t="str">
        <f t="shared" si="5"/>
        <v/>
      </c>
      <c r="R14" s="37"/>
      <c r="S14" s="33"/>
      <c r="T14" s="34"/>
      <c r="U14" s="35" t="str">
        <f t="shared" si="6"/>
        <v/>
      </c>
      <c r="V14" s="36" t="str">
        <f t="shared" si="7"/>
        <v/>
      </c>
      <c r="W14" s="37"/>
      <c r="X14" s="33"/>
      <c r="Y14" s="34"/>
      <c r="Z14" s="35" t="str">
        <f t="shared" si="8"/>
        <v/>
      </c>
      <c r="AA14" s="36" t="str">
        <f t="shared" si="9"/>
        <v/>
      </c>
      <c r="AB14" s="37"/>
      <c r="AC14" s="33"/>
      <c r="AD14" s="34"/>
      <c r="AE14" s="35" t="str">
        <f t="shared" si="10"/>
        <v/>
      </c>
      <c r="AF14" s="36" t="str">
        <f t="shared" si="11"/>
        <v/>
      </c>
      <c r="AG14" s="37"/>
      <c r="AH14" s="33"/>
      <c r="AI14" s="34"/>
      <c r="AJ14" s="35" t="str">
        <f t="shared" si="12"/>
        <v/>
      </c>
      <c r="AK14" s="36" t="str">
        <f t="shared" si="13"/>
        <v/>
      </c>
      <c r="AL14" s="37"/>
      <c r="AM14" s="33"/>
      <c r="AN14" s="34"/>
      <c r="AO14" s="35" t="str">
        <f t="shared" si="14"/>
        <v/>
      </c>
      <c r="AP14" s="36" t="str">
        <f t="shared" si="15"/>
        <v/>
      </c>
      <c r="AQ14" s="37"/>
      <c r="AR14" s="33"/>
      <c r="AS14" s="34"/>
      <c r="AT14" s="35" t="str">
        <f t="shared" si="16"/>
        <v/>
      </c>
      <c r="AU14" s="36" t="str">
        <f t="shared" si="17"/>
        <v/>
      </c>
      <c r="AV14" s="37"/>
      <c r="AW14" s="33"/>
      <c r="AX14" s="34"/>
      <c r="AY14" s="35" t="str">
        <f t="shared" si="18"/>
        <v/>
      </c>
      <c r="AZ14" s="36" t="str">
        <f t="shared" si="19"/>
        <v/>
      </c>
      <c r="BA14" s="37"/>
      <c r="BB14" s="33"/>
      <c r="BC14" s="34"/>
      <c r="BD14" s="35" t="str">
        <f t="shared" si="20"/>
        <v/>
      </c>
      <c r="BE14" s="36" t="str">
        <f t="shared" si="21"/>
        <v/>
      </c>
      <c r="BF14" s="37"/>
      <c r="BG14" s="33"/>
      <c r="BH14" s="34"/>
      <c r="BI14" s="35" t="str">
        <f t="shared" si="22"/>
        <v/>
      </c>
      <c r="BJ14" s="36" t="str">
        <f t="shared" si="23"/>
        <v/>
      </c>
      <c r="BK14" s="37"/>
      <c r="BL14" s="33"/>
      <c r="BM14" s="34"/>
      <c r="BN14" s="35" t="str">
        <f t="shared" si="24"/>
        <v/>
      </c>
      <c r="BO14" s="36" t="str">
        <f t="shared" si="25"/>
        <v/>
      </c>
      <c r="BP14" s="37"/>
      <c r="BQ14" s="33"/>
      <c r="BR14" s="34"/>
      <c r="BS14" s="35" t="str">
        <f t="shared" si="26"/>
        <v/>
      </c>
      <c r="BT14" s="36" t="str">
        <f t="shared" si="27"/>
        <v/>
      </c>
      <c r="BU14" s="37"/>
      <c r="BV14" s="33"/>
      <c r="BW14" s="34"/>
      <c r="BX14" s="35" t="str">
        <f t="shared" si="28"/>
        <v/>
      </c>
      <c r="BY14" s="36" t="str">
        <f t="shared" si="29"/>
        <v/>
      </c>
      <c r="BZ14" s="37"/>
      <c r="CA14" s="33"/>
      <c r="CB14" s="34"/>
      <c r="CC14" s="35" t="str">
        <f t="shared" si="30"/>
        <v/>
      </c>
      <c r="CD14" s="36" t="str">
        <f t="shared" si="31"/>
        <v/>
      </c>
      <c r="CE14" s="37"/>
      <c r="CF14" s="33"/>
      <c r="CG14" s="34"/>
      <c r="CH14" s="35" t="str">
        <f t="shared" si="32"/>
        <v/>
      </c>
      <c r="CI14" s="36" t="str">
        <f t="shared" si="33"/>
        <v/>
      </c>
      <c r="CJ14" s="37"/>
      <c r="CK14" s="33"/>
      <c r="CL14" s="34"/>
      <c r="CM14" s="35" t="str">
        <f t="shared" si="34"/>
        <v/>
      </c>
      <c r="CN14" s="36" t="str">
        <f t="shared" si="35"/>
        <v/>
      </c>
      <c r="CO14" s="37"/>
      <c r="CP14" s="33"/>
      <c r="CQ14" s="34"/>
      <c r="CR14" s="35" t="str">
        <f t="shared" si="36"/>
        <v/>
      </c>
      <c r="CS14" s="36" t="str">
        <f t="shared" si="37"/>
        <v/>
      </c>
      <c r="CT14" s="37"/>
      <c r="CU14" s="33"/>
      <c r="CV14" s="34"/>
      <c r="CW14" s="35" t="str">
        <f t="shared" si="38"/>
        <v/>
      </c>
      <c r="CX14" s="36" t="str">
        <f t="shared" si="39"/>
        <v/>
      </c>
      <c r="CY14" s="37"/>
      <c r="CZ14" s="33"/>
      <c r="DA14" s="34"/>
      <c r="DB14" s="35" t="str">
        <f t="shared" si="40"/>
        <v/>
      </c>
      <c r="DC14" s="36" t="str">
        <f t="shared" si="41"/>
        <v/>
      </c>
      <c r="DD14" s="37"/>
      <c r="DE14" s="33"/>
      <c r="DF14" s="34"/>
      <c r="DG14" s="35" t="str">
        <f t="shared" si="42"/>
        <v/>
      </c>
      <c r="DH14" s="36" t="str">
        <f t="shared" si="43"/>
        <v/>
      </c>
      <c r="DI14" s="37"/>
      <c r="DJ14" s="33"/>
      <c r="DK14" s="34"/>
      <c r="DL14" s="35" t="str">
        <f t="shared" si="44"/>
        <v/>
      </c>
      <c r="DM14" s="36" t="str">
        <f t="shared" si="45"/>
        <v/>
      </c>
      <c r="DN14" s="37"/>
      <c r="DO14" s="33"/>
      <c r="DP14" s="34"/>
      <c r="DQ14" s="35" t="str">
        <f t="shared" si="46"/>
        <v/>
      </c>
      <c r="DR14" s="36" t="str">
        <f t="shared" si="47"/>
        <v/>
      </c>
      <c r="DS14" s="37"/>
      <c r="DT14" s="33"/>
      <c r="DU14" s="34"/>
      <c r="DV14" s="35" t="str">
        <f t="shared" si="48"/>
        <v/>
      </c>
      <c r="DW14" s="36" t="str">
        <f t="shared" si="49"/>
        <v/>
      </c>
      <c r="DX14" s="37"/>
      <c r="DY14" s="33"/>
      <c r="DZ14" s="34"/>
      <c r="EA14" s="35" t="str">
        <f t="shared" si="50"/>
        <v/>
      </c>
      <c r="EB14" s="36" t="str">
        <f t="shared" si="51"/>
        <v/>
      </c>
      <c r="EC14" s="37"/>
      <c r="ED14" s="33"/>
      <c r="EE14" s="34"/>
      <c r="EF14" s="35" t="str">
        <f t="shared" si="52"/>
        <v/>
      </c>
      <c r="EG14" s="36" t="str">
        <f t="shared" si="53"/>
        <v/>
      </c>
      <c r="EH14" s="37"/>
      <c r="EI14" s="33"/>
      <c r="EJ14" s="34"/>
      <c r="EK14" s="35" t="str">
        <f t="shared" si="54"/>
        <v/>
      </c>
      <c r="EL14" s="36" t="str">
        <f t="shared" si="55"/>
        <v/>
      </c>
      <c r="EM14" s="37"/>
      <c r="EN14" s="33"/>
      <c r="EO14" s="34"/>
      <c r="EP14" s="35" t="str">
        <f t="shared" si="56"/>
        <v/>
      </c>
      <c r="EQ14" s="36" t="str">
        <f t="shared" si="57"/>
        <v/>
      </c>
      <c r="ER14" s="37"/>
      <c r="ES14" s="33"/>
      <c r="ET14" s="34"/>
      <c r="EU14" s="35" t="str">
        <f t="shared" si="58"/>
        <v/>
      </c>
      <c r="EV14" s="36" t="str">
        <f t="shared" si="59"/>
        <v/>
      </c>
      <c r="EW14" s="37"/>
    </row>
    <row r="15" spans="1:153" ht="19.5" customHeight="1">
      <c r="A15" s="32">
        <f>IF(DAY(DATE(対象年度,9,12))&lt;&gt;12,"",12)</f>
        <v>12</v>
      </c>
      <c r="B15" s="32" t="str">
        <f>IF(DAY(DATE(対象年度,9,12))&lt;&gt;12,"",CHOOSE(WEEKDAY(DATE(対象年度,9,12),2),"月","火","水","木","金","土","日"))</f>
        <v>土</v>
      </c>
      <c r="C15" s="32" t="str">
        <f>IF(DAY(DATE(対象年度,9,12))&lt;&gt;12,"",IF(ISNUMBER(MATCH(DATE(対象年度,9,12),祝日リスト,0)),"祝",""))</f>
        <v/>
      </c>
      <c r="D15" s="33"/>
      <c r="E15" s="34"/>
      <c r="F15" s="35" t="str">
        <f t="shared" si="0"/>
        <v/>
      </c>
      <c r="G15" s="36" t="str">
        <f t="shared" si="1"/>
        <v/>
      </c>
      <c r="H15" s="37"/>
      <c r="I15" s="33"/>
      <c r="J15" s="34"/>
      <c r="K15" s="35" t="str">
        <f t="shared" si="2"/>
        <v/>
      </c>
      <c r="L15" s="36" t="str">
        <f t="shared" si="3"/>
        <v/>
      </c>
      <c r="M15" s="37"/>
      <c r="N15" s="33"/>
      <c r="O15" s="34"/>
      <c r="P15" s="35" t="str">
        <f t="shared" si="4"/>
        <v/>
      </c>
      <c r="Q15" s="36" t="str">
        <f t="shared" si="5"/>
        <v/>
      </c>
      <c r="R15" s="37"/>
      <c r="S15" s="33"/>
      <c r="T15" s="34"/>
      <c r="U15" s="35" t="str">
        <f t="shared" si="6"/>
        <v/>
      </c>
      <c r="V15" s="36" t="str">
        <f t="shared" si="7"/>
        <v/>
      </c>
      <c r="W15" s="37"/>
      <c r="X15" s="33"/>
      <c r="Y15" s="34"/>
      <c r="Z15" s="35" t="str">
        <f t="shared" si="8"/>
        <v/>
      </c>
      <c r="AA15" s="36" t="str">
        <f t="shared" si="9"/>
        <v/>
      </c>
      <c r="AB15" s="37"/>
      <c r="AC15" s="33"/>
      <c r="AD15" s="34"/>
      <c r="AE15" s="35" t="str">
        <f t="shared" si="10"/>
        <v/>
      </c>
      <c r="AF15" s="36" t="str">
        <f t="shared" si="11"/>
        <v/>
      </c>
      <c r="AG15" s="37"/>
      <c r="AH15" s="33"/>
      <c r="AI15" s="34"/>
      <c r="AJ15" s="35" t="str">
        <f t="shared" si="12"/>
        <v/>
      </c>
      <c r="AK15" s="36" t="str">
        <f t="shared" si="13"/>
        <v/>
      </c>
      <c r="AL15" s="37"/>
      <c r="AM15" s="33"/>
      <c r="AN15" s="34"/>
      <c r="AO15" s="35" t="str">
        <f t="shared" si="14"/>
        <v/>
      </c>
      <c r="AP15" s="36" t="str">
        <f t="shared" si="15"/>
        <v/>
      </c>
      <c r="AQ15" s="37"/>
      <c r="AR15" s="33"/>
      <c r="AS15" s="34"/>
      <c r="AT15" s="35" t="str">
        <f t="shared" si="16"/>
        <v/>
      </c>
      <c r="AU15" s="36" t="str">
        <f t="shared" si="17"/>
        <v/>
      </c>
      <c r="AV15" s="37"/>
      <c r="AW15" s="33"/>
      <c r="AX15" s="34"/>
      <c r="AY15" s="35" t="str">
        <f t="shared" si="18"/>
        <v/>
      </c>
      <c r="AZ15" s="36" t="str">
        <f t="shared" si="19"/>
        <v/>
      </c>
      <c r="BA15" s="37"/>
      <c r="BB15" s="33"/>
      <c r="BC15" s="34"/>
      <c r="BD15" s="35" t="str">
        <f t="shared" si="20"/>
        <v/>
      </c>
      <c r="BE15" s="36" t="str">
        <f t="shared" si="21"/>
        <v/>
      </c>
      <c r="BF15" s="37"/>
      <c r="BG15" s="33"/>
      <c r="BH15" s="34"/>
      <c r="BI15" s="35" t="str">
        <f t="shared" si="22"/>
        <v/>
      </c>
      <c r="BJ15" s="36" t="str">
        <f t="shared" si="23"/>
        <v/>
      </c>
      <c r="BK15" s="37"/>
      <c r="BL15" s="33"/>
      <c r="BM15" s="34"/>
      <c r="BN15" s="35" t="str">
        <f t="shared" si="24"/>
        <v/>
      </c>
      <c r="BO15" s="36" t="str">
        <f t="shared" si="25"/>
        <v/>
      </c>
      <c r="BP15" s="37"/>
      <c r="BQ15" s="33"/>
      <c r="BR15" s="34"/>
      <c r="BS15" s="35" t="str">
        <f t="shared" si="26"/>
        <v/>
      </c>
      <c r="BT15" s="36" t="str">
        <f t="shared" si="27"/>
        <v/>
      </c>
      <c r="BU15" s="37"/>
      <c r="BV15" s="33"/>
      <c r="BW15" s="34"/>
      <c r="BX15" s="35" t="str">
        <f t="shared" si="28"/>
        <v/>
      </c>
      <c r="BY15" s="36" t="str">
        <f t="shared" si="29"/>
        <v/>
      </c>
      <c r="BZ15" s="37"/>
      <c r="CA15" s="33"/>
      <c r="CB15" s="34"/>
      <c r="CC15" s="35" t="str">
        <f t="shared" si="30"/>
        <v/>
      </c>
      <c r="CD15" s="36" t="str">
        <f t="shared" si="31"/>
        <v/>
      </c>
      <c r="CE15" s="37"/>
      <c r="CF15" s="33"/>
      <c r="CG15" s="34"/>
      <c r="CH15" s="35" t="str">
        <f t="shared" si="32"/>
        <v/>
      </c>
      <c r="CI15" s="36" t="str">
        <f t="shared" si="33"/>
        <v/>
      </c>
      <c r="CJ15" s="37"/>
      <c r="CK15" s="33"/>
      <c r="CL15" s="34"/>
      <c r="CM15" s="35" t="str">
        <f t="shared" si="34"/>
        <v/>
      </c>
      <c r="CN15" s="36" t="str">
        <f t="shared" si="35"/>
        <v/>
      </c>
      <c r="CO15" s="37"/>
      <c r="CP15" s="33"/>
      <c r="CQ15" s="34"/>
      <c r="CR15" s="35" t="str">
        <f t="shared" si="36"/>
        <v/>
      </c>
      <c r="CS15" s="36" t="str">
        <f t="shared" si="37"/>
        <v/>
      </c>
      <c r="CT15" s="37"/>
      <c r="CU15" s="33"/>
      <c r="CV15" s="34"/>
      <c r="CW15" s="35" t="str">
        <f t="shared" si="38"/>
        <v/>
      </c>
      <c r="CX15" s="36" t="str">
        <f t="shared" si="39"/>
        <v/>
      </c>
      <c r="CY15" s="37"/>
      <c r="CZ15" s="33"/>
      <c r="DA15" s="34"/>
      <c r="DB15" s="35" t="str">
        <f t="shared" si="40"/>
        <v/>
      </c>
      <c r="DC15" s="36" t="str">
        <f t="shared" si="41"/>
        <v/>
      </c>
      <c r="DD15" s="37"/>
      <c r="DE15" s="33"/>
      <c r="DF15" s="34"/>
      <c r="DG15" s="35" t="str">
        <f t="shared" si="42"/>
        <v/>
      </c>
      <c r="DH15" s="36" t="str">
        <f t="shared" si="43"/>
        <v/>
      </c>
      <c r="DI15" s="37"/>
      <c r="DJ15" s="33"/>
      <c r="DK15" s="34"/>
      <c r="DL15" s="35" t="str">
        <f t="shared" si="44"/>
        <v/>
      </c>
      <c r="DM15" s="36" t="str">
        <f t="shared" si="45"/>
        <v/>
      </c>
      <c r="DN15" s="37"/>
      <c r="DO15" s="33"/>
      <c r="DP15" s="34"/>
      <c r="DQ15" s="35" t="str">
        <f t="shared" si="46"/>
        <v/>
      </c>
      <c r="DR15" s="36" t="str">
        <f t="shared" si="47"/>
        <v/>
      </c>
      <c r="DS15" s="37"/>
      <c r="DT15" s="33"/>
      <c r="DU15" s="34"/>
      <c r="DV15" s="35" t="str">
        <f t="shared" si="48"/>
        <v/>
      </c>
      <c r="DW15" s="36" t="str">
        <f t="shared" si="49"/>
        <v/>
      </c>
      <c r="DX15" s="37"/>
      <c r="DY15" s="33"/>
      <c r="DZ15" s="34"/>
      <c r="EA15" s="35" t="str">
        <f t="shared" si="50"/>
        <v/>
      </c>
      <c r="EB15" s="36" t="str">
        <f t="shared" si="51"/>
        <v/>
      </c>
      <c r="EC15" s="37"/>
      <c r="ED15" s="33"/>
      <c r="EE15" s="34"/>
      <c r="EF15" s="35" t="str">
        <f t="shared" si="52"/>
        <v/>
      </c>
      <c r="EG15" s="36" t="str">
        <f t="shared" si="53"/>
        <v/>
      </c>
      <c r="EH15" s="37"/>
      <c r="EI15" s="33"/>
      <c r="EJ15" s="34"/>
      <c r="EK15" s="35" t="str">
        <f t="shared" si="54"/>
        <v/>
      </c>
      <c r="EL15" s="36" t="str">
        <f t="shared" si="55"/>
        <v/>
      </c>
      <c r="EM15" s="37"/>
      <c r="EN15" s="33"/>
      <c r="EO15" s="34"/>
      <c r="EP15" s="35" t="str">
        <f t="shared" si="56"/>
        <v/>
      </c>
      <c r="EQ15" s="36" t="str">
        <f t="shared" si="57"/>
        <v/>
      </c>
      <c r="ER15" s="37"/>
      <c r="ES15" s="33"/>
      <c r="ET15" s="34"/>
      <c r="EU15" s="35" t="str">
        <f t="shared" si="58"/>
        <v/>
      </c>
      <c r="EV15" s="36" t="str">
        <f t="shared" si="59"/>
        <v/>
      </c>
      <c r="EW15" s="37"/>
    </row>
    <row r="16" spans="1:153" ht="19.5" customHeight="1">
      <c r="A16" s="32">
        <f>IF(DAY(DATE(対象年度,9,13))&lt;&gt;13,"",13)</f>
        <v>13</v>
      </c>
      <c r="B16" s="32" t="str">
        <f>IF(DAY(DATE(対象年度,9,13))&lt;&gt;13,"",CHOOSE(WEEKDAY(DATE(対象年度,9,13),2),"月","火","水","木","金","土","日"))</f>
        <v>日</v>
      </c>
      <c r="C16" s="32" t="str">
        <f>IF(DAY(DATE(対象年度,9,13))&lt;&gt;13,"",IF(ISNUMBER(MATCH(DATE(対象年度,9,13),祝日リスト,0)),"祝",""))</f>
        <v/>
      </c>
      <c r="D16" s="33"/>
      <c r="E16" s="34"/>
      <c r="F16" s="35" t="str">
        <f t="shared" si="0"/>
        <v/>
      </c>
      <c r="G16" s="36" t="str">
        <f t="shared" si="1"/>
        <v/>
      </c>
      <c r="H16" s="37"/>
      <c r="I16" s="33"/>
      <c r="J16" s="34"/>
      <c r="K16" s="35" t="str">
        <f t="shared" si="2"/>
        <v/>
      </c>
      <c r="L16" s="36" t="str">
        <f t="shared" si="3"/>
        <v/>
      </c>
      <c r="M16" s="37"/>
      <c r="N16" s="33"/>
      <c r="O16" s="34"/>
      <c r="P16" s="35" t="str">
        <f t="shared" si="4"/>
        <v/>
      </c>
      <c r="Q16" s="36" t="str">
        <f t="shared" si="5"/>
        <v/>
      </c>
      <c r="R16" s="37"/>
      <c r="S16" s="33"/>
      <c r="T16" s="34"/>
      <c r="U16" s="35" t="str">
        <f t="shared" si="6"/>
        <v/>
      </c>
      <c r="V16" s="36" t="str">
        <f t="shared" si="7"/>
        <v/>
      </c>
      <c r="W16" s="37"/>
      <c r="X16" s="33"/>
      <c r="Y16" s="34"/>
      <c r="Z16" s="35" t="str">
        <f t="shared" si="8"/>
        <v/>
      </c>
      <c r="AA16" s="36" t="str">
        <f t="shared" si="9"/>
        <v/>
      </c>
      <c r="AB16" s="37"/>
      <c r="AC16" s="33"/>
      <c r="AD16" s="34"/>
      <c r="AE16" s="35" t="str">
        <f t="shared" si="10"/>
        <v/>
      </c>
      <c r="AF16" s="36" t="str">
        <f t="shared" si="11"/>
        <v/>
      </c>
      <c r="AG16" s="37"/>
      <c r="AH16" s="33"/>
      <c r="AI16" s="34"/>
      <c r="AJ16" s="35" t="str">
        <f t="shared" si="12"/>
        <v/>
      </c>
      <c r="AK16" s="36" t="str">
        <f t="shared" si="13"/>
        <v/>
      </c>
      <c r="AL16" s="37"/>
      <c r="AM16" s="33"/>
      <c r="AN16" s="34"/>
      <c r="AO16" s="35" t="str">
        <f t="shared" si="14"/>
        <v/>
      </c>
      <c r="AP16" s="36" t="str">
        <f t="shared" si="15"/>
        <v/>
      </c>
      <c r="AQ16" s="37"/>
      <c r="AR16" s="33"/>
      <c r="AS16" s="34"/>
      <c r="AT16" s="35" t="str">
        <f t="shared" si="16"/>
        <v/>
      </c>
      <c r="AU16" s="36" t="str">
        <f t="shared" si="17"/>
        <v/>
      </c>
      <c r="AV16" s="37"/>
      <c r="AW16" s="33"/>
      <c r="AX16" s="34"/>
      <c r="AY16" s="35" t="str">
        <f t="shared" si="18"/>
        <v/>
      </c>
      <c r="AZ16" s="36" t="str">
        <f t="shared" si="19"/>
        <v/>
      </c>
      <c r="BA16" s="37"/>
      <c r="BB16" s="33"/>
      <c r="BC16" s="34"/>
      <c r="BD16" s="35" t="str">
        <f t="shared" si="20"/>
        <v/>
      </c>
      <c r="BE16" s="36" t="str">
        <f t="shared" si="21"/>
        <v/>
      </c>
      <c r="BF16" s="37"/>
      <c r="BG16" s="33"/>
      <c r="BH16" s="34"/>
      <c r="BI16" s="35" t="str">
        <f t="shared" si="22"/>
        <v/>
      </c>
      <c r="BJ16" s="36" t="str">
        <f t="shared" si="23"/>
        <v/>
      </c>
      <c r="BK16" s="37"/>
      <c r="BL16" s="33"/>
      <c r="BM16" s="34"/>
      <c r="BN16" s="35" t="str">
        <f t="shared" si="24"/>
        <v/>
      </c>
      <c r="BO16" s="36" t="str">
        <f t="shared" si="25"/>
        <v/>
      </c>
      <c r="BP16" s="37"/>
      <c r="BQ16" s="33"/>
      <c r="BR16" s="34"/>
      <c r="BS16" s="35" t="str">
        <f t="shared" si="26"/>
        <v/>
      </c>
      <c r="BT16" s="36" t="str">
        <f t="shared" si="27"/>
        <v/>
      </c>
      <c r="BU16" s="37"/>
      <c r="BV16" s="33"/>
      <c r="BW16" s="34"/>
      <c r="BX16" s="35" t="str">
        <f t="shared" si="28"/>
        <v/>
      </c>
      <c r="BY16" s="36" t="str">
        <f t="shared" si="29"/>
        <v/>
      </c>
      <c r="BZ16" s="37"/>
      <c r="CA16" s="33"/>
      <c r="CB16" s="34"/>
      <c r="CC16" s="35" t="str">
        <f t="shared" si="30"/>
        <v/>
      </c>
      <c r="CD16" s="36" t="str">
        <f t="shared" si="31"/>
        <v/>
      </c>
      <c r="CE16" s="37"/>
      <c r="CF16" s="33"/>
      <c r="CG16" s="34"/>
      <c r="CH16" s="35" t="str">
        <f t="shared" si="32"/>
        <v/>
      </c>
      <c r="CI16" s="36" t="str">
        <f t="shared" si="33"/>
        <v/>
      </c>
      <c r="CJ16" s="37"/>
      <c r="CK16" s="33"/>
      <c r="CL16" s="34"/>
      <c r="CM16" s="35" t="str">
        <f t="shared" si="34"/>
        <v/>
      </c>
      <c r="CN16" s="36" t="str">
        <f t="shared" si="35"/>
        <v/>
      </c>
      <c r="CO16" s="37"/>
      <c r="CP16" s="33"/>
      <c r="CQ16" s="34"/>
      <c r="CR16" s="35" t="str">
        <f t="shared" si="36"/>
        <v/>
      </c>
      <c r="CS16" s="36" t="str">
        <f t="shared" si="37"/>
        <v/>
      </c>
      <c r="CT16" s="37"/>
      <c r="CU16" s="33"/>
      <c r="CV16" s="34"/>
      <c r="CW16" s="35" t="str">
        <f t="shared" si="38"/>
        <v/>
      </c>
      <c r="CX16" s="36" t="str">
        <f t="shared" si="39"/>
        <v/>
      </c>
      <c r="CY16" s="37"/>
      <c r="CZ16" s="33"/>
      <c r="DA16" s="34"/>
      <c r="DB16" s="35" t="str">
        <f t="shared" si="40"/>
        <v/>
      </c>
      <c r="DC16" s="36" t="str">
        <f t="shared" si="41"/>
        <v/>
      </c>
      <c r="DD16" s="37"/>
      <c r="DE16" s="33"/>
      <c r="DF16" s="34"/>
      <c r="DG16" s="35" t="str">
        <f t="shared" si="42"/>
        <v/>
      </c>
      <c r="DH16" s="36" t="str">
        <f t="shared" si="43"/>
        <v/>
      </c>
      <c r="DI16" s="37"/>
      <c r="DJ16" s="33"/>
      <c r="DK16" s="34"/>
      <c r="DL16" s="35" t="str">
        <f t="shared" si="44"/>
        <v/>
      </c>
      <c r="DM16" s="36" t="str">
        <f t="shared" si="45"/>
        <v/>
      </c>
      <c r="DN16" s="37"/>
      <c r="DO16" s="33"/>
      <c r="DP16" s="34"/>
      <c r="DQ16" s="35" t="str">
        <f t="shared" si="46"/>
        <v/>
      </c>
      <c r="DR16" s="36" t="str">
        <f t="shared" si="47"/>
        <v/>
      </c>
      <c r="DS16" s="37"/>
      <c r="DT16" s="33"/>
      <c r="DU16" s="34"/>
      <c r="DV16" s="35" t="str">
        <f t="shared" si="48"/>
        <v/>
      </c>
      <c r="DW16" s="36" t="str">
        <f t="shared" si="49"/>
        <v/>
      </c>
      <c r="DX16" s="37"/>
      <c r="DY16" s="33"/>
      <c r="DZ16" s="34"/>
      <c r="EA16" s="35" t="str">
        <f t="shared" si="50"/>
        <v/>
      </c>
      <c r="EB16" s="36" t="str">
        <f t="shared" si="51"/>
        <v/>
      </c>
      <c r="EC16" s="37"/>
      <c r="ED16" s="33"/>
      <c r="EE16" s="34"/>
      <c r="EF16" s="35" t="str">
        <f t="shared" si="52"/>
        <v/>
      </c>
      <c r="EG16" s="36" t="str">
        <f t="shared" si="53"/>
        <v/>
      </c>
      <c r="EH16" s="37"/>
      <c r="EI16" s="33"/>
      <c r="EJ16" s="34"/>
      <c r="EK16" s="35" t="str">
        <f t="shared" si="54"/>
        <v/>
      </c>
      <c r="EL16" s="36" t="str">
        <f t="shared" si="55"/>
        <v/>
      </c>
      <c r="EM16" s="37"/>
      <c r="EN16" s="33"/>
      <c r="EO16" s="34"/>
      <c r="EP16" s="35" t="str">
        <f t="shared" si="56"/>
        <v/>
      </c>
      <c r="EQ16" s="36" t="str">
        <f t="shared" si="57"/>
        <v/>
      </c>
      <c r="ER16" s="37"/>
      <c r="ES16" s="33"/>
      <c r="ET16" s="34"/>
      <c r="EU16" s="35" t="str">
        <f t="shared" si="58"/>
        <v/>
      </c>
      <c r="EV16" s="36" t="str">
        <f t="shared" si="59"/>
        <v/>
      </c>
      <c r="EW16" s="37"/>
    </row>
    <row r="17" spans="1:153" ht="19.5" customHeight="1">
      <c r="A17" s="32">
        <f>IF(DAY(DATE(対象年度,9,14))&lt;&gt;14,"",14)</f>
        <v>14</v>
      </c>
      <c r="B17" s="32" t="str">
        <f>IF(DAY(DATE(対象年度,9,14))&lt;&gt;14,"",CHOOSE(WEEKDAY(DATE(対象年度,9,14),2),"月","火","水","木","金","土","日"))</f>
        <v>月</v>
      </c>
      <c r="C17" s="32" t="str">
        <f>IF(DAY(DATE(対象年度,9,14))&lt;&gt;14,"",IF(ISNUMBER(MATCH(DATE(対象年度,9,14),祝日リスト,0)),"祝",""))</f>
        <v/>
      </c>
      <c r="D17" s="33"/>
      <c r="E17" s="34"/>
      <c r="F17" s="35" t="str">
        <f t="shared" si="0"/>
        <v/>
      </c>
      <c r="G17" s="36" t="str">
        <f t="shared" si="1"/>
        <v/>
      </c>
      <c r="H17" s="37"/>
      <c r="I17" s="33"/>
      <c r="J17" s="34"/>
      <c r="K17" s="35" t="str">
        <f t="shared" si="2"/>
        <v/>
      </c>
      <c r="L17" s="36" t="str">
        <f t="shared" si="3"/>
        <v/>
      </c>
      <c r="M17" s="37"/>
      <c r="N17" s="33"/>
      <c r="O17" s="34"/>
      <c r="P17" s="35" t="str">
        <f t="shared" si="4"/>
        <v/>
      </c>
      <c r="Q17" s="36" t="str">
        <f t="shared" si="5"/>
        <v/>
      </c>
      <c r="R17" s="37"/>
      <c r="S17" s="33"/>
      <c r="T17" s="34"/>
      <c r="U17" s="35" t="str">
        <f t="shared" si="6"/>
        <v/>
      </c>
      <c r="V17" s="36" t="str">
        <f t="shared" si="7"/>
        <v/>
      </c>
      <c r="W17" s="37"/>
      <c r="X17" s="33"/>
      <c r="Y17" s="34"/>
      <c r="Z17" s="35" t="str">
        <f t="shared" si="8"/>
        <v/>
      </c>
      <c r="AA17" s="36" t="str">
        <f t="shared" si="9"/>
        <v/>
      </c>
      <c r="AB17" s="37"/>
      <c r="AC17" s="33"/>
      <c r="AD17" s="34"/>
      <c r="AE17" s="35" t="str">
        <f t="shared" si="10"/>
        <v/>
      </c>
      <c r="AF17" s="36" t="str">
        <f t="shared" si="11"/>
        <v/>
      </c>
      <c r="AG17" s="37"/>
      <c r="AH17" s="33"/>
      <c r="AI17" s="34"/>
      <c r="AJ17" s="35" t="str">
        <f t="shared" si="12"/>
        <v/>
      </c>
      <c r="AK17" s="36" t="str">
        <f t="shared" si="13"/>
        <v/>
      </c>
      <c r="AL17" s="37"/>
      <c r="AM17" s="33"/>
      <c r="AN17" s="34"/>
      <c r="AO17" s="35" t="str">
        <f t="shared" si="14"/>
        <v/>
      </c>
      <c r="AP17" s="36" t="str">
        <f t="shared" si="15"/>
        <v/>
      </c>
      <c r="AQ17" s="37"/>
      <c r="AR17" s="33"/>
      <c r="AS17" s="34"/>
      <c r="AT17" s="35" t="str">
        <f t="shared" si="16"/>
        <v/>
      </c>
      <c r="AU17" s="36" t="str">
        <f t="shared" si="17"/>
        <v/>
      </c>
      <c r="AV17" s="37"/>
      <c r="AW17" s="33"/>
      <c r="AX17" s="34"/>
      <c r="AY17" s="35" t="str">
        <f t="shared" si="18"/>
        <v/>
      </c>
      <c r="AZ17" s="36" t="str">
        <f t="shared" si="19"/>
        <v/>
      </c>
      <c r="BA17" s="37"/>
      <c r="BB17" s="33"/>
      <c r="BC17" s="34"/>
      <c r="BD17" s="35" t="str">
        <f t="shared" si="20"/>
        <v/>
      </c>
      <c r="BE17" s="36" t="str">
        <f t="shared" si="21"/>
        <v/>
      </c>
      <c r="BF17" s="37"/>
      <c r="BG17" s="33"/>
      <c r="BH17" s="34"/>
      <c r="BI17" s="35" t="str">
        <f t="shared" si="22"/>
        <v/>
      </c>
      <c r="BJ17" s="36" t="str">
        <f t="shared" si="23"/>
        <v/>
      </c>
      <c r="BK17" s="37"/>
      <c r="BL17" s="33"/>
      <c r="BM17" s="34"/>
      <c r="BN17" s="35" t="str">
        <f t="shared" si="24"/>
        <v/>
      </c>
      <c r="BO17" s="36" t="str">
        <f t="shared" si="25"/>
        <v/>
      </c>
      <c r="BP17" s="37"/>
      <c r="BQ17" s="33"/>
      <c r="BR17" s="34"/>
      <c r="BS17" s="35" t="str">
        <f t="shared" si="26"/>
        <v/>
      </c>
      <c r="BT17" s="36" t="str">
        <f t="shared" si="27"/>
        <v/>
      </c>
      <c r="BU17" s="37"/>
      <c r="BV17" s="33"/>
      <c r="BW17" s="34"/>
      <c r="BX17" s="35" t="str">
        <f t="shared" si="28"/>
        <v/>
      </c>
      <c r="BY17" s="36" t="str">
        <f t="shared" si="29"/>
        <v/>
      </c>
      <c r="BZ17" s="37"/>
      <c r="CA17" s="33"/>
      <c r="CB17" s="34"/>
      <c r="CC17" s="35" t="str">
        <f t="shared" si="30"/>
        <v/>
      </c>
      <c r="CD17" s="36" t="str">
        <f t="shared" si="31"/>
        <v/>
      </c>
      <c r="CE17" s="37"/>
      <c r="CF17" s="33"/>
      <c r="CG17" s="34"/>
      <c r="CH17" s="35" t="str">
        <f t="shared" si="32"/>
        <v/>
      </c>
      <c r="CI17" s="36" t="str">
        <f t="shared" si="33"/>
        <v/>
      </c>
      <c r="CJ17" s="37"/>
      <c r="CK17" s="33"/>
      <c r="CL17" s="34"/>
      <c r="CM17" s="35" t="str">
        <f t="shared" si="34"/>
        <v/>
      </c>
      <c r="CN17" s="36" t="str">
        <f t="shared" si="35"/>
        <v/>
      </c>
      <c r="CO17" s="37"/>
      <c r="CP17" s="33"/>
      <c r="CQ17" s="34"/>
      <c r="CR17" s="35" t="str">
        <f t="shared" si="36"/>
        <v/>
      </c>
      <c r="CS17" s="36" t="str">
        <f t="shared" si="37"/>
        <v/>
      </c>
      <c r="CT17" s="37"/>
      <c r="CU17" s="33"/>
      <c r="CV17" s="34"/>
      <c r="CW17" s="35" t="str">
        <f t="shared" si="38"/>
        <v/>
      </c>
      <c r="CX17" s="36" t="str">
        <f t="shared" si="39"/>
        <v/>
      </c>
      <c r="CY17" s="37"/>
      <c r="CZ17" s="33"/>
      <c r="DA17" s="34"/>
      <c r="DB17" s="35" t="str">
        <f t="shared" si="40"/>
        <v/>
      </c>
      <c r="DC17" s="36" t="str">
        <f t="shared" si="41"/>
        <v/>
      </c>
      <c r="DD17" s="37"/>
      <c r="DE17" s="33"/>
      <c r="DF17" s="34"/>
      <c r="DG17" s="35" t="str">
        <f t="shared" si="42"/>
        <v/>
      </c>
      <c r="DH17" s="36" t="str">
        <f t="shared" si="43"/>
        <v/>
      </c>
      <c r="DI17" s="37"/>
      <c r="DJ17" s="33"/>
      <c r="DK17" s="34"/>
      <c r="DL17" s="35" t="str">
        <f t="shared" si="44"/>
        <v/>
      </c>
      <c r="DM17" s="36" t="str">
        <f t="shared" si="45"/>
        <v/>
      </c>
      <c r="DN17" s="37"/>
      <c r="DO17" s="33"/>
      <c r="DP17" s="34"/>
      <c r="DQ17" s="35" t="str">
        <f t="shared" si="46"/>
        <v/>
      </c>
      <c r="DR17" s="36" t="str">
        <f t="shared" si="47"/>
        <v/>
      </c>
      <c r="DS17" s="37"/>
      <c r="DT17" s="33"/>
      <c r="DU17" s="34"/>
      <c r="DV17" s="35" t="str">
        <f t="shared" si="48"/>
        <v/>
      </c>
      <c r="DW17" s="36" t="str">
        <f t="shared" si="49"/>
        <v/>
      </c>
      <c r="DX17" s="37"/>
      <c r="DY17" s="33"/>
      <c r="DZ17" s="34"/>
      <c r="EA17" s="35" t="str">
        <f t="shared" si="50"/>
        <v/>
      </c>
      <c r="EB17" s="36" t="str">
        <f t="shared" si="51"/>
        <v/>
      </c>
      <c r="EC17" s="37"/>
      <c r="ED17" s="33"/>
      <c r="EE17" s="34"/>
      <c r="EF17" s="35" t="str">
        <f t="shared" si="52"/>
        <v/>
      </c>
      <c r="EG17" s="36" t="str">
        <f t="shared" si="53"/>
        <v/>
      </c>
      <c r="EH17" s="37"/>
      <c r="EI17" s="33"/>
      <c r="EJ17" s="34"/>
      <c r="EK17" s="35" t="str">
        <f t="shared" si="54"/>
        <v/>
      </c>
      <c r="EL17" s="36" t="str">
        <f t="shared" si="55"/>
        <v/>
      </c>
      <c r="EM17" s="37"/>
      <c r="EN17" s="33"/>
      <c r="EO17" s="34"/>
      <c r="EP17" s="35" t="str">
        <f t="shared" si="56"/>
        <v/>
      </c>
      <c r="EQ17" s="36" t="str">
        <f t="shared" si="57"/>
        <v/>
      </c>
      <c r="ER17" s="37"/>
      <c r="ES17" s="33"/>
      <c r="ET17" s="34"/>
      <c r="EU17" s="35" t="str">
        <f t="shared" si="58"/>
        <v/>
      </c>
      <c r="EV17" s="36" t="str">
        <f t="shared" si="59"/>
        <v/>
      </c>
      <c r="EW17" s="37"/>
    </row>
    <row r="18" spans="1:153" ht="19.5" customHeight="1">
      <c r="A18" s="32">
        <f>IF(DAY(DATE(対象年度,9,15))&lt;&gt;15,"",15)</f>
        <v>15</v>
      </c>
      <c r="B18" s="32" t="str">
        <f>IF(DAY(DATE(対象年度,9,15))&lt;&gt;15,"",CHOOSE(WEEKDAY(DATE(対象年度,9,15),2),"月","火","水","木","金","土","日"))</f>
        <v>火</v>
      </c>
      <c r="C18" s="32" t="str">
        <f>IF(DAY(DATE(対象年度,9,15))&lt;&gt;15,"",IF(ISNUMBER(MATCH(DATE(対象年度,9,15),祝日リスト,0)),"祝",""))</f>
        <v/>
      </c>
      <c r="D18" s="33"/>
      <c r="E18" s="34"/>
      <c r="F18" s="35" t="str">
        <f t="shared" si="0"/>
        <v/>
      </c>
      <c r="G18" s="36" t="str">
        <f t="shared" si="1"/>
        <v/>
      </c>
      <c r="H18" s="37"/>
      <c r="I18" s="33"/>
      <c r="J18" s="34"/>
      <c r="K18" s="35" t="str">
        <f t="shared" si="2"/>
        <v/>
      </c>
      <c r="L18" s="36" t="str">
        <f t="shared" si="3"/>
        <v/>
      </c>
      <c r="M18" s="37"/>
      <c r="N18" s="33"/>
      <c r="O18" s="34"/>
      <c r="P18" s="35" t="str">
        <f t="shared" si="4"/>
        <v/>
      </c>
      <c r="Q18" s="36" t="str">
        <f t="shared" si="5"/>
        <v/>
      </c>
      <c r="R18" s="37"/>
      <c r="S18" s="33"/>
      <c r="T18" s="34"/>
      <c r="U18" s="35" t="str">
        <f t="shared" si="6"/>
        <v/>
      </c>
      <c r="V18" s="36" t="str">
        <f t="shared" si="7"/>
        <v/>
      </c>
      <c r="W18" s="37"/>
      <c r="X18" s="33"/>
      <c r="Y18" s="34"/>
      <c r="Z18" s="35" t="str">
        <f t="shared" si="8"/>
        <v/>
      </c>
      <c r="AA18" s="36" t="str">
        <f t="shared" si="9"/>
        <v/>
      </c>
      <c r="AB18" s="37"/>
      <c r="AC18" s="33"/>
      <c r="AD18" s="34"/>
      <c r="AE18" s="35" t="str">
        <f t="shared" si="10"/>
        <v/>
      </c>
      <c r="AF18" s="36" t="str">
        <f t="shared" si="11"/>
        <v/>
      </c>
      <c r="AG18" s="37"/>
      <c r="AH18" s="33"/>
      <c r="AI18" s="34"/>
      <c r="AJ18" s="35" t="str">
        <f t="shared" si="12"/>
        <v/>
      </c>
      <c r="AK18" s="36" t="str">
        <f t="shared" si="13"/>
        <v/>
      </c>
      <c r="AL18" s="37"/>
      <c r="AM18" s="33"/>
      <c r="AN18" s="34"/>
      <c r="AO18" s="35" t="str">
        <f t="shared" si="14"/>
        <v/>
      </c>
      <c r="AP18" s="36" t="str">
        <f t="shared" si="15"/>
        <v/>
      </c>
      <c r="AQ18" s="37"/>
      <c r="AR18" s="33"/>
      <c r="AS18" s="34"/>
      <c r="AT18" s="35" t="str">
        <f t="shared" si="16"/>
        <v/>
      </c>
      <c r="AU18" s="36" t="str">
        <f t="shared" si="17"/>
        <v/>
      </c>
      <c r="AV18" s="37"/>
      <c r="AW18" s="33"/>
      <c r="AX18" s="34"/>
      <c r="AY18" s="35" t="str">
        <f t="shared" si="18"/>
        <v/>
      </c>
      <c r="AZ18" s="36" t="str">
        <f t="shared" si="19"/>
        <v/>
      </c>
      <c r="BA18" s="37"/>
      <c r="BB18" s="33"/>
      <c r="BC18" s="34"/>
      <c r="BD18" s="35" t="str">
        <f t="shared" si="20"/>
        <v/>
      </c>
      <c r="BE18" s="36" t="str">
        <f t="shared" si="21"/>
        <v/>
      </c>
      <c r="BF18" s="37"/>
      <c r="BG18" s="33"/>
      <c r="BH18" s="34"/>
      <c r="BI18" s="35" t="str">
        <f t="shared" si="22"/>
        <v/>
      </c>
      <c r="BJ18" s="36" t="str">
        <f t="shared" si="23"/>
        <v/>
      </c>
      <c r="BK18" s="37"/>
      <c r="BL18" s="33"/>
      <c r="BM18" s="34"/>
      <c r="BN18" s="35" t="str">
        <f t="shared" si="24"/>
        <v/>
      </c>
      <c r="BO18" s="36" t="str">
        <f t="shared" si="25"/>
        <v/>
      </c>
      <c r="BP18" s="37"/>
      <c r="BQ18" s="33"/>
      <c r="BR18" s="34"/>
      <c r="BS18" s="35" t="str">
        <f t="shared" si="26"/>
        <v/>
      </c>
      <c r="BT18" s="36" t="str">
        <f t="shared" si="27"/>
        <v/>
      </c>
      <c r="BU18" s="37"/>
      <c r="BV18" s="33"/>
      <c r="BW18" s="34"/>
      <c r="BX18" s="35" t="str">
        <f t="shared" si="28"/>
        <v/>
      </c>
      <c r="BY18" s="36" t="str">
        <f t="shared" si="29"/>
        <v/>
      </c>
      <c r="BZ18" s="37"/>
      <c r="CA18" s="33"/>
      <c r="CB18" s="34"/>
      <c r="CC18" s="35" t="str">
        <f t="shared" si="30"/>
        <v/>
      </c>
      <c r="CD18" s="36" t="str">
        <f t="shared" si="31"/>
        <v/>
      </c>
      <c r="CE18" s="37"/>
      <c r="CF18" s="33"/>
      <c r="CG18" s="34"/>
      <c r="CH18" s="35" t="str">
        <f t="shared" si="32"/>
        <v/>
      </c>
      <c r="CI18" s="36" t="str">
        <f t="shared" si="33"/>
        <v/>
      </c>
      <c r="CJ18" s="37"/>
      <c r="CK18" s="33"/>
      <c r="CL18" s="34"/>
      <c r="CM18" s="35" t="str">
        <f t="shared" si="34"/>
        <v/>
      </c>
      <c r="CN18" s="36" t="str">
        <f t="shared" si="35"/>
        <v/>
      </c>
      <c r="CO18" s="37"/>
      <c r="CP18" s="33"/>
      <c r="CQ18" s="34"/>
      <c r="CR18" s="35" t="str">
        <f t="shared" si="36"/>
        <v/>
      </c>
      <c r="CS18" s="36" t="str">
        <f t="shared" si="37"/>
        <v/>
      </c>
      <c r="CT18" s="37"/>
      <c r="CU18" s="33"/>
      <c r="CV18" s="34"/>
      <c r="CW18" s="35" t="str">
        <f t="shared" si="38"/>
        <v/>
      </c>
      <c r="CX18" s="36" t="str">
        <f t="shared" si="39"/>
        <v/>
      </c>
      <c r="CY18" s="37"/>
      <c r="CZ18" s="33"/>
      <c r="DA18" s="34"/>
      <c r="DB18" s="35" t="str">
        <f t="shared" si="40"/>
        <v/>
      </c>
      <c r="DC18" s="36" t="str">
        <f t="shared" si="41"/>
        <v/>
      </c>
      <c r="DD18" s="37"/>
      <c r="DE18" s="33"/>
      <c r="DF18" s="34"/>
      <c r="DG18" s="35" t="str">
        <f t="shared" si="42"/>
        <v/>
      </c>
      <c r="DH18" s="36" t="str">
        <f t="shared" si="43"/>
        <v/>
      </c>
      <c r="DI18" s="37"/>
      <c r="DJ18" s="33"/>
      <c r="DK18" s="34"/>
      <c r="DL18" s="35" t="str">
        <f t="shared" si="44"/>
        <v/>
      </c>
      <c r="DM18" s="36" t="str">
        <f t="shared" si="45"/>
        <v/>
      </c>
      <c r="DN18" s="37"/>
      <c r="DO18" s="33"/>
      <c r="DP18" s="34"/>
      <c r="DQ18" s="35" t="str">
        <f t="shared" si="46"/>
        <v/>
      </c>
      <c r="DR18" s="36" t="str">
        <f t="shared" si="47"/>
        <v/>
      </c>
      <c r="DS18" s="37"/>
      <c r="DT18" s="33"/>
      <c r="DU18" s="34"/>
      <c r="DV18" s="35" t="str">
        <f t="shared" si="48"/>
        <v/>
      </c>
      <c r="DW18" s="36" t="str">
        <f t="shared" si="49"/>
        <v/>
      </c>
      <c r="DX18" s="37"/>
      <c r="DY18" s="33"/>
      <c r="DZ18" s="34"/>
      <c r="EA18" s="35" t="str">
        <f t="shared" si="50"/>
        <v/>
      </c>
      <c r="EB18" s="36" t="str">
        <f t="shared" si="51"/>
        <v/>
      </c>
      <c r="EC18" s="37"/>
      <c r="ED18" s="33"/>
      <c r="EE18" s="34"/>
      <c r="EF18" s="35" t="str">
        <f t="shared" si="52"/>
        <v/>
      </c>
      <c r="EG18" s="36" t="str">
        <f t="shared" si="53"/>
        <v/>
      </c>
      <c r="EH18" s="37"/>
      <c r="EI18" s="33"/>
      <c r="EJ18" s="34"/>
      <c r="EK18" s="35" t="str">
        <f t="shared" si="54"/>
        <v/>
      </c>
      <c r="EL18" s="36" t="str">
        <f t="shared" si="55"/>
        <v/>
      </c>
      <c r="EM18" s="37"/>
      <c r="EN18" s="33"/>
      <c r="EO18" s="34"/>
      <c r="EP18" s="35" t="str">
        <f t="shared" si="56"/>
        <v/>
      </c>
      <c r="EQ18" s="36" t="str">
        <f t="shared" si="57"/>
        <v/>
      </c>
      <c r="ER18" s="37"/>
      <c r="ES18" s="33"/>
      <c r="ET18" s="34"/>
      <c r="EU18" s="35" t="str">
        <f t="shared" si="58"/>
        <v/>
      </c>
      <c r="EV18" s="36" t="str">
        <f t="shared" si="59"/>
        <v/>
      </c>
      <c r="EW18" s="37"/>
    </row>
    <row r="19" spans="1:153" ht="19.5" customHeight="1">
      <c r="A19" s="32">
        <f>IF(DAY(DATE(対象年度,9,16))&lt;&gt;16,"",16)</f>
        <v>16</v>
      </c>
      <c r="B19" s="32" t="str">
        <f>IF(DAY(DATE(対象年度,9,16))&lt;&gt;16,"",CHOOSE(WEEKDAY(DATE(対象年度,9,16),2),"月","火","水","木","金","土","日"))</f>
        <v>水</v>
      </c>
      <c r="C19" s="32" t="str">
        <f>IF(DAY(DATE(対象年度,9,16))&lt;&gt;16,"",IF(ISNUMBER(MATCH(DATE(対象年度,9,16),祝日リスト,0)),"祝",""))</f>
        <v/>
      </c>
      <c r="D19" s="33"/>
      <c r="E19" s="34"/>
      <c r="F19" s="35" t="str">
        <f t="shared" si="0"/>
        <v/>
      </c>
      <c r="G19" s="36" t="str">
        <f t="shared" si="1"/>
        <v/>
      </c>
      <c r="H19" s="37"/>
      <c r="I19" s="33"/>
      <c r="J19" s="34"/>
      <c r="K19" s="35" t="str">
        <f t="shared" si="2"/>
        <v/>
      </c>
      <c r="L19" s="36" t="str">
        <f t="shared" si="3"/>
        <v/>
      </c>
      <c r="M19" s="37"/>
      <c r="N19" s="33"/>
      <c r="O19" s="34"/>
      <c r="P19" s="35" t="str">
        <f t="shared" si="4"/>
        <v/>
      </c>
      <c r="Q19" s="36" t="str">
        <f t="shared" si="5"/>
        <v/>
      </c>
      <c r="R19" s="37"/>
      <c r="S19" s="33"/>
      <c r="T19" s="34"/>
      <c r="U19" s="35" t="str">
        <f t="shared" si="6"/>
        <v/>
      </c>
      <c r="V19" s="36" t="str">
        <f t="shared" si="7"/>
        <v/>
      </c>
      <c r="W19" s="37"/>
      <c r="X19" s="33"/>
      <c r="Y19" s="34"/>
      <c r="Z19" s="35" t="str">
        <f t="shared" si="8"/>
        <v/>
      </c>
      <c r="AA19" s="36" t="str">
        <f t="shared" si="9"/>
        <v/>
      </c>
      <c r="AB19" s="37"/>
      <c r="AC19" s="33"/>
      <c r="AD19" s="34"/>
      <c r="AE19" s="35" t="str">
        <f t="shared" si="10"/>
        <v/>
      </c>
      <c r="AF19" s="36" t="str">
        <f t="shared" si="11"/>
        <v/>
      </c>
      <c r="AG19" s="37"/>
      <c r="AH19" s="33"/>
      <c r="AI19" s="34"/>
      <c r="AJ19" s="35" t="str">
        <f t="shared" si="12"/>
        <v/>
      </c>
      <c r="AK19" s="36" t="str">
        <f t="shared" si="13"/>
        <v/>
      </c>
      <c r="AL19" s="37"/>
      <c r="AM19" s="33"/>
      <c r="AN19" s="34"/>
      <c r="AO19" s="35" t="str">
        <f t="shared" si="14"/>
        <v/>
      </c>
      <c r="AP19" s="36" t="str">
        <f t="shared" si="15"/>
        <v/>
      </c>
      <c r="AQ19" s="37"/>
      <c r="AR19" s="33"/>
      <c r="AS19" s="34"/>
      <c r="AT19" s="35" t="str">
        <f t="shared" si="16"/>
        <v/>
      </c>
      <c r="AU19" s="36" t="str">
        <f t="shared" si="17"/>
        <v/>
      </c>
      <c r="AV19" s="37"/>
      <c r="AW19" s="33"/>
      <c r="AX19" s="34"/>
      <c r="AY19" s="35" t="str">
        <f t="shared" si="18"/>
        <v/>
      </c>
      <c r="AZ19" s="36" t="str">
        <f t="shared" si="19"/>
        <v/>
      </c>
      <c r="BA19" s="37"/>
      <c r="BB19" s="33"/>
      <c r="BC19" s="34"/>
      <c r="BD19" s="35" t="str">
        <f t="shared" si="20"/>
        <v/>
      </c>
      <c r="BE19" s="36" t="str">
        <f t="shared" si="21"/>
        <v/>
      </c>
      <c r="BF19" s="37"/>
      <c r="BG19" s="33"/>
      <c r="BH19" s="34"/>
      <c r="BI19" s="35" t="str">
        <f t="shared" si="22"/>
        <v/>
      </c>
      <c r="BJ19" s="36" t="str">
        <f t="shared" si="23"/>
        <v/>
      </c>
      <c r="BK19" s="37"/>
      <c r="BL19" s="33"/>
      <c r="BM19" s="34"/>
      <c r="BN19" s="35" t="str">
        <f t="shared" si="24"/>
        <v/>
      </c>
      <c r="BO19" s="36" t="str">
        <f t="shared" si="25"/>
        <v/>
      </c>
      <c r="BP19" s="37"/>
      <c r="BQ19" s="33"/>
      <c r="BR19" s="34"/>
      <c r="BS19" s="35" t="str">
        <f t="shared" si="26"/>
        <v/>
      </c>
      <c r="BT19" s="36" t="str">
        <f t="shared" si="27"/>
        <v/>
      </c>
      <c r="BU19" s="37"/>
      <c r="BV19" s="33"/>
      <c r="BW19" s="34"/>
      <c r="BX19" s="35" t="str">
        <f t="shared" si="28"/>
        <v/>
      </c>
      <c r="BY19" s="36" t="str">
        <f t="shared" si="29"/>
        <v/>
      </c>
      <c r="BZ19" s="37"/>
      <c r="CA19" s="33"/>
      <c r="CB19" s="34"/>
      <c r="CC19" s="35" t="str">
        <f t="shared" si="30"/>
        <v/>
      </c>
      <c r="CD19" s="36" t="str">
        <f t="shared" si="31"/>
        <v/>
      </c>
      <c r="CE19" s="37"/>
      <c r="CF19" s="33"/>
      <c r="CG19" s="34"/>
      <c r="CH19" s="35" t="str">
        <f t="shared" si="32"/>
        <v/>
      </c>
      <c r="CI19" s="36" t="str">
        <f t="shared" si="33"/>
        <v/>
      </c>
      <c r="CJ19" s="37"/>
      <c r="CK19" s="33"/>
      <c r="CL19" s="34"/>
      <c r="CM19" s="35" t="str">
        <f t="shared" si="34"/>
        <v/>
      </c>
      <c r="CN19" s="36" t="str">
        <f t="shared" si="35"/>
        <v/>
      </c>
      <c r="CO19" s="37"/>
      <c r="CP19" s="33"/>
      <c r="CQ19" s="34"/>
      <c r="CR19" s="35" t="str">
        <f t="shared" si="36"/>
        <v/>
      </c>
      <c r="CS19" s="36" t="str">
        <f t="shared" si="37"/>
        <v/>
      </c>
      <c r="CT19" s="37"/>
      <c r="CU19" s="33"/>
      <c r="CV19" s="34"/>
      <c r="CW19" s="35" t="str">
        <f t="shared" si="38"/>
        <v/>
      </c>
      <c r="CX19" s="36" t="str">
        <f t="shared" si="39"/>
        <v/>
      </c>
      <c r="CY19" s="37"/>
      <c r="CZ19" s="33"/>
      <c r="DA19" s="34"/>
      <c r="DB19" s="35" t="str">
        <f t="shared" si="40"/>
        <v/>
      </c>
      <c r="DC19" s="36" t="str">
        <f t="shared" si="41"/>
        <v/>
      </c>
      <c r="DD19" s="37"/>
      <c r="DE19" s="33"/>
      <c r="DF19" s="34"/>
      <c r="DG19" s="35" t="str">
        <f t="shared" si="42"/>
        <v/>
      </c>
      <c r="DH19" s="36" t="str">
        <f t="shared" si="43"/>
        <v/>
      </c>
      <c r="DI19" s="37"/>
      <c r="DJ19" s="33"/>
      <c r="DK19" s="34"/>
      <c r="DL19" s="35" t="str">
        <f t="shared" si="44"/>
        <v/>
      </c>
      <c r="DM19" s="36" t="str">
        <f t="shared" si="45"/>
        <v/>
      </c>
      <c r="DN19" s="37"/>
      <c r="DO19" s="33"/>
      <c r="DP19" s="34"/>
      <c r="DQ19" s="35" t="str">
        <f t="shared" si="46"/>
        <v/>
      </c>
      <c r="DR19" s="36" t="str">
        <f t="shared" si="47"/>
        <v/>
      </c>
      <c r="DS19" s="37"/>
      <c r="DT19" s="33"/>
      <c r="DU19" s="34"/>
      <c r="DV19" s="35" t="str">
        <f t="shared" si="48"/>
        <v/>
      </c>
      <c r="DW19" s="36" t="str">
        <f t="shared" si="49"/>
        <v/>
      </c>
      <c r="DX19" s="37"/>
      <c r="DY19" s="33"/>
      <c r="DZ19" s="34"/>
      <c r="EA19" s="35" t="str">
        <f t="shared" si="50"/>
        <v/>
      </c>
      <c r="EB19" s="36" t="str">
        <f t="shared" si="51"/>
        <v/>
      </c>
      <c r="EC19" s="37"/>
      <c r="ED19" s="33"/>
      <c r="EE19" s="34"/>
      <c r="EF19" s="35" t="str">
        <f t="shared" si="52"/>
        <v/>
      </c>
      <c r="EG19" s="36" t="str">
        <f t="shared" si="53"/>
        <v/>
      </c>
      <c r="EH19" s="37"/>
      <c r="EI19" s="33"/>
      <c r="EJ19" s="34"/>
      <c r="EK19" s="35" t="str">
        <f t="shared" si="54"/>
        <v/>
      </c>
      <c r="EL19" s="36" t="str">
        <f t="shared" si="55"/>
        <v/>
      </c>
      <c r="EM19" s="37"/>
      <c r="EN19" s="33"/>
      <c r="EO19" s="34"/>
      <c r="EP19" s="35" t="str">
        <f t="shared" si="56"/>
        <v/>
      </c>
      <c r="EQ19" s="36" t="str">
        <f t="shared" si="57"/>
        <v/>
      </c>
      <c r="ER19" s="37"/>
      <c r="ES19" s="33"/>
      <c r="ET19" s="34"/>
      <c r="EU19" s="35" t="str">
        <f t="shared" si="58"/>
        <v/>
      </c>
      <c r="EV19" s="36" t="str">
        <f t="shared" si="59"/>
        <v/>
      </c>
      <c r="EW19" s="37"/>
    </row>
    <row r="20" spans="1:153" ht="19.5" customHeight="1">
      <c r="A20" s="32">
        <f>IF(DAY(DATE(対象年度,9,17))&lt;&gt;17,"",17)</f>
        <v>17</v>
      </c>
      <c r="B20" s="32" t="str">
        <f>IF(DAY(DATE(対象年度,9,17))&lt;&gt;17,"",CHOOSE(WEEKDAY(DATE(対象年度,9,17),2),"月","火","水","木","金","土","日"))</f>
        <v>木</v>
      </c>
      <c r="C20" s="32" t="str">
        <f>IF(DAY(DATE(対象年度,9,17))&lt;&gt;17,"",IF(ISNUMBER(MATCH(DATE(対象年度,9,17),祝日リスト,0)),"祝",""))</f>
        <v/>
      </c>
      <c r="D20" s="33"/>
      <c r="E20" s="34"/>
      <c r="F20" s="35" t="str">
        <f t="shared" si="0"/>
        <v/>
      </c>
      <c r="G20" s="36" t="str">
        <f t="shared" si="1"/>
        <v/>
      </c>
      <c r="H20" s="37"/>
      <c r="I20" s="33"/>
      <c r="J20" s="34"/>
      <c r="K20" s="35" t="str">
        <f t="shared" si="2"/>
        <v/>
      </c>
      <c r="L20" s="36" t="str">
        <f t="shared" si="3"/>
        <v/>
      </c>
      <c r="M20" s="37"/>
      <c r="N20" s="33"/>
      <c r="O20" s="34"/>
      <c r="P20" s="35" t="str">
        <f t="shared" si="4"/>
        <v/>
      </c>
      <c r="Q20" s="36" t="str">
        <f t="shared" si="5"/>
        <v/>
      </c>
      <c r="R20" s="37"/>
      <c r="S20" s="33"/>
      <c r="T20" s="34"/>
      <c r="U20" s="35" t="str">
        <f t="shared" si="6"/>
        <v/>
      </c>
      <c r="V20" s="36" t="str">
        <f t="shared" si="7"/>
        <v/>
      </c>
      <c r="W20" s="37"/>
      <c r="X20" s="33"/>
      <c r="Y20" s="34"/>
      <c r="Z20" s="35" t="str">
        <f t="shared" si="8"/>
        <v/>
      </c>
      <c r="AA20" s="36" t="str">
        <f t="shared" si="9"/>
        <v/>
      </c>
      <c r="AB20" s="37"/>
      <c r="AC20" s="33"/>
      <c r="AD20" s="34"/>
      <c r="AE20" s="35" t="str">
        <f t="shared" si="10"/>
        <v/>
      </c>
      <c r="AF20" s="36" t="str">
        <f t="shared" si="11"/>
        <v/>
      </c>
      <c r="AG20" s="37"/>
      <c r="AH20" s="33"/>
      <c r="AI20" s="34"/>
      <c r="AJ20" s="35" t="str">
        <f t="shared" si="12"/>
        <v/>
      </c>
      <c r="AK20" s="36" t="str">
        <f t="shared" si="13"/>
        <v/>
      </c>
      <c r="AL20" s="37"/>
      <c r="AM20" s="33"/>
      <c r="AN20" s="34"/>
      <c r="AO20" s="35" t="str">
        <f t="shared" si="14"/>
        <v/>
      </c>
      <c r="AP20" s="36" t="str">
        <f t="shared" si="15"/>
        <v/>
      </c>
      <c r="AQ20" s="37"/>
      <c r="AR20" s="33"/>
      <c r="AS20" s="34"/>
      <c r="AT20" s="35" t="str">
        <f t="shared" si="16"/>
        <v/>
      </c>
      <c r="AU20" s="36" t="str">
        <f t="shared" si="17"/>
        <v/>
      </c>
      <c r="AV20" s="37"/>
      <c r="AW20" s="33"/>
      <c r="AX20" s="34"/>
      <c r="AY20" s="35" t="str">
        <f t="shared" si="18"/>
        <v/>
      </c>
      <c r="AZ20" s="36" t="str">
        <f t="shared" si="19"/>
        <v/>
      </c>
      <c r="BA20" s="37"/>
      <c r="BB20" s="33"/>
      <c r="BC20" s="34"/>
      <c r="BD20" s="35" t="str">
        <f t="shared" si="20"/>
        <v/>
      </c>
      <c r="BE20" s="36" t="str">
        <f t="shared" si="21"/>
        <v/>
      </c>
      <c r="BF20" s="37"/>
      <c r="BG20" s="33"/>
      <c r="BH20" s="34"/>
      <c r="BI20" s="35" t="str">
        <f t="shared" si="22"/>
        <v/>
      </c>
      <c r="BJ20" s="36" t="str">
        <f t="shared" si="23"/>
        <v/>
      </c>
      <c r="BK20" s="37"/>
      <c r="BL20" s="33"/>
      <c r="BM20" s="34"/>
      <c r="BN20" s="35" t="str">
        <f t="shared" si="24"/>
        <v/>
      </c>
      <c r="BO20" s="36" t="str">
        <f t="shared" si="25"/>
        <v/>
      </c>
      <c r="BP20" s="37"/>
      <c r="BQ20" s="33"/>
      <c r="BR20" s="34"/>
      <c r="BS20" s="35" t="str">
        <f t="shared" si="26"/>
        <v/>
      </c>
      <c r="BT20" s="36" t="str">
        <f t="shared" si="27"/>
        <v/>
      </c>
      <c r="BU20" s="37"/>
      <c r="BV20" s="33"/>
      <c r="BW20" s="34"/>
      <c r="BX20" s="35" t="str">
        <f t="shared" si="28"/>
        <v/>
      </c>
      <c r="BY20" s="36" t="str">
        <f t="shared" si="29"/>
        <v/>
      </c>
      <c r="BZ20" s="37"/>
      <c r="CA20" s="33"/>
      <c r="CB20" s="34"/>
      <c r="CC20" s="35" t="str">
        <f t="shared" si="30"/>
        <v/>
      </c>
      <c r="CD20" s="36" t="str">
        <f t="shared" si="31"/>
        <v/>
      </c>
      <c r="CE20" s="37"/>
      <c r="CF20" s="33"/>
      <c r="CG20" s="34"/>
      <c r="CH20" s="35" t="str">
        <f t="shared" si="32"/>
        <v/>
      </c>
      <c r="CI20" s="36" t="str">
        <f t="shared" si="33"/>
        <v/>
      </c>
      <c r="CJ20" s="37"/>
      <c r="CK20" s="33"/>
      <c r="CL20" s="34"/>
      <c r="CM20" s="35" t="str">
        <f t="shared" si="34"/>
        <v/>
      </c>
      <c r="CN20" s="36" t="str">
        <f t="shared" si="35"/>
        <v/>
      </c>
      <c r="CO20" s="37"/>
      <c r="CP20" s="33"/>
      <c r="CQ20" s="34"/>
      <c r="CR20" s="35" t="str">
        <f t="shared" si="36"/>
        <v/>
      </c>
      <c r="CS20" s="36" t="str">
        <f t="shared" si="37"/>
        <v/>
      </c>
      <c r="CT20" s="37"/>
      <c r="CU20" s="33"/>
      <c r="CV20" s="34"/>
      <c r="CW20" s="35" t="str">
        <f t="shared" si="38"/>
        <v/>
      </c>
      <c r="CX20" s="36" t="str">
        <f t="shared" si="39"/>
        <v/>
      </c>
      <c r="CY20" s="37"/>
      <c r="CZ20" s="33"/>
      <c r="DA20" s="34"/>
      <c r="DB20" s="35" t="str">
        <f t="shared" si="40"/>
        <v/>
      </c>
      <c r="DC20" s="36" t="str">
        <f t="shared" si="41"/>
        <v/>
      </c>
      <c r="DD20" s="37"/>
      <c r="DE20" s="33"/>
      <c r="DF20" s="34"/>
      <c r="DG20" s="35" t="str">
        <f t="shared" si="42"/>
        <v/>
      </c>
      <c r="DH20" s="36" t="str">
        <f t="shared" si="43"/>
        <v/>
      </c>
      <c r="DI20" s="37"/>
      <c r="DJ20" s="33"/>
      <c r="DK20" s="34"/>
      <c r="DL20" s="35" t="str">
        <f t="shared" si="44"/>
        <v/>
      </c>
      <c r="DM20" s="36" t="str">
        <f t="shared" si="45"/>
        <v/>
      </c>
      <c r="DN20" s="37"/>
      <c r="DO20" s="33"/>
      <c r="DP20" s="34"/>
      <c r="DQ20" s="35" t="str">
        <f t="shared" si="46"/>
        <v/>
      </c>
      <c r="DR20" s="36" t="str">
        <f t="shared" si="47"/>
        <v/>
      </c>
      <c r="DS20" s="37"/>
      <c r="DT20" s="33"/>
      <c r="DU20" s="34"/>
      <c r="DV20" s="35" t="str">
        <f t="shared" si="48"/>
        <v/>
      </c>
      <c r="DW20" s="36" t="str">
        <f t="shared" si="49"/>
        <v/>
      </c>
      <c r="DX20" s="37"/>
      <c r="DY20" s="33"/>
      <c r="DZ20" s="34"/>
      <c r="EA20" s="35" t="str">
        <f t="shared" si="50"/>
        <v/>
      </c>
      <c r="EB20" s="36" t="str">
        <f t="shared" si="51"/>
        <v/>
      </c>
      <c r="EC20" s="37"/>
      <c r="ED20" s="33"/>
      <c r="EE20" s="34"/>
      <c r="EF20" s="35" t="str">
        <f t="shared" si="52"/>
        <v/>
      </c>
      <c r="EG20" s="36" t="str">
        <f t="shared" si="53"/>
        <v/>
      </c>
      <c r="EH20" s="37"/>
      <c r="EI20" s="33"/>
      <c r="EJ20" s="34"/>
      <c r="EK20" s="35" t="str">
        <f t="shared" si="54"/>
        <v/>
      </c>
      <c r="EL20" s="36" t="str">
        <f t="shared" si="55"/>
        <v/>
      </c>
      <c r="EM20" s="37"/>
      <c r="EN20" s="33"/>
      <c r="EO20" s="34"/>
      <c r="EP20" s="35" t="str">
        <f t="shared" si="56"/>
        <v/>
      </c>
      <c r="EQ20" s="36" t="str">
        <f t="shared" si="57"/>
        <v/>
      </c>
      <c r="ER20" s="37"/>
      <c r="ES20" s="33"/>
      <c r="ET20" s="34"/>
      <c r="EU20" s="35" t="str">
        <f t="shared" si="58"/>
        <v/>
      </c>
      <c r="EV20" s="36" t="str">
        <f t="shared" si="59"/>
        <v/>
      </c>
      <c r="EW20" s="37"/>
    </row>
    <row r="21" spans="1:153" ht="19.5" customHeight="1">
      <c r="A21" s="32">
        <f>IF(DAY(DATE(対象年度,9,18))&lt;&gt;18,"",18)</f>
        <v>18</v>
      </c>
      <c r="B21" s="32" t="str">
        <f>IF(DAY(DATE(対象年度,9,18))&lt;&gt;18,"",CHOOSE(WEEKDAY(DATE(対象年度,9,18),2),"月","火","水","木","金","土","日"))</f>
        <v>金</v>
      </c>
      <c r="C21" s="32" t="str">
        <f>IF(DAY(DATE(対象年度,9,18))&lt;&gt;18,"",IF(ISNUMBER(MATCH(DATE(対象年度,9,18),祝日リスト,0)),"祝",""))</f>
        <v/>
      </c>
      <c r="D21" s="33"/>
      <c r="E21" s="34"/>
      <c r="F21" s="35" t="str">
        <f t="shared" si="0"/>
        <v/>
      </c>
      <c r="G21" s="36" t="str">
        <f t="shared" si="1"/>
        <v/>
      </c>
      <c r="H21" s="37"/>
      <c r="I21" s="33"/>
      <c r="J21" s="34"/>
      <c r="K21" s="35" t="str">
        <f t="shared" si="2"/>
        <v/>
      </c>
      <c r="L21" s="36" t="str">
        <f t="shared" si="3"/>
        <v/>
      </c>
      <c r="M21" s="37"/>
      <c r="N21" s="33"/>
      <c r="O21" s="34"/>
      <c r="P21" s="35" t="str">
        <f t="shared" si="4"/>
        <v/>
      </c>
      <c r="Q21" s="36" t="str">
        <f t="shared" si="5"/>
        <v/>
      </c>
      <c r="R21" s="37"/>
      <c r="S21" s="33"/>
      <c r="T21" s="34"/>
      <c r="U21" s="35" t="str">
        <f t="shared" si="6"/>
        <v/>
      </c>
      <c r="V21" s="36" t="str">
        <f t="shared" si="7"/>
        <v/>
      </c>
      <c r="W21" s="37"/>
      <c r="X21" s="33"/>
      <c r="Y21" s="34"/>
      <c r="Z21" s="35" t="str">
        <f t="shared" si="8"/>
        <v/>
      </c>
      <c r="AA21" s="36" t="str">
        <f t="shared" si="9"/>
        <v/>
      </c>
      <c r="AB21" s="37"/>
      <c r="AC21" s="33"/>
      <c r="AD21" s="34"/>
      <c r="AE21" s="35" t="str">
        <f t="shared" si="10"/>
        <v/>
      </c>
      <c r="AF21" s="36" t="str">
        <f t="shared" si="11"/>
        <v/>
      </c>
      <c r="AG21" s="37"/>
      <c r="AH21" s="33"/>
      <c r="AI21" s="34"/>
      <c r="AJ21" s="35" t="str">
        <f t="shared" si="12"/>
        <v/>
      </c>
      <c r="AK21" s="36" t="str">
        <f t="shared" si="13"/>
        <v/>
      </c>
      <c r="AL21" s="37"/>
      <c r="AM21" s="33"/>
      <c r="AN21" s="34"/>
      <c r="AO21" s="35" t="str">
        <f t="shared" si="14"/>
        <v/>
      </c>
      <c r="AP21" s="36" t="str">
        <f t="shared" si="15"/>
        <v/>
      </c>
      <c r="AQ21" s="37"/>
      <c r="AR21" s="33"/>
      <c r="AS21" s="34"/>
      <c r="AT21" s="35" t="str">
        <f t="shared" si="16"/>
        <v/>
      </c>
      <c r="AU21" s="36" t="str">
        <f t="shared" si="17"/>
        <v/>
      </c>
      <c r="AV21" s="37"/>
      <c r="AW21" s="33"/>
      <c r="AX21" s="34"/>
      <c r="AY21" s="35" t="str">
        <f t="shared" si="18"/>
        <v/>
      </c>
      <c r="AZ21" s="36" t="str">
        <f t="shared" si="19"/>
        <v/>
      </c>
      <c r="BA21" s="37"/>
      <c r="BB21" s="33"/>
      <c r="BC21" s="34"/>
      <c r="BD21" s="35" t="str">
        <f t="shared" si="20"/>
        <v/>
      </c>
      <c r="BE21" s="36" t="str">
        <f t="shared" si="21"/>
        <v/>
      </c>
      <c r="BF21" s="37"/>
      <c r="BG21" s="33"/>
      <c r="BH21" s="34"/>
      <c r="BI21" s="35" t="str">
        <f t="shared" si="22"/>
        <v/>
      </c>
      <c r="BJ21" s="36" t="str">
        <f t="shared" si="23"/>
        <v/>
      </c>
      <c r="BK21" s="37"/>
      <c r="BL21" s="33"/>
      <c r="BM21" s="34"/>
      <c r="BN21" s="35" t="str">
        <f t="shared" si="24"/>
        <v/>
      </c>
      <c r="BO21" s="36" t="str">
        <f t="shared" si="25"/>
        <v/>
      </c>
      <c r="BP21" s="37"/>
      <c r="BQ21" s="33"/>
      <c r="BR21" s="34"/>
      <c r="BS21" s="35" t="str">
        <f t="shared" si="26"/>
        <v/>
      </c>
      <c r="BT21" s="36" t="str">
        <f t="shared" si="27"/>
        <v/>
      </c>
      <c r="BU21" s="37"/>
      <c r="BV21" s="33"/>
      <c r="BW21" s="34"/>
      <c r="BX21" s="35" t="str">
        <f t="shared" si="28"/>
        <v/>
      </c>
      <c r="BY21" s="36" t="str">
        <f t="shared" si="29"/>
        <v/>
      </c>
      <c r="BZ21" s="37"/>
      <c r="CA21" s="33"/>
      <c r="CB21" s="34"/>
      <c r="CC21" s="35" t="str">
        <f t="shared" si="30"/>
        <v/>
      </c>
      <c r="CD21" s="36" t="str">
        <f t="shared" si="31"/>
        <v/>
      </c>
      <c r="CE21" s="37"/>
      <c r="CF21" s="33"/>
      <c r="CG21" s="34"/>
      <c r="CH21" s="35" t="str">
        <f t="shared" si="32"/>
        <v/>
      </c>
      <c r="CI21" s="36" t="str">
        <f t="shared" si="33"/>
        <v/>
      </c>
      <c r="CJ21" s="37"/>
      <c r="CK21" s="33"/>
      <c r="CL21" s="34"/>
      <c r="CM21" s="35" t="str">
        <f t="shared" si="34"/>
        <v/>
      </c>
      <c r="CN21" s="36" t="str">
        <f t="shared" si="35"/>
        <v/>
      </c>
      <c r="CO21" s="37"/>
      <c r="CP21" s="33"/>
      <c r="CQ21" s="34"/>
      <c r="CR21" s="35" t="str">
        <f t="shared" si="36"/>
        <v/>
      </c>
      <c r="CS21" s="36" t="str">
        <f t="shared" si="37"/>
        <v/>
      </c>
      <c r="CT21" s="37"/>
      <c r="CU21" s="33"/>
      <c r="CV21" s="34"/>
      <c r="CW21" s="35" t="str">
        <f t="shared" si="38"/>
        <v/>
      </c>
      <c r="CX21" s="36" t="str">
        <f t="shared" si="39"/>
        <v/>
      </c>
      <c r="CY21" s="37"/>
      <c r="CZ21" s="33"/>
      <c r="DA21" s="34"/>
      <c r="DB21" s="35" t="str">
        <f t="shared" si="40"/>
        <v/>
      </c>
      <c r="DC21" s="36" t="str">
        <f t="shared" si="41"/>
        <v/>
      </c>
      <c r="DD21" s="37"/>
      <c r="DE21" s="33"/>
      <c r="DF21" s="34"/>
      <c r="DG21" s="35" t="str">
        <f t="shared" si="42"/>
        <v/>
      </c>
      <c r="DH21" s="36" t="str">
        <f t="shared" si="43"/>
        <v/>
      </c>
      <c r="DI21" s="37"/>
      <c r="DJ21" s="33"/>
      <c r="DK21" s="34"/>
      <c r="DL21" s="35" t="str">
        <f t="shared" si="44"/>
        <v/>
      </c>
      <c r="DM21" s="36" t="str">
        <f t="shared" si="45"/>
        <v/>
      </c>
      <c r="DN21" s="37"/>
      <c r="DO21" s="33"/>
      <c r="DP21" s="34"/>
      <c r="DQ21" s="35" t="str">
        <f t="shared" si="46"/>
        <v/>
      </c>
      <c r="DR21" s="36" t="str">
        <f t="shared" si="47"/>
        <v/>
      </c>
      <c r="DS21" s="37"/>
      <c r="DT21" s="33"/>
      <c r="DU21" s="34"/>
      <c r="DV21" s="35" t="str">
        <f t="shared" si="48"/>
        <v/>
      </c>
      <c r="DW21" s="36" t="str">
        <f t="shared" si="49"/>
        <v/>
      </c>
      <c r="DX21" s="37"/>
      <c r="DY21" s="33"/>
      <c r="DZ21" s="34"/>
      <c r="EA21" s="35" t="str">
        <f t="shared" si="50"/>
        <v/>
      </c>
      <c r="EB21" s="36" t="str">
        <f t="shared" si="51"/>
        <v/>
      </c>
      <c r="EC21" s="37"/>
      <c r="ED21" s="33"/>
      <c r="EE21" s="34"/>
      <c r="EF21" s="35" t="str">
        <f t="shared" si="52"/>
        <v/>
      </c>
      <c r="EG21" s="36" t="str">
        <f t="shared" si="53"/>
        <v/>
      </c>
      <c r="EH21" s="37"/>
      <c r="EI21" s="33"/>
      <c r="EJ21" s="34"/>
      <c r="EK21" s="35" t="str">
        <f t="shared" si="54"/>
        <v/>
      </c>
      <c r="EL21" s="36" t="str">
        <f t="shared" si="55"/>
        <v/>
      </c>
      <c r="EM21" s="37"/>
      <c r="EN21" s="33"/>
      <c r="EO21" s="34"/>
      <c r="EP21" s="35" t="str">
        <f t="shared" si="56"/>
        <v/>
      </c>
      <c r="EQ21" s="36" t="str">
        <f t="shared" si="57"/>
        <v/>
      </c>
      <c r="ER21" s="37"/>
      <c r="ES21" s="33"/>
      <c r="ET21" s="34"/>
      <c r="EU21" s="35" t="str">
        <f t="shared" si="58"/>
        <v/>
      </c>
      <c r="EV21" s="36" t="str">
        <f t="shared" si="59"/>
        <v/>
      </c>
      <c r="EW21" s="37"/>
    </row>
    <row r="22" spans="1:153" ht="19.5" customHeight="1">
      <c r="A22" s="32">
        <f>IF(DAY(DATE(対象年度,9,19))&lt;&gt;19,"",19)</f>
        <v>19</v>
      </c>
      <c r="B22" s="32" t="str">
        <f>IF(DAY(DATE(対象年度,9,19))&lt;&gt;19,"",CHOOSE(WEEKDAY(DATE(対象年度,9,19),2),"月","火","水","木","金","土","日"))</f>
        <v>土</v>
      </c>
      <c r="C22" s="32" t="str">
        <f>IF(DAY(DATE(対象年度,9,19))&lt;&gt;19,"",IF(ISNUMBER(MATCH(DATE(対象年度,9,19),祝日リスト,0)),"祝",""))</f>
        <v/>
      </c>
      <c r="D22" s="33"/>
      <c r="E22" s="34"/>
      <c r="F22" s="35" t="str">
        <f t="shared" si="0"/>
        <v/>
      </c>
      <c r="G22" s="36" t="str">
        <f t="shared" si="1"/>
        <v/>
      </c>
      <c r="H22" s="37"/>
      <c r="I22" s="33"/>
      <c r="J22" s="34"/>
      <c r="K22" s="35" t="str">
        <f t="shared" si="2"/>
        <v/>
      </c>
      <c r="L22" s="36" t="str">
        <f t="shared" si="3"/>
        <v/>
      </c>
      <c r="M22" s="37"/>
      <c r="N22" s="33"/>
      <c r="O22" s="34"/>
      <c r="P22" s="35" t="str">
        <f t="shared" si="4"/>
        <v/>
      </c>
      <c r="Q22" s="36" t="str">
        <f t="shared" si="5"/>
        <v/>
      </c>
      <c r="R22" s="37"/>
      <c r="S22" s="33"/>
      <c r="T22" s="34"/>
      <c r="U22" s="35" t="str">
        <f t="shared" si="6"/>
        <v/>
      </c>
      <c r="V22" s="36" t="str">
        <f t="shared" si="7"/>
        <v/>
      </c>
      <c r="W22" s="37"/>
      <c r="X22" s="33"/>
      <c r="Y22" s="34"/>
      <c r="Z22" s="35" t="str">
        <f t="shared" si="8"/>
        <v/>
      </c>
      <c r="AA22" s="36" t="str">
        <f t="shared" si="9"/>
        <v/>
      </c>
      <c r="AB22" s="37"/>
      <c r="AC22" s="33"/>
      <c r="AD22" s="34"/>
      <c r="AE22" s="35" t="str">
        <f t="shared" si="10"/>
        <v/>
      </c>
      <c r="AF22" s="36" t="str">
        <f t="shared" si="11"/>
        <v/>
      </c>
      <c r="AG22" s="37"/>
      <c r="AH22" s="33"/>
      <c r="AI22" s="34"/>
      <c r="AJ22" s="35" t="str">
        <f t="shared" si="12"/>
        <v/>
      </c>
      <c r="AK22" s="36" t="str">
        <f t="shared" si="13"/>
        <v/>
      </c>
      <c r="AL22" s="37"/>
      <c r="AM22" s="33"/>
      <c r="AN22" s="34"/>
      <c r="AO22" s="35" t="str">
        <f t="shared" si="14"/>
        <v/>
      </c>
      <c r="AP22" s="36" t="str">
        <f t="shared" si="15"/>
        <v/>
      </c>
      <c r="AQ22" s="37"/>
      <c r="AR22" s="33"/>
      <c r="AS22" s="34"/>
      <c r="AT22" s="35" t="str">
        <f t="shared" si="16"/>
        <v/>
      </c>
      <c r="AU22" s="36" t="str">
        <f t="shared" si="17"/>
        <v/>
      </c>
      <c r="AV22" s="37"/>
      <c r="AW22" s="33"/>
      <c r="AX22" s="34"/>
      <c r="AY22" s="35" t="str">
        <f t="shared" si="18"/>
        <v/>
      </c>
      <c r="AZ22" s="36" t="str">
        <f t="shared" si="19"/>
        <v/>
      </c>
      <c r="BA22" s="37"/>
      <c r="BB22" s="33"/>
      <c r="BC22" s="34"/>
      <c r="BD22" s="35" t="str">
        <f t="shared" si="20"/>
        <v/>
      </c>
      <c r="BE22" s="36" t="str">
        <f t="shared" si="21"/>
        <v/>
      </c>
      <c r="BF22" s="37"/>
      <c r="BG22" s="33"/>
      <c r="BH22" s="34"/>
      <c r="BI22" s="35" t="str">
        <f t="shared" si="22"/>
        <v/>
      </c>
      <c r="BJ22" s="36" t="str">
        <f t="shared" si="23"/>
        <v/>
      </c>
      <c r="BK22" s="37"/>
      <c r="BL22" s="33"/>
      <c r="BM22" s="34"/>
      <c r="BN22" s="35" t="str">
        <f t="shared" si="24"/>
        <v/>
      </c>
      <c r="BO22" s="36" t="str">
        <f t="shared" si="25"/>
        <v/>
      </c>
      <c r="BP22" s="37"/>
      <c r="BQ22" s="33"/>
      <c r="BR22" s="34"/>
      <c r="BS22" s="35" t="str">
        <f t="shared" si="26"/>
        <v/>
      </c>
      <c r="BT22" s="36" t="str">
        <f t="shared" si="27"/>
        <v/>
      </c>
      <c r="BU22" s="37"/>
      <c r="BV22" s="33"/>
      <c r="BW22" s="34"/>
      <c r="BX22" s="35" t="str">
        <f t="shared" si="28"/>
        <v/>
      </c>
      <c r="BY22" s="36" t="str">
        <f t="shared" si="29"/>
        <v/>
      </c>
      <c r="BZ22" s="37"/>
      <c r="CA22" s="33"/>
      <c r="CB22" s="34"/>
      <c r="CC22" s="35" t="str">
        <f t="shared" si="30"/>
        <v/>
      </c>
      <c r="CD22" s="36" t="str">
        <f t="shared" si="31"/>
        <v/>
      </c>
      <c r="CE22" s="37"/>
      <c r="CF22" s="33"/>
      <c r="CG22" s="34"/>
      <c r="CH22" s="35" t="str">
        <f t="shared" si="32"/>
        <v/>
      </c>
      <c r="CI22" s="36" t="str">
        <f t="shared" si="33"/>
        <v/>
      </c>
      <c r="CJ22" s="37"/>
      <c r="CK22" s="33"/>
      <c r="CL22" s="34"/>
      <c r="CM22" s="35" t="str">
        <f t="shared" si="34"/>
        <v/>
      </c>
      <c r="CN22" s="36" t="str">
        <f t="shared" si="35"/>
        <v/>
      </c>
      <c r="CO22" s="37"/>
      <c r="CP22" s="33"/>
      <c r="CQ22" s="34"/>
      <c r="CR22" s="35" t="str">
        <f t="shared" si="36"/>
        <v/>
      </c>
      <c r="CS22" s="36" t="str">
        <f t="shared" si="37"/>
        <v/>
      </c>
      <c r="CT22" s="37"/>
      <c r="CU22" s="33"/>
      <c r="CV22" s="34"/>
      <c r="CW22" s="35" t="str">
        <f t="shared" si="38"/>
        <v/>
      </c>
      <c r="CX22" s="36" t="str">
        <f t="shared" si="39"/>
        <v/>
      </c>
      <c r="CY22" s="37"/>
      <c r="CZ22" s="33"/>
      <c r="DA22" s="34"/>
      <c r="DB22" s="35" t="str">
        <f t="shared" si="40"/>
        <v/>
      </c>
      <c r="DC22" s="36" t="str">
        <f t="shared" si="41"/>
        <v/>
      </c>
      <c r="DD22" s="37"/>
      <c r="DE22" s="33"/>
      <c r="DF22" s="34"/>
      <c r="DG22" s="35" t="str">
        <f t="shared" si="42"/>
        <v/>
      </c>
      <c r="DH22" s="36" t="str">
        <f t="shared" si="43"/>
        <v/>
      </c>
      <c r="DI22" s="37"/>
      <c r="DJ22" s="33"/>
      <c r="DK22" s="34"/>
      <c r="DL22" s="35" t="str">
        <f t="shared" si="44"/>
        <v/>
      </c>
      <c r="DM22" s="36" t="str">
        <f t="shared" si="45"/>
        <v/>
      </c>
      <c r="DN22" s="37"/>
      <c r="DO22" s="33"/>
      <c r="DP22" s="34"/>
      <c r="DQ22" s="35" t="str">
        <f t="shared" si="46"/>
        <v/>
      </c>
      <c r="DR22" s="36" t="str">
        <f t="shared" si="47"/>
        <v/>
      </c>
      <c r="DS22" s="37"/>
      <c r="DT22" s="33"/>
      <c r="DU22" s="34"/>
      <c r="DV22" s="35" t="str">
        <f t="shared" si="48"/>
        <v/>
      </c>
      <c r="DW22" s="36" t="str">
        <f t="shared" si="49"/>
        <v/>
      </c>
      <c r="DX22" s="37"/>
      <c r="DY22" s="33"/>
      <c r="DZ22" s="34"/>
      <c r="EA22" s="35" t="str">
        <f t="shared" si="50"/>
        <v/>
      </c>
      <c r="EB22" s="36" t="str">
        <f t="shared" si="51"/>
        <v/>
      </c>
      <c r="EC22" s="37"/>
      <c r="ED22" s="33"/>
      <c r="EE22" s="34"/>
      <c r="EF22" s="35" t="str">
        <f t="shared" si="52"/>
        <v/>
      </c>
      <c r="EG22" s="36" t="str">
        <f t="shared" si="53"/>
        <v/>
      </c>
      <c r="EH22" s="37"/>
      <c r="EI22" s="33"/>
      <c r="EJ22" s="34"/>
      <c r="EK22" s="35" t="str">
        <f t="shared" si="54"/>
        <v/>
      </c>
      <c r="EL22" s="36" t="str">
        <f t="shared" si="55"/>
        <v/>
      </c>
      <c r="EM22" s="37"/>
      <c r="EN22" s="33"/>
      <c r="EO22" s="34"/>
      <c r="EP22" s="35" t="str">
        <f t="shared" si="56"/>
        <v/>
      </c>
      <c r="EQ22" s="36" t="str">
        <f t="shared" si="57"/>
        <v/>
      </c>
      <c r="ER22" s="37"/>
      <c r="ES22" s="33"/>
      <c r="ET22" s="34"/>
      <c r="EU22" s="35" t="str">
        <f t="shared" si="58"/>
        <v/>
      </c>
      <c r="EV22" s="36" t="str">
        <f t="shared" si="59"/>
        <v/>
      </c>
      <c r="EW22" s="37"/>
    </row>
    <row r="23" spans="1:153" ht="19.5" customHeight="1">
      <c r="A23" s="32">
        <f>IF(DAY(DATE(対象年度,9,20))&lt;&gt;20,"",20)</f>
        <v>20</v>
      </c>
      <c r="B23" s="32" t="str">
        <f>IF(DAY(DATE(対象年度,9,20))&lt;&gt;20,"",CHOOSE(WEEKDAY(DATE(対象年度,9,20),2),"月","火","水","木","金","土","日"))</f>
        <v>日</v>
      </c>
      <c r="C23" s="32" t="str">
        <f>IF(DAY(DATE(対象年度,9,20))&lt;&gt;20,"",IF(ISNUMBER(MATCH(DATE(対象年度,9,20),祝日リスト,0)),"祝",""))</f>
        <v/>
      </c>
      <c r="D23" s="33"/>
      <c r="E23" s="34"/>
      <c r="F23" s="35" t="str">
        <f t="shared" si="0"/>
        <v/>
      </c>
      <c r="G23" s="36" t="str">
        <f t="shared" si="1"/>
        <v/>
      </c>
      <c r="H23" s="37"/>
      <c r="I23" s="33"/>
      <c r="J23" s="34"/>
      <c r="K23" s="35" t="str">
        <f t="shared" si="2"/>
        <v/>
      </c>
      <c r="L23" s="36" t="str">
        <f t="shared" si="3"/>
        <v/>
      </c>
      <c r="M23" s="37"/>
      <c r="N23" s="33"/>
      <c r="O23" s="34"/>
      <c r="P23" s="35" t="str">
        <f t="shared" si="4"/>
        <v/>
      </c>
      <c r="Q23" s="36" t="str">
        <f t="shared" si="5"/>
        <v/>
      </c>
      <c r="R23" s="37"/>
      <c r="S23" s="33"/>
      <c r="T23" s="34"/>
      <c r="U23" s="35" t="str">
        <f t="shared" si="6"/>
        <v/>
      </c>
      <c r="V23" s="36" t="str">
        <f t="shared" si="7"/>
        <v/>
      </c>
      <c r="W23" s="37"/>
      <c r="X23" s="33"/>
      <c r="Y23" s="34"/>
      <c r="Z23" s="35" t="str">
        <f t="shared" si="8"/>
        <v/>
      </c>
      <c r="AA23" s="36" t="str">
        <f t="shared" si="9"/>
        <v/>
      </c>
      <c r="AB23" s="37"/>
      <c r="AC23" s="33"/>
      <c r="AD23" s="34"/>
      <c r="AE23" s="35" t="str">
        <f t="shared" si="10"/>
        <v/>
      </c>
      <c r="AF23" s="36" t="str">
        <f t="shared" si="11"/>
        <v/>
      </c>
      <c r="AG23" s="37"/>
      <c r="AH23" s="33"/>
      <c r="AI23" s="34"/>
      <c r="AJ23" s="35" t="str">
        <f t="shared" si="12"/>
        <v/>
      </c>
      <c r="AK23" s="36" t="str">
        <f t="shared" si="13"/>
        <v/>
      </c>
      <c r="AL23" s="37"/>
      <c r="AM23" s="33"/>
      <c r="AN23" s="34"/>
      <c r="AO23" s="35" t="str">
        <f t="shared" si="14"/>
        <v/>
      </c>
      <c r="AP23" s="36" t="str">
        <f t="shared" si="15"/>
        <v/>
      </c>
      <c r="AQ23" s="37"/>
      <c r="AR23" s="33"/>
      <c r="AS23" s="34"/>
      <c r="AT23" s="35" t="str">
        <f t="shared" si="16"/>
        <v/>
      </c>
      <c r="AU23" s="36" t="str">
        <f t="shared" si="17"/>
        <v/>
      </c>
      <c r="AV23" s="37"/>
      <c r="AW23" s="33"/>
      <c r="AX23" s="34"/>
      <c r="AY23" s="35" t="str">
        <f t="shared" si="18"/>
        <v/>
      </c>
      <c r="AZ23" s="36" t="str">
        <f t="shared" si="19"/>
        <v/>
      </c>
      <c r="BA23" s="37"/>
      <c r="BB23" s="33"/>
      <c r="BC23" s="34"/>
      <c r="BD23" s="35" t="str">
        <f t="shared" si="20"/>
        <v/>
      </c>
      <c r="BE23" s="36" t="str">
        <f t="shared" si="21"/>
        <v/>
      </c>
      <c r="BF23" s="37"/>
      <c r="BG23" s="33"/>
      <c r="BH23" s="34"/>
      <c r="BI23" s="35" t="str">
        <f t="shared" si="22"/>
        <v/>
      </c>
      <c r="BJ23" s="36" t="str">
        <f t="shared" si="23"/>
        <v/>
      </c>
      <c r="BK23" s="37"/>
      <c r="BL23" s="33"/>
      <c r="BM23" s="34"/>
      <c r="BN23" s="35" t="str">
        <f t="shared" si="24"/>
        <v/>
      </c>
      <c r="BO23" s="36" t="str">
        <f t="shared" si="25"/>
        <v/>
      </c>
      <c r="BP23" s="37"/>
      <c r="BQ23" s="33"/>
      <c r="BR23" s="34"/>
      <c r="BS23" s="35" t="str">
        <f t="shared" si="26"/>
        <v/>
      </c>
      <c r="BT23" s="36" t="str">
        <f t="shared" si="27"/>
        <v/>
      </c>
      <c r="BU23" s="37"/>
      <c r="BV23" s="33"/>
      <c r="BW23" s="34"/>
      <c r="BX23" s="35" t="str">
        <f t="shared" si="28"/>
        <v/>
      </c>
      <c r="BY23" s="36" t="str">
        <f t="shared" si="29"/>
        <v/>
      </c>
      <c r="BZ23" s="37"/>
      <c r="CA23" s="33"/>
      <c r="CB23" s="34"/>
      <c r="CC23" s="35" t="str">
        <f t="shared" si="30"/>
        <v/>
      </c>
      <c r="CD23" s="36" t="str">
        <f t="shared" si="31"/>
        <v/>
      </c>
      <c r="CE23" s="37"/>
      <c r="CF23" s="33"/>
      <c r="CG23" s="34"/>
      <c r="CH23" s="35" t="str">
        <f t="shared" si="32"/>
        <v/>
      </c>
      <c r="CI23" s="36" t="str">
        <f t="shared" si="33"/>
        <v/>
      </c>
      <c r="CJ23" s="37"/>
      <c r="CK23" s="33"/>
      <c r="CL23" s="34"/>
      <c r="CM23" s="35" t="str">
        <f t="shared" si="34"/>
        <v/>
      </c>
      <c r="CN23" s="36" t="str">
        <f t="shared" si="35"/>
        <v/>
      </c>
      <c r="CO23" s="37"/>
      <c r="CP23" s="33"/>
      <c r="CQ23" s="34"/>
      <c r="CR23" s="35" t="str">
        <f t="shared" si="36"/>
        <v/>
      </c>
      <c r="CS23" s="36" t="str">
        <f t="shared" si="37"/>
        <v/>
      </c>
      <c r="CT23" s="37"/>
      <c r="CU23" s="33"/>
      <c r="CV23" s="34"/>
      <c r="CW23" s="35" t="str">
        <f t="shared" si="38"/>
        <v/>
      </c>
      <c r="CX23" s="36" t="str">
        <f t="shared" si="39"/>
        <v/>
      </c>
      <c r="CY23" s="37"/>
      <c r="CZ23" s="33"/>
      <c r="DA23" s="34"/>
      <c r="DB23" s="35" t="str">
        <f t="shared" si="40"/>
        <v/>
      </c>
      <c r="DC23" s="36" t="str">
        <f t="shared" si="41"/>
        <v/>
      </c>
      <c r="DD23" s="37"/>
      <c r="DE23" s="33"/>
      <c r="DF23" s="34"/>
      <c r="DG23" s="35" t="str">
        <f t="shared" si="42"/>
        <v/>
      </c>
      <c r="DH23" s="36" t="str">
        <f t="shared" si="43"/>
        <v/>
      </c>
      <c r="DI23" s="37"/>
      <c r="DJ23" s="33"/>
      <c r="DK23" s="34"/>
      <c r="DL23" s="35" t="str">
        <f t="shared" si="44"/>
        <v/>
      </c>
      <c r="DM23" s="36" t="str">
        <f t="shared" si="45"/>
        <v/>
      </c>
      <c r="DN23" s="37"/>
      <c r="DO23" s="33"/>
      <c r="DP23" s="34"/>
      <c r="DQ23" s="35" t="str">
        <f t="shared" si="46"/>
        <v/>
      </c>
      <c r="DR23" s="36" t="str">
        <f t="shared" si="47"/>
        <v/>
      </c>
      <c r="DS23" s="37"/>
      <c r="DT23" s="33"/>
      <c r="DU23" s="34"/>
      <c r="DV23" s="35" t="str">
        <f t="shared" si="48"/>
        <v/>
      </c>
      <c r="DW23" s="36" t="str">
        <f t="shared" si="49"/>
        <v/>
      </c>
      <c r="DX23" s="37"/>
      <c r="DY23" s="33"/>
      <c r="DZ23" s="34"/>
      <c r="EA23" s="35" t="str">
        <f t="shared" si="50"/>
        <v/>
      </c>
      <c r="EB23" s="36" t="str">
        <f t="shared" si="51"/>
        <v/>
      </c>
      <c r="EC23" s="37"/>
      <c r="ED23" s="33"/>
      <c r="EE23" s="34"/>
      <c r="EF23" s="35" t="str">
        <f t="shared" si="52"/>
        <v/>
      </c>
      <c r="EG23" s="36" t="str">
        <f t="shared" si="53"/>
        <v/>
      </c>
      <c r="EH23" s="37"/>
      <c r="EI23" s="33"/>
      <c r="EJ23" s="34"/>
      <c r="EK23" s="35" t="str">
        <f t="shared" si="54"/>
        <v/>
      </c>
      <c r="EL23" s="36" t="str">
        <f t="shared" si="55"/>
        <v/>
      </c>
      <c r="EM23" s="37"/>
      <c r="EN23" s="33"/>
      <c r="EO23" s="34"/>
      <c r="EP23" s="35" t="str">
        <f t="shared" si="56"/>
        <v/>
      </c>
      <c r="EQ23" s="36" t="str">
        <f t="shared" si="57"/>
        <v/>
      </c>
      <c r="ER23" s="37"/>
      <c r="ES23" s="33"/>
      <c r="ET23" s="34"/>
      <c r="EU23" s="35" t="str">
        <f t="shared" si="58"/>
        <v/>
      </c>
      <c r="EV23" s="36" t="str">
        <f t="shared" si="59"/>
        <v/>
      </c>
      <c r="EW23" s="37"/>
    </row>
    <row r="24" spans="1:153" ht="19.5" customHeight="1">
      <c r="A24" s="32">
        <f>IF(DAY(DATE(対象年度,9,21))&lt;&gt;21,"",21)</f>
        <v>21</v>
      </c>
      <c r="B24" s="32" t="str">
        <f>IF(DAY(DATE(対象年度,9,21))&lt;&gt;21,"",CHOOSE(WEEKDAY(DATE(対象年度,9,21),2),"月","火","水","木","金","土","日"))</f>
        <v>月</v>
      </c>
      <c r="C24" s="32" t="str">
        <f>IF(DAY(DATE(対象年度,9,21))&lt;&gt;21,"",IF(ISNUMBER(MATCH(DATE(対象年度,9,21),祝日リスト,0)),"祝",""))</f>
        <v>祝</v>
      </c>
      <c r="D24" s="33"/>
      <c r="E24" s="34"/>
      <c r="F24" s="35" t="str">
        <f t="shared" si="0"/>
        <v/>
      </c>
      <c r="G24" s="36" t="str">
        <f t="shared" si="1"/>
        <v/>
      </c>
      <c r="H24" s="37"/>
      <c r="I24" s="33"/>
      <c r="J24" s="34"/>
      <c r="K24" s="35" t="str">
        <f t="shared" si="2"/>
        <v/>
      </c>
      <c r="L24" s="36" t="str">
        <f t="shared" si="3"/>
        <v/>
      </c>
      <c r="M24" s="37"/>
      <c r="N24" s="33"/>
      <c r="O24" s="34"/>
      <c r="P24" s="35" t="str">
        <f t="shared" si="4"/>
        <v/>
      </c>
      <c r="Q24" s="36" t="str">
        <f t="shared" si="5"/>
        <v/>
      </c>
      <c r="R24" s="37"/>
      <c r="S24" s="33"/>
      <c r="T24" s="34"/>
      <c r="U24" s="35" t="str">
        <f t="shared" si="6"/>
        <v/>
      </c>
      <c r="V24" s="36" t="str">
        <f t="shared" si="7"/>
        <v/>
      </c>
      <c r="W24" s="37"/>
      <c r="X24" s="33"/>
      <c r="Y24" s="34"/>
      <c r="Z24" s="35" t="str">
        <f t="shared" si="8"/>
        <v/>
      </c>
      <c r="AA24" s="36" t="str">
        <f t="shared" si="9"/>
        <v/>
      </c>
      <c r="AB24" s="37"/>
      <c r="AC24" s="33"/>
      <c r="AD24" s="34"/>
      <c r="AE24" s="35" t="str">
        <f t="shared" si="10"/>
        <v/>
      </c>
      <c r="AF24" s="36" t="str">
        <f t="shared" si="11"/>
        <v/>
      </c>
      <c r="AG24" s="37"/>
      <c r="AH24" s="33"/>
      <c r="AI24" s="34"/>
      <c r="AJ24" s="35" t="str">
        <f t="shared" si="12"/>
        <v/>
      </c>
      <c r="AK24" s="36" t="str">
        <f t="shared" si="13"/>
        <v/>
      </c>
      <c r="AL24" s="37"/>
      <c r="AM24" s="33"/>
      <c r="AN24" s="34"/>
      <c r="AO24" s="35" t="str">
        <f t="shared" si="14"/>
        <v/>
      </c>
      <c r="AP24" s="36" t="str">
        <f t="shared" si="15"/>
        <v/>
      </c>
      <c r="AQ24" s="37"/>
      <c r="AR24" s="33"/>
      <c r="AS24" s="34"/>
      <c r="AT24" s="35" t="str">
        <f t="shared" si="16"/>
        <v/>
      </c>
      <c r="AU24" s="36" t="str">
        <f t="shared" si="17"/>
        <v/>
      </c>
      <c r="AV24" s="37"/>
      <c r="AW24" s="33"/>
      <c r="AX24" s="34"/>
      <c r="AY24" s="35" t="str">
        <f t="shared" si="18"/>
        <v/>
      </c>
      <c r="AZ24" s="36" t="str">
        <f t="shared" si="19"/>
        <v/>
      </c>
      <c r="BA24" s="37"/>
      <c r="BB24" s="33"/>
      <c r="BC24" s="34"/>
      <c r="BD24" s="35" t="str">
        <f t="shared" si="20"/>
        <v/>
      </c>
      <c r="BE24" s="36" t="str">
        <f t="shared" si="21"/>
        <v/>
      </c>
      <c r="BF24" s="37"/>
      <c r="BG24" s="33"/>
      <c r="BH24" s="34"/>
      <c r="BI24" s="35" t="str">
        <f t="shared" si="22"/>
        <v/>
      </c>
      <c r="BJ24" s="36" t="str">
        <f t="shared" si="23"/>
        <v/>
      </c>
      <c r="BK24" s="37"/>
      <c r="BL24" s="33"/>
      <c r="BM24" s="34"/>
      <c r="BN24" s="35" t="str">
        <f t="shared" si="24"/>
        <v/>
      </c>
      <c r="BO24" s="36" t="str">
        <f t="shared" si="25"/>
        <v/>
      </c>
      <c r="BP24" s="37"/>
      <c r="BQ24" s="33"/>
      <c r="BR24" s="34"/>
      <c r="BS24" s="35" t="str">
        <f t="shared" si="26"/>
        <v/>
      </c>
      <c r="BT24" s="36" t="str">
        <f t="shared" si="27"/>
        <v/>
      </c>
      <c r="BU24" s="37"/>
      <c r="BV24" s="33"/>
      <c r="BW24" s="34"/>
      <c r="BX24" s="35" t="str">
        <f t="shared" si="28"/>
        <v/>
      </c>
      <c r="BY24" s="36" t="str">
        <f t="shared" si="29"/>
        <v/>
      </c>
      <c r="BZ24" s="37"/>
      <c r="CA24" s="33"/>
      <c r="CB24" s="34"/>
      <c r="CC24" s="35" t="str">
        <f t="shared" si="30"/>
        <v/>
      </c>
      <c r="CD24" s="36" t="str">
        <f t="shared" si="31"/>
        <v/>
      </c>
      <c r="CE24" s="37"/>
      <c r="CF24" s="33"/>
      <c r="CG24" s="34"/>
      <c r="CH24" s="35" t="str">
        <f t="shared" si="32"/>
        <v/>
      </c>
      <c r="CI24" s="36" t="str">
        <f t="shared" si="33"/>
        <v/>
      </c>
      <c r="CJ24" s="37"/>
      <c r="CK24" s="33"/>
      <c r="CL24" s="34"/>
      <c r="CM24" s="35" t="str">
        <f t="shared" si="34"/>
        <v/>
      </c>
      <c r="CN24" s="36" t="str">
        <f t="shared" si="35"/>
        <v/>
      </c>
      <c r="CO24" s="37"/>
      <c r="CP24" s="33"/>
      <c r="CQ24" s="34"/>
      <c r="CR24" s="35" t="str">
        <f t="shared" si="36"/>
        <v/>
      </c>
      <c r="CS24" s="36" t="str">
        <f t="shared" si="37"/>
        <v/>
      </c>
      <c r="CT24" s="37"/>
      <c r="CU24" s="33"/>
      <c r="CV24" s="34"/>
      <c r="CW24" s="35" t="str">
        <f t="shared" si="38"/>
        <v/>
      </c>
      <c r="CX24" s="36" t="str">
        <f t="shared" si="39"/>
        <v/>
      </c>
      <c r="CY24" s="37"/>
      <c r="CZ24" s="33"/>
      <c r="DA24" s="34"/>
      <c r="DB24" s="35" t="str">
        <f t="shared" si="40"/>
        <v/>
      </c>
      <c r="DC24" s="36" t="str">
        <f t="shared" si="41"/>
        <v/>
      </c>
      <c r="DD24" s="37"/>
      <c r="DE24" s="33"/>
      <c r="DF24" s="34"/>
      <c r="DG24" s="35" t="str">
        <f t="shared" si="42"/>
        <v/>
      </c>
      <c r="DH24" s="36" t="str">
        <f t="shared" si="43"/>
        <v/>
      </c>
      <c r="DI24" s="37"/>
      <c r="DJ24" s="33"/>
      <c r="DK24" s="34"/>
      <c r="DL24" s="35" t="str">
        <f t="shared" si="44"/>
        <v/>
      </c>
      <c r="DM24" s="36" t="str">
        <f t="shared" si="45"/>
        <v/>
      </c>
      <c r="DN24" s="37"/>
      <c r="DO24" s="33"/>
      <c r="DP24" s="34"/>
      <c r="DQ24" s="35" t="str">
        <f t="shared" si="46"/>
        <v/>
      </c>
      <c r="DR24" s="36" t="str">
        <f t="shared" si="47"/>
        <v/>
      </c>
      <c r="DS24" s="37"/>
      <c r="DT24" s="33"/>
      <c r="DU24" s="34"/>
      <c r="DV24" s="35" t="str">
        <f t="shared" si="48"/>
        <v/>
      </c>
      <c r="DW24" s="36" t="str">
        <f t="shared" si="49"/>
        <v/>
      </c>
      <c r="DX24" s="37"/>
      <c r="DY24" s="33"/>
      <c r="DZ24" s="34"/>
      <c r="EA24" s="35" t="str">
        <f t="shared" si="50"/>
        <v/>
      </c>
      <c r="EB24" s="36" t="str">
        <f t="shared" si="51"/>
        <v/>
      </c>
      <c r="EC24" s="37"/>
      <c r="ED24" s="33"/>
      <c r="EE24" s="34"/>
      <c r="EF24" s="35" t="str">
        <f t="shared" si="52"/>
        <v/>
      </c>
      <c r="EG24" s="36" t="str">
        <f t="shared" si="53"/>
        <v/>
      </c>
      <c r="EH24" s="37"/>
      <c r="EI24" s="33"/>
      <c r="EJ24" s="34"/>
      <c r="EK24" s="35" t="str">
        <f t="shared" si="54"/>
        <v/>
      </c>
      <c r="EL24" s="36" t="str">
        <f t="shared" si="55"/>
        <v/>
      </c>
      <c r="EM24" s="37"/>
      <c r="EN24" s="33"/>
      <c r="EO24" s="34"/>
      <c r="EP24" s="35" t="str">
        <f t="shared" si="56"/>
        <v/>
      </c>
      <c r="EQ24" s="36" t="str">
        <f t="shared" si="57"/>
        <v/>
      </c>
      <c r="ER24" s="37"/>
      <c r="ES24" s="33"/>
      <c r="ET24" s="34"/>
      <c r="EU24" s="35" t="str">
        <f t="shared" si="58"/>
        <v/>
      </c>
      <c r="EV24" s="36" t="str">
        <f t="shared" si="59"/>
        <v/>
      </c>
      <c r="EW24" s="37"/>
    </row>
    <row r="25" spans="1:153" ht="19.5" customHeight="1">
      <c r="A25" s="32">
        <f>IF(DAY(DATE(対象年度,9,22))&lt;&gt;22,"",22)</f>
        <v>22</v>
      </c>
      <c r="B25" s="32" t="str">
        <f>IF(DAY(DATE(対象年度,9,22))&lt;&gt;22,"",CHOOSE(WEEKDAY(DATE(対象年度,9,22),2),"月","火","水","木","金","土","日"))</f>
        <v>火</v>
      </c>
      <c r="C25" s="32" t="str">
        <f>IF(DAY(DATE(対象年度,9,22))&lt;&gt;22,"",IF(ISNUMBER(MATCH(DATE(対象年度,9,22),祝日リスト,0)),"祝",""))</f>
        <v>祝</v>
      </c>
      <c r="D25" s="33"/>
      <c r="E25" s="34"/>
      <c r="F25" s="35" t="str">
        <f t="shared" si="0"/>
        <v/>
      </c>
      <c r="G25" s="36" t="str">
        <f t="shared" si="1"/>
        <v/>
      </c>
      <c r="H25" s="37"/>
      <c r="I25" s="33"/>
      <c r="J25" s="34"/>
      <c r="K25" s="35" t="str">
        <f t="shared" si="2"/>
        <v/>
      </c>
      <c r="L25" s="36" t="str">
        <f t="shared" si="3"/>
        <v/>
      </c>
      <c r="M25" s="37"/>
      <c r="N25" s="33"/>
      <c r="O25" s="34"/>
      <c r="P25" s="35" t="str">
        <f t="shared" si="4"/>
        <v/>
      </c>
      <c r="Q25" s="36" t="str">
        <f t="shared" si="5"/>
        <v/>
      </c>
      <c r="R25" s="37"/>
      <c r="S25" s="33"/>
      <c r="T25" s="34"/>
      <c r="U25" s="35" t="str">
        <f t="shared" si="6"/>
        <v/>
      </c>
      <c r="V25" s="36" t="str">
        <f t="shared" si="7"/>
        <v/>
      </c>
      <c r="W25" s="37"/>
      <c r="X25" s="33"/>
      <c r="Y25" s="34"/>
      <c r="Z25" s="35" t="str">
        <f t="shared" si="8"/>
        <v/>
      </c>
      <c r="AA25" s="36" t="str">
        <f t="shared" si="9"/>
        <v/>
      </c>
      <c r="AB25" s="37"/>
      <c r="AC25" s="33"/>
      <c r="AD25" s="34"/>
      <c r="AE25" s="35" t="str">
        <f t="shared" si="10"/>
        <v/>
      </c>
      <c r="AF25" s="36" t="str">
        <f t="shared" si="11"/>
        <v/>
      </c>
      <c r="AG25" s="37"/>
      <c r="AH25" s="33"/>
      <c r="AI25" s="34"/>
      <c r="AJ25" s="35" t="str">
        <f t="shared" si="12"/>
        <v/>
      </c>
      <c r="AK25" s="36" t="str">
        <f t="shared" si="13"/>
        <v/>
      </c>
      <c r="AL25" s="37"/>
      <c r="AM25" s="33"/>
      <c r="AN25" s="34"/>
      <c r="AO25" s="35" t="str">
        <f t="shared" si="14"/>
        <v/>
      </c>
      <c r="AP25" s="36" t="str">
        <f t="shared" si="15"/>
        <v/>
      </c>
      <c r="AQ25" s="37"/>
      <c r="AR25" s="33"/>
      <c r="AS25" s="34"/>
      <c r="AT25" s="35" t="str">
        <f t="shared" si="16"/>
        <v/>
      </c>
      <c r="AU25" s="36" t="str">
        <f t="shared" si="17"/>
        <v/>
      </c>
      <c r="AV25" s="37"/>
      <c r="AW25" s="33"/>
      <c r="AX25" s="34"/>
      <c r="AY25" s="35" t="str">
        <f t="shared" si="18"/>
        <v/>
      </c>
      <c r="AZ25" s="36" t="str">
        <f t="shared" si="19"/>
        <v/>
      </c>
      <c r="BA25" s="37"/>
      <c r="BB25" s="33"/>
      <c r="BC25" s="34"/>
      <c r="BD25" s="35" t="str">
        <f t="shared" si="20"/>
        <v/>
      </c>
      <c r="BE25" s="36" t="str">
        <f t="shared" si="21"/>
        <v/>
      </c>
      <c r="BF25" s="37"/>
      <c r="BG25" s="33"/>
      <c r="BH25" s="34"/>
      <c r="BI25" s="35" t="str">
        <f t="shared" si="22"/>
        <v/>
      </c>
      <c r="BJ25" s="36" t="str">
        <f t="shared" si="23"/>
        <v/>
      </c>
      <c r="BK25" s="37"/>
      <c r="BL25" s="33"/>
      <c r="BM25" s="34"/>
      <c r="BN25" s="35" t="str">
        <f t="shared" si="24"/>
        <v/>
      </c>
      <c r="BO25" s="36" t="str">
        <f t="shared" si="25"/>
        <v/>
      </c>
      <c r="BP25" s="37"/>
      <c r="BQ25" s="33"/>
      <c r="BR25" s="34"/>
      <c r="BS25" s="35" t="str">
        <f t="shared" si="26"/>
        <v/>
      </c>
      <c r="BT25" s="36" t="str">
        <f t="shared" si="27"/>
        <v/>
      </c>
      <c r="BU25" s="37"/>
      <c r="BV25" s="33"/>
      <c r="BW25" s="34"/>
      <c r="BX25" s="35" t="str">
        <f t="shared" si="28"/>
        <v/>
      </c>
      <c r="BY25" s="36" t="str">
        <f t="shared" si="29"/>
        <v/>
      </c>
      <c r="BZ25" s="37"/>
      <c r="CA25" s="33"/>
      <c r="CB25" s="34"/>
      <c r="CC25" s="35" t="str">
        <f t="shared" si="30"/>
        <v/>
      </c>
      <c r="CD25" s="36" t="str">
        <f t="shared" si="31"/>
        <v/>
      </c>
      <c r="CE25" s="37"/>
      <c r="CF25" s="33"/>
      <c r="CG25" s="34"/>
      <c r="CH25" s="35" t="str">
        <f t="shared" si="32"/>
        <v/>
      </c>
      <c r="CI25" s="36" t="str">
        <f t="shared" si="33"/>
        <v/>
      </c>
      <c r="CJ25" s="37"/>
      <c r="CK25" s="33"/>
      <c r="CL25" s="34"/>
      <c r="CM25" s="35" t="str">
        <f t="shared" si="34"/>
        <v/>
      </c>
      <c r="CN25" s="36" t="str">
        <f t="shared" si="35"/>
        <v/>
      </c>
      <c r="CO25" s="37"/>
      <c r="CP25" s="33"/>
      <c r="CQ25" s="34"/>
      <c r="CR25" s="35" t="str">
        <f t="shared" si="36"/>
        <v/>
      </c>
      <c r="CS25" s="36" t="str">
        <f t="shared" si="37"/>
        <v/>
      </c>
      <c r="CT25" s="37"/>
      <c r="CU25" s="33"/>
      <c r="CV25" s="34"/>
      <c r="CW25" s="35" t="str">
        <f t="shared" si="38"/>
        <v/>
      </c>
      <c r="CX25" s="36" t="str">
        <f t="shared" si="39"/>
        <v/>
      </c>
      <c r="CY25" s="37"/>
      <c r="CZ25" s="33"/>
      <c r="DA25" s="34"/>
      <c r="DB25" s="35" t="str">
        <f t="shared" si="40"/>
        <v/>
      </c>
      <c r="DC25" s="36" t="str">
        <f t="shared" si="41"/>
        <v/>
      </c>
      <c r="DD25" s="37"/>
      <c r="DE25" s="33"/>
      <c r="DF25" s="34"/>
      <c r="DG25" s="35" t="str">
        <f t="shared" si="42"/>
        <v/>
      </c>
      <c r="DH25" s="36" t="str">
        <f t="shared" si="43"/>
        <v/>
      </c>
      <c r="DI25" s="37"/>
      <c r="DJ25" s="33"/>
      <c r="DK25" s="34"/>
      <c r="DL25" s="35" t="str">
        <f t="shared" si="44"/>
        <v/>
      </c>
      <c r="DM25" s="36" t="str">
        <f t="shared" si="45"/>
        <v/>
      </c>
      <c r="DN25" s="37"/>
      <c r="DO25" s="33"/>
      <c r="DP25" s="34"/>
      <c r="DQ25" s="35" t="str">
        <f t="shared" si="46"/>
        <v/>
      </c>
      <c r="DR25" s="36" t="str">
        <f t="shared" si="47"/>
        <v/>
      </c>
      <c r="DS25" s="37"/>
      <c r="DT25" s="33"/>
      <c r="DU25" s="34"/>
      <c r="DV25" s="35" t="str">
        <f t="shared" si="48"/>
        <v/>
      </c>
      <c r="DW25" s="36" t="str">
        <f t="shared" si="49"/>
        <v/>
      </c>
      <c r="DX25" s="37"/>
      <c r="DY25" s="33"/>
      <c r="DZ25" s="34"/>
      <c r="EA25" s="35" t="str">
        <f t="shared" si="50"/>
        <v/>
      </c>
      <c r="EB25" s="36" t="str">
        <f t="shared" si="51"/>
        <v/>
      </c>
      <c r="EC25" s="37"/>
      <c r="ED25" s="33"/>
      <c r="EE25" s="34"/>
      <c r="EF25" s="35" t="str">
        <f t="shared" si="52"/>
        <v/>
      </c>
      <c r="EG25" s="36" t="str">
        <f t="shared" si="53"/>
        <v/>
      </c>
      <c r="EH25" s="37"/>
      <c r="EI25" s="33"/>
      <c r="EJ25" s="34"/>
      <c r="EK25" s="35" t="str">
        <f t="shared" si="54"/>
        <v/>
      </c>
      <c r="EL25" s="36" t="str">
        <f t="shared" si="55"/>
        <v/>
      </c>
      <c r="EM25" s="37"/>
      <c r="EN25" s="33"/>
      <c r="EO25" s="34"/>
      <c r="EP25" s="35" t="str">
        <f t="shared" si="56"/>
        <v/>
      </c>
      <c r="EQ25" s="36" t="str">
        <f t="shared" si="57"/>
        <v/>
      </c>
      <c r="ER25" s="37"/>
      <c r="ES25" s="33"/>
      <c r="ET25" s="34"/>
      <c r="EU25" s="35" t="str">
        <f t="shared" si="58"/>
        <v/>
      </c>
      <c r="EV25" s="36" t="str">
        <f t="shared" si="59"/>
        <v/>
      </c>
      <c r="EW25" s="37"/>
    </row>
    <row r="26" spans="1:153" ht="19.5" customHeight="1">
      <c r="A26" s="32">
        <f>IF(DAY(DATE(対象年度,9,23))&lt;&gt;23,"",23)</f>
        <v>23</v>
      </c>
      <c r="B26" s="32" t="str">
        <f>IF(DAY(DATE(対象年度,9,23))&lt;&gt;23,"",CHOOSE(WEEKDAY(DATE(対象年度,9,23),2),"月","火","水","木","金","土","日"))</f>
        <v>水</v>
      </c>
      <c r="C26" s="32" t="str">
        <f>IF(DAY(DATE(対象年度,9,23))&lt;&gt;23,"",IF(ISNUMBER(MATCH(DATE(対象年度,9,23),祝日リスト,0)),"祝",""))</f>
        <v>祝</v>
      </c>
      <c r="D26" s="33"/>
      <c r="E26" s="34"/>
      <c r="F26" s="35" t="str">
        <f t="shared" si="0"/>
        <v/>
      </c>
      <c r="G26" s="36" t="str">
        <f t="shared" si="1"/>
        <v/>
      </c>
      <c r="H26" s="37"/>
      <c r="I26" s="33"/>
      <c r="J26" s="34"/>
      <c r="K26" s="35" t="str">
        <f t="shared" si="2"/>
        <v/>
      </c>
      <c r="L26" s="36" t="str">
        <f t="shared" si="3"/>
        <v/>
      </c>
      <c r="M26" s="37"/>
      <c r="N26" s="33"/>
      <c r="O26" s="34"/>
      <c r="P26" s="35" t="str">
        <f t="shared" si="4"/>
        <v/>
      </c>
      <c r="Q26" s="36" t="str">
        <f t="shared" si="5"/>
        <v/>
      </c>
      <c r="R26" s="37"/>
      <c r="S26" s="33"/>
      <c r="T26" s="34"/>
      <c r="U26" s="35" t="str">
        <f t="shared" si="6"/>
        <v/>
      </c>
      <c r="V26" s="36" t="str">
        <f t="shared" si="7"/>
        <v/>
      </c>
      <c r="W26" s="37"/>
      <c r="X26" s="33"/>
      <c r="Y26" s="34"/>
      <c r="Z26" s="35" t="str">
        <f t="shared" si="8"/>
        <v/>
      </c>
      <c r="AA26" s="36" t="str">
        <f t="shared" si="9"/>
        <v/>
      </c>
      <c r="AB26" s="37"/>
      <c r="AC26" s="33"/>
      <c r="AD26" s="34"/>
      <c r="AE26" s="35" t="str">
        <f t="shared" si="10"/>
        <v/>
      </c>
      <c r="AF26" s="36" t="str">
        <f t="shared" si="11"/>
        <v/>
      </c>
      <c r="AG26" s="37"/>
      <c r="AH26" s="33"/>
      <c r="AI26" s="34"/>
      <c r="AJ26" s="35" t="str">
        <f t="shared" si="12"/>
        <v/>
      </c>
      <c r="AK26" s="36" t="str">
        <f t="shared" si="13"/>
        <v/>
      </c>
      <c r="AL26" s="37"/>
      <c r="AM26" s="33"/>
      <c r="AN26" s="34"/>
      <c r="AO26" s="35" t="str">
        <f t="shared" si="14"/>
        <v/>
      </c>
      <c r="AP26" s="36" t="str">
        <f t="shared" si="15"/>
        <v/>
      </c>
      <c r="AQ26" s="37"/>
      <c r="AR26" s="33"/>
      <c r="AS26" s="34"/>
      <c r="AT26" s="35" t="str">
        <f t="shared" si="16"/>
        <v/>
      </c>
      <c r="AU26" s="36" t="str">
        <f t="shared" si="17"/>
        <v/>
      </c>
      <c r="AV26" s="37"/>
      <c r="AW26" s="33"/>
      <c r="AX26" s="34"/>
      <c r="AY26" s="35" t="str">
        <f t="shared" si="18"/>
        <v/>
      </c>
      <c r="AZ26" s="36" t="str">
        <f t="shared" si="19"/>
        <v/>
      </c>
      <c r="BA26" s="37"/>
      <c r="BB26" s="33"/>
      <c r="BC26" s="34"/>
      <c r="BD26" s="35" t="str">
        <f t="shared" si="20"/>
        <v/>
      </c>
      <c r="BE26" s="36" t="str">
        <f t="shared" si="21"/>
        <v/>
      </c>
      <c r="BF26" s="37"/>
      <c r="BG26" s="33"/>
      <c r="BH26" s="34"/>
      <c r="BI26" s="35" t="str">
        <f t="shared" si="22"/>
        <v/>
      </c>
      <c r="BJ26" s="36" t="str">
        <f t="shared" si="23"/>
        <v/>
      </c>
      <c r="BK26" s="37"/>
      <c r="BL26" s="33"/>
      <c r="BM26" s="34"/>
      <c r="BN26" s="35" t="str">
        <f t="shared" si="24"/>
        <v/>
      </c>
      <c r="BO26" s="36" t="str">
        <f t="shared" si="25"/>
        <v/>
      </c>
      <c r="BP26" s="37"/>
      <c r="BQ26" s="33"/>
      <c r="BR26" s="34"/>
      <c r="BS26" s="35" t="str">
        <f t="shared" si="26"/>
        <v/>
      </c>
      <c r="BT26" s="36" t="str">
        <f t="shared" si="27"/>
        <v/>
      </c>
      <c r="BU26" s="37"/>
      <c r="BV26" s="33"/>
      <c r="BW26" s="34"/>
      <c r="BX26" s="35" t="str">
        <f t="shared" si="28"/>
        <v/>
      </c>
      <c r="BY26" s="36" t="str">
        <f t="shared" si="29"/>
        <v/>
      </c>
      <c r="BZ26" s="37"/>
      <c r="CA26" s="33"/>
      <c r="CB26" s="34"/>
      <c r="CC26" s="35" t="str">
        <f t="shared" si="30"/>
        <v/>
      </c>
      <c r="CD26" s="36" t="str">
        <f t="shared" si="31"/>
        <v/>
      </c>
      <c r="CE26" s="37"/>
      <c r="CF26" s="33"/>
      <c r="CG26" s="34"/>
      <c r="CH26" s="35" t="str">
        <f t="shared" si="32"/>
        <v/>
      </c>
      <c r="CI26" s="36" t="str">
        <f t="shared" si="33"/>
        <v/>
      </c>
      <c r="CJ26" s="37"/>
      <c r="CK26" s="33"/>
      <c r="CL26" s="34"/>
      <c r="CM26" s="35" t="str">
        <f t="shared" si="34"/>
        <v/>
      </c>
      <c r="CN26" s="36" t="str">
        <f t="shared" si="35"/>
        <v/>
      </c>
      <c r="CO26" s="37"/>
      <c r="CP26" s="33"/>
      <c r="CQ26" s="34"/>
      <c r="CR26" s="35" t="str">
        <f t="shared" si="36"/>
        <v/>
      </c>
      <c r="CS26" s="36" t="str">
        <f t="shared" si="37"/>
        <v/>
      </c>
      <c r="CT26" s="37"/>
      <c r="CU26" s="33"/>
      <c r="CV26" s="34"/>
      <c r="CW26" s="35" t="str">
        <f t="shared" si="38"/>
        <v/>
      </c>
      <c r="CX26" s="36" t="str">
        <f t="shared" si="39"/>
        <v/>
      </c>
      <c r="CY26" s="37"/>
      <c r="CZ26" s="33"/>
      <c r="DA26" s="34"/>
      <c r="DB26" s="35" t="str">
        <f t="shared" si="40"/>
        <v/>
      </c>
      <c r="DC26" s="36" t="str">
        <f t="shared" si="41"/>
        <v/>
      </c>
      <c r="DD26" s="37"/>
      <c r="DE26" s="33"/>
      <c r="DF26" s="34"/>
      <c r="DG26" s="35" t="str">
        <f t="shared" si="42"/>
        <v/>
      </c>
      <c r="DH26" s="36" t="str">
        <f t="shared" si="43"/>
        <v/>
      </c>
      <c r="DI26" s="37"/>
      <c r="DJ26" s="33"/>
      <c r="DK26" s="34"/>
      <c r="DL26" s="35" t="str">
        <f t="shared" si="44"/>
        <v/>
      </c>
      <c r="DM26" s="36" t="str">
        <f t="shared" si="45"/>
        <v/>
      </c>
      <c r="DN26" s="37"/>
      <c r="DO26" s="33"/>
      <c r="DP26" s="34"/>
      <c r="DQ26" s="35" t="str">
        <f t="shared" si="46"/>
        <v/>
      </c>
      <c r="DR26" s="36" t="str">
        <f t="shared" si="47"/>
        <v/>
      </c>
      <c r="DS26" s="37"/>
      <c r="DT26" s="33"/>
      <c r="DU26" s="34"/>
      <c r="DV26" s="35" t="str">
        <f t="shared" si="48"/>
        <v/>
      </c>
      <c r="DW26" s="36" t="str">
        <f t="shared" si="49"/>
        <v/>
      </c>
      <c r="DX26" s="37"/>
      <c r="DY26" s="33"/>
      <c r="DZ26" s="34"/>
      <c r="EA26" s="35" t="str">
        <f t="shared" si="50"/>
        <v/>
      </c>
      <c r="EB26" s="36" t="str">
        <f t="shared" si="51"/>
        <v/>
      </c>
      <c r="EC26" s="37"/>
      <c r="ED26" s="33"/>
      <c r="EE26" s="34"/>
      <c r="EF26" s="35" t="str">
        <f t="shared" si="52"/>
        <v/>
      </c>
      <c r="EG26" s="36" t="str">
        <f t="shared" si="53"/>
        <v/>
      </c>
      <c r="EH26" s="37"/>
      <c r="EI26" s="33"/>
      <c r="EJ26" s="34"/>
      <c r="EK26" s="35" t="str">
        <f t="shared" si="54"/>
        <v/>
      </c>
      <c r="EL26" s="36" t="str">
        <f t="shared" si="55"/>
        <v/>
      </c>
      <c r="EM26" s="37"/>
      <c r="EN26" s="33"/>
      <c r="EO26" s="34"/>
      <c r="EP26" s="35" t="str">
        <f t="shared" si="56"/>
        <v/>
      </c>
      <c r="EQ26" s="36" t="str">
        <f t="shared" si="57"/>
        <v/>
      </c>
      <c r="ER26" s="37"/>
      <c r="ES26" s="33"/>
      <c r="ET26" s="34"/>
      <c r="EU26" s="35" t="str">
        <f t="shared" si="58"/>
        <v/>
      </c>
      <c r="EV26" s="36" t="str">
        <f t="shared" si="59"/>
        <v/>
      </c>
      <c r="EW26" s="37"/>
    </row>
    <row r="27" spans="1:153" ht="19.5" customHeight="1">
      <c r="A27" s="32">
        <f>IF(DAY(DATE(対象年度,9,24))&lt;&gt;24,"",24)</f>
        <v>24</v>
      </c>
      <c r="B27" s="32" t="str">
        <f>IF(DAY(DATE(対象年度,9,24))&lt;&gt;24,"",CHOOSE(WEEKDAY(DATE(対象年度,9,24),2),"月","火","水","木","金","土","日"))</f>
        <v>木</v>
      </c>
      <c r="C27" s="32" t="str">
        <f>IF(DAY(DATE(対象年度,9,24))&lt;&gt;24,"",IF(ISNUMBER(MATCH(DATE(対象年度,9,24),祝日リスト,0)),"祝",""))</f>
        <v/>
      </c>
      <c r="D27" s="33"/>
      <c r="E27" s="34"/>
      <c r="F27" s="35" t="str">
        <f t="shared" si="0"/>
        <v/>
      </c>
      <c r="G27" s="36" t="str">
        <f t="shared" si="1"/>
        <v/>
      </c>
      <c r="H27" s="37"/>
      <c r="I27" s="33"/>
      <c r="J27" s="34"/>
      <c r="K27" s="35" t="str">
        <f t="shared" si="2"/>
        <v/>
      </c>
      <c r="L27" s="36" t="str">
        <f t="shared" si="3"/>
        <v/>
      </c>
      <c r="M27" s="37"/>
      <c r="N27" s="33"/>
      <c r="O27" s="34"/>
      <c r="P27" s="35" t="str">
        <f t="shared" si="4"/>
        <v/>
      </c>
      <c r="Q27" s="36" t="str">
        <f t="shared" si="5"/>
        <v/>
      </c>
      <c r="R27" s="37"/>
      <c r="S27" s="33"/>
      <c r="T27" s="34"/>
      <c r="U27" s="35" t="str">
        <f t="shared" si="6"/>
        <v/>
      </c>
      <c r="V27" s="36" t="str">
        <f t="shared" si="7"/>
        <v/>
      </c>
      <c r="W27" s="37"/>
      <c r="X27" s="33"/>
      <c r="Y27" s="34"/>
      <c r="Z27" s="35" t="str">
        <f t="shared" si="8"/>
        <v/>
      </c>
      <c r="AA27" s="36" t="str">
        <f t="shared" si="9"/>
        <v/>
      </c>
      <c r="AB27" s="37"/>
      <c r="AC27" s="33"/>
      <c r="AD27" s="34"/>
      <c r="AE27" s="35" t="str">
        <f t="shared" si="10"/>
        <v/>
      </c>
      <c r="AF27" s="36" t="str">
        <f t="shared" si="11"/>
        <v/>
      </c>
      <c r="AG27" s="37"/>
      <c r="AH27" s="33"/>
      <c r="AI27" s="34"/>
      <c r="AJ27" s="35" t="str">
        <f t="shared" si="12"/>
        <v/>
      </c>
      <c r="AK27" s="36" t="str">
        <f t="shared" si="13"/>
        <v/>
      </c>
      <c r="AL27" s="37"/>
      <c r="AM27" s="33"/>
      <c r="AN27" s="34"/>
      <c r="AO27" s="35" t="str">
        <f t="shared" si="14"/>
        <v/>
      </c>
      <c r="AP27" s="36" t="str">
        <f t="shared" si="15"/>
        <v/>
      </c>
      <c r="AQ27" s="37"/>
      <c r="AR27" s="33"/>
      <c r="AS27" s="34"/>
      <c r="AT27" s="35" t="str">
        <f t="shared" si="16"/>
        <v/>
      </c>
      <c r="AU27" s="36" t="str">
        <f t="shared" si="17"/>
        <v/>
      </c>
      <c r="AV27" s="37"/>
      <c r="AW27" s="33"/>
      <c r="AX27" s="34"/>
      <c r="AY27" s="35" t="str">
        <f t="shared" si="18"/>
        <v/>
      </c>
      <c r="AZ27" s="36" t="str">
        <f t="shared" si="19"/>
        <v/>
      </c>
      <c r="BA27" s="37"/>
      <c r="BB27" s="33"/>
      <c r="BC27" s="34"/>
      <c r="BD27" s="35" t="str">
        <f t="shared" si="20"/>
        <v/>
      </c>
      <c r="BE27" s="36" t="str">
        <f t="shared" si="21"/>
        <v/>
      </c>
      <c r="BF27" s="37"/>
      <c r="BG27" s="33"/>
      <c r="BH27" s="34"/>
      <c r="BI27" s="35" t="str">
        <f t="shared" si="22"/>
        <v/>
      </c>
      <c r="BJ27" s="36" t="str">
        <f t="shared" si="23"/>
        <v/>
      </c>
      <c r="BK27" s="37"/>
      <c r="BL27" s="33"/>
      <c r="BM27" s="34"/>
      <c r="BN27" s="35" t="str">
        <f t="shared" si="24"/>
        <v/>
      </c>
      <c r="BO27" s="36" t="str">
        <f t="shared" si="25"/>
        <v/>
      </c>
      <c r="BP27" s="37"/>
      <c r="BQ27" s="33"/>
      <c r="BR27" s="34"/>
      <c r="BS27" s="35" t="str">
        <f t="shared" si="26"/>
        <v/>
      </c>
      <c r="BT27" s="36" t="str">
        <f t="shared" si="27"/>
        <v/>
      </c>
      <c r="BU27" s="37"/>
      <c r="BV27" s="33"/>
      <c r="BW27" s="34"/>
      <c r="BX27" s="35" t="str">
        <f t="shared" si="28"/>
        <v/>
      </c>
      <c r="BY27" s="36" t="str">
        <f t="shared" si="29"/>
        <v/>
      </c>
      <c r="BZ27" s="37"/>
      <c r="CA27" s="33"/>
      <c r="CB27" s="34"/>
      <c r="CC27" s="35" t="str">
        <f t="shared" si="30"/>
        <v/>
      </c>
      <c r="CD27" s="36" t="str">
        <f t="shared" si="31"/>
        <v/>
      </c>
      <c r="CE27" s="37"/>
      <c r="CF27" s="33"/>
      <c r="CG27" s="34"/>
      <c r="CH27" s="35" t="str">
        <f t="shared" si="32"/>
        <v/>
      </c>
      <c r="CI27" s="36" t="str">
        <f t="shared" si="33"/>
        <v/>
      </c>
      <c r="CJ27" s="37"/>
      <c r="CK27" s="33"/>
      <c r="CL27" s="34"/>
      <c r="CM27" s="35" t="str">
        <f t="shared" si="34"/>
        <v/>
      </c>
      <c r="CN27" s="36" t="str">
        <f t="shared" si="35"/>
        <v/>
      </c>
      <c r="CO27" s="37"/>
      <c r="CP27" s="33"/>
      <c r="CQ27" s="34"/>
      <c r="CR27" s="35" t="str">
        <f t="shared" si="36"/>
        <v/>
      </c>
      <c r="CS27" s="36" t="str">
        <f t="shared" si="37"/>
        <v/>
      </c>
      <c r="CT27" s="37"/>
      <c r="CU27" s="33"/>
      <c r="CV27" s="34"/>
      <c r="CW27" s="35" t="str">
        <f t="shared" si="38"/>
        <v/>
      </c>
      <c r="CX27" s="36" t="str">
        <f t="shared" si="39"/>
        <v/>
      </c>
      <c r="CY27" s="37"/>
      <c r="CZ27" s="33"/>
      <c r="DA27" s="34"/>
      <c r="DB27" s="35" t="str">
        <f t="shared" si="40"/>
        <v/>
      </c>
      <c r="DC27" s="36" t="str">
        <f t="shared" si="41"/>
        <v/>
      </c>
      <c r="DD27" s="37"/>
      <c r="DE27" s="33"/>
      <c r="DF27" s="34"/>
      <c r="DG27" s="35" t="str">
        <f t="shared" si="42"/>
        <v/>
      </c>
      <c r="DH27" s="36" t="str">
        <f t="shared" si="43"/>
        <v/>
      </c>
      <c r="DI27" s="37"/>
      <c r="DJ27" s="33"/>
      <c r="DK27" s="34"/>
      <c r="DL27" s="35" t="str">
        <f t="shared" si="44"/>
        <v/>
      </c>
      <c r="DM27" s="36" t="str">
        <f t="shared" si="45"/>
        <v/>
      </c>
      <c r="DN27" s="37"/>
      <c r="DO27" s="33"/>
      <c r="DP27" s="34"/>
      <c r="DQ27" s="35" t="str">
        <f t="shared" si="46"/>
        <v/>
      </c>
      <c r="DR27" s="36" t="str">
        <f t="shared" si="47"/>
        <v/>
      </c>
      <c r="DS27" s="37"/>
      <c r="DT27" s="33"/>
      <c r="DU27" s="34"/>
      <c r="DV27" s="35" t="str">
        <f t="shared" si="48"/>
        <v/>
      </c>
      <c r="DW27" s="36" t="str">
        <f t="shared" si="49"/>
        <v/>
      </c>
      <c r="DX27" s="37"/>
      <c r="DY27" s="33"/>
      <c r="DZ27" s="34"/>
      <c r="EA27" s="35" t="str">
        <f t="shared" si="50"/>
        <v/>
      </c>
      <c r="EB27" s="36" t="str">
        <f t="shared" si="51"/>
        <v/>
      </c>
      <c r="EC27" s="37"/>
      <c r="ED27" s="33"/>
      <c r="EE27" s="34"/>
      <c r="EF27" s="35" t="str">
        <f t="shared" si="52"/>
        <v/>
      </c>
      <c r="EG27" s="36" t="str">
        <f t="shared" si="53"/>
        <v/>
      </c>
      <c r="EH27" s="37"/>
      <c r="EI27" s="33"/>
      <c r="EJ27" s="34"/>
      <c r="EK27" s="35" t="str">
        <f t="shared" si="54"/>
        <v/>
      </c>
      <c r="EL27" s="36" t="str">
        <f t="shared" si="55"/>
        <v/>
      </c>
      <c r="EM27" s="37"/>
      <c r="EN27" s="33"/>
      <c r="EO27" s="34"/>
      <c r="EP27" s="35" t="str">
        <f t="shared" si="56"/>
        <v/>
      </c>
      <c r="EQ27" s="36" t="str">
        <f t="shared" si="57"/>
        <v/>
      </c>
      <c r="ER27" s="37"/>
      <c r="ES27" s="33"/>
      <c r="ET27" s="34"/>
      <c r="EU27" s="35" t="str">
        <f t="shared" si="58"/>
        <v/>
      </c>
      <c r="EV27" s="36" t="str">
        <f t="shared" si="59"/>
        <v/>
      </c>
      <c r="EW27" s="37"/>
    </row>
    <row r="28" spans="1:153" ht="19.5" customHeight="1">
      <c r="A28" s="32">
        <f>IF(DAY(DATE(対象年度,9,25))&lt;&gt;25,"",25)</f>
        <v>25</v>
      </c>
      <c r="B28" s="32" t="str">
        <f>IF(DAY(DATE(対象年度,9,25))&lt;&gt;25,"",CHOOSE(WEEKDAY(DATE(対象年度,9,25),2),"月","火","水","木","金","土","日"))</f>
        <v>金</v>
      </c>
      <c r="C28" s="32" t="str">
        <f>IF(DAY(DATE(対象年度,9,25))&lt;&gt;25,"",IF(ISNUMBER(MATCH(DATE(対象年度,9,25),祝日リスト,0)),"祝",""))</f>
        <v/>
      </c>
      <c r="D28" s="33"/>
      <c r="E28" s="34"/>
      <c r="F28" s="35" t="str">
        <f t="shared" si="0"/>
        <v/>
      </c>
      <c r="G28" s="36" t="str">
        <f t="shared" si="1"/>
        <v/>
      </c>
      <c r="H28" s="37"/>
      <c r="I28" s="33"/>
      <c r="J28" s="34"/>
      <c r="K28" s="35" t="str">
        <f t="shared" si="2"/>
        <v/>
      </c>
      <c r="L28" s="36" t="str">
        <f t="shared" si="3"/>
        <v/>
      </c>
      <c r="M28" s="37"/>
      <c r="N28" s="33"/>
      <c r="O28" s="34"/>
      <c r="P28" s="35" t="str">
        <f t="shared" si="4"/>
        <v/>
      </c>
      <c r="Q28" s="36" t="str">
        <f t="shared" si="5"/>
        <v/>
      </c>
      <c r="R28" s="37"/>
      <c r="S28" s="33"/>
      <c r="T28" s="34"/>
      <c r="U28" s="35" t="str">
        <f t="shared" si="6"/>
        <v/>
      </c>
      <c r="V28" s="36" t="str">
        <f t="shared" si="7"/>
        <v/>
      </c>
      <c r="W28" s="37"/>
      <c r="X28" s="33"/>
      <c r="Y28" s="34"/>
      <c r="Z28" s="35" t="str">
        <f t="shared" si="8"/>
        <v/>
      </c>
      <c r="AA28" s="36" t="str">
        <f t="shared" si="9"/>
        <v/>
      </c>
      <c r="AB28" s="37"/>
      <c r="AC28" s="33"/>
      <c r="AD28" s="34"/>
      <c r="AE28" s="35" t="str">
        <f t="shared" si="10"/>
        <v/>
      </c>
      <c r="AF28" s="36" t="str">
        <f t="shared" si="11"/>
        <v/>
      </c>
      <c r="AG28" s="37"/>
      <c r="AH28" s="33"/>
      <c r="AI28" s="34"/>
      <c r="AJ28" s="35" t="str">
        <f t="shared" si="12"/>
        <v/>
      </c>
      <c r="AK28" s="36" t="str">
        <f t="shared" si="13"/>
        <v/>
      </c>
      <c r="AL28" s="37"/>
      <c r="AM28" s="33"/>
      <c r="AN28" s="34"/>
      <c r="AO28" s="35" t="str">
        <f t="shared" si="14"/>
        <v/>
      </c>
      <c r="AP28" s="36" t="str">
        <f t="shared" si="15"/>
        <v/>
      </c>
      <c r="AQ28" s="37"/>
      <c r="AR28" s="33"/>
      <c r="AS28" s="34"/>
      <c r="AT28" s="35" t="str">
        <f t="shared" si="16"/>
        <v/>
      </c>
      <c r="AU28" s="36" t="str">
        <f t="shared" si="17"/>
        <v/>
      </c>
      <c r="AV28" s="37"/>
      <c r="AW28" s="33"/>
      <c r="AX28" s="34"/>
      <c r="AY28" s="35" t="str">
        <f t="shared" si="18"/>
        <v/>
      </c>
      <c r="AZ28" s="36" t="str">
        <f t="shared" si="19"/>
        <v/>
      </c>
      <c r="BA28" s="37"/>
      <c r="BB28" s="33"/>
      <c r="BC28" s="34"/>
      <c r="BD28" s="35" t="str">
        <f t="shared" si="20"/>
        <v/>
      </c>
      <c r="BE28" s="36" t="str">
        <f t="shared" si="21"/>
        <v/>
      </c>
      <c r="BF28" s="37"/>
      <c r="BG28" s="33"/>
      <c r="BH28" s="34"/>
      <c r="BI28" s="35" t="str">
        <f t="shared" si="22"/>
        <v/>
      </c>
      <c r="BJ28" s="36" t="str">
        <f t="shared" si="23"/>
        <v/>
      </c>
      <c r="BK28" s="37"/>
      <c r="BL28" s="33"/>
      <c r="BM28" s="34"/>
      <c r="BN28" s="35" t="str">
        <f t="shared" si="24"/>
        <v/>
      </c>
      <c r="BO28" s="36" t="str">
        <f t="shared" si="25"/>
        <v/>
      </c>
      <c r="BP28" s="37"/>
      <c r="BQ28" s="33"/>
      <c r="BR28" s="34"/>
      <c r="BS28" s="35" t="str">
        <f t="shared" si="26"/>
        <v/>
      </c>
      <c r="BT28" s="36" t="str">
        <f t="shared" si="27"/>
        <v/>
      </c>
      <c r="BU28" s="37"/>
      <c r="BV28" s="33"/>
      <c r="BW28" s="34"/>
      <c r="BX28" s="35" t="str">
        <f t="shared" si="28"/>
        <v/>
      </c>
      <c r="BY28" s="36" t="str">
        <f t="shared" si="29"/>
        <v/>
      </c>
      <c r="BZ28" s="37"/>
      <c r="CA28" s="33"/>
      <c r="CB28" s="34"/>
      <c r="CC28" s="35" t="str">
        <f t="shared" si="30"/>
        <v/>
      </c>
      <c r="CD28" s="36" t="str">
        <f t="shared" si="31"/>
        <v/>
      </c>
      <c r="CE28" s="37"/>
      <c r="CF28" s="33"/>
      <c r="CG28" s="34"/>
      <c r="CH28" s="35" t="str">
        <f t="shared" si="32"/>
        <v/>
      </c>
      <c r="CI28" s="36" t="str">
        <f t="shared" si="33"/>
        <v/>
      </c>
      <c r="CJ28" s="37"/>
      <c r="CK28" s="33"/>
      <c r="CL28" s="34"/>
      <c r="CM28" s="35" t="str">
        <f t="shared" si="34"/>
        <v/>
      </c>
      <c r="CN28" s="36" t="str">
        <f t="shared" si="35"/>
        <v/>
      </c>
      <c r="CO28" s="37"/>
      <c r="CP28" s="33"/>
      <c r="CQ28" s="34"/>
      <c r="CR28" s="35" t="str">
        <f t="shared" si="36"/>
        <v/>
      </c>
      <c r="CS28" s="36" t="str">
        <f t="shared" si="37"/>
        <v/>
      </c>
      <c r="CT28" s="37"/>
      <c r="CU28" s="33"/>
      <c r="CV28" s="34"/>
      <c r="CW28" s="35" t="str">
        <f t="shared" si="38"/>
        <v/>
      </c>
      <c r="CX28" s="36" t="str">
        <f t="shared" si="39"/>
        <v/>
      </c>
      <c r="CY28" s="37"/>
      <c r="CZ28" s="33"/>
      <c r="DA28" s="34"/>
      <c r="DB28" s="35" t="str">
        <f t="shared" si="40"/>
        <v/>
      </c>
      <c r="DC28" s="36" t="str">
        <f t="shared" si="41"/>
        <v/>
      </c>
      <c r="DD28" s="37"/>
      <c r="DE28" s="33"/>
      <c r="DF28" s="34"/>
      <c r="DG28" s="35" t="str">
        <f t="shared" si="42"/>
        <v/>
      </c>
      <c r="DH28" s="36" t="str">
        <f t="shared" si="43"/>
        <v/>
      </c>
      <c r="DI28" s="37"/>
      <c r="DJ28" s="33"/>
      <c r="DK28" s="34"/>
      <c r="DL28" s="35" t="str">
        <f t="shared" si="44"/>
        <v/>
      </c>
      <c r="DM28" s="36" t="str">
        <f t="shared" si="45"/>
        <v/>
      </c>
      <c r="DN28" s="37"/>
      <c r="DO28" s="33"/>
      <c r="DP28" s="34"/>
      <c r="DQ28" s="35" t="str">
        <f t="shared" si="46"/>
        <v/>
      </c>
      <c r="DR28" s="36" t="str">
        <f t="shared" si="47"/>
        <v/>
      </c>
      <c r="DS28" s="37"/>
      <c r="DT28" s="33"/>
      <c r="DU28" s="34"/>
      <c r="DV28" s="35" t="str">
        <f t="shared" si="48"/>
        <v/>
      </c>
      <c r="DW28" s="36" t="str">
        <f t="shared" si="49"/>
        <v/>
      </c>
      <c r="DX28" s="37"/>
      <c r="DY28" s="33"/>
      <c r="DZ28" s="34"/>
      <c r="EA28" s="35" t="str">
        <f t="shared" si="50"/>
        <v/>
      </c>
      <c r="EB28" s="36" t="str">
        <f t="shared" si="51"/>
        <v/>
      </c>
      <c r="EC28" s="37"/>
      <c r="ED28" s="33"/>
      <c r="EE28" s="34"/>
      <c r="EF28" s="35" t="str">
        <f t="shared" si="52"/>
        <v/>
      </c>
      <c r="EG28" s="36" t="str">
        <f t="shared" si="53"/>
        <v/>
      </c>
      <c r="EH28" s="37"/>
      <c r="EI28" s="33"/>
      <c r="EJ28" s="34"/>
      <c r="EK28" s="35" t="str">
        <f t="shared" si="54"/>
        <v/>
      </c>
      <c r="EL28" s="36" t="str">
        <f t="shared" si="55"/>
        <v/>
      </c>
      <c r="EM28" s="37"/>
      <c r="EN28" s="33"/>
      <c r="EO28" s="34"/>
      <c r="EP28" s="35" t="str">
        <f t="shared" si="56"/>
        <v/>
      </c>
      <c r="EQ28" s="36" t="str">
        <f t="shared" si="57"/>
        <v/>
      </c>
      <c r="ER28" s="37"/>
      <c r="ES28" s="33"/>
      <c r="ET28" s="34"/>
      <c r="EU28" s="35" t="str">
        <f t="shared" si="58"/>
        <v/>
      </c>
      <c r="EV28" s="36" t="str">
        <f t="shared" si="59"/>
        <v/>
      </c>
      <c r="EW28" s="37"/>
    </row>
    <row r="29" spans="1:153" ht="19.5" customHeight="1">
      <c r="A29" s="32">
        <f>IF(DAY(DATE(対象年度,9,26))&lt;&gt;26,"",26)</f>
        <v>26</v>
      </c>
      <c r="B29" s="32" t="str">
        <f>IF(DAY(DATE(対象年度,9,26))&lt;&gt;26,"",CHOOSE(WEEKDAY(DATE(対象年度,9,26),2),"月","火","水","木","金","土","日"))</f>
        <v>土</v>
      </c>
      <c r="C29" s="32" t="str">
        <f>IF(DAY(DATE(対象年度,9,26))&lt;&gt;26,"",IF(ISNUMBER(MATCH(DATE(対象年度,9,26),祝日リスト,0)),"祝",""))</f>
        <v/>
      </c>
      <c r="D29" s="33"/>
      <c r="E29" s="34"/>
      <c r="F29" s="35" t="str">
        <f t="shared" si="0"/>
        <v/>
      </c>
      <c r="G29" s="36" t="str">
        <f t="shared" si="1"/>
        <v/>
      </c>
      <c r="H29" s="37"/>
      <c r="I29" s="33"/>
      <c r="J29" s="34"/>
      <c r="K29" s="35" t="str">
        <f t="shared" si="2"/>
        <v/>
      </c>
      <c r="L29" s="36" t="str">
        <f t="shared" si="3"/>
        <v/>
      </c>
      <c r="M29" s="37"/>
      <c r="N29" s="33"/>
      <c r="O29" s="34"/>
      <c r="P29" s="35" t="str">
        <f t="shared" si="4"/>
        <v/>
      </c>
      <c r="Q29" s="36" t="str">
        <f t="shared" si="5"/>
        <v/>
      </c>
      <c r="R29" s="37"/>
      <c r="S29" s="33"/>
      <c r="T29" s="34"/>
      <c r="U29" s="35" t="str">
        <f t="shared" si="6"/>
        <v/>
      </c>
      <c r="V29" s="36" t="str">
        <f t="shared" si="7"/>
        <v/>
      </c>
      <c r="W29" s="37"/>
      <c r="X29" s="33"/>
      <c r="Y29" s="34"/>
      <c r="Z29" s="35" t="str">
        <f t="shared" si="8"/>
        <v/>
      </c>
      <c r="AA29" s="36" t="str">
        <f t="shared" si="9"/>
        <v/>
      </c>
      <c r="AB29" s="37"/>
      <c r="AC29" s="33"/>
      <c r="AD29" s="34"/>
      <c r="AE29" s="35" t="str">
        <f t="shared" si="10"/>
        <v/>
      </c>
      <c r="AF29" s="36" t="str">
        <f t="shared" si="11"/>
        <v/>
      </c>
      <c r="AG29" s="37"/>
      <c r="AH29" s="33"/>
      <c r="AI29" s="34"/>
      <c r="AJ29" s="35" t="str">
        <f t="shared" si="12"/>
        <v/>
      </c>
      <c r="AK29" s="36" t="str">
        <f t="shared" si="13"/>
        <v/>
      </c>
      <c r="AL29" s="37"/>
      <c r="AM29" s="33"/>
      <c r="AN29" s="34"/>
      <c r="AO29" s="35" t="str">
        <f t="shared" si="14"/>
        <v/>
      </c>
      <c r="AP29" s="36" t="str">
        <f t="shared" si="15"/>
        <v/>
      </c>
      <c r="AQ29" s="37"/>
      <c r="AR29" s="33"/>
      <c r="AS29" s="34"/>
      <c r="AT29" s="35" t="str">
        <f t="shared" si="16"/>
        <v/>
      </c>
      <c r="AU29" s="36" t="str">
        <f t="shared" si="17"/>
        <v/>
      </c>
      <c r="AV29" s="37"/>
      <c r="AW29" s="33"/>
      <c r="AX29" s="34"/>
      <c r="AY29" s="35" t="str">
        <f t="shared" si="18"/>
        <v/>
      </c>
      <c r="AZ29" s="36" t="str">
        <f t="shared" si="19"/>
        <v/>
      </c>
      <c r="BA29" s="37"/>
      <c r="BB29" s="33"/>
      <c r="BC29" s="34"/>
      <c r="BD29" s="35" t="str">
        <f t="shared" si="20"/>
        <v/>
      </c>
      <c r="BE29" s="36" t="str">
        <f t="shared" si="21"/>
        <v/>
      </c>
      <c r="BF29" s="37"/>
      <c r="BG29" s="33"/>
      <c r="BH29" s="34"/>
      <c r="BI29" s="35" t="str">
        <f t="shared" si="22"/>
        <v/>
      </c>
      <c r="BJ29" s="36" t="str">
        <f t="shared" si="23"/>
        <v/>
      </c>
      <c r="BK29" s="37"/>
      <c r="BL29" s="33"/>
      <c r="BM29" s="34"/>
      <c r="BN29" s="35" t="str">
        <f t="shared" si="24"/>
        <v/>
      </c>
      <c r="BO29" s="36" t="str">
        <f t="shared" si="25"/>
        <v/>
      </c>
      <c r="BP29" s="37"/>
      <c r="BQ29" s="33"/>
      <c r="BR29" s="34"/>
      <c r="BS29" s="35" t="str">
        <f t="shared" si="26"/>
        <v/>
      </c>
      <c r="BT29" s="36" t="str">
        <f t="shared" si="27"/>
        <v/>
      </c>
      <c r="BU29" s="37"/>
      <c r="BV29" s="33"/>
      <c r="BW29" s="34"/>
      <c r="BX29" s="35" t="str">
        <f t="shared" si="28"/>
        <v/>
      </c>
      <c r="BY29" s="36" t="str">
        <f t="shared" si="29"/>
        <v/>
      </c>
      <c r="BZ29" s="37"/>
      <c r="CA29" s="33"/>
      <c r="CB29" s="34"/>
      <c r="CC29" s="35" t="str">
        <f t="shared" si="30"/>
        <v/>
      </c>
      <c r="CD29" s="36" t="str">
        <f t="shared" si="31"/>
        <v/>
      </c>
      <c r="CE29" s="37"/>
      <c r="CF29" s="33"/>
      <c r="CG29" s="34"/>
      <c r="CH29" s="35" t="str">
        <f t="shared" si="32"/>
        <v/>
      </c>
      <c r="CI29" s="36" t="str">
        <f t="shared" si="33"/>
        <v/>
      </c>
      <c r="CJ29" s="37"/>
      <c r="CK29" s="33"/>
      <c r="CL29" s="34"/>
      <c r="CM29" s="35" t="str">
        <f t="shared" si="34"/>
        <v/>
      </c>
      <c r="CN29" s="36" t="str">
        <f t="shared" si="35"/>
        <v/>
      </c>
      <c r="CO29" s="37"/>
      <c r="CP29" s="33"/>
      <c r="CQ29" s="34"/>
      <c r="CR29" s="35" t="str">
        <f t="shared" si="36"/>
        <v/>
      </c>
      <c r="CS29" s="36" t="str">
        <f t="shared" si="37"/>
        <v/>
      </c>
      <c r="CT29" s="37"/>
      <c r="CU29" s="33"/>
      <c r="CV29" s="34"/>
      <c r="CW29" s="35" t="str">
        <f t="shared" si="38"/>
        <v/>
      </c>
      <c r="CX29" s="36" t="str">
        <f t="shared" si="39"/>
        <v/>
      </c>
      <c r="CY29" s="37"/>
      <c r="CZ29" s="33"/>
      <c r="DA29" s="34"/>
      <c r="DB29" s="35" t="str">
        <f t="shared" si="40"/>
        <v/>
      </c>
      <c r="DC29" s="36" t="str">
        <f t="shared" si="41"/>
        <v/>
      </c>
      <c r="DD29" s="37"/>
      <c r="DE29" s="33"/>
      <c r="DF29" s="34"/>
      <c r="DG29" s="35" t="str">
        <f t="shared" si="42"/>
        <v/>
      </c>
      <c r="DH29" s="36" t="str">
        <f t="shared" si="43"/>
        <v/>
      </c>
      <c r="DI29" s="37"/>
      <c r="DJ29" s="33"/>
      <c r="DK29" s="34"/>
      <c r="DL29" s="35" t="str">
        <f t="shared" si="44"/>
        <v/>
      </c>
      <c r="DM29" s="36" t="str">
        <f t="shared" si="45"/>
        <v/>
      </c>
      <c r="DN29" s="37"/>
      <c r="DO29" s="33"/>
      <c r="DP29" s="34"/>
      <c r="DQ29" s="35" t="str">
        <f t="shared" si="46"/>
        <v/>
      </c>
      <c r="DR29" s="36" t="str">
        <f t="shared" si="47"/>
        <v/>
      </c>
      <c r="DS29" s="37"/>
      <c r="DT29" s="33"/>
      <c r="DU29" s="34"/>
      <c r="DV29" s="35" t="str">
        <f t="shared" si="48"/>
        <v/>
      </c>
      <c r="DW29" s="36" t="str">
        <f t="shared" si="49"/>
        <v/>
      </c>
      <c r="DX29" s="37"/>
      <c r="DY29" s="33"/>
      <c r="DZ29" s="34"/>
      <c r="EA29" s="35" t="str">
        <f t="shared" si="50"/>
        <v/>
      </c>
      <c r="EB29" s="36" t="str">
        <f t="shared" si="51"/>
        <v/>
      </c>
      <c r="EC29" s="37"/>
      <c r="ED29" s="33"/>
      <c r="EE29" s="34"/>
      <c r="EF29" s="35" t="str">
        <f t="shared" si="52"/>
        <v/>
      </c>
      <c r="EG29" s="36" t="str">
        <f t="shared" si="53"/>
        <v/>
      </c>
      <c r="EH29" s="37"/>
      <c r="EI29" s="33"/>
      <c r="EJ29" s="34"/>
      <c r="EK29" s="35" t="str">
        <f t="shared" si="54"/>
        <v/>
      </c>
      <c r="EL29" s="36" t="str">
        <f t="shared" si="55"/>
        <v/>
      </c>
      <c r="EM29" s="37"/>
      <c r="EN29" s="33"/>
      <c r="EO29" s="34"/>
      <c r="EP29" s="35" t="str">
        <f t="shared" si="56"/>
        <v/>
      </c>
      <c r="EQ29" s="36" t="str">
        <f t="shared" si="57"/>
        <v/>
      </c>
      <c r="ER29" s="37"/>
      <c r="ES29" s="33"/>
      <c r="ET29" s="34"/>
      <c r="EU29" s="35" t="str">
        <f t="shared" si="58"/>
        <v/>
      </c>
      <c r="EV29" s="36" t="str">
        <f t="shared" si="59"/>
        <v/>
      </c>
      <c r="EW29" s="37"/>
    </row>
    <row r="30" spans="1:153" ht="19.5" customHeight="1">
      <c r="A30" s="32">
        <f>IF(DAY(DATE(対象年度,9,27))&lt;&gt;27,"",27)</f>
        <v>27</v>
      </c>
      <c r="B30" s="32" t="str">
        <f>IF(DAY(DATE(対象年度,9,27))&lt;&gt;27,"",CHOOSE(WEEKDAY(DATE(対象年度,9,27),2),"月","火","水","木","金","土","日"))</f>
        <v>日</v>
      </c>
      <c r="C30" s="32" t="str">
        <f>IF(DAY(DATE(対象年度,9,27))&lt;&gt;27,"",IF(ISNUMBER(MATCH(DATE(対象年度,9,27),祝日リスト,0)),"祝",""))</f>
        <v/>
      </c>
      <c r="D30" s="33"/>
      <c r="E30" s="34"/>
      <c r="F30" s="35" t="str">
        <f t="shared" si="0"/>
        <v/>
      </c>
      <c r="G30" s="36" t="str">
        <f t="shared" si="1"/>
        <v/>
      </c>
      <c r="H30" s="37"/>
      <c r="I30" s="33"/>
      <c r="J30" s="34"/>
      <c r="K30" s="35" t="str">
        <f t="shared" si="2"/>
        <v/>
      </c>
      <c r="L30" s="36" t="str">
        <f t="shared" si="3"/>
        <v/>
      </c>
      <c r="M30" s="37"/>
      <c r="N30" s="33"/>
      <c r="O30" s="34"/>
      <c r="P30" s="35" t="str">
        <f t="shared" si="4"/>
        <v/>
      </c>
      <c r="Q30" s="36" t="str">
        <f t="shared" si="5"/>
        <v/>
      </c>
      <c r="R30" s="37"/>
      <c r="S30" s="33"/>
      <c r="T30" s="34"/>
      <c r="U30" s="35" t="str">
        <f t="shared" si="6"/>
        <v/>
      </c>
      <c r="V30" s="36" t="str">
        <f t="shared" si="7"/>
        <v/>
      </c>
      <c r="W30" s="37"/>
      <c r="X30" s="33"/>
      <c r="Y30" s="34"/>
      <c r="Z30" s="35" t="str">
        <f t="shared" si="8"/>
        <v/>
      </c>
      <c r="AA30" s="36" t="str">
        <f t="shared" si="9"/>
        <v/>
      </c>
      <c r="AB30" s="37"/>
      <c r="AC30" s="33"/>
      <c r="AD30" s="34"/>
      <c r="AE30" s="35" t="str">
        <f t="shared" si="10"/>
        <v/>
      </c>
      <c r="AF30" s="36" t="str">
        <f t="shared" si="11"/>
        <v/>
      </c>
      <c r="AG30" s="37"/>
      <c r="AH30" s="33"/>
      <c r="AI30" s="34"/>
      <c r="AJ30" s="35" t="str">
        <f t="shared" si="12"/>
        <v/>
      </c>
      <c r="AK30" s="36" t="str">
        <f t="shared" si="13"/>
        <v/>
      </c>
      <c r="AL30" s="37"/>
      <c r="AM30" s="33"/>
      <c r="AN30" s="34"/>
      <c r="AO30" s="35" t="str">
        <f t="shared" si="14"/>
        <v/>
      </c>
      <c r="AP30" s="36" t="str">
        <f t="shared" si="15"/>
        <v/>
      </c>
      <c r="AQ30" s="37"/>
      <c r="AR30" s="33"/>
      <c r="AS30" s="34"/>
      <c r="AT30" s="35" t="str">
        <f t="shared" si="16"/>
        <v/>
      </c>
      <c r="AU30" s="36" t="str">
        <f t="shared" si="17"/>
        <v/>
      </c>
      <c r="AV30" s="37"/>
      <c r="AW30" s="33"/>
      <c r="AX30" s="34"/>
      <c r="AY30" s="35" t="str">
        <f t="shared" si="18"/>
        <v/>
      </c>
      <c r="AZ30" s="36" t="str">
        <f t="shared" si="19"/>
        <v/>
      </c>
      <c r="BA30" s="37"/>
      <c r="BB30" s="33"/>
      <c r="BC30" s="34"/>
      <c r="BD30" s="35" t="str">
        <f t="shared" si="20"/>
        <v/>
      </c>
      <c r="BE30" s="36" t="str">
        <f t="shared" si="21"/>
        <v/>
      </c>
      <c r="BF30" s="37"/>
      <c r="BG30" s="33"/>
      <c r="BH30" s="34"/>
      <c r="BI30" s="35" t="str">
        <f t="shared" si="22"/>
        <v/>
      </c>
      <c r="BJ30" s="36" t="str">
        <f t="shared" si="23"/>
        <v/>
      </c>
      <c r="BK30" s="37"/>
      <c r="BL30" s="33"/>
      <c r="BM30" s="34"/>
      <c r="BN30" s="35" t="str">
        <f t="shared" si="24"/>
        <v/>
      </c>
      <c r="BO30" s="36" t="str">
        <f t="shared" si="25"/>
        <v/>
      </c>
      <c r="BP30" s="37"/>
      <c r="BQ30" s="33"/>
      <c r="BR30" s="34"/>
      <c r="BS30" s="35" t="str">
        <f t="shared" si="26"/>
        <v/>
      </c>
      <c r="BT30" s="36" t="str">
        <f t="shared" si="27"/>
        <v/>
      </c>
      <c r="BU30" s="37"/>
      <c r="BV30" s="33"/>
      <c r="BW30" s="34"/>
      <c r="BX30" s="35" t="str">
        <f t="shared" si="28"/>
        <v/>
      </c>
      <c r="BY30" s="36" t="str">
        <f t="shared" si="29"/>
        <v/>
      </c>
      <c r="BZ30" s="37"/>
      <c r="CA30" s="33"/>
      <c r="CB30" s="34"/>
      <c r="CC30" s="35" t="str">
        <f t="shared" si="30"/>
        <v/>
      </c>
      <c r="CD30" s="36" t="str">
        <f t="shared" si="31"/>
        <v/>
      </c>
      <c r="CE30" s="37"/>
      <c r="CF30" s="33"/>
      <c r="CG30" s="34"/>
      <c r="CH30" s="35" t="str">
        <f t="shared" si="32"/>
        <v/>
      </c>
      <c r="CI30" s="36" t="str">
        <f t="shared" si="33"/>
        <v/>
      </c>
      <c r="CJ30" s="37"/>
      <c r="CK30" s="33"/>
      <c r="CL30" s="34"/>
      <c r="CM30" s="35" t="str">
        <f t="shared" si="34"/>
        <v/>
      </c>
      <c r="CN30" s="36" t="str">
        <f t="shared" si="35"/>
        <v/>
      </c>
      <c r="CO30" s="37"/>
      <c r="CP30" s="33"/>
      <c r="CQ30" s="34"/>
      <c r="CR30" s="35" t="str">
        <f t="shared" si="36"/>
        <v/>
      </c>
      <c r="CS30" s="36" t="str">
        <f t="shared" si="37"/>
        <v/>
      </c>
      <c r="CT30" s="37"/>
      <c r="CU30" s="33"/>
      <c r="CV30" s="34"/>
      <c r="CW30" s="35" t="str">
        <f t="shared" si="38"/>
        <v/>
      </c>
      <c r="CX30" s="36" t="str">
        <f t="shared" si="39"/>
        <v/>
      </c>
      <c r="CY30" s="37"/>
      <c r="CZ30" s="33"/>
      <c r="DA30" s="34"/>
      <c r="DB30" s="35" t="str">
        <f t="shared" si="40"/>
        <v/>
      </c>
      <c r="DC30" s="36" t="str">
        <f t="shared" si="41"/>
        <v/>
      </c>
      <c r="DD30" s="37"/>
      <c r="DE30" s="33"/>
      <c r="DF30" s="34"/>
      <c r="DG30" s="35" t="str">
        <f t="shared" si="42"/>
        <v/>
      </c>
      <c r="DH30" s="36" t="str">
        <f t="shared" si="43"/>
        <v/>
      </c>
      <c r="DI30" s="37"/>
      <c r="DJ30" s="33"/>
      <c r="DK30" s="34"/>
      <c r="DL30" s="35" t="str">
        <f t="shared" si="44"/>
        <v/>
      </c>
      <c r="DM30" s="36" t="str">
        <f t="shared" si="45"/>
        <v/>
      </c>
      <c r="DN30" s="37"/>
      <c r="DO30" s="33"/>
      <c r="DP30" s="34"/>
      <c r="DQ30" s="35" t="str">
        <f t="shared" si="46"/>
        <v/>
      </c>
      <c r="DR30" s="36" t="str">
        <f t="shared" si="47"/>
        <v/>
      </c>
      <c r="DS30" s="37"/>
      <c r="DT30" s="33"/>
      <c r="DU30" s="34"/>
      <c r="DV30" s="35" t="str">
        <f t="shared" si="48"/>
        <v/>
      </c>
      <c r="DW30" s="36" t="str">
        <f t="shared" si="49"/>
        <v/>
      </c>
      <c r="DX30" s="37"/>
      <c r="DY30" s="33"/>
      <c r="DZ30" s="34"/>
      <c r="EA30" s="35" t="str">
        <f t="shared" si="50"/>
        <v/>
      </c>
      <c r="EB30" s="36" t="str">
        <f t="shared" si="51"/>
        <v/>
      </c>
      <c r="EC30" s="37"/>
      <c r="ED30" s="33"/>
      <c r="EE30" s="34"/>
      <c r="EF30" s="35" t="str">
        <f t="shared" si="52"/>
        <v/>
      </c>
      <c r="EG30" s="36" t="str">
        <f t="shared" si="53"/>
        <v/>
      </c>
      <c r="EH30" s="37"/>
      <c r="EI30" s="33"/>
      <c r="EJ30" s="34"/>
      <c r="EK30" s="35" t="str">
        <f t="shared" si="54"/>
        <v/>
      </c>
      <c r="EL30" s="36" t="str">
        <f t="shared" si="55"/>
        <v/>
      </c>
      <c r="EM30" s="37"/>
      <c r="EN30" s="33"/>
      <c r="EO30" s="34"/>
      <c r="EP30" s="35" t="str">
        <f t="shared" si="56"/>
        <v/>
      </c>
      <c r="EQ30" s="36" t="str">
        <f t="shared" si="57"/>
        <v/>
      </c>
      <c r="ER30" s="37"/>
      <c r="ES30" s="33"/>
      <c r="ET30" s="34"/>
      <c r="EU30" s="35" t="str">
        <f t="shared" si="58"/>
        <v/>
      </c>
      <c r="EV30" s="36" t="str">
        <f t="shared" si="59"/>
        <v/>
      </c>
      <c r="EW30" s="37"/>
    </row>
    <row r="31" spans="1:153" ht="19.5" customHeight="1">
      <c r="A31" s="32">
        <f>IF(DAY(DATE(対象年度,9,28))&lt;&gt;28,"",28)</f>
        <v>28</v>
      </c>
      <c r="B31" s="32" t="str">
        <f>IF(DAY(DATE(対象年度,9,28))&lt;&gt;28,"",CHOOSE(WEEKDAY(DATE(対象年度,9,28),2),"月","火","水","木","金","土","日"))</f>
        <v>月</v>
      </c>
      <c r="C31" s="32" t="str">
        <f>IF(DAY(DATE(対象年度,9,28))&lt;&gt;28,"",IF(ISNUMBER(MATCH(DATE(対象年度,9,28),祝日リスト,0)),"祝",""))</f>
        <v/>
      </c>
      <c r="D31" s="33"/>
      <c r="E31" s="34"/>
      <c r="F31" s="35" t="str">
        <f t="shared" si="0"/>
        <v/>
      </c>
      <c r="G31" s="36" t="str">
        <f t="shared" si="1"/>
        <v/>
      </c>
      <c r="H31" s="37"/>
      <c r="I31" s="33"/>
      <c r="J31" s="34"/>
      <c r="K31" s="35" t="str">
        <f t="shared" si="2"/>
        <v/>
      </c>
      <c r="L31" s="36" t="str">
        <f t="shared" si="3"/>
        <v/>
      </c>
      <c r="M31" s="37"/>
      <c r="N31" s="33"/>
      <c r="O31" s="34"/>
      <c r="P31" s="35" t="str">
        <f t="shared" si="4"/>
        <v/>
      </c>
      <c r="Q31" s="36" t="str">
        <f t="shared" si="5"/>
        <v/>
      </c>
      <c r="R31" s="37"/>
      <c r="S31" s="33"/>
      <c r="T31" s="34"/>
      <c r="U31" s="35" t="str">
        <f t="shared" si="6"/>
        <v/>
      </c>
      <c r="V31" s="36" t="str">
        <f t="shared" si="7"/>
        <v/>
      </c>
      <c r="W31" s="37"/>
      <c r="X31" s="33"/>
      <c r="Y31" s="34"/>
      <c r="Z31" s="35" t="str">
        <f t="shared" si="8"/>
        <v/>
      </c>
      <c r="AA31" s="36" t="str">
        <f t="shared" si="9"/>
        <v/>
      </c>
      <c r="AB31" s="37"/>
      <c r="AC31" s="33"/>
      <c r="AD31" s="34"/>
      <c r="AE31" s="35" t="str">
        <f t="shared" si="10"/>
        <v/>
      </c>
      <c r="AF31" s="36" t="str">
        <f t="shared" si="11"/>
        <v/>
      </c>
      <c r="AG31" s="37"/>
      <c r="AH31" s="33"/>
      <c r="AI31" s="34"/>
      <c r="AJ31" s="35" t="str">
        <f t="shared" si="12"/>
        <v/>
      </c>
      <c r="AK31" s="36" t="str">
        <f t="shared" si="13"/>
        <v/>
      </c>
      <c r="AL31" s="37"/>
      <c r="AM31" s="33"/>
      <c r="AN31" s="34"/>
      <c r="AO31" s="35" t="str">
        <f t="shared" si="14"/>
        <v/>
      </c>
      <c r="AP31" s="36" t="str">
        <f t="shared" si="15"/>
        <v/>
      </c>
      <c r="AQ31" s="37"/>
      <c r="AR31" s="33"/>
      <c r="AS31" s="34"/>
      <c r="AT31" s="35" t="str">
        <f t="shared" si="16"/>
        <v/>
      </c>
      <c r="AU31" s="36" t="str">
        <f t="shared" si="17"/>
        <v/>
      </c>
      <c r="AV31" s="37"/>
      <c r="AW31" s="33"/>
      <c r="AX31" s="34"/>
      <c r="AY31" s="35" t="str">
        <f t="shared" si="18"/>
        <v/>
      </c>
      <c r="AZ31" s="36" t="str">
        <f t="shared" si="19"/>
        <v/>
      </c>
      <c r="BA31" s="37"/>
      <c r="BB31" s="33"/>
      <c r="BC31" s="34"/>
      <c r="BD31" s="35" t="str">
        <f t="shared" si="20"/>
        <v/>
      </c>
      <c r="BE31" s="36" t="str">
        <f t="shared" si="21"/>
        <v/>
      </c>
      <c r="BF31" s="37"/>
      <c r="BG31" s="33"/>
      <c r="BH31" s="34"/>
      <c r="BI31" s="35" t="str">
        <f t="shared" si="22"/>
        <v/>
      </c>
      <c r="BJ31" s="36" t="str">
        <f t="shared" si="23"/>
        <v/>
      </c>
      <c r="BK31" s="37"/>
      <c r="BL31" s="33"/>
      <c r="BM31" s="34"/>
      <c r="BN31" s="35" t="str">
        <f t="shared" si="24"/>
        <v/>
      </c>
      <c r="BO31" s="36" t="str">
        <f t="shared" si="25"/>
        <v/>
      </c>
      <c r="BP31" s="37"/>
      <c r="BQ31" s="33"/>
      <c r="BR31" s="34"/>
      <c r="BS31" s="35" t="str">
        <f t="shared" si="26"/>
        <v/>
      </c>
      <c r="BT31" s="36" t="str">
        <f t="shared" si="27"/>
        <v/>
      </c>
      <c r="BU31" s="37"/>
      <c r="BV31" s="33"/>
      <c r="BW31" s="34"/>
      <c r="BX31" s="35" t="str">
        <f t="shared" si="28"/>
        <v/>
      </c>
      <c r="BY31" s="36" t="str">
        <f t="shared" si="29"/>
        <v/>
      </c>
      <c r="BZ31" s="37"/>
      <c r="CA31" s="33"/>
      <c r="CB31" s="34"/>
      <c r="CC31" s="35" t="str">
        <f t="shared" si="30"/>
        <v/>
      </c>
      <c r="CD31" s="36" t="str">
        <f t="shared" si="31"/>
        <v/>
      </c>
      <c r="CE31" s="37"/>
      <c r="CF31" s="33"/>
      <c r="CG31" s="34"/>
      <c r="CH31" s="35" t="str">
        <f t="shared" si="32"/>
        <v/>
      </c>
      <c r="CI31" s="36" t="str">
        <f t="shared" si="33"/>
        <v/>
      </c>
      <c r="CJ31" s="37"/>
      <c r="CK31" s="33"/>
      <c r="CL31" s="34"/>
      <c r="CM31" s="35" t="str">
        <f t="shared" si="34"/>
        <v/>
      </c>
      <c r="CN31" s="36" t="str">
        <f t="shared" si="35"/>
        <v/>
      </c>
      <c r="CO31" s="37"/>
      <c r="CP31" s="33"/>
      <c r="CQ31" s="34"/>
      <c r="CR31" s="35" t="str">
        <f t="shared" si="36"/>
        <v/>
      </c>
      <c r="CS31" s="36" t="str">
        <f t="shared" si="37"/>
        <v/>
      </c>
      <c r="CT31" s="37"/>
      <c r="CU31" s="33"/>
      <c r="CV31" s="34"/>
      <c r="CW31" s="35" t="str">
        <f t="shared" si="38"/>
        <v/>
      </c>
      <c r="CX31" s="36" t="str">
        <f t="shared" si="39"/>
        <v/>
      </c>
      <c r="CY31" s="37"/>
      <c r="CZ31" s="33"/>
      <c r="DA31" s="34"/>
      <c r="DB31" s="35" t="str">
        <f t="shared" si="40"/>
        <v/>
      </c>
      <c r="DC31" s="36" t="str">
        <f t="shared" si="41"/>
        <v/>
      </c>
      <c r="DD31" s="37"/>
      <c r="DE31" s="33"/>
      <c r="DF31" s="34"/>
      <c r="DG31" s="35" t="str">
        <f t="shared" si="42"/>
        <v/>
      </c>
      <c r="DH31" s="36" t="str">
        <f t="shared" si="43"/>
        <v/>
      </c>
      <c r="DI31" s="37"/>
      <c r="DJ31" s="33"/>
      <c r="DK31" s="34"/>
      <c r="DL31" s="35" t="str">
        <f t="shared" si="44"/>
        <v/>
      </c>
      <c r="DM31" s="36" t="str">
        <f t="shared" si="45"/>
        <v/>
      </c>
      <c r="DN31" s="37"/>
      <c r="DO31" s="33"/>
      <c r="DP31" s="34"/>
      <c r="DQ31" s="35" t="str">
        <f t="shared" si="46"/>
        <v/>
      </c>
      <c r="DR31" s="36" t="str">
        <f t="shared" si="47"/>
        <v/>
      </c>
      <c r="DS31" s="37"/>
      <c r="DT31" s="33"/>
      <c r="DU31" s="34"/>
      <c r="DV31" s="35" t="str">
        <f t="shared" si="48"/>
        <v/>
      </c>
      <c r="DW31" s="36" t="str">
        <f t="shared" si="49"/>
        <v/>
      </c>
      <c r="DX31" s="37"/>
      <c r="DY31" s="33"/>
      <c r="DZ31" s="34"/>
      <c r="EA31" s="35" t="str">
        <f t="shared" si="50"/>
        <v/>
      </c>
      <c r="EB31" s="36" t="str">
        <f t="shared" si="51"/>
        <v/>
      </c>
      <c r="EC31" s="37"/>
      <c r="ED31" s="33"/>
      <c r="EE31" s="34"/>
      <c r="EF31" s="35" t="str">
        <f t="shared" si="52"/>
        <v/>
      </c>
      <c r="EG31" s="36" t="str">
        <f t="shared" si="53"/>
        <v/>
      </c>
      <c r="EH31" s="37"/>
      <c r="EI31" s="33"/>
      <c r="EJ31" s="34"/>
      <c r="EK31" s="35" t="str">
        <f t="shared" si="54"/>
        <v/>
      </c>
      <c r="EL31" s="36" t="str">
        <f t="shared" si="55"/>
        <v/>
      </c>
      <c r="EM31" s="37"/>
      <c r="EN31" s="33"/>
      <c r="EO31" s="34"/>
      <c r="EP31" s="35" t="str">
        <f t="shared" si="56"/>
        <v/>
      </c>
      <c r="EQ31" s="36" t="str">
        <f t="shared" si="57"/>
        <v/>
      </c>
      <c r="ER31" s="37"/>
      <c r="ES31" s="33"/>
      <c r="ET31" s="34"/>
      <c r="EU31" s="35" t="str">
        <f t="shared" si="58"/>
        <v/>
      </c>
      <c r="EV31" s="36" t="str">
        <f t="shared" si="59"/>
        <v/>
      </c>
      <c r="EW31" s="37"/>
    </row>
    <row r="32" spans="1:153" ht="19.5" customHeight="1">
      <c r="A32" s="32">
        <f>IF(DAY(DATE(対象年度,9,29))&lt;&gt;29,"",29)</f>
        <v>29</v>
      </c>
      <c r="B32" s="32" t="str">
        <f>IF(DAY(DATE(対象年度,9,29))&lt;&gt;29,"",CHOOSE(WEEKDAY(DATE(対象年度,9,29),2),"月","火","水","木","金","土","日"))</f>
        <v>火</v>
      </c>
      <c r="C32" s="32" t="str">
        <f>IF(DAY(DATE(対象年度,9,29))&lt;&gt;29,"",IF(ISNUMBER(MATCH(DATE(対象年度,9,29),祝日リスト,0)),"祝",""))</f>
        <v/>
      </c>
      <c r="D32" s="33"/>
      <c r="E32" s="34"/>
      <c r="F32" s="35" t="str">
        <f t="shared" si="0"/>
        <v/>
      </c>
      <c r="G32" s="36" t="str">
        <f t="shared" si="1"/>
        <v/>
      </c>
      <c r="H32" s="37"/>
      <c r="I32" s="33"/>
      <c r="J32" s="34"/>
      <c r="K32" s="35" t="str">
        <f t="shared" si="2"/>
        <v/>
      </c>
      <c r="L32" s="36" t="str">
        <f t="shared" si="3"/>
        <v/>
      </c>
      <c r="M32" s="37"/>
      <c r="N32" s="33"/>
      <c r="O32" s="34"/>
      <c r="P32" s="35" t="str">
        <f t="shared" si="4"/>
        <v/>
      </c>
      <c r="Q32" s="36" t="str">
        <f t="shared" si="5"/>
        <v/>
      </c>
      <c r="R32" s="37"/>
      <c r="S32" s="33"/>
      <c r="T32" s="34"/>
      <c r="U32" s="35" t="str">
        <f t="shared" si="6"/>
        <v/>
      </c>
      <c r="V32" s="36" t="str">
        <f t="shared" si="7"/>
        <v/>
      </c>
      <c r="W32" s="37"/>
      <c r="X32" s="33"/>
      <c r="Y32" s="34"/>
      <c r="Z32" s="35" t="str">
        <f t="shared" si="8"/>
        <v/>
      </c>
      <c r="AA32" s="36" t="str">
        <f t="shared" si="9"/>
        <v/>
      </c>
      <c r="AB32" s="37"/>
      <c r="AC32" s="33"/>
      <c r="AD32" s="34"/>
      <c r="AE32" s="35" t="str">
        <f t="shared" si="10"/>
        <v/>
      </c>
      <c r="AF32" s="36" t="str">
        <f t="shared" si="11"/>
        <v/>
      </c>
      <c r="AG32" s="37"/>
      <c r="AH32" s="33"/>
      <c r="AI32" s="34"/>
      <c r="AJ32" s="35" t="str">
        <f t="shared" si="12"/>
        <v/>
      </c>
      <c r="AK32" s="36" t="str">
        <f t="shared" si="13"/>
        <v/>
      </c>
      <c r="AL32" s="37"/>
      <c r="AM32" s="33"/>
      <c r="AN32" s="34"/>
      <c r="AO32" s="35" t="str">
        <f t="shared" si="14"/>
        <v/>
      </c>
      <c r="AP32" s="36" t="str">
        <f t="shared" si="15"/>
        <v/>
      </c>
      <c r="AQ32" s="37"/>
      <c r="AR32" s="33"/>
      <c r="AS32" s="34"/>
      <c r="AT32" s="35" t="str">
        <f t="shared" si="16"/>
        <v/>
      </c>
      <c r="AU32" s="36" t="str">
        <f t="shared" si="17"/>
        <v/>
      </c>
      <c r="AV32" s="37"/>
      <c r="AW32" s="33"/>
      <c r="AX32" s="34"/>
      <c r="AY32" s="35" t="str">
        <f t="shared" si="18"/>
        <v/>
      </c>
      <c r="AZ32" s="36" t="str">
        <f t="shared" si="19"/>
        <v/>
      </c>
      <c r="BA32" s="37"/>
      <c r="BB32" s="33"/>
      <c r="BC32" s="34"/>
      <c r="BD32" s="35" t="str">
        <f t="shared" si="20"/>
        <v/>
      </c>
      <c r="BE32" s="36" t="str">
        <f t="shared" si="21"/>
        <v/>
      </c>
      <c r="BF32" s="37"/>
      <c r="BG32" s="33"/>
      <c r="BH32" s="34"/>
      <c r="BI32" s="35" t="str">
        <f t="shared" si="22"/>
        <v/>
      </c>
      <c r="BJ32" s="36" t="str">
        <f t="shared" si="23"/>
        <v/>
      </c>
      <c r="BK32" s="37"/>
      <c r="BL32" s="33"/>
      <c r="BM32" s="34"/>
      <c r="BN32" s="35" t="str">
        <f t="shared" si="24"/>
        <v/>
      </c>
      <c r="BO32" s="36" t="str">
        <f t="shared" si="25"/>
        <v/>
      </c>
      <c r="BP32" s="37"/>
      <c r="BQ32" s="33"/>
      <c r="BR32" s="34"/>
      <c r="BS32" s="35" t="str">
        <f t="shared" si="26"/>
        <v/>
      </c>
      <c r="BT32" s="36" t="str">
        <f t="shared" si="27"/>
        <v/>
      </c>
      <c r="BU32" s="37"/>
      <c r="BV32" s="33"/>
      <c r="BW32" s="34"/>
      <c r="BX32" s="35" t="str">
        <f t="shared" si="28"/>
        <v/>
      </c>
      <c r="BY32" s="36" t="str">
        <f t="shared" si="29"/>
        <v/>
      </c>
      <c r="BZ32" s="37"/>
      <c r="CA32" s="33"/>
      <c r="CB32" s="34"/>
      <c r="CC32" s="35" t="str">
        <f t="shared" si="30"/>
        <v/>
      </c>
      <c r="CD32" s="36" t="str">
        <f t="shared" si="31"/>
        <v/>
      </c>
      <c r="CE32" s="37"/>
      <c r="CF32" s="33"/>
      <c r="CG32" s="34"/>
      <c r="CH32" s="35" t="str">
        <f t="shared" si="32"/>
        <v/>
      </c>
      <c r="CI32" s="36" t="str">
        <f t="shared" si="33"/>
        <v/>
      </c>
      <c r="CJ32" s="37"/>
      <c r="CK32" s="33"/>
      <c r="CL32" s="34"/>
      <c r="CM32" s="35" t="str">
        <f t="shared" si="34"/>
        <v/>
      </c>
      <c r="CN32" s="36" t="str">
        <f t="shared" si="35"/>
        <v/>
      </c>
      <c r="CO32" s="37"/>
      <c r="CP32" s="33"/>
      <c r="CQ32" s="34"/>
      <c r="CR32" s="35" t="str">
        <f t="shared" si="36"/>
        <v/>
      </c>
      <c r="CS32" s="36" t="str">
        <f t="shared" si="37"/>
        <v/>
      </c>
      <c r="CT32" s="37"/>
      <c r="CU32" s="33"/>
      <c r="CV32" s="34"/>
      <c r="CW32" s="35" t="str">
        <f t="shared" si="38"/>
        <v/>
      </c>
      <c r="CX32" s="36" t="str">
        <f t="shared" si="39"/>
        <v/>
      </c>
      <c r="CY32" s="37"/>
      <c r="CZ32" s="33"/>
      <c r="DA32" s="34"/>
      <c r="DB32" s="35" t="str">
        <f t="shared" si="40"/>
        <v/>
      </c>
      <c r="DC32" s="36" t="str">
        <f t="shared" si="41"/>
        <v/>
      </c>
      <c r="DD32" s="37"/>
      <c r="DE32" s="33"/>
      <c r="DF32" s="34"/>
      <c r="DG32" s="35" t="str">
        <f t="shared" si="42"/>
        <v/>
      </c>
      <c r="DH32" s="36" t="str">
        <f t="shared" si="43"/>
        <v/>
      </c>
      <c r="DI32" s="37"/>
      <c r="DJ32" s="33"/>
      <c r="DK32" s="34"/>
      <c r="DL32" s="35" t="str">
        <f t="shared" si="44"/>
        <v/>
      </c>
      <c r="DM32" s="36" t="str">
        <f t="shared" si="45"/>
        <v/>
      </c>
      <c r="DN32" s="37"/>
      <c r="DO32" s="33"/>
      <c r="DP32" s="34"/>
      <c r="DQ32" s="35" t="str">
        <f t="shared" si="46"/>
        <v/>
      </c>
      <c r="DR32" s="36" t="str">
        <f t="shared" si="47"/>
        <v/>
      </c>
      <c r="DS32" s="37"/>
      <c r="DT32" s="33"/>
      <c r="DU32" s="34"/>
      <c r="DV32" s="35" t="str">
        <f t="shared" si="48"/>
        <v/>
      </c>
      <c r="DW32" s="36" t="str">
        <f t="shared" si="49"/>
        <v/>
      </c>
      <c r="DX32" s="37"/>
      <c r="DY32" s="33"/>
      <c r="DZ32" s="34"/>
      <c r="EA32" s="35" t="str">
        <f t="shared" si="50"/>
        <v/>
      </c>
      <c r="EB32" s="36" t="str">
        <f t="shared" si="51"/>
        <v/>
      </c>
      <c r="EC32" s="37"/>
      <c r="ED32" s="33"/>
      <c r="EE32" s="34"/>
      <c r="EF32" s="35" t="str">
        <f t="shared" si="52"/>
        <v/>
      </c>
      <c r="EG32" s="36" t="str">
        <f t="shared" si="53"/>
        <v/>
      </c>
      <c r="EH32" s="37"/>
      <c r="EI32" s="33"/>
      <c r="EJ32" s="34"/>
      <c r="EK32" s="35" t="str">
        <f t="shared" si="54"/>
        <v/>
      </c>
      <c r="EL32" s="36" t="str">
        <f t="shared" si="55"/>
        <v/>
      </c>
      <c r="EM32" s="37"/>
      <c r="EN32" s="33"/>
      <c r="EO32" s="34"/>
      <c r="EP32" s="35" t="str">
        <f t="shared" si="56"/>
        <v/>
      </c>
      <c r="EQ32" s="36" t="str">
        <f t="shared" si="57"/>
        <v/>
      </c>
      <c r="ER32" s="37"/>
      <c r="ES32" s="33"/>
      <c r="ET32" s="34"/>
      <c r="EU32" s="35" t="str">
        <f t="shared" si="58"/>
        <v/>
      </c>
      <c r="EV32" s="36" t="str">
        <f t="shared" si="59"/>
        <v/>
      </c>
      <c r="EW32" s="37"/>
    </row>
    <row r="33" spans="1:153" ht="19.5" customHeight="1">
      <c r="A33" s="32">
        <f>IF(DAY(DATE(対象年度,9,30))&lt;&gt;30,"",30)</f>
        <v>30</v>
      </c>
      <c r="B33" s="32" t="str">
        <f>IF(DAY(DATE(対象年度,9,30))&lt;&gt;30,"",CHOOSE(WEEKDAY(DATE(対象年度,9,30),2),"月","火","水","木","金","土","日"))</f>
        <v>水</v>
      </c>
      <c r="C33" s="32" t="str">
        <f>IF(DAY(DATE(対象年度,9,30))&lt;&gt;30,"",IF(ISNUMBER(MATCH(DATE(対象年度,9,30),祝日リスト,0)),"祝",""))</f>
        <v/>
      </c>
      <c r="D33" s="33"/>
      <c r="E33" s="34"/>
      <c r="F33" s="35" t="str">
        <f t="shared" si="0"/>
        <v/>
      </c>
      <c r="G33" s="36" t="str">
        <f t="shared" si="1"/>
        <v/>
      </c>
      <c r="H33" s="37"/>
      <c r="I33" s="33"/>
      <c r="J33" s="34"/>
      <c r="K33" s="35" t="str">
        <f t="shared" si="2"/>
        <v/>
      </c>
      <c r="L33" s="36" t="str">
        <f t="shared" si="3"/>
        <v/>
      </c>
      <c r="M33" s="37"/>
      <c r="N33" s="33"/>
      <c r="O33" s="34"/>
      <c r="P33" s="35" t="str">
        <f t="shared" si="4"/>
        <v/>
      </c>
      <c r="Q33" s="36" t="str">
        <f t="shared" si="5"/>
        <v/>
      </c>
      <c r="R33" s="37"/>
      <c r="S33" s="33"/>
      <c r="T33" s="34"/>
      <c r="U33" s="35" t="str">
        <f t="shared" si="6"/>
        <v/>
      </c>
      <c r="V33" s="36" t="str">
        <f t="shared" si="7"/>
        <v/>
      </c>
      <c r="W33" s="37"/>
      <c r="X33" s="33"/>
      <c r="Y33" s="34"/>
      <c r="Z33" s="35" t="str">
        <f t="shared" si="8"/>
        <v/>
      </c>
      <c r="AA33" s="36" t="str">
        <f t="shared" si="9"/>
        <v/>
      </c>
      <c r="AB33" s="37"/>
      <c r="AC33" s="33"/>
      <c r="AD33" s="34"/>
      <c r="AE33" s="35" t="str">
        <f t="shared" si="10"/>
        <v/>
      </c>
      <c r="AF33" s="36" t="str">
        <f t="shared" si="11"/>
        <v/>
      </c>
      <c r="AG33" s="37"/>
      <c r="AH33" s="33"/>
      <c r="AI33" s="34"/>
      <c r="AJ33" s="35" t="str">
        <f t="shared" si="12"/>
        <v/>
      </c>
      <c r="AK33" s="36" t="str">
        <f t="shared" si="13"/>
        <v/>
      </c>
      <c r="AL33" s="37"/>
      <c r="AM33" s="33"/>
      <c r="AN33" s="34"/>
      <c r="AO33" s="35" t="str">
        <f t="shared" si="14"/>
        <v/>
      </c>
      <c r="AP33" s="36" t="str">
        <f t="shared" si="15"/>
        <v/>
      </c>
      <c r="AQ33" s="37"/>
      <c r="AR33" s="33"/>
      <c r="AS33" s="34"/>
      <c r="AT33" s="35" t="str">
        <f t="shared" si="16"/>
        <v/>
      </c>
      <c r="AU33" s="36" t="str">
        <f t="shared" si="17"/>
        <v/>
      </c>
      <c r="AV33" s="37"/>
      <c r="AW33" s="33"/>
      <c r="AX33" s="34"/>
      <c r="AY33" s="35" t="str">
        <f t="shared" si="18"/>
        <v/>
      </c>
      <c r="AZ33" s="36" t="str">
        <f t="shared" si="19"/>
        <v/>
      </c>
      <c r="BA33" s="37"/>
      <c r="BB33" s="33"/>
      <c r="BC33" s="34"/>
      <c r="BD33" s="35" t="str">
        <f t="shared" si="20"/>
        <v/>
      </c>
      <c r="BE33" s="36" t="str">
        <f t="shared" si="21"/>
        <v/>
      </c>
      <c r="BF33" s="37"/>
      <c r="BG33" s="33"/>
      <c r="BH33" s="34"/>
      <c r="BI33" s="35" t="str">
        <f t="shared" si="22"/>
        <v/>
      </c>
      <c r="BJ33" s="36" t="str">
        <f t="shared" si="23"/>
        <v/>
      </c>
      <c r="BK33" s="37"/>
      <c r="BL33" s="33"/>
      <c r="BM33" s="34"/>
      <c r="BN33" s="35" t="str">
        <f t="shared" si="24"/>
        <v/>
      </c>
      <c r="BO33" s="36" t="str">
        <f t="shared" si="25"/>
        <v/>
      </c>
      <c r="BP33" s="37"/>
      <c r="BQ33" s="33"/>
      <c r="BR33" s="34"/>
      <c r="BS33" s="35" t="str">
        <f t="shared" si="26"/>
        <v/>
      </c>
      <c r="BT33" s="36" t="str">
        <f t="shared" si="27"/>
        <v/>
      </c>
      <c r="BU33" s="37"/>
      <c r="BV33" s="33"/>
      <c r="BW33" s="34"/>
      <c r="BX33" s="35" t="str">
        <f t="shared" si="28"/>
        <v/>
      </c>
      <c r="BY33" s="36" t="str">
        <f t="shared" si="29"/>
        <v/>
      </c>
      <c r="BZ33" s="37"/>
      <c r="CA33" s="33"/>
      <c r="CB33" s="34"/>
      <c r="CC33" s="35" t="str">
        <f t="shared" si="30"/>
        <v/>
      </c>
      <c r="CD33" s="36" t="str">
        <f t="shared" si="31"/>
        <v/>
      </c>
      <c r="CE33" s="37"/>
      <c r="CF33" s="33"/>
      <c r="CG33" s="34"/>
      <c r="CH33" s="35" t="str">
        <f t="shared" si="32"/>
        <v/>
      </c>
      <c r="CI33" s="36" t="str">
        <f t="shared" si="33"/>
        <v/>
      </c>
      <c r="CJ33" s="37"/>
      <c r="CK33" s="33"/>
      <c r="CL33" s="34"/>
      <c r="CM33" s="35" t="str">
        <f t="shared" si="34"/>
        <v/>
      </c>
      <c r="CN33" s="36" t="str">
        <f t="shared" si="35"/>
        <v/>
      </c>
      <c r="CO33" s="37"/>
      <c r="CP33" s="33"/>
      <c r="CQ33" s="34"/>
      <c r="CR33" s="35" t="str">
        <f t="shared" si="36"/>
        <v/>
      </c>
      <c r="CS33" s="36" t="str">
        <f t="shared" si="37"/>
        <v/>
      </c>
      <c r="CT33" s="37"/>
      <c r="CU33" s="33"/>
      <c r="CV33" s="34"/>
      <c r="CW33" s="35" t="str">
        <f t="shared" si="38"/>
        <v/>
      </c>
      <c r="CX33" s="36" t="str">
        <f t="shared" si="39"/>
        <v/>
      </c>
      <c r="CY33" s="37"/>
      <c r="CZ33" s="33"/>
      <c r="DA33" s="34"/>
      <c r="DB33" s="35" t="str">
        <f t="shared" si="40"/>
        <v/>
      </c>
      <c r="DC33" s="36" t="str">
        <f t="shared" si="41"/>
        <v/>
      </c>
      <c r="DD33" s="37"/>
      <c r="DE33" s="33"/>
      <c r="DF33" s="34"/>
      <c r="DG33" s="35" t="str">
        <f t="shared" si="42"/>
        <v/>
      </c>
      <c r="DH33" s="36" t="str">
        <f t="shared" si="43"/>
        <v/>
      </c>
      <c r="DI33" s="37"/>
      <c r="DJ33" s="33"/>
      <c r="DK33" s="34"/>
      <c r="DL33" s="35" t="str">
        <f t="shared" si="44"/>
        <v/>
      </c>
      <c r="DM33" s="36" t="str">
        <f t="shared" si="45"/>
        <v/>
      </c>
      <c r="DN33" s="37"/>
      <c r="DO33" s="33"/>
      <c r="DP33" s="34"/>
      <c r="DQ33" s="35" t="str">
        <f t="shared" si="46"/>
        <v/>
      </c>
      <c r="DR33" s="36" t="str">
        <f t="shared" si="47"/>
        <v/>
      </c>
      <c r="DS33" s="37"/>
      <c r="DT33" s="33"/>
      <c r="DU33" s="34"/>
      <c r="DV33" s="35" t="str">
        <f t="shared" si="48"/>
        <v/>
      </c>
      <c r="DW33" s="36" t="str">
        <f t="shared" si="49"/>
        <v/>
      </c>
      <c r="DX33" s="37"/>
      <c r="DY33" s="33"/>
      <c r="DZ33" s="34"/>
      <c r="EA33" s="35" t="str">
        <f t="shared" si="50"/>
        <v/>
      </c>
      <c r="EB33" s="36" t="str">
        <f t="shared" si="51"/>
        <v/>
      </c>
      <c r="EC33" s="37"/>
      <c r="ED33" s="33"/>
      <c r="EE33" s="34"/>
      <c r="EF33" s="35" t="str">
        <f t="shared" si="52"/>
        <v/>
      </c>
      <c r="EG33" s="36" t="str">
        <f t="shared" si="53"/>
        <v/>
      </c>
      <c r="EH33" s="37"/>
      <c r="EI33" s="33"/>
      <c r="EJ33" s="34"/>
      <c r="EK33" s="35" t="str">
        <f t="shared" si="54"/>
        <v/>
      </c>
      <c r="EL33" s="36" t="str">
        <f t="shared" si="55"/>
        <v/>
      </c>
      <c r="EM33" s="37"/>
      <c r="EN33" s="33"/>
      <c r="EO33" s="34"/>
      <c r="EP33" s="35" t="str">
        <f t="shared" si="56"/>
        <v/>
      </c>
      <c r="EQ33" s="36" t="str">
        <f t="shared" si="57"/>
        <v/>
      </c>
      <c r="ER33" s="37"/>
      <c r="ES33" s="33"/>
      <c r="ET33" s="34"/>
      <c r="EU33" s="35" t="str">
        <f t="shared" si="58"/>
        <v/>
      </c>
      <c r="EV33" s="36" t="str">
        <f t="shared" si="59"/>
        <v/>
      </c>
      <c r="EW33" s="37"/>
    </row>
    <row r="34" spans="1:153" ht="19.5" customHeight="1">
      <c r="A34" s="39" t="str">
        <f>IF(DAY(DATE(対象年度,9,31))&lt;&gt;31,"",31)</f>
        <v/>
      </c>
      <c r="B34" s="39" t="str">
        <f>IF(DAY(DATE(対象年度,9,31))&lt;&gt;31,"",CHOOSE(WEEKDAY(DATE(対象年度,9,31),2),"月","火","水","木","金","土","日"))</f>
        <v/>
      </c>
      <c r="C34" s="39" t="str">
        <f>IF(DAY(DATE(対象年度,9,31))&lt;&gt;31,"",IF(ISNUMBER(MATCH(DATE(対象年度,9,31),祝日リスト,0)),"祝",""))</f>
        <v/>
      </c>
      <c r="D34" s="40"/>
      <c r="E34" s="41"/>
      <c r="F34" s="42" t="str">
        <f t="shared" si="0"/>
        <v/>
      </c>
      <c r="G34" s="43" t="str">
        <f t="shared" si="1"/>
        <v/>
      </c>
      <c r="H34" s="44"/>
      <c r="I34" s="40"/>
      <c r="J34" s="41"/>
      <c r="K34" s="42" t="str">
        <f t="shared" si="2"/>
        <v/>
      </c>
      <c r="L34" s="43" t="str">
        <f t="shared" si="3"/>
        <v/>
      </c>
      <c r="M34" s="44"/>
      <c r="N34" s="40"/>
      <c r="O34" s="41"/>
      <c r="P34" s="42" t="str">
        <f t="shared" si="4"/>
        <v/>
      </c>
      <c r="Q34" s="43" t="str">
        <f t="shared" si="5"/>
        <v/>
      </c>
      <c r="R34" s="44"/>
      <c r="S34" s="40"/>
      <c r="T34" s="41"/>
      <c r="U34" s="42" t="str">
        <f t="shared" si="6"/>
        <v/>
      </c>
      <c r="V34" s="43" t="str">
        <f t="shared" si="7"/>
        <v/>
      </c>
      <c r="W34" s="44"/>
      <c r="X34" s="40"/>
      <c r="Y34" s="41"/>
      <c r="Z34" s="42" t="str">
        <f t="shared" si="8"/>
        <v/>
      </c>
      <c r="AA34" s="43" t="str">
        <f t="shared" si="9"/>
        <v/>
      </c>
      <c r="AB34" s="44"/>
      <c r="AC34" s="40"/>
      <c r="AD34" s="41"/>
      <c r="AE34" s="42" t="str">
        <f t="shared" si="10"/>
        <v/>
      </c>
      <c r="AF34" s="43" t="str">
        <f t="shared" si="11"/>
        <v/>
      </c>
      <c r="AG34" s="44"/>
      <c r="AH34" s="40"/>
      <c r="AI34" s="41"/>
      <c r="AJ34" s="42" t="str">
        <f t="shared" si="12"/>
        <v/>
      </c>
      <c r="AK34" s="43" t="str">
        <f t="shared" si="13"/>
        <v/>
      </c>
      <c r="AL34" s="44"/>
      <c r="AM34" s="40"/>
      <c r="AN34" s="41"/>
      <c r="AO34" s="42" t="str">
        <f t="shared" si="14"/>
        <v/>
      </c>
      <c r="AP34" s="43" t="str">
        <f t="shared" si="15"/>
        <v/>
      </c>
      <c r="AQ34" s="44"/>
      <c r="AR34" s="40"/>
      <c r="AS34" s="41"/>
      <c r="AT34" s="42" t="str">
        <f t="shared" si="16"/>
        <v/>
      </c>
      <c r="AU34" s="43" t="str">
        <f t="shared" si="17"/>
        <v/>
      </c>
      <c r="AV34" s="44"/>
      <c r="AW34" s="40"/>
      <c r="AX34" s="41"/>
      <c r="AY34" s="42" t="str">
        <f t="shared" si="18"/>
        <v/>
      </c>
      <c r="AZ34" s="43" t="str">
        <f t="shared" si="19"/>
        <v/>
      </c>
      <c r="BA34" s="44"/>
      <c r="BB34" s="40"/>
      <c r="BC34" s="41"/>
      <c r="BD34" s="42" t="str">
        <f t="shared" si="20"/>
        <v/>
      </c>
      <c r="BE34" s="43" t="str">
        <f t="shared" si="21"/>
        <v/>
      </c>
      <c r="BF34" s="44"/>
      <c r="BG34" s="40"/>
      <c r="BH34" s="41"/>
      <c r="BI34" s="42" t="str">
        <f t="shared" si="22"/>
        <v/>
      </c>
      <c r="BJ34" s="43" t="str">
        <f t="shared" si="23"/>
        <v/>
      </c>
      <c r="BK34" s="44"/>
      <c r="BL34" s="40"/>
      <c r="BM34" s="41"/>
      <c r="BN34" s="42" t="str">
        <f t="shared" si="24"/>
        <v/>
      </c>
      <c r="BO34" s="43" t="str">
        <f t="shared" si="25"/>
        <v/>
      </c>
      <c r="BP34" s="44"/>
      <c r="BQ34" s="40"/>
      <c r="BR34" s="41"/>
      <c r="BS34" s="42" t="str">
        <f t="shared" si="26"/>
        <v/>
      </c>
      <c r="BT34" s="43" t="str">
        <f t="shared" si="27"/>
        <v/>
      </c>
      <c r="BU34" s="44"/>
      <c r="BV34" s="40"/>
      <c r="BW34" s="41"/>
      <c r="BX34" s="42" t="str">
        <f t="shared" si="28"/>
        <v/>
      </c>
      <c r="BY34" s="43" t="str">
        <f t="shared" si="29"/>
        <v/>
      </c>
      <c r="BZ34" s="44"/>
      <c r="CA34" s="40"/>
      <c r="CB34" s="41"/>
      <c r="CC34" s="42" t="str">
        <f t="shared" si="30"/>
        <v/>
      </c>
      <c r="CD34" s="43" t="str">
        <f t="shared" si="31"/>
        <v/>
      </c>
      <c r="CE34" s="44"/>
      <c r="CF34" s="40"/>
      <c r="CG34" s="41"/>
      <c r="CH34" s="42" t="str">
        <f t="shared" si="32"/>
        <v/>
      </c>
      <c r="CI34" s="43" t="str">
        <f t="shared" si="33"/>
        <v/>
      </c>
      <c r="CJ34" s="44"/>
      <c r="CK34" s="40"/>
      <c r="CL34" s="41"/>
      <c r="CM34" s="42" t="str">
        <f t="shared" si="34"/>
        <v/>
      </c>
      <c r="CN34" s="43" t="str">
        <f t="shared" si="35"/>
        <v/>
      </c>
      <c r="CO34" s="44"/>
      <c r="CP34" s="40"/>
      <c r="CQ34" s="41"/>
      <c r="CR34" s="42" t="str">
        <f t="shared" si="36"/>
        <v/>
      </c>
      <c r="CS34" s="43" t="str">
        <f t="shared" si="37"/>
        <v/>
      </c>
      <c r="CT34" s="44"/>
      <c r="CU34" s="40"/>
      <c r="CV34" s="41"/>
      <c r="CW34" s="42" t="str">
        <f t="shared" si="38"/>
        <v/>
      </c>
      <c r="CX34" s="43" t="str">
        <f t="shared" si="39"/>
        <v/>
      </c>
      <c r="CY34" s="44"/>
      <c r="CZ34" s="40"/>
      <c r="DA34" s="41"/>
      <c r="DB34" s="42" t="str">
        <f t="shared" si="40"/>
        <v/>
      </c>
      <c r="DC34" s="43" t="str">
        <f t="shared" si="41"/>
        <v/>
      </c>
      <c r="DD34" s="44"/>
      <c r="DE34" s="40"/>
      <c r="DF34" s="41"/>
      <c r="DG34" s="42" t="str">
        <f t="shared" si="42"/>
        <v/>
      </c>
      <c r="DH34" s="43" t="str">
        <f t="shared" si="43"/>
        <v/>
      </c>
      <c r="DI34" s="44"/>
      <c r="DJ34" s="40"/>
      <c r="DK34" s="41"/>
      <c r="DL34" s="42" t="str">
        <f t="shared" si="44"/>
        <v/>
      </c>
      <c r="DM34" s="43" t="str">
        <f t="shared" si="45"/>
        <v/>
      </c>
      <c r="DN34" s="44"/>
      <c r="DO34" s="40"/>
      <c r="DP34" s="41"/>
      <c r="DQ34" s="42" t="str">
        <f t="shared" si="46"/>
        <v/>
      </c>
      <c r="DR34" s="43" t="str">
        <f t="shared" si="47"/>
        <v/>
      </c>
      <c r="DS34" s="44"/>
      <c r="DT34" s="40"/>
      <c r="DU34" s="41"/>
      <c r="DV34" s="42" t="str">
        <f t="shared" si="48"/>
        <v/>
      </c>
      <c r="DW34" s="43" t="str">
        <f t="shared" si="49"/>
        <v/>
      </c>
      <c r="DX34" s="44"/>
      <c r="DY34" s="40"/>
      <c r="DZ34" s="41"/>
      <c r="EA34" s="42" t="str">
        <f t="shared" si="50"/>
        <v/>
      </c>
      <c r="EB34" s="43" t="str">
        <f t="shared" si="51"/>
        <v/>
      </c>
      <c r="EC34" s="44"/>
      <c r="ED34" s="40"/>
      <c r="EE34" s="41"/>
      <c r="EF34" s="42" t="str">
        <f t="shared" si="52"/>
        <v/>
      </c>
      <c r="EG34" s="43" t="str">
        <f t="shared" si="53"/>
        <v/>
      </c>
      <c r="EH34" s="44"/>
      <c r="EI34" s="40"/>
      <c r="EJ34" s="41"/>
      <c r="EK34" s="42" t="str">
        <f t="shared" si="54"/>
        <v/>
      </c>
      <c r="EL34" s="43" t="str">
        <f t="shared" si="55"/>
        <v/>
      </c>
      <c r="EM34" s="44"/>
      <c r="EN34" s="40"/>
      <c r="EO34" s="41"/>
      <c r="EP34" s="42" t="str">
        <f t="shared" si="56"/>
        <v/>
      </c>
      <c r="EQ34" s="43" t="str">
        <f t="shared" si="57"/>
        <v/>
      </c>
      <c r="ER34" s="44"/>
      <c r="ES34" s="40"/>
      <c r="ET34" s="41"/>
      <c r="EU34" s="42" t="str">
        <f t="shared" si="58"/>
        <v/>
      </c>
      <c r="EV34" s="43" t="str">
        <f t="shared" si="5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0</v>
      </c>
      <c r="E35" s="94"/>
      <c r="F35" s="94"/>
      <c r="G35" s="94"/>
      <c r="H35" s="94"/>
      <c r="I35" s="94">
        <f>COUNTIF(K4:K34,"○")</f>
        <v>0</v>
      </c>
      <c r="J35" s="94"/>
      <c r="K35" s="94"/>
      <c r="L35" s="94"/>
      <c r="M35" s="94"/>
      <c r="N35" s="94">
        <f>COUNTIF(P4:P34,"○")</f>
        <v>0</v>
      </c>
      <c r="O35" s="94"/>
      <c r="P35" s="94"/>
      <c r="Q35" s="94"/>
      <c r="R35" s="94"/>
      <c r="S35" s="94">
        <f>COUNTIF(U4:U34,"○")</f>
        <v>0</v>
      </c>
      <c r="T35" s="94"/>
      <c r="U35" s="94"/>
      <c r="V35" s="94"/>
      <c r="W35" s="94"/>
      <c r="X35" s="94">
        <f>COUNTIF(Z4:Z34,"○")</f>
        <v>0</v>
      </c>
      <c r="Y35" s="94"/>
      <c r="Z35" s="94"/>
      <c r="AA35" s="94"/>
      <c r="AB35" s="94"/>
      <c r="AC35" s="94">
        <f>COUNTIF(AE4:AE34,"○")</f>
        <v>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0</v>
      </c>
      <c r="E37" s="98"/>
      <c r="F37" s="98"/>
      <c r="G37" s="98"/>
      <c r="H37" s="98"/>
      <c r="I37" s="98">
        <f>I35+I36</f>
        <v>0</v>
      </c>
      <c r="J37" s="98"/>
      <c r="K37" s="98"/>
      <c r="L37" s="98"/>
      <c r="M37" s="98"/>
      <c r="N37" s="98">
        <f>N35+N36</f>
        <v>0</v>
      </c>
      <c r="O37" s="98"/>
      <c r="P37" s="98"/>
      <c r="Q37" s="98"/>
      <c r="R37" s="98"/>
      <c r="S37" s="98">
        <f>S35+S36</f>
        <v>0</v>
      </c>
      <c r="T37" s="98"/>
      <c r="U37" s="98"/>
      <c r="V37" s="98"/>
      <c r="W37" s="98"/>
      <c r="X37" s="98">
        <f>X35+X36</f>
        <v>0</v>
      </c>
      <c r="Y37" s="98"/>
      <c r="Z37" s="98"/>
      <c r="AA37" s="98"/>
      <c r="AB37" s="98"/>
      <c r="AC37" s="98">
        <f>AC35+AC36</f>
        <v>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0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316" priority="63">
      <formula>$B4="日"</formula>
    </cfRule>
    <cfRule type="expression" dxfId="315" priority="64">
      <formula>$B4="土"</formula>
    </cfRule>
    <cfRule type="expression" dxfId="314" priority="62">
      <formula>AND($A4&lt;&gt;"",ISNUMBER(MATCH(DATE(対象年度,9,$A4),祝日リスト,0)))</formula>
    </cfRule>
  </conditionalFormatting>
  <conditionalFormatting sqref="D4:D34">
    <cfRule type="expression" dxfId="313" priority="3">
      <formula>$D4="休業"</formula>
    </cfRule>
    <cfRule type="expression" dxfId="312" priority="2">
      <formula>$D4="有給"</formula>
    </cfRule>
  </conditionalFormatting>
  <conditionalFormatting sqref="I4:I34">
    <cfRule type="expression" dxfId="311" priority="4">
      <formula>$I4="有給"</formula>
    </cfRule>
    <cfRule type="expression" dxfId="310" priority="5">
      <formula>$I4="休業"</formula>
    </cfRule>
  </conditionalFormatting>
  <conditionalFormatting sqref="N4:N34">
    <cfRule type="expression" dxfId="309" priority="6">
      <formula>$N4="有給"</formula>
    </cfRule>
    <cfRule type="expression" dxfId="308" priority="7">
      <formula>$N4="休業"</formula>
    </cfRule>
  </conditionalFormatting>
  <conditionalFormatting sqref="S4:S34">
    <cfRule type="expression" dxfId="307" priority="8">
      <formula>$S4="有給"</formula>
    </cfRule>
    <cfRule type="expression" dxfId="306" priority="9">
      <formula>$S4="休業"</formula>
    </cfRule>
  </conditionalFormatting>
  <conditionalFormatting sqref="X4:X34">
    <cfRule type="expression" dxfId="305" priority="10">
      <formula>$X4="有給"</formula>
    </cfRule>
    <cfRule type="expression" dxfId="304" priority="11">
      <formula>$X4="休業"</formula>
    </cfRule>
  </conditionalFormatting>
  <conditionalFormatting sqref="AC4:AC34">
    <cfRule type="expression" dxfId="303" priority="12">
      <formula>$AC4="有給"</formula>
    </cfRule>
    <cfRule type="expression" dxfId="302" priority="13">
      <formula>$AC4="休業"</formula>
    </cfRule>
  </conditionalFormatting>
  <conditionalFormatting sqref="AH4:AH34">
    <cfRule type="expression" dxfId="301" priority="14">
      <formula>$AH4="有給"</formula>
    </cfRule>
    <cfRule type="expression" dxfId="300" priority="15">
      <formula>$AH4="休業"</formula>
    </cfRule>
  </conditionalFormatting>
  <conditionalFormatting sqref="AM4:AM34">
    <cfRule type="expression" dxfId="299" priority="17">
      <formula>$AM4="休業"</formula>
    </cfRule>
    <cfRule type="expression" dxfId="298" priority="16">
      <formula>$AM4="有給"</formula>
    </cfRule>
  </conditionalFormatting>
  <conditionalFormatting sqref="AR4:AR34">
    <cfRule type="expression" dxfId="297" priority="19">
      <formula>$AR4="休業"</formula>
    </cfRule>
    <cfRule type="expression" dxfId="296" priority="18">
      <formula>$AR4="有給"</formula>
    </cfRule>
  </conditionalFormatting>
  <conditionalFormatting sqref="AW4:AW34">
    <cfRule type="expression" dxfId="295" priority="20">
      <formula>$AW4="有給"</formula>
    </cfRule>
    <cfRule type="expression" dxfId="294" priority="21">
      <formula>$AW4="休業"</formula>
    </cfRule>
  </conditionalFormatting>
  <conditionalFormatting sqref="BB4:BB34">
    <cfRule type="expression" dxfId="293" priority="22">
      <formula>$BB4="有給"</formula>
    </cfRule>
    <cfRule type="expression" dxfId="292" priority="23">
      <formula>$BB4="休業"</formula>
    </cfRule>
  </conditionalFormatting>
  <conditionalFormatting sqref="BG4:BG34">
    <cfRule type="expression" dxfId="291" priority="24">
      <formula>$BG4="有給"</formula>
    </cfRule>
    <cfRule type="expression" dxfId="290" priority="25">
      <formula>$BG4="休業"</formula>
    </cfRule>
  </conditionalFormatting>
  <conditionalFormatting sqref="BL4:BL34">
    <cfRule type="expression" dxfId="289" priority="26">
      <formula>$BL4="有給"</formula>
    </cfRule>
    <cfRule type="expression" dxfId="288" priority="27">
      <formula>$BL4="休業"</formula>
    </cfRule>
  </conditionalFormatting>
  <conditionalFormatting sqref="BQ4:BQ34">
    <cfRule type="expression" dxfId="287" priority="28">
      <formula>$BQ4="有給"</formula>
    </cfRule>
    <cfRule type="expression" dxfId="286" priority="29">
      <formula>$BQ4="休業"</formula>
    </cfRule>
  </conditionalFormatting>
  <conditionalFormatting sqref="BV4:BV34">
    <cfRule type="expression" dxfId="285" priority="30">
      <formula>$BV4="有給"</formula>
    </cfRule>
    <cfRule type="expression" dxfId="284" priority="31">
      <formula>$BV4="休業"</formula>
    </cfRule>
  </conditionalFormatting>
  <conditionalFormatting sqref="CA4:CA34">
    <cfRule type="expression" dxfId="283" priority="33">
      <formula>$CA4="休業"</formula>
    </cfRule>
    <cfRule type="expression" dxfId="282" priority="32">
      <formula>$CA4="有給"</formula>
    </cfRule>
  </conditionalFormatting>
  <conditionalFormatting sqref="CF4:CF34">
    <cfRule type="expression" dxfId="281" priority="34">
      <formula>$CF4="有給"</formula>
    </cfRule>
    <cfRule type="expression" dxfId="280" priority="35">
      <formula>$CF4="休業"</formula>
    </cfRule>
  </conditionalFormatting>
  <conditionalFormatting sqref="CK4:CK34">
    <cfRule type="expression" dxfId="279" priority="37">
      <formula>$CK4="休業"</formula>
    </cfRule>
    <cfRule type="expression" dxfId="278" priority="36">
      <formula>$CK4="有給"</formula>
    </cfRule>
  </conditionalFormatting>
  <conditionalFormatting sqref="CP4:CP34">
    <cfRule type="expression" dxfId="277" priority="38">
      <formula>$CP4="有給"</formula>
    </cfRule>
    <cfRule type="expression" dxfId="276" priority="39">
      <formula>$CP4="休業"</formula>
    </cfRule>
  </conditionalFormatting>
  <conditionalFormatting sqref="CU4:CU34">
    <cfRule type="expression" dxfId="275" priority="40">
      <formula>$CU4="有給"</formula>
    </cfRule>
    <cfRule type="expression" dxfId="274" priority="41">
      <formula>$CU4="休業"</formula>
    </cfRule>
  </conditionalFormatting>
  <conditionalFormatting sqref="CZ4:CZ34">
    <cfRule type="expression" dxfId="273" priority="42">
      <formula>$CZ4="有給"</formula>
    </cfRule>
    <cfRule type="expression" dxfId="272" priority="43">
      <formula>$CZ4="休業"</formula>
    </cfRule>
  </conditionalFormatting>
  <conditionalFormatting sqref="DE4:DE34">
    <cfRule type="expression" dxfId="271" priority="44">
      <formula>$DE4="有給"</formula>
    </cfRule>
    <cfRule type="expression" dxfId="270" priority="45">
      <formula>$DE4="休業"</formula>
    </cfRule>
  </conditionalFormatting>
  <conditionalFormatting sqref="DJ4:DJ34">
    <cfRule type="expression" dxfId="269" priority="46">
      <formula>$DJ4="有給"</formula>
    </cfRule>
    <cfRule type="expression" dxfId="268" priority="47">
      <formula>$DJ4="休業"</formula>
    </cfRule>
  </conditionalFormatting>
  <conditionalFormatting sqref="DO4:DO34">
    <cfRule type="expression" dxfId="267" priority="48">
      <formula>$DO4="有給"</formula>
    </cfRule>
    <cfRule type="expression" dxfId="266" priority="49">
      <formula>$DO4="休業"</formula>
    </cfRule>
  </conditionalFormatting>
  <conditionalFormatting sqref="DT4:DT34">
    <cfRule type="expression" dxfId="265" priority="51">
      <formula>$DT4="休業"</formula>
    </cfRule>
    <cfRule type="expression" dxfId="264" priority="50">
      <formula>$DT4="有給"</formula>
    </cfRule>
  </conditionalFormatting>
  <conditionalFormatting sqref="DY4:DY34">
    <cfRule type="expression" dxfId="263" priority="52">
      <formula>$DY4="有給"</formula>
    </cfRule>
    <cfRule type="expression" dxfId="262" priority="53">
      <formula>$DY4="休業"</formula>
    </cfRule>
  </conditionalFormatting>
  <conditionalFormatting sqref="ED4:ED34">
    <cfRule type="expression" dxfId="261" priority="54">
      <formula>$ED4="有給"</formula>
    </cfRule>
    <cfRule type="expression" dxfId="260" priority="55">
      <formula>$ED4="休業"</formula>
    </cfRule>
  </conditionalFormatting>
  <conditionalFormatting sqref="EI4:EI34">
    <cfRule type="expression" dxfId="259" priority="56">
      <formula>$EI4="有給"</formula>
    </cfRule>
    <cfRule type="expression" dxfId="258" priority="57">
      <formula>$EI4="休業"</formula>
    </cfRule>
  </conditionalFormatting>
  <conditionalFormatting sqref="EN4:EN34">
    <cfRule type="expression" dxfId="257" priority="58">
      <formula>$EN4="有給"</formula>
    </cfRule>
    <cfRule type="expression" dxfId="256" priority="59">
      <formula>$EN4="休業"</formula>
    </cfRule>
  </conditionalFormatting>
  <conditionalFormatting sqref="ES4:ES34">
    <cfRule type="expression" dxfId="255" priority="60">
      <formula>$ES4="有給"</formula>
    </cfRule>
    <cfRule type="expression" dxfId="254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B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W4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10月分　出面表　"</f>
        <v xml:space="preserve"> 2026年 10月分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IFERROR(IF(従業員マスタ!$C$4="","",対象年度&amp;"年10月　"&amp;従業員マスタ!$C$4),"")</f>
        <v>2026年10月　建設　太郎</v>
      </c>
      <c r="E2" s="92"/>
      <c r="F2" s="92"/>
      <c r="G2" s="92"/>
      <c r="H2" s="92"/>
      <c r="I2" s="92" t="str">
        <f>IFERROR(IF(従業員マスタ!$C$5="","",対象年度&amp;"年10月　"&amp;従業員マスタ!$C$5),"")</f>
        <v>2026年10月　配管　次郎</v>
      </c>
      <c r="J2" s="92"/>
      <c r="K2" s="92"/>
      <c r="L2" s="92"/>
      <c r="M2" s="92"/>
      <c r="N2" s="92" t="str">
        <f>IFERROR(IF(従業員マスタ!$C$6="","",対象年度&amp;"年10月　"&amp;従業員マスタ!$C$6),"")</f>
        <v>2026年10月　設備　一郎</v>
      </c>
      <c r="O2" s="92"/>
      <c r="P2" s="92"/>
      <c r="Q2" s="92"/>
      <c r="R2" s="92"/>
      <c r="S2" s="92" t="str">
        <f>IFERROR(IF(従業員マスタ!$C$7="","",対象年度&amp;"年10月　"&amp;従業員マスタ!$C$7),"")</f>
        <v>2026年10月　土木　三郎</v>
      </c>
      <c r="T2" s="92"/>
      <c r="U2" s="92"/>
      <c r="V2" s="92"/>
      <c r="W2" s="92"/>
      <c r="X2" s="92" t="str">
        <f>IFERROR(IF(従業員マスタ!$C$8="","",対象年度&amp;"年10月　"&amp;従業員マスタ!$C$8),"")</f>
        <v>2026年10月　塗装　史郎</v>
      </c>
      <c r="Y2" s="92"/>
      <c r="Z2" s="92"/>
      <c r="AA2" s="92"/>
      <c r="AB2" s="92"/>
      <c r="AC2" s="92" t="str">
        <f>IFERROR(IF(従業員マスタ!$C$9="","",対象年度&amp;"年10月　"&amp;従業員マスタ!$C$9),"")</f>
        <v>2026年10月　電工　五郎</v>
      </c>
      <c r="AD2" s="92"/>
      <c r="AE2" s="92"/>
      <c r="AF2" s="92"/>
      <c r="AG2" s="92"/>
      <c r="AH2" s="92" t="str">
        <f>IFERROR(IF(従業員マスタ!$C$10="","",対象年度&amp;"年10月　"&amp;従業員マスタ!$C$10),"")</f>
        <v>2026年10月　現場　花子</v>
      </c>
      <c r="AI2" s="92"/>
      <c r="AJ2" s="92"/>
      <c r="AK2" s="92"/>
      <c r="AL2" s="92"/>
      <c r="AM2" s="92" t="str">
        <f>IFERROR(IF(従業員マスタ!$C$11="","",対象年度&amp;"年10月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IFERROR(IF(従業員マスタ!$C$12="","",対象年度&amp;"年10月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IFERROR(IF(従業員マスタ!$C$13="","",対象年度&amp;"年10月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IFERROR(IF(従業員マスタ!$C$14="","",対象年度&amp;"年10月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IFERROR(IF(従業員マスタ!$C$15="","",対象年度&amp;"年10月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IFERROR(IF(従業員マスタ!$C$16="","",対象年度&amp;"年10月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IFERROR(IF(従業員マスタ!$C$17="","",対象年度&amp;"年10月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IFERROR(IF(従業員マスタ!$C$18="","",対象年度&amp;"年10月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IFERROR(IF(従業員マスタ!$C$19="","",対象年度&amp;"年10月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IFERROR(IF(従業員マスタ!$C$20="","",対象年度&amp;"年10月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IFERROR(IF(従業員マスタ!$C$21="","",対象年度&amp;"年10月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IFERROR(IF(従業員マスタ!$C$22="","",対象年度&amp;"年10月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IFERROR(IF(従業員マスタ!$C$23="","",対象年度&amp;"年10月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IFERROR(IF(従業員マスタ!$C$24="","",対象年度&amp;"年10月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IFERROR(IF(従業員マスタ!$C$25="","",対象年度&amp;"年10月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IFERROR(IF(従業員マスタ!$C$26="","",対象年度&amp;"年10月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IFERROR(IF(従業員マスタ!$C$27="","",対象年度&amp;"年10月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IFERROR(IF(従業員マスタ!$C$28="","",対象年度&amp;"年10月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IFERROR(IF(従業員マスタ!$C$29="","",対象年度&amp;"年10月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IFERROR(IF(従業員マスタ!$C$30="","",対象年度&amp;"年10月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IFERROR(IF(従業員マスタ!$C$31="","",対象年度&amp;"年10月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IFERROR(IF(従業員マスタ!$C$32="","",対象年度&amp;"年10月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IFERROR(IF(従業員マスタ!$C$33="","",対象年度&amp;"年10月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IF(DAY(DATE(対象年度,10,1))&lt;&gt;1,"",1)</f>
        <v>1</v>
      </c>
      <c r="B4" s="26" t="str">
        <f>IF(DAY(DATE(対象年度,10,1))&lt;&gt;1,"",CHOOSE(WEEKDAY(DATE(対象年度,10,1),2),"月","火","水","木","金","土","日"))</f>
        <v>木</v>
      </c>
      <c r="C4" s="26" t="str">
        <f>IF(DAY(DATE(対象年度,10,1))&lt;&gt;1,"",IF(ISNUMBER(MATCH(DATE(対象年度,10,1),祝日リスト,0)),"祝",""))</f>
        <v/>
      </c>
      <c r="D4" s="27"/>
      <c r="E4" s="28"/>
      <c r="F4" s="29" t="str">
        <f t="shared" ref="F4:F34" si="0">IF(D4="","",IF(ISNUMBER(SEARCH("夜勤",D4)),"",IF(A4="","","○")))</f>
        <v/>
      </c>
      <c r="G4" s="30" t="str">
        <f t="shared" ref="G4:G34" si="1">IF(A4="","",IF(OR(AND(E4&lt;&gt;"",NOT(OR(E4="有給",E4="休業"))),ISNUMBER(SEARCH("夜勤",D4))),"○",""))</f>
        <v/>
      </c>
      <c r="H4" s="31"/>
      <c r="I4" s="27"/>
      <c r="J4" s="28"/>
      <c r="K4" s="29" t="str">
        <f t="shared" ref="K4:K34" si="2">IF(I4="","",IF(ISNUMBER(SEARCH("夜勤",I4)),"",IF(A4="","","○")))</f>
        <v/>
      </c>
      <c r="L4" s="30" t="str">
        <f t="shared" ref="L4:L34" si="3">IF(A4="","",IF(OR(AND(J4&lt;&gt;"",NOT(OR(J4="有給",J4="休業"))),ISNUMBER(SEARCH("夜勤",I4))),"○",""))</f>
        <v/>
      </c>
      <c r="M4" s="31"/>
      <c r="N4" s="27"/>
      <c r="O4" s="28"/>
      <c r="P4" s="29" t="str">
        <f t="shared" ref="P4:P34" si="4">IF(N4="","",IF(ISNUMBER(SEARCH("夜勤",N4)),"",IF(A4="","","○")))</f>
        <v/>
      </c>
      <c r="Q4" s="30" t="str">
        <f t="shared" ref="Q4:Q34" si="5">IF(A4="","",IF(OR(AND(O4&lt;&gt;"",NOT(OR(O4="有給",O4="休業"))),ISNUMBER(SEARCH("夜勤",N4))),"○",""))</f>
        <v/>
      </c>
      <c r="R4" s="31"/>
      <c r="S4" s="27"/>
      <c r="T4" s="28"/>
      <c r="U4" s="29" t="str">
        <f t="shared" ref="U4:U34" si="6">IF(S4="","",IF(ISNUMBER(SEARCH("夜勤",S4)),"",IF(A4="","","○")))</f>
        <v/>
      </c>
      <c r="V4" s="30" t="str">
        <f t="shared" ref="V4:V34" si="7">IF(A4="","",IF(OR(AND(T4&lt;&gt;"",NOT(OR(T4="有給",T4="休業"))),ISNUMBER(SEARCH("夜勤",S4))),"○",""))</f>
        <v/>
      </c>
      <c r="W4" s="31"/>
      <c r="X4" s="27"/>
      <c r="Y4" s="28"/>
      <c r="Z4" s="29" t="str">
        <f t="shared" ref="Z4:Z34" si="8">IF(X4="","",IF(ISNUMBER(SEARCH("夜勤",X4)),"",IF(A4="","","○")))</f>
        <v/>
      </c>
      <c r="AA4" s="30" t="str">
        <f t="shared" ref="AA4:AA34" si="9">IF(A4="","",IF(OR(AND(Y4&lt;&gt;"",NOT(OR(Y4="有給",Y4="休業"))),ISNUMBER(SEARCH("夜勤",X4))),"○",""))</f>
        <v/>
      </c>
      <c r="AB4" s="31"/>
      <c r="AC4" s="27"/>
      <c r="AD4" s="28"/>
      <c r="AE4" s="29" t="str">
        <f t="shared" ref="AE4:AE34" si="10">IF(AC4="","",IF(ISNUMBER(SEARCH("夜勤",AC4)),"",IF(A4="","","○")))</f>
        <v/>
      </c>
      <c r="AF4" s="30" t="str">
        <f t="shared" ref="AF4:AF34" si="11">IF(A4="","",IF(OR(AND(AD4&lt;&gt;"",NOT(OR(AD4="有給",AD4="休業"))),ISNUMBER(SEARCH("夜勤",AC4))),"○",""))</f>
        <v/>
      </c>
      <c r="AG4" s="31"/>
      <c r="AH4" s="27"/>
      <c r="AI4" s="28"/>
      <c r="AJ4" s="29" t="str">
        <f t="shared" ref="AJ4:AJ34" si="12">IF(AH4="","",IF(ISNUMBER(SEARCH("夜勤",AH4)),"",IF(A4="","","○")))</f>
        <v/>
      </c>
      <c r="AK4" s="30" t="str">
        <f t="shared" ref="AK4:AK34" si="13">IF(A4="","",IF(OR(AND(AI4&lt;&gt;"",NOT(OR(AI4="有給",AI4="休業"))),ISNUMBER(SEARCH("夜勤",AH4))),"○",""))</f>
        <v/>
      </c>
      <c r="AL4" s="31"/>
      <c r="AM4" s="27"/>
      <c r="AN4" s="28"/>
      <c r="AO4" s="29" t="str">
        <f t="shared" ref="AO4:AO34" si="14">IF(AM4="","",IF(ISNUMBER(SEARCH("夜勤",AM4)),"",IF(A4="","","○")))</f>
        <v/>
      </c>
      <c r="AP4" s="30" t="str">
        <f t="shared" ref="AP4:AP34" si="15">IF(A4="","",IF(OR(AND(AN4&lt;&gt;"",NOT(OR(AN4="有給",AN4="休業"))),ISNUMBER(SEARCH("夜勤",AM4))),"○",""))</f>
        <v/>
      </c>
      <c r="AQ4" s="31"/>
      <c r="AR4" s="27"/>
      <c r="AS4" s="28"/>
      <c r="AT4" s="29" t="str">
        <f t="shared" ref="AT4:AT34" si="16">IF(AR4="","",IF(ISNUMBER(SEARCH("夜勤",AR4)),"",IF(A4="","","○")))</f>
        <v/>
      </c>
      <c r="AU4" s="30" t="str">
        <f t="shared" ref="AU4:AU34" si="17">IF(A4="","",IF(OR(AND(AS4&lt;&gt;"",NOT(OR(AS4="有給",AS4="休業"))),ISNUMBER(SEARCH("夜勤",AR4))),"○",""))</f>
        <v/>
      </c>
      <c r="AV4" s="31"/>
      <c r="AW4" s="27"/>
      <c r="AX4" s="28"/>
      <c r="AY4" s="29" t="str">
        <f t="shared" ref="AY4:AY34" si="18">IF(AW4="","",IF(ISNUMBER(SEARCH("夜勤",AW4)),"",IF(A4="","","○")))</f>
        <v/>
      </c>
      <c r="AZ4" s="30" t="str">
        <f t="shared" ref="AZ4:AZ34" si="19">IF(A4="","",IF(OR(AND(AX4&lt;&gt;"",NOT(OR(AX4="有給",AX4="休業"))),ISNUMBER(SEARCH("夜勤",AW4))),"○",""))</f>
        <v/>
      </c>
      <c r="BA4" s="31"/>
      <c r="BB4" s="27"/>
      <c r="BC4" s="28"/>
      <c r="BD4" s="29" t="str">
        <f t="shared" ref="BD4:BD34" si="20">IF(BB4="","",IF(ISNUMBER(SEARCH("夜勤",BB4)),"",IF(A4="","","○")))</f>
        <v/>
      </c>
      <c r="BE4" s="30" t="str">
        <f t="shared" ref="BE4:BE34" si="21">IF(A4="","",IF(OR(AND(BC4&lt;&gt;"",NOT(OR(BC4="有給",BC4="休業"))),ISNUMBER(SEARCH("夜勤",BB4))),"○",""))</f>
        <v/>
      </c>
      <c r="BF4" s="31"/>
      <c r="BG4" s="27"/>
      <c r="BH4" s="28"/>
      <c r="BI4" s="29" t="str">
        <f t="shared" ref="BI4:BI34" si="22">IF(BG4="","",IF(ISNUMBER(SEARCH("夜勤",BG4)),"",IF(A4="","","○")))</f>
        <v/>
      </c>
      <c r="BJ4" s="30" t="str">
        <f t="shared" ref="BJ4:BJ34" si="2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24">IF(BL4="","",IF(ISNUMBER(SEARCH("夜勤",BL4)),"",IF(A4="","","○")))</f>
        <v/>
      </c>
      <c r="BO4" s="30" t="str">
        <f t="shared" ref="BO4:BO34" si="2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26">IF(BQ4="","",IF(ISNUMBER(SEARCH("夜勤",BQ4)),"",IF(A4="","","○")))</f>
        <v/>
      </c>
      <c r="BT4" s="30" t="str">
        <f t="shared" ref="BT4:BT34" si="2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28">IF(BV4="","",IF(ISNUMBER(SEARCH("夜勤",BV4)),"",IF(A4="","","○")))</f>
        <v/>
      </c>
      <c r="BY4" s="30" t="str">
        <f t="shared" ref="BY4:BY34" si="2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30">IF(CA4="","",IF(ISNUMBER(SEARCH("夜勤",CA4)),"",IF(A4="","","○")))</f>
        <v/>
      </c>
      <c r="CD4" s="30" t="str">
        <f t="shared" ref="CD4:CD34" si="3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32">IF(CF4="","",IF(ISNUMBER(SEARCH("夜勤",CF4)),"",IF(A4="","","○")))</f>
        <v/>
      </c>
      <c r="CI4" s="30" t="str">
        <f t="shared" ref="CI4:CI34" si="3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34">IF(CK4="","",IF(ISNUMBER(SEARCH("夜勤",CK4)),"",IF(A4="","","○")))</f>
        <v/>
      </c>
      <c r="CN4" s="30" t="str">
        <f t="shared" ref="CN4:CN34" si="3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36">IF(CP4="","",IF(ISNUMBER(SEARCH("夜勤",CP4)),"",IF(A4="","","○")))</f>
        <v/>
      </c>
      <c r="CS4" s="30" t="str">
        <f t="shared" ref="CS4:CS34" si="3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38">IF(CU4="","",IF(ISNUMBER(SEARCH("夜勤",CU4)),"",IF(A4="","","○")))</f>
        <v/>
      </c>
      <c r="CX4" s="30" t="str">
        <f t="shared" ref="CX4:CX34" si="3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40">IF(CZ4="","",IF(ISNUMBER(SEARCH("夜勤",CZ4)),"",IF(A4="","","○")))</f>
        <v/>
      </c>
      <c r="DC4" s="30" t="str">
        <f t="shared" ref="DC4:DC34" si="4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42">IF(DE4="","",IF(ISNUMBER(SEARCH("夜勤",DE4)),"",IF(A4="","","○")))</f>
        <v/>
      </c>
      <c r="DH4" s="30" t="str">
        <f t="shared" ref="DH4:DH34" si="4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44">IF(DJ4="","",IF(ISNUMBER(SEARCH("夜勤",DJ4)),"",IF(A4="","","○")))</f>
        <v/>
      </c>
      <c r="DM4" s="30" t="str">
        <f t="shared" ref="DM4:DM34" si="4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46">IF(DO4="","",IF(ISNUMBER(SEARCH("夜勤",DO4)),"",IF(A4="","","○")))</f>
        <v/>
      </c>
      <c r="DR4" s="30" t="str">
        <f t="shared" ref="DR4:DR34" si="4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48">IF(DT4="","",IF(ISNUMBER(SEARCH("夜勤",DT4)),"",IF(A4="","","○")))</f>
        <v/>
      </c>
      <c r="DW4" s="30" t="str">
        <f t="shared" ref="DW4:DW34" si="4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50">IF(DY4="","",IF(ISNUMBER(SEARCH("夜勤",DY4)),"",IF(A4="","","○")))</f>
        <v/>
      </c>
      <c r="EB4" s="30" t="str">
        <f t="shared" ref="EB4:EB34" si="5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52">IF(ED4="","",IF(ISNUMBER(SEARCH("夜勤",ED4)),"",IF(A4="","","○")))</f>
        <v/>
      </c>
      <c r="EG4" s="30" t="str">
        <f t="shared" ref="EG4:EG34" si="5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54">IF(EI4="","",IF(ISNUMBER(SEARCH("夜勤",EI4)),"",IF(A4="","","○")))</f>
        <v/>
      </c>
      <c r="EL4" s="30" t="str">
        <f t="shared" ref="EL4:EL34" si="5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56">IF(EN4="","",IF(ISNUMBER(SEARCH("夜勤",EN4)),"",IF(A4="","","○")))</f>
        <v/>
      </c>
      <c r="EQ4" s="30" t="str">
        <f t="shared" ref="EQ4:EQ34" si="5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58">IF(ES4="","",IF(ISNUMBER(SEARCH("夜勤",ES4)),"",IF(A4="","","○")))</f>
        <v/>
      </c>
      <c r="EV4" s="30" t="str">
        <f t="shared" ref="EV4:EV34" si="5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IF(DAY(DATE(対象年度,10,2))&lt;&gt;2,"",2)</f>
        <v>2</v>
      </c>
      <c r="B5" s="32" t="str">
        <f>IF(DAY(DATE(対象年度,10,2))&lt;&gt;2,"",CHOOSE(WEEKDAY(DATE(対象年度,10,2),2),"月","火","水","木","金","土","日"))</f>
        <v>金</v>
      </c>
      <c r="C5" s="32" t="str">
        <f>IF(DAY(DATE(対象年度,10,2))&lt;&gt;2,"",IF(ISNUMBER(MATCH(DATE(対象年度,10,2),祝日リスト,0)),"祝",""))</f>
        <v/>
      </c>
      <c r="D5" s="33"/>
      <c r="E5" s="34"/>
      <c r="F5" s="35" t="str">
        <f t="shared" si="0"/>
        <v/>
      </c>
      <c r="G5" s="36" t="str">
        <f t="shared" si="1"/>
        <v/>
      </c>
      <c r="H5" s="37"/>
      <c r="I5" s="33"/>
      <c r="J5" s="34"/>
      <c r="K5" s="35" t="str">
        <f t="shared" si="2"/>
        <v/>
      </c>
      <c r="L5" s="36" t="str">
        <f t="shared" si="3"/>
        <v/>
      </c>
      <c r="M5" s="37"/>
      <c r="N5" s="33"/>
      <c r="O5" s="34"/>
      <c r="P5" s="35" t="str">
        <f t="shared" si="4"/>
        <v/>
      </c>
      <c r="Q5" s="36" t="str">
        <f t="shared" si="5"/>
        <v/>
      </c>
      <c r="R5" s="37"/>
      <c r="S5" s="33"/>
      <c r="T5" s="34"/>
      <c r="U5" s="35" t="str">
        <f t="shared" si="6"/>
        <v/>
      </c>
      <c r="V5" s="36" t="str">
        <f t="shared" si="7"/>
        <v/>
      </c>
      <c r="W5" s="37"/>
      <c r="X5" s="33"/>
      <c r="Y5" s="34"/>
      <c r="Z5" s="35" t="str">
        <f t="shared" si="8"/>
        <v/>
      </c>
      <c r="AA5" s="36" t="str">
        <f t="shared" si="9"/>
        <v/>
      </c>
      <c r="AB5" s="37"/>
      <c r="AC5" s="33"/>
      <c r="AD5" s="34"/>
      <c r="AE5" s="35" t="str">
        <f t="shared" si="10"/>
        <v/>
      </c>
      <c r="AF5" s="36" t="str">
        <f t="shared" si="11"/>
        <v/>
      </c>
      <c r="AG5" s="37"/>
      <c r="AH5" s="33"/>
      <c r="AI5" s="34"/>
      <c r="AJ5" s="35" t="str">
        <f t="shared" si="12"/>
        <v/>
      </c>
      <c r="AK5" s="36" t="str">
        <f t="shared" si="13"/>
        <v/>
      </c>
      <c r="AL5" s="37"/>
      <c r="AM5" s="33"/>
      <c r="AN5" s="34"/>
      <c r="AO5" s="35" t="str">
        <f t="shared" si="14"/>
        <v/>
      </c>
      <c r="AP5" s="36" t="str">
        <f t="shared" si="15"/>
        <v/>
      </c>
      <c r="AQ5" s="37"/>
      <c r="AR5" s="33"/>
      <c r="AS5" s="34"/>
      <c r="AT5" s="35" t="str">
        <f t="shared" si="16"/>
        <v/>
      </c>
      <c r="AU5" s="36" t="str">
        <f t="shared" si="17"/>
        <v/>
      </c>
      <c r="AV5" s="37"/>
      <c r="AW5" s="33"/>
      <c r="AX5" s="34"/>
      <c r="AY5" s="35" t="str">
        <f t="shared" si="18"/>
        <v/>
      </c>
      <c r="AZ5" s="36" t="str">
        <f t="shared" si="19"/>
        <v/>
      </c>
      <c r="BA5" s="37"/>
      <c r="BB5" s="33"/>
      <c r="BC5" s="34"/>
      <c r="BD5" s="35" t="str">
        <f t="shared" si="20"/>
        <v/>
      </c>
      <c r="BE5" s="36" t="str">
        <f t="shared" si="21"/>
        <v/>
      </c>
      <c r="BF5" s="37"/>
      <c r="BG5" s="33"/>
      <c r="BH5" s="34"/>
      <c r="BI5" s="35" t="str">
        <f t="shared" si="22"/>
        <v/>
      </c>
      <c r="BJ5" s="36" t="str">
        <f t="shared" si="23"/>
        <v/>
      </c>
      <c r="BK5" s="37"/>
      <c r="BL5" s="33"/>
      <c r="BM5" s="34"/>
      <c r="BN5" s="35" t="str">
        <f t="shared" si="24"/>
        <v/>
      </c>
      <c r="BO5" s="36" t="str">
        <f t="shared" si="25"/>
        <v/>
      </c>
      <c r="BP5" s="37"/>
      <c r="BQ5" s="33"/>
      <c r="BR5" s="34"/>
      <c r="BS5" s="35" t="str">
        <f t="shared" si="26"/>
        <v/>
      </c>
      <c r="BT5" s="36" t="str">
        <f t="shared" si="27"/>
        <v/>
      </c>
      <c r="BU5" s="37"/>
      <c r="BV5" s="33"/>
      <c r="BW5" s="34"/>
      <c r="BX5" s="35" t="str">
        <f t="shared" si="28"/>
        <v/>
      </c>
      <c r="BY5" s="36" t="str">
        <f t="shared" si="29"/>
        <v/>
      </c>
      <c r="BZ5" s="37"/>
      <c r="CA5" s="33"/>
      <c r="CB5" s="34"/>
      <c r="CC5" s="35" t="str">
        <f t="shared" si="30"/>
        <v/>
      </c>
      <c r="CD5" s="36" t="str">
        <f t="shared" si="31"/>
        <v/>
      </c>
      <c r="CE5" s="37"/>
      <c r="CF5" s="33"/>
      <c r="CG5" s="34"/>
      <c r="CH5" s="35" t="str">
        <f t="shared" si="32"/>
        <v/>
      </c>
      <c r="CI5" s="36" t="str">
        <f t="shared" si="33"/>
        <v/>
      </c>
      <c r="CJ5" s="37"/>
      <c r="CK5" s="33"/>
      <c r="CL5" s="34"/>
      <c r="CM5" s="35" t="str">
        <f t="shared" si="34"/>
        <v/>
      </c>
      <c r="CN5" s="36" t="str">
        <f t="shared" si="35"/>
        <v/>
      </c>
      <c r="CO5" s="37"/>
      <c r="CP5" s="33"/>
      <c r="CQ5" s="34"/>
      <c r="CR5" s="35" t="str">
        <f t="shared" si="36"/>
        <v/>
      </c>
      <c r="CS5" s="36" t="str">
        <f t="shared" si="37"/>
        <v/>
      </c>
      <c r="CT5" s="37"/>
      <c r="CU5" s="33"/>
      <c r="CV5" s="34"/>
      <c r="CW5" s="35" t="str">
        <f t="shared" si="38"/>
        <v/>
      </c>
      <c r="CX5" s="36" t="str">
        <f t="shared" si="39"/>
        <v/>
      </c>
      <c r="CY5" s="37"/>
      <c r="CZ5" s="33"/>
      <c r="DA5" s="34"/>
      <c r="DB5" s="35" t="str">
        <f t="shared" si="40"/>
        <v/>
      </c>
      <c r="DC5" s="36" t="str">
        <f t="shared" si="41"/>
        <v/>
      </c>
      <c r="DD5" s="37"/>
      <c r="DE5" s="33"/>
      <c r="DF5" s="34"/>
      <c r="DG5" s="35" t="str">
        <f t="shared" si="42"/>
        <v/>
      </c>
      <c r="DH5" s="36" t="str">
        <f t="shared" si="43"/>
        <v/>
      </c>
      <c r="DI5" s="37"/>
      <c r="DJ5" s="33"/>
      <c r="DK5" s="34"/>
      <c r="DL5" s="35" t="str">
        <f t="shared" si="44"/>
        <v/>
      </c>
      <c r="DM5" s="36" t="str">
        <f t="shared" si="45"/>
        <v/>
      </c>
      <c r="DN5" s="37"/>
      <c r="DO5" s="33"/>
      <c r="DP5" s="34"/>
      <c r="DQ5" s="35" t="str">
        <f t="shared" si="46"/>
        <v/>
      </c>
      <c r="DR5" s="36" t="str">
        <f t="shared" si="47"/>
        <v/>
      </c>
      <c r="DS5" s="37"/>
      <c r="DT5" s="33"/>
      <c r="DU5" s="34"/>
      <c r="DV5" s="35" t="str">
        <f t="shared" si="48"/>
        <v/>
      </c>
      <c r="DW5" s="36" t="str">
        <f t="shared" si="49"/>
        <v/>
      </c>
      <c r="DX5" s="37"/>
      <c r="DY5" s="33"/>
      <c r="DZ5" s="34"/>
      <c r="EA5" s="35" t="str">
        <f t="shared" si="50"/>
        <v/>
      </c>
      <c r="EB5" s="36" t="str">
        <f t="shared" si="51"/>
        <v/>
      </c>
      <c r="EC5" s="37"/>
      <c r="ED5" s="33"/>
      <c r="EE5" s="34"/>
      <c r="EF5" s="35" t="str">
        <f t="shared" si="52"/>
        <v/>
      </c>
      <c r="EG5" s="36" t="str">
        <f t="shared" si="53"/>
        <v/>
      </c>
      <c r="EH5" s="37"/>
      <c r="EI5" s="33"/>
      <c r="EJ5" s="34"/>
      <c r="EK5" s="35" t="str">
        <f t="shared" si="54"/>
        <v/>
      </c>
      <c r="EL5" s="36" t="str">
        <f t="shared" si="55"/>
        <v/>
      </c>
      <c r="EM5" s="37"/>
      <c r="EN5" s="33"/>
      <c r="EO5" s="34"/>
      <c r="EP5" s="35" t="str">
        <f t="shared" si="56"/>
        <v/>
      </c>
      <c r="EQ5" s="36" t="str">
        <f t="shared" si="57"/>
        <v/>
      </c>
      <c r="ER5" s="37"/>
      <c r="ES5" s="33"/>
      <c r="ET5" s="34"/>
      <c r="EU5" s="35" t="str">
        <f t="shared" si="58"/>
        <v/>
      </c>
      <c r="EV5" s="36" t="str">
        <f t="shared" si="59"/>
        <v/>
      </c>
      <c r="EW5" s="37"/>
    </row>
    <row r="6" spans="1:153" ht="19.5" customHeight="1">
      <c r="A6" s="32">
        <f>IF(DAY(DATE(対象年度,10,3))&lt;&gt;3,"",3)</f>
        <v>3</v>
      </c>
      <c r="B6" s="32" t="str">
        <f>IF(DAY(DATE(対象年度,10,3))&lt;&gt;3,"",CHOOSE(WEEKDAY(DATE(対象年度,10,3),2),"月","火","水","木","金","土","日"))</f>
        <v>土</v>
      </c>
      <c r="C6" s="32" t="str">
        <f>IF(DAY(DATE(対象年度,10,3))&lt;&gt;3,"",IF(ISNUMBER(MATCH(DATE(対象年度,10,3),祝日リスト,0)),"祝",""))</f>
        <v/>
      </c>
      <c r="D6" s="33"/>
      <c r="E6" s="34"/>
      <c r="F6" s="35" t="str">
        <f t="shared" si="0"/>
        <v/>
      </c>
      <c r="G6" s="36" t="str">
        <f t="shared" si="1"/>
        <v/>
      </c>
      <c r="H6" s="37"/>
      <c r="I6" s="33"/>
      <c r="J6" s="34"/>
      <c r="K6" s="35" t="str">
        <f t="shared" si="2"/>
        <v/>
      </c>
      <c r="L6" s="36" t="str">
        <f t="shared" si="3"/>
        <v/>
      </c>
      <c r="M6" s="37"/>
      <c r="N6" s="33"/>
      <c r="O6" s="34"/>
      <c r="P6" s="35" t="str">
        <f t="shared" si="4"/>
        <v/>
      </c>
      <c r="Q6" s="36" t="str">
        <f t="shared" si="5"/>
        <v/>
      </c>
      <c r="R6" s="37"/>
      <c r="S6" s="33"/>
      <c r="T6" s="34"/>
      <c r="U6" s="35" t="str">
        <f t="shared" si="6"/>
        <v/>
      </c>
      <c r="V6" s="36" t="str">
        <f t="shared" si="7"/>
        <v/>
      </c>
      <c r="W6" s="37"/>
      <c r="X6" s="33"/>
      <c r="Y6" s="34"/>
      <c r="Z6" s="35" t="str">
        <f t="shared" si="8"/>
        <v/>
      </c>
      <c r="AA6" s="36" t="str">
        <f t="shared" si="9"/>
        <v/>
      </c>
      <c r="AB6" s="37"/>
      <c r="AC6" s="33"/>
      <c r="AD6" s="34"/>
      <c r="AE6" s="35" t="str">
        <f t="shared" si="10"/>
        <v/>
      </c>
      <c r="AF6" s="36" t="str">
        <f t="shared" si="11"/>
        <v/>
      </c>
      <c r="AG6" s="37"/>
      <c r="AH6" s="33"/>
      <c r="AI6" s="34"/>
      <c r="AJ6" s="35" t="str">
        <f t="shared" si="12"/>
        <v/>
      </c>
      <c r="AK6" s="36" t="str">
        <f t="shared" si="13"/>
        <v/>
      </c>
      <c r="AL6" s="37"/>
      <c r="AM6" s="33"/>
      <c r="AN6" s="34"/>
      <c r="AO6" s="35" t="str">
        <f t="shared" si="14"/>
        <v/>
      </c>
      <c r="AP6" s="36" t="str">
        <f t="shared" si="15"/>
        <v/>
      </c>
      <c r="AQ6" s="37"/>
      <c r="AR6" s="33"/>
      <c r="AS6" s="34"/>
      <c r="AT6" s="35" t="str">
        <f t="shared" si="16"/>
        <v/>
      </c>
      <c r="AU6" s="36" t="str">
        <f t="shared" si="17"/>
        <v/>
      </c>
      <c r="AV6" s="37"/>
      <c r="AW6" s="33"/>
      <c r="AX6" s="34"/>
      <c r="AY6" s="35" t="str">
        <f t="shared" si="18"/>
        <v/>
      </c>
      <c r="AZ6" s="36" t="str">
        <f t="shared" si="19"/>
        <v/>
      </c>
      <c r="BA6" s="37"/>
      <c r="BB6" s="33"/>
      <c r="BC6" s="34"/>
      <c r="BD6" s="35" t="str">
        <f t="shared" si="20"/>
        <v/>
      </c>
      <c r="BE6" s="36" t="str">
        <f t="shared" si="21"/>
        <v/>
      </c>
      <c r="BF6" s="37"/>
      <c r="BG6" s="33"/>
      <c r="BH6" s="34"/>
      <c r="BI6" s="35" t="str">
        <f t="shared" si="22"/>
        <v/>
      </c>
      <c r="BJ6" s="36" t="str">
        <f t="shared" si="23"/>
        <v/>
      </c>
      <c r="BK6" s="37"/>
      <c r="BL6" s="33"/>
      <c r="BM6" s="34"/>
      <c r="BN6" s="35" t="str">
        <f t="shared" si="24"/>
        <v/>
      </c>
      <c r="BO6" s="36" t="str">
        <f t="shared" si="25"/>
        <v/>
      </c>
      <c r="BP6" s="37"/>
      <c r="BQ6" s="33"/>
      <c r="BR6" s="34"/>
      <c r="BS6" s="35" t="str">
        <f t="shared" si="26"/>
        <v/>
      </c>
      <c r="BT6" s="36" t="str">
        <f t="shared" si="27"/>
        <v/>
      </c>
      <c r="BU6" s="37"/>
      <c r="BV6" s="33"/>
      <c r="BW6" s="34"/>
      <c r="BX6" s="35" t="str">
        <f t="shared" si="28"/>
        <v/>
      </c>
      <c r="BY6" s="36" t="str">
        <f t="shared" si="29"/>
        <v/>
      </c>
      <c r="BZ6" s="37"/>
      <c r="CA6" s="33"/>
      <c r="CB6" s="34"/>
      <c r="CC6" s="35" t="str">
        <f t="shared" si="30"/>
        <v/>
      </c>
      <c r="CD6" s="36" t="str">
        <f t="shared" si="31"/>
        <v/>
      </c>
      <c r="CE6" s="37"/>
      <c r="CF6" s="33"/>
      <c r="CG6" s="34"/>
      <c r="CH6" s="35" t="str">
        <f t="shared" si="32"/>
        <v/>
      </c>
      <c r="CI6" s="36" t="str">
        <f t="shared" si="33"/>
        <v/>
      </c>
      <c r="CJ6" s="37"/>
      <c r="CK6" s="33"/>
      <c r="CL6" s="34"/>
      <c r="CM6" s="35" t="str">
        <f t="shared" si="34"/>
        <v/>
      </c>
      <c r="CN6" s="36" t="str">
        <f t="shared" si="35"/>
        <v/>
      </c>
      <c r="CO6" s="37"/>
      <c r="CP6" s="33"/>
      <c r="CQ6" s="34"/>
      <c r="CR6" s="35" t="str">
        <f t="shared" si="36"/>
        <v/>
      </c>
      <c r="CS6" s="36" t="str">
        <f t="shared" si="37"/>
        <v/>
      </c>
      <c r="CT6" s="37"/>
      <c r="CU6" s="33"/>
      <c r="CV6" s="34"/>
      <c r="CW6" s="35" t="str">
        <f t="shared" si="38"/>
        <v/>
      </c>
      <c r="CX6" s="36" t="str">
        <f t="shared" si="39"/>
        <v/>
      </c>
      <c r="CY6" s="37"/>
      <c r="CZ6" s="33"/>
      <c r="DA6" s="34"/>
      <c r="DB6" s="35" t="str">
        <f t="shared" si="40"/>
        <v/>
      </c>
      <c r="DC6" s="36" t="str">
        <f t="shared" si="41"/>
        <v/>
      </c>
      <c r="DD6" s="37"/>
      <c r="DE6" s="33"/>
      <c r="DF6" s="34"/>
      <c r="DG6" s="35" t="str">
        <f t="shared" si="42"/>
        <v/>
      </c>
      <c r="DH6" s="36" t="str">
        <f t="shared" si="43"/>
        <v/>
      </c>
      <c r="DI6" s="37"/>
      <c r="DJ6" s="33"/>
      <c r="DK6" s="34"/>
      <c r="DL6" s="35" t="str">
        <f t="shared" si="44"/>
        <v/>
      </c>
      <c r="DM6" s="36" t="str">
        <f t="shared" si="45"/>
        <v/>
      </c>
      <c r="DN6" s="37"/>
      <c r="DO6" s="33"/>
      <c r="DP6" s="34"/>
      <c r="DQ6" s="35" t="str">
        <f t="shared" si="46"/>
        <v/>
      </c>
      <c r="DR6" s="36" t="str">
        <f t="shared" si="47"/>
        <v/>
      </c>
      <c r="DS6" s="37"/>
      <c r="DT6" s="33"/>
      <c r="DU6" s="34"/>
      <c r="DV6" s="35" t="str">
        <f t="shared" si="48"/>
        <v/>
      </c>
      <c r="DW6" s="36" t="str">
        <f t="shared" si="49"/>
        <v/>
      </c>
      <c r="DX6" s="37"/>
      <c r="DY6" s="33"/>
      <c r="DZ6" s="34"/>
      <c r="EA6" s="35" t="str">
        <f t="shared" si="50"/>
        <v/>
      </c>
      <c r="EB6" s="36" t="str">
        <f t="shared" si="51"/>
        <v/>
      </c>
      <c r="EC6" s="37"/>
      <c r="ED6" s="33"/>
      <c r="EE6" s="34"/>
      <c r="EF6" s="35" t="str">
        <f t="shared" si="52"/>
        <v/>
      </c>
      <c r="EG6" s="36" t="str">
        <f t="shared" si="53"/>
        <v/>
      </c>
      <c r="EH6" s="37"/>
      <c r="EI6" s="33"/>
      <c r="EJ6" s="34"/>
      <c r="EK6" s="35" t="str">
        <f t="shared" si="54"/>
        <v/>
      </c>
      <c r="EL6" s="36" t="str">
        <f t="shared" si="55"/>
        <v/>
      </c>
      <c r="EM6" s="37"/>
      <c r="EN6" s="33"/>
      <c r="EO6" s="34"/>
      <c r="EP6" s="35" t="str">
        <f t="shared" si="56"/>
        <v/>
      </c>
      <c r="EQ6" s="36" t="str">
        <f t="shared" si="57"/>
        <v/>
      </c>
      <c r="ER6" s="37"/>
      <c r="ES6" s="33"/>
      <c r="ET6" s="34"/>
      <c r="EU6" s="35" t="str">
        <f t="shared" si="58"/>
        <v/>
      </c>
      <c r="EV6" s="36" t="str">
        <f t="shared" si="59"/>
        <v/>
      </c>
      <c r="EW6" s="37"/>
    </row>
    <row r="7" spans="1:153" ht="19.5" customHeight="1">
      <c r="A7" s="32">
        <f>IF(DAY(DATE(対象年度,10,4))&lt;&gt;4,"",4)</f>
        <v>4</v>
      </c>
      <c r="B7" s="32" t="str">
        <f>IF(DAY(DATE(対象年度,10,4))&lt;&gt;4,"",CHOOSE(WEEKDAY(DATE(対象年度,10,4),2),"月","火","水","木","金","土","日"))</f>
        <v>日</v>
      </c>
      <c r="C7" s="32" t="str">
        <f>IF(DAY(DATE(対象年度,10,4))&lt;&gt;4,"",IF(ISNUMBER(MATCH(DATE(対象年度,10,4),祝日リスト,0)),"祝",""))</f>
        <v/>
      </c>
      <c r="D7" s="33"/>
      <c r="E7" s="34"/>
      <c r="F7" s="35" t="str">
        <f t="shared" si="0"/>
        <v/>
      </c>
      <c r="G7" s="36" t="str">
        <f t="shared" si="1"/>
        <v/>
      </c>
      <c r="H7" s="37"/>
      <c r="I7" s="33"/>
      <c r="J7" s="34"/>
      <c r="K7" s="35" t="str">
        <f t="shared" si="2"/>
        <v/>
      </c>
      <c r="L7" s="36" t="str">
        <f t="shared" si="3"/>
        <v/>
      </c>
      <c r="M7" s="37"/>
      <c r="N7" s="33"/>
      <c r="O7" s="34"/>
      <c r="P7" s="35" t="str">
        <f t="shared" si="4"/>
        <v/>
      </c>
      <c r="Q7" s="36" t="str">
        <f t="shared" si="5"/>
        <v/>
      </c>
      <c r="R7" s="37"/>
      <c r="S7" s="33"/>
      <c r="T7" s="34"/>
      <c r="U7" s="35" t="str">
        <f t="shared" si="6"/>
        <v/>
      </c>
      <c r="V7" s="36" t="str">
        <f t="shared" si="7"/>
        <v/>
      </c>
      <c r="W7" s="37"/>
      <c r="X7" s="33"/>
      <c r="Y7" s="34"/>
      <c r="Z7" s="35" t="str">
        <f t="shared" si="8"/>
        <v/>
      </c>
      <c r="AA7" s="36" t="str">
        <f t="shared" si="9"/>
        <v/>
      </c>
      <c r="AB7" s="37"/>
      <c r="AC7" s="33"/>
      <c r="AD7" s="34"/>
      <c r="AE7" s="35" t="str">
        <f t="shared" si="10"/>
        <v/>
      </c>
      <c r="AF7" s="36" t="str">
        <f t="shared" si="11"/>
        <v/>
      </c>
      <c r="AG7" s="37"/>
      <c r="AH7" s="33"/>
      <c r="AI7" s="34"/>
      <c r="AJ7" s="35" t="str">
        <f t="shared" si="12"/>
        <v/>
      </c>
      <c r="AK7" s="36" t="str">
        <f t="shared" si="13"/>
        <v/>
      </c>
      <c r="AL7" s="37"/>
      <c r="AM7" s="33"/>
      <c r="AN7" s="34"/>
      <c r="AO7" s="35" t="str">
        <f t="shared" si="14"/>
        <v/>
      </c>
      <c r="AP7" s="36" t="str">
        <f t="shared" si="15"/>
        <v/>
      </c>
      <c r="AQ7" s="37"/>
      <c r="AR7" s="33"/>
      <c r="AS7" s="34"/>
      <c r="AT7" s="35" t="str">
        <f t="shared" si="16"/>
        <v/>
      </c>
      <c r="AU7" s="36" t="str">
        <f t="shared" si="17"/>
        <v/>
      </c>
      <c r="AV7" s="37"/>
      <c r="AW7" s="33"/>
      <c r="AX7" s="34"/>
      <c r="AY7" s="35" t="str">
        <f t="shared" si="18"/>
        <v/>
      </c>
      <c r="AZ7" s="36" t="str">
        <f t="shared" si="19"/>
        <v/>
      </c>
      <c r="BA7" s="37"/>
      <c r="BB7" s="33"/>
      <c r="BC7" s="34"/>
      <c r="BD7" s="35" t="str">
        <f t="shared" si="20"/>
        <v/>
      </c>
      <c r="BE7" s="36" t="str">
        <f t="shared" si="21"/>
        <v/>
      </c>
      <c r="BF7" s="37"/>
      <c r="BG7" s="33"/>
      <c r="BH7" s="34"/>
      <c r="BI7" s="35" t="str">
        <f t="shared" si="22"/>
        <v/>
      </c>
      <c r="BJ7" s="36" t="str">
        <f t="shared" si="23"/>
        <v/>
      </c>
      <c r="BK7" s="37"/>
      <c r="BL7" s="33"/>
      <c r="BM7" s="34"/>
      <c r="BN7" s="35" t="str">
        <f t="shared" si="24"/>
        <v/>
      </c>
      <c r="BO7" s="36" t="str">
        <f t="shared" si="25"/>
        <v/>
      </c>
      <c r="BP7" s="37"/>
      <c r="BQ7" s="33"/>
      <c r="BR7" s="34"/>
      <c r="BS7" s="35" t="str">
        <f t="shared" si="26"/>
        <v/>
      </c>
      <c r="BT7" s="36" t="str">
        <f t="shared" si="27"/>
        <v/>
      </c>
      <c r="BU7" s="37"/>
      <c r="BV7" s="33"/>
      <c r="BW7" s="34"/>
      <c r="BX7" s="35" t="str">
        <f t="shared" si="28"/>
        <v/>
      </c>
      <c r="BY7" s="36" t="str">
        <f t="shared" si="29"/>
        <v/>
      </c>
      <c r="BZ7" s="37"/>
      <c r="CA7" s="33"/>
      <c r="CB7" s="34"/>
      <c r="CC7" s="35" t="str">
        <f t="shared" si="30"/>
        <v/>
      </c>
      <c r="CD7" s="36" t="str">
        <f t="shared" si="31"/>
        <v/>
      </c>
      <c r="CE7" s="37"/>
      <c r="CF7" s="33"/>
      <c r="CG7" s="34"/>
      <c r="CH7" s="35" t="str">
        <f t="shared" si="32"/>
        <v/>
      </c>
      <c r="CI7" s="36" t="str">
        <f t="shared" si="33"/>
        <v/>
      </c>
      <c r="CJ7" s="37"/>
      <c r="CK7" s="33"/>
      <c r="CL7" s="34"/>
      <c r="CM7" s="35" t="str">
        <f t="shared" si="34"/>
        <v/>
      </c>
      <c r="CN7" s="36" t="str">
        <f t="shared" si="35"/>
        <v/>
      </c>
      <c r="CO7" s="37"/>
      <c r="CP7" s="33"/>
      <c r="CQ7" s="34"/>
      <c r="CR7" s="35" t="str">
        <f t="shared" si="36"/>
        <v/>
      </c>
      <c r="CS7" s="36" t="str">
        <f t="shared" si="37"/>
        <v/>
      </c>
      <c r="CT7" s="37"/>
      <c r="CU7" s="33"/>
      <c r="CV7" s="34"/>
      <c r="CW7" s="35" t="str">
        <f t="shared" si="38"/>
        <v/>
      </c>
      <c r="CX7" s="36" t="str">
        <f t="shared" si="39"/>
        <v/>
      </c>
      <c r="CY7" s="37"/>
      <c r="CZ7" s="33"/>
      <c r="DA7" s="34"/>
      <c r="DB7" s="35" t="str">
        <f t="shared" si="40"/>
        <v/>
      </c>
      <c r="DC7" s="36" t="str">
        <f t="shared" si="41"/>
        <v/>
      </c>
      <c r="DD7" s="37"/>
      <c r="DE7" s="33"/>
      <c r="DF7" s="34"/>
      <c r="DG7" s="35" t="str">
        <f t="shared" si="42"/>
        <v/>
      </c>
      <c r="DH7" s="36" t="str">
        <f t="shared" si="43"/>
        <v/>
      </c>
      <c r="DI7" s="37"/>
      <c r="DJ7" s="33"/>
      <c r="DK7" s="34"/>
      <c r="DL7" s="35" t="str">
        <f t="shared" si="44"/>
        <v/>
      </c>
      <c r="DM7" s="36" t="str">
        <f t="shared" si="45"/>
        <v/>
      </c>
      <c r="DN7" s="37"/>
      <c r="DO7" s="33"/>
      <c r="DP7" s="34"/>
      <c r="DQ7" s="35" t="str">
        <f t="shared" si="46"/>
        <v/>
      </c>
      <c r="DR7" s="36" t="str">
        <f t="shared" si="47"/>
        <v/>
      </c>
      <c r="DS7" s="37"/>
      <c r="DT7" s="33"/>
      <c r="DU7" s="34"/>
      <c r="DV7" s="35" t="str">
        <f t="shared" si="48"/>
        <v/>
      </c>
      <c r="DW7" s="36" t="str">
        <f t="shared" si="49"/>
        <v/>
      </c>
      <c r="DX7" s="37"/>
      <c r="DY7" s="33"/>
      <c r="DZ7" s="34"/>
      <c r="EA7" s="35" t="str">
        <f t="shared" si="50"/>
        <v/>
      </c>
      <c r="EB7" s="36" t="str">
        <f t="shared" si="51"/>
        <v/>
      </c>
      <c r="EC7" s="37"/>
      <c r="ED7" s="33"/>
      <c r="EE7" s="34"/>
      <c r="EF7" s="35" t="str">
        <f t="shared" si="52"/>
        <v/>
      </c>
      <c r="EG7" s="36" t="str">
        <f t="shared" si="53"/>
        <v/>
      </c>
      <c r="EH7" s="37"/>
      <c r="EI7" s="33"/>
      <c r="EJ7" s="34"/>
      <c r="EK7" s="35" t="str">
        <f t="shared" si="54"/>
        <v/>
      </c>
      <c r="EL7" s="36" t="str">
        <f t="shared" si="55"/>
        <v/>
      </c>
      <c r="EM7" s="37"/>
      <c r="EN7" s="33"/>
      <c r="EO7" s="34"/>
      <c r="EP7" s="35" t="str">
        <f t="shared" si="56"/>
        <v/>
      </c>
      <c r="EQ7" s="36" t="str">
        <f t="shared" si="57"/>
        <v/>
      </c>
      <c r="ER7" s="37"/>
      <c r="ES7" s="33"/>
      <c r="ET7" s="34"/>
      <c r="EU7" s="35" t="str">
        <f t="shared" si="58"/>
        <v/>
      </c>
      <c r="EV7" s="36" t="str">
        <f t="shared" si="59"/>
        <v/>
      </c>
      <c r="EW7" s="37"/>
    </row>
    <row r="8" spans="1:153" ht="19.5" customHeight="1">
      <c r="A8" s="32">
        <f>IF(DAY(DATE(対象年度,10,5))&lt;&gt;5,"",5)</f>
        <v>5</v>
      </c>
      <c r="B8" s="32" t="str">
        <f>IF(DAY(DATE(対象年度,10,5))&lt;&gt;5,"",CHOOSE(WEEKDAY(DATE(対象年度,10,5),2),"月","火","水","木","金","土","日"))</f>
        <v>月</v>
      </c>
      <c r="C8" s="32" t="str">
        <f>IF(DAY(DATE(対象年度,10,5))&lt;&gt;5,"",IF(ISNUMBER(MATCH(DATE(対象年度,10,5),祝日リスト,0)),"祝",""))</f>
        <v/>
      </c>
      <c r="D8" s="33"/>
      <c r="E8" s="34"/>
      <c r="F8" s="35" t="str">
        <f t="shared" si="0"/>
        <v/>
      </c>
      <c r="G8" s="36" t="str">
        <f t="shared" si="1"/>
        <v/>
      </c>
      <c r="H8" s="37"/>
      <c r="I8" s="33"/>
      <c r="J8" s="34"/>
      <c r="K8" s="35" t="str">
        <f t="shared" si="2"/>
        <v/>
      </c>
      <c r="L8" s="36" t="str">
        <f t="shared" si="3"/>
        <v/>
      </c>
      <c r="M8" s="37"/>
      <c r="N8" s="33"/>
      <c r="O8" s="34"/>
      <c r="P8" s="35" t="str">
        <f t="shared" si="4"/>
        <v/>
      </c>
      <c r="Q8" s="36" t="str">
        <f t="shared" si="5"/>
        <v/>
      </c>
      <c r="R8" s="37"/>
      <c r="S8" s="33"/>
      <c r="T8" s="34"/>
      <c r="U8" s="35" t="str">
        <f t="shared" si="6"/>
        <v/>
      </c>
      <c r="V8" s="36" t="str">
        <f t="shared" si="7"/>
        <v/>
      </c>
      <c r="W8" s="37"/>
      <c r="X8" s="33"/>
      <c r="Y8" s="34"/>
      <c r="Z8" s="35" t="str">
        <f t="shared" si="8"/>
        <v/>
      </c>
      <c r="AA8" s="36" t="str">
        <f t="shared" si="9"/>
        <v/>
      </c>
      <c r="AB8" s="37"/>
      <c r="AC8" s="33"/>
      <c r="AD8" s="34"/>
      <c r="AE8" s="35" t="str">
        <f t="shared" si="10"/>
        <v/>
      </c>
      <c r="AF8" s="36" t="str">
        <f t="shared" si="11"/>
        <v/>
      </c>
      <c r="AG8" s="37"/>
      <c r="AH8" s="33"/>
      <c r="AI8" s="34"/>
      <c r="AJ8" s="35" t="str">
        <f t="shared" si="12"/>
        <v/>
      </c>
      <c r="AK8" s="36" t="str">
        <f t="shared" si="13"/>
        <v/>
      </c>
      <c r="AL8" s="37"/>
      <c r="AM8" s="33"/>
      <c r="AN8" s="34"/>
      <c r="AO8" s="35" t="str">
        <f t="shared" si="14"/>
        <v/>
      </c>
      <c r="AP8" s="36" t="str">
        <f t="shared" si="15"/>
        <v/>
      </c>
      <c r="AQ8" s="37"/>
      <c r="AR8" s="33"/>
      <c r="AS8" s="34"/>
      <c r="AT8" s="35" t="str">
        <f t="shared" si="16"/>
        <v/>
      </c>
      <c r="AU8" s="36" t="str">
        <f t="shared" si="17"/>
        <v/>
      </c>
      <c r="AV8" s="37"/>
      <c r="AW8" s="33"/>
      <c r="AX8" s="34"/>
      <c r="AY8" s="35" t="str">
        <f t="shared" si="18"/>
        <v/>
      </c>
      <c r="AZ8" s="36" t="str">
        <f t="shared" si="19"/>
        <v/>
      </c>
      <c r="BA8" s="37"/>
      <c r="BB8" s="33"/>
      <c r="BC8" s="34"/>
      <c r="BD8" s="35" t="str">
        <f t="shared" si="20"/>
        <v/>
      </c>
      <c r="BE8" s="36" t="str">
        <f t="shared" si="21"/>
        <v/>
      </c>
      <c r="BF8" s="37"/>
      <c r="BG8" s="33"/>
      <c r="BH8" s="34"/>
      <c r="BI8" s="35" t="str">
        <f t="shared" si="22"/>
        <v/>
      </c>
      <c r="BJ8" s="36" t="str">
        <f t="shared" si="23"/>
        <v/>
      </c>
      <c r="BK8" s="37"/>
      <c r="BL8" s="33"/>
      <c r="BM8" s="34"/>
      <c r="BN8" s="35" t="str">
        <f t="shared" si="24"/>
        <v/>
      </c>
      <c r="BO8" s="36" t="str">
        <f t="shared" si="25"/>
        <v/>
      </c>
      <c r="BP8" s="37"/>
      <c r="BQ8" s="33"/>
      <c r="BR8" s="34"/>
      <c r="BS8" s="35" t="str">
        <f t="shared" si="26"/>
        <v/>
      </c>
      <c r="BT8" s="36" t="str">
        <f t="shared" si="27"/>
        <v/>
      </c>
      <c r="BU8" s="37"/>
      <c r="BV8" s="33"/>
      <c r="BW8" s="34"/>
      <c r="BX8" s="35" t="str">
        <f t="shared" si="28"/>
        <v/>
      </c>
      <c r="BY8" s="36" t="str">
        <f t="shared" si="29"/>
        <v/>
      </c>
      <c r="BZ8" s="37"/>
      <c r="CA8" s="33"/>
      <c r="CB8" s="34"/>
      <c r="CC8" s="35" t="str">
        <f t="shared" si="30"/>
        <v/>
      </c>
      <c r="CD8" s="36" t="str">
        <f t="shared" si="31"/>
        <v/>
      </c>
      <c r="CE8" s="37"/>
      <c r="CF8" s="33"/>
      <c r="CG8" s="34"/>
      <c r="CH8" s="35" t="str">
        <f t="shared" si="32"/>
        <v/>
      </c>
      <c r="CI8" s="36" t="str">
        <f t="shared" si="33"/>
        <v/>
      </c>
      <c r="CJ8" s="37"/>
      <c r="CK8" s="33"/>
      <c r="CL8" s="34"/>
      <c r="CM8" s="35" t="str">
        <f t="shared" si="34"/>
        <v/>
      </c>
      <c r="CN8" s="36" t="str">
        <f t="shared" si="35"/>
        <v/>
      </c>
      <c r="CO8" s="37"/>
      <c r="CP8" s="33"/>
      <c r="CQ8" s="34"/>
      <c r="CR8" s="35" t="str">
        <f t="shared" si="36"/>
        <v/>
      </c>
      <c r="CS8" s="36" t="str">
        <f t="shared" si="37"/>
        <v/>
      </c>
      <c r="CT8" s="37"/>
      <c r="CU8" s="33"/>
      <c r="CV8" s="34"/>
      <c r="CW8" s="35" t="str">
        <f t="shared" si="38"/>
        <v/>
      </c>
      <c r="CX8" s="36" t="str">
        <f t="shared" si="39"/>
        <v/>
      </c>
      <c r="CY8" s="37"/>
      <c r="CZ8" s="33"/>
      <c r="DA8" s="34"/>
      <c r="DB8" s="35" t="str">
        <f t="shared" si="40"/>
        <v/>
      </c>
      <c r="DC8" s="36" t="str">
        <f t="shared" si="41"/>
        <v/>
      </c>
      <c r="DD8" s="37"/>
      <c r="DE8" s="33"/>
      <c r="DF8" s="34"/>
      <c r="DG8" s="35" t="str">
        <f t="shared" si="42"/>
        <v/>
      </c>
      <c r="DH8" s="36" t="str">
        <f t="shared" si="43"/>
        <v/>
      </c>
      <c r="DI8" s="37"/>
      <c r="DJ8" s="33"/>
      <c r="DK8" s="34"/>
      <c r="DL8" s="35" t="str">
        <f t="shared" si="44"/>
        <v/>
      </c>
      <c r="DM8" s="36" t="str">
        <f t="shared" si="45"/>
        <v/>
      </c>
      <c r="DN8" s="37"/>
      <c r="DO8" s="33"/>
      <c r="DP8" s="34"/>
      <c r="DQ8" s="35" t="str">
        <f t="shared" si="46"/>
        <v/>
      </c>
      <c r="DR8" s="36" t="str">
        <f t="shared" si="47"/>
        <v/>
      </c>
      <c r="DS8" s="37"/>
      <c r="DT8" s="33"/>
      <c r="DU8" s="34"/>
      <c r="DV8" s="35" t="str">
        <f t="shared" si="48"/>
        <v/>
      </c>
      <c r="DW8" s="36" t="str">
        <f t="shared" si="49"/>
        <v/>
      </c>
      <c r="DX8" s="37"/>
      <c r="DY8" s="33"/>
      <c r="DZ8" s="34"/>
      <c r="EA8" s="35" t="str">
        <f t="shared" si="50"/>
        <v/>
      </c>
      <c r="EB8" s="36" t="str">
        <f t="shared" si="51"/>
        <v/>
      </c>
      <c r="EC8" s="37"/>
      <c r="ED8" s="33"/>
      <c r="EE8" s="34"/>
      <c r="EF8" s="35" t="str">
        <f t="shared" si="52"/>
        <v/>
      </c>
      <c r="EG8" s="36" t="str">
        <f t="shared" si="53"/>
        <v/>
      </c>
      <c r="EH8" s="37"/>
      <c r="EI8" s="33"/>
      <c r="EJ8" s="34"/>
      <c r="EK8" s="35" t="str">
        <f t="shared" si="54"/>
        <v/>
      </c>
      <c r="EL8" s="36" t="str">
        <f t="shared" si="55"/>
        <v/>
      </c>
      <c r="EM8" s="37"/>
      <c r="EN8" s="33"/>
      <c r="EO8" s="34"/>
      <c r="EP8" s="35" t="str">
        <f t="shared" si="56"/>
        <v/>
      </c>
      <c r="EQ8" s="36" t="str">
        <f t="shared" si="57"/>
        <v/>
      </c>
      <c r="ER8" s="37"/>
      <c r="ES8" s="33"/>
      <c r="ET8" s="34"/>
      <c r="EU8" s="35" t="str">
        <f t="shared" si="58"/>
        <v/>
      </c>
      <c r="EV8" s="36" t="str">
        <f t="shared" si="59"/>
        <v/>
      </c>
      <c r="EW8" s="37"/>
    </row>
    <row r="9" spans="1:153" ht="19.5" customHeight="1">
      <c r="A9" s="32">
        <f>IF(DAY(DATE(対象年度,10,6))&lt;&gt;6,"",6)</f>
        <v>6</v>
      </c>
      <c r="B9" s="32" t="str">
        <f>IF(DAY(DATE(対象年度,10,6))&lt;&gt;6,"",CHOOSE(WEEKDAY(DATE(対象年度,10,6),2),"月","火","水","木","金","土","日"))</f>
        <v>火</v>
      </c>
      <c r="C9" s="32" t="str">
        <f>IF(DAY(DATE(対象年度,10,6))&lt;&gt;6,"",IF(ISNUMBER(MATCH(DATE(対象年度,10,6),祝日リスト,0)),"祝",""))</f>
        <v/>
      </c>
      <c r="D9" s="33"/>
      <c r="E9" s="34"/>
      <c r="F9" s="35" t="str">
        <f t="shared" si="0"/>
        <v/>
      </c>
      <c r="G9" s="36" t="str">
        <f t="shared" si="1"/>
        <v/>
      </c>
      <c r="H9" s="37"/>
      <c r="I9" s="33"/>
      <c r="J9" s="34"/>
      <c r="K9" s="35" t="str">
        <f t="shared" si="2"/>
        <v/>
      </c>
      <c r="L9" s="36" t="str">
        <f t="shared" si="3"/>
        <v/>
      </c>
      <c r="M9" s="37"/>
      <c r="N9" s="33"/>
      <c r="O9" s="34"/>
      <c r="P9" s="35" t="str">
        <f t="shared" si="4"/>
        <v/>
      </c>
      <c r="Q9" s="36" t="str">
        <f t="shared" si="5"/>
        <v/>
      </c>
      <c r="R9" s="37"/>
      <c r="S9" s="33"/>
      <c r="T9" s="34"/>
      <c r="U9" s="35" t="str">
        <f t="shared" si="6"/>
        <v/>
      </c>
      <c r="V9" s="36" t="str">
        <f t="shared" si="7"/>
        <v/>
      </c>
      <c r="W9" s="37"/>
      <c r="X9" s="33"/>
      <c r="Y9" s="34"/>
      <c r="Z9" s="35" t="str">
        <f t="shared" si="8"/>
        <v/>
      </c>
      <c r="AA9" s="36" t="str">
        <f t="shared" si="9"/>
        <v/>
      </c>
      <c r="AB9" s="37"/>
      <c r="AC9" s="33"/>
      <c r="AD9" s="34"/>
      <c r="AE9" s="35" t="str">
        <f t="shared" si="10"/>
        <v/>
      </c>
      <c r="AF9" s="36" t="str">
        <f t="shared" si="11"/>
        <v/>
      </c>
      <c r="AG9" s="37"/>
      <c r="AH9" s="33"/>
      <c r="AI9" s="34"/>
      <c r="AJ9" s="35" t="str">
        <f t="shared" si="12"/>
        <v/>
      </c>
      <c r="AK9" s="36" t="str">
        <f t="shared" si="13"/>
        <v/>
      </c>
      <c r="AL9" s="37"/>
      <c r="AM9" s="33"/>
      <c r="AN9" s="34"/>
      <c r="AO9" s="35" t="str">
        <f t="shared" si="14"/>
        <v/>
      </c>
      <c r="AP9" s="36" t="str">
        <f t="shared" si="15"/>
        <v/>
      </c>
      <c r="AQ9" s="37"/>
      <c r="AR9" s="33"/>
      <c r="AS9" s="34"/>
      <c r="AT9" s="35" t="str">
        <f t="shared" si="16"/>
        <v/>
      </c>
      <c r="AU9" s="36" t="str">
        <f t="shared" si="17"/>
        <v/>
      </c>
      <c r="AV9" s="37"/>
      <c r="AW9" s="33"/>
      <c r="AX9" s="34"/>
      <c r="AY9" s="35" t="str">
        <f t="shared" si="18"/>
        <v/>
      </c>
      <c r="AZ9" s="36" t="str">
        <f t="shared" si="19"/>
        <v/>
      </c>
      <c r="BA9" s="37"/>
      <c r="BB9" s="33"/>
      <c r="BC9" s="34"/>
      <c r="BD9" s="35" t="str">
        <f t="shared" si="20"/>
        <v/>
      </c>
      <c r="BE9" s="36" t="str">
        <f t="shared" si="21"/>
        <v/>
      </c>
      <c r="BF9" s="37"/>
      <c r="BG9" s="33"/>
      <c r="BH9" s="34"/>
      <c r="BI9" s="35" t="str">
        <f t="shared" si="22"/>
        <v/>
      </c>
      <c r="BJ9" s="36" t="str">
        <f t="shared" si="23"/>
        <v/>
      </c>
      <c r="BK9" s="37"/>
      <c r="BL9" s="33"/>
      <c r="BM9" s="34"/>
      <c r="BN9" s="35" t="str">
        <f t="shared" si="24"/>
        <v/>
      </c>
      <c r="BO9" s="36" t="str">
        <f t="shared" si="25"/>
        <v/>
      </c>
      <c r="BP9" s="37"/>
      <c r="BQ9" s="33"/>
      <c r="BR9" s="34"/>
      <c r="BS9" s="35" t="str">
        <f t="shared" si="26"/>
        <v/>
      </c>
      <c r="BT9" s="36" t="str">
        <f t="shared" si="27"/>
        <v/>
      </c>
      <c r="BU9" s="37"/>
      <c r="BV9" s="33"/>
      <c r="BW9" s="34"/>
      <c r="BX9" s="35" t="str">
        <f t="shared" si="28"/>
        <v/>
      </c>
      <c r="BY9" s="36" t="str">
        <f t="shared" si="29"/>
        <v/>
      </c>
      <c r="BZ9" s="37"/>
      <c r="CA9" s="33"/>
      <c r="CB9" s="34"/>
      <c r="CC9" s="35" t="str">
        <f t="shared" si="30"/>
        <v/>
      </c>
      <c r="CD9" s="36" t="str">
        <f t="shared" si="31"/>
        <v/>
      </c>
      <c r="CE9" s="37"/>
      <c r="CF9" s="33"/>
      <c r="CG9" s="34"/>
      <c r="CH9" s="35" t="str">
        <f t="shared" si="32"/>
        <v/>
      </c>
      <c r="CI9" s="36" t="str">
        <f t="shared" si="33"/>
        <v/>
      </c>
      <c r="CJ9" s="37"/>
      <c r="CK9" s="33"/>
      <c r="CL9" s="34"/>
      <c r="CM9" s="35" t="str">
        <f t="shared" si="34"/>
        <v/>
      </c>
      <c r="CN9" s="36" t="str">
        <f t="shared" si="35"/>
        <v/>
      </c>
      <c r="CO9" s="37"/>
      <c r="CP9" s="33"/>
      <c r="CQ9" s="34"/>
      <c r="CR9" s="35" t="str">
        <f t="shared" si="36"/>
        <v/>
      </c>
      <c r="CS9" s="36" t="str">
        <f t="shared" si="37"/>
        <v/>
      </c>
      <c r="CT9" s="37"/>
      <c r="CU9" s="33"/>
      <c r="CV9" s="34"/>
      <c r="CW9" s="35" t="str">
        <f t="shared" si="38"/>
        <v/>
      </c>
      <c r="CX9" s="36" t="str">
        <f t="shared" si="39"/>
        <v/>
      </c>
      <c r="CY9" s="37"/>
      <c r="CZ9" s="33"/>
      <c r="DA9" s="34"/>
      <c r="DB9" s="35" t="str">
        <f t="shared" si="40"/>
        <v/>
      </c>
      <c r="DC9" s="36" t="str">
        <f t="shared" si="41"/>
        <v/>
      </c>
      <c r="DD9" s="37"/>
      <c r="DE9" s="33"/>
      <c r="DF9" s="34"/>
      <c r="DG9" s="35" t="str">
        <f t="shared" si="42"/>
        <v/>
      </c>
      <c r="DH9" s="36" t="str">
        <f t="shared" si="43"/>
        <v/>
      </c>
      <c r="DI9" s="37"/>
      <c r="DJ9" s="33"/>
      <c r="DK9" s="34"/>
      <c r="DL9" s="35" t="str">
        <f t="shared" si="44"/>
        <v/>
      </c>
      <c r="DM9" s="36" t="str">
        <f t="shared" si="45"/>
        <v/>
      </c>
      <c r="DN9" s="37"/>
      <c r="DO9" s="33"/>
      <c r="DP9" s="34"/>
      <c r="DQ9" s="35" t="str">
        <f t="shared" si="46"/>
        <v/>
      </c>
      <c r="DR9" s="36" t="str">
        <f t="shared" si="47"/>
        <v/>
      </c>
      <c r="DS9" s="37"/>
      <c r="DT9" s="33"/>
      <c r="DU9" s="34"/>
      <c r="DV9" s="35" t="str">
        <f t="shared" si="48"/>
        <v/>
      </c>
      <c r="DW9" s="36" t="str">
        <f t="shared" si="49"/>
        <v/>
      </c>
      <c r="DX9" s="37"/>
      <c r="DY9" s="33"/>
      <c r="DZ9" s="34"/>
      <c r="EA9" s="35" t="str">
        <f t="shared" si="50"/>
        <v/>
      </c>
      <c r="EB9" s="36" t="str">
        <f t="shared" si="51"/>
        <v/>
      </c>
      <c r="EC9" s="37"/>
      <c r="ED9" s="33"/>
      <c r="EE9" s="34"/>
      <c r="EF9" s="35" t="str">
        <f t="shared" si="52"/>
        <v/>
      </c>
      <c r="EG9" s="36" t="str">
        <f t="shared" si="53"/>
        <v/>
      </c>
      <c r="EH9" s="37"/>
      <c r="EI9" s="33"/>
      <c r="EJ9" s="34"/>
      <c r="EK9" s="35" t="str">
        <f t="shared" si="54"/>
        <v/>
      </c>
      <c r="EL9" s="36" t="str">
        <f t="shared" si="55"/>
        <v/>
      </c>
      <c r="EM9" s="37"/>
      <c r="EN9" s="33"/>
      <c r="EO9" s="34"/>
      <c r="EP9" s="35" t="str">
        <f t="shared" si="56"/>
        <v/>
      </c>
      <c r="EQ9" s="36" t="str">
        <f t="shared" si="57"/>
        <v/>
      </c>
      <c r="ER9" s="37"/>
      <c r="ES9" s="33"/>
      <c r="ET9" s="34"/>
      <c r="EU9" s="35" t="str">
        <f t="shared" si="58"/>
        <v/>
      </c>
      <c r="EV9" s="36" t="str">
        <f t="shared" si="59"/>
        <v/>
      </c>
      <c r="EW9" s="37"/>
    </row>
    <row r="10" spans="1:153" ht="19.5" customHeight="1">
      <c r="A10" s="32">
        <f>IF(DAY(DATE(対象年度,10,7))&lt;&gt;7,"",7)</f>
        <v>7</v>
      </c>
      <c r="B10" s="32" t="str">
        <f>IF(DAY(DATE(対象年度,10,7))&lt;&gt;7,"",CHOOSE(WEEKDAY(DATE(対象年度,10,7),2),"月","火","水","木","金","土","日"))</f>
        <v>水</v>
      </c>
      <c r="C10" s="32" t="str">
        <f>IF(DAY(DATE(対象年度,10,7))&lt;&gt;7,"",IF(ISNUMBER(MATCH(DATE(対象年度,10,7),祝日リスト,0)),"祝",""))</f>
        <v/>
      </c>
      <c r="D10" s="33"/>
      <c r="E10" s="34"/>
      <c r="F10" s="35" t="str">
        <f t="shared" si="0"/>
        <v/>
      </c>
      <c r="G10" s="36" t="str">
        <f t="shared" si="1"/>
        <v/>
      </c>
      <c r="H10" s="37"/>
      <c r="I10" s="33"/>
      <c r="J10" s="34"/>
      <c r="K10" s="35" t="str">
        <f t="shared" si="2"/>
        <v/>
      </c>
      <c r="L10" s="36" t="str">
        <f t="shared" si="3"/>
        <v/>
      </c>
      <c r="M10" s="37"/>
      <c r="N10" s="33"/>
      <c r="O10" s="34"/>
      <c r="P10" s="35" t="str">
        <f t="shared" si="4"/>
        <v/>
      </c>
      <c r="Q10" s="36" t="str">
        <f t="shared" si="5"/>
        <v/>
      </c>
      <c r="R10" s="37"/>
      <c r="S10" s="33"/>
      <c r="T10" s="34"/>
      <c r="U10" s="35" t="str">
        <f t="shared" si="6"/>
        <v/>
      </c>
      <c r="V10" s="36" t="str">
        <f t="shared" si="7"/>
        <v/>
      </c>
      <c r="W10" s="37"/>
      <c r="X10" s="33"/>
      <c r="Y10" s="34"/>
      <c r="Z10" s="35" t="str">
        <f t="shared" si="8"/>
        <v/>
      </c>
      <c r="AA10" s="36" t="str">
        <f t="shared" si="9"/>
        <v/>
      </c>
      <c r="AB10" s="37"/>
      <c r="AC10" s="33"/>
      <c r="AD10" s="34"/>
      <c r="AE10" s="35" t="str">
        <f t="shared" si="10"/>
        <v/>
      </c>
      <c r="AF10" s="36" t="str">
        <f t="shared" si="11"/>
        <v/>
      </c>
      <c r="AG10" s="37"/>
      <c r="AH10" s="33"/>
      <c r="AI10" s="34"/>
      <c r="AJ10" s="35" t="str">
        <f t="shared" si="12"/>
        <v/>
      </c>
      <c r="AK10" s="36" t="str">
        <f t="shared" si="13"/>
        <v/>
      </c>
      <c r="AL10" s="37"/>
      <c r="AM10" s="33"/>
      <c r="AN10" s="34"/>
      <c r="AO10" s="35" t="str">
        <f t="shared" si="14"/>
        <v/>
      </c>
      <c r="AP10" s="36" t="str">
        <f t="shared" si="15"/>
        <v/>
      </c>
      <c r="AQ10" s="37"/>
      <c r="AR10" s="33"/>
      <c r="AS10" s="34"/>
      <c r="AT10" s="35" t="str">
        <f t="shared" si="16"/>
        <v/>
      </c>
      <c r="AU10" s="36" t="str">
        <f t="shared" si="17"/>
        <v/>
      </c>
      <c r="AV10" s="37"/>
      <c r="AW10" s="33"/>
      <c r="AX10" s="34"/>
      <c r="AY10" s="35" t="str">
        <f t="shared" si="18"/>
        <v/>
      </c>
      <c r="AZ10" s="36" t="str">
        <f t="shared" si="19"/>
        <v/>
      </c>
      <c r="BA10" s="37"/>
      <c r="BB10" s="33"/>
      <c r="BC10" s="34"/>
      <c r="BD10" s="35" t="str">
        <f t="shared" si="20"/>
        <v/>
      </c>
      <c r="BE10" s="36" t="str">
        <f t="shared" si="21"/>
        <v/>
      </c>
      <c r="BF10" s="37"/>
      <c r="BG10" s="33"/>
      <c r="BH10" s="34"/>
      <c r="BI10" s="35" t="str">
        <f t="shared" si="22"/>
        <v/>
      </c>
      <c r="BJ10" s="36" t="str">
        <f t="shared" si="23"/>
        <v/>
      </c>
      <c r="BK10" s="37"/>
      <c r="BL10" s="33"/>
      <c r="BM10" s="34"/>
      <c r="BN10" s="35" t="str">
        <f t="shared" si="24"/>
        <v/>
      </c>
      <c r="BO10" s="36" t="str">
        <f t="shared" si="25"/>
        <v/>
      </c>
      <c r="BP10" s="37"/>
      <c r="BQ10" s="33"/>
      <c r="BR10" s="34"/>
      <c r="BS10" s="35" t="str">
        <f t="shared" si="26"/>
        <v/>
      </c>
      <c r="BT10" s="36" t="str">
        <f t="shared" si="27"/>
        <v/>
      </c>
      <c r="BU10" s="37"/>
      <c r="BV10" s="33"/>
      <c r="BW10" s="34"/>
      <c r="BX10" s="35" t="str">
        <f t="shared" si="28"/>
        <v/>
      </c>
      <c r="BY10" s="36" t="str">
        <f t="shared" si="29"/>
        <v/>
      </c>
      <c r="BZ10" s="37"/>
      <c r="CA10" s="33"/>
      <c r="CB10" s="34"/>
      <c r="CC10" s="35" t="str">
        <f t="shared" si="30"/>
        <v/>
      </c>
      <c r="CD10" s="36" t="str">
        <f t="shared" si="31"/>
        <v/>
      </c>
      <c r="CE10" s="37"/>
      <c r="CF10" s="33"/>
      <c r="CG10" s="34"/>
      <c r="CH10" s="35" t="str">
        <f t="shared" si="32"/>
        <v/>
      </c>
      <c r="CI10" s="36" t="str">
        <f t="shared" si="33"/>
        <v/>
      </c>
      <c r="CJ10" s="37"/>
      <c r="CK10" s="33"/>
      <c r="CL10" s="34"/>
      <c r="CM10" s="35" t="str">
        <f t="shared" si="34"/>
        <v/>
      </c>
      <c r="CN10" s="36" t="str">
        <f t="shared" si="35"/>
        <v/>
      </c>
      <c r="CO10" s="37"/>
      <c r="CP10" s="33"/>
      <c r="CQ10" s="34"/>
      <c r="CR10" s="35" t="str">
        <f t="shared" si="36"/>
        <v/>
      </c>
      <c r="CS10" s="36" t="str">
        <f t="shared" si="37"/>
        <v/>
      </c>
      <c r="CT10" s="37"/>
      <c r="CU10" s="33"/>
      <c r="CV10" s="34"/>
      <c r="CW10" s="35" t="str">
        <f t="shared" si="38"/>
        <v/>
      </c>
      <c r="CX10" s="36" t="str">
        <f t="shared" si="39"/>
        <v/>
      </c>
      <c r="CY10" s="37"/>
      <c r="CZ10" s="33"/>
      <c r="DA10" s="34"/>
      <c r="DB10" s="35" t="str">
        <f t="shared" si="40"/>
        <v/>
      </c>
      <c r="DC10" s="36" t="str">
        <f t="shared" si="41"/>
        <v/>
      </c>
      <c r="DD10" s="37"/>
      <c r="DE10" s="33"/>
      <c r="DF10" s="34"/>
      <c r="DG10" s="35" t="str">
        <f t="shared" si="42"/>
        <v/>
      </c>
      <c r="DH10" s="36" t="str">
        <f t="shared" si="43"/>
        <v/>
      </c>
      <c r="DI10" s="37"/>
      <c r="DJ10" s="33"/>
      <c r="DK10" s="34"/>
      <c r="DL10" s="35" t="str">
        <f t="shared" si="44"/>
        <v/>
      </c>
      <c r="DM10" s="36" t="str">
        <f t="shared" si="45"/>
        <v/>
      </c>
      <c r="DN10" s="37"/>
      <c r="DO10" s="33"/>
      <c r="DP10" s="34"/>
      <c r="DQ10" s="35" t="str">
        <f t="shared" si="46"/>
        <v/>
      </c>
      <c r="DR10" s="36" t="str">
        <f t="shared" si="47"/>
        <v/>
      </c>
      <c r="DS10" s="37"/>
      <c r="DT10" s="33"/>
      <c r="DU10" s="34"/>
      <c r="DV10" s="35" t="str">
        <f t="shared" si="48"/>
        <v/>
      </c>
      <c r="DW10" s="36" t="str">
        <f t="shared" si="49"/>
        <v/>
      </c>
      <c r="DX10" s="37"/>
      <c r="DY10" s="33"/>
      <c r="DZ10" s="34"/>
      <c r="EA10" s="35" t="str">
        <f t="shared" si="50"/>
        <v/>
      </c>
      <c r="EB10" s="36" t="str">
        <f t="shared" si="51"/>
        <v/>
      </c>
      <c r="EC10" s="37"/>
      <c r="ED10" s="33"/>
      <c r="EE10" s="34"/>
      <c r="EF10" s="35" t="str">
        <f t="shared" si="52"/>
        <v/>
      </c>
      <c r="EG10" s="36" t="str">
        <f t="shared" si="53"/>
        <v/>
      </c>
      <c r="EH10" s="37"/>
      <c r="EI10" s="33"/>
      <c r="EJ10" s="34"/>
      <c r="EK10" s="35" t="str">
        <f t="shared" si="54"/>
        <v/>
      </c>
      <c r="EL10" s="36" t="str">
        <f t="shared" si="55"/>
        <v/>
      </c>
      <c r="EM10" s="37"/>
      <c r="EN10" s="33"/>
      <c r="EO10" s="34"/>
      <c r="EP10" s="35" t="str">
        <f t="shared" si="56"/>
        <v/>
      </c>
      <c r="EQ10" s="36" t="str">
        <f t="shared" si="57"/>
        <v/>
      </c>
      <c r="ER10" s="37"/>
      <c r="ES10" s="33"/>
      <c r="ET10" s="34"/>
      <c r="EU10" s="35" t="str">
        <f t="shared" si="58"/>
        <v/>
      </c>
      <c r="EV10" s="36" t="str">
        <f t="shared" si="59"/>
        <v/>
      </c>
      <c r="EW10" s="37"/>
    </row>
    <row r="11" spans="1:153" ht="19.5" customHeight="1">
      <c r="A11" s="32">
        <f>IF(DAY(DATE(対象年度,10,8))&lt;&gt;8,"",8)</f>
        <v>8</v>
      </c>
      <c r="B11" s="32" t="str">
        <f>IF(DAY(DATE(対象年度,10,8))&lt;&gt;8,"",CHOOSE(WEEKDAY(DATE(対象年度,10,8),2),"月","火","水","木","金","土","日"))</f>
        <v>木</v>
      </c>
      <c r="C11" s="32" t="str">
        <f>IF(DAY(DATE(対象年度,10,8))&lt;&gt;8,"",IF(ISNUMBER(MATCH(DATE(対象年度,10,8),祝日リスト,0)),"祝",""))</f>
        <v/>
      </c>
      <c r="D11" s="33"/>
      <c r="E11" s="34"/>
      <c r="F11" s="35" t="str">
        <f t="shared" si="0"/>
        <v/>
      </c>
      <c r="G11" s="36" t="str">
        <f t="shared" si="1"/>
        <v/>
      </c>
      <c r="H11" s="37"/>
      <c r="I11" s="33"/>
      <c r="J11" s="34"/>
      <c r="K11" s="35" t="str">
        <f t="shared" si="2"/>
        <v/>
      </c>
      <c r="L11" s="36" t="str">
        <f t="shared" si="3"/>
        <v/>
      </c>
      <c r="M11" s="37"/>
      <c r="N11" s="33"/>
      <c r="O11" s="34"/>
      <c r="P11" s="35" t="str">
        <f t="shared" si="4"/>
        <v/>
      </c>
      <c r="Q11" s="36" t="str">
        <f t="shared" si="5"/>
        <v/>
      </c>
      <c r="R11" s="37"/>
      <c r="S11" s="33"/>
      <c r="T11" s="34"/>
      <c r="U11" s="35" t="str">
        <f t="shared" si="6"/>
        <v/>
      </c>
      <c r="V11" s="36" t="str">
        <f t="shared" si="7"/>
        <v/>
      </c>
      <c r="W11" s="37"/>
      <c r="X11" s="33"/>
      <c r="Y11" s="34"/>
      <c r="Z11" s="35" t="str">
        <f t="shared" si="8"/>
        <v/>
      </c>
      <c r="AA11" s="36" t="str">
        <f t="shared" si="9"/>
        <v/>
      </c>
      <c r="AB11" s="37"/>
      <c r="AC11" s="33"/>
      <c r="AD11" s="34"/>
      <c r="AE11" s="35" t="str">
        <f t="shared" si="10"/>
        <v/>
      </c>
      <c r="AF11" s="36" t="str">
        <f t="shared" si="11"/>
        <v/>
      </c>
      <c r="AG11" s="37"/>
      <c r="AH11" s="33"/>
      <c r="AI11" s="34"/>
      <c r="AJ11" s="35" t="str">
        <f t="shared" si="12"/>
        <v/>
      </c>
      <c r="AK11" s="36" t="str">
        <f t="shared" si="13"/>
        <v/>
      </c>
      <c r="AL11" s="37"/>
      <c r="AM11" s="33"/>
      <c r="AN11" s="34"/>
      <c r="AO11" s="35" t="str">
        <f t="shared" si="14"/>
        <v/>
      </c>
      <c r="AP11" s="36" t="str">
        <f t="shared" si="15"/>
        <v/>
      </c>
      <c r="AQ11" s="37"/>
      <c r="AR11" s="33"/>
      <c r="AS11" s="34"/>
      <c r="AT11" s="35" t="str">
        <f t="shared" si="16"/>
        <v/>
      </c>
      <c r="AU11" s="36" t="str">
        <f t="shared" si="17"/>
        <v/>
      </c>
      <c r="AV11" s="37"/>
      <c r="AW11" s="33"/>
      <c r="AX11" s="34"/>
      <c r="AY11" s="35" t="str">
        <f t="shared" si="18"/>
        <v/>
      </c>
      <c r="AZ11" s="36" t="str">
        <f t="shared" si="19"/>
        <v/>
      </c>
      <c r="BA11" s="37"/>
      <c r="BB11" s="33"/>
      <c r="BC11" s="34"/>
      <c r="BD11" s="35" t="str">
        <f t="shared" si="20"/>
        <v/>
      </c>
      <c r="BE11" s="36" t="str">
        <f t="shared" si="21"/>
        <v/>
      </c>
      <c r="BF11" s="37"/>
      <c r="BG11" s="33"/>
      <c r="BH11" s="34"/>
      <c r="BI11" s="35" t="str">
        <f t="shared" si="22"/>
        <v/>
      </c>
      <c r="BJ11" s="36" t="str">
        <f t="shared" si="23"/>
        <v/>
      </c>
      <c r="BK11" s="37"/>
      <c r="BL11" s="33"/>
      <c r="BM11" s="34"/>
      <c r="BN11" s="35" t="str">
        <f t="shared" si="24"/>
        <v/>
      </c>
      <c r="BO11" s="36" t="str">
        <f t="shared" si="25"/>
        <v/>
      </c>
      <c r="BP11" s="37"/>
      <c r="BQ11" s="33"/>
      <c r="BR11" s="34"/>
      <c r="BS11" s="35" t="str">
        <f t="shared" si="26"/>
        <v/>
      </c>
      <c r="BT11" s="36" t="str">
        <f t="shared" si="27"/>
        <v/>
      </c>
      <c r="BU11" s="37"/>
      <c r="BV11" s="33"/>
      <c r="BW11" s="34"/>
      <c r="BX11" s="35" t="str">
        <f t="shared" si="28"/>
        <v/>
      </c>
      <c r="BY11" s="36" t="str">
        <f t="shared" si="29"/>
        <v/>
      </c>
      <c r="BZ11" s="37"/>
      <c r="CA11" s="33"/>
      <c r="CB11" s="34"/>
      <c r="CC11" s="35" t="str">
        <f t="shared" si="30"/>
        <v/>
      </c>
      <c r="CD11" s="36" t="str">
        <f t="shared" si="31"/>
        <v/>
      </c>
      <c r="CE11" s="37"/>
      <c r="CF11" s="33"/>
      <c r="CG11" s="34"/>
      <c r="CH11" s="35" t="str">
        <f t="shared" si="32"/>
        <v/>
      </c>
      <c r="CI11" s="36" t="str">
        <f t="shared" si="33"/>
        <v/>
      </c>
      <c r="CJ11" s="37"/>
      <c r="CK11" s="33"/>
      <c r="CL11" s="34"/>
      <c r="CM11" s="35" t="str">
        <f t="shared" si="34"/>
        <v/>
      </c>
      <c r="CN11" s="36" t="str">
        <f t="shared" si="35"/>
        <v/>
      </c>
      <c r="CO11" s="37"/>
      <c r="CP11" s="33"/>
      <c r="CQ11" s="34"/>
      <c r="CR11" s="35" t="str">
        <f t="shared" si="36"/>
        <v/>
      </c>
      <c r="CS11" s="36" t="str">
        <f t="shared" si="37"/>
        <v/>
      </c>
      <c r="CT11" s="37"/>
      <c r="CU11" s="33"/>
      <c r="CV11" s="34"/>
      <c r="CW11" s="35" t="str">
        <f t="shared" si="38"/>
        <v/>
      </c>
      <c r="CX11" s="36" t="str">
        <f t="shared" si="39"/>
        <v/>
      </c>
      <c r="CY11" s="37"/>
      <c r="CZ11" s="33"/>
      <c r="DA11" s="34"/>
      <c r="DB11" s="35" t="str">
        <f t="shared" si="40"/>
        <v/>
      </c>
      <c r="DC11" s="36" t="str">
        <f t="shared" si="41"/>
        <v/>
      </c>
      <c r="DD11" s="37"/>
      <c r="DE11" s="33"/>
      <c r="DF11" s="34"/>
      <c r="DG11" s="35" t="str">
        <f t="shared" si="42"/>
        <v/>
      </c>
      <c r="DH11" s="36" t="str">
        <f t="shared" si="43"/>
        <v/>
      </c>
      <c r="DI11" s="37"/>
      <c r="DJ11" s="33"/>
      <c r="DK11" s="34"/>
      <c r="DL11" s="35" t="str">
        <f t="shared" si="44"/>
        <v/>
      </c>
      <c r="DM11" s="36" t="str">
        <f t="shared" si="45"/>
        <v/>
      </c>
      <c r="DN11" s="37"/>
      <c r="DO11" s="33"/>
      <c r="DP11" s="34"/>
      <c r="DQ11" s="35" t="str">
        <f t="shared" si="46"/>
        <v/>
      </c>
      <c r="DR11" s="36" t="str">
        <f t="shared" si="47"/>
        <v/>
      </c>
      <c r="DS11" s="37"/>
      <c r="DT11" s="33"/>
      <c r="DU11" s="34"/>
      <c r="DV11" s="35" t="str">
        <f t="shared" si="48"/>
        <v/>
      </c>
      <c r="DW11" s="36" t="str">
        <f t="shared" si="49"/>
        <v/>
      </c>
      <c r="DX11" s="37"/>
      <c r="DY11" s="33"/>
      <c r="DZ11" s="34"/>
      <c r="EA11" s="35" t="str">
        <f t="shared" si="50"/>
        <v/>
      </c>
      <c r="EB11" s="36" t="str">
        <f t="shared" si="51"/>
        <v/>
      </c>
      <c r="EC11" s="37"/>
      <c r="ED11" s="33"/>
      <c r="EE11" s="34"/>
      <c r="EF11" s="35" t="str">
        <f t="shared" si="52"/>
        <v/>
      </c>
      <c r="EG11" s="36" t="str">
        <f t="shared" si="53"/>
        <v/>
      </c>
      <c r="EH11" s="37"/>
      <c r="EI11" s="33"/>
      <c r="EJ11" s="34"/>
      <c r="EK11" s="35" t="str">
        <f t="shared" si="54"/>
        <v/>
      </c>
      <c r="EL11" s="36" t="str">
        <f t="shared" si="55"/>
        <v/>
      </c>
      <c r="EM11" s="37"/>
      <c r="EN11" s="33"/>
      <c r="EO11" s="34"/>
      <c r="EP11" s="35" t="str">
        <f t="shared" si="56"/>
        <v/>
      </c>
      <c r="EQ11" s="36" t="str">
        <f t="shared" si="57"/>
        <v/>
      </c>
      <c r="ER11" s="37"/>
      <c r="ES11" s="33"/>
      <c r="ET11" s="34"/>
      <c r="EU11" s="35" t="str">
        <f t="shared" si="58"/>
        <v/>
      </c>
      <c r="EV11" s="36" t="str">
        <f t="shared" si="59"/>
        <v/>
      </c>
      <c r="EW11" s="37"/>
    </row>
    <row r="12" spans="1:153" ht="19.5" customHeight="1">
      <c r="A12" s="32">
        <f>IF(DAY(DATE(対象年度,10,9))&lt;&gt;9,"",9)</f>
        <v>9</v>
      </c>
      <c r="B12" s="32" t="str">
        <f>IF(DAY(DATE(対象年度,10,9))&lt;&gt;9,"",CHOOSE(WEEKDAY(DATE(対象年度,10,9),2),"月","火","水","木","金","土","日"))</f>
        <v>金</v>
      </c>
      <c r="C12" s="32" t="str">
        <f>IF(DAY(DATE(対象年度,10,9))&lt;&gt;9,"",IF(ISNUMBER(MATCH(DATE(対象年度,10,9),祝日リスト,0)),"祝",""))</f>
        <v/>
      </c>
      <c r="D12" s="33"/>
      <c r="E12" s="34"/>
      <c r="F12" s="35" t="str">
        <f t="shared" si="0"/>
        <v/>
      </c>
      <c r="G12" s="36" t="str">
        <f t="shared" si="1"/>
        <v/>
      </c>
      <c r="H12" s="37"/>
      <c r="I12" s="33"/>
      <c r="J12" s="34"/>
      <c r="K12" s="35" t="str">
        <f t="shared" si="2"/>
        <v/>
      </c>
      <c r="L12" s="36" t="str">
        <f t="shared" si="3"/>
        <v/>
      </c>
      <c r="M12" s="37"/>
      <c r="N12" s="33"/>
      <c r="O12" s="34"/>
      <c r="P12" s="35" t="str">
        <f t="shared" si="4"/>
        <v/>
      </c>
      <c r="Q12" s="36" t="str">
        <f t="shared" si="5"/>
        <v/>
      </c>
      <c r="R12" s="37"/>
      <c r="S12" s="33"/>
      <c r="T12" s="34"/>
      <c r="U12" s="35" t="str">
        <f t="shared" si="6"/>
        <v/>
      </c>
      <c r="V12" s="36" t="str">
        <f t="shared" si="7"/>
        <v/>
      </c>
      <c r="W12" s="37"/>
      <c r="X12" s="33"/>
      <c r="Y12" s="34"/>
      <c r="Z12" s="35" t="str">
        <f t="shared" si="8"/>
        <v/>
      </c>
      <c r="AA12" s="36" t="str">
        <f t="shared" si="9"/>
        <v/>
      </c>
      <c r="AB12" s="37"/>
      <c r="AC12" s="33"/>
      <c r="AD12" s="34"/>
      <c r="AE12" s="35" t="str">
        <f t="shared" si="10"/>
        <v/>
      </c>
      <c r="AF12" s="36" t="str">
        <f t="shared" si="11"/>
        <v/>
      </c>
      <c r="AG12" s="37"/>
      <c r="AH12" s="33"/>
      <c r="AI12" s="34"/>
      <c r="AJ12" s="35" t="str">
        <f t="shared" si="12"/>
        <v/>
      </c>
      <c r="AK12" s="36" t="str">
        <f t="shared" si="13"/>
        <v/>
      </c>
      <c r="AL12" s="37"/>
      <c r="AM12" s="33"/>
      <c r="AN12" s="34"/>
      <c r="AO12" s="35" t="str">
        <f t="shared" si="14"/>
        <v/>
      </c>
      <c r="AP12" s="36" t="str">
        <f t="shared" si="15"/>
        <v/>
      </c>
      <c r="AQ12" s="37"/>
      <c r="AR12" s="33"/>
      <c r="AS12" s="34"/>
      <c r="AT12" s="35" t="str">
        <f t="shared" si="16"/>
        <v/>
      </c>
      <c r="AU12" s="36" t="str">
        <f t="shared" si="17"/>
        <v/>
      </c>
      <c r="AV12" s="37"/>
      <c r="AW12" s="33"/>
      <c r="AX12" s="34"/>
      <c r="AY12" s="35" t="str">
        <f t="shared" si="18"/>
        <v/>
      </c>
      <c r="AZ12" s="36" t="str">
        <f t="shared" si="19"/>
        <v/>
      </c>
      <c r="BA12" s="37"/>
      <c r="BB12" s="33"/>
      <c r="BC12" s="34"/>
      <c r="BD12" s="35" t="str">
        <f t="shared" si="20"/>
        <v/>
      </c>
      <c r="BE12" s="36" t="str">
        <f t="shared" si="21"/>
        <v/>
      </c>
      <c r="BF12" s="37"/>
      <c r="BG12" s="33"/>
      <c r="BH12" s="34"/>
      <c r="BI12" s="35" t="str">
        <f t="shared" si="22"/>
        <v/>
      </c>
      <c r="BJ12" s="36" t="str">
        <f t="shared" si="23"/>
        <v/>
      </c>
      <c r="BK12" s="37"/>
      <c r="BL12" s="33"/>
      <c r="BM12" s="34"/>
      <c r="BN12" s="35" t="str">
        <f t="shared" si="24"/>
        <v/>
      </c>
      <c r="BO12" s="36" t="str">
        <f t="shared" si="25"/>
        <v/>
      </c>
      <c r="BP12" s="37"/>
      <c r="BQ12" s="33"/>
      <c r="BR12" s="34"/>
      <c r="BS12" s="35" t="str">
        <f t="shared" si="26"/>
        <v/>
      </c>
      <c r="BT12" s="36" t="str">
        <f t="shared" si="27"/>
        <v/>
      </c>
      <c r="BU12" s="37"/>
      <c r="BV12" s="33"/>
      <c r="BW12" s="34"/>
      <c r="BX12" s="35" t="str">
        <f t="shared" si="28"/>
        <v/>
      </c>
      <c r="BY12" s="36" t="str">
        <f t="shared" si="29"/>
        <v/>
      </c>
      <c r="BZ12" s="37"/>
      <c r="CA12" s="33"/>
      <c r="CB12" s="34"/>
      <c r="CC12" s="35" t="str">
        <f t="shared" si="30"/>
        <v/>
      </c>
      <c r="CD12" s="36" t="str">
        <f t="shared" si="31"/>
        <v/>
      </c>
      <c r="CE12" s="37"/>
      <c r="CF12" s="33"/>
      <c r="CG12" s="34"/>
      <c r="CH12" s="35" t="str">
        <f t="shared" si="32"/>
        <v/>
      </c>
      <c r="CI12" s="36" t="str">
        <f t="shared" si="33"/>
        <v/>
      </c>
      <c r="CJ12" s="37"/>
      <c r="CK12" s="33"/>
      <c r="CL12" s="34"/>
      <c r="CM12" s="35" t="str">
        <f t="shared" si="34"/>
        <v/>
      </c>
      <c r="CN12" s="36" t="str">
        <f t="shared" si="35"/>
        <v/>
      </c>
      <c r="CO12" s="37"/>
      <c r="CP12" s="33"/>
      <c r="CQ12" s="34"/>
      <c r="CR12" s="35" t="str">
        <f t="shared" si="36"/>
        <v/>
      </c>
      <c r="CS12" s="36" t="str">
        <f t="shared" si="37"/>
        <v/>
      </c>
      <c r="CT12" s="37"/>
      <c r="CU12" s="33"/>
      <c r="CV12" s="34"/>
      <c r="CW12" s="35" t="str">
        <f t="shared" si="38"/>
        <v/>
      </c>
      <c r="CX12" s="36" t="str">
        <f t="shared" si="39"/>
        <v/>
      </c>
      <c r="CY12" s="37"/>
      <c r="CZ12" s="33"/>
      <c r="DA12" s="34"/>
      <c r="DB12" s="35" t="str">
        <f t="shared" si="40"/>
        <v/>
      </c>
      <c r="DC12" s="36" t="str">
        <f t="shared" si="41"/>
        <v/>
      </c>
      <c r="DD12" s="37"/>
      <c r="DE12" s="33"/>
      <c r="DF12" s="34"/>
      <c r="DG12" s="35" t="str">
        <f t="shared" si="42"/>
        <v/>
      </c>
      <c r="DH12" s="36" t="str">
        <f t="shared" si="43"/>
        <v/>
      </c>
      <c r="DI12" s="37"/>
      <c r="DJ12" s="33"/>
      <c r="DK12" s="34"/>
      <c r="DL12" s="35" t="str">
        <f t="shared" si="44"/>
        <v/>
      </c>
      <c r="DM12" s="36" t="str">
        <f t="shared" si="45"/>
        <v/>
      </c>
      <c r="DN12" s="37"/>
      <c r="DO12" s="33"/>
      <c r="DP12" s="34"/>
      <c r="DQ12" s="35" t="str">
        <f t="shared" si="46"/>
        <v/>
      </c>
      <c r="DR12" s="36" t="str">
        <f t="shared" si="47"/>
        <v/>
      </c>
      <c r="DS12" s="37"/>
      <c r="DT12" s="33"/>
      <c r="DU12" s="34"/>
      <c r="DV12" s="35" t="str">
        <f t="shared" si="48"/>
        <v/>
      </c>
      <c r="DW12" s="36" t="str">
        <f t="shared" si="49"/>
        <v/>
      </c>
      <c r="DX12" s="37"/>
      <c r="DY12" s="33"/>
      <c r="DZ12" s="34"/>
      <c r="EA12" s="35" t="str">
        <f t="shared" si="50"/>
        <v/>
      </c>
      <c r="EB12" s="36" t="str">
        <f t="shared" si="51"/>
        <v/>
      </c>
      <c r="EC12" s="37"/>
      <c r="ED12" s="33"/>
      <c r="EE12" s="34"/>
      <c r="EF12" s="35" t="str">
        <f t="shared" si="52"/>
        <v/>
      </c>
      <c r="EG12" s="36" t="str">
        <f t="shared" si="53"/>
        <v/>
      </c>
      <c r="EH12" s="37"/>
      <c r="EI12" s="33"/>
      <c r="EJ12" s="34"/>
      <c r="EK12" s="35" t="str">
        <f t="shared" si="54"/>
        <v/>
      </c>
      <c r="EL12" s="36" t="str">
        <f t="shared" si="55"/>
        <v/>
      </c>
      <c r="EM12" s="37"/>
      <c r="EN12" s="33"/>
      <c r="EO12" s="34"/>
      <c r="EP12" s="35" t="str">
        <f t="shared" si="56"/>
        <v/>
      </c>
      <c r="EQ12" s="36" t="str">
        <f t="shared" si="57"/>
        <v/>
      </c>
      <c r="ER12" s="37"/>
      <c r="ES12" s="33"/>
      <c r="ET12" s="34"/>
      <c r="EU12" s="35" t="str">
        <f t="shared" si="58"/>
        <v/>
      </c>
      <c r="EV12" s="36" t="str">
        <f t="shared" si="59"/>
        <v/>
      </c>
      <c r="EW12" s="37"/>
    </row>
    <row r="13" spans="1:153" ht="19.5" customHeight="1">
      <c r="A13" s="32">
        <f>IF(DAY(DATE(対象年度,10,10))&lt;&gt;10,"",10)</f>
        <v>10</v>
      </c>
      <c r="B13" s="32" t="str">
        <f>IF(DAY(DATE(対象年度,10,10))&lt;&gt;10,"",CHOOSE(WEEKDAY(DATE(対象年度,10,10),2),"月","火","水","木","金","土","日"))</f>
        <v>土</v>
      </c>
      <c r="C13" s="32" t="str">
        <f>IF(DAY(DATE(対象年度,10,10))&lt;&gt;10,"",IF(ISNUMBER(MATCH(DATE(対象年度,10,10),祝日リスト,0)),"祝",""))</f>
        <v/>
      </c>
      <c r="D13" s="33"/>
      <c r="E13" s="34"/>
      <c r="F13" s="35" t="str">
        <f t="shared" si="0"/>
        <v/>
      </c>
      <c r="G13" s="36" t="str">
        <f t="shared" si="1"/>
        <v/>
      </c>
      <c r="H13" s="37"/>
      <c r="I13" s="33"/>
      <c r="J13" s="34"/>
      <c r="K13" s="35" t="str">
        <f t="shared" si="2"/>
        <v/>
      </c>
      <c r="L13" s="36" t="str">
        <f t="shared" si="3"/>
        <v/>
      </c>
      <c r="M13" s="37"/>
      <c r="N13" s="33"/>
      <c r="O13" s="34"/>
      <c r="P13" s="35" t="str">
        <f t="shared" si="4"/>
        <v/>
      </c>
      <c r="Q13" s="36" t="str">
        <f t="shared" si="5"/>
        <v/>
      </c>
      <c r="R13" s="37"/>
      <c r="S13" s="33"/>
      <c r="T13" s="34"/>
      <c r="U13" s="35" t="str">
        <f t="shared" si="6"/>
        <v/>
      </c>
      <c r="V13" s="36" t="str">
        <f t="shared" si="7"/>
        <v/>
      </c>
      <c r="W13" s="37"/>
      <c r="X13" s="33"/>
      <c r="Y13" s="34"/>
      <c r="Z13" s="35" t="str">
        <f t="shared" si="8"/>
        <v/>
      </c>
      <c r="AA13" s="36" t="str">
        <f t="shared" si="9"/>
        <v/>
      </c>
      <c r="AB13" s="37"/>
      <c r="AC13" s="33"/>
      <c r="AD13" s="34"/>
      <c r="AE13" s="35" t="str">
        <f t="shared" si="10"/>
        <v/>
      </c>
      <c r="AF13" s="36" t="str">
        <f t="shared" si="11"/>
        <v/>
      </c>
      <c r="AG13" s="37"/>
      <c r="AH13" s="33"/>
      <c r="AI13" s="34"/>
      <c r="AJ13" s="35" t="str">
        <f t="shared" si="12"/>
        <v/>
      </c>
      <c r="AK13" s="36" t="str">
        <f t="shared" si="13"/>
        <v/>
      </c>
      <c r="AL13" s="37"/>
      <c r="AM13" s="33"/>
      <c r="AN13" s="34"/>
      <c r="AO13" s="35" t="str">
        <f t="shared" si="14"/>
        <v/>
      </c>
      <c r="AP13" s="36" t="str">
        <f t="shared" si="15"/>
        <v/>
      </c>
      <c r="AQ13" s="37"/>
      <c r="AR13" s="33"/>
      <c r="AS13" s="34"/>
      <c r="AT13" s="35" t="str">
        <f t="shared" si="16"/>
        <v/>
      </c>
      <c r="AU13" s="36" t="str">
        <f t="shared" si="17"/>
        <v/>
      </c>
      <c r="AV13" s="37"/>
      <c r="AW13" s="33"/>
      <c r="AX13" s="34"/>
      <c r="AY13" s="35" t="str">
        <f t="shared" si="18"/>
        <v/>
      </c>
      <c r="AZ13" s="36" t="str">
        <f t="shared" si="19"/>
        <v/>
      </c>
      <c r="BA13" s="37"/>
      <c r="BB13" s="33"/>
      <c r="BC13" s="34"/>
      <c r="BD13" s="35" t="str">
        <f t="shared" si="20"/>
        <v/>
      </c>
      <c r="BE13" s="36" t="str">
        <f t="shared" si="21"/>
        <v/>
      </c>
      <c r="BF13" s="37"/>
      <c r="BG13" s="33"/>
      <c r="BH13" s="34"/>
      <c r="BI13" s="35" t="str">
        <f t="shared" si="22"/>
        <v/>
      </c>
      <c r="BJ13" s="36" t="str">
        <f t="shared" si="23"/>
        <v/>
      </c>
      <c r="BK13" s="37"/>
      <c r="BL13" s="33"/>
      <c r="BM13" s="34"/>
      <c r="BN13" s="35" t="str">
        <f t="shared" si="24"/>
        <v/>
      </c>
      <c r="BO13" s="36" t="str">
        <f t="shared" si="25"/>
        <v/>
      </c>
      <c r="BP13" s="37"/>
      <c r="BQ13" s="33"/>
      <c r="BR13" s="34"/>
      <c r="BS13" s="35" t="str">
        <f t="shared" si="26"/>
        <v/>
      </c>
      <c r="BT13" s="36" t="str">
        <f t="shared" si="27"/>
        <v/>
      </c>
      <c r="BU13" s="37"/>
      <c r="BV13" s="33"/>
      <c r="BW13" s="34"/>
      <c r="BX13" s="35" t="str">
        <f t="shared" si="28"/>
        <v/>
      </c>
      <c r="BY13" s="36" t="str">
        <f t="shared" si="29"/>
        <v/>
      </c>
      <c r="BZ13" s="37"/>
      <c r="CA13" s="33"/>
      <c r="CB13" s="34"/>
      <c r="CC13" s="35" t="str">
        <f t="shared" si="30"/>
        <v/>
      </c>
      <c r="CD13" s="36" t="str">
        <f t="shared" si="31"/>
        <v/>
      </c>
      <c r="CE13" s="37"/>
      <c r="CF13" s="33"/>
      <c r="CG13" s="34"/>
      <c r="CH13" s="35" t="str">
        <f t="shared" si="32"/>
        <v/>
      </c>
      <c r="CI13" s="36" t="str">
        <f t="shared" si="33"/>
        <v/>
      </c>
      <c r="CJ13" s="37"/>
      <c r="CK13" s="33"/>
      <c r="CL13" s="34"/>
      <c r="CM13" s="35" t="str">
        <f t="shared" si="34"/>
        <v/>
      </c>
      <c r="CN13" s="36" t="str">
        <f t="shared" si="35"/>
        <v/>
      </c>
      <c r="CO13" s="37"/>
      <c r="CP13" s="33"/>
      <c r="CQ13" s="34"/>
      <c r="CR13" s="35" t="str">
        <f t="shared" si="36"/>
        <v/>
      </c>
      <c r="CS13" s="36" t="str">
        <f t="shared" si="37"/>
        <v/>
      </c>
      <c r="CT13" s="37"/>
      <c r="CU13" s="33"/>
      <c r="CV13" s="34"/>
      <c r="CW13" s="35" t="str">
        <f t="shared" si="38"/>
        <v/>
      </c>
      <c r="CX13" s="36" t="str">
        <f t="shared" si="39"/>
        <v/>
      </c>
      <c r="CY13" s="37"/>
      <c r="CZ13" s="33"/>
      <c r="DA13" s="34"/>
      <c r="DB13" s="35" t="str">
        <f t="shared" si="40"/>
        <v/>
      </c>
      <c r="DC13" s="36" t="str">
        <f t="shared" si="41"/>
        <v/>
      </c>
      <c r="DD13" s="37"/>
      <c r="DE13" s="33"/>
      <c r="DF13" s="34"/>
      <c r="DG13" s="35" t="str">
        <f t="shared" si="42"/>
        <v/>
      </c>
      <c r="DH13" s="36" t="str">
        <f t="shared" si="43"/>
        <v/>
      </c>
      <c r="DI13" s="37"/>
      <c r="DJ13" s="33"/>
      <c r="DK13" s="34"/>
      <c r="DL13" s="35" t="str">
        <f t="shared" si="44"/>
        <v/>
      </c>
      <c r="DM13" s="36" t="str">
        <f t="shared" si="45"/>
        <v/>
      </c>
      <c r="DN13" s="37"/>
      <c r="DO13" s="33"/>
      <c r="DP13" s="34"/>
      <c r="DQ13" s="35" t="str">
        <f t="shared" si="46"/>
        <v/>
      </c>
      <c r="DR13" s="36" t="str">
        <f t="shared" si="47"/>
        <v/>
      </c>
      <c r="DS13" s="37"/>
      <c r="DT13" s="33"/>
      <c r="DU13" s="34"/>
      <c r="DV13" s="35" t="str">
        <f t="shared" si="48"/>
        <v/>
      </c>
      <c r="DW13" s="36" t="str">
        <f t="shared" si="49"/>
        <v/>
      </c>
      <c r="DX13" s="37"/>
      <c r="DY13" s="33"/>
      <c r="DZ13" s="34"/>
      <c r="EA13" s="35" t="str">
        <f t="shared" si="50"/>
        <v/>
      </c>
      <c r="EB13" s="36" t="str">
        <f t="shared" si="51"/>
        <v/>
      </c>
      <c r="EC13" s="37"/>
      <c r="ED13" s="33"/>
      <c r="EE13" s="34"/>
      <c r="EF13" s="35" t="str">
        <f t="shared" si="52"/>
        <v/>
      </c>
      <c r="EG13" s="36" t="str">
        <f t="shared" si="53"/>
        <v/>
      </c>
      <c r="EH13" s="37"/>
      <c r="EI13" s="33"/>
      <c r="EJ13" s="34"/>
      <c r="EK13" s="35" t="str">
        <f t="shared" si="54"/>
        <v/>
      </c>
      <c r="EL13" s="36" t="str">
        <f t="shared" si="55"/>
        <v/>
      </c>
      <c r="EM13" s="37"/>
      <c r="EN13" s="33"/>
      <c r="EO13" s="34"/>
      <c r="EP13" s="35" t="str">
        <f t="shared" si="56"/>
        <v/>
      </c>
      <c r="EQ13" s="36" t="str">
        <f t="shared" si="57"/>
        <v/>
      </c>
      <c r="ER13" s="37"/>
      <c r="ES13" s="33"/>
      <c r="ET13" s="34"/>
      <c r="EU13" s="35" t="str">
        <f t="shared" si="58"/>
        <v/>
      </c>
      <c r="EV13" s="36" t="str">
        <f t="shared" si="59"/>
        <v/>
      </c>
      <c r="EW13" s="37"/>
    </row>
    <row r="14" spans="1:153" ht="19.5" customHeight="1">
      <c r="A14" s="32">
        <f>IF(DAY(DATE(対象年度,10,11))&lt;&gt;11,"",11)</f>
        <v>11</v>
      </c>
      <c r="B14" s="32" t="str">
        <f>IF(DAY(DATE(対象年度,10,11))&lt;&gt;11,"",CHOOSE(WEEKDAY(DATE(対象年度,10,11),2),"月","火","水","木","金","土","日"))</f>
        <v>日</v>
      </c>
      <c r="C14" s="32" t="str">
        <f>IF(DAY(DATE(対象年度,10,11))&lt;&gt;11,"",IF(ISNUMBER(MATCH(DATE(対象年度,10,11),祝日リスト,0)),"祝",""))</f>
        <v/>
      </c>
      <c r="D14" s="33"/>
      <c r="E14" s="34"/>
      <c r="F14" s="35" t="str">
        <f t="shared" si="0"/>
        <v/>
      </c>
      <c r="G14" s="36" t="str">
        <f t="shared" si="1"/>
        <v/>
      </c>
      <c r="H14" s="37"/>
      <c r="I14" s="33"/>
      <c r="J14" s="34"/>
      <c r="K14" s="35" t="str">
        <f t="shared" si="2"/>
        <v/>
      </c>
      <c r="L14" s="36" t="str">
        <f t="shared" si="3"/>
        <v/>
      </c>
      <c r="M14" s="37"/>
      <c r="N14" s="33"/>
      <c r="O14" s="34"/>
      <c r="P14" s="35" t="str">
        <f t="shared" si="4"/>
        <v/>
      </c>
      <c r="Q14" s="36" t="str">
        <f t="shared" si="5"/>
        <v/>
      </c>
      <c r="R14" s="37"/>
      <c r="S14" s="33"/>
      <c r="T14" s="34"/>
      <c r="U14" s="35" t="str">
        <f t="shared" si="6"/>
        <v/>
      </c>
      <c r="V14" s="36" t="str">
        <f t="shared" si="7"/>
        <v/>
      </c>
      <c r="W14" s="37"/>
      <c r="X14" s="33"/>
      <c r="Y14" s="34"/>
      <c r="Z14" s="35" t="str">
        <f t="shared" si="8"/>
        <v/>
      </c>
      <c r="AA14" s="36" t="str">
        <f t="shared" si="9"/>
        <v/>
      </c>
      <c r="AB14" s="37"/>
      <c r="AC14" s="33"/>
      <c r="AD14" s="34"/>
      <c r="AE14" s="35" t="str">
        <f t="shared" si="10"/>
        <v/>
      </c>
      <c r="AF14" s="36" t="str">
        <f t="shared" si="11"/>
        <v/>
      </c>
      <c r="AG14" s="37"/>
      <c r="AH14" s="33"/>
      <c r="AI14" s="34"/>
      <c r="AJ14" s="35" t="str">
        <f t="shared" si="12"/>
        <v/>
      </c>
      <c r="AK14" s="36" t="str">
        <f t="shared" si="13"/>
        <v/>
      </c>
      <c r="AL14" s="37"/>
      <c r="AM14" s="33"/>
      <c r="AN14" s="34"/>
      <c r="AO14" s="35" t="str">
        <f t="shared" si="14"/>
        <v/>
      </c>
      <c r="AP14" s="36" t="str">
        <f t="shared" si="15"/>
        <v/>
      </c>
      <c r="AQ14" s="37"/>
      <c r="AR14" s="33"/>
      <c r="AS14" s="34"/>
      <c r="AT14" s="35" t="str">
        <f t="shared" si="16"/>
        <v/>
      </c>
      <c r="AU14" s="36" t="str">
        <f t="shared" si="17"/>
        <v/>
      </c>
      <c r="AV14" s="37"/>
      <c r="AW14" s="33"/>
      <c r="AX14" s="34"/>
      <c r="AY14" s="35" t="str">
        <f t="shared" si="18"/>
        <v/>
      </c>
      <c r="AZ14" s="36" t="str">
        <f t="shared" si="19"/>
        <v/>
      </c>
      <c r="BA14" s="37"/>
      <c r="BB14" s="33"/>
      <c r="BC14" s="34"/>
      <c r="BD14" s="35" t="str">
        <f t="shared" si="20"/>
        <v/>
      </c>
      <c r="BE14" s="36" t="str">
        <f t="shared" si="21"/>
        <v/>
      </c>
      <c r="BF14" s="37"/>
      <c r="BG14" s="33"/>
      <c r="BH14" s="34"/>
      <c r="BI14" s="35" t="str">
        <f t="shared" si="22"/>
        <v/>
      </c>
      <c r="BJ14" s="36" t="str">
        <f t="shared" si="23"/>
        <v/>
      </c>
      <c r="BK14" s="37"/>
      <c r="BL14" s="33"/>
      <c r="BM14" s="34"/>
      <c r="BN14" s="35" t="str">
        <f t="shared" si="24"/>
        <v/>
      </c>
      <c r="BO14" s="36" t="str">
        <f t="shared" si="25"/>
        <v/>
      </c>
      <c r="BP14" s="37"/>
      <c r="BQ14" s="33"/>
      <c r="BR14" s="34"/>
      <c r="BS14" s="35" t="str">
        <f t="shared" si="26"/>
        <v/>
      </c>
      <c r="BT14" s="36" t="str">
        <f t="shared" si="27"/>
        <v/>
      </c>
      <c r="BU14" s="37"/>
      <c r="BV14" s="33"/>
      <c r="BW14" s="34"/>
      <c r="BX14" s="35" t="str">
        <f t="shared" si="28"/>
        <v/>
      </c>
      <c r="BY14" s="36" t="str">
        <f t="shared" si="29"/>
        <v/>
      </c>
      <c r="BZ14" s="37"/>
      <c r="CA14" s="33"/>
      <c r="CB14" s="34"/>
      <c r="CC14" s="35" t="str">
        <f t="shared" si="30"/>
        <v/>
      </c>
      <c r="CD14" s="36" t="str">
        <f t="shared" si="31"/>
        <v/>
      </c>
      <c r="CE14" s="37"/>
      <c r="CF14" s="33"/>
      <c r="CG14" s="34"/>
      <c r="CH14" s="35" t="str">
        <f t="shared" si="32"/>
        <v/>
      </c>
      <c r="CI14" s="36" t="str">
        <f t="shared" si="33"/>
        <v/>
      </c>
      <c r="CJ14" s="37"/>
      <c r="CK14" s="33"/>
      <c r="CL14" s="34"/>
      <c r="CM14" s="35" t="str">
        <f t="shared" si="34"/>
        <v/>
      </c>
      <c r="CN14" s="36" t="str">
        <f t="shared" si="35"/>
        <v/>
      </c>
      <c r="CO14" s="37"/>
      <c r="CP14" s="33"/>
      <c r="CQ14" s="34"/>
      <c r="CR14" s="35" t="str">
        <f t="shared" si="36"/>
        <v/>
      </c>
      <c r="CS14" s="36" t="str">
        <f t="shared" si="37"/>
        <v/>
      </c>
      <c r="CT14" s="37"/>
      <c r="CU14" s="33"/>
      <c r="CV14" s="34"/>
      <c r="CW14" s="35" t="str">
        <f t="shared" si="38"/>
        <v/>
      </c>
      <c r="CX14" s="36" t="str">
        <f t="shared" si="39"/>
        <v/>
      </c>
      <c r="CY14" s="37"/>
      <c r="CZ14" s="33"/>
      <c r="DA14" s="34"/>
      <c r="DB14" s="35" t="str">
        <f t="shared" si="40"/>
        <v/>
      </c>
      <c r="DC14" s="36" t="str">
        <f t="shared" si="41"/>
        <v/>
      </c>
      <c r="DD14" s="37"/>
      <c r="DE14" s="33"/>
      <c r="DF14" s="34"/>
      <c r="DG14" s="35" t="str">
        <f t="shared" si="42"/>
        <v/>
      </c>
      <c r="DH14" s="36" t="str">
        <f t="shared" si="43"/>
        <v/>
      </c>
      <c r="DI14" s="37"/>
      <c r="DJ14" s="33"/>
      <c r="DK14" s="34"/>
      <c r="DL14" s="35" t="str">
        <f t="shared" si="44"/>
        <v/>
      </c>
      <c r="DM14" s="36" t="str">
        <f t="shared" si="45"/>
        <v/>
      </c>
      <c r="DN14" s="37"/>
      <c r="DO14" s="33"/>
      <c r="DP14" s="34"/>
      <c r="DQ14" s="35" t="str">
        <f t="shared" si="46"/>
        <v/>
      </c>
      <c r="DR14" s="36" t="str">
        <f t="shared" si="47"/>
        <v/>
      </c>
      <c r="DS14" s="37"/>
      <c r="DT14" s="33"/>
      <c r="DU14" s="34"/>
      <c r="DV14" s="35" t="str">
        <f t="shared" si="48"/>
        <v/>
      </c>
      <c r="DW14" s="36" t="str">
        <f t="shared" si="49"/>
        <v/>
      </c>
      <c r="DX14" s="37"/>
      <c r="DY14" s="33"/>
      <c r="DZ14" s="34"/>
      <c r="EA14" s="35" t="str">
        <f t="shared" si="50"/>
        <v/>
      </c>
      <c r="EB14" s="36" t="str">
        <f t="shared" si="51"/>
        <v/>
      </c>
      <c r="EC14" s="37"/>
      <c r="ED14" s="33"/>
      <c r="EE14" s="34"/>
      <c r="EF14" s="35" t="str">
        <f t="shared" si="52"/>
        <v/>
      </c>
      <c r="EG14" s="36" t="str">
        <f t="shared" si="53"/>
        <v/>
      </c>
      <c r="EH14" s="37"/>
      <c r="EI14" s="33"/>
      <c r="EJ14" s="34"/>
      <c r="EK14" s="35" t="str">
        <f t="shared" si="54"/>
        <v/>
      </c>
      <c r="EL14" s="36" t="str">
        <f t="shared" si="55"/>
        <v/>
      </c>
      <c r="EM14" s="37"/>
      <c r="EN14" s="33"/>
      <c r="EO14" s="34"/>
      <c r="EP14" s="35" t="str">
        <f t="shared" si="56"/>
        <v/>
      </c>
      <c r="EQ14" s="36" t="str">
        <f t="shared" si="57"/>
        <v/>
      </c>
      <c r="ER14" s="37"/>
      <c r="ES14" s="33"/>
      <c r="ET14" s="34"/>
      <c r="EU14" s="35" t="str">
        <f t="shared" si="58"/>
        <v/>
      </c>
      <c r="EV14" s="36" t="str">
        <f t="shared" si="59"/>
        <v/>
      </c>
      <c r="EW14" s="37"/>
    </row>
    <row r="15" spans="1:153" ht="19.5" customHeight="1">
      <c r="A15" s="32">
        <f>IF(DAY(DATE(対象年度,10,12))&lt;&gt;12,"",12)</f>
        <v>12</v>
      </c>
      <c r="B15" s="32" t="str">
        <f>IF(DAY(DATE(対象年度,10,12))&lt;&gt;12,"",CHOOSE(WEEKDAY(DATE(対象年度,10,12),2),"月","火","水","木","金","土","日"))</f>
        <v>月</v>
      </c>
      <c r="C15" s="32" t="str">
        <f>IF(DAY(DATE(対象年度,10,12))&lt;&gt;12,"",IF(ISNUMBER(MATCH(DATE(対象年度,10,12),祝日リスト,0)),"祝",""))</f>
        <v>祝</v>
      </c>
      <c r="D15" s="33"/>
      <c r="E15" s="34"/>
      <c r="F15" s="35" t="str">
        <f t="shared" si="0"/>
        <v/>
      </c>
      <c r="G15" s="36" t="str">
        <f t="shared" si="1"/>
        <v/>
      </c>
      <c r="H15" s="37"/>
      <c r="I15" s="33"/>
      <c r="J15" s="34"/>
      <c r="K15" s="35" t="str">
        <f t="shared" si="2"/>
        <v/>
      </c>
      <c r="L15" s="36" t="str">
        <f t="shared" si="3"/>
        <v/>
      </c>
      <c r="M15" s="37"/>
      <c r="N15" s="33"/>
      <c r="O15" s="34"/>
      <c r="P15" s="35" t="str">
        <f t="shared" si="4"/>
        <v/>
      </c>
      <c r="Q15" s="36" t="str">
        <f t="shared" si="5"/>
        <v/>
      </c>
      <c r="R15" s="37"/>
      <c r="S15" s="33"/>
      <c r="T15" s="34"/>
      <c r="U15" s="35" t="str">
        <f t="shared" si="6"/>
        <v/>
      </c>
      <c r="V15" s="36" t="str">
        <f t="shared" si="7"/>
        <v/>
      </c>
      <c r="W15" s="37"/>
      <c r="X15" s="33"/>
      <c r="Y15" s="34"/>
      <c r="Z15" s="35" t="str">
        <f t="shared" si="8"/>
        <v/>
      </c>
      <c r="AA15" s="36" t="str">
        <f t="shared" si="9"/>
        <v/>
      </c>
      <c r="AB15" s="37"/>
      <c r="AC15" s="33"/>
      <c r="AD15" s="34"/>
      <c r="AE15" s="35" t="str">
        <f t="shared" si="10"/>
        <v/>
      </c>
      <c r="AF15" s="36" t="str">
        <f t="shared" si="11"/>
        <v/>
      </c>
      <c r="AG15" s="37"/>
      <c r="AH15" s="33"/>
      <c r="AI15" s="34"/>
      <c r="AJ15" s="35" t="str">
        <f t="shared" si="12"/>
        <v/>
      </c>
      <c r="AK15" s="36" t="str">
        <f t="shared" si="13"/>
        <v/>
      </c>
      <c r="AL15" s="37"/>
      <c r="AM15" s="33"/>
      <c r="AN15" s="34"/>
      <c r="AO15" s="35" t="str">
        <f t="shared" si="14"/>
        <v/>
      </c>
      <c r="AP15" s="36" t="str">
        <f t="shared" si="15"/>
        <v/>
      </c>
      <c r="AQ15" s="37"/>
      <c r="AR15" s="33"/>
      <c r="AS15" s="34"/>
      <c r="AT15" s="35" t="str">
        <f t="shared" si="16"/>
        <v/>
      </c>
      <c r="AU15" s="36" t="str">
        <f t="shared" si="17"/>
        <v/>
      </c>
      <c r="AV15" s="37"/>
      <c r="AW15" s="33"/>
      <c r="AX15" s="34"/>
      <c r="AY15" s="35" t="str">
        <f t="shared" si="18"/>
        <v/>
      </c>
      <c r="AZ15" s="36" t="str">
        <f t="shared" si="19"/>
        <v/>
      </c>
      <c r="BA15" s="37"/>
      <c r="BB15" s="33"/>
      <c r="BC15" s="34"/>
      <c r="BD15" s="35" t="str">
        <f t="shared" si="20"/>
        <v/>
      </c>
      <c r="BE15" s="36" t="str">
        <f t="shared" si="21"/>
        <v/>
      </c>
      <c r="BF15" s="37"/>
      <c r="BG15" s="33"/>
      <c r="BH15" s="34"/>
      <c r="BI15" s="35" t="str">
        <f t="shared" si="22"/>
        <v/>
      </c>
      <c r="BJ15" s="36" t="str">
        <f t="shared" si="23"/>
        <v/>
      </c>
      <c r="BK15" s="37"/>
      <c r="BL15" s="33"/>
      <c r="BM15" s="34"/>
      <c r="BN15" s="35" t="str">
        <f t="shared" si="24"/>
        <v/>
      </c>
      <c r="BO15" s="36" t="str">
        <f t="shared" si="25"/>
        <v/>
      </c>
      <c r="BP15" s="37"/>
      <c r="BQ15" s="33"/>
      <c r="BR15" s="34"/>
      <c r="BS15" s="35" t="str">
        <f t="shared" si="26"/>
        <v/>
      </c>
      <c r="BT15" s="36" t="str">
        <f t="shared" si="27"/>
        <v/>
      </c>
      <c r="BU15" s="37"/>
      <c r="BV15" s="33"/>
      <c r="BW15" s="34"/>
      <c r="BX15" s="35" t="str">
        <f t="shared" si="28"/>
        <v/>
      </c>
      <c r="BY15" s="36" t="str">
        <f t="shared" si="29"/>
        <v/>
      </c>
      <c r="BZ15" s="37"/>
      <c r="CA15" s="33"/>
      <c r="CB15" s="34"/>
      <c r="CC15" s="35" t="str">
        <f t="shared" si="30"/>
        <v/>
      </c>
      <c r="CD15" s="36" t="str">
        <f t="shared" si="31"/>
        <v/>
      </c>
      <c r="CE15" s="37"/>
      <c r="CF15" s="33"/>
      <c r="CG15" s="34"/>
      <c r="CH15" s="35" t="str">
        <f t="shared" si="32"/>
        <v/>
      </c>
      <c r="CI15" s="36" t="str">
        <f t="shared" si="33"/>
        <v/>
      </c>
      <c r="CJ15" s="37"/>
      <c r="CK15" s="33"/>
      <c r="CL15" s="34"/>
      <c r="CM15" s="35" t="str">
        <f t="shared" si="34"/>
        <v/>
      </c>
      <c r="CN15" s="36" t="str">
        <f t="shared" si="35"/>
        <v/>
      </c>
      <c r="CO15" s="37"/>
      <c r="CP15" s="33"/>
      <c r="CQ15" s="34"/>
      <c r="CR15" s="35" t="str">
        <f t="shared" si="36"/>
        <v/>
      </c>
      <c r="CS15" s="36" t="str">
        <f t="shared" si="37"/>
        <v/>
      </c>
      <c r="CT15" s="37"/>
      <c r="CU15" s="33"/>
      <c r="CV15" s="34"/>
      <c r="CW15" s="35" t="str">
        <f t="shared" si="38"/>
        <v/>
      </c>
      <c r="CX15" s="36" t="str">
        <f t="shared" si="39"/>
        <v/>
      </c>
      <c r="CY15" s="37"/>
      <c r="CZ15" s="33"/>
      <c r="DA15" s="34"/>
      <c r="DB15" s="35" t="str">
        <f t="shared" si="40"/>
        <v/>
      </c>
      <c r="DC15" s="36" t="str">
        <f t="shared" si="41"/>
        <v/>
      </c>
      <c r="DD15" s="37"/>
      <c r="DE15" s="33"/>
      <c r="DF15" s="34"/>
      <c r="DG15" s="35" t="str">
        <f t="shared" si="42"/>
        <v/>
      </c>
      <c r="DH15" s="36" t="str">
        <f t="shared" si="43"/>
        <v/>
      </c>
      <c r="DI15" s="37"/>
      <c r="DJ15" s="33"/>
      <c r="DK15" s="34"/>
      <c r="DL15" s="35" t="str">
        <f t="shared" si="44"/>
        <v/>
      </c>
      <c r="DM15" s="36" t="str">
        <f t="shared" si="45"/>
        <v/>
      </c>
      <c r="DN15" s="37"/>
      <c r="DO15" s="33"/>
      <c r="DP15" s="34"/>
      <c r="DQ15" s="35" t="str">
        <f t="shared" si="46"/>
        <v/>
      </c>
      <c r="DR15" s="36" t="str">
        <f t="shared" si="47"/>
        <v/>
      </c>
      <c r="DS15" s="37"/>
      <c r="DT15" s="33"/>
      <c r="DU15" s="34"/>
      <c r="DV15" s="35" t="str">
        <f t="shared" si="48"/>
        <v/>
      </c>
      <c r="DW15" s="36" t="str">
        <f t="shared" si="49"/>
        <v/>
      </c>
      <c r="DX15" s="37"/>
      <c r="DY15" s="33"/>
      <c r="DZ15" s="34"/>
      <c r="EA15" s="35" t="str">
        <f t="shared" si="50"/>
        <v/>
      </c>
      <c r="EB15" s="36" t="str">
        <f t="shared" si="51"/>
        <v/>
      </c>
      <c r="EC15" s="37"/>
      <c r="ED15" s="33"/>
      <c r="EE15" s="34"/>
      <c r="EF15" s="35" t="str">
        <f t="shared" si="52"/>
        <v/>
      </c>
      <c r="EG15" s="36" t="str">
        <f t="shared" si="53"/>
        <v/>
      </c>
      <c r="EH15" s="37"/>
      <c r="EI15" s="33"/>
      <c r="EJ15" s="34"/>
      <c r="EK15" s="35" t="str">
        <f t="shared" si="54"/>
        <v/>
      </c>
      <c r="EL15" s="36" t="str">
        <f t="shared" si="55"/>
        <v/>
      </c>
      <c r="EM15" s="37"/>
      <c r="EN15" s="33"/>
      <c r="EO15" s="34"/>
      <c r="EP15" s="35" t="str">
        <f t="shared" si="56"/>
        <v/>
      </c>
      <c r="EQ15" s="36" t="str">
        <f t="shared" si="57"/>
        <v/>
      </c>
      <c r="ER15" s="37"/>
      <c r="ES15" s="33"/>
      <c r="ET15" s="34"/>
      <c r="EU15" s="35" t="str">
        <f t="shared" si="58"/>
        <v/>
      </c>
      <c r="EV15" s="36" t="str">
        <f t="shared" si="59"/>
        <v/>
      </c>
      <c r="EW15" s="37"/>
    </row>
    <row r="16" spans="1:153" ht="19.5" customHeight="1">
      <c r="A16" s="32">
        <f>IF(DAY(DATE(対象年度,10,13))&lt;&gt;13,"",13)</f>
        <v>13</v>
      </c>
      <c r="B16" s="32" t="str">
        <f>IF(DAY(DATE(対象年度,10,13))&lt;&gt;13,"",CHOOSE(WEEKDAY(DATE(対象年度,10,13),2),"月","火","水","木","金","土","日"))</f>
        <v>火</v>
      </c>
      <c r="C16" s="32" t="str">
        <f>IF(DAY(DATE(対象年度,10,13))&lt;&gt;13,"",IF(ISNUMBER(MATCH(DATE(対象年度,10,13),祝日リスト,0)),"祝",""))</f>
        <v/>
      </c>
      <c r="D16" s="33"/>
      <c r="E16" s="34"/>
      <c r="F16" s="35" t="str">
        <f t="shared" si="0"/>
        <v/>
      </c>
      <c r="G16" s="36" t="str">
        <f t="shared" si="1"/>
        <v/>
      </c>
      <c r="H16" s="37"/>
      <c r="I16" s="33"/>
      <c r="J16" s="34"/>
      <c r="K16" s="35" t="str">
        <f t="shared" si="2"/>
        <v/>
      </c>
      <c r="L16" s="36" t="str">
        <f t="shared" si="3"/>
        <v/>
      </c>
      <c r="M16" s="37"/>
      <c r="N16" s="33"/>
      <c r="O16" s="34"/>
      <c r="P16" s="35" t="str">
        <f t="shared" si="4"/>
        <v/>
      </c>
      <c r="Q16" s="36" t="str">
        <f t="shared" si="5"/>
        <v/>
      </c>
      <c r="R16" s="37"/>
      <c r="S16" s="33"/>
      <c r="T16" s="34"/>
      <c r="U16" s="35" t="str">
        <f t="shared" si="6"/>
        <v/>
      </c>
      <c r="V16" s="36" t="str">
        <f t="shared" si="7"/>
        <v/>
      </c>
      <c r="W16" s="37"/>
      <c r="X16" s="33"/>
      <c r="Y16" s="34"/>
      <c r="Z16" s="35" t="str">
        <f t="shared" si="8"/>
        <v/>
      </c>
      <c r="AA16" s="36" t="str">
        <f t="shared" si="9"/>
        <v/>
      </c>
      <c r="AB16" s="37"/>
      <c r="AC16" s="33"/>
      <c r="AD16" s="34"/>
      <c r="AE16" s="35" t="str">
        <f t="shared" si="10"/>
        <v/>
      </c>
      <c r="AF16" s="36" t="str">
        <f t="shared" si="11"/>
        <v/>
      </c>
      <c r="AG16" s="37"/>
      <c r="AH16" s="33"/>
      <c r="AI16" s="34"/>
      <c r="AJ16" s="35" t="str">
        <f t="shared" si="12"/>
        <v/>
      </c>
      <c r="AK16" s="36" t="str">
        <f t="shared" si="13"/>
        <v/>
      </c>
      <c r="AL16" s="37"/>
      <c r="AM16" s="33"/>
      <c r="AN16" s="34"/>
      <c r="AO16" s="35" t="str">
        <f t="shared" si="14"/>
        <v/>
      </c>
      <c r="AP16" s="36" t="str">
        <f t="shared" si="15"/>
        <v/>
      </c>
      <c r="AQ16" s="37"/>
      <c r="AR16" s="33"/>
      <c r="AS16" s="34"/>
      <c r="AT16" s="35" t="str">
        <f t="shared" si="16"/>
        <v/>
      </c>
      <c r="AU16" s="36" t="str">
        <f t="shared" si="17"/>
        <v/>
      </c>
      <c r="AV16" s="37"/>
      <c r="AW16" s="33"/>
      <c r="AX16" s="34"/>
      <c r="AY16" s="35" t="str">
        <f t="shared" si="18"/>
        <v/>
      </c>
      <c r="AZ16" s="36" t="str">
        <f t="shared" si="19"/>
        <v/>
      </c>
      <c r="BA16" s="37"/>
      <c r="BB16" s="33"/>
      <c r="BC16" s="34"/>
      <c r="BD16" s="35" t="str">
        <f t="shared" si="20"/>
        <v/>
      </c>
      <c r="BE16" s="36" t="str">
        <f t="shared" si="21"/>
        <v/>
      </c>
      <c r="BF16" s="37"/>
      <c r="BG16" s="33"/>
      <c r="BH16" s="34"/>
      <c r="BI16" s="35" t="str">
        <f t="shared" si="22"/>
        <v/>
      </c>
      <c r="BJ16" s="36" t="str">
        <f t="shared" si="23"/>
        <v/>
      </c>
      <c r="BK16" s="37"/>
      <c r="BL16" s="33"/>
      <c r="BM16" s="34"/>
      <c r="BN16" s="35" t="str">
        <f t="shared" si="24"/>
        <v/>
      </c>
      <c r="BO16" s="36" t="str">
        <f t="shared" si="25"/>
        <v/>
      </c>
      <c r="BP16" s="37"/>
      <c r="BQ16" s="33"/>
      <c r="BR16" s="34"/>
      <c r="BS16" s="35" t="str">
        <f t="shared" si="26"/>
        <v/>
      </c>
      <c r="BT16" s="36" t="str">
        <f t="shared" si="27"/>
        <v/>
      </c>
      <c r="BU16" s="37"/>
      <c r="BV16" s="33"/>
      <c r="BW16" s="34"/>
      <c r="BX16" s="35" t="str">
        <f t="shared" si="28"/>
        <v/>
      </c>
      <c r="BY16" s="36" t="str">
        <f t="shared" si="29"/>
        <v/>
      </c>
      <c r="BZ16" s="37"/>
      <c r="CA16" s="33"/>
      <c r="CB16" s="34"/>
      <c r="CC16" s="35" t="str">
        <f t="shared" si="30"/>
        <v/>
      </c>
      <c r="CD16" s="36" t="str">
        <f t="shared" si="31"/>
        <v/>
      </c>
      <c r="CE16" s="37"/>
      <c r="CF16" s="33"/>
      <c r="CG16" s="34"/>
      <c r="CH16" s="35" t="str">
        <f t="shared" si="32"/>
        <v/>
      </c>
      <c r="CI16" s="36" t="str">
        <f t="shared" si="33"/>
        <v/>
      </c>
      <c r="CJ16" s="37"/>
      <c r="CK16" s="33"/>
      <c r="CL16" s="34"/>
      <c r="CM16" s="35" t="str">
        <f t="shared" si="34"/>
        <v/>
      </c>
      <c r="CN16" s="36" t="str">
        <f t="shared" si="35"/>
        <v/>
      </c>
      <c r="CO16" s="37"/>
      <c r="CP16" s="33"/>
      <c r="CQ16" s="34"/>
      <c r="CR16" s="35" t="str">
        <f t="shared" si="36"/>
        <v/>
      </c>
      <c r="CS16" s="36" t="str">
        <f t="shared" si="37"/>
        <v/>
      </c>
      <c r="CT16" s="37"/>
      <c r="CU16" s="33"/>
      <c r="CV16" s="34"/>
      <c r="CW16" s="35" t="str">
        <f t="shared" si="38"/>
        <v/>
      </c>
      <c r="CX16" s="36" t="str">
        <f t="shared" si="39"/>
        <v/>
      </c>
      <c r="CY16" s="37"/>
      <c r="CZ16" s="33"/>
      <c r="DA16" s="34"/>
      <c r="DB16" s="35" t="str">
        <f t="shared" si="40"/>
        <v/>
      </c>
      <c r="DC16" s="36" t="str">
        <f t="shared" si="41"/>
        <v/>
      </c>
      <c r="DD16" s="37"/>
      <c r="DE16" s="33"/>
      <c r="DF16" s="34"/>
      <c r="DG16" s="35" t="str">
        <f t="shared" si="42"/>
        <v/>
      </c>
      <c r="DH16" s="36" t="str">
        <f t="shared" si="43"/>
        <v/>
      </c>
      <c r="DI16" s="37"/>
      <c r="DJ16" s="33"/>
      <c r="DK16" s="34"/>
      <c r="DL16" s="35" t="str">
        <f t="shared" si="44"/>
        <v/>
      </c>
      <c r="DM16" s="36" t="str">
        <f t="shared" si="45"/>
        <v/>
      </c>
      <c r="DN16" s="37"/>
      <c r="DO16" s="33"/>
      <c r="DP16" s="34"/>
      <c r="DQ16" s="35" t="str">
        <f t="shared" si="46"/>
        <v/>
      </c>
      <c r="DR16" s="36" t="str">
        <f t="shared" si="47"/>
        <v/>
      </c>
      <c r="DS16" s="37"/>
      <c r="DT16" s="33"/>
      <c r="DU16" s="34"/>
      <c r="DV16" s="35" t="str">
        <f t="shared" si="48"/>
        <v/>
      </c>
      <c r="DW16" s="36" t="str">
        <f t="shared" si="49"/>
        <v/>
      </c>
      <c r="DX16" s="37"/>
      <c r="DY16" s="33"/>
      <c r="DZ16" s="34"/>
      <c r="EA16" s="35" t="str">
        <f t="shared" si="50"/>
        <v/>
      </c>
      <c r="EB16" s="36" t="str">
        <f t="shared" si="51"/>
        <v/>
      </c>
      <c r="EC16" s="37"/>
      <c r="ED16" s="33"/>
      <c r="EE16" s="34"/>
      <c r="EF16" s="35" t="str">
        <f t="shared" si="52"/>
        <v/>
      </c>
      <c r="EG16" s="36" t="str">
        <f t="shared" si="53"/>
        <v/>
      </c>
      <c r="EH16" s="37"/>
      <c r="EI16" s="33"/>
      <c r="EJ16" s="34"/>
      <c r="EK16" s="35" t="str">
        <f t="shared" si="54"/>
        <v/>
      </c>
      <c r="EL16" s="36" t="str">
        <f t="shared" si="55"/>
        <v/>
      </c>
      <c r="EM16" s="37"/>
      <c r="EN16" s="33"/>
      <c r="EO16" s="34"/>
      <c r="EP16" s="35" t="str">
        <f t="shared" si="56"/>
        <v/>
      </c>
      <c r="EQ16" s="36" t="str">
        <f t="shared" si="57"/>
        <v/>
      </c>
      <c r="ER16" s="37"/>
      <c r="ES16" s="33"/>
      <c r="ET16" s="34"/>
      <c r="EU16" s="35" t="str">
        <f t="shared" si="58"/>
        <v/>
      </c>
      <c r="EV16" s="36" t="str">
        <f t="shared" si="59"/>
        <v/>
      </c>
      <c r="EW16" s="37"/>
    </row>
    <row r="17" spans="1:153" ht="19.5" customHeight="1">
      <c r="A17" s="32">
        <f>IF(DAY(DATE(対象年度,10,14))&lt;&gt;14,"",14)</f>
        <v>14</v>
      </c>
      <c r="B17" s="32" t="str">
        <f>IF(DAY(DATE(対象年度,10,14))&lt;&gt;14,"",CHOOSE(WEEKDAY(DATE(対象年度,10,14),2),"月","火","水","木","金","土","日"))</f>
        <v>水</v>
      </c>
      <c r="C17" s="32" t="str">
        <f>IF(DAY(DATE(対象年度,10,14))&lt;&gt;14,"",IF(ISNUMBER(MATCH(DATE(対象年度,10,14),祝日リスト,0)),"祝",""))</f>
        <v/>
      </c>
      <c r="D17" s="33"/>
      <c r="E17" s="34"/>
      <c r="F17" s="35" t="str">
        <f t="shared" si="0"/>
        <v/>
      </c>
      <c r="G17" s="36" t="str">
        <f t="shared" si="1"/>
        <v/>
      </c>
      <c r="H17" s="37"/>
      <c r="I17" s="33"/>
      <c r="J17" s="34"/>
      <c r="K17" s="35" t="str">
        <f t="shared" si="2"/>
        <v/>
      </c>
      <c r="L17" s="36" t="str">
        <f t="shared" si="3"/>
        <v/>
      </c>
      <c r="M17" s="37"/>
      <c r="N17" s="33"/>
      <c r="O17" s="34"/>
      <c r="P17" s="35" t="str">
        <f t="shared" si="4"/>
        <v/>
      </c>
      <c r="Q17" s="36" t="str">
        <f t="shared" si="5"/>
        <v/>
      </c>
      <c r="R17" s="37"/>
      <c r="S17" s="33"/>
      <c r="T17" s="34"/>
      <c r="U17" s="35" t="str">
        <f t="shared" si="6"/>
        <v/>
      </c>
      <c r="V17" s="36" t="str">
        <f t="shared" si="7"/>
        <v/>
      </c>
      <c r="W17" s="37"/>
      <c r="X17" s="33"/>
      <c r="Y17" s="34"/>
      <c r="Z17" s="35" t="str">
        <f t="shared" si="8"/>
        <v/>
      </c>
      <c r="AA17" s="36" t="str">
        <f t="shared" si="9"/>
        <v/>
      </c>
      <c r="AB17" s="37"/>
      <c r="AC17" s="33"/>
      <c r="AD17" s="34"/>
      <c r="AE17" s="35" t="str">
        <f t="shared" si="10"/>
        <v/>
      </c>
      <c r="AF17" s="36" t="str">
        <f t="shared" si="11"/>
        <v/>
      </c>
      <c r="AG17" s="37"/>
      <c r="AH17" s="33"/>
      <c r="AI17" s="34"/>
      <c r="AJ17" s="35" t="str">
        <f t="shared" si="12"/>
        <v/>
      </c>
      <c r="AK17" s="36" t="str">
        <f t="shared" si="13"/>
        <v/>
      </c>
      <c r="AL17" s="37"/>
      <c r="AM17" s="33"/>
      <c r="AN17" s="34"/>
      <c r="AO17" s="35" t="str">
        <f t="shared" si="14"/>
        <v/>
      </c>
      <c r="AP17" s="36" t="str">
        <f t="shared" si="15"/>
        <v/>
      </c>
      <c r="AQ17" s="37"/>
      <c r="AR17" s="33"/>
      <c r="AS17" s="34"/>
      <c r="AT17" s="35" t="str">
        <f t="shared" si="16"/>
        <v/>
      </c>
      <c r="AU17" s="36" t="str">
        <f t="shared" si="17"/>
        <v/>
      </c>
      <c r="AV17" s="37"/>
      <c r="AW17" s="33"/>
      <c r="AX17" s="34"/>
      <c r="AY17" s="35" t="str">
        <f t="shared" si="18"/>
        <v/>
      </c>
      <c r="AZ17" s="36" t="str">
        <f t="shared" si="19"/>
        <v/>
      </c>
      <c r="BA17" s="37"/>
      <c r="BB17" s="33"/>
      <c r="BC17" s="34"/>
      <c r="BD17" s="35" t="str">
        <f t="shared" si="20"/>
        <v/>
      </c>
      <c r="BE17" s="36" t="str">
        <f t="shared" si="21"/>
        <v/>
      </c>
      <c r="BF17" s="37"/>
      <c r="BG17" s="33"/>
      <c r="BH17" s="34"/>
      <c r="BI17" s="35" t="str">
        <f t="shared" si="22"/>
        <v/>
      </c>
      <c r="BJ17" s="36" t="str">
        <f t="shared" si="23"/>
        <v/>
      </c>
      <c r="BK17" s="37"/>
      <c r="BL17" s="33"/>
      <c r="BM17" s="34"/>
      <c r="BN17" s="35" t="str">
        <f t="shared" si="24"/>
        <v/>
      </c>
      <c r="BO17" s="36" t="str">
        <f t="shared" si="25"/>
        <v/>
      </c>
      <c r="BP17" s="37"/>
      <c r="BQ17" s="33"/>
      <c r="BR17" s="34"/>
      <c r="BS17" s="35" t="str">
        <f t="shared" si="26"/>
        <v/>
      </c>
      <c r="BT17" s="36" t="str">
        <f t="shared" si="27"/>
        <v/>
      </c>
      <c r="BU17" s="37"/>
      <c r="BV17" s="33"/>
      <c r="BW17" s="34"/>
      <c r="BX17" s="35" t="str">
        <f t="shared" si="28"/>
        <v/>
      </c>
      <c r="BY17" s="36" t="str">
        <f t="shared" si="29"/>
        <v/>
      </c>
      <c r="BZ17" s="37"/>
      <c r="CA17" s="33"/>
      <c r="CB17" s="34"/>
      <c r="CC17" s="35" t="str">
        <f t="shared" si="30"/>
        <v/>
      </c>
      <c r="CD17" s="36" t="str">
        <f t="shared" si="31"/>
        <v/>
      </c>
      <c r="CE17" s="37"/>
      <c r="CF17" s="33"/>
      <c r="CG17" s="34"/>
      <c r="CH17" s="35" t="str">
        <f t="shared" si="32"/>
        <v/>
      </c>
      <c r="CI17" s="36" t="str">
        <f t="shared" si="33"/>
        <v/>
      </c>
      <c r="CJ17" s="37"/>
      <c r="CK17" s="33"/>
      <c r="CL17" s="34"/>
      <c r="CM17" s="35" t="str">
        <f t="shared" si="34"/>
        <v/>
      </c>
      <c r="CN17" s="36" t="str">
        <f t="shared" si="35"/>
        <v/>
      </c>
      <c r="CO17" s="37"/>
      <c r="CP17" s="33"/>
      <c r="CQ17" s="34"/>
      <c r="CR17" s="35" t="str">
        <f t="shared" si="36"/>
        <v/>
      </c>
      <c r="CS17" s="36" t="str">
        <f t="shared" si="37"/>
        <v/>
      </c>
      <c r="CT17" s="37"/>
      <c r="CU17" s="33"/>
      <c r="CV17" s="34"/>
      <c r="CW17" s="35" t="str">
        <f t="shared" si="38"/>
        <v/>
      </c>
      <c r="CX17" s="36" t="str">
        <f t="shared" si="39"/>
        <v/>
      </c>
      <c r="CY17" s="37"/>
      <c r="CZ17" s="33"/>
      <c r="DA17" s="34"/>
      <c r="DB17" s="35" t="str">
        <f t="shared" si="40"/>
        <v/>
      </c>
      <c r="DC17" s="36" t="str">
        <f t="shared" si="41"/>
        <v/>
      </c>
      <c r="DD17" s="37"/>
      <c r="DE17" s="33"/>
      <c r="DF17" s="34"/>
      <c r="DG17" s="35" t="str">
        <f t="shared" si="42"/>
        <v/>
      </c>
      <c r="DH17" s="36" t="str">
        <f t="shared" si="43"/>
        <v/>
      </c>
      <c r="DI17" s="37"/>
      <c r="DJ17" s="33"/>
      <c r="DK17" s="34"/>
      <c r="DL17" s="35" t="str">
        <f t="shared" si="44"/>
        <v/>
      </c>
      <c r="DM17" s="36" t="str">
        <f t="shared" si="45"/>
        <v/>
      </c>
      <c r="DN17" s="37"/>
      <c r="DO17" s="33"/>
      <c r="DP17" s="34"/>
      <c r="DQ17" s="35" t="str">
        <f t="shared" si="46"/>
        <v/>
      </c>
      <c r="DR17" s="36" t="str">
        <f t="shared" si="47"/>
        <v/>
      </c>
      <c r="DS17" s="37"/>
      <c r="DT17" s="33"/>
      <c r="DU17" s="34"/>
      <c r="DV17" s="35" t="str">
        <f t="shared" si="48"/>
        <v/>
      </c>
      <c r="DW17" s="36" t="str">
        <f t="shared" si="49"/>
        <v/>
      </c>
      <c r="DX17" s="37"/>
      <c r="DY17" s="33"/>
      <c r="DZ17" s="34"/>
      <c r="EA17" s="35" t="str">
        <f t="shared" si="50"/>
        <v/>
      </c>
      <c r="EB17" s="36" t="str">
        <f t="shared" si="51"/>
        <v/>
      </c>
      <c r="EC17" s="37"/>
      <c r="ED17" s="33"/>
      <c r="EE17" s="34"/>
      <c r="EF17" s="35" t="str">
        <f t="shared" si="52"/>
        <v/>
      </c>
      <c r="EG17" s="36" t="str">
        <f t="shared" si="53"/>
        <v/>
      </c>
      <c r="EH17" s="37"/>
      <c r="EI17" s="33"/>
      <c r="EJ17" s="34"/>
      <c r="EK17" s="35" t="str">
        <f t="shared" si="54"/>
        <v/>
      </c>
      <c r="EL17" s="36" t="str">
        <f t="shared" si="55"/>
        <v/>
      </c>
      <c r="EM17" s="37"/>
      <c r="EN17" s="33"/>
      <c r="EO17" s="34"/>
      <c r="EP17" s="35" t="str">
        <f t="shared" si="56"/>
        <v/>
      </c>
      <c r="EQ17" s="36" t="str">
        <f t="shared" si="57"/>
        <v/>
      </c>
      <c r="ER17" s="37"/>
      <c r="ES17" s="33"/>
      <c r="ET17" s="34"/>
      <c r="EU17" s="35" t="str">
        <f t="shared" si="58"/>
        <v/>
      </c>
      <c r="EV17" s="36" t="str">
        <f t="shared" si="59"/>
        <v/>
      </c>
      <c r="EW17" s="37"/>
    </row>
    <row r="18" spans="1:153" ht="19.5" customHeight="1">
      <c r="A18" s="32">
        <f>IF(DAY(DATE(対象年度,10,15))&lt;&gt;15,"",15)</f>
        <v>15</v>
      </c>
      <c r="B18" s="32" t="str">
        <f>IF(DAY(DATE(対象年度,10,15))&lt;&gt;15,"",CHOOSE(WEEKDAY(DATE(対象年度,10,15),2),"月","火","水","木","金","土","日"))</f>
        <v>木</v>
      </c>
      <c r="C18" s="32" t="str">
        <f>IF(DAY(DATE(対象年度,10,15))&lt;&gt;15,"",IF(ISNUMBER(MATCH(DATE(対象年度,10,15),祝日リスト,0)),"祝",""))</f>
        <v/>
      </c>
      <c r="D18" s="33"/>
      <c r="E18" s="34"/>
      <c r="F18" s="35" t="str">
        <f t="shared" si="0"/>
        <v/>
      </c>
      <c r="G18" s="36" t="str">
        <f t="shared" si="1"/>
        <v/>
      </c>
      <c r="H18" s="37"/>
      <c r="I18" s="33"/>
      <c r="J18" s="34"/>
      <c r="K18" s="35" t="str">
        <f t="shared" si="2"/>
        <v/>
      </c>
      <c r="L18" s="36" t="str">
        <f t="shared" si="3"/>
        <v/>
      </c>
      <c r="M18" s="37"/>
      <c r="N18" s="33"/>
      <c r="O18" s="34"/>
      <c r="P18" s="35" t="str">
        <f t="shared" si="4"/>
        <v/>
      </c>
      <c r="Q18" s="36" t="str">
        <f t="shared" si="5"/>
        <v/>
      </c>
      <c r="R18" s="37"/>
      <c r="S18" s="33"/>
      <c r="T18" s="34"/>
      <c r="U18" s="35" t="str">
        <f t="shared" si="6"/>
        <v/>
      </c>
      <c r="V18" s="36" t="str">
        <f t="shared" si="7"/>
        <v/>
      </c>
      <c r="W18" s="37"/>
      <c r="X18" s="33"/>
      <c r="Y18" s="34"/>
      <c r="Z18" s="35" t="str">
        <f t="shared" si="8"/>
        <v/>
      </c>
      <c r="AA18" s="36" t="str">
        <f t="shared" si="9"/>
        <v/>
      </c>
      <c r="AB18" s="37"/>
      <c r="AC18" s="33"/>
      <c r="AD18" s="34"/>
      <c r="AE18" s="35" t="str">
        <f t="shared" si="10"/>
        <v/>
      </c>
      <c r="AF18" s="36" t="str">
        <f t="shared" si="11"/>
        <v/>
      </c>
      <c r="AG18" s="37"/>
      <c r="AH18" s="33"/>
      <c r="AI18" s="34"/>
      <c r="AJ18" s="35" t="str">
        <f t="shared" si="12"/>
        <v/>
      </c>
      <c r="AK18" s="36" t="str">
        <f t="shared" si="13"/>
        <v/>
      </c>
      <c r="AL18" s="37"/>
      <c r="AM18" s="33"/>
      <c r="AN18" s="34"/>
      <c r="AO18" s="35" t="str">
        <f t="shared" si="14"/>
        <v/>
      </c>
      <c r="AP18" s="36" t="str">
        <f t="shared" si="15"/>
        <v/>
      </c>
      <c r="AQ18" s="37"/>
      <c r="AR18" s="33"/>
      <c r="AS18" s="34"/>
      <c r="AT18" s="35" t="str">
        <f t="shared" si="16"/>
        <v/>
      </c>
      <c r="AU18" s="36" t="str">
        <f t="shared" si="17"/>
        <v/>
      </c>
      <c r="AV18" s="37"/>
      <c r="AW18" s="33"/>
      <c r="AX18" s="34"/>
      <c r="AY18" s="35" t="str">
        <f t="shared" si="18"/>
        <v/>
      </c>
      <c r="AZ18" s="36" t="str">
        <f t="shared" si="19"/>
        <v/>
      </c>
      <c r="BA18" s="37"/>
      <c r="BB18" s="33"/>
      <c r="BC18" s="34"/>
      <c r="BD18" s="35" t="str">
        <f t="shared" si="20"/>
        <v/>
      </c>
      <c r="BE18" s="36" t="str">
        <f t="shared" si="21"/>
        <v/>
      </c>
      <c r="BF18" s="37"/>
      <c r="BG18" s="33"/>
      <c r="BH18" s="34"/>
      <c r="BI18" s="35" t="str">
        <f t="shared" si="22"/>
        <v/>
      </c>
      <c r="BJ18" s="36" t="str">
        <f t="shared" si="23"/>
        <v/>
      </c>
      <c r="BK18" s="37"/>
      <c r="BL18" s="33"/>
      <c r="BM18" s="34"/>
      <c r="BN18" s="35" t="str">
        <f t="shared" si="24"/>
        <v/>
      </c>
      <c r="BO18" s="36" t="str">
        <f t="shared" si="25"/>
        <v/>
      </c>
      <c r="BP18" s="37"/>
      <c r="BQ18" s="33"/>
      <c r="BR18" s="34"/>
      <c r="BS18" s="35" t="str">
        <f t="shared" si="26"/>
        <v/>
      </c>
      <c r="BT18" s="36" t="str">
        <f t="shared" si="27"/>
        <v/>
      </c>
      <c r="BU18" s="37"/>
      <c r="BV18" s="33"/>
      <c r="BW18" s="34"/>
      <c r="BX18" s="35" t="str">
        <f t="shared" si="28"/>
        <v/>
      </c>
      <c r="BY18" s="36" t="str">
        <f t="shared" si="29"/>
        <v/>
      </c>
      <c r="BZ18" s="37"/>
      <c r="CA18" s="33"/>
      <c r="CB18" s="34"/>
      <c r="CC18" s="35" t="str">
        <f t="shared" si="30"/>
        <v/>
      </c>
      <c r="CD18" s="36" t="str">
        <f t="shared" si="31"/>
        <v/>
      </c>
      <c r="CE18" s="37"/>
      <c r="CF18" s="33"/>
      <c r="CG18" s="34"/>
      <c r="CH18" s="35" t="str">
        <f t="shared" si="32"/>
        <v/>
      </c>
      <c r="CI18" s="36" t="str">
        <f t="shared" si="33"/>
        <v/>
      </c>
      <c r="CJ18" s="37"/>
      <c r="CK18" s="33"/>
      <c r="CL18" s="34"/>
      <c r="CM18" s="35" t="str">
        <f t="shared" si="34"/>
        <v/>
      </c>
      <c r="CN18" s="36" t="str">
        <f t="shared" si="35"/>
        <v/>
      </c>
      <c r="CO18" s="37"/>
      <c r="CP18" s="33"/>
      <c r="CQ18" s="34"/>
      <c r="CR18" s="35" t="str">
        <f t="shared" si="36"/>
        <v/>
      </c>
      <c r="CS18" s="36" t="str">
        <f t="shared" si="37"/>
        <v/>
      </c>
      <c r="CT18" s="37"/>
      <c r="CU18" s="33"/>
      <c r="CV18" s="34"/>
      <c r="CW18" s="35" t="str">
        <f t="shared" si="38"/>
        <v/>
      </c>
      <c r="CX18" s="36" t="str">
        <f t="shared" si="39"/>
        <v/>
      </c>
      <c r="CY18" s="37"/>
      <c r="CZ18" s="33"/>
      <c r="DA18" s="34"/>
      <c r="DB18" s="35" t="str">
        <f t="shared" si="40"/>
        <v/>
      </c>
      <c r="DC18" s="36" t="str">
        <f t="shared" si="41"/>
        <v/>
      </c>
      <c r="DD18" s="37"/>
      <c r="DE18" s="33"/>
      <c r="DF18" s="34"/>
      <c r="DG18" s="35" t="str">
        <f t="shared" si="42"/>
        <v/>
      </c>
      <c r="DH18" s="36" t="str">
        <f t="shared" si="43"/>
        <v/>
      </c>
      <c r="DI18" s="37"/>
      <c r="DJ18" s="33"/>
      <c r="DK18" s="34"/>
      <c r="DL18" s="35" t="str">
        <f t="shared" si="44"/>
        <v/>
      </c>
      <c r="DM18" s="36" t="str">
        <f t="shared" si="45"/>
        <v/>
      </c>
      <c r="DN18" s="37"/>
      <c r="DO18" s="33"/>
      <c r="DP18" s="34"/>
      <c r="DQ18" s="35" t="str">
        <f t="shared" si="46"/>
        <v/>
      </c>
      <c r="DR18" s="36" t="str">
        <f t="shared" si="47"/>
        <v/>
      </c>
      <c r="DS18" s="37"/>
      <c r="DT18" s="33"/>
      <c r="DU18" s="34"/>
      <c r="DV18" s="35" t="str">
        <f t="shared" si="48"/>
        <v/>
      </c>
      <c r="DW18" s="36" t="str">
        <f t="shared" si="49"/>
        <v/>
      </c>
      <c r="DX18" s="37"/>
      <c r="DY18" s="33"/>
      <c r="DZ18" s="34"/>
      <c r="EA18" s="35" t="str">
        <f t="shared" si="50"/>
        <v/>
      </c>
      <c r="EB18" s="36" t="str">
        <f t="shared" si="51"/>
        <v/>
      </c>
      <c r="EC18" s="37"/>
      <c r="ED18" s="33"/>
      <c r="EE18" s="34"/>
      <c r="EF18" s="35" t="str">
        <f t="shared" si="52"/>
        <v/>
      </c>
      <c r="EG18" s="36" t="str">
        <f t="shared" si="53"/>
        <v/>
      </c>
      <c r="EH18" s="37"/>
      <c r="EI18" s="33"/>
      <c r="EJ18" s="34"/>
      <c r="EK18" s="35" t="str">
        <f t="shared" si="54"/>
        <v/>
      </c>
      <c r="EL18" s="36" t="str">
        <f t="shared" si="55"/>
        <v/>
      </c>
      <c r="EM18" s="37"/>
      <c r="EN18" s="33"/>
      <c r="EO18" s="34"/>
      <c r="EP18" s="35" t="str">
        <f t="shared" si="56"/>
        <v/>
      </c>
      <c r="EQ18" s="36" t="str">
        <f t="shared" si="57"/>
        <v/>
      </c>
      <c r="ER18" s="37"/>
      <c r="ES18" s="33"/>
      <c r="ET18" s="34"/>
      <c r="EU18" s="35" t="str">
        <f t="shared" si="58"/>
        <v/>
      </c>
      <c r="EV18" s="36" t="str">
        <f t="shared" si="59"/>
        <v/>
      </c>
      <c r="EW18" s="37"/>
    </row>
    <row r="19" spans="1:153" ht="19.5" customHeight="1">
      <c r="A19" s="32">
        <f>IF(DAY(DATE(対象年度,10,16))&lt;&gt;16,"",16)</f>
        <v>16</v>
      </c>
      <c r="B19" s="32" t="str">
        <f>IF(DAY(DATE(対象年度,10,16))&lt;&gt;16,"",CHOOSE(WEEKDAY(DATE(対象年度,10,16),2),"月","火","水","木","金","土","日"))</f>
        <v>金</v>
      </c>
      <c r="C19" s="32" t="str">
        <f>IF(DAY(DATE(対象年度,10,16))&lt;&gt;16,"",IF(ISNUMBER(MATCH(DATE(対象年度,10,16),祝日リスト,0)),"祝",""))</f>
        <v/>
      </c>
      <c r="D19" s="33"/>
      <c r="E19" s="34"/>
      <c r="F19" s="35" t="str">
        <f t="shared" si="0"/>
        <v/>
      </c>
      <c r="G19" s="36" t="str">
        <f t="shared" si="1"/>
        <v/>
      </c>
      <c r="H19" s="37"/>
      <c r="I19" s="33"/>
      <c r="J19" s="34"/>
      <c r="K19" s="35" t="str">
        <f t="shared" si="2"/>
        <v/>
      </c>
      <c r="L19" s="36" t="str">
        <f t="shared" si="3"/>
        <v/>
      </c>
      <c r="M19" s="37"/>
      <c r="N19" s="33"/>
      <c r="O19" s="34"/>
      <c r="P19" s="35" t="str">
        <f t="shared" si="4"/>
        <v/>
      </c>
      <c r="Q19" s="36" t="str">
        <f t="shared" si="5"/>
        <v/>
      </c>
      <c r="R19" s="37"/>
      <c r="S19" s="33"/>
      <c r="T19" s="34"/>
      <c r="U19" s="35" t="str">
        <f t="shared" si="6"/>
        <v/>
      </c>
      <c r="V19" s="36" t="str">
        <f t="shared" si="7"/>
        <v/>
      </c>
      <c r="W19" s="37"/>
      <c r="X19" s="33"/>
      <c r="Y19" s="34"/>
      <c r="Z19" s="35" t="str">
        <f t="shared" si="8"/>
        <v/>
      </c>
      <c r="AA19" s="36" t="str">
        <f t="shared" si="9"/>
        <v/>
      </c>
      <c r="AB19" s="37"/>
      <c r="AC19" s="33"/>
      <c r="AD19" s="34"/>
      <c r="AE19" s="35" t="str">
        <f t="shared" si="10"/>
        <v/>
      </c>
      <c r="AF19" s="36" t="str">
        <f t="shared" si="11"/>
        <v/>
      </c>
      <c r="AG19" s="37"/>
      <c r="AH19" s="33"/>
      <c r="AI19" s="34"/>
      <c r="AJ19" s="35" t="str">
        <f t="shared" si="12"/>
        <v/>
      </c>
      <c r="AK19" s="36" t="str">
        <f t="shared" si="13"/>
        <v/>
      </c>
      <c r="AL19" s="37"/>
      <c r="AM19" s="33"/>
      <c r="AN19" s="34"/>
      <c r="AO19" s="35" t="str">
        <f t="shared" si="14"/>
        <v/>
      </c>
      <c r="AP19" s="36" t="str">
        <f t="shared" si="15"/>
        <v/>
      </c>
      <c r="AQ19" s="37"/>
      <c r="AR19" s="33"/>
      <c r="AS19" s="34"/>
      <c r="AT19" s="35" t="str">
        <f t="shared" si="16"/>
        <v/>
      </c>
      <c r="AU19" s="36" t="str">
        <f t="shared" si="17"/>
        <v/>
      </c>
      <c r="AV19" s="37"/>
      <c r="AW19" s="33"/>
      <c r="AX19" s="34"/>
      <c r="AY19" s="35" t="str">
        <f t="shared" si="18"/>
        <v/>
      </c>
      <c r="AZ19" s="36" t="str">
        <f t="shared" si="19"/>
        <v/>
      </c>
      <c r="BA19" s="37"/>
      <c r="BB19" s="33"/>
      <c r="BC19" s="34"/>
      <c r="BD19" s="35" t="str">
        <f t="shared" si="20"/>
        <v/>
      </c>
      <c r="BE19" s="36" t="str">
        <f t="shared" si="21"/>
        <v/>
      </c>
      <c r="BF19" s="37"/>
      <c r="BG19" s="33"/>
      <c r="BH19" s="34"/>
      <c r="BI19" s="35" t="str">
        <f t="shared" si="22"/>
        <v/>
      </c>
      <c r="BJ19" s="36" t="str">
        <f t="shared" si="23"/>
        <v/>
      </c>
      <c r="BK19" s="37"/>
      <c r="BL19" s="33"/>
      <c r="BM19" s="34"/>
      <c r="BN19" s="35" t="str">
        <f t="shared" si="24"/>
        <v/>
      </c>
      <c r="BO19" s="36" t="str">
        <f t="shared" si="25"/>
        <v/>
      </c>
      <c r="BP19" s="37"/>
      <c r="BQ19" s="33"/>
      <c r="BR19" s="34"/>
      <c r="BS19" s="35" t="str">
        <f t="shared" si="26"/>
        <v/>
      </c>
      <c r="BT19" s="36" t="str">
        <f t="shared" si="27"/>
        <v/>
      </c>
      <c r="BU19" s="37"/>
      <c r="BV19" s="33"/>
      <c r="BW19" s="34"/>
      <c r="BX19" s="35" t="str">
        <f t="shared" si="28"/>
        <v/>
      </c>
      <c r="BY19" s="36" t="str">
        <f t="shared" si="29"/>
        <v/>
      </c>
      <c r="BZ19" s="37"/>
      <c r="CA19" s="33"/>
      <c r="CB19" s="34"/>
      <c r="CC19" s="35" t="str">
        <f t="shared" si="30"/>
        <v/>
      </c>
      <c r="CD19" s="36" t="str">
        <f t="shared" si="31"/>
        <v/>
      </c>
      <c r="CE19" s="37"/>
      <c r="CF19" s="33"/>
      <c r="CG19" s="34"/>
      <c r="CH19" s="35" t="str">
        <f t="shared" si="32"/>
        <v/>
      </c>
      <c r="CI19" s="36" t="str">
        <f t="shared" si="33"/>
        <v/>
      </c>
      <c r="CJ19" s="37"/>
      <c r="CK19" s="33"/>
      <c r="CL19" s="34"/>
      <c r="CM19" s="35" t="str">
        <f t="shared" si="34"/>
        <v/>
      </c>
      <c r="CN19" s="36" t="str">
        <f t="shared" si="35"/>
        <v/>
      </c>
      <c r="CO19" s="37"/>
      <c r="CP19" s="33"/>
      <c r="CQ19" s="34"/>
      <c r="CR19" s="35" t="str">
        <f t="shared" si="36"/>
        <v/>
      </c>
      <c r="CS19" s="36" t="str">
        <f t="shared" si="37"/>
        <v/>
      </c>
      <c r="CT19" s="37"/>
      <c r="CU19" s="33"/>
      <c r="CV19" s="34"/>
      <c r="CW19" s="35" t="str">
        <f t="shared" si="38"/>
        <v/>
      </c>
      <c r="CX19" s="36" t="str">
        <f t="shared" si="39"/>
        <v/>
      </c>
      <c r="CY19" s="37"/>
      <c r="CZ19" s="33"/>
      <c r="DA19" s="34"/>
      <c r="DB19" s="35" t="str">
        <f t="shared" si="40"/>
        <v/>
      </c>
      <c r="DC19" s="36" t="str">
        <f t="shared" si="41"/>
        <v/>
      </c>
      <c r="DD19" s="37"/>
      <c r="DE19" s="33"/>
      <c r="DF19" s="34"/>
      <c r="DG19" s="35" t="str">
        <f t="shared" si="42"/>
        <v/>
      </c>
      <c r="DH19" s="36" t="str">
        <f t="shared" si="43"/>
        <v/>
      </c>
      <c r="DI19" s="37"/>
      <c r="DJ19" s="33"/>
      <c r="DK19" s="34"/>
      <c r="DL19" s="35" t="str">
        <f t="shared" si="44"/>
        <v/>
      </c>
      <c r="DM19" s="36" t="str">
        <f t="shared" si="45"/>
        <v/>
      </c>
      <c r="DN19" s="37"/>
      <c r="DO19" s="33"/>
      <c r="DP19" s="34"/>
      <c r="DQ19" s="35" t="str">
        <f t="shared" si="46"/>
        <v/>
      </c>
      <c r="DR19" s="36" t="str">
        <f t="shared" si="47"/>
        <v/>
      </c>
      <c r="DS19" s="37"/>
      <c r="DT19" s="33"/>
      <c r="DU19" s="34"/>
      <c r="DV19" s="35" t="str">
        <f t="shared" si="48"/>
        <v/>
      </c>
      <c r="DW19" s="36" t="str">
        <f t="shared" si="49"/>
        <v/>
      </c>
      <c r="DX19" s="37"/>
      <c r="DY19" s="33"/>
      <c r="DZ19" s="34"/>
      <c r="EA19" s="35" t="str">
        <f t="shared" si="50"/>
        <v/>
      </c>
      <c r="EB19" s="36" t="str">
        <f t="shared" si="51"/>
        <v/>
      </c>
      <c r="EC19" s="37"/>
      <c r="ED19" s="33"/>
      <c r="EE19" s="34"/>
      <c r="EF19" s="35" t="str">
        <f t="shared" si="52"/>
        <v/>
      </c>
      <c r="EG19" s="36" t="str">
        <f t="shared" si="53"/>
        <v/>
      </c>
      <c r="EH19" s="37"/>
      <c r="EI19" s="33"/>
      <c r="EJ19" s="34"/>
      <c r="EK19" s="35" t="str">
        <f t="shared" si="54"/>
        <v/>
      </c>
      <c r="EL19" s="36" t="str">
        <f t="shared" si="55"/>
        <v/>
      </c>
      <c r="EM19" s="37"/>
      <c r="EN19" s="33"/>
      <c r="EO19" s="34"/>
      <c r="EP19" s="35" t="str">
        <f t="shared" si="56"/>
        <v/>
      </c>
      <c r="EQ19" s="36" t="str">
        <f t="shared" si="57"/>
        <v/>
      </c>
      <c r="ER19" s="37"/>
      <c r="ES19" s="33"/>
      <c r="ET19" s="34"/>
      <c r="EU19" s="35" t="str">
        <f t="shared" si="58"/>
        <v/>
      </c>
      <c r="EV19" s="36" t="str">
        <f t="shared" si="59"/>
        <v/>
      </c>
      <c r="EW19" s="37"/>
    </row>
    <row r="20" spans="1:153" ht="19.5" customHeight="1">
      <c r="A20" s="32">
        <f>IF(DAY(DATE(対象年度,10,17))&lt;&gt;17,"",17)</f>
        <v>17</v>
      </c>
      <c r="B20" s="32" t="str">
        <f>IF(DAY(DATE(対象年度,10,17))&lt;&gt;17,"",CHOOSE(WEEKDAY(DATE(対象年度,10,17),2),"月","火","水","木","金","土","日"))</f>
        <v>土</v>
      </c>
      <c r="C20" s="32" t="str">
        <f>IF(DAY(DATE(対象年度,10,17))&lt;&gt;17,"",IF(ISNUMBER(MATCH(DATE(対象年度,10,17),祝日リスト,0)),"祝",""))</f>
        <v/>
      </c>
      <c r="D20" s="33"/>
      <c r="E20" s="34"/>
      <c r="F20" s="35" t="str">
        <f t="shared" si="0"/>
        <v/>
      </c>
      <c r="G20" s="36" t="str">
        <f t="shared" si="1"/>
        <v/>
      </c>
      <c r="H20" s="37"/>
      <c r="I20" s="33"/>
      <c r="J20" s="34"/>
      <c r="K20" s="35" t="str">
        <f t="shared" si="2"/>
        <v/>
      </c>
      <c r="L20" s="36" t="str">
        <f t="shared" si="3"/>
        <v/>
      </c>
      <c r="M20" s="37"/>
      <c r="N20" s="33"/>
      <c r="O20" s="34"/>
      <c r="P20" s="35" t="str">
        <f t="shared" si="4"/>
        <v/>
      </c>
      <c r="Q20" s="36" t="str">
        <f t="shared" si="5"/>
        <v/>
      </c>
      <c r="R20" s="37"/>
      <c r="S20" s="33"/>
      <c r="T20" s="34"/>
      <c r="U20" s="35" t="str">
        <f t="shared" si="6"/>
        <v/>
      </c>
      <c r="V20" s="36" t="str">
        <f t="shared" si="7"/>
        <v/>
      </c>
      <c r="W20" s="37"/>
      <c r="X20" s="33"/>
      <c r="Y20" s="34"/>
      <c r="Z20" s="35" t="str">
        <f t="shared" si="8"/>
        <v/>
      </c>
      <c r="AA20" s="36" t="str">
        <f t="shared" si="9"/>
        <v/>
      </c>
      <c r="AB20" s="37"/>
      <c r="AC20" s="33"/>
      <c r="AD20" s="34"/>
      <c r="AE20" s="35" t="str">
        <f t="shared" si="10"/>
        <v/>
      </c>
      <c r="AF20" s="36" t="str">
        <f t="shared" si="11"/>
        <v/>
      </c>
      <c r="AG20" s="37"/>
      <c r="AH20" s="33"/>
      <c r="AI20" s="34"/>
      <c r="AJ20" s="35" t="str">
        <f t="shared" si="12"/>
        <v/>
      </c>
      <c r="AK20" s="36" t="str">
        <f t="shared" si="13"/>
        <v/>
      </c>
      <c r="AL20" s="37"/>
      <c r="AM20" s="33"/>
      <c r="AN20" s="34"/>
      <c r="AO20" s="35" t="str">
        <f t="shared" si="14"/>
        <v/>
      </c>
      <c r="AP20" s="36" t="str">
        <f t="shared" si="15"/>
        <v/>
      </c>
      <c r="AQ20" s="37"/>
      <c r="AR20" s="33"/>
      <c r="AS20" s="34"/>
      <c r="AT20" s="35" t="str">
        <f t="shared" si="16"/>
        <v/>
      </c>
      <c r="AU20" s="36" t="str">
        <f t="shared" si="17"/>
        <v/>
      </c>
      <c r="AV20" s="37"/>
      <c r="AW20" s="33"/>
      <c r="AX20" s="34"/>
      <c r="AY20" s="35" t="str">
        <f t="shared" si="18"/>
        <v/>
      </c>
      <c r="AZ20" s="36" t="str">
        <f t="shared" si="19"/>
        <v/>
      </c>
      <c r="BA20" s="37"/>
      <c r="BB20" s="33"/>
      <c r="BC20" s="34"/>
      <c r="BD20" s="35" t="str">
        <f t="shared" si="20"/>
        <v/>
      </c>
      <c r="BE20" s="36" t="str">
        <f t="shared" si="21"/>
        <v/>
      </c>
      <c r="BF20" s="37"/>
      <c r="BG20" s="33"/>
      <c r="BH20" s="34"/>
      <c r="BI20" s="35" t="str">
        <f t="shared" si="22"/>
        <v/>
      </c>
      <c r="BJ20" s="36" t="str">
        <f t="shared" si="23"/>
        <v/>
      </c>
      <c r="BK20" s="37"/>
      <c r="BL20" s="33"/>
      <c r="BM20" s="34"/>
      <c r="BN20" s="35" t="str">
        <f t="shared" si="24"/>
        <v/>
      </c>
      <c r="BO20" s="36" t="str">
        <f t="shared" si="25"/>
        <v/>
      </c>
      <c r="BP20" s="37"/>
      <c r="BQ20" s="33"/>
      <c r="BR20" s="34"/>
      <c r="BS20" s="35" t="str">
        <f t="shared" si="26"/>
        <v/>
      </c>
      <c r="BT20" s="36" t="str">
        <f t="shared" si="27"/>
        <v/>
      </c>
      <c r="BU20" s="37"/>
      <c r="BV20" s="33"/>
      <c r="BW20" s="34"/>
      <c r="BX20" s="35" t="str">
        <f t="shared" si="28"/>
        <v/>
      </c>
      <c r="BY20" s="36" t="str">
        <f t="shared" si="29"/>
        <v/>
      </c>
      <c r="BZ20" s="37"/>
      <c r="CA20" s="33"/>
      <c r="CB20" s="34"/>
      <c r="CC20" s="35" t="str">
        <f t="shared" si="30"/>
        <v/>
      </c>
      <c r="CD20" s="36" t="str">
        <f t="shared" si="31"/>
        <v/>
      </c>
      <c r="CE20" s="37"/>
      <c r="CF20" s="33"/>
      <c r="CG20" s="34"/>
      <c r="CH20" s="35" t="str">
        <f t="shared" si="32"/>
        <v/>
      </c>
      <c r="CI20" s="36" t="str">
        <f t="shared" si="33"/>
        <v/>
      </c>
      <c r="CJ20" s="37"/>
      <c r="CK20" s="33"/>
      <c r="CL20" s="34"/>
      <c r="CM20" s="35" t="str">
        <f t="shared" si="34"/>
        <v/>
      </c>
      <c r="CN20" s="36" t="str">
        <f t="shared" si="35"/>
        <v/>
      </c>
      <c r="CO20" s="37"/>
      <c r="CP20" s="33"/>
      <c r="CQ20" s="34"/>
      <c r="CR20" s="35" t="str">
        <f t="shared" si="36"/>
        <v/>
      </c>
      <c r="CS20" s="36" t="str">
        <f t="shared" si="37"/>
        <v/>
      </c>
      <c r="CT20" s="37"/>
      <c r="CU20" s="33"/>
      <c r="CV20" s="34"/>
      <c r="CW20" s="35" t="str">
        <f t="shared" si="38"/>
        <v/>
      </c>
      <c r="CX20" s="36" t="str">
        <f t="shared" si="39"/>
        <v/>
      </c>
      <c r="CY20" s="37"/>
      <c r="CZ20" s="33"/>
      <c r="DA20" s="34"/>
      <c r="DB20" s="35" t="str">
        <f t="shared" si="40"/>
        <v/>
      </c>
      <c r="DC20" s="36" t="str">
        <f t="shared" si="41"/>
        <v/>
      </c>
      <c r="DD20" s="37"/>
      <c r="DE20" s="33"/>
      <c r="DF20" s="34"/>
      <c r="DG20" s="35" t="str">
        <f t="shared" si="42"/>
        <v/>
      </c>
      <c r="DH20" s="36" t="str">
        <f t="shared" si="43"/>
        <v/>
      </c>
      <c r="DI20" s="37"/>
      <c r="DJ20" s="33"/>
      <c r="DK20" s="34"/>
      <c r="DL20" s="35" t="str">
        <f t="shared" si="44"/>
        <v/>
      </c>
      <c r="DM20" s="36" t="str">
        <f t="shared" si="45"/>
        <v/>
      </c>
      <c r="DN20" s="37"/>
      <c r="DO20" s="33"/>
      <c r="DP20" s="34"/>
      <c r="DQ20" s="35" t="str">
        <f t="shared" si="46"/>
        <v/>
      </c>
      <c r="DR20" s="36" t="str">
        <f t="shared" si="47"/>
        <v/>
      </c>
      <c r="DS20" s="37"/>
      <c r="DT20" s="33"/>
      <c r="DU20" s="34"/>
      <c r="DV20" s="35" t="str">
        <f t="shared" si="48"/>
        <v/>
      </c>
      <c r="DW20" s="36" t="str">
        <f t="shared" si="49"/>
        <v/>
      </c>
      <c r="DX20" s="37"/>
      <c r="DY20" s="33"/>
      <c r="DZ20" s="34"/>
      <c r="EA20" s="35" t="str">
        <f t="shared" si="50"/>
        <v/>
      </c>
      <c r="EB20" s="36" t="str">
        <f t="shared" si="51"/>
        <v/>
      </c>
      <c r="EC20" s="37"/>
      <c r="ED20" s="33"/>
      <c r="EE20" s="34"/>
      <c r="EF20" s="35" t="str">
        <f t="shared" si="52"/>
        <v/>
      </c>
      <c r="EG20" s="36" t="str">
        <f t="shared" si="53"/>
        <v/>
      </c>
      <c r="EH20" s="37"/>
      <c r="EI20" s="33"/>
      <c r="EJ20" s="34"/>
      <c r="EK20" s="35" t="str">
        <f t="shared" si="54"/>
        <v/>
      </c>
      <c r="EL20" s="36" t="str">
        <f t="shared" si="55"/>
        <v/>
      </c>
      <c r="EM20" s="37"/>
      <c r="EN20" s="33"/>
      <c r="EO20" s="34"/>
      <c r="EP20" s="35" t="str">
        <f t="shared" si="56"/>
        <v/>
      </c>
      <c r="EQ20" s="36" t="str">
        <f t="shared" si="57"/>
        <v/>
      </c>
      <c r="ER20" s="37"/>
      <c r="ES20" s="33"/>
      <c r="ET20" s="34"/>
      <c r="EU20" s="35" t="str">
        <f t="shared" si="58"/>
        <v/>
      </c>
      <c r="EV20" s="36" t="str">
        <f t="shared" si="59"/>
        <v/>
      </c>
      <c r="EW20" s="37"/>
    </row>
    <row r="21" spans="1:153" ht="19.5" customHeight="1">
      <c r="A21" s="32">
        <f>IF(DAY(DATE(対象年度,10,18))&lt;&gt;18,"",18)</f>
        <v>18</v>
      </c>
      <c r="B21" s="32" t="str">
        <f>IF(DAY(DATE(対象年度,10,18))&lt;&gt;18,"",CHOOSE(WEEKDAY(DATE(対象年度,10,18),2),"月","火","水","木","金","土","日"))</f>
        <v>日</v>
      </c>
      <c r="C21" s="32" t="str">
        <f>IF(DAY(DATE(対象年度,10,18))&lt;&gt;18,"",IF(ISNUMBER(MATCH(DATE(対象年度,10,18),祝日リスト,0)),"祝",""))</f>
        <v/>
      </c>
      <c r="D21" s="33"/>
      <c r="E21" s="34"/>
      <c r="F21" s="35" t="str">
        <f t="shared" si="0"/>
        <v/>
      </c>
      <c r="G21" s="36" t="str">
        <f t="shared" si="1"/>
        <v/>
      </c>
      <c r="H21" s="37"/>
      <c r="I21" s="33"/>
      <c r="J21" s="34"/>
      <c r="K21" s="35" t="str">
        <f t="shared" si="2"/>
        <v/>
      </c>
      <c r="L21" s="36" t="str">
        <f t="shared" si="3"/>
        <v/>
      </c>
      <c r="M21" s="37"/>
      <c r="N21" s="33"/>
      <c r="O21" s="34"/>
      <c r="P21" s="35" t="str">
        <f t="shared" si="4"/>
        <v/>
      </c>
      <c r="Q21" s="36" t="str">
        <f t="shared" si="5"/>
        <v/>
      </c>
      <c r="R21" s="37"/>
      <c r="S21" s="33"/>
      <c r="T21" s="34"/>
      <c r="U21" s="35" t="str">
        <f t="shared" si="6"/>
        <v/>
      </c>
      <c r="V21" s="36" t="str">
        <f t="shared" si="7"/>
        <v/>
      </c>
      <c r="W21" s="37"/>
      <c r="X21" s="33"/>
      <c r="Y21" s="34"/>
      <c r="Z21" s="35" t="str">
        <f t="shared" si="8"/>
        <v/>
      </c>
      <c r="AA21" s="36" t="str">
        <f t="shared" si="9"/>
        <v/>
      </c>
      <c r="AB21" s="37"/>
      <c r="AC21" s="33"/>
      <c r="AD21" s="34"/>
      <c r="AE21" s="35" t="str">
        <f t="shared" si="10"/>
        <v/>
      </c>
      <c r="AF21" s="36" t="str">
        <f t="shared" si="11"/>
        <v/>
      </c>
      <c r="AG21" s="37"/>
      <c r="AH21" s="33"/>
      <c r="AI21" s="34"/>
      <c r="AJ21" s="35" t="str">
        <f t="shared" si="12"/>
        <v/>
      </c>
      <c r="AK21" s="36" t="str">
        <f t="shared" si="13"/>
        <v/>
      </c>
      <c r="AL21" s="37"/>
      <c r="AM21" s="33"/>
      <c r="AN21" s="34"/>
      <c r="AO21" s="35" t="str">
        <f t="shared" si="14"/>
        <v/>
      </c>
      <c r="AP21" s="36" t="str">
        <f t="shared" si="15"/>
        <v/>
      </c>
      <c r="AQ21" s="37"/>
      <c r="AR21" s="33"/>
      <c r="AS21" s="34"/>
      <c r="AT21" s="35" t="str">
        <f t="shared" si="16"/>
        <v/>
      </c>
      <c r="AU21" s="36" t="str">
        <f t="shared" si="17"/>
        <v/>
      </c>
      <c r="AV21" s="37"/>
      <c r="AW21" s="33"/>
      <c r="AX21" s="34"/>
      <c r="AY21" s="35" t="str">
        <f t="shared" si="18"/>
        <v/>
      </c>
      <c r="AZ21" s="36" t="str">
        <f t="shared" si="19"/>
        <v/>
      </c>
      <c r="BA21" s="37"/>
      <c r="BB21" s="33"/>
      <c r="BC21" s="34"/>
      <c r="BD21" s="35" t="str">
        <f t="shared" si="20"/>
        <v/>
      </c>
      <c r="BE21" s="36" t="str">
        <f t="shared" si="21"/>
        <v/>
      </c>
      <c r="BF21" s="37"/>
      <c r="BG21" s="33"/>
      <c r="BH21" s="34"/>
      <c r="BI21" s="35" t="str">
        <f t="shared" si="22"/>
        <v/>
      </c>
      <c r="BJ21" s="36" t="str">
        <f t="shared" si="23"/>
        <v/>
      </c>
      <c r="BK21" s="37"/>
      <c r="BL21" s="33"/>
      <c r="BM21" s="34"/>
      <c r="BN21" s="35" t="str">
        <f t="shared" si="24"/>
        <v/>
      </c>
      <c r="BO21" s="36" t="str">
        <f t="shared" si="25"/>
        <v/>
      </c>
      <c r="BP21" s="37"/>
      <c r="BQ21" s="33"/>
      <c r="BR21" s="34"/>
      <c r="BS21" s="35" t="str">
        <f t="shared" si="26"/>
        <v/>
      </c>
      <c r="BT21" s="36" t="str">
        <f t="shared" si="27"/>
        <v/>
      </c>
      <c r="BU21" s="37"/>
      <c r="BV21" s="33"/>
      <c r="BW21" s="34"/>
      <c r="BX21" s="35" t="str">
        <f t="shared" si="28"/>
        <v/>
      </c>
      <c r="BY21" s="36" t="str">
        <f t="shared" si="29"/>
        <v/>
      </c>
      <c r="BZ21" s="37"/>
      <c r="CA21" s="33"/>
      <c r="CB21" s="34"/>
      <c r="CC21" s="35" t="str">
        <f t="shared" si="30"/>
        <v/>
      </c>
      <c r="CD21" s="36" t="str">
        <f t="shared" si="31"/>
        <v/>
      </c>
      <c r="CE21" s="37"/>
      <c r="CF21" s="33"/>
      <c r="CG21" s="34"/>
      <c r="CH21" s="35" t="str">
        <f t="shared" si="32"/>
        <v/>
      </c>
      <c r="CI21" s="36" t="str">
        <f t="shared" si="33"/>
        <v/>
      </c>
      <c r="CJ21" s="37"/>
      <c r="CK21" s="33"/>
      <c r="CL21" s="34"/>
      <c r="CM21" s="35" t="str">
        <f t="shared" si="34"/>
        <v/>
      </c>
      <c r="CN21" s="36" t="str">
        <f t="shared" si="35"/>
        <v/>
      </c>
      <c r="CO21" s="37"/>
      <c r="CP21" s="33"/>
      <c r="CQ21" s="34"/>
      <c r="CR21" s="35" t="str">
        <f t="shared" si="36"/>
        <v/>
      </c>
      <c r="CS21" s="36" t="str">
        <f t="shared" si="37"/>
        <v/>
      </c>
      <c r="CT21" s="37"/>
      <c r="CU21" s="33"/>
      <c r="CV21" s="34"/>
      <c r="CW21" s="35" t="str">
        <f t="shared" si="38"/>
        <v/>
      </c>
      <c r="CX21" s="36" t="str">
        <f t="shared" si="39"/>
        <v/>
      </c>
      <c r="CY21" s="37"/>
      <c r="CZ21" s="33"/>
      <c r="DA21" s="34"/>
      <c r="DB21" s="35" t="str">
        <f t="shared" si="40"/>
        <v/>
      </c>
      <c r="DC21" s="36" t="str">
        <f t="shared" si="41"/>
        <v/>
      </c>
      <c r="DD21" s="37"/>
      <c r="DE21" s="33"/>
      <c r="DF21" s="34"/>
      <c r="DG21" s="35" t="str">
        <f t="shared" si="42"/>
        <v/>
      </c>
      <c r="DH21" s="36" t="str">
        <f t="shared" si="43"/>
        <v/>
      </c>
      <c r="DI21" s="37"/>
      <c r="DJ21" s="33"/>
      <c r="DK21" s="34"/>
      <c r="DL21" s="35" t="str">
        <f t="shared" si="44"/>
        <v/>
      </c>
      <c r="DM21" s="36" t="str">
        <f t="shared" si="45"/>
        <v/>
      </c>
      <c r="DN21" s="37"/>
      <c r="DO21" s="33"/>
      <c r="DP21" s="34"/>
      <c r="DQ21" s="35" t="str">
        <f t="shared" si="46"/>
        <v/>
      </c>
      <c r="DR21" s="36" t="str">
        <f t="shared" si="47"/>
        <v/>
      </c>
      <c r="DS21" s="37"/>
      <c r="DT21" s="33"/>
      <c r="DU21" s="34"/>
      <c r="DV21" s="35" t="str">
        <f t="shared" si="48"/>
        <v/>
      </c>
      <c r="DW21" s="36" t="str">
        <f t="shared" si="49"/>
        <v/>
      </c>
      <c r="DX21" s="37"/>
      <c r="DY21" s="33"/>
      <c r="DZ21" s="34"/>
      <c r="EA21" s="35" t="str">
        <f t="shared" si="50"/>
        <v/>
      </c>
      <c r="EB21" s="36" t="str">
        <f t="shared" si="51"/>
        <v/>
      </c>
      <c r="EC21" s="37"/>
      <c r="ED21" s="33"/>
      <c r="EE21" s="34"/>
      <c r="EF21" s="35" t="str">
        <f t="shared" si="52"/>
        <v/>
      </c>
      <c r="EG21" s="36" t="str">
        <f t="shared" si="53"/>
        <v/>
      </c>
      <c r="EH21" s="37"/>
      <c r="EI21" s="33"/>
      <c r="EJ21" s="34"/>
      <c r="EK21" s="35" t="str">
        <f t="shared" si="54"/>
        <v/>
      </c>
      <c r="EL21" s="36" t="str">
        <f t="shared" si="55"/>
        <v/>
      </c>
      <c r="EM21" s="37"/>
      <c r="EN21" s="33"/>
      <c r="EO21" s="34"/>
      <c r="EP21" s="35" t="str">
        <f t="shared" si="56"/>
        <v/>
      </c>
      <c r="EQ21" s="36" t="str">
        <f t="shared" si="57"/>
        <v/>
      </c>
      <c r="ER21" s="37"/>
      <c r="ES21" s="33"/>
      <c r="ET21" s="34"/>
      <c r="EU21" s="35" t="str">
        <f t="shared" si="58"/>
        <v/>
      </c>
      <c r="EV21" s="36" t="str">
        <f t="shared" si="59"/>
        <v/>
      </c>
      <c r="EW21" s="37"/>
    </row>
    <row r="22" spans="1:153" ht="19.5" customHeight="1">
      <c r="A22" s="32">
        <f>IF(DAY(DATE(対象年度,10,19))&lt;&gt;19,"",19)</f>
        <v>19</v>
      </c>
      <c r="B22" s="32" t="str">
        <f>IF(DAY(DATE(対象年度,10,19))&lt;&gt;19,"",CHOOSE(WEEKDAY(DATE(対象年度,10,19),2),"月","火","水","木","金","土","日"))</f>
        <v>月</v>
      </c>
      <c r="C22" s="32" t="str">
        <f>IF(DAY(DATE(対象年度,10,19))&lt;&gt;19,"",IF(ISNUMBER(MATCH(DATE(対象年度,10,19),祝日リスト,0)),"祝",""))</f>
        <v/>
      </c>
      <c r="D22" s="33"/>
      <c r="E22" s="34"/>
      <c r="F22" s="35" t="str">
        <f t="shared" si="0"/>
        <v/>
      </c>
      <c r="G22" s="36" t="str">
        <f t="shared" si="1"/>
        <v/>
      </c>
      <c r="H22" s="37"/>
      <c r="I22" s="33"/>
      <c r="J22" s="34"/>
      <c r="K22" s="35" t="str">
        <f t="shared" si="2"/>
        <v/>
      </c>
      <c r="L22" s="36" t="str">
        <f t="shared" si="3"/>
        <v/>
      </c>
      <c r="M22" s="37"/>
      <c r="N22" s="33"/>
      <c r="O22" s="34"/>
      <c r="P22" s="35" t="str">
        <f t="shared" si="4"/>
        <v/>
      </c>
      <c r="Q22" s="36" t="str">
        <f t="shared" si="5"/>
        <v/>
      </c>
      <c r="R22" s="37"/>
      <c r="S22" s="33"/>
      <c r="T22" s="34"/>
      <c r="U22" s="35" t="str">
        <f t="shared" si="6"/>
        <v/>
      </c>
      <c r="V22" s="36" t="str">
        <f t="shared" si="7"/>
        <v/>
      </c>
      <c r="W22" s="37"/>
      <c r="X22" s="33"/>
      <c r="Y22" s="34"/>
      <c r="Z22" s="35" t="str">
        <f t="shared" si="8"/>
        <v/>
      </c>
      <c r="AA22" s="36" t="str">
        <f t="shared" si="9"/>
        <v/>
      </c>
      <c r="AB22" s="37"/>
      <c r="AC22" s="33"/>
      <c r="AD22" s="34"/>
      <c r="AE22" s="35" t="str">
        <f t="shared" si="10"/>
        <v/>
      </c>
      <c r="AF22" s="36" t="str">
        <f t="shared" si="11"/>
        <v/>
      </c>
      <c r="AG22" s="37"/>
      <c r="AH22" s="33"/>
      <c r="AI22" s="34"/>
      <c r="AJ22" s="35" t="str">
        <f t="shared" si="12"/>
        <v/>
      </c>
      <c r="AK22" s="36" t="str">
        <f t="shared" si="13"/>
        <v/>
      </c>
      <c r="AL22" s="37"/>
      <c r="AM22" s="33"/>
      <c r="AN22" s="34"/>
      <c r="AO22" s="35" t="str">
        <f t="shared" si="14"/>
        <v/>
      </c>
      <c r="AP22" s="36" t="str">
        <f t="shared" si="15"/>
        <v/>
      </c>
      <c r="AQ22" s="37"/>
      <c r="AR22" s="33"/>
      <c r="AS22" s="34"/>
      <c r="AT22" s="35" t="str">
        <f t="shared" si="16"/>
        <v/>
      </c>
      <c r="AU22" s="36" t="str">
        <f t="shared" si="17"/>
        <v/>
      </c>
      <c r="AV22" s="37"/>
      <c r="AW22" s="33"/>
      <c r="AX22" s="34"/>
      <c r="AY22" s="35" t="str">
        <f t="shared" si="18"/>
        <v/>
      </c>
      <c r="AZ22" s="36" t="str">
        <f t="shared" si="19"/>
        <v/>
      </c>
      <c r="BA22" s="37"/>
      <c r="BB22" s="33"/>
      <c r="BC22" s="34"/>
      <c r="BD22" s="35" t="str">
        <f t="shared" si="20"/>
        <v/>
      </c>
      <c r="BE22" s="36" t="str">
        <f t="shared" si="21"/>
        <v/>
      </c>
      <c r="BF22" s="37"/>
      <c r="BG22" s="33"/>
      <c r="BH22" s="34"/>
      <c r="BI22" s="35" t="str">
        <f t="shared" si="22"/>
        <v/>
      </c>
      <c r="BJ22" s="36" t="str">
        <f t="shared" si="23"/>
        <v/>
      </c>
      <c r="BK22" s="37"/>
      <c r="BL22" s="33"/>
      <c r="BM22" s="34"/>
      <c r="BN22" s="35" t="str">
        <f t="shared" si="24"/>
        <v/>
      </c>
      <c r="BO22" s="36" t="str">
        <f t="shared" si="25"/>
        <v/>
      </c>
      <c r="BP22" s="37"/>
      <c r="BQ22" s="33"/>
      <c r="BR22" s="34"/>
      <c r="BS22" s="35" t="str">
        <f t="shared" si="26"/>
        <v/>
      </c>
      <c r="BT22" s="36" t="str">
        <f t="shared" si="27"/>
        <v/>
      </c>
      <c r="BU22" s="37"/>
      <c r="BV22" s="33"/>
      <c r="BW22" s="34"/>
      <c r="BX22" s="35" t="str">
        <f t="shared" si="28"/>
        <v/>
      </c>
      <c r="BY22" s="36" t="str">
        <f t="shared" si="29"/>
        <v/>
      </c>
      <c r="BZ22" s="37"/>
      <c r="CA22" s="33"/>
      <c r="CB22" s="34"/>
      <c r="CC22" s="35" t="str">
        <f t="shared" si="30"/>
        <v/>
      </c>
      <c r="CD22" s="36" t="str">
        <f t="shared" si="31"/>
        <v/>
      </c>
      <c r="CE22" s="37"/>
      <c r="CF22" s="33"/>
      <c r="CG22" s="34"/>
      <c r="CH22" s="35" t="str">
        <f t="shared" si="32"/>
        <v/>
      </c>
      <c r="CI22" s="36" t="str">
        <f t="shared" si="33"/>
        <v/>
      </c>
      <c r="CJ22" s="37"/>
      <c r="CK22" s="33"/>
      <c r="CL22" s="34"/>
      <c r="CM22" s="35" t="str">
        <f t="shared" si="34"/>
        <v/>
      </c>
      <c r="CN22" s="36" t="str">
        <f t="shared" si="35"/>
        <v/>
      </c>
      <c r="CO22" s="37"/>
      <c r="CP22" s="33"/>
      <c r="CQ22" s="34"/>
      <c r="CR22" s="35" t="str">
        <f t="shared" si="36"/>
        <v/>
      </c>
      <c r="CS22" s="36" t="str">
        <f t="shared" si="37"/>
        <v/>
      </c>
      <c r="CT22" s="37"/>
      <c r="CU22" s="33"/>
      <c r="CV22" s="34"/>
      <c r="CW22" s="35" t="str">
        <f t="shared" si="38"/>
        <v/>
      </c>
      <c r="CX22" s="36" t="str">
        <f t="shared" si="39"/>
        <v/>
      </c>
      <c r="CY22" s="37"/>
      <c r="CZ22" s="33"/>
      <c r="DA22" s="34"/>
      <c r="DB22" s="35" t="str">
        <f t="shared" si="40"/>
        <v/>
      </c>
      <c r="DC22" s="36" t="str">
        <f t="shared" si="41"/>
        <v/>
      </c>
      <c r="DD22" s="37"/>
      <c r="DE22" s="33"/>
      <c r="DF22" s="34"/>
      <c r="DG22" s="35" t="str">
        <f t="shared" si="42"/>
        <v/>
      </c>
      <c r="DH22" s="36" t="str">
        <f t="shared" si="43"/>
        <v/>
      </c>
      <c r="DI22" s="37"/>
      <c r="DJ22" s="33"/>
      <c r="DK22" s="34"/>
      <c r="DL22" s="35" t="str">
        <f t="shared" si="44"/>
        <v/>
      </c>
      <c r="DM22" s="36" t="str">
        <f t="shared" si="45"/>
        <v/>
      </c>
      <c r="DN22" s="37"/>
      <c r="DO22" s="33"/>
      <c r="DP22" s="34"/>
      <c r="DQ22" s="35" t="str">
        <f t="shared" si="46"/>
        <v/>
      </c>
      <c r="DR22" s="36" t="str">
        <f t="shared" si="47"/>
        <v/>
      </c>
      <c r="DS22" s="37"/>
      <c r="DT22" s="33"/>
      <c r="DU22" s="34"/>
      <c r="DV22" s="35" t="str">
        <f t="shared" si="48"/>
        <v/>
      </c>
      <c r="DW22" s="36" t="str">
        <f t="shared" si="49"/>
        <v/>
      </c>
      <c r="DX22" s="37"/>
      <c r="DY22" s="33"/>
      <c r="DZ22" s="34"/>
      <c r="EA22" s="35" t="str">
        <f t="shared" si="50"/>
        <v/>
      </c>
      <c r="EB22" s="36" t="str">
        <f t="shared" si="51"/>
        <v/>
      </c>
      <c r="EC22" s="37"/>
      <c r="ED22" s="33"/>
      <c r="EE22" s="34"/>
      <c r="EF22" s="35" t="str">
        <f t="shared" si="52"/>
        <v/>
      </c>
      <c r="EG22" s="36" t="str">
        <f t="shared" si="53"/>
        <v/>
      </c>
      <c r="EH22" s="37"/>
      <c r="EI22" s="33"/>
      <c r="EJ22" s="34"/>
      <c r="EK22" s="35" t="str">
        <f t="shared" si="54"/>
        <v/>
      </c>
      <c r="EL22" s="36" t="str">
        <f t="shared" si="55"/>
        <v/>
      </c>
      <c r="EM22" s="37"/>
      <c r="EN22" s="33"/>
      <c r="EO22" s="34"/>
      <c r="EP22" s="35" t="str">
        <f t="shared" si="56"/>
        <v/>
      </c>
      <c r="EQ22" s="36" t="str">
        <f t="shared" si="57"/>
        <v/>
      </c>
      <c r="ER22" s="37"/>
      <c r="ES22" s="33"/>
      <c r="ET22" s="34"/>
      <c r="EU22" s="35" t="str">
        <f t="shared" si="58"/>
        <v/>
      </c>
      <c r="EV22" s="36" t="str">
        <f t="shared" si="59"/>
        <v/>
      </c>
      <c r="EW22" s="37"/>
    </row>
    <row r="23" spans="1:153" ht="19.5" customHeight="1">
      <c r="A23" s="32">
        <f>IF(DAY(DATE(対象年度,10,20))&lt;&gt;20,"",20)</f>
        <v>20</v>
      </c>
      <c r="B23" s="32" t="str">
        <f>IF(DAY(DATE(対象年度,10,20))&lt;&gt;20,"",CHOOSE(WEEKDAY(DATE(対象年度,10,20),2),"月","火","水","木","金","土","日"))</f>
        <v>火</v>
      </c>
      <c r="C23" s="32" t="str">
        <f>IF(DAY(DATE(対象年度,10,20))&lt;&gt;20,"",IF(ISNUMBER(MATCH(DATE(対象年度,10,20),祝日リスト,0)),"祝",""))</f>
        <v/>
      </c>
      <c r="D23" s="33"/>
      <c r="E23" s="34"/>
      <c r="F23" s="35" t="str">
        <f t="shared" si="0"/>
        <v/>
      </c>
      <c r="G23" s="36" t="str">
        <f t="shared" si="1"/>
        <v/>
      </c>
      <c r="H23" s="37"/>
      <c r="I23" s="33"/>
      <c r="J23" s="34"/>
      <c r="K23" s="35" t="str">
        <f t="shared" si="2"/>
        <v/>
      </c>
      <c r="L23" s="36" t="str">
        <f t="shared" si="3"/>
        <v/>
      </c>
      <c r="M23" s="37"/>
      <c r="N23" s="33"/>
      <c r="O23" s="34"/>
      <c r="P23" s="35" t="str">
        <f t="shared" si="4"/>
        <v/>
      </c>
      <c r="Q23" s="36" t="str">
        <f t="shared" si="5"/>
        <v/>
      </c>
      <c r="R23" s="37"/>
      <c r="S23" s="33"/>
      <c r="T23" s="34"/>
      <c r="U23" s="35" t="str">
        <f t="shared" si="6"/>
        <v/>
      </c>
      <c r="V23" s="36" t="str">
        <f t="shared" si="7"/>
        <v/>
      </c>
      <c r="W23" s="37"/>
      <c r="X23" s="33"/>
      <c r="Y23" s="34"/>
      <c r="Z23" s="35" t="str">
        <f t="shared" si="8"/>
        <v/>
      </c>
      <c r="AA23" s="36" t="str">
        <f t="shared" si="9"/>
        <v/>
      </c>
      <c r="AB23" s="37"/>
      <c r="AC23" s="33"/>
      <c r="AD23" s="34"/>
      <c r="AE23" s="35" t="str">
        <f t="shared" si="10"/>
        <v/>
      </c>
      <c r="AF23" s="36" t="str">
        <f t="shared" si="11"/>
        <v/>
      </c>
      <c r="AG23" s="37"/>
      <c r="AH23" s="33"/>
      <c r="AI23" s="34"/>
      <c r="AJ23" s="35" t="str">
        <f t="shared" si="12"/>
        <v/>
      </c>
      <c r="AK23" s="36" t="str">
        <f t="shared" si="13"/>
        <v/>
      </c>
      <c r="AL23" s="37"/>
      <c r="AM23" s="33"/>
      <c r="AN23" s="34"/>
      <c r="AO23" s="35" t="str">
        <f t="shared" si="14"/>
        <v/>
      </c>
      <c r="AP23" s="36" t="str">
        <f t="shared" si="15"/>
        <v/>
      </c>
      <c r="AQ23" s="37"/>
      <c r="AR23" s="33"/>
      <c r="AS23" s="34"/>
      <c r="AT23" s="35" t="str">
        <f t="shared" si="16"/>
        <v/>
      </c>
      <c r="AU23" s="36" t="str">
        <f t="shared" si="17"/>
        <v/>
      </c>
      <c r="AV23" s="37"/>
      <c r="AW23" s="33"/>
      <c r="AX23" s="34"/>
      <c r="AY23" s="35" t="str">
        <f t="shared" si="18"/>
        <v/>
      </c>
      <c r="AZ23" s="36" t="str">
        <f t="shared" si="19"/>
        <v/>
      </c>
      <c r="BA23" s="37"/>
      <c r="BB23" s="33"/>
      <c r="BC23" s="34"/>
      <c r="BD23" s="35" t="str">
        <f t="shared" si="20"/>
        <v/>
      </c>
      <c r="BE23" s="36" t="str">
        <f t="shared" si="21"/>
        <v/>
      </c>
      <c r="BF23" s="37"/>
      <c r="BG23" s="33"/>
      <c r="BH23" s="34"/>
      <c r="BI23" s="35" t="str">
        <f t="shared" si="22"/>
        <v/>
      </c>
      <c r="BJ23" s="36" t="str">
        <f t="shared" si="23"/>
        <v/>
      </c>
      <c r="BK23" s="37"/>
      <c r="BL23" s="33"/>
      <c r="BM23" s="34"/>
      <c r="BN23" s="35" t="str">
        <f t="shared" si="24"/>
        <v/>
      </c>
      <c r="BO23" s="36" t="str">
        <f t="shared" si="25"/>
        <v/>
      </c>
      <c r="BP23" s="37"/>
      <c r="BQ23" s="33"/>
      <c r="BR23" s="34"/>
      <c r="BS23" s="35" t="str">
        <f t="shared" si="26"/>
        <v/>
      </c>
      <c r="BT23" s="36" t="str">
        <f t="shared" si="27"/>
        <v/>
      </c>
      <c r="BU23" s="37"/>
      <c r="BV23" s="33"/>
      <c r="BW23" s="34"/>
      <c r="BX23" s="35" t="str">
        <f t="shared" si="28"/>
        <v/>
      </c>
      <c r="BY23" s="36" t="str">
        <f t="shared" si="29"/>
        <v/>
      </c>
      <c r="BZ23" s="37"/>
      <c r="CA23" s="33"/>
      <c r="CB23" s="34"/>
      <c r="CC23" s="35" t="str">
        <f t="shared" si="30"/>
        <v/>
      </c>
      <c r="CD23" s="36" t="str">
        <f t="shared" si="31"/>
        <v/>
      </c>
      <c r="CE23" s="37"/>
      <c r="CF23" s="33"/>
      <c r="CG23" s="34"/>
      <c r="CH23" s="35" t="str">
        <f t="shared" si="32"/>
        <v/>
      </c>
      <c r="CI23" s="36" t="str">
        <f t="shared" si="33"/>
        <v/>
      </c>
      <c r="CJ23" s="37"/>
      <c r="CK23" s="33"/>
      <c r="CL23" s="34"/>
      <c r="CM23" s="35" t="str">
        <f t="shared" si="34"/>
        <v/>
      </c>
      <c r="CN23" s="36" t="str">
        <f t="shared" si="35"/>
        <v/>
      </c>
      <c r="CO23" s="37"/>
      <c r="CP23" s="33"/>
      <c r="CQ23" s="34"/>
      <c r="CR23" s="35" t="str">
        <f t="shared" si="36"/>
        <v/>
      </c>
      <c r="CS23" s="36" t="str">
        <f t="shared" si="37"/>
        <v/>
      </c>
      <c r="CT23" s="37"/>
      <c r="CU23" s="33"/>
      <c r="CV23" s="34"/>
      <c r="CW23" s="35" t="str">
        <f t="shared" si="38"/>
        <v/>
      </c>
      <c r="CX23" s="36" t="str">
        <f t="shared" si="39"/>
        <v/>
      </c>
      <c r="CY23" s="37"/>
      <c r="CZ23" s="33"/>
      <c r="DA23" s="34"/>
      <c r="DB23" s="35" t="str">
        <f t="shared" si="40"/>
        <v/>
      </c>
      <c r="DC23" s="36" t="str">
        <f t="shared" si="41"/>
        <v/>
      </c>
      <c r="DD23" s="37"/>
      <c r="DE23" s="33"/>
      <c r="DF23" s="34"/>
      <c r="DG23" s="35" t="str">
        <f t="shared" si="42"/>
        <v/>
      </c>
      <c r="DH23" s="36" t="str">
        <f t="shared" si="43"/>
        <v/>
      </c>
      <c r="DI23" s="37"/>
      <c r="DJ23" s="33"/>
      <c r="DK23" s="34"/>
      <c r="DL23" s="35" t="str">
        <f t="shared" si="44"/>
        <v/>
      </c>
      <c r="DM23" s="36" t="str">
        <f t="shared" si="45"/>
        <v/>
      </c>
      <c r="DN23" s="37"/>
      <c r="DO23" s="33"/>
      <c r="DP23" s="34"/>
      <c r="DQ23" s="35" t="str">
        <f t="shared" si="46"/>
        <v/>
      </c>
      <c r="DR23" s="36" t="str">
        <f t="shared" si="47"/>
        <v/>
      </c>
      <c r="DS23" s="37"/>
      <c r="DT23" s="33"/>
      <c r="DU23" s="34"/>
      <c r="DV23" s="35" t="str">
        <f t="shared" si="48"/>
        <v/>
      </c>
      <c r="DW23" s="36" t="str">
        <f t="shared" si="49"/>
        <v/>
      </c>
      <c r="DX23" s="37"/>
      <c r="DY23" s="33"/>
      <c r="DZ23" s="34"/>
      <c r="EA23" s="35" t="str">
        <f t="shared" si="50"/>
        <v/>
      </c>
      <c r="EB23" s="36" t="str">
        <f t="shared" si="51"/>
        <v/>
      </c>
      <c r="EC23" s="37"/>
      <c r="ED23" s="33"/>
      <c r="EE23" s="34"/>
      <c r="EF23" s="35" t="str">
        <f t="shared" si="52"/>
        <v/>
      </c>
      <c r="EG23" s="36" t="str">
        <f t="shared" si="53"/>
        <v/>
      </c>
      <c r="EH23" s="37"/>
      <c r="EI23" s="33"/>
      <c r="EJ23" s="34"/>
      <c r="EK23" s="35" t="str">
        <f t="shared" si="54"/>
        <v/>
      </c>
      <c r="EL23" s="36" t="str">
        <f t="shared" si="55"/>
        <v/>
      </c>
      <c r="EM23" s="37"/>
      <c r="EN23" s="33"/>
      <c r="EO23" s="34"/>
      <c r="EP23" s="35" t="str">
        <f t="shared" si="56"/>
        <v/>
      </c>
      <c r="EQ23" s="36" t="str">
        <f t="shared" si="57"/>
        <v/>
      </c>
      <c r="ER23" s="37"/>
      <c r="ES23" s="33"/>
      <c r="ET23" s="34"/>
      <c r="EU23" s="35" t="str">
        <f t="shared" si="58"/>
        <v/>
      </c>
      <c r="EV23" s="36" t="str">
        <f t="shared" si="59"/>
        <v/>
      </c>
      <c r="EW23" s="37"/>
    </row>
    <row r="24" spans="1:153" ht="19.5" customHeight="1">
      <c r="A24" s="32">
        <f>IF(DAY(DATE(対象年度,10,21))&lt;&gt;21,"",21)</f>
        <v>21</v>
      </c>
      <c r="B24" s="32" t="str">
        <f>IF(DAY(DATE(対象年度,10,21))&lt;&gt;21,"",CHOOSE(WEEKDAY(DATE(対象年度,10,21),2),"月","火","水","木","金","土","日"))</f>
        <v>水</v>
      </c>
      <c r="C24" s="32" t="str">
        <f>IF(DAY(DATE(対象年度,10,21))&lt;&gt;21,"",IF(ISNUMBER(MATCH(DATE(対象年度,10,21),祝日リスト,0)),"祝",""))</f>
        <v/>
      </c>
      <c r="D24" s="33"/>
      <c r="E24" s="34"/>
      <c r="F24" s="35" t="str">
        <f t="shared" si="0"/>
        <v/>
      </c>
      <c r="G24" s="36" t="str">
        <f t="shared" si="1"/>
        <v/>
      </c>
      <c r="H24" s="37"/>
      <c r="I24" s="33"/>
      <c r="J24" s="34"/>
      <c r="K24" s="35" t="str">
        <f t="shared" si="2"/>
        <v/>
      </c>
      <c r="L24" s="36" t="str">
        <f t="shared" si="3"/>
        <v/>
      </c>
      <c r="M24" s="37"/>
      <c r="N24" s="33"/>
      <c r="O24" s="34"/>
      <c r="P24" s="35" t="str">
        <f t="shared" si="4"/>
        <v/>
      </c>
      <c r="Q24" s="36" t="str">
        <f t="shared" si="5"/>
        <v/>
      </c>
      <c r="R24" s="37"/>
      <c r="S24" s="33"/>
      <c r="T24" s="34"/>
      <c r="U24" s="35" t="str">
        <f t="shared" si="6"/>
        <v/>
      </c>
      <c r="V24" s="36" t="str">
        <f t="shared" si="7"/>
        <v/>
      </c>
      <c r="W24" s="37"/>
      <c r="X24" s="33"/>
      <c r="Y24" s="34"/>
      <c r="Z24" s="35" t="str">
        <f t="shared" si="8"/>
        <v/>
      </c>
      <c r="AA24" s="36" t="str">
        <f t="shared" si="9"/>
        <v/>
      </c>
      <c r="AB24" s="37"/>
      <c r="AC24" s="33"/>
      <c r="AD24" s="34"/>
      <c r="AE24" s="35" t="str">
        <f t="shared" si="10"/>
        <v/>
      </c>
      <c r="AF24" s="36" t="str">
        <f t="shared" si="11"/>
        <v/>
      </c>
      <c r="AG24" s="37"/>
      <c r="AH24" s="33"/>
      <c r="AI24" s="34"/>
      <c r="AJ24" s="35" t="str">
        <f t="shared" si="12"/>
        <v/>
      </c>
      <c r="AK24" s="36" t="str">
        <f t="shared" si="13"/>
        <v/>
      </c>
      <c r="AL24" s="37"/>
      <c r="AM24" s="33"/>
      <c r="AN24" s="34"/>
      <c r="AO24" s="35" t="str">
        <f t="shared" si="14"/>
        <v/>
      </c>
      <c r="AP24" s="36" t="str">
        <f t="shared" si="15"/>
        <v/>
      </c>
      <c r="AQ24" s="37"/>
      <c r="AR24" s="33"/>
      <c r="AS24" s="34"/>
      <c r="AT24" s="35" t="str">
        <f t="shared" si="16"/>
        <v/>
      </c>
      <c r="AU24" s="36" t="str">
        <f t="shared" si="17"/>
        <v/>
      </c>
      <c r="AV24" s="37"/>
      <c r="AW24" s="33"/>
      <c r="AX24" s="34"/>
      <c r="AY24" s="35" t="str">
        <f t="shared" si="18"/>
        <v/>
      </c>
      <c r="AZ24" s="36" t="str">
        <f t="shared" si="19"/>
        <v/>
      </c>
      <c r="BA24" s="37"/>
      <c r="BB24" s="33"/>
      <c r="BC24" s="34"/>
      <c r="BD24" s="35" t="str">
        <f t="shared" si="20"/>
        <v/>
      </c>
      <c r="BE24" s="36" t="str">
        <f t="shared" si="21"/>
        <v/>
      </c>
      <c r="BF24" s="37"/>
      <c r="BG24" s="33"/>
      <c r="BH24" s="34"/>
      <c r="BI24" s="35" t="str">
        <f t="shared" si="22"/>
        <v/>
      </c>
      <c r="BJ24" s="36" t="str">
        <f t="shared" si="23"/>
        <v/>
      </c>
      <c r="BK24" s="37"/>
      <c r="BL24" s="33"/>
      <c r="BM24" s="34"/>
      <c r="BN24" s="35" t="str">
        <f t="shared" si="24"/>
        <v/>
      </c>
      <c r="BO24" s="36" t="str">
        <f t="shared" si="25"/>
        <v/>
      </c>
      <c r="BP24" s="37"/>
      <c r="BQ24" s="33"/>
      <c r="BR24" s="34"/>
      <c r="BS24" s="35" t="str">
        <f t="shared" si="26"/>
        <v/>
      </c>
      <c r="BT24" s="36" t="str">
        <f t="shared" si="27"/>
        <v/>
      </c>
      <c r="BU24" s="37"/>
      <c r="BV24" s="33"/>
      <c r="BW24" s="34"/>
      <c r="BX24" s="35" t="str">
        <f t="shared" si="28"/>
        <v/>
      </c>
      <c r="BY24" s="36" t="str">
        <f t="shared" si="29"/>
        <v/>
      </c>
      <c r="BZ24" s="37"/>
      <c r="CA24" s="33"/>
      <c r="CB24" s="34"/>
      <c r="CC24" s="35" t="str">
        <f t="shared" si="30"/>
        <v/>
      </c>
      <c r="CD24" s="36" t="str">
        <f t="shared" si="31"/>
        <v/>
      </c>
      <c r="CE24" s="37"/>
      <c r="CF24" s="33"/>
      <c r="CG24" s="34"/>
      <c r="CH24" s="35" t="str">
        <f t="shared" si="32"/>
        <v/>
      </c>
      <c r="CI24" s="36" t="str">
        <f t="shared" si="33"/>
        <v/>
      </c>
      <c r="CJ24" s="37"/>
      <c r="CK24" s="33"/>
      <c r="CL24" s="34"/>
      <c r="CM24" s="35" t="str">
        <f t="shared" si="34"/>
        <v/>
      </c>
      <c r="CN24" s="36" t="str">
        <f t="shared" si="35"/>
        <v/>
      </c>
      <c r="CO24" s="37"/>
      <c r="CP24" s="33"/>
      <c r="CQ24" s="34"/>
      <c r="CR24" s="35" t="str">
        <f t="shared" si="36"/>
        <v/>
      </c>
      <c r="CS24" s="36" t="str">
        <f t="shared" si="37"/>
        <v/>
      </c>
      <c r="CT24" s="37"/>
      <c r="CU24" s="33"/>
      <c r="CV24" s="34"/>
      <c r="CW24" s="35" t="str">
        <f t="shared" si="38"/>
        <v/>
      </c>
      <c r="CX24" s="36" t="str">
        <f t="shared" si="39"/>
        <v/>
      </c>
      <c r="CY24" s="37"/>
      <c r="CZ24" s="33"/>
      <c r="DA24" s="34"/>
      <c r="DB24" s="35" t="str">
        <f t="shared" si="40"/>
        <v/>
      </c>
      <c r="DC24" s="36" t="str">
        <f t="shared" si="41"/>
        <v/>
      </c>
      <c r="DD24" s="37"/>
      <c r="DE24" s="33"/>
      <c r="DF24" s="34"/>
      <c r="DG24" s="35" t="str">
        <f t="shared" si="42"/>
        <v/>
      </c>
      <c r="DH24" s="36" t="str">
        <f t="shared" si="43"/>
        <v/>
      </c>
      <c r="DI24" s="37"/>
      <c r="DJ24" s="33"/>
      <c r="DK24" s="34"/>
      <c r="DL24" s="35" t="str">
        <f t="shared" si="44"/>
        <v/>
      </c>
      <c r="DM24" s="36" t="str">
        <f t="shared" si="45"/>
        <v/>
      </c>
      <c r="DN24" s="37"/>
      <c r="DO24" s="33"/>
      <c r="DP24" s="34"/>
      <c r="DQ24" s="35" t="str">
        <f t="shared" si="46"/>
        <v/>
      </c>
      <c r="DR24" s="36" t="str">
        <f t="shared" si="47"/>
        <v/>
      </c>
      <c r="DS24" s="37"/>
      <c r="DT24" s="33"/>
      <c r="DU24" s="34"/>
      <c r="DV24" s="35" t="str">
        <f t="shared" si="48"/>
        <v/>
      </c>
      <c r="DW24" s="36" t="str">
        <f t="shared" si="49"/>
        <v/>
      </c>
      <c r="DX24" s="37"/>
      <c r="DY24" s="33"/>
      <c r="DZ24" s="34"/>
      <c r="EA24" s="35" t="str">
        <f t="shared" si="50"/>
        <v/>
      </c>
      <c r="EB24" s="36" t="str">
        <f t="shared" si="51"/>
        <v/>
      </c>
      <c r="EC24" s="37"/>
      <c r="ED24" s="33"/>
      <c r="EE24" s="34"/>
      <c r="EF24" s="35" t="str">
        <f t="shared" si="52"/>
        <v/>
      </c>
      <c r="EG24" s="36" t="str">
        <f t="shared" si="53"/>
        <v/>
      </c>
      <c r="EH24" s="37"/>
      <c r="EI24" s="33"/>
      <c r="EJ24" s="34"/>
      <c r="EK24" s="35" t="str">
        <f t="shared" si="54"/>
        <v/>
      </c>
      <c r="EL24" s="36" t="str">
        <f t="shared" si="55"/>
        <v/>
      </c>
      <c r="EM24" s="37"/>
      <c r="EN24" s="33"/>
      <c r="EO24" s="34"/>
      <c r="EP24" s="35" t="str">
        <f t="shared" si="56"/>
        <v/>
      </c>
      <c r="EQ24" s="36" t="str">
        <f t="shared" si="57"/>
        <v/>
      </c>
      <c r="ER24" s="37"/>
      <c r="ES24" s="33"/>
      <c r="ET24" s="34"/>
      <c r="EU24" s="35" t="str">
        <f t="shared" si="58"/>
        <v/>
      </c>
      <c r="EV24" s="36" t="str">
        <f t="shared" si="59"/>
        <v/>
      </c>
      <c r="EW24" s="37"/>
    </row>
    <row r="25" spans="1:153" ht="19.5" customHeight="1">
      <c r="A25" s="32">
        <f>IF(DAY(DATE(対象年度,10,22))&lt;&gt;22,"",22)</f>
        <v>22</v>
      </c>
      <c r="B25" s="32" t="str">
        <f>IF(DAY(DATE(対象年度,10,22))&lt;&gt;22,"",CHOOSE(WEEKDAY(DATE(対象年度,10,22),2),"月","火","水","木","金","土","日"))</f>
        <v>木</v>
      </c>
      <c r="C25" s="32" t="str">
        <f>IF(DAY(DATE(対象年度,10,22))&lt;&gt;22,"",IF(ISNUMBER(MATCH(DATE(対象年度,10,22),祝日リスト,0)),"祝",""))</f>
        <v/>
      </c>
      <c r="D25" s="33"/>
      <c r="E25" s="34"/>
      <c r="F25" s="35" t="str">
        <f t="shared" si="0"/>
        <v/>
      </c>
      <c r="G25" s="36" t="str">
        <f t="shared" si="1"/>
        <v/>
      </c>
      <c r="H25" s="37"/>
      <c r="I25" s="33"/>
      <c r="J25" s="34"/>
      <c r="K25" s="35" t="str">
        <f t="shared" si="2"/>
        <v/>
      </c>
      <c r="L25" s="36" t="str">
        <f t="shared" si="3"/>
        <v/>
      </c>
      <c r="M25" s="37"/>
      <c r="N25" s="33"/>
      <c r="O25" s="34"/>
      <c r="P25" s="35" t="str">
        <f t="shared" si="4"/>
        <v/>
      </c>
      <c r="Q25" s="36" t="str">
        <f t="shared" si="5"/>
        <v/>
      </c>
      <c r="R25" s="37"/>
      <c r="S25" s="33"/>
      <c r="T25" s="34"/>
      <c r="U25" s="35" t="str">
        <f t="shared" si="6"/>
        <v/>
      </c>
      <c r="V25" s="36" t="str">
        <f t="shared" si="7"/>
        <v/>
      </c>
      <c r="W25" s="37"/>
      <c r="X25" s="33"/>
      <c r="Y25" s="34"/>
      <c r="Z25" s="35" t="str">
        <f t="shared" si="8"/>
        <v/>
      </c>
      <c r="AA25" s="36" t="str">
        <f t="shared" si="9"/>
        <v/>
      </c>
      <c r="AB25" s="37"/>
      <c r="AC25" s="33"/>
      <c r="AD25" s="34"/>
      <c r="AE25" s="35" t="str">
        <f t="shared" si="10"/>
        <v/>
      </c>
      <c r="AF25" s="36" t="str">
        <f t="shared" si="11"/>
        <v/>
      </c>
      <c r="AG25" s="37"/>
      <c r="AH25" s="33"/>
      <c r="AI25" s="34"/>
      <c r="AJ25" s="35" t="str">
        <f t="shared" si="12"/>
        <v/>
      </c>
      <c r="AK25" s="36" t="str">
        <f t="shared" si="13"/>
        <v/>
      </c>
      <c r="AL25" s="37"/>
      <c r="AM25" s="33"/>
      <c r="AN25" s="34"/>
      <c r="AO25" s="35" t="str">
        <f t="shared" si="14"/>
        <v/>
      </c>
      <c r="AP25" s="36" t="str">
        <f t="shared" si="15"/>
        <v/>
      </c>
      <c r="AQ25" s="37"/>
      <c r="AR25" s="33"/>
      <c r="AS25" s="34"/>
      <c r="AT25" s="35" t="str">
        <f t="shared" si="16"/>
        <v/>
      </c>
      <c r="AU25" s="36" t="str">
        <f t="shared" si="17"/>
        <v/>
      </c>
      <c r="AV25" s="37"/>
      <c r="AW25" s="33"/>
      <c r="AX25" s="34"/>
      <c r="AY25" s="35" t="str">
        <f t="shared" si="18"/>
        <v/>
      </c>
      <c r="AZ25" s="36" t="str">
        <f t="shared" si="19"/>
        <v/>
      </c>
      <c r="BA25" s="37"/>
      <c r="BB25" s="33"/>
      <c r="BC25" s="34"/>
      <c r="BD25" s="35" t="str">
        <f t="shared" si="20"/>
        <v/>
      </c>
      <c r="BE25" s="36" t="str">
        <f t="shared" si="21"/>
        <v/>
      </c>
      <c r="BF25" s="37"/>
      <c r="BG25" s="33"/>
      <c r="BH25" s="34"/>
      <c r="BI25" s="35" t="str">
        <f t="shared" si="22"/>
        <v/>
      </c>
      <c r="BJ25" s="36" t="str">
        <f t="shared" si="23"/>
        <v/>
      </c>
      <c r="BK25" s="37"/>
      <c r="BL25" s="33"/>
      <c r="BM25" s="34"/>
      <c r="BN25" s="35" t="str">
        <f t="shared" si="24"/>
        <v/>
      </c>
      <c r="BO25" s="36" t="str">
        <f t="shared" si="25"/>
        <v/>
      </c>
      <c r="BP25" s="37"/>
      <c r="BQ25" s="33"/>
      <c r="BR25" s="34"/>
      <c r="BS25" s="35" t="str">
        <f t="shared" si="26"/>
        <v/>
      </c>
      <c r="BT25" s="36" t="str">
        <f t="shared" si="27"/>
        <v/>
      </c>
      <c r="BU25" s="37"/>
      <c r="BV25" s="33"/>
      <c r="BW25" s="34"/>
      <c r="BX25" s="35" t="str">
        <f t="shared" si="28"/>
        <v/>
      </c>
      <c r="BY25" s="36" t="str">
        <f t="shared" si="29"/>
        <v/>
      </c>
      <c r="BZ25" s="37"/>
      <c r="CA25" s="33"/>
      <c r="CB25" s="34"/>
      <c r="CC25" s="35" t="str">
        <f t="shared" si="30"/>
        <v/>
      </c>
      <c r="CD25" s="36" t="str">
        <f t="shared" si="31"/>
        <v/>
      </c>
      <c r="CE25" s="37"/>
      <c r="CF25" s="33"/>
      <c r="CG25" s="34"/>
      <c r="CH25" s="35" t="str">
        <f t="shared" si="32"/>
        <v/>
      </c>
      <c r="CI25" s="36" t="str">
        <f t="shared" si="33"/>
        <v/>
      </c>
      <c r="CJ25" s="37"/>
      <c r="CK25" s="33"/>
      <c r="CL25" s="34"/>
      <c r="CM25" s="35" t="str">
        <f t="shared" si="34"/>
        <v/>
      </c>
      <c r="CN25" s="36" t="str">
        <f t="shared" si="35"/>
        <v/>
      </c>
      <c r="CO25" s="37"/>
      <c r="CP25" s="33"/>
      <c r="CQ25" s="34"/>
      <c r="CR25" s="35" t="str">
        <f t="shared" si="36"/>
        <v/>
      </c>
      <c r="CS25" s="36" t="str">
        <f t="shared" si="37"/>
        <v/>
      </c>
      <c r="CT25" s="37"/>
      <c r="CU25" s="33"/>
      <c r="CV25" s="34"/>
      <c r="CW25" s="35" t="str">
        <f t="shared" si="38"/>
        <v/>
      </c>
      <c r="CX25" s="36" t="str">
        <f t="shared" si="39"/>
        <v/>
      </c>
      <c r="CY25" s="37"/>
      <c r="CZ25" s="33"/>
      <c r="DA25" s="34"/>
      <c r="DB25" s="35" t="str">
        <f t="shared" si="40"/>
        <v/>
      </c>
      <c r="DC25" s="36" t="str">
        <f t="shared" si="41"/>
        <v/>
      </c>
      <c r="DD25" s="37"/>
      <c r="DE25" s="33"/>
      <c r="DF25" s="34"/>
      <c r="DG25" s="35" t="str">
        <f t="shared" si="42"/>
        <v/>
      </c>
      <c r="DH25" s="36" t="str">
        <f t="shared" si="43"/>
        <v/>
      </c>
      <c r="DI25" s="37"/>
      <c r="DJ25" s="33"/>
      <c r="DK25" s="34"/>
      <c r="DL25" s="35" t="str">
        <f t="shared" si="44"/>
        <v/>
      </c>
      <c r="DM25" s="36" t="str">
        <f t="shared" si="45"/>
        <v/>
      </c>
      <c r="DN25" s="37"/>
      <c r="DO25" s="33"/>
      <c r="DP25" s="34"/>
      <c r="DQ25" s="35" t="str">
        <f t="shared" si="46"/>
        <v/>
      </c>
      <c r="DR25" s="36" t="str">
        <f t="shared" si="47"/>
        <v/>
      </c>
      <c r="DS25" s="37"/>
      <c r="DT25" s="33"/>
      <c r="DU25" s="34"/>
      <c r="DV25" s="35" t="str">
        <f t="shared" si="48"/>
        <v/>
      </c>
      <c r="DW25" s="36" t="str">
        <f t="shared" si="49"/>
        <v/>
      </c>
      <c r="DX25" s="37"/>
      <c r="DY25" s="33"/>
      <c r="DZ25" s="34"/>
      <c r="EA25" s="35" t="str">
        <f t="shared" si="50"/>
        <v/>
      </c>
      <c r="EB25" s="36" t="str">
        <f t="shared" si="51"/>
        <v/>
      </c>
      <c r="EC25" s="37"/>
      <c r="ED25" s="33"/>
      <c r="EE25" s="34"/>
      <c r="EF25" s="35" t="str">
        <f t="shared" si="52"/>
        <v/>
      </c>
      <c r="EG25" s="36" t="str">
        <f t="shared" si="53"/>
        <v/>
      </c>
      <c r="EH25" s="37"/>
      <c r="EI25" s="33"/>
      <c r="EJ25" s="34"/>
      <c r="EK25" s="35" t="str">
        <f t="shared" si="54"/>
        <v/>
      </c>
      <c r="EL25" s="36" t="str">
        <f t="shared" si="55"/>
        <v/>
      </c>
      <c r="EM25" s="37"/>
      <c r="EN25" s="33"/>
      <c r="EO25" s="34"/>
      <c r="EP25" s="35" t="str">
        <f t="shared" si="56"/>
        <v/>
      </c>
      <c r="EQ25" s="36" t="str">
        <f t="shared" si="57"/>
        <v/>
      </c>
      <c r="ER25" s="37"/>
      <c r="ES25" s="33"/>
      <c r="ET25" s="34"/>
      <c r="EU25" s="35" t="str">
        <f t="shared" si="58"/>
        <v/>
      </c>
      <c r="EV25" s="36" t="str">
        <f t="shared" si="59"/>
        <v/>
      </c>
      <c r="EW25" s="37"/>
    </row>
    <row r="26" spans="1:153" ht="19.5" customHeight="1">
      <c r="A26" s="32">
        <f>IF(DAY(DATE(対象年度,10,23))&lt;&gt;23,"",23)</f>
        <v>23</v>
      </c>
      <c r="B26" s="32" t="str">
        <f>IF(DAY(DATE(対象年度,10,23))&lt;&gt;23,"",CHOOSE(WEEKDAY(DATE(対象年度,10,23),2),"月","火","水","木","金","土","日"))</f>
        <v>金</v>
      </c>
      <c r="C26" s="32" t="str">
        <f>IF(DAY(DATE(対象年度,10,23))&lt;&gt;23,"",IF(ISNUMBER(MATCH(DATE(対象年度,10,23),祝日リスト,0)),"祝",""))</f>
        <v/>
      </c>
      <c r="D26" s="33"/>
      <c r="E26" s="34"/>
      <c r="F26" s="35" t="str">
        <f t="shared" si="0"/>
        <v/>
      </c>
      <c r="G26" s="36" t="str">
        <f t="shared" si="1"/>
        <v/>
      </c>
      <c r="H26" s="37"/>
      <c r="I26" s="33"/>
      <c r="J26" s="34"/>
      <c r="K26" s="35" t="str">
        <f t="shared" si="2"/>
        <v/>
      </c>
      <c r="L26" s="36" t="str">
        <f t="shared" si="3"/>
        <v/>
      </c>
      <c r="M26" s="37"/>
      <c r="N26" s="33"/>
      <c r="O26" s="34"/>
      <c r="P26" s="35" t="str">
        <f t="shared" si="4"/>
        <v/>
      </c>
      <c r="Q26" s="36" t="str">
        <f t="shared" si="5"/>
        <v/>
      </c>
      <c r="R26" s="37"/>
      <c r="S26" s="33"/>
      <c r="T26" s="34"/>
      <c r="U26" s="35" t="str">
        <f t="shared" si="6"/>
        <v/>
      </c>
      <c r="V26" s="36" t="str">
        <f t="shared" si="7"/>
        <v/>
      </c>
      <c r="W26" s="37"/>
      <c r="X26" s="33"/>
      <c r="Y26" s="34"/>
      <c r="Z26" s="35" t="str">
        <f t="shared" si="8"/>
        <v/>
      </c>
      <c r="AA26" s="36" t="str">
        <f t="shared" si="9"/>
        <v/>
      </c>
      <c r="AB26" s="37"/>
      <c r="AC26" s="33"/>
      <c r="AD26" s="34"/>
      <c r="AE26" s="35" t="str">
        <f t="shared" si="10"/>
        <v/>
      </c>
      <c r="AF26" s="36" t="str">
        <f t="shared" si="11"/>
        <v/>
      </c>
      <c r="AG26" s="37"/>
      <c r="AH26" s="33"/>
      <c r="AI26" s="34"/>
      <c r="AJ26" s="35" t="str">
        <f t="shared" si="12"/>
        <v/>
      </c>
      <c r="AK26" s="36" t="str">
        <f t="shared" si="13"/>
        <v/>
      </c>
      <c r="AL26" s="37"/>
      <c r="AM26" s="33"/>
      <c r="AN26" s="34"/>
      <c r="AO26" s="35" t="str">
        <f t="shared" si="14"/>
        <v/>
      </c>
      <c r="AP26" s="36" t="str">
        <f t="shared" si="15"/>
        <v/>
      </c>
      <c r="AQ26" s="37"/>
      <c r="AR26" s="33"/>
      <c r="AS26" s="34"/>
      <c r="AT26" s="35" t="str">
        <f t="shared" si="16"/>
        <v/>
      </c>
      <c r="AU26" s="36" t="str">
        <f t="shared" si="17"/>
        <v/>
      </c>
      <c r="AV26" s="37"/>
      <c r="AW26" s="33"/>
      <c r="AX26" s="34"/>
      <c r="AY26" s="35" t="str">
        <f t="shared" si="18"/>
        <v/>
      </c>
      <c r="AZ26" s="36" t="str">
        <f t="shared" si="19"/>
        <v/>
      </c>
      <c r="BA26" s="37"/>
      <c r="BB26" s="33"/>
      <c r="BC26" s="34"/>
      <c r="BD26" s="35" t="str">
        <f t="shared" si="20"/>
        <v/>
      </c>
      <c r="BE26" s="36" t="str">
        <f t="shared" si="21"/>
        <v/>
      </c>
      <c r="BF26" s="37"/>
      <c r="BG26" s="33"/>
      <c r="BH26" s="34"/>
      <c r="BI26" s="35" t="str">
        <f t="shared" si="22"/>
        <v/>
      </c>
      <c r="BJ26" s="36" t="str">
        <f t="shared" si="23"/>
        <v/>
      </c>
      <c r="BK26" s="37"/>
      <c r="BL26" s="33"/>
      <c r="BM26" s="34"/>
      <c r="BN26" s="35" t="str">
        <f t="shared" si="24"/>
        <v/>
      </c>
      <c r="BO26" s="36" t="str">
        <f t="shared" si="25"/>
        <v/>
      </c>
      <c r="BP26" s="37"/>
      <c r="BQ26" s="33"/>
      <c r="BR26" s="34"/>
      <c r="BS26" s="35" t="str">
        <f t="shared" si="26"/>
        <v/>
      </c>
      <c r="BT26" s="36" t="str">
        <f t="shared" si="27"/>
        <v/>
      </c>
      <c r="BU26" s="37"/>
      <c r="BV26" s="33"/>
      <c r="BW26" s="34"/>
      <c r="BX26" s="35" t="str">
        <f t="shared" si="28"/>
        <v/>
      </c>
      <c r="BY26" s="36" t="str">
        <f t="shared" si="29"/>
        <v/>
      </c>
      <c r="BZ26" s="37"/>
      <c r="CA26" s="33"/>
      <c r="CB26" s="34"/>
      <c r="CC26" s="35" t="str">
        <f t="shared" si="30"/>
        <v/>
      </c>
      <c r="CD26" s="36" t="str">
        <f t="shared" si="31"/>
        <v/>
      </c>
      <c r="CE26" s="37"/>
      <c r="CF26" s="33"/>
      <c r="CG26" s="34"/>
      <c r="CH26" s="35" t="str">
        <f t="shared" si="32"/>
        <v/>
      </c>
      <c r="CI26" s="36" t="str">
        <f t="shared" si="33"/>
        <v/>
      </c>
      <c r="CJ26" s="37"/>
      <c r="CK26" s="33"/>
      <c r="CL26" s="34"/>
      <c r="CM26" s="35" t="str">
        <f t="shared" si="34"/>
        <v/>
      </c>
      <c r="CN26" s="36" t="str">
        <f t="shared" si="35"/>
        <v/>
      </c>
      <c r="CO26" s="37"/>
      <c r="CP26" s="33"/>
      <c r="CQ26" s="34"/>
      <c r="CR26" s="35" t="str">
        <f t="shared" si="36"/>
        <v/>
      </c>
      <c r="CS26" s="36" t="str">
        <f t="shared" si="37"/>
        <v/>
      </c>
      <c r="CT26" s="37"/>
      <c r="CU26" s="33"/>
      <c r="CV26" s="34"/>
      <c r="CW26" s="35" t="str">
        <f t="shared" si="38"/>
        <v/>
      </c>
      <c r="CX26" s="36" t="str">
        <f t="shared" si="39"/>
        <v/>
      </c>
      <c r="CY26" s="37"/>
      <c r="CZ26" s="33"/>
      <c r="DA26" s="34"/>
      <c r="DB26" s="35" t="str">
        <f t="shared" si="40"/>
        <v/>
      </c>
      <c r="DC26" s="36" t="str">
        <f t="shared" si="41"/>
        <v/>
      </c>
      <c r="DD26" s="37"/>
      <c r="DE26" s="33"/>
      <c r="DF26" s="34"/>
      <c r="DG26" s="35" t="str">
        <f t="shared" si="42"/>
        <v/>
      </c>
      <c r="DH26" s="36" t="str">
        <f t="shared" si="43"/>
        <v/>
      </c>
      <c r="DI26" s="37"/>
      <c r="DJ26" s="33"/>
      <c r="DK26" s="34"/>
      <c r="DL26" s="35" t="str">
        <f t="shared" si="44"/>
        <v/>
      </c>
      <c r="DM26" s="36" t="str">
        <f t="shared" si="45"/>
        <v/>
      </c>
      <c r="DN26" s="37"/>
      <c r="DO26" s="33"/>
      <c r="DP26" s="34"/>
      <c r="DQ26" s="35" t="str">
        <f t="shared" si="46"/>
        <v/>
      </c>
      <c r="DR26" s="36" t="str">
        <f t="shared" si="47"/>
        <v/>
      </c>
      <c r="DS26" s="37"/>
      <c r="DT26" s="33"/>
      <c r="DU26" s="34"/>
      <c r="DV26" s="35" t="str">
        <f t="shared" si="48"/>
        <v/>
      </c>
      <c r="DW26" s="36" t="str">
        <f t="shared" si="49"/>
        <v/>
      </c>
      <c r="DX26" s="37"/>
      <c r="DY26" s="33"/>
      <c r="DZ26" s="34"/>
      <c r="EA26" s="35" t="str">
        <f t="shared" si="50"/>
        <v/>
      </c>
      <c r="EB26" s="36" t="str">
        <f t="shared" si="51"/>
        <v/>
      </c>
      <c r="EC26" s="37"/>
      <c r="ED26" s="33"/>
      <c r="EE26" s="34"/>
      <c r="EF26" s="35" t="str">
        <f t="shared" si="52"/>
        <v/>
      </c>
      <c r="EG26" s="36" t="str">
        <f t="shared" si="53"/>
        <v/>
      </c>
      <c r="EH26" s="37"/>
      <c r="EI26" s="33"/>
      <c r="EJ26" s="34"/>
      <c r="EK26" s="35" t="str">
        <f t="shared" si="54"/>
        <v/>
      </c>
      <c r="EL26" s="36" t="str">
        <f t="shared" si="55"/>
        <v/>
      </c>
      <c r="EM26" s="37"/>
      <c r="EN26" s="33"/>
      <c r="EO26" s="34"/>
      <c r="EP26" s="35" t="str">
        <f t="shared" si="56"/>
        <v/>
      </c>
      <c r="EQ26" s="36" t="str">
        <f t="shared" si="57"/>
        <v/>
      </c>
      <c r="ER26" s="37"/>
      <c r="ES26" s="33"/>
      <c r="ET26" s="34"/>
      <c r="EU26" s="35" t="str">
        <f t="shared" si="58"/>
        <v/>
      </c>
      <c r="EV26" s="36" t="str">
        <f t="shared" si="59"/>
        <v/>
      </c>
      <c r="EW26" s="37"/>
    </row>
    <row r="27" spans="1:153" ht="19.5" customHeight="1">
      <c r="A27" s="32">
        <f>IF(DAY(DATE(対象年度,10,24))&lt;&gt;24,"",24)</f>
        <v>24</v>
      </c>
      <c r="B27" s="32" t="str">
        <f>IF(DAY(DATE(対象年度,10,24))&lt;&gt;24,"",CHOOSE(WEEKDAY(DATE(対象年度,10,24),2),"月","火","水","木","金","土","日"))</f>
        <v>土</v>
      </c>
      <c r="C27" s="32" t="str">
        <f>IF(DAY(DATE(対象年度,10,24))&lt;&gt;24,"",IF(ISNUMBER(MATCH(DATE(対象年度,10,24),祝日リスト,0)),"祝",""))</f>
        <v/>
      </c>
      <c r="D27" s="33"/>
      <c r="E27" s="34"/>
      <c r="F27" s="35" t="str">
        <f t="shared" si="0"/>
        <v/>
      </c>
      <c r="G27" s="36" t="str">
        <f t="shared" si="1"/>
        <v/>
      </c>
      <c r="H27" s="37"/>
      <c r="I27" s="33"/>
      <c r="J27" s="34"/>
      <c r="K27" s="35" t="str">
        <f t="shared" si="2"/>
        <v/>
      </c>
      <c r="L27" s="36" t="str">
        <f t="shared" si="3"/>
        <v/>
      </c>
      <c r="M27" s="37"/>
      <c r="N27" s="33"/>
      <c r="O27" s="34"/>
      <c r="P27" s="35" t="str">
        <f t="shared" si="4"/>
        <v/>
      </c>
      <c r="Q27" s="36" t="str">
        <f t="shared" si="5"/>
        <v/>
      </c>
      <c r="R27" s="37"/>
      <c r="S27" s="33"/>
      <c r="T27" s="34"/>
      <c r="U27" s="35" t="str">
        <f t="shared" si="6"/>
        <v/>
      </c>
      <c r="V27" s="36" t="str">
        <f t="shared" si="7"/>
        <v/>
      </c>
      <c r="W27" s="37"/>
      <c r="X27" s="33"/>
      <c r="Y27" s="34"/>
      <c r="Z27" s="35" t="str">
        <f t="shared" si="8"/>
        <v/>
      </c>
      <c r="AA27" s="36" t="str">
        <f t="shared" si="9"/>
        <v/>
      </c>
      <c r="AB27" s="37"/>
      <c r="AC27" s="33"/>
      <c r="AD27" s="34"/>
      <c r="AE27" s="35" t="str">
        <f t="shared" si="10"/>
        <v/>
      </c>
      <c r="AF27" s="36" t="str">
        <f t="shared" si="11"/>
        <v/>
      </c>
      <c r="AG27" s="37"/>
      <c r="AH27" s="33"/>
      <c r="AI27" s="34"/>
      <c r="AJ27" s="35" t="str">
        <f t="shared" si="12"/>
        <v/>
      </c>
      <c r="AK27" s="36" t="str">
        <f t="shared" si="13"/>
        <v/>
      </c>
      <c r="AL27" s="37"/>
      <c r="AM27" s="33"/>
      <c r="AN27" s="34"/>
      <c r="AO27" s="35" t="str">
        <f t="shared" si="14"/>
        <v/>
      </c>
      <c r="AP27" s="36" t="str">
        <f t="shared" si="15"/>
        <v/>
      </c>
      <c r="AQ27" s="37"/>
      <c r="AR27" s="33"/>
      <c r="AS27" s="34"/>
      <c r="AT27" s="35" t="str">
        <f t="shared" si="16"/>
        <v/>
      </c>
      <c r="AU27" s="36" t="str">
        <f t="shared" si="17"/>
        <v/>
      </c>
      <c r="AV27" s="37"/>
      <c r="AW27" s="33"/>
      <c r="AX27" s="34"/>
      <c r="AY27" s="35" t="str">
        <f t="shared" si="18"/>
        <v/>
      </c>
      <c r="AZ27" s="36" t="str">
        <f t="shared" si="19"/>
        <v/>
      </c>
      <c r="BA27" s="37"/>
      <c r="BB27" s="33"/>
      <c r="BC27" s="34"/>
      <c r="BD27" s="35" t="str">
        <f t="shared" si="20"/>
        <v/>
      </c>
      <c r="BE27" s="36" t="str">
        <f t="shared" si="21"/>
        <v/>
      </c>
      <c r="BF27" s="37"/>
      <c r="BG27" s="33"/>
      <c r="BH27" s="34"/>
      <c r="BI27" s="35" t="str">
        <f t="shared" si="22"/>
        <v/>
      </c>
      <c r="BJ27" s="36" t="str">
        <f t="shared" si="23"/>
        <v/>
      </c>
      <c r="BK27" s="37"/>
      <c r="BL27" s="33"/>
      <c r="BM27" s="34"/>
      <c r="BN27" s="35" t="str">
        <f t="shared" si="24"/>
        <v/>
      </c>
      <c r="BO27" s="36" t="str">
        <f t="shared" si="25"/>
        <v/>
      </c>
      <c r="BP27" s="37"/>
      <c r="BQ27" s="33"/>
      <c r="BR27" s="34"/>
      <c r="BS27" s="35" t="str">
        <f t="shared" si="26"/>
        <v/>
      </c>
      <c r="BT27" s="36" t="str">
        <f t="shared" si="27"/>
        <v/>
      </c>
      <c r="BU27" s="37"/>
      <c r="BV27" s="33"/>
      <c r="BW27" s="34"/>
      <c r="BX27" s="35" t="str">
        <f t="shared" si="28"/>
        <v/>
      </c>
      <c r="BY27" s="36" t="str">
        <f t="shared" si="29"/>
        <v/>
      </c>
      <c r="BZ27" s="37"/>
      <c r="CA27" s="33"/>
      <c r="CB27" s="34"/>
      <c r="CC27" s="35" t="str">
        <f t="shared" si="30"/>
        <v/>
      </c>
      <c r="CD27" s="36" t="str">
        <f t="shared" si="31"/>
        <v/>
      </c>
      <c r="CE27" s="37"/>
      <c r="CF27" s="33"/>
      <c r="CG27" s="34"/>
      <c r="CH27" s="35" t="str">
        <f t="shared" si="32"/>
        <v/>
      </c>
      <c r="CI27" s="36" t="str">
        <f t="shared" si="33"/>
        <v/>
      </c>
      <c r="CJ27" s="37"/>
      <c r="CK27" s="33"/>
      <c r="CL27" s="34"/>
      <c r="CM27" s="35" t="str">
        <f t="shared" si="34"/>
        <v/>
      </c>
      <c r="CN27" s="36" t="str">
        <f t="shared" si="35"/>
        <v/>
      </c>
      <c r="CO27" s="37"/>
      <c r="CP27" s="33"/>
      <c r="CQ27" s="34"/>
      <c r="CR27" s="35" t="str">
        <f t="shared" si="36"/>
        <v/>
      </c>
      <c r="CS27" s="36" t="str">
        <f t="shared" si="37"/>
        <v/>
      </c>
      <c r="CT27" s="37"/>
      <c r="CU27" s="33"/>
      <c r="CV27" s="34"/>
      <c r="CW27" s="35" t="str">
        <f t="shared" si="38"/>
        <v/>
      </c>
      <c r="CX27" s="36" t="str">
        <f t="shared" si="39"/>
        <v/>
      </c>
      <c r="CY27" s="37"/>
      <c r="CZ27" s="33"/>
      <c r="DA27" s="34"/>
      <c r="DB27" s="35" t="str">
        <f t="shared" si="40"/>
        <v/>
      </c>
      <c r="DC27" s="36" t="str">
        <f t="shared" si="41"/>
        <v/>
      </c>
      <c r="DD27" s="37"/>
      <c r="DE27" s="33"/>
      <c r="DF27" s="34"/>
      <c r="DG27" s="35" t="str">
        <f t="shared" si="42"/>
        <v/>
      </c>
      <c r="DH27" s="36" t="str">
        <f t="shared" si="43"/>
        <v/>
      </c>
      <c r="DI27" s="37"/>
      <c r="DJ27" s="33"/>
      <c r="DK27" s="34"/>
      <c r="DL27" s="35" t="str">
        <f t="shared" si="44"/>
        <v/>
      </c>
      <c r="DM27" s="36" t="str">
        <f t="shared" si="45"/>
        <v/>
      </c>
      <c r="DN27" s="37"/>
      <c r="DO27" s="33"/>
      <c r="DP27" s="34"/>
      <c r="DQ27" s="35" t="str">
        <f t="shared" si="46"/>
        <v/>
      </c>
      <c r="DR27" s="36" t="str">
        <f t="shared" si="47"/>
        <v/>
      </c>
      <c r="DS27" s="37"/>
      <c r="DT27" s="33"/>
      <c r="DU27" s="34"/>
      <c r="DV27" s="35" t="str">
        <f t="shared" si="48"/>
        <v/>
      </c>
      <c r="DW27" s="36" t="str">
        <f t="shared" si="49"/>
        <v/>
      </c>
      <c r="DX27" s="37"/>
      <c r="DY27" s="33"/>
      <c r="DZ27" s="34"/>
      <c r="EA27" s="35" t="str">
        <f t="shared" si="50"/>
        <v/>
      </c>
      <c r="EB27" s="36" t="str">
        <f t="shared" si="51"/>
        <v/>
      </c>
      <c r="EC27" s="37"/>
      <c r="ED27" s="33"/>
      <c r="EE27" s="34"/>
      <c r="EF27" s="35" t="str">
        <f t="shared" si="52"/>
        <v/>
      </c>
      <c r="EG27" s="36" t="str">
        <f t="shared" si="53"/>
        <v/>
      </c>
      <c r="EH27" s="37"/>
      <c r="EI27" s="33"/>
      <c r="EJ27" s="34"/>
      <c r="EK27" s="35" t="str">
        <f t="shared" si="54"/>
        <v/>
      </c>
      <c r="EL27" s="36" t="str">
        <f t="shared" si="55"/>
        <v/>
      </c>
      <c r="EM27" s="37"/>
      <c r="EN27" s="33"/>
      <c r="EO27" s="34"/>
      <c r="EP27" s="35" t="str">
        <f t="shared" si="56"/>
        <v/>
      </c>
      <c r="EQ27" s="36" t="str">
        <f t="shared" si="57"/>
        <v/>
      </c>
      <c r="ER27" s="37"/>
      <c r="ES27" s="33"/>
      <c r="ET27" s="34"/>
      <c r="EU27" s="35" t="str">
        <f t="shared" si="58"/>
        <v/>
      </c>
      <c r="EV27" s="36" t="str">
        <f t="shared" si="59"/>
        <v/>
      </c>
      <c r="EW27" s="37"/>
    </row>
    <row r="28" spans="1:153" ht="19.5" customHeight="1">
      <c r="A28" s="32">
        <f>IF(DAY(DATE(対象年度,10,25))&lt;&gt;25,"",25)</f>
        <v>25</v>
      </c>
      <c r="B28" s="32" t="str">
        <f>IF(DAY(DATE(対象年度,10,25))&lt;&gt;25,"",CHOOSE(WEEKDAY(DATE(対象年度,10,25),2),"月","火","水","木","金","土","日"))</f>
        <v>日</v>
      </c>
      <c r="C28" s="32" t="str">
        <f>IF(DAY(DATE(対象年度,10,25))&lt;&gt;25,"",IF(ISNUMBER(MATCH(DATE(対象年度,10,25),祝日リスト,0)),"祝",""))</f>
        <v/>
      </c>
      <c r="D28" s="33"/>
      <c r="E28" s="34"/>
      <c r="F28" s="35" t="str">
        <f t="shared" si="0"/>
        <v/>
      </c>
      <c r="G28" s="36" t="str">
        <f t="shared" si="1"/>
        <v/>
      </c>
      <c r="H28" s="37"/>
      <c r="I28" s="33"/>
      <c r="J28" s="34"/>
      <c r="K28" s="35" t="str">
        <f t="shared" si="2"/>
        <v/>
      </c>
      <c r="L28" s="36" t="str">
        <f t="shared" si="3"/>
        <v/>
      </c>
      <c r="M28" s="37"/>
      <c r="N28" s="33"/>
      <c r="O28" s="34"/>
      <c r="P28" s="35" t="str">
        <f t="shared" si="4"/>
        <v/>
      </c>
      <c r="Q28" s="36" t="str">
        <f t="shared" si="5"/>
        <v/>
      </c>
      <c r="R28" s="37"/>
      <c r="S28" s="33"/>
      <c r="T28" s="34"/>
      <c r="U28" s="35" t="str">
        <f t="shared" si="6"/>
        <v/>
      </c>
      <c r="V28" s="36" t="str">
        <f t="shared" si="7"/>
        <v/>
      </c>
      <c r="W28" s="37"/>
      <c r="X28" s="33"/>
      <c r="Y28" s="34"/>
      <c r="Z28" s="35" t="str">
        <f t="shared" si="8"/>
        <v/>
      </c>
      <c r="AA28" s="36" t="str">
        <f t="shared" si="9"/>
        <v/>
      </c>
      <c r="AB28" s="37"/>
      <c r="AC28" s="33"/>
      <c r="AD28" s="34"/>
      <c r="AE28" s="35" t="str">
        <f t="shared" si="10"/>
        <v/>
      </c>
      <c r="AF28" s="36" t="str">
        <f t="shared" si="11"/>
        <v/>
      </c>
      <c r="AG28" s="37"/>
      <c r="AH28" s="33"/>
      <c r="AI28" s="34"/>
      <c r="AJ28" s="35" t="str">
        <f t="shared" si="12"/>
        <v/>
      </c>
      <c r="AK28" s="36" t="str">
        <f t="shared" si="13"/>
        <v/>
      </c>
      <c r="AL28" s="37"/>
      <c r="AM28" s="33"/>
      <c r="AN28" s="34"/>
      <c r="AO28" s="35" t="str">
        <f t="shared" si="14"/>
        <v/>
      </c>
      <c r="AP28" s="36" t="str">
        <f t="shared" si="15"/>
        <v/>
      </c>
      <c r="AQ28" s="37"/>
      <c r="AR28" s="33"/>
      <c r="AS28" s="34"/>
      <c r="AT28" s="35" t="str">
        <f t="shared" si="16"/>
        <v/>
      </c>
      <c r="AU28" s="36" t="str">
        <f t="shared" si="17"/>
        <v/>
      </c>
      <c r="AV28" s="37"/>
      <c r="AW28" s="33"/>
      <c r="AX28" s="34"/>
      <c r="AY28" s="35" t="str">
        <f t="shared" si="18"/>
        <v/>
      </c>
      <c r="AZ28" s="36" t="str">
        <f t="shared" si="19"/>
        <v/>
      </c>
      <c r="BA28" s="37"/>
      <c r="BB28" s="33"/>
      <c r="BC28" s="34"/>
      <c r="BD28" s="35" t="str">
        <f t="shared" si="20"/>
        <v/>
      </c>
      <c r="BE28" s="36" t="str">
        <f t="shared" si="21"/>
        <v/>
      </c>
      <c r="BF28" s="37"/>
      <c r="BG28" s="33"/>
      <c r="BH28" s="34"/>
      <c r="BI28" s="35" t="str">
        <f t="shared" si="22"/>
        <v/>
      </c>
      <c r="BJ28" s="36" t="str">
        <f t="shared" si="23"/>
        <v/>
      </c>
      <c r="BK28" s="37"/>
      <c r="BL28" s="33"/>
      <c r="BM28" s="34"/>
      <c r="BN28" s="35" t="str">
        <f t="shared" si="24"/>
        <v/>
      </c>
      <c r="BO28" s="36" t="str">
        <f t="shared" si="25"/>
        <v/>
      </c>
      <c r="BP28" s="37"/>
      <c r="BQ28" s="33"/>
      <c r="BR28" s="34"/>
      <c r="BS28" s="35" t="str">
        <f t="shared" si="26"/>
        <v/>
      </c>
      <c r="BT28" s="36" t="str">
        <f t="shared" si="27"/>
        <v/>
      </c>
      <c r="BU28" s="37"/>
      <c r="BV28" s="33"/>
      <c r="BW28" s="34"/>
      <c r="BX28" s="35" t="str">
        <f t="shared" si="28"/>
        <v/>
      </c>
      <c r="BY28" s="36" t="str">
        <f t="shared" si="29"/>
        <v/>
      </c>
      <c r="BZ28" s="37"/>
      <c r="CA28" s="33"/>
      <c r="CB28" s="34"/>
      <c r="CC28" s="35" t="str">
        <f t="shared" si="30"/>
        <v/>
      </c>
      <c r="CD28" s="36" t="str">
        <f t="shared" si="31"/>
        <v/>
      </c>
      <c r="CE28" s="37"/>
      <c r="CF28" s="33"/>
      <c r="CG28" s="34"/>
      <c r="CH28" s="35" t="str">
        <f t="shared" si="32"/>
        <v/>
      </c>
      <c r="CI28" s="36" t="str">
        <f t="shared" si="33"/>
        <v/>
      </c>
      <c r="CJ28" s="37"/>
      <c r="CK28" s="33"/>
      <c r="CL28" s="34"/>
      <c r="CM28" s="35" t="str">
        <f t="shared" si="34"/>
        <v/>
      </c>
      <c r="CN28" s="36" t="str">
        <f t="shared" si="35"/>
        <v/>
      </c>
      <c r="CO28" s="37"/>
      <c r="CP28" s="33"/>
      <c r="CQ28" s="34"/>
      <c r="CR28" s="35" t="str">
        <f t="shared" si="36"/>
        <v/>
      </c>
      <c r="CS28" s="36" t="str">
        <f t="shared" si="37"/>
        <v/>
      </c>
      <c r="CT28" s="37"/>
      <c r="CU28" s="33"/>
      <c r="CV28" s="34"/>
      <c r="CW28" s="35" t="str">
        <f t="shared" si="38"/>
        <v/>
      </c>
      <c r="CX28" s="36" t="str">
        <f t="shared" si="39"/>
        <v/>
      </c>
      <c r="CY28" s="37"/>
      <c r="CZ28" s="33"/>
      <c r="DA28" s="34"/>
      <c r="DB28" s="35" t="str">
        <f t="shared" si="40"/>
        <v/>
      </c>
      <c r="DC28" s="36" t="str">
        <f t="shared" si="41"/>
        <v/>
      </c>
      <c r="DD28" s="37"/>
      <c r="DE28" s="33"/>
      <c r="DF28" s="34"/>
      <c r="DG28" s="35" t="str">
        <f t="shared" si="42"/>
        <v/>
      </c>
      <c r="DH28" s="36" t="str">
        <f t="shared" si="43"/>
        <v/>
      </c>
      <c r="DI28" s="37"/>
      <c r="DJ28" s="33"/>
      <c r="DK28" s="34"/>
      <c r="DL28" s="35" t="str">
        <f t="shared" si="44"/>
        <v/>
      </c>
      <c r="DM28" s="36" t="str">
        <f t="shared" si="45"/>
        <v/>
      </c>
      <c r="DN28" s="37"/>
      <c r="DO28" s="33"/>
      <c r="DP28" s="34"/>
      <c r="DQ28" s="35" t="str">
        <f t="shared" si="46"/>
        <v/>
      </c>
      <c r="DR28" s="36" t="str">
        <f t="shared" si="47"/>
        <v/>
      </c>
      <c r="DS28" s="37"/>
      <c r="DT28" s="33"/>
      <c r="DU28" s="34"/>
      <c r="DV28" s="35" t="str">
        <f t="shared" si="48"/>
        <v/>
      </c>
      <c r="DW28" s="36" t="str">
        <f t="shared" si="49"/>
        <v/>
      </c>
      <c r="DX28" s="37"/>
      <c r="DY28" s="33"/>
      <c r="DZ28" s="34"/>
      <c r="EA28" s="35" t="str">
        <f t="shared" si="50"/>
        <v/>
      </c>
      <c r="EB28" s="36" t="str">
        <f t="shared" si="51"/>
        <v/>
      </c>
      <c r="EC28" s="37"/>
      <c r="ED28" s="33"/>
      <c r="EE28" s="34"/>
      <c r="EF28" s="35" t="str">
        <f t="shared" si="52"/>
        <v/>
      </c>
      <c r="EG28" s="36" t="str">
        <f t="shared" si="53"/>
        <v/>
      </c>
      <c r="EH28" s="37"/>
      <c r="EI28" s="33"/>
      <c r="EJ28" s="34"/>
      <c r="EK28" s="35" t="str">
        <f t="shared" si="54"/>
        <v/>
      </c>
      <c r="EL28" s="36" t="str">
        <f t="shared" si="55"/>
        <v/>
      </c>
      <c r="EM28" s="37"/>
      <c r="EN28" s="33"/>
      <c r="EO28" s="34"/>
      <c r="EP28" s="35" t="str">
        <f t="shared" si="56"/>
        <v/>
      </c>
      <c r="EQ28" s="36" t="str">
        <f t="shared" si="57"/>
        <v/>
      </c>
      <c r="ER28" s="37"/>
      <c r="ES28" s="33"/>
      <c r="ET28" s="34"/>
      <c r="EU28" s="35" t="str">
        <f t="shared" si="58"/>
        <v/>
      </c>
      <c r="EV28" s="36" t="str">
        <f t="shared" si="59"/>
        <v/>
      </c>
      <c r="EW28" s="37"/>
    </row>
    <row r="29" spans="1:153" ht="19.5" customHeight="1">
      <c r="A29" s="32">
        <f>IF(DAY(DATE(対象年度,10,26))&lt;&gt;26,"",26)</f>
        <v>26</v>
      </c>
      <c r="B29" s="32" t="str">
        <f>IF(DAY(DATE(対象年度,10,26))&lt;&gt;26,"",CHOOSE(WEEKDAY(DATE(対象年度,10,26),2),"月","火","水","木","金","土","日"))</f>
        <v>月</v>
      </c>
      <c r="C29" s="32" t="str">
        <f>IF(DAY(DATE(対象年度,10,26))&lt;&gt;26,"",IF(ISNUMBER(MATCH(DATE(対象年度,10,26),祝日リスト,0)),"祝",""))</f>
        <v/>
      </c>
      <c r="D29" s="33"/>
      <c r="E29" s="34"/>
      <c r="F29" s="35" t="str">
        <f t="shared" si="0"/>
        <v/>
      </c>
      <c r="G29" s="36" t="str">
        <f t="shared" si="1"/>
        <v/>
      </c>
      <c r="H29" s="37"/>
      <c r="I29" s="33"/>
      <c r="J29" s="34"/>
      <c r="K29" s="35" t="str">
        <f t="shared" si="2"/>
        <v/>
      </c>
      <c r="L29" s="36" t="str">
        <f t="shared" si="3"/>
        <v/>
      </c>
      <c r="M29" s="37"/>
      <c r="N29" s="33"/>
      <c r="O29" s="34"/>
      <c r="P29" s="35" t="str">
        <f t="shared" si="4"/>
        <v/>
      </c>
      <c r="Q29" s="36" t="str">
        <f t="shared" si="5"/>
        <v/>
      </c>
      <c r="R29" s="37"/>
      <c r="S29" s="33"/>
      <c r="T29" s="34"/>
      <c r="U29" s="35" t="str">
        <f t="shared" si="6"/>
        <v/>
      </c>
      <c r="V29" s="36" t="str">
        <f t="shared" si="7"/>
        <v/>
      </c>
      <c r="W29" s="37"/>
      <c r="X29" s="33"/>
      <c r="Y29" s="34"/>
      <c r="Z29" s="35" t="str">
        <f t="shared" si="8"/>
        <v/>
      </c>
      <c r="AA29" s="36" t="str">
        <f t="shared" si="9"/>
        <v/>
      </c>
      <c r="AB29" s="37"/>
      <c r="AC29" s="33"/>
      <c r="AD29" s="34"/>
      <c r="AE29" s="35" t="str">
        <f t="shared" si="10"/>
        <v/>
      </c>
      <c r="AF29" s="36" t="str">
        <f t="shared" si="11"/>
        <v/>
      </c>
      <c r="AG29" s="37"/>
      <c r="AH29" s="33"/>
      <c r="AI29" s="34"/>
      <c r="AJ29" s="35" t="str">
        <f t="shared" si="12"/>
        <v/>
      </c>
      <c r="AK29" s="36" t="str">
        <f t="shared" si="13"/>
        <v/>
      </c>
      <c r="AL29" s="37"/>
      <c r="AM29" s="33"/>
      <c r="AN29" s="34"/>
      <c r="AO29" s="35" t="str">
        <f t="shared" si="14"/>
        <v/>
      </c>
      <c r="AP29" s="36" t="str">
        <f t="shared" si="15"/>
        <v/>
      </c>
      <c r="AQ29" s="37"/>
      <c r="AR29" s="33"/>
      <c r="AS29" s="34"/>
      <c r="AT29" s="35" t="str">
        <f t="shared" si="16"/>
        <v/>
      </c>
      <c r="AU29" s="36" t="str">
        <f t="shared" si="17"/>
        <v/>
      </c>
      <c r="AV29" s="37"/>
      <c r="AW29" s="33"/>
      <c r="AX29" s="34"/>
      <c r="AY29" s="35" t="str">
        <f t="shared" si="18"/>
        <v/>
      </c>
      <c r="AZ29" s="36" t="str">
        <f t="shared" si="19"/>
        <v/>
      </c>
      <c r="BA29" s="37"/>
      <c r="BB29" s="33"/>
      <c r="BC29" s="34"/>
      <c r="BD29" s="35" t="str">
        <f t="shared" si="20"/>
        <v/>
      </c>
      <c r="BE29" s="36" t="str">
        <f t="shared" si="21"/>
        <v/>
      </c>
      <c r="BF29" s="37"/>
      <c r="BG29" s="33"/>
      <c r="BH29" s="34"/>
      <c r="BI29" s="35" t="str">
        <f t="shared" si="22"/>
        <v/>
      </c>
      <c r="BJ29" s="36" t="str">
        <f t="shared" si="23"/>
        <v/>
      </c>
      <c r="BK29" s="37"/>
      <c r="BL29" s="33"/>
      <c r="BM29" s="34"/>
      <c r="BN29" s="35" t="str">
        <f t="shared" si="24"/>
        <v/>
      </c>
      <c r="BO29" s="36" t="str">
        <f t="shared" si="25"/>
        <v/>
      </c>
      <c r="BP29" s="37"/>
      <c r="BQ29" s="33"/>
      <c r="BR29" s="34"/>
      <c r="BS29" s="35" t="str">
        <f t="shared" si="26"/>
        <v/>
      </c>
      <c r="BT29" s="36" t="str">
        <f t="shared" si="27"/>
        <v/>
      </c>
      <c r="BU29" s="37"/>
      <c r="BV29" s="33"/>
      <c r="BW29" s="34"/>
      <c r="BX29" s="35" t="str">
        <f t="shared" si="28"/>
        <v/>
      </c>
      <c r="BY29" s="36" t="str">
        <f t="shared" si="29"/>
        <v/>
      </c>
      <c r="BZ29" s="37"/>
      <c r="CA29" s="33"/>
      <c r="CB29" s="34"/>
      <c r="CC29" s="35" t="str">
        <f t="shared" si="30"/>
        <v/>
      </c>
      <c r="CD29" s="36" t="str">
        <f t="shared" si="31"/>
        <v/>
      </c>
      <c r="CE29" s="37"/>
      <c r="CF29" s="33"/>
      <c r="CG29" s="34"/>
      <c r="CH29" s="35" t="str">
        <f t="shared" si="32"/>
        <v/>
      </c>
      <c r="CI29" s="36" t="str">
        <f t="shared" si="33"/>
        <v/>
      </c>
      <c r="CJ29" s="37"/>
      <c r="CK29" s="33"/>
      <c r="CL29" s="34"/>
      <c r="CM29" s="35" t="str">
        <f t="shared" si="34"/>
        <v/>
      </c>
      <c r="CN29" s="36" t="str">
        <f t="shared" si="35"/>
        <v/>
      </c>
      <c r="CO29" s="37"/>
      <c r="CP29" s="33"/>
      <c r="CQ29" s="34"/>
      <c r="CR29" s="35" t="str">
        <f t="shared" si="36"/>
        <v/>
      </c>
      <c r="CS29" s="36" t="str">
        <f t="shared" si="37"/>
        <v/>
      </c>
      <c r="CT29" s="37"/>
      <c r="CU29" s="33"/>
      <c r="CV29" s="34"/>
      <c r="CW29" s="35" t="str">
        <f t="shared" si="38"/>
        <v/>
      </c>
      <c r="CX29" s="36" t="str">
        <f t="shared" si="39"/>
        <v/>
      </c>
      <c r="CY29" s="37"/>
      <c r="CZ29" s="33"/>
      <c r="DA29" s="34"/>
      <c r="DB29" s="35" t="str">
        <f t="shared" si="40"/>
        <v/>
      </c>
      <c r="DC29" s="36" t="str">
        <f t="shared" si="41"/>
        <v/>
      </c>
      <c r="DD29" s="37"/>
      <c r="DE29" s="33"/>
      <c r="DF29" s="34"/>
      <c r="DG29" s="35" t="str">
        <f t="shared" si="42"/>
        <v/>
      </c>
      <c r="DH29" s="36" t="str">
        <f t="shared" si="43"/>
        <v/>
      </c>
      <c r="DI29" s="37"/>
      <c r="DJ29" s="33"/>
      <c r="DK29" s="34"/>
      <c r="DL29" s="35" t="str">
        <f t="shared" si="44"/>
        <v/>
      </c>
      <c r="DM29" s="36" t="str">
        <f t="shared" si="45"/>
        <v/>
      </c>
      <c r="DN29" s="37"/>
      <c r="DO29" s="33"/>
      <c r="DP29" s="34"/>
      <c r="DQ29" s="35" t="str">
        <f t="shared" si="46"/>
        <v/>
      </c>
      <c r="DR29" s="36" t="str">
        <f t="shared" si="47"/>
        <v/>
      </c>
      <c r="DS29" s="37"/>
      <c r="DT29" s="33"/>
      <c r="DU29" s="34"/>
      <c r="DV29" s="35" t="str">
        <f t="shared" si="48"/>
        <v/>
      </c>
      <c r="DW29" s="36" t="str">
        <f t="shared" si="49"/>
        <v/>
      </c>
      <c r="DX29" s="37"/>
      <c r="DY29" s="33"/>
      <c r="DZ29" s="34"/>
      <c r="EA29" s="35" t="str">
        <f t="shared" si="50"/>
        <v/>
      </c>
      <c r="EB29" s="36" t="str">
        <f t="shared" si="51"/>
        <v/>
      </c>
      <c r="EC29" s="37"/>
      <c r="ED29" s="33"/>
      <c r="EE29" s="34"/>
      <c r="EF29" s="35" t="str">
        <f t="shared" si="52"/>
        <v/>
      </c>
      <c r="EG29" s="36" t="str">
        <f t="shared" si="53"/>
        <v/>
      </c>
      <c r="EH29" s="37"/>
      <c r="EI29" s="33"/>
      <c r="EJ29" s="34"/>
      <c r="EK29" s="35" t="str">
        <f t="shared" si="54"/>
        <v/>
      </c>
      <c r="EL29" s="36" t="str">
        <f t="shared" si="55"/>
        <v/>
      </c>
      <c r="EM29" s="37"/>
      <c r="EN29" s="33"/>
      <c r="EO29" s="34"/>
      <c r="EP29" s="35" t="str">
        <f t="shared" si="56"/>
        <v/>
      </c>
      <c r="EQ29" s="36" t="str">
        <f t="shared" si="57"/>
        <v/>
      </c>
      <c r="ER29" s="37"/>
      <c r="ES29" s="33"/>
      <c r="ET29" s="34"/>
      <c r="EU29" s="35" t="str">
        <f t="shared" si="58"/>
        <v/>
      </c>
      <c r="EV29" s="36" t="str">
        <f t="shared" si="59"/>
        <v/>
      </c>
      <c r="EW29" s="37"/>
    </row>
    <row r="30" spans="1:153" ht="19.5" customHeight="1">
      <c r="A30" s="32">
        <f>IF(DAY(DATE(対象年度,10,27))&lt;&gt;27,"",27)</f>
        <v>27</v>
      </c>
      <c r="B30" s="32" t="str">
        <f>IF(DAY(DATE(対象年度,10,27))&lt;&gt;27,"",CHOOSE(WEEKDAY(DATE(対象年度,10,27),2),"月","火","水","木","金","土","日"))</f>
        <v>火</v>
      </c>
      <c r="C30" s="32" t="str">
        <f>IF(DAY(DATE(対象年度,10,27))&lt;&gt;27,"",IF(ISNUMBER(MATCH(DATE(対象年度,10,27),祝日リスト,0)),"祝",""))</f>
        <v/>
      </c>
      <c r="D30" s="33"/>
      <c r="E30" s="34"/>
      <c r="F30" s="35" t="str">
        <f t="shared" si="0"/>
        <v/>
      </c>
      <c r="G30" s="36" t="str">
        <f t="shared" si="1"/>
        <v/>
      </c>
      <c r="H30" s="37"/>
      <c r="I30" s="33"/>
      <c r="J30" s="34"/>
      <c r="K30" s="35" t="str">
        <f t="shared" si="2"/>
        <v/>
      </c>
      <c r="L30" s="36" t="str">
        <f t="shared" si="3"/>
        <v/>
      </c>
      <c r="M30" s="37"/>
      <c r="N30" s="33"/>
      <c r="O30" s="34"/>
      <c r="P30" s="35" t="str">
        <f t="shared" si="4"/>
        <v/>
      </c>
      <c r="Q30" s="36" t="str">
        <f t="shared" si="5"/>
        <v/>
      </c>
      <c r="R30" s="37"/>
      <c r="S30" s="33"/>
      <c r="T30" s="34"/>
      <c r="U30" s="35" t="str">
        <f t="shared" si="6"/>
        <v/>
      </c>
      <c r="V30" s="36" t="str">
        <f t="shared" si="7"/>
        <v/>
      </c>
      <c r="W30" s="37"/>
      <c r="X30" s="33"/>
      <c r="Y30" s="34"/>
      <c r="Z30" s="35" t="str">
        <f t="shared" si="8"/>
        <v/>
      </c>
      <c r="AA30" s="36" t="str">
        <f t="shared" si="9"/>
        <v/>
      </c>
      <c r="AB30" s="37"/>
      <c r="AC30" s="33"/>
      <c r="AD30" s="34"/>
      <c r="AE30" s="35" t="str">
        <f t="shared" si="10"/>
        <v/>
      </c>
      <c r="AF30" s="36" t="str">
        <f t="shared" si="11"/>
        <v/>
      </c>
      <c r="AG30" s="37"/>
      <c r="AH30" s="33"/>
      <c r="AI30" s="34"/>
      <c r="AJ30" s="35" t="str">
        <f t="shared" si="12"/>
        <v/>
      </c>
      <c r="AK30" s="36" t="str">
        <f t="shared" si="13"/>
        <v/>
      </c>
      <c r="AL30" s="37"/>
      <c r="AM30" s="33"/>
      <c r="AN30" s="34"/>
      <c r="AO30" s="35" t="str">
        <f t="shared" si="14"/>
        <v/>
      </c>
      <c r="AP30" s="36" t="str">
        <f t="shared" si="15"/>
        <v/>
      </c>
      <c r="AQ30" s="37"/>
      <c r="AR30" s="33"/>
      <c r="AS30" s="34"/>
      <c r="AT30" s="35" t="str">
        <f t="shared" si="16"/>
        <v/>
      </c>
      <c r="AU30" s="36" t="str">
        <f t="shared" si="17"/>
        <v/>
      </c>
      <c r="AV30" s="37"/>
      <c r="AW30" s="33"/>
      <c r="AX30" s="34"/>
      <c r="AY30" s="35" t="str">
        <f t="shared" si="18"/>
        <v/>
      </c>
      <c r="AZ30" s="36" t="str">
        <f t="shared" si="19"/>
        <v/>
      </c>
      <c r="BA30" s="37"/>
      <c r="BB30" s="33"/>
      <c r="BC30" s="34"/>
      <c r="BD30" s="35" t="str">
        <f t="shared" si="20"/>
        <v/>
      </c>
      <c r="BE30" s="36" t="str">
        <f t="shared" si="21"/>
        <v/>
      </c>
      <c r="BF30" s="37"/>
      <c r="BG30" s="33"/>
      <c r="BH30" s="34"/>
      <c r="BI30" s="35" t="str">
        <f t="shared" si="22"/>
        <v/>
      </c>
      <c r="BJ30" s="36" t="str">
        <f t="shared" si="23"/>
        <v/>
      </c>
      <c r="BK30" s="37"/>
      <c r="BL30" s="33"/>
      <c r="BM30" s="34"/>
      <c r="BN30" s="35" t="str">
        <f t="shared" si="24"/>
        <v/>
      </c>
      <c r="BO30" s="36" t="str">
        <f t="shared" si="25"/>
        <v/>
      </c>
      <c r="BP30" s="37"/>
      <c r="BQ30" s="33"/>
      <c r="BR30" s="34"/>
      <c r="BS30" s="35" t="str">
        <f t="shared" si="26"/>
        <v/>
      </c>
      <c r="BT30" s="36" t="str">
        <f t="shared" si="27"/>
        <v/>
      </c>
      <c r="BU30" s="37"/>
      <c r="BV30" s="33"/>
      <c r="BW30" s="34"/>
      <c r="BX30" s="35" t="str">
        <f t="shared" si="28"/>
        <v/>
      </c>
      <c r="BY30" s="36" t="str">
        <f t="shared" si="29"/>
        <v/>
      </c>
      <c r="BZ30" s="37"/>
      <c r="CA30" s="33"/>
      <c r="CB30" s="34"/>
      <c r="CC30" s="35" t="str">
        <f t="shared" si="30"/>
        <v/>
      </c>
      <c r="CD30" s="36" t="str">
        <f t="shared" si="31"/>
        <v/>
      </c>
      <c r="CE30" s="37"/>
      <c r="CF30" s="33"/>
      <c r="CG30" s="34"/>
      <c r="CH30" s="35" t="str">
        <f t="shared" si="32"/>
        <v/>
      </c>
      <c r="CI30" s="36" t="str">
        <f t="shared" si="33"/>
        <v/>
      </c>
      <c r="CJ30" s="37"/>
      <c r="CK30" s="33"/>
      <c r="CL30" s="34"/>
      <c r="CM30" s="35" t="str">
        <f t="shared" si="34"/>
        <v/>
      </c>
      <c r="CN30" s="36" t="str">
        <f t="shared" si="35"/>
        <v/>
      </c>
      <c r="CO30" s="37"/>
      <c r="CP30" s="33"/>
      <c r="CQ30" s="34"/>
      <c r="CR30" s="35" t="str">
        <f t="shared" si="36"/>
        <v/>
      </c>
      <c r="CS30" s="36" t="str">
        <f t="shared" si="37"/>
        <v/>
      </c>
      <c r="CT30" s="37"/>
      <c r="CU30" s="33"/>
      <c r="CV30" s="34"/>
      <c r="CW30" s="35" t="str">
        <f t="shared" si="38"/>
        <v/>
      </c>
      <c r="CX30" s="36" t="str">
        <f t="shared" si="39"/>
        <v/>
      </c>
      <c r="CY30" s="37"/>
      <c r="CZ30" s="33"/>
      <c r="DA30" s="34"/>
      <c r="DB30" s="35" t="str">
        <f t="shared" si="40"/>
        <v/>
      </c>
      <c r="DC30" s="36" t="str">
        <f t="shared" si="41"/>
        <v/>
      </c>
      <c r="DD30" s="37"/>
      <c r="DE30" s="33"/>
      <c r="DF30" s="34"/>
      <c r="DG30" s="35" t="str">
        <f t="shared" si="42"/>
        <v/>
      </c>
      <c r="DH30" s="36" t="str">
        <f t="shared" si="43"/>
        <v/>
      </c>
      <c r="DI30" s="37"/>
      <c r="DJ30" s="33"/>
      <c r="DK30" s="34"/>
      <c r="DL30" s="35" t="str">
        <f t="shared" si="44"/>
        <v/>
      </c>
      <c r="DM30" s="36" t="str">
        <f t="shared" si="45"/>
        <v/>
      </c>
      <c r="DN30" s="37"/>
      <c r="DO30" s="33"/>
      <c r="DP30" s="34"/>
      <c r="DQ30" s="35" t="str">
        <f t="shared" si="46"/>
        <v/>
      </c>
      <c r="DR30" s="36" t="str">
        <f t="shared" si="47"/>
        <v/>
      </c>
      <c r="DS30" s="37"/>
      <c r="DT30" s="33"/>
      <c r="DU30" s="34"/>
      <c r="DV30" s="35" t="str">
        <f t="shared" si="48"/>
        <v/>
      </c>
      <c r="DW30" s="36" t="str">
        <f t="shared" si="49"/>
        <v/>
      </c>
      <c r="DX30" s="37"/>
      <c r="DY30" s="33"/>
      <c r="DZ30" s="34"/>
      <c r="EA30" s="35" t="str">
        <f t="shared" si="50"/>
        <v/>
      </c>
      <c r="EB30" s="36" t="str">
        <f t="shared" si="51"/>
        <v/>
      </c>
      <c r="EC30" s="37"/>
      <c r="ED30" s="33"/>
      <c r="EE30" s="34"/>
      <c r="EF30" s="35" t="str">
        <f t="shared" si="52"/>
        <v/>
      </c>
      <c r="EG30" s="36" t="str">
        <f t="shared" si="53"/>
        <v/>
      </c>
      <c r="EH30" s="37"/>
      <c r="EI30" s="33"/>
      <c r="EJ30" s="34"/>
      <c r="EK30" s="35" t="str">
        <f t="shared" si="54"/>
        <v/>
      </c>
      <c r="EL30" s="36" t="str">
        <f t="shared" si="55"/>
        <v/>
      </c>
      <c r="EM30" s="37"/>
      <c r="EN30" s="33"/>
      <c r="EO30" s="34"/>
      <c r="EP30" s="35" t="str">
        <f t="shared" si="56"/>
        <v/>
      </c>
      <c r="EQ30" s="36" t="str">
        <f t="shared" si="57"/>
        <v/>
      </c>
      <c r="ER30" s="37"/>
      <c r="ES30" s="33"/>
      <c r="ET30" s="34"/>
      <c r="EU30" s="35" t="str">
        <f t="shared" si="58"/>
        <v/>
      </c>
      <c r="EV30" s="36" t="str">
        <f t="shared" si="59"/>
        <v/>
      </c>
      <c r="EW30" s="37"/>
    </row>
    <row r="31" spans="1:153" ht="19.5" customHeight="1">
      <c r="A31" s="32">
        <f>IF(DAY(DATE(対象年度,10,28))&lt;&gt;28,"",28)</f>
        <v>28</v>
      </c>
      <c r="B31" s="32" t="str">
        <f>IF(DAY(DATE(対象年度,10,28))&lt;&gt;28,"",CHOOSE(WEEKDAY(DATE(対象年度,10,28),2),"月","火","水","木","金","土","日"))</f>
        <v>水</v>
      </c>
      <c r="C31" s="32" t="str">
        <f>IF(DAY(DATE(対象年度,10,28))&lt;&gt;28,"",IF(ISNUMBER(MATCH(DATE(対象年度,10,28),祝日リスト,0)),"祝",""))</f>
        <v/>
      </c>
      <c r="D31" s="33"/>
      <c r="E31" s="34"/>
      <c r="F31" s="35" t="str">
        <f t="shared" si="0"/>
        <v/>
      </c>
      <c r="G31" s="36" t="str">
        <f t="shared" si="1"/>
        <v/>
      </c>
      <c r="H31" s="37"/>
      <c r="I31" s="33"/>
      <c r="J31" s="34"/>
      <c r="K31" s="35" t="str">
        <f t="shared" si="2"/>
        <v/>
      </c>
      <c r="L31" s="36" t="str">
        <f t="shared" si="3"/>
        <v/>
      </c>
      <c r="M31" s="37"/>
      <c r="N31" s="33"/>
      <c r="O31" s="34"/>
      <c r="P31" s="35" t="str">
        <f t="shared" si="4"/>
        <v/>
      </c>
      <c r="Q31" s="36" t="str">
        <f t="shared" si="5"/>
        <v/>
      </c>
      <c r="R31" s="37"/>
      <c r="S31" s="33"/>
      <c r="T31" s="34"/>
      <c r="U31" s="35" t="str">
        <f t="shared" si="6"/>
        <v/>
      </c>
      <c r="V31" s="36" t="str">
        <f t="shared" si="7"/>
        <v/>
      </c>
      <c r="W31" s="37"/>
      <c r="X31" s="33"/>
      <c r="Y31" s="34"/>
      <c r="Z31" s="35" t="str">
        <f t="shared" si="8"/>
        <v/>
      </c>
      <c r="AA31" s="36" t="str">
        <f t="shared" si="9"/>
        <v/>
      </c>
      <c r="AB31" s="37"/>
      <c r="AC31" s="33"/>
      <c r="AD31" s="34"/>
      <c r="AE31" s="35" t="str">
        <f t="shared" si="10"/>
        <v/>
      </c>
      <c r="AF31" s="36" t="str">
        <f t="shared" si="11"/>
        <v/>
      </c>
      <c r="AG31" s="37"/>
      <c r="AH31" s="33"/>
      <c r="AI31" s="34"/>
      <c r="AJ31" s="35" t="str">
        <f t="shared" si="12"/>
        <v/>
      </c>
      <c r="AK31" s="36" t="str">
        <f t="shared" si="13"/>
        <v/>
      </c>
      <c r="AL31" s="37"/>
      <c r="AM31" s="33"/>
      <c r="AN31" s="34"/>
      <c r="AO31" s="35" t="str">
        <f t="shared" si="14"/>
        <v/>
      </c>
      <c r="AP31" s="36" t="str">
        <f t="shared" si="15"/>
        <v/>
      </c>
      <c r="AQ31" s="37"/>
      <c r="AR31" s="33"/>
      <c r="AS31" s="34"/>
      <c r="AT31" s="35" t="str">
        <f t="shared" si="16"/>
        <v/>
      </c>
      <c r="AU31" s="36" t="str">
        <f t="shared" si="17"/>
        <v/>
      </c>
      <c r="AV31" s="37"/>
      <c r="AW31" s="33"/>
      <c r="AX31" s="34"/>
      <c r="AY31" s="35" t="str">
        <f t="shared" si="18"/>
        <v/>
      </c>
      <c r="AZ31" s="36" t="str">
        <f t="shared" si="19"/>
        <v/>
      </c>
      <c r="BA31" s="37"/>
      <c r="BB31" s="33"/>
      <c r="BC31" s="34"/>
      <c r="BD31" s="35" t="str">
        <f t="shared" si="20"/>
        <v/>
      </c>
      <c r="BE31" s="36" t="str">
        <f t="shared" si="21"/>
        <v/>
      </c>
      <c r="BF31" s="37"/>
      <c r="BG31" s="33"/>
      <c r="BH31" s="34"/>
      <c r="BI31" s="35" t="str">
        <f t="shared" si="22"/>
        <v/>
      </c>
      <c r="BJ31" s="36" t="str">
        <f t="shared" si="23"/>
        <v/>
      </c>
      <c r="BK31" s="37"/>
      <c r="BL31" s="33"/>
      <c r="BM31" s="34"/>
      <c r="BN31" s="35" t="str">
        <f t="shared" si="24"/>
        <v/>
      </c>
      <c r="BO31" s="36" t="str">
        <f t="shared" si="25"/>
        <v/>
      </c>
      <c r="BP31" s="37"/>
      <c r="BQ31" s="33"/>
      <c r="BR31" s="34"/>
      <c r="BS31" s="35" t="str">
        <f t="shared" si="26"/>
        <v/>
      </c>
      <c r="BT31" s="36" t="str">
        <f t="shared" si="27"/>
        <v/>
      </c>
      <c r="BU31" s="37"/>
      <c r="BV31" s="33"/>
      <c r="BW31" s="34"/>
      <c r="BX31" s="35" t="str">
        <f t="shared" si="28"/>
        <v/>
      </c>
      <c r="BY31" s="36" t="str">
        <f t="shared" si="29"/>
        <v/>
      </c>
      <c r="BZ31" s="37"/>
      <c r="CA31" s="33"/>
      <c r="CB31" s="34"/>
      <c r="CC31" s="35" t="str">
        <f t="shared" si="30"/>
        <v/>
      </c>
      <c r="CD31" s="36" t="str">
        <f t="shared" si="31"/>
        <v/>
      </c>
      <c r="CE31" s="37"/>
      <c r="CF31" s="33"/>
      <c r="CG31" s="34"/>
      <c r="CH31" s="35" t="str">
        <f t="shared" si="32"/>
        <v/>
      </c>
      <c r="CI31" s="36" t="str">
        <f t="shared" si="33"/>
        <v/>
      </c>
      <c r="CJ31" s="37"/>
      <c r="CK31" s="33"/>
      <c r="CL31" s="34"/>
      <c r="CM31" s="35" t="str">
        <f t="shared" si="34"/>
        <v/>
      </c>
      <c r="CN31" s="36" t="str">
        <f t="shared" si="35"/>
        <v/>
      </c>
      <c r="CO31" s="37"/>
      <c r="CP31" s="33"/>
      <c r="CQ31" s="34"/>
      <c r="CR31" s="35" t="str">
        <f t="shared" si="36"/>
        <v/>
      </c>
      <c r="CS31" s="36" t="str">
        <f t="shared" si="37"/>
        <v/>
      </c>
      <c r="CT31" s="37"/>
      <c r="CU31" s="33"/>
      <c r="CV31" s="34"/>
      <c r="CW31" s="35" t="str">
        <f t="shared" si="38"/>
        <v/>
      </c>
      <c r="CX31" s="36" t="str">
        <f t="shared" si="39"/>
        <v/>
      </c>
      <c r="CY31" s="37"/>
      <c r="CZ31" s="33"/>
      <c r="DA31" s="34"/>
      <c r="DB31" s="35" t="str">
        <f t="shared" si="40"/>
        <v/>
      </c>
      <c r="DC31" s="36" t="str">
        <f t="shared" si="41"/>
        <v/>
      </c>
      <c r="DD31" s="37"/>
      <c r="DE31" s="33"/>
      <c r="DF31" s="34"/>
      <c r="DG31" s="35" t="str">
        <f t="shared" si="42"/>
        <v/>
      </c>
      <c r="DH31" s="36" t="str">
        <f t="shared" si="43"/>
        <v/>
      </c>
      <c r="DI31" s="37"/>
      <c r="DJ31" s="33"/>
      <c r="DK31" s="34"/>
      <c r="DL31" s="35" t="str">
        <f t="shared" si="44"/>
        <v/>
      </c>
      <c r="DM31" s="36" t="str">
        <f t="shared" si="45"/>
        <v/>
      </c>
      <c r="DN31" s="37"/>
      <c r="DO31" s="33"/>
      <c r="DP31" s="34"/>
      <c r="DQ31" s="35" t="str">
        <f t="shared" si="46"/>
        <v/>
      </c>
      <c r="DR31" s="36" t="str">
        <f t="shared" si="47"/>
        <v/>
      </c>
      <c r="DS31" s="37"/>
      <c r="DT31" s="33"/>
      <c r="DU31" s="34"/>
      <c r="DV31" s="35" t="str">
        <f t="shared" si="48"/>
        <v/>
      </c>
      <c r="DW31" s="36" t="str">
        <f t="shared" si="49"/>
        <v/>
      </c>
      <c r="DX31" s="37"/>
      <c r="DY31" s="33"/>
      <c r="DZ31" s="34"/>
      <c r="EA31" s="35" t="str">
        <f t="shared" si="50"/>
        <v/>
      </c>
      <c r="EB31" s="36" t="str">
        <f t="shared" si="51"/>
        <v/>
      </c>
      <c r="EC31" s="37"/>
      <c r="ED31" s="33"/>
      <c r="EE31" s="34"/>
      <c r="EF31" s="35" t="str">
        <f t="shared" si="52"/>
        <v/>
      </c>
      <c r="EG31" s="36" t="str">
        <f t="shared" si="53"/>
        <v/>
      </c>
      <c r="EH31" s="37"/>
      <c r="EI31" s="33"/>
      <c r="EJ31" s="34"/>
      <c r="EK31" s="35" t="str">
        <f t="shared" si="54"/>
        <v/>
      </c>
      <c r="EL31" s="36" t="str">
        <f t="shared" si="55"/>
        <v/>
      </c>
      <c r="EM31" s="37"/>
      <c r="EN31" s="33"/>
      <c r="EO31" s="34"/>
      <c r="EP31" s="35" t="str">
        <f t="shared" si="56"/>
        <v/>
      </c>
      <c r="EQ31" s="36" t="str">
        <f t="shared" si="57"/>
        <v/>
      </c>
      <c r="ER31" s="37"/>
      <c r="ES31" s="33"/>
      <c r="ET31" s="34"/>
      <c r="EU31" s="35" t="str">
        <f t="shared" si="58"/>
        <v/>
      </c>
      <c r="EV31" s="36" t="str">
        <f t="shared" si="59"/>
        <v/>
      </c>
      <c r="EW31" s="37"/>
    </row>
    <row r="32" spans="1:153" ht="19.5" customHeight="1">
      <c r="A32" s="32">
        <f>IF(DAY(DATE(対象年度,10,29))&lt;&gt;29,"",29)</f>
        <v>29</v>
      </c>
      <c r="B32" s="32" t="str">
        <f>IF(DAY(DATE(対象年度,10,29))&lt;&gt;29,"",CHOOSE(WEEKDAY(DATE(対象年度,10,29),2),"月","火","水","木","金","土","日"))</f>
        <v>木</v>
      </c>
      <c r="C32" s="32" t="str">
        <f>IF(DAY(DATE(対象年度,10,29))&lt;&gt;29,"",IF(ISNUMBER(MATCH(DATE(対象年度,10,29),祝日リスト,0)),"祝",""))</f>
        <v/>
      </c>
      <c r="D32" s="33"/>
      <c r="E32" s="34"/>
      <c r="F32" s="35" t="str">
        <f t="shared" si="0"/>
        <v/>
      </c>
      <c r="G32" s="36" t="str">
        <f t="shared" si="1"/>
        <v/>
      </c>
      <c r="H32" s="37"/>
      <c r="I32" s="33"/>
      <c r="J32" s="34"/>
      <c r="K32" s="35" t="str">
        <f t="shared" si="2"/>
        <v/>
      </c>
      <c r="L32" s="36" t="str">
        <f t="shared" si="3"/>
        <v/>
      </c>
      <c r="M32" s="37"/>
      <c r="N32" s="33"/>
      <c r="O32" s="34"/>
      <c r="P32" s="35" t="str">
        <f t="shared" si="4"/>
        <v/>
      </c>
      <c r="Q32" s="36" t="str">
        <f t="shared" si="5"/>
        <v/>
      </c>
      <c r="R32" s="37"/>
      <c r="S32" s="33"/>
      <c r="T32" s="34"/>
      <c r="U32" s="35" t="str">
        <f t="shared" si="6"/>
        <v/>
      </c>
      <c r="V32" s="36" t="str">
        <f t="shared" si="7"/>
        <v/>
      </c>
      <c r="W32" s="37"/>
      <c r="X32" s="33"/>
      <c r="Y32" s="34"/>
      <c r="Z32" s="35" t="str">
        <f t="shared" si="8"/>
        <v/>
      </c>
      <c r="AA32" s="36" t="str">
        <f t="shared" si="9"/>
        <v/>
      </c>
      <c r="AB32" s="37"/>
      <c r="AC32" s="33"/>
      <c r="AD32" s="34"/>
      <c r="AE32" s="35" t="str">
        <f t="shared" si="10"/>
        <v/>
      </c>
      <c r="AF32" s="36" t="str">
        <f t="shared" si="11"/>
        <v/>
      </c>
      <c r="AG32" s="37"/>
      <c r="AH32" s="33"/>
      <c r="AI32" s="34"/>
      <c r="AJ32" s="35" t="str">
        <f t="shared" si="12"/>
        <v/>
      </c>
      <c r="AK32" s="36" t="str">
        <f t="shared" si="13"/>
        <v/>
      </c>
      <c r="AL32" s="37"/>
      <c r="AM32" s="33"/>
      <c r="AN32" s="34"/>
      <c r="AO32" s="35" t="str">
        <f t="shared" si="14"/>
        <v/>
      </c>
      <c r="AP32" s="36" t="str">
        <f t="shared" si="15"/>
        <v/>
      </c>
      <c r="AQ32" s="37"/>
      <c r="AR32" s="33"/>
      <c r="AS32" s="34"/>
      <c r="AT32" s="35" t="str">
        <f t="shared" si="16"/>
        <v/>
      </c>
      <c r="AU32" s="36" t="str">
        <f t="shared" si="17"/>
        <v/>
      </c>
      <c r="AV32" s="37"/>
      <c r="AW32" s="33"/>
      <c r="AX32" s="34"/>
      <c r="AY32" s="35" t="str">
        <f t="shared" si="18"/>
        <v/>
      </c>
      <c r="AZ32" s="36" t="str">
        <f t="shared" si="19"/>
        <v/>
      </c>
      <c r="BA32" s="37"/>
      <c r="BB32" s="33"/>
      <c r="BC32" s="34"/>
      <c r="BD32" s="35" t="str">
        <f t="shared" si="20"/>
        <v/>
      </c>
      <c r="BE32" s="36" t="str">
        <f t="shared" si="21"/>
        <v/>
      </c>
      <c r="BF32" s="37"/>
      <c r="BG32" s="33"/>
      <c r="BH32" s="34"/>
      <c r="BI32" s="35" t="str">
        <f t="shared" si="22"/>
        <v/>
      </c>
      <c r="BJ32" s="36" t="str">
        <f t="shared" si="23"/>
        <v/>
      </c>
      <c r="BK32" s="37"/>
      <c r="BL32" s="33"/>
      <c r="BM32" s="34"/>
      <c r="BN32" s="35" t="str">
        <f t="shared" si="24"/>
        <v/>
      </c>
      <c r="BO32" s="36" t="str">
        <f t="shared" si="25"/>
        <v/>
      </c>
      <c r="BP32" s="37"/>
      <c r="BQ32" s="33"/>
      <c r="BR32" s="34"/>
      <c r="BS32" s="35" t="str">
        <f t="shared" si="26"/>
        <v/>
      </c>
      <c r="BT32" s="36" t="str">
        <f t="shared" si="27"/>
        <v/>
      </c>
      <c r="BU32" s="37"/>
      <c r="BV32" s="33"/>
      <c r="BW32" s="34"/>
      <c r="BX32" s="35" t="str">
        <f t="shared" si="28"/>
        <v/>
      </c>
      <c r="BY32" s="36" t="str">
        <f t="shared" si="29"/>
        <v/>
      </c>
      <c r="BZ32" s="37"/>
      <c r="CA32" s="33"/>
      <c r="CB32" s="34"/>
      <c r="CC32" s="35" t="str">
        <f t="shared" si="30"/>
        <v/>
      </c>
      <c r="CD32" s="36" t="str">
        <f t="shared" si="31"/>
        <v/>
      </c>
      <c r="CE32" s="37"/>
      <c r="CF32" s="33"/>
      <c r="CG32" s="34"/>
      <c r="CH32" s="35" t="str">
        <f t="shared" si="32"/>
        <v/>
      </c>
      <c r="CI32" s="36" t="str">
        <f t="shared" si="33"/>
        <v/>
      </c>
      <c r="CJ32" s="37"/>
      <c r="CK32" s="33"/>
      <c r="CL32" s="34"/>
      <c r="CM32" s="35" t="str">
        <f t="shared" si="34"/>
        <v/>
      </c>
      <c r="CN32" s="36" t="str">
        <f t="shared" si="35"/>
        <v/>
      </c>
      <c r="CO32" s="37"/>
      <c r="CP32" s="33"/>
      <c r="CQ32" s="34"/>
      <c r="CR32" s="35" t="str">
        <f t="shared" si="36"/>
        <v/>
      </c>
      <c r="CS32" s="36" t="str">
        <f t="shared" si="37"/>
        <v/>
      </c>
      <c r="CT32" s="37"/>
      <c r="CU32" s="33"/>
      <c r="CV32" s="34"/>
      <c r="CW32" s="35" t="str">
        <f t="shared" si="38"/>
        <v/>
      </c>
      <c r="CX32" s="36" t="str">
        <f t="shared" si="39"/>
        <v/>
      </c>
      <c r="CY32" s="37"/>
      <c r="CZ32" s="33"/>
      <c r="DA32" s="34"/>
      <c r="DB32" s="35" t="str">
        <f t="shared" si="40"/>
        <v/>
      </c>
      <c r="DC32" s="36" t="str">
        <f t="shared" si="41"/>
        <v/>
      </c>
      <c r="DD32" s="37"/>
      <c r="DE32" s="33"/>
      <c r="DF32" s="34"/>
      <c r="DG32" s="35" t="str">
        <f t="shared" si="42"/>
        <v/>
      </c>
      <c r="DH32" s="36" t="str">
        <f t="shared" si="43"/>
        <v/>
      </c>
      <c r="DI32" s="37"/>
      <c r="DJ32" s="33"/>
      <c r="DK32" s="34"/>
      <c r="DL32" s="35" t="str">
        <f t="shared" si="44"/>
        <v/>
      </c>
      <c r="DM32" s="36" t="str">
        <f t="shared" si="45"/>
        <v/>
      </c>
      <c r="DN32" s="37"/>
      <c r="DO32" s="33"/>
      <c r="DP32" s="34"/>
      <c r="DQ32" s="35" t="str">
        <f t="shared" si="46"/>
        <v/>
      </c>
      <c r="DR32" s="36" t="str">
        <f t="shared" si="47"/>
        <v/>
      </c>
      <c r="DS32" s="37"/>
      <c r="DT32" s="33"/>
      <c r="DU32" s="34"/>
      <c r="DV32" s="35" t="str">
        <f t="shared" si="48"/>
        <v/>
      </c>
      <c r="DW32" s="36" t="str">
        <f t="shared" si="49"/>
        <v/>
      </c>
      <c r="DX32" s="37"/>
      <c r="DY32" s="33"/>
      <c r="DZ32" s="34"/>
      <c r="EA32" s="35" t="str">
        <f t="shared" si="50"/>
        <v/>
      </c>
      <c r="EB32" s="36" t="str">
        <f t="shared" si="51"/>
        <v/>
      </c>
      <c r="EC32" s="37"/>
      <c r="ED32" s="33"/>
      <c r="EE32" s="34"/>
      <c r="EF32" s="35" t="str">
        <f t="shared" si="52"/>
        <v/>
      </c>
      <c r="EG32" s="36" t="str">
        <f t="shared" si="53"/>
        <v/>
      </c>
      <c r="EH32" s="37"/>
      <c r="EI32" s="33"/>
      <c r="EJ32" s="34"/>
      <c r="EK32" s="35" t="str">
        <f t="shared" si="54"/>
        <v/>
      </c>
      <c r="EL32" s="36" t="str">
        <f t="shared" si="55"/>
        <v/>
      </c>
      <c r="EM32" s="37"/>
      <c r="EN32" s="33"/>
      <c r="EO32" s="34"/>
      <c r="EP32" s="35" t="str">
        <f t="shared" si="56"/>
        <v/>
      </c>
      <c r="EQ32" s="36" t="str">
        <f t="shared" si="57"/>
        <v/>
      </c>
      <c r="ER32" s="37"/>
      <c r="ES32" s="33"/>
      <c r="ET32" s="34"/>
      <c r="EU32" s="35" t="str">
        <f t="shared" si="58"/>
        <v/>
      </c>
      <c r="EV32" s="36" t="str">
        <f t="shared" si="59"/>
        <v/>
      </c>
      <c r="EW32" s="37"/>
    </row>
    <row r="33" spans="1:153" ht="19.5" customHeight="1">
      <c r="A33" s="32">
        <f>IF(DAY(DATE(対象年度,10,30))&lt;&gt;30,"",30)</f>
        <v>30</v>
      </c>
      <c r="B33" s="32" t="str">
        <f>IF(DAY(DATE(対象年度,10,30))&lt;&gt;30,"",CHOOSE(WEEKDAY(DATE(対象年度,10,30),2),"月","火","水","木","金","土","日"))</f>
        <v>金</v>
      </c>
      <c r="C33" s="32" t="str">
        <f>IF(DAY(DATE(対象年度,10,30))&lt;&gt;30,"",IF(ISNUMBER(MATCH(DATE(対象年度,10,30),祝日リスト,0)),"祝",""))</f>
        <v/>
      </c>
      <c r="D33" s="33"/>
      <c r="E33" s="34"/>
      <c r="F33" s="35" t="str">
        <f t="shared" si="0"/>
        <v/>
      </c>
      <c r="G33" s="36" t="str">
        <f t="shared" si="1"/>
        <v/>
      </c>
      <c r="H33" s="37"/>
      <c r="I33" s="33"/>
      <c r="J33" s="34"/>
      <c r="K33" s="35" t="str">
        <f t="shared" si="2"/>
        <v/>
      </c>
      <c r="L33" s="36" t="str">
        <f t="shared" si="3"/>
        <v/>
      </c>
      <c r="M33" s="37"/>
      <c r="N33" s="33"/>
      <c r="O33" s="34"/>
      <c r="P33" s="35" t="str">
        <f t="shared" si="4"/>
        <v/>
      </c>
      <c r="Q33" s="36" t="str">
        <f t="shared" si="5"/>
        <v/>
      </c>
      <c r="R33" s="37"/>
      <c r="S33" s="33"/>
      <c r="T33" s="34"/>
      <c r="U33" s="35" t="str">
        <f t="shared" si="6"/>
        <v/>
      </c>
      <c r="V33" s="36" t="str">
        <f t="shared" si="7"/>
        <v/>
      </c>
      <c r="W33" s="37"/>
      <c r="X33" s="33"/>
      <c r="Y33" s="34"/>
      <c r="Z33" s="35" t="str">
        <f t="shared" si="8"/>
        <v/>
      </c>
      <c r="AA33" s="36" t="str">
        <f t="shared" si="9"/>
        <v/>
      </c>
      <c r="AB33" s="37"/>
      <c r="AC33" s="33"/>
      <c r="AD33" s="34"/>
      <c r="AE33" s="35" t="str">
        <f t="shared" si="10"/>
        <v/>
      </c>
      <c r="AF33" s="36" t="str">
        <f t="shared" si="11"/>
        <v/>
      </c>
      <c r="AG33" s="37"/>
      <c r="AH33" s="33"/>
      <c r="AI33" s="34"/>
      <c r="AJ33" s="35" t="str">
        <f t="shared" si="12"/>
        <v/>
      </c>
      <c r="AK33" s="36" t="str">
        <f t="shared" si="13"/>
        <v/>
      </c>
      <c r="AL33" s="37"/>
      <c r="AM33" s="33"/>
      <c r="AN33" s="34"/>
      <c r="AO33" s="35" t="str">
        <f t="shared" si="14"/>
        <v/>
      </c>
      <c r="AP33" s="36" t="str">
        <f t="shared" si="15"/>
        <v/>
      </c>
      <c r="AQ33" s="37"/>
      <c r="AR33" s="33"/>
      <c r="AS33" s="34"/>
      <c r="AT33" s="35" t="str">
        <f t="shared" si="16"/>
        <v/>
      </c>
      <c r="AU33" s="36" t="str">
        <f t="shared" si="17"/>
        <v/>
      </c>
      <c r="AV33" s="37"/>
      <c r="AW33" s="33"/>
      <c r="AX33" s="34"/>
      <c r="AY33" s="35" t="str">
        <f t="shared" si="18"/>
        <v/>
      </c>
      <c r="AZ33" s="36" t="str">
        <f t="shared" si="19"/>
        <v/>
      </c>
      <c r="BA33" s="37"/>
      <c r="BB33" s="33"/>
      <c r="BC33" s="34"/>
      <c r="BD33" s="35" t="str">
        <f t="shared" si="20"/>
        <v/>
      </c>
      <c r="BE33" s="36" t="str">
        <f t="shared" si="21"/>
        <v/>
      </c>
      <c r="BF33" s="37"/>
      <c r="BG33" s="33"/>
      <c r="BH33" s="34"/>
      <c r="BI33" s="35" t="str">
        <f t="shared" si="22"/>
        <v/>
      </c>
      <c r="BJ33" s="36" t="str">
        <f t="shared" si="23"/>
        <v/>
      </c>
      <c r="BK33" s="37"/>
      <c r="BL33" s="33"/>
      <c r="BM33" s="34"/>
      <c r="BN33" s="35" t="str">
        <f t="shared" si="24"/>
        <v/>
      </c>
      <c r="BO33" s="36" t="str">
        <f t="shared" si="25"/>
        <v/>
      </c>
      <c r="BP33" s="37"/>
      <c r="BQ33" s="33"/>
      <c r="BR33" s="34"/>
      <c r="BS33" s="35" t="str">
        <f t="shared" si="26"/>
        <v/>
      </c>
      <c r="BT33" s="36" t="str">
        <f t="shared" si="27"/>
        <v/>
      </c>
      <c r="BU33" s="37"/>
      <c r="BV33" s="33"/>
      <c r="BW33" s="34"/>
      <c r="BX33" s="35" t="str">
        <f t="shared" si="28"/>
        <v/>
      </c>
      <c r="BY33" s="36" t="str">
        <f t="shared" si="29"/>
        <v/>
      </c>
      <c r="BZ33" s="37"/>
      <c r="CA33" s="33"/>
      <c r="CB33" s="34"/>
      <c r="CC33" s="35" t="str">
        <f t="shared" si="30"/>
        <v/>
      </c>
      <c r="CD33" s="36" t="str">
        <f t="shared" si="31"/>
        <v/>
      </c>
      <c r="CE33" s="37"/>
      <c r="CF33" s="33"/>
      <c r="CG33" s="34"/>
      <c r="CH33" s="35" t="str">
        <f t="shared" si="32"/>
        <v/>
      </c>
      <c r="CI33" s="36" t="str">
        <f t="shared" si="33"/>
        <v/>
      </c>
      <c r="CJ33" s="37"/>
      <c r="CK33" s="33"/>
      <c r="CL33" s="34"/>
      <c r="CM33" s="35" t="str">
        <f t="shared" si="34"/>
        <v/>
      </c>
      <c r="CN33" s="36" t="str">
        <f t="shared" si="35"/>
        <v/>
      </c>
      <c r="CO33" s="37"/>
      <c r="CP33" s="33"/>
      <c r="CQ33" s="34"/>
      <c r="CR33" s="35" t="str">
        <f t="shared" si="36"/>
        <v/>
      </c>
      <c r="CS33" s="36" t="str">
        <f t="shared" si="37"/>
        <v/>
      </c>
      <c r="CT33" s="37"/>
      <c r="CU33" s="33"/>
      <c r="CV33" s="34"/>
      <c r="CW33" s="35" t="str">
        <f t="shared" si="38"/>
        <v/>
      </c>
      <c r="CX33" s="36" t="str">
        <f t="shared" si="39"/>
        <v/>
      </c>
      <c r="CY33" s="37"/>
      <c r="CZ33" s="33"/>
      <c r="DA33" s="34"/>
      <c r="DB33" s="35" t="str">
        <f t="shared" si="40"/>
        <v/>
      </c>
      <c r="DC33" s="36" t="str">
        <f t="shared" si="41"/>
        <v/>
      </c>
      <c r="DD33" s="37"/>
      <c r="DE33" s="33"/>
      <c r="DF33" s="34"/>
      <c r="DG33" s="35" t="str">
        <f t="shared" si="42"/>
        <v/>
      </c>
      <c r="DH33" s="36" t="str">
        <f t="shared" si="43"/>
        <v/>
      </c>
      <c r="DI33" s="37"/>
      <c r="DJ33" s="33"/>
      <c r="DK33" s="34"/>
      <c r="DL33" s="35" t="str">
        <f t="shared" si="44"/>
        <v/>
      </c>
      <c r="DM33" s="36" t="str">
        <f t="shared" si="45"/>
        <v/>
      </c>
      <c r="DN33" s="37"/>
      <c r="DO33" s="33"/>
      <c r="DP33" s="34"/>
      <c r="DQ33" s="35" t="str">
        <f t="shared" si="46"/>
        <v/>
      </c>
      <c r="DR33" s="36" t="str">
        <f t="shared" si="47"/>
        <v/>
      </c>
      <c r="DS33" s="37"/>
      <c r="DT33" s="33"/>
      <c r="DU33" s="34"/>
      <c r="DV33" s="35" t="str">
        <f t="shared" si="48"/>
        <v/>
      </c>
      <c r="DW33" s="36" t="str">
        <f t="shared" si="49"/>
        <v/>
      </c>
      <c r="DX33" s="37"/>
      <c r="DY33" s="33"/>
      <c r="DZ33" s="34"/>
      <c r="EA33" s="35" t="str">
        <f t="shared" si="50"/>
        <v/>
      </c>
      <c r="EB33" s="36" t="str">
        <f t="shared" si="51"/>
        <v/>
      </c>
      <c r="EC33" s="37"/>
      <c r="ED33" s="33"/>
      <c r="EE33" s="34"/>
      <c r="EF33" s="35" t="str">
        <f t="shared" si="52"/>
        <v/>
      </c>
      <c r="EG33" s="36" t="str">
        <f t="shared" si="53"/>
        <v/>
      </c>
      <c r="EH33" s="37"/>
      <c r="EI33" s="33"/>
      <c r="EJ33" s="34"/>
      <c r="EK33" s="35" t="str">
        <f t="shared" si="54"/>
        <v/>
      </c>
      <c r="EL33" s="36" t="str">
        <f t="shared" si="55"/>
        <v/>
      </c>
      <c r="EM33" s="37"/>
      <c r="EN33" s="33"/>
      <c r="EO33" s="34"/>
      <c r="EP33" s="35" t="str">
        <f t="shared" si="56"/>
        <v/>
      </c>
      <c r="EQ33" s="36" t="str">
        <f t="shared" si="57"/>
        <v/>
      </c>
      <c r="ER33" s="37"/>
      <c r="ES33" s="33"/>
      <c r="ET33" s="34"/>
      <c r="EU33" s="35" t="str">
        <f t="shared" si="58"/>
        <v/>
      </c>
      <c r="EV33" s="36" t="str">
        <f t="shared" si="59"/>
        <v/>
      </c>
      <c r="EW33" s="37"/>
    </row>
    <row r="34" spans="1:153" ht="19.5" customHeight="1">
      <c r="A34" s="39">
        <f>IF(DAY(DATE(対象年度,10,31))&lt;&gt;31,"",31)</f>
        <v>31</v>
      </c>
      <c r="B34" s="39" t="str">
        <f>IF(DAY(DATE(対象年度,10,31))&lt;&gt;31,"",CHOOSE(WEEKDAY(DATE(対象年度,10,31),2),"月","火","水","木","金","土","日"))</f>
        <v>土</v>
      </c>
      <c r="C34" s="39" t="str">
        <f>IF(DAY(DATE(対象年度,10,31))&lt;&gt;31,"",IF(ISNUMBER(MATCH(DATE(対象年度,10,31),祝日リスト,0)),"祝",""))</f>
        <v/>
      </c>
      <c r="D34" s="40"/>
      <c r="E34" s="41"/>
      <c r="F34" s="42" t="str">
        <f t="shared" si="0"/>
        <v/>
      </c>
      <c r="G34" s="43" t="str">
        <f t="shared" si="1"/>
        <v/>
      </c>
      <c r="H34" s="44"/>
      <c r="I34" s="40"/>
      <c r="J34" s="41"/>
      <c r="K34" s="42" t="str">
        <f t="shared" si="2"/>
        <v/>
      </c>
      <c r="L34" s="43" t="str">
        <f t="shared" si="3"/>
        <v/>
      </c>
      <c r="M34" s="44"/>
      <c r="N34" s="40"/>
      <c r="O34" s="41"/>
      <c r="P34" s="42" t="str">
        <f t="shared" si="4"/>
        <v/>
      </c>
      <c r="Q34" s="43" t="str">
        <f t="shared" si="5"/>
        <v/>
      </c>
      <c r="R34" s="44"/>
      <c r="S34" s="40"/>
      <c r="T34" s="41"/>
      <c r="U34" s="42" t="str">
        <f t="shared" si="6"/>
        <v/>
      </c>
      <c r="V34" s="43" t="str">
        <f t="shared" si="7"/>
        <v/>
      </c>
      <c r="W34" s="44"/>
      <c r="X34" s="40"/>
      <c r="Y34" s="41"/>
      <c r="Z34" s="42" t="str">
        <f t="shared" si="8"/>
        <v/>
      </c>
      <c r="AA34" s="43" t="str">
        <f t="shared" si="9"/>
        <v/>
      </c>
      <c r="AB34" s="44"/>
      <c r="AC34" s="40"/>
      <c r="AD34" s="41"/>
      <c r="AE34" s="42" t="str">
        <f t="shared" si="10"/>
        <v/>
      </c>
      <c r="AF34" s="43" t="str">
        <f t="shared" si="11"/>
        <v/>
      </c>
      <c r="AG34" s="44"/>
      <c r="AH34" s="40"/>
      <c r="AI34" s="41"/>
      <c r="AJ34" s="42" t="str">
        <f t="shared" si="12"/>
        <v/>
      </c>
      <c r="AK34" s="43" t="str">
        <f t="shared" si="13"/>
        <v/>
      </c>
      <c r="AL34" s="44"/>
      <c r="AM34" s="40"/>
      <c r="AN34" s="41"/>
      <c r="AO34" s="42" t="str">
        <f t="shared" si="14"/>
        <v/>
      </c>
      <c r="AP34" s="43" t="str">
        <f t="shared" si="15"/>
        <v/>
      </c>
      <c r="AQ34" s="44"/>
      <c r="AR34" s="40"/>
      <c r="AS34" s="41"/>
      <c r="AT34" s="42" t="str">
        <f t="shared" si="16"/>
        <v/>
      </c>
      <c r="AU34" s="43" t="str">
        <f t="shared" si="17"/>
        <v/>
      </c>
      <c r="AV34" s="44"/>
      <c r="AW34" s="40"/>
      <c r="AX34" s="41"/>
      <c r="AY34" s="42" t="str">
        <f t="shared" si="18"/>
        <v/>
      </c>
      <c r="AZ34" s="43" t="str">
        <f t="shared" si="19"/>
        <v/>
      </c>
      <c r="BA34" s="44"/>
      <c r="BB34" s="40"/>
      <c r="BC34" s="41"/>
      <c r="BD34" s="42" t="str">
        <f t="shared" si="20"/>
        <v/>
      </c>
      <c r="BE34" s="43" t="str">
        <f t="shared" si="21"/>
        <v/>
      </c>
      <c r="BF34" s="44"/>
      <c r="BG34" s="40"/>
      <c r="BH34" s="41"/>
      <c r="BI34" s="42" t="str">
        <f t="shared" si="22"/>
        <v/>
      </c>
      <c r="BJ34" s="43" t="str">
        <f t="shared" si="23"/>
        <v/>
      </c>
      <c r="BK34" s="44"/>
      <c r="BL34" s="40"/>
      <c r="BM34" s="41"/>
      <c r="BN34" s="42" t="str">
        <f t="shared" si="24"/>
        <v/>
      </c>
      <c r="BO34" s="43" t="str">
        <f t="shared" si="25"/>
        <v/>
      </c>
      <c r="BP34" s="44"/>
      <c r="BQ34" s="40"/>
      <c r="BR34" s="41"/>
      <c r="BS34" s="42" t="str">
        <f t="shared" si="26"/>
        <v/>
      </c>
      <c r="BT34" s="43" t="str">
        <f t="shared" si="27"/>
        <v/>
      </c>
      <c r="BU34" s="44"/>
      <c r="BV34" s="40"/>
      <c r="BW34" s="41"/>
      <c r="BX34" s="42" t="str">
        <f t="shared" si="28"/>
        <v/>
      </c>
      <c r="BY34" s="43" t="str">
        <f t="shared" si="29"/>
        <v/>
      </c>
      <c r="BZ34" s="44"/>
      <c r="CA34" s="40"/>
      <c r="CB34" s="41"/>
      <c r="CC34" s="42" t="str">
        <f t="shared" si="30"/>
        <v/>
      </c>
      <c r="CD34" s="43" t="str">
        <f t="shared" si="31"/>
        <v/>
      </c>
      <c r="CE34" s="44"/>
      <c r="CF34" s="40"/>
      <c r="CG34" s="41"/>
      <c r="CH34" s="42" t="str">
        <f t="shared" si="32"/>
        <v/>
      </c>
      <c r="CI34" s="43" t="str">
        <f t="shared" si="33"/>
        <v/>
      </c>
      <c r="CJ34" s="44"/>
      <c r="CK34" s="40"/>
      <c r="CL34" s="41"/>
      <c r="CM34" s="42" t="str">
        <f t="shared" si="34"/>
        <v/>
      </c>
      <c r="CN34" s="43" t="str">
        <f t="shared" si="35"/>
        <v/>
      </c>
      <c r="CO34" s="44"/>
      <c r="CP34" s="40"/>
      <c r="CQ34" s="41"/>
      <c r="CR34" s="42" t="str">
        <f t="shared" si="36"/>
        <v/>
      </c>
      <c r="CS34" s="43" t="str">
        <f t="shared" si="37"/>
        <v/>
      </c>
      <c r="CT34" s="44"/>
      <c r="CU34" s="40"/>
      <c r="CV34" s="41"/>
      <c r="CW34" s="42" t="str">
        <f t="shared" si="38"/>
        <v/>
      </c>
      <c r="CX34" s="43" t="str">
        <f t="shared" si="39"/>
        <v/>
      </c>
      <c r="CY34" s="44"/>
      <c r="CZ34" s="40"/>
      <c r="DA34" s="41"/>
      <c r="DB34" s="42" t="str">
        <f t="shared" si="40"/>
        <v/>
      </c>
      <c r="DC34" s="43" t="str">
        <f t="shared" si="41"/>
        <v/>
      </c>
      <c r="DD34" s="44"/>
      <c r="DE34" s="40"/>
      <c r="DF34" s="41"/>
      <c r="DG34" s="42" t="str">
        <f t="shared" si="42"/>
        <v/>
      </c>
      <c r="DH34" s="43" t="str">
        <f t="shared" si="43"/>
        <v/>
      </c>
      <c r="DI34" s="44"/>
      <c r="DJ34" s="40"/>
      <c r="DK34" s="41"/>
      <c r="DL34" s="42" t="str">
        <f t="shared" si="44"/>
        <v/>
      </c>
      <c r="DM34" s="43" t="str">
        <f t="shared" si="45"/>
        <v/>
      </c>
      <c r="DN34" s="44"/>
      <c r="DO34" s="40"/>
      <c r="DP34" s="41"/>
      <c r="DQ34" s="42" t="str">
        <f t="shared" si="46"/>
        <v/>
      </c>
      <c r="DR34" s="43" t="str">
        <f t="shared" si="47"/>
        <v/>
      </c>
      <c r="DS34" s="44"/>
      <c r="DT34" s="40"/>
      <c r="DU34" s="41"/>
      <c r="DV34" s="42" t="str">
        <f t="shared" si="48"/>
        <v/>
      </c>
      <c r="DW34" s="43" t="str">
        <f t="shared" si="49"/>
        <v/>
      </c>
      <c r="DX34" s="44"/>
      <c r="DY34" s="40"/>
      <c r="DZ34" s="41"/>
      <c r="EA34" s="42" t="str">
        <f t="shared" si="50"/>
        <v/>
      </c>
      <c r="EB34" s="43" t="str">
        <f t="shared" si="51"/>
        <v/>
      </c>
      <c r="EC34" s="44"/>
      <c r="ED34" s="40"/>
      <c r="EE34" s="41"/>
      <c r="EF34" s="42" t="str">
        <f t="shared" si="52"/>
        <v/>
      </c>
      <c r="EG34" s="43" t="str">
        <f t="shared" si="53"/>
        <v/>
      </c>
      <c r="EH34" s="44"/>
      <c r="EI34" s="40"/>
      <c r="EJ34" s="41"/>
      <c r="EK34" s="42" t="str">
        <f t="shared" si="54"/>
        <v/>
      </c>
      <c r="EL34" s="43" t="str">
        <f t="shared" si="55"/>
        <v/>
      </c>
      <c r="EM34" s="44"/>
      <c r="EN34" s="40"/>
      <c r="EO34" s="41"/>
      <c r="EP34" s="42" t="str">
        <f t="shared" si="56"/>
        <v/>
      </c>
      <c r="EQ34" s="43" t="str">
        <f t="shared" si="57"/>
        <v/>
      </c>
      <c r="ER34" s="44"/>
      <c r="ES34" s="40"/>
      <c r="ET34" s="41"/>
      <c r="EU34" s="42" t="str">
        <f t="shared" si="58"/>
        <v/>
      </c>
      <c r="EV34" s="43" t="str">
        <f t="shared" si="5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0</v>
      </c>
      <c r="E35" s="94"/>
      <c r="F35" s="94"/>
      <c r="G35" s="94"/>
      <c r="H35" s="94"/>
      <c r="I35" s="94">
        <f>COUNTIF(K4:K34,"○")</f>
        <v>0</v>
      </c>
      <c r="J35" s="94"/>
      <c r="K35" s="94"/>
      <c r="L35" s="94"/>
      <c r="M35" s="94"/>
      <c r="N35" s="94">
        <f>COUNTIF(P4:P34,"○")</f>
        <v>0</v>
      </c>
      <c r="O35" s="94"/>
      <c r="P35" s="94"/>
      <c r="Q35" s="94"/>
      <c r="R35" s="94"/>
      <c r="S35" s="94">
        <f>COUNTIF(U4:U34,"○")</f>
        <v>0</v>
      </c>
      <c r="T35" s="94"/>
      <c r="U35" s="94"/>
      <c r="V35" s="94"/>
      <c r="W35" s="94"/>
      <c r="X35" s="94">
        <f>COUNTIF(Z4:Z34,"○")</f>
        <v>0</v>
      </c>
      <c r="Y35" s="94"/>
      <c r="Z35" s="94"/>
      <c r="AA35" s="94"/>
      <c r="AB35" s="94"/>
      <c r="AC35" s="94">
        <f>COUNTIF(AE4:AE34,"○")</f>
        <v>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0</v>
      </c>
      <c r="E37" s="98"/>
      <c r="F37" s="98"/>
      <c r="G37" s="98"/>
      <c r="H37" s="98"/>
      <c r="I37" s="98">
        <f>I35+I36</f>
        <v>0</v>
      </c>
      <c r="J37" s="98"/>
      <c r="K37" s="98"/>
      <c r="L37" s="98"/>
      <c r="M37" s="98"/>
      <c r="N37" s="98">
        <f>N35+N36</f>
        <v>0</v>
      </c>
      <c r="O37" s="98"/>
      <c r="P37" s="98"/>
      <c r="Q37" s="98"/>
      <c r="R37" s="98"/>
      <c r="S37" s="98">
        <f>S35+S36</f>
        <v>0</v>
      </c>
      <c r="T37" s="98"/>
      <c r="U37" s="98"/>
      <c r="V37" s="98"/>
      <c r="W37" s="98"/>
      <c r="X37" s="98">
        <f>X35+X36</f>
        <v>0</v>
      </c>
      <c r="Y37" s="98"/>
      <c r="Z37" s="98"/>
      <c r="AA37" s="98"/>
      <c r="AB37" s="98"/>
      <c r="AC37" s="98">
        <f>AC35+AC36</f>
        <v>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0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253" priority="63">
      <formula>$B4="日"</formula>
    </cfRule>
    <cfRule type="expression" dxfId="252" priority="64">
      <formula>$B4="土"</formula>
    </cfRule>
    <cfRule type="expression" dxfId="251" priority="62">
      <formula>AND($A4&lt;&gt;"",ISNUMBER(MATCH(DATE(対象年度,10,$A4),祝日リスト,0)))</formula>
    </cfRule>
  </conditionalFormatting>
  <conditionalFormatting sqref="D4:D34">
    <cfRule type="expression" dxfId="250" priority="3">
      <formula>$D4="休業"</formula>
    </cfRule>
    <cfRule type="expression" dxfId="249" priority="2">
      <formula>$D4="有給"</formula>
    </cfRule>
  </conditionalFormatting>
  <conditionalFormatting sqref="I4:I34">
    <cfRule type="expression" dxfId="248" priority="4">
      <formula>$I4="有給"</formula>
    </cfRule>
    <cfRule type="expression" dxfId="247" priority="5">
      <formula>$I4="休業"</formula>
    </cfRule>
  </conditionalFormatting>
  <conditionalFormatting sqref="N4:N34">
    <cfRule type="expression" dxfId="246" priority="6">
      <formula>$N4="有給"</formula>
    </cfRule>
    <cfRule type="expression" dxfId="245" priority="7">
      <formula>$N4="休業"</formula>
    </cfRule>
  </conditionalFormatting>
  <conditionalFormatting sqref="S4:S34">
    <cfRule type="expression" dxfId="244" priority="8">
      <formula>$S4="有給"</formula>
    </cfRule>
    <cfRule type="expression" dxfId="243" priority="9">
      <formula>$S4="休業"</formula>
    </cfRule>
  </conditionalFormatting>
  <conditionalFormatting sqref="X4:X34">
    <cfRule type="expression" dxfId="242" priority="10">
      <formula>$X4="有給"</formula>
    </cfRule>
    <cfRule type="expression" dxfId="241" priority="11">
      <formula>$X4="休業"</formula>
    </cfRule>
  </conditionalFormatting>
  <conditionalFormatting sqref="AC4:AC34">
    <cfRule type="expression" dxfId="240" priority="12">
      <formula>$AC4="有給"</formula>
    </cfRule>
    <cfRule type="expression" dxfId="239" priority="13">
      <formula>$AC4="休業"</formula>
    </cfRule>
  </conditionalFormatting>
  <conditionalFormatting sqref="AH4:AH34">
    <cfRule type="expression" dxfId="238" priority="14">
      <formula>$AH4="有給"</formula>
    </cfRule>
    <cfRule type="expression" dxfId="237" priority="15">
      <formula>$AH4="休業"</formula>
    </cfRule>
  </conditionalFormatting>
  <conditionalFormatting sqref="AM4:AM34">
    <cfRule type="expression" dxfId="236" priority="17">
      <formula>$AM4="休業"</formula>
    </cfRule>
    <cfRule type="expression" dxfId="235" priority="16">
      <formula>$AM4="有給"</formula>
    </cfRule>
  </conditionalFormatting>
  <conditionalFormatting sqref="AR4:AR34">
    <cfRule type="expression" dxfId="234" priority="19">
      <formula>$AR4="休業"</formula>
    </cfRule>
    <cfRule type="expression" dxfId="233" priority="18">
      <formula>$AR4="有給"</formula>
    </cfRule>
  </conditionalFormatting>
  <conditionalFormatting sqref="AW4:AW34">
    <cfRule type="expression" dxfId="232" priority="20">
      <formula>$AW4="有給"</formula>
    </cfRule>
    <cfRule type="expression" dxfId="231" priority="21">
      <formula>$AW4="休業"</formula>
    </cfRule>
  </conditionalFormatting>
  <conditionalFormatting sqref="BB4:BB34">
    <cfRule type="expression" dxfId="230" priority="22">
      <formula>$BB4="有給"</formula>
    </cfRule>
    <cfRule type="expression" dxfId="229" priority="23">
      <formula>$BB4="休業"</formula>
    </cfRule>
  </conditionalFormatting>
  <conditionalFormatting sqref="BG4:BG34">
    <cfRule type="expression" dxfId="228" priority="24">
      <formula>$BG4="有給"</formula>
    </cfRule>
    <cfRule type="expression" dxfId="227" priority="25">
      <formula>$BG4="休業"</formula>
    </cfRule>
  </conditionalFormatting>
  <conditionalFormatting sqref="BL4:BL34">
    <cfRule type="expression" dxfId="226" priority="26">
      <formula>$BL4="有給"</formula>
    </cfRule>
    <cfRule type="expression" dxfId="225" priority="27">
      <formula>$BL4="休業"</formula>
    </cfRule>
  </conditionalFormatting>
  <conditionalFormatting sqref="BQ4:BQ34">
    <cfRule type="expression" dxfId="224" priority="28">
      <formula>$BQ4="有給"</formula>
    </cfRule>
    <cfRule type="expression" dxfId="223" priority="29">
      <formula>$BQ4="休業"</formula>
    </cfRule>
  </conditionalFormatting>
  <conditionalFormatting sqref="BV4:BV34">
    <cfRule type="expression" dxfId="222" priority="30">
      <formula>$BV4="有給"</formula>
    </cfRule>
    <cfRule type="expression" dxfId="221" priority="31">
      <formula>$BV4="休業"</formula>
    </cfRule>
  </conditionalFormatting>
  <conditionalFormatting sqref="CA4:CA34">
    <cfRule type="expression" dxfId="220" priority="33">
      <formula>$CA4="休業"</formula>
    </cfRule>
    <cfRule type="expression" dxfId="219" priority="32">
      <formula>$CA4="有給"</formula>
    </cfRule>
  </conditionalFormatting>
  <conditionalFormatting sqref="CF4:CF34">
    <cfRule type="expression" dxfId="218" priority="34">
      <formula>$CF4="有給"</formula>
    </cfRule>
    <cfRule type="expression" dxfId="217" priority="35">
      <formula>$CF4="休業"</formula>
    </cfRule>
  </conditionalFormatting>
  <conditionalFormatting sqref="CK4:CK34">
    <cfRule type="expression" dxfId="216" priority="37">
      <formula>$CK4="休業"</formula>
    </cfRule>
    <cfRule type="expression" dxfId="215" priority="36">
      <formula>$CK4="有給"</formula>
    </cfRule>
  </conditionalFormatting>
  <conditionalFormatting sqref="CP4:CP34">
    <cfRule type="expression" dxfId="214" priority="38">
      <formula>$CP4="有給"</formula>
    </cfRule>
    <cfRule type="expression" dxfId="213" priority="39">
      <formula>$CP4="休業"</formula>
    </cfRule>
  </conditionalFormatting>
  <conditionalFormatting sqref="CU4:CU34">
    <cfRule type="expression" dxfId="212" priority="40">
      <formula>$CU4="有給"</formula>
    </cfRule>
    <cfRule type="expression" dxfId="211" priority="41">
      <formula>$CU4="休業"</formula>
    </cfRule>
  </conditionalFormatting>
  <conditionalFormatting sqref="CZ4:CZ34">
    <cfRule type="expression" dxfId="210" priority="42">
      <formula>$CZ4="有給"</formula>
    </cfRule>
    <cfRule type="expression" dxfId="209" priority="43">
      <formula>$CZ4="休業"</formula>
    </cfRule>
  </conditionalFormatting>
  <conditionalFormatting sqref="DE4:DE34">
    <cfRule type="expression" dxfId="208" priority="44">
      <formula>$DE4="有給"</formula>
    </cfRule>
    <cfRule type="expression" dxfId="207" priority="45">
      <formula>$DE4="休業"</formula>
    </cfRule>
  </conditionalFormatting>
  <conditionalFormatting sqref="DJ4:DJ34">
    <cfRule type="expression" dxfId="206" priority="46">
      <formula>$DJ4="有給"</formula>
    </cfRule>
    <cfRule type="expression" dxfId="205" priority="47">
      <formula>$DJ4="休業"</formula>
    </cfRule>
  </conditionalFormatting>
  <conditionalFormatting sqref="DO4:DO34">
    <cfRule type="expression" dxfId="204" priority="48">
      <formula>$DO4="有給"</formula>
    </cfRule>
    <cfRule type="expression" dxfId="203" priority="49">
      <formula>$DO4="休業"</formula>
    </cfRule>
  </conditionalFormatting>
  <conditionalFormatting sqref="DT4:DT34">
    <cfRule type="expression" dxfId="202" priority="51">
      <formula>$DT4="休業"</formula>
    </cfRule>
    <cfRule type="expression" dxfId="201" priority="50">
      <formula>$DT4="有給"</formula>
    </cfRule>
  </conditionalFormatting>
  <conditionalFormatting sqref="DY4:DY34">
    <cfRule type="expression" dxfId="200" priority="52">
      <formula>$DY4="有給"</formula>
    </cfRule>
    <cfRule type="expression" dxfId="199" priority="53">
      <formula>$DY4="休業"</formula>
    </cfRule>
  </conditionalFormatting>
  <conditionalFormatting sqref="ED4:ED34">
    <cfRule type="expression" dxfId="198" priority="54">
      <formula>$ED4="有給"</formula>
    </cfRule>
    <cfRule type="expression" dxfId="197" priority="55">
      <formula>$ED4="休業"</formula>
    </cfRule>
  </conditionalFormatting>
  <conditionalFormatting sqref="EI4:EI34">
    <cfRule type="expression" dxfId="196" priority="56">
      <formula>$EI4="有給"</formula>
    </cfRule>
    <cfRule type="expression" dxfId="195" priority="57">
      <formula>$EI4="休業"</formula>
    </cfRule>
  </conditionalFormatting>
  <conditionalFormatting sqref="EN4:EN34">
    <cfRule type="expression" dxfId="194" priority="58">
      <formula>$EN4="有給"</formula>
    </cfRule>
    <cfRule type="expression" dxfId="193" priority="59">
      <formula>$EN4="休業"</formula>
    </cfRule>
  </conditionalFormatting>
  <conditionalFormatting sqref="ES4:ES34">
    <cfRule type="expression" dxfId="192" priority="60">
      <formula>$ES4="有給"</formula>
    </cfRule>
    <cfRule type="expression" dxfId="191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C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W4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11月分　出面表　"</f>
        <v xml:space="preserve"> 2026年 11月分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IFERROR(IF(従業員マスタ!$C$4="","",対象年度&amp;"年11月　"&amp;従業員マスタ!$C$4),"")</f>
        <v>2026年11月　建設　太郎</v>
      </c>
      <c r="E2" s="92"/>
      <c r="F2" s="92"/>
      <c r="G2" s="92"/>
      <c r="H2" s="92"/>
      <c r="I2" s="92" t="str">
        <f>IFERROR(IF(従業員マスタ!$C$5="","",対象年度&amp;"年11月　"&amp;従業員マスタ!$C$5),"")</f>
        <v>2026年11月　配管　次郎</v>
      </c>
      <c r="J2" s="92"/>
      <c r="K2" s="92"/>
      <c r="L2" s="92"/>
      <c r="M2" s="92"/>
      <c r="N2" s="92" t="str">
        <f>IFERROR(IF(従業員マスタ!$C$6="","",対象年度&amp;"年11月　"&amp;従業員マスタ!$C$6),"")</f>
        <v>2026年11月　設備　一郎</v>
      </c>
      <c r="O2" s="92"/>
      <c r="P2" s="92"/>
      <c r="Q2" s="92"/>
      <c r="R2" s="92"/>
      <c r="S2" s="92" t="str">
        <f>IFERROR(IF(従業員マスタ!$C$7="","",対象年度&amp;"年11月　"&amp;従業員マスタ!$C$7),"")</f>
        <v>2026年11月　土木　三郎</v>
      </c>
      <c r="T2" s="92"/>
      <c r="U2" s="92"/>
      <c r="V2" s="92"/>
      <c r="W2" s="92"/>
      <c r="X2" s="92" t="str">
        <f>IFERROR(IF(従業員マスタ!$C$8="","",対象年度&amp;"年11月　"&amp;従業員マスタ!$C$8),"")</f>
        <v>2026年11月　塗装　史郎</v>
      </c>
      <c r="Y2" s="92"/>
      <c r="Z2" s="92"/>
      <c r="AA2" s="92"/>
      <c r="AB2" s="92"/>
      <c r="AC2" s="92" t="str">
        <f>IFERROR(IF(従業員マスタ!$C$9="","",対象年度&amp;"年11月　"&amp;従業員マスタ!$C$9),"")</f>
        <v>2026年11月　電工　五郎</v>
      </c>
      <c r="AD2" s="92"/>
      <c r="AE2" s="92"/>
      <c r="AF2" s="92"/>
      <c r="AG2" s="92"/>
      <c r="AH2" s="92" t="str">
        <f>IFERROR(IF(従業員マスタ!$C$10="","",対象年度&amp;"年11月　"&amp;従業員マスタ!$C$10),"")</f>
        <v>2026年11月　現場　花子</v>
      </c>
      <c r="AI2" s="92"/>
      <c r="AJ2" s="92"/>
      <c r="AK2" s="92"/>
      <c r="AL2" s="92"/>
      <c r="AM2" s="92" t="str">
        <f>IFERROR(IF(従業員マスタ!$C$11="","",対象年度&amp;"年11月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IFERROR(IF(従業員マスタ!$C$12="","",対象年度&amp;"年11月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IFERROR(IF(従業員マスタ!$C$13="","",対象年度&amp;"年11月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IFERROR(IF(従業員マスタ!$C$14="","",対象年度&amp;"年11月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IFERROR(IF(従業員マスタ!$C$15="","",対象年度&amp;"年11月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IFERROR(IF(従業員マスタ!$C$16="","",対象年度&amp;"年11月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IFERROR(IF(従業員マスタ!$C$17="","",対象年度&amp;"年11月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IFERROR(IF(従業員マスタ!$C$18="","",対象年度&amp;"年11月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IFERROR(IF(従業員マスタ!$C$19="","",対象年度&amp;"年11月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IFERROR(IF(従業員マスタ!$C$20="","",対象年度&amp;"年11月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IFERROR(IF(従業員マスタ!$C$21="","",対象年度&amp;"年11月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IFERROR(IF(従業員マスタ!$C$22="","",対象年度&amp;"年11月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IFERROR(IF(従業員マスタ!$C$23="","",対象年度&amp;"年11月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IFERROR(IF(従業員マスタ!$C$24="","",対象年度&amp;"年11月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IFERROR(IF(従業員マスタ!$C$25="","",対象年度&amp;"年11月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IFERROR(IF(従業員マスタ!$C$26="","",対象年度&amp;"年11月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IFERROR(IF(従業員マスタ!$C$27="","",対象年度&amp;"年11月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IFERROR(IF(従業員マスタ!$C$28="","",対象年度&amp;"年11月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IFERROR(IF(従業員マスタ!$C$29="","",対象年度&amp;"年11月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IFERROR(IF(従業員マスタ!$C$30="","",対象年度&amp;"年11月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IFERROR(IF(従業員マスタ!$C$31="","",対象年度&amp;"年11月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IFERROR(IF(従業員マスタ!$C$32="","",対象年度&amp;"年11月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IFERROR(IF(従業員マスタ!$C$33="","",対象年度&amp;"年11月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IF(DAY(DATE(対象年度,11,1))&lt;&gt;1,"",1)</f>
        <v>1</v>
      </c>
      <c r="B4" s="26" t="str">
        <f>IF(DAY(DATE(対象年度,11,1))&lt;&gt;1,"",CHOOSE(WEEKDAY(DATE(対象年度,11,1),2),"月","火","水","木","金","土","日"))</f>
        <v>日</v>
      </c>
      <c r="C4" s="26" t="str">
        <f>IF(DAY(DATE(対象年度,11,1))&lt;&gt;1,"",IF(ISNUMBER(MATCH(DATE(対象年度,11,1),祝日リスト,0)),"祝",""))</f>
        <v/>
      </c>
      <c r="D4" s="27"/>
      <c r="E4" s="28"/>
      <c r="F4" s="29" t="str">
        <f t="shared" ref="F4:F34" si="0">IF(D4="","",IF(ISNUMBER(SEARCH("夜勤",D4)),"",IF(A4="","","○")))</f>
        <v/>
      </c>
      <c r="G4" s="30" t="str">
        <f t="shared" ref="G4:G34" si="1">IF(A4="","",IF(OR(AND(E4&lt;&gt;"",NOT(OR(E4="有給",E4="休業"))),ISNUMBER(SEARCH("夜勤",D4))),"○",""))</f>
        <v/>
      </c>
      <c r="H4" s="31"/>
      <c r="I4" s="27"/>
      <c r="J4" s="28"/>
      <c r="K4" s="29" t="str">
        <f t="shared" ref="K4:K34" si="2">IF(I4="","",IF(ISNUMBER(SEARCH("夜勤",I4)),"",IF(A4="","","○")))</f>
        <v/>
      </c>
      <c r="L4" s="30" t="str">
        <f t="shared" ref="L4:L34" si="3">IF(A4="","",IF(OR(AND(J4&lt;&gt;"",NOT(OR(J4="有給",J4="休業"))),ISNUMBER(SEARCH("夜勤",I4))),"○",""))</f>
        <v/>
      </c>
      <c r="M4" s="31"/>
      <c r="N4" s="27"/>
      <c r="O4" s="28"/>
      <c r="P4" s="29" t="str">
        <f t="shared" ref="P4:P34" si="4">IF(N4="","",IF(ISNUMBER(SEARCH("夜勤",N4)),"",IF(A4="","","○")))</f>
        <v/>
      </c>
      <c r="Q4" s="30" t="str">
        <f t="shared" ref="Q4:Q34" si="5">IF(A4="","",IF(OR(AND(O4&lt;&gt;"",NOT(OR(O4="有給",O4="休業"))),ISNUMBER(SEARCH("夜勤",N4))),"○",""))</f>
        <v/>
      </c>
      <c r="R4" s="31"/>
      <c r="S4" s="27"/>
      <c r="T4" s="28"/>
      <c r="U4" s="29" t="str">
        <f t="shared" ref="U4:U34" si="6">IF(S4="","",IF(ISNUMBER(SEARCH("夜勤",S4)),"",IF(A4="","","○")))</f>
        <v/>
      </c>
      <c r="V4" s="30" t="str">
        <f t="shared" ref="V4:V34" si="7">IF(A4="","",IF(OR(AND(T4&lt;&gt;"",NOT(OR(T4="有給",T4="休業"))),ISNUMBER(SEARCH("夜勤",S4))),"○",""))</f>
        <v/>
      </c>
      <c r="W4" s="31"/>
      <c r="X4" s="27"/>
      <c r="Y4" s="28"/>
      <c r="Z4" s="29" t="str">
        <f t="shared" ref="Z4:Z34" si="8">IF(X4="","",IF(ISNUMBER(SEARCH("夜勤",X4)),"",IF(A4="","","○")))</f>
        <v/>
      </c>
      <c r="AA4" s="30" t="str">
        <f t="shared" ref="AA4:AA34" si="9">IF(A4="","",IF(OR(AND(Y4&lt;&gt;"",NOT(OR(Y4="有給",Y4="休業"))),ISNUMBER(SEARCH("夜勤",X4))),"○",""))</f>
        <v/>
      </c>
      <c r="AB4" s="31"/>
      <c r="AC4" s="27"/>
      <c r="AD4" s="28"/>
      <c r="AE4" s="29" t="str">
        <f t="shared" ref="AE4:AE34" si="10">IF(AC4="","",IF(ISNUMBER(SEARCH("夜勤",AC4)),"",IF(A4="","","○")))</f>
        <v/>
      </c>
      <c r="AF4" s="30" t="str">
        <f t="shared" ref="AF4:AF34" si="11">IF(A4="","",IF(OR(AND(AD4&lt;&gt;"",NOT(OR(AD4="有給",AD4="休業"))),ISNUMBER(SEARCH("夜勤",AC4))),"○",""))</f>
        <v/>
      </c>
      <c r="AG4" s="31"/>
      <c r="AH4" s="27"/>
      <c r="AI4" s="28"/>
      <c r="AJ4" s="29" t="str">
        <f t="shared" ref="AJ4:AJ34" si="12">IF(AH4="","",IF(ISNUMBER(SEARCH("夜勤",AH4)),"",IF(A4="","","○")))</f>
        <v/>
      </c>
      <c r="AK4" s="30" t="str">
        <f t="shared" ref="AK4:AK34" si="13">IF(A4="","",IF(OR(AND(AI4&lt;&gt;"",NOT(OR(AI4="有給",AI4="休業"))),ISNUMBER(SEARCH("夜勤",AH4))),"○",""))</f>
        <v/>
      </c>
      <c r="AL4" s="31"/>
      <c r="AM4" s="27"/>
      <c r="AN4" s="28"/>
      <c r="AO4" s="29" t="str">
        <f t="shared" ref="AO4:AO34" si="14">IF(AM4="","",IF(ISNUMBER(SEARCH("夜勤",AM4)),"",IF(A4="","","○")))</f>
        <v/>
      </c>
      <c r="AP4" s="30" t="str">
        <f t="shared" ref="AP4:AP34" si="15">IF(A4="","",IF(OR(AND(AN4&lt;&gt;"",NOT(OR(AN4="有給",AN4="休業"))),ISNUMBER(SEARCH("夜勤",AM4))),"○",""))</f>
        <v/>
      </c>
      <c r="AQ4" s="31"/>
      <c r="AR4" s="27"/>
      <c r="AS4" s="28"/>
      <c r="AT4" s="29" t="str">
        <f t="shared" ref="AT4:AT34" si="16">IF(AR4="","",IF(ISNUMBER(SEARCH("夜勤",AR4)),"",IF(A4="","","○")))</f>
        <v/>
      </c>
      <c r="AU4" s="30" t="str">
        <f t="shared" ref="AU4:AU34" si="17">IF(A4="","",IF(OR(AND(AS4&lt;&gt;"",NOT(OR(AS4="有給",AS4="休業"))),ISNUMBER(SEARCH("夜勤",AR4))),"○",""))</f>
        <v/>
      </c>
      <c r="AV4" s="31"/>
      <c r="AW4" s="27"/>
      <c r="AX4" s="28"/>
      <c r="AY4" s="29" t="str">
        <f t="shared" ref="AY4:AY34" si="18">IF(AW4="","",IF(ISNUMBER(SEARCH("夜勤",AW4)),"",IF(A4="","","○")))</f>
        <v/>
      </c>
      <c r="AZ4" s="30" t="str">
        <f t="shared" ref="AZ4:AZ34" si="19">IF(A4="","",IF(OR(AND(AX4&lt;&gt;"",NOT(OR(AX4="有給",AX4="休業"))),ISNUMBER(SEARCH("夜勤",AW4))),"○",""))</f>
        <v/>
      </c>
      <c r="BA4" s="31"/>
      <c r="BB4" s="27"/>
      <c r="BC4" s="28"/>
      <c r="BD4" s="29" t="str">
        <f t="shared" ref="BD4:BD34" si="20">IF(BB4="","",IF(ISNUMBER(SEARCH("夜勤",BB4)),"",IF(A4="","","○")))</f>
        <v/>
      </c>
      <c r="BE4" s="30" t="str">
        <f t="shared" ref="BE4:BE34" si="21">IF(A4="","",IF(OR(AND(BC4&lt;&gt;"",NOT(OR(BC4="有給",BC4="休業"))),ISNUMBER(SEARCH("夜勤",BB4))),"○",""))</f>
        <v/>
      </c>
      <c r="BF4" s="31"/>
      <c r="BG4" s="27"/>
      <c r="BH4" s="28"/>
      <c r="BI4" s="29" t="str">
        <f t="shared" ref="BI4:BI34" si="22">IF(BG4="","",IF(ISNUMBER(SEARCH("夜勤",BG4)),"",IF(A4="","","○")))</f>
        <v/>
      </c>
      <c r="BJ4" s="30" t="str">
        <f t="shared" ref="BJ4:BJ34" si="2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24">IF(BL4="","",IF(ISNUMBER(SEARCH("夜勤",BL4)),"",IF(A4="","","○")))</f>
        <v/>
      </c>
      <c r="BO4" s="30" t="str">
        <f t="shared" ref="BO4:BO34" si="2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26">IF(BQ4="","",IF(ISNUMBER(SEARCH("夜勤",BQ4)),"",IF(A4="","","○")))</f>
        <v/>
      </c>
      <c r="BT4" s="30" t="str">
        <f t="shared" ref="BT4:BT34" si="2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28">IF(BV4="","",IF(ISNUMBER(SEARCH("夜勤",BV4)),"",IF(A4="","","○")))</f>
        <v/>
      </c>
      <c r="BY4" s="30" t="str">
        <f t="shared" ref="BY4:BY34" si="2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30">IF(CA4="","",IF(ISNUMBER(SEARCH("夜勤",CA4)),"",IF(A4="","","○")))</f>
        <v/>
      </c>
      <c r="CD4" s="30" t="str">
        <f t="shared" ref="CD4:CD34" si="3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32">IF(CF4="","",IF(ISNUMBER(SEARCH("夜勤",CF4)),"",IF(A4="","","○")))</f>
        <v/>
      </c>
      <c r="CI4" s="30" t="str">
        <f t="shared" ref="CI4:CI34" si="3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34">IF(CK4="","",IF(ISNUMBER(SEARCH("夜勤",CK4)),"",IF(A4="","","○")))</f>
        <v/>
      </c>
      <c r="CN4" s="30" t="str">
        <f t="shared" ref="CN4:CN34" si="3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36">IF(CP4="","",IF(ISNUMBER(SEARCH("夜勤",CP4)),"",IF(A4="","","○")))</f>
        <v/>
      </c>
      <c r="CS4" s="30" t="str">
        <f t="shared" ref="CS4:CS34" si="3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38">IF(CU4="","",IF(ISNUMBER(SEARCH("夜勤",CU4)),"",IF(A4="","","○")))</f>
        <v/>
      </c>
      <c r="CX4" s="30" t="str">
        <f t="shared" ref="CX4:CX34" si="3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40">IF(CZ4="","",IF(ISNUMBER(SEARCH("夜勤",CZ4)),"",IF(A4="","","○")))</f>
        <v/>
      </c>
      <c r="DC4" s="30" t="str">
        <f t="shared" ref="DC4:DC34" si="4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42">IF(DE4="","",IF(ISNUMBER(SEARCH("夜勤",DE4)),"",IF(A4="","","○")))</f>
        <v/>
      </c>
      <c r="DH4" s="30" t="str">
        <f t="shared" ref="DH4:DH34" si="4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44">IF(DJ4="","",IF(ISNUMBER(SEARCH("夜勤",DJ4)),"",IF(A4="","","○")))</f>
        <v/>
      </c>
      <c r="DM4" s="30" t="str">
        <f t="shared" ref="DM4:DM34" si="4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46">IF(DO4="","",IF(ISNUMBER(SEARCH("夜勤",DO4)),"",IF(A4="","","○")))</f>
        <v/>
      </c>
      <c r="DR4" s="30" t="str">
        <f t="shared" ref="DR4:DR34" si="4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48">IF(DT4="","",IF(ISNUMBER(SEARCH("夜勤",DT4)),"",IF(A4="","","○")))</f>
        <v/>
      </c>
      <c r="DW4" s="30" t="str">
        <f t="shared" ref="DW4:DW34" si="4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50">IF(DY4="","",IF(ISNUMBER(SEARCH("夜勤",DY4)),"",IF(A4="","","○")))</f>
        <v/>
      </c>
      <c r="EB4" s="30" t="str">
        <f t="shared" ref="EB4:EB34" si="5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52">IF(ED4="","",IF(ISNUMBER(SEARCH("夜勤",ED4)),"",IF(A4="","","○")))</f>
        <v/>
      </c>
      <c r="EG4" s="30" t="str">
        <f t="shared" ref="EG4:EG34" si="5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54">IF(EI4="","",IF(ISNUMBER(SEARCH("夜勤",EI4)),"",IF(A4="","","○")))</f>
        <v/>
      </c>
      <c r="EL4" s="30" t="str">
        <f t="shared" ref="EL4:EL34" si="5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56">IF(EN4="","",IF(ISNUMBER(SEARCH("夜勤",EN4)),"",IF(A4="","","○")))</f>
        <v/>
      </c>
      <c r="EQ4" s="30" t="str">
        <f t="shared" ref="EQ4:EQ34" si="5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58">IF(ES4="","",IF(ISNUMBER(SEARCH("夜勤",ES4)),"",IF(A4="","","○")))</f>
        <v/>
      </c>
      <c r="EV4" s="30" t="str">
        <f t="shared" ref="EV4:EV34" si="5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IF(DAY(DATE(対象年度,11,2))&lt;&gt;2,"",2)</f>
        <v>2</v>
      </c>
      <c r="B5" s="32" t="str">
        <f>IF(DAY(DATE(対象年度,11,2))&lt;&gt;2,"",CHOOSE(WEEKDAY(DATE(対象年度,11,2),2),"月","火","水","木","金","土","日"))</f>
        <v>月</v>
      </c>
      <c r="C5" s="32" t="str">
        <f>IF(DAY(DATE(対象年度,11,2))&lt;&gt;2,"",IF(ISNUMBER(MATCH(DATE(対象年度,11,2),祝日リスト,0)),"祝",""))</f>
        <v/>
      </c>
      <c r="D5" s="33"/>
      <c r="E5" s="34"/>
      <c r="F5" s="35" t="str">
        <f t="shared" si="0"/>
        <v/>
      </c>
      <c r="G5" s="36" t="str">
        <f t="shared" si="1"/>
        <v/>
      </c>
      <c r="H5" s="37"/>
      <c r="I5" s="33"/>
      <c r="J5" s="34"/>
      <c r="K5" s="35" t="str">
        <f t="shared" si="2"/>
        <v/>
      </c>
      <c r="L5" s="36" t="str">
        <f t="shared" si="3"/>
        <v/>
      </c>
      <c r="M5" s="37"/>
      <c r="N5" s="33"/>
      <c r="O5" s="34"/>
      <c r="P5" s="35" t="str">
        <f t="shared" si="4"/>
        <v/>
      </c>
      <c r="Q5" s="36" t="str">
        <f t="shared" si="5"/>
        <v/>
      </c>
      <c r="R5" s="37"/>
      <c r="S5" s="33"/>
      <c r="T5" s="34"/>
      <c r="U5" s="35" t="str">
        <f t="shared" si="6"/>
        <v/>
      </c>
      <c r="V5" s="36" t="str">
        <f t="shared" si="7"/>
        <v/>
      </c>
      <c r="W5" s="37"/>
      <c r="X5" s="33"/>
      <c r="Y5" s="34"/>
      <c r="Z5" s="35" t="str">
        <f t="shared" si="8"/>
        <v/>
      </c>
      <c r="AA5" s="36" t="str">
        <f t="shared" si="9"/>
        <v/>
      </c>
      <c r="AB5" s="37"/>
      <c r="AC5" s="33"/>
      <c r="AD5" s="34"/>
      <c r="AE5" s="35" t="str">
        <f t="shared" si="10"/>
        <v/>
      </c>
      <c r="AF5" s="36" t="str">
        <f t="shared" si="11"/>
        <v/>
      </c>
      <c r="AG5" s="37"/>
      <c r="AH5" s="33"/>
      <c r="AI5" s="34"/>
      <c r="AJ5" s="35" t="str">
        <f t="shared" si="12"/>
        <v/>
      </c>
      <c r="AK5" s="36" t="str">
        <f t="shared" si="13"/>
        <v/>
      </c>
      <c r="AL5" s="37"/>
      <c r="AM5" s="33"/>
      <c r="AN5" s="34"/>
      <c r="AO5" s="35" t="str">
        <f t="shared" si="14"/>
        <v/>
      </c>
      <c r="AP5" s="36" t="str">
        <f t="shared" si="15"/>
        <v/>
      </c>
      <c r="AQ5" s="37"/>
      <c r="AR5" s="33"/>
      <c r="AS5" s="34"/>
      <c r="AT5" s="35" t="str">
        <f t="shared" si="16"/>
        <v/>
      </c>
      <c r="AU5" s="36" t="str">
        <f t="shared" si="17"/>
        <v/>
      </c>
      <c r="AV5" s="37"/>
      <c r="AW5" s="33"/>
      <c r="AX5" s="34"/>
      <c r="AY5" s="35" t="str">
        <f t="shared" si="18"/>
        <v/>
      </c>
      <c r="AZ5" s="36" t="str">
        <f t="shared" si="19"/>
        <v/>
      </c>
      <c r="BA5" s="37"/>
      <c r="BB5" s="33"/>
      <c r="BC5" s="34"/>
      <c r="BD5" s="35" t="str">
        <f t="shared" si="20"/>
        <v/>
      </c>
      <c r="BE5" s="36" t="str">
        <f t="shared" si="21"/>
        <v/>
      </c>
      <c r="BF5" s="37"/>
      <c r="BG5" s="33"/>
      <c r="BH5" s="34"/>
      <c r="BI5" s="35" t="str">
        <f t="shared" si="22"/>
        <v/>
      </c>
      <c r="BJ5" s="36" t="str">
        <f t="shared" si="23"/>
        <v/>
      </c>
      <c r="BK5" s="37"/>
      <c r="BL5" s="33"/>
      <c r="BM5" s="34"/>
      <c r="BN5" s="35" t="str">
        <f t="shared" si="24"/>
        <v/>
      </c>
      <c r="BO5" s="36" t="str">
        <f t="shared" si="25"/>
        <v/>
      </c>
      <c r="BP5" s="37"/>
      <c r="BQ5" s="33"/>
      <c r="BR5" s="34"/>
      <c r="BS5" s="35" t="str">
        <f t="shared" si="26"/>
        <v/>
      </c>
      <c r="BT5" s="36" t="str">
        <f t="shared" si="27"/>
        <v/>
      </c>
      <c r="BU5" s="37"/>
      <c r="BV5" s="33"/>
      <c r="BW5" s="34"/>
      <c r="BX5" s="35" t="str">
        <f t="shared" si="28"/>
        <v/>
      </c>
      <c r="BY5" s="36" t="str">
        <f t="shared" si="29"/>
        <v/>
      </c>
      <c r="BZ5" s="37"/>
      <c r="CA5" s="33"/>
      <c r="CB5" s="34"/>
      <c r="CC5" s="35" t="str">
        <f t="shared" si="30"/>
        <v/>
      </c>
      <c r="CD5" s="36" t="str">
        <f t="shared" si="31"/>
        <v/>
      </c>
      <c r="CE5" s="37"/>
      <c r="CF5" s="33"/>
      <c r="CG5" s="34"/>
      <c r="CH5" s="35" t="str">
        <f t="shared" si="32"/>
        <v/>
      </c>
      <c r="CI5" s="36" t="str">
        <f t="shared" si="33"/>
        <v/>
      </c>
      <c r="CJ5" s="37"/>
      <c r="CK5" s="33"/>
      <c r="CL5" s="34"/>
      <c r="CM5" s="35" t="str">
        <f t="shared" si="34"/>
        <v/>
      </c>
      <c r="CN5" s="36" t="str">
        <f t="shared" si="35"/>
        <v/>
      </c>
      <c r="CO5" s="37"/>
      <c r="CP5" s="33"/>
      <c r="CQ5" s="34"/>
      <c r="CR5" s="35" t="str">
        <f t="shared" si="36"/>
        <v/>
      </c>
      <c r="CS5" s="36" t="str">
        <f t="shared" si="37"/>
        <v/>
      </c>
      <c r="CT5" s="37"/>
      <c r="CU5" s="33"/>
      <c r="CV5" s="34"/>
      <c r="CW5" s="35" t="str">
        <f t="shared" si="38"/>
        <v/>
      </c>
      <c r="CX5" s="36" t="str">
        <f t="shared" si="39"/>
        <v/>
      </c>
      <c r="CY5" s="37"/>
      <c r="CZ5" s="33"/>
      <c r="DA5" s="34"/>
      <c r="DB5" s="35" t="str">
        <f t="shared" si="40"/>
        <v/>
      </c>
      <c r="DC5" s="36" t="str">
        <f t="shared" si="41"/>
        <v/>
      </c>
      <c r="DD5" s="37"/>
      <c r="DE5" s="33"/>
      <c r="DF5" s="34"/>
      <c r="DG5" s="35" t="str">
        <f t="shared" si="42"/>
        <v/>
      </c>
      <c r="DH5" s="36" t="str">
        <f t="shared" si="43"/>
        <v/>
      </c>
      <c r="DI5" s="37"/>
      <c r="DJ5" s="33"/>
      <c r="DK5" s="34"/>
      <c r="DL5" s="35" t="str">
        <f t="shared" si="44"/>
        <v/>
      </c>
      <c r="DM5" s="36" t="str">
        <f t="shared" si="45"/>
        <v/>
      </c>
      <c r="DN5" s="37"/>
      <c r="DO5" s="33"/>
      <c r="DP5" s="34"/>
      <c r="DQ5" s="35" t="str">
        <f t="shared" si="46"/>
        <v/>
      </c>
      <c r="DR5" s="36" t="str">
        <f t="shared" si="47"/>
        <v/>
      </c>
      <c r="DS5" s="37"/>
      <c r="DT5" s="33"/>
      <c r="DU5" s="34"/>
      <c r="DV5" s="35" t="str">
        <f t="shared" si="48"/>
        <v/>
      </c>
      <c r="DW5" s="36" t="str">
        <f t="shared" si="49"/>
        <v/>
      </c>
      <c r="DX5" s="37"/>
      <c r="DY5" s="33"/>
      <c r="DZ5" s="34"/>
      <c r="EA5" s="35" t="str">
        <f t="shared" si="50"/>
        <v/>
      </c>
      <c r="EB5" s="36" t="str">
        <f t="shared" si="51"/>
        <v/>
      </c>
      <c r="EC5" s="37"/>
      <c r="ED5" s="33"/>
      <c r="EE5" s="34"/>
      <c r="EF5" s="35" t="str">
        <f t="shared" si="52"/>
        <v/>
      </c>
      <c r="EG5" s="36" t="str">
        <f t="shared" si="53"/>
        <v/>
      </c>
      <c r="EH5" s="37"/>
      <c r="EI5" s="33"/>
      <c r="EJ5" s="34"/>
      <c r="EK5" s="35" t="str">
        <f t="shared" si="54"/>
        <v/>
      </c>
      <c r="EL5" s="36" t="str">
        <f t="shared" si="55"/>
        <v/>
      </c>
      <c r="EM5" s="37"/>
      <c r="EN5" s="33"/>
      <c r="EO5" s="34"/>
      <c r="EP5" s="35" t="str">
        <f t="shared" si="56"/>
        <v/>
      </c>
      <c r="EQ5" s="36" t="str">
        <f t="shared" si="57"/>
        <v/>
      </c>
      <c r="ER5" s="37"/>
      <c r="ES5" s="33"/>
      <c r="ET5" s="34"/>
      <c r="EU5" s="35" t="str">
        <f t="shared" si="58"/>
        <v/>
      </c>
      <c r="EV5" s="36" t="str">
        <f t="shared" si="59"/>
        <v/>
      </c>
      <c r="EW5" s="37"/>
    </row>
    <row r="6" spans="1:153" ht="19.5" customHeight="1">
      <c r="A6" s="32">
        <f>IF(DAY(DATE(対象年度,11,3))&lt;&gt;3,"",3)</f>
        <v>3</v>
      </c>
      <c r="B6" s="32" t="str">
        <f>IF(DAY(DATE(対象年度,11,3))&lt;&gt;3,"",CHOOSE(WEEKDAY(DATE(対象年度,11,3),2),"月","火","水","木","金","土","日"))</f>
        <v>火</v>
      </c>
      <c r="C6" s="32" t="str">
        <f>IF(DAY(DATE(対象年度,11,3))&lt;&gt;3,"",IF(ISNUMBER(MATCH(DATE(対象年度,11,3),祝日リスト,0)),"祝",""))</f>
        <v>祝</v>
      </c>
      <c r="D6" s="33"/>
      <c r="E6" s="34"/>
      <c r="F6" s="35" t="str">
        <f t="shared" si="0"/>
        <v/>
      </c>
      <c r="G6" s="36" t="str">
        <f t="shared" si="1"/>
        <v/>
      </c>
      <c r="H6" s="37"/>
      <c r="I6" s="33"/>
      <c r="J6" s="34"/>
      <c r="K6" s="35" t="str">
        <f t="shared" si="2"/>
        <v/>
      </c>
      <c r="L6" s="36" t="str">
        <f t="shared" si="3"/>
        <v/>
      </c>
      <c r="M6" s="37"/>
      <c r="N6" s="33"/>
      <c r="O6" s="34"/>
      <c r="P6" s="35" t="str">
        <f t="shared" si="4"/>
        <v/>
      </c>
      <c r="Q6" s="36" t="str">
        <f t="shared" si="5"/>
        <v/>
      </c>
      <c r="R6" s="37"/>
      <c r="S6" s="33"/>
      <c r="T6" s="34"/>
      <c r="U6" s="35" t="str">
        <f t="shared" si="6"/>
        <v/>
      </c>
      <c r="V6" s="36" t="str">
        <f t="shared" si="7"/>
        <v/>
      </c>
      <c r="W6" s="37"/>
      <c r="X6" s="33"/>
      <c r="Y6" s="34"/>
      <c r="Z6" s="35" t="str">
        <f t="shared" si="8"/>
        <v/>
      </c>
      <c r="AA6" s="36" t="str">
        <f t="shared" si="9"/>
        <v/>
      </c>
      <c r="AB6" s="37"/>
      <c r="AC6" s="33"/>
      <c r="AD6" s="34"/>
      <c r="AE6" s="35" t="str">
        <f t="shared" si="10"/>
        <v/>
      </c>
      <c r="AF6" s="36" t="str">
        <f t="shared" si="11"/>
        <v/>
      </c>
      <c r="AG6" s="37"/>
      <c r="AH6" s="33"/>
      <c r="AI6" s="34"/>
      <c r="AJ6" s="35" t="str">
        <f t="shared" si="12"/>
        <v/>
      </c>
      <c r="AK6" s="36" t="str">
        <f t="shared" si="13"/>
        <v/>
      </c>
      <c r="AL6" s="37"/>
      <c r="AM6" s="33"/>
      <c r="AN6" s="34"/>
      <c r="AO6" s="35" t="str">
        <f t="shared" si="14"/>
        <v/>
      </c>
      <c r="AP6" s="36" t="str">
        <f t="shared" si="15"/>
        <v/>
      </c>
      <c r="AQ6" s="37"/>
      <c r="AR6" s="33"/>
      <c r="AS6" s="34"/>
      <c r="AT6" s="35" t="str">
        <f t="shared" si="16"/>
        <v/>
      </c>
      <c r="AU6" s="36" t="str">
        <f t="shared" si="17"/>
        <v/>
      </c>
      <c r="AV6" s="37"/>
      <c r="AW6" s="33"/>
      <c r="AX6" s="34"/>
      <c r="AY6" s="35" t="str">
        <f t="shared" si="18"/>
        <v/>
      </c>
      <c r="AZ6" s="36" t="str">
        <f t="shared" si="19"/>
        <v/>
      </c>
      <c r="BA6" s="37"/>
      <c r="BB6" s="33"/>
      <c r="BC6" s="34"/>
      <c r="BD6" s="35" t="str">
        <f t="shared" si="20"/>
        <v/>
      </c>
      <c r="BE6" s="36" t="str">
        <f t="shared" si="21"/>
        <v/>
      </c>
      <c r="BF6" s="37"/>
      <c r="BG6" s="33"/>
      <c r="BH6" s="34"/>
      <c r="BI6" s="35" t="str">
        <f t="shared" si="22"/>
        <v/>
      </c>
      <c r="BJ6" s="36" t="str">
        <f t="shared" si="23"/>
        <v/>
      </c>
      <c r="BK6" s="37"/>
      <c r="BL6" s="33"/>
      <c r="BM6" s="34"/>
      <c r="BN6" s="35" t="str">
        <f t="shared" si="24"/>
        <v/>
      </c>
      <c r="BO6" s="36" t="str">
        <f t="shared" si="25"/>
        <v/>
      </c>
      <c r="BP6" s="37"/>
      <c r="BQ6" s="33"/>
      <c r="BR6" s="34"/>
      <c r="BS6" s="35" t="str">
        <f t="shared" si="26"/>
        <v/>
      </c>
      <c r="BT6" s="36" t="str">
        <f t="shared" si="27"/>
        <v/>
      </c>
      <c r="BU6" s="37"/>
      <c r="BV6" s="33"/>
      <c r="BW6" s="34"/>
      <c r="BX6" s="35" t="str">
        <f t="shared" si="28"/>
        <v/>
      </c>
      <c r="BY6" s="36" t="str">
        <f t="shared" si="29"/>
        <v/>
      </c>
      <c r="BZ6" s="37"/>
      <c r="CA6" s="33"/>
      <c r="CB6" s="34"/>
      <c r="CC6" s="35" t="str">
        <f t="shared" si="30"/>
        <v/>
      </c>
      <c r="CD6" s="36" t="str">
        <f t="shared" si="31"/>
        <v/>
      </c>
      <c r="CE6" s="37"/>
      <c r="CF6" s="33"/>
      <c r="CG6" s="34"/>
      <c r="CH6" s="35" t="str">
        <f t="shared" si="32"/>
        <v/>
      </c>
      <c r="CI6" s="36" t="str">
        <f t="shared" si="33"/>
        <v/>
      </c>
      <c r="CJ6" s="37"/>
      <c r="CK6" s="33"/>
      <c r="CL6" s="34"/>
      <c r="CM6" s="35" t="str">
        <f t="shared" si="34"/>
        <v/>
      </c>
      <c r="CN6" s="36" t="str">
        <f t="shared" si="35"/>
        <v/>
      </c>
      <c r="CO6" s="37"/>
      <c r="CP6" s="33"/>
      <c r="CQ6" s="34"/>
      <c r="CR6" s="35" t="str">
        <f t="shared" si="36"/>
        <v/>
      </c>
      <c r="CS6" s="36" t="str">
        <f t="shared" si="37"/>
        <v/>
      </c>
      <c r="CT6" s="37"/>
      <c r="CU6" s="33"/>
      <c r="CV6" s="34"/>
      <c r="CW6" s="35" t="str">
        <f t="shared" si="38"/>
        <v/>
      </c>
      <c r="CX6" s="36" t="str">
        <f t="shared" si="39"/>
        <v/>
      </c>
      <c r="CY6" s="37"/>
      <c r="CZ6" s="33"/>
      <c r="DA6" s="34"/>
      <c r="DB6" s="35" t="str">
        <f t="shared" si="40"/>
        <v/>
      </c>
      <c r="DC6" s="36" t="str">
        <f t="shared" si="41"/>
        <v/>
      </c>
      <c r="DD6" s="37"/>
      <c r="DE6" s="33"/>
      <c r="DF6" s="34"/>
      <c r="DG6" s="35" t="str">
        <f t="shared" si="42"/>
        <v/>
      </c>
      <c r="DH6" s="36" t="str">
        <f t="shared" si="43"/>
        <v/>
      </c>
      <c r="DI6" s="37"/>
      <c r="DJ6" s="33"/>
      <c r="DK6" s="34"/>
      <c r="DL6" s="35" t="str">
        <f t="shared" si="44"/>
        <v/>
      </c>
      <c r="DM6" s="36" t="str">
        <f t="shared" si="45"/>
        <v/>
      </c>
      <c r="DN6" s="37"/>
      <c r="DO6" s="33"/>
      <c r="DP6" s="34"/>
      <c r="DQ6" s="35" t="str">
        <f t="shared" si="46"/>
        <v/>
      </c>
      <c r="DR6" s="36" t="str">
        <f t="shared" si="47"/>
        <v/>
      </c>
      <c r="DS6" s="37"/>
      <c r="DT6" s="33"/>
      <c r="DU6" s="34"/>
      <c r="DV6" s="35" t="str">
        <f t="shared" si="48"/>
        <v/>
      </c>
      <c r="DW6" s="36" t="str">
        <f t="shared" si="49"/>
        <v/>
      </c>
      <c r="DX6" s="37"/>
      <c r="DY6" s="33"/>
      <c r="DZ6" s="34"/>
      <c r="EA6" s="35" t="str">
        <f t="shared" si="50"/>
        <v/>
      </c>
      <c r="EB6" s="36" t="str">
        <f t="shared" si="51"/>
        <v/>
      </c>
      <c r="EC6" s="37"/>
      <c r="ED6" s="33"/>
      <c r="EE6" s="34"/>
      <c r="EF6" s="35" t="str">
        <f t="shared" si="52"/>
        <v/>
      </c>
      <c r="EG6" s="36" t="str">
        <f t="shared" si="53"/>
        <v/>
      </c>
      <c r="EH6" s="37"/>
      <c r="EI6" s="33"/>
      <c r="EJ6" s="34"/>
      <c r="EK6" s="35" t="str">
        <f t="shared" si="54"/>
        <v/>
      </c>
      <c r="EL6" s="36" t="str">
        <f t="shared" si="55"/>
        <v/>
      </c>
      <c r="EM6" s="37"/>
      <c r="EN6" s="33"/>
      <c r="EO6" s="34"/>
      <c r="EP6" s="35" t="str">
        <f t="shared" si="56"/>
        <v/>
      </c>
      <c r="EQ6" s="36" t="str">
        <f t="shared" si="57"/>
        <v/>
      </c>
      <c r="ER6" s="37"/>
      <c r="ES6" s="33"/>
      <c r="ET6" s="34"/>
      <c r="EU6" s="35" t="str">
        <f t="shared" si="58"/>
        <v/>
      </c>
      <c r="EV6" s="36" t="str">
        <f t="shared" si="59"/>
        <v/>
      </c>
      <c r="EW6" s="37"/>
    </row>
    <row r="7" spans="1:153" ht="19.5" customHeight="1">
      <c r="A7" s="32">
        <f>IF(DAY(DATE(対象年度,11,4))&lt;&gt;4,"",4)</f>
        <v>4</v>
      </c>
      <c r="B7" s="32" t="str">
        <f>IF(DAY(DATE(対象年度,11,4))&lt;&gt;4,"",CHOOSE(WEEKDAY(DATE(対象年度,11,4),2),"月","火","水","木","金","土","日"))</f>
        <v>水</v>
      </c>
      <c r="C7" s="32" t="str">
        <f>IF(DAY(DATE(対象年度,11,4))&lt;&gt;4,"",IF(ISNUMBER(MATCH(DATE(対象年度,11,4),祝日リスト,0)),"祝",""))</f>
        <v/>
      </c>
      <c r="D7" s="33"/>
      <c r="E7" s="34"/>
      <c r="F7" s="35" t="str">
        <f t="shared" si="0"/>
        <v/>
      </c>
      <c r="G7" s="36" t="str">
        <f t="shared" si="1"/>
        <v/>
      </c>
      <c r="H7" s="37"/>
      <c r="I7" s="33"/>
      <c r="J7" s="34"/>
      <c r="K7" s="35" t="str">
        <f t="shared" si="2"/>
        <v/>
      </c>
      <c r="L7" s="36" t="str">
        <f t="shared" si="3"/>
        <v/>
      </c>
      <c r="M7" s="37"/>
      <c r="N7" s="33"/>
      <c r="O7" s="34"/>
      <c r="P7" s="35" t="str">
        <f t="shared" si="4"/>
        <v/>
      </c>
      <c r="Q7" s="36" t="str">
        <f t="shared" si="5"/>
        <v/>
      </c>
      <c r="R7" s="37"/>
      <c r="S7" s="33"/>
      <c r="T7" s="34"/>
      <c r="U7" s="35" t="str">
        <f t="shared" si="6"/>
        <v/>
      </c>
      <c r="V7" s="36" t="str">
        <f t="shared" si="7"/>
        <v/>
      </c>
      <c r="W7" s="37"/>
      <c r="X7" s="33"/>
      <c r="Y7" s="34"/>
      <c r="Z7" s="35" t="str">
        <f t="shared" si="8"/>
        <v/>
      </c>
      <c r="AA7" s="36" t="str">
        <f t="shared" si="9"/>
        <v/>
      </c>
      <c r="AB7" s="37"/>
      <c r="AC7" s="33"/>
      <c r="AD7" s="34"/>
      <c r="AE7" s="35" t="str">
        <f t="shared" si="10"/>
        <v/>
      </c>
      <c r="AF7" s="36" t="str">
        <f t="shared" si="11"/>
        <v/>
      </c>
      <c r="AG7" s="37"/>
      <c r="AH7" s="33"/>
      <c r="AI7" s="34"/>
      <c r="AJ7" s="35" t="str">
        <f t="shared" si="12"/>
        <v/>
      </c>
      <c r="AK7" s="36" t="str">
        <f t="shared" si="13"/>
        <v/>
      </c>
      <c r="AL7" s="37"/>
      <c r="AM7" s="33"/>
      <c r="AN7" s="34"/>
      <c r="AO7" s="35" t="str">
        <f t="shared" si="14"/>
        <v/>
      </c>
      <c r="AP7" s="36" t="str">
        <f t="shared" si="15"/>
        <v/>
      </c>
      <c r="AQ7" s="37"/>
      <c r="AR7" s="33"/>
      <c r="AS7" s="34"/>
      <c r="AT7" s="35" t="str">
        <f t="shared" si="16"/>
        <v/>
      </c>
      <c r="AU7" s="36" t="str">
        <f t="shared" si="17"/>
        <v/>
      </c>
      <c r="AV7" s="37"/>
      <c r="AW7" s="33"/>
      <c r="AX7" s="34"/>
      <c r="AY7" s="35" t="str">
        <f t="shared" si="18"/>
        <v/>
      </c>
      <c r="AZ7" s="36" t="str">
        <f t="shared" si="19"/>
        <v/>
      </c>
      <c r="BA7" s="37"/>
      <c r="BB7" s="33"/>
      <c r="BC7" s="34"/>
      <c r="BD7" s="35" t="str">
        <f t="shared" si="20"/>
        <v/>
      </c>
      <c r="BE7" s="36" t="str">
        <f t="shared" si="21"/>
        <v/>
      </c>
      <c r="BF7" s="37"/>
      <c r="BG7" s="33"/>
      <c r="BH7" s="34"/>
      <c r="BI7" s="35" t="str">
        <f t="shared" si="22"/>
        <v/>
      </c>
      <c r="BJ7" s="36" t="str">
        <f t="shared" si="23"/>
        <v/>
      </c>
      <c r="BK7" s="37"/>
      <c r="BL7" s="33"/>
      <c r="BM7" s="34"/>
      <c r="BN7" s="35" t="str">
        <f t="shared" si="24"/>
        <v/>
      </c>
      <c r="BO7" s="36" t="str">
        <f t="shared" si="25"/>
        <v/>
      </c>
      <c r="BP7" s="37"/>
      <c r="BQ7" s="33"/>
      <c r="BR7" s="34"/>
      <c r="BS7" s="35" t="str">
        <f t="shared" si="26"/>
        <v/>
      </c>
      <c r="BT7" s="36" t="str">
        <f t="shared" si="27"/>
        <v/>
      </c>
      <c r="BU7" s="37"/>
      <c r="BV7" s="33"/>
      <c r="BW7" s="34"/>
      <c r="BX7" s="35" t="str">
        <f t="shared" si="28"/>
        <v/>
      </c>
      <c r="BY7" s="36" t="str">
        <f t="shared" si="29"/>
        <v/>
      </c>
      <c r="BZ7" s="37"/>
      <c r="CA7" s="33"/>
      <c r="CB7" s="34"/>
      <c r="CC7" s="35" t="str">
        <f t="shared" si="30"/>
        <v/>
      </c>
      <c r="CD7" s="36" t="str">
        <f t="shared" si="31"/>
        <v/>
      </c>
      <c r="CE7" s="37"/>
      <c r="CF7" s="33"/>
      <c r="CG7" s="34"/>
      <c r="CH7" s="35" t="str">
        <f t="shared" si="32"/>
        <v/>
      </c>
      <c r="CI7" s="36" t="str">
        <f t="shared" si="33"/>
        <v/>
      </c>
      <c r="CJ7" s="37"/>
      <c r="CK7" s="33"/>
      <c r="CL7" s="34"/>
      <c r="CM7" s="35" t="str">
        <f t="shared" si="34"/>
        <v/>
      </c>
      <c r="CN7" s="36" t="str">
        <f t="shared" si="35"/>
        <v/>
      </c>
      <c r="CO7" s="37"/>
      <c r="CP7" s="33"/>
      <c r="CQ7" s="34"/>
      <c r="CR7" s="35" t="str">
        <f t="shared" si="36"/>
        <v/>
      </c>
      <c r="CS7" s="36" t="str">
        <f t="shared" si="37"/>
        <v/>
      </c>
      <c r="CT7" s="37"/>
      <c r="CU7" s="33"/>
      <c r="CV7" s="34"/>
      <c r="CW7" s="35" t="str">
        <f t="shared" si="38"/>
        <v/>
      </c>
      <c r="CX7" s="36" t="str">
        <f t="shared" si="39"/>
        <v/>
      </c>
      <c r="CY7" s="37"/>
      <c r="CZ7" s="33"/>
      <c r="DA7" s="34"/>
      <c r="DB7" s="35" t="str">
        <f t="shared" si="40"/>
        <v/>
      </c>
      <c r="DC7" s="36" t="str">
        <f t="shared" si="41"/>
        <v/>
      </c>
      <c r="DD7" s="37"/>
      <c r="DE7" s="33"/>
      <c r="DF7" s="34"/>
      <c r="DG7" s="35" t="str">
        <f t="shared" si="42"/>
        <v/>
      </c>
      <c r="DH7" s="36" t="str">
        <f t="shared" si="43"/>
        <v/>
      </c>
      <c r="DI7" s="37"/>
      <c r="DJ7" s="33"/>
      <c r="DK7" s="34"/>
      <c r="DL7" s="35" t="str">
        <f t="shared" si="44"/>
        <v/>
      </c>
      <c r="DM7" s="36" t="str">
        <f t="shared" si="45"/>
        <v/>
      </c>
      <c r="DN7" s="37"/>
      <c r="DO7" s="33"/>
      <c r="DP7" s="34"/>
      <c r="DQ7" s="35" t="str">
        <f t="shared" si="46"/>
        <v/>
      </c>
      <c r="DR7" s="36" t="str">
        <f t="shared" si="47"/>
        <v/>
      </c>
      <c r="DS7" s="37"/>
      <c r="DT7" s="33"/>
      <c r="DU7" s="34"/>
      <c r="DV7" s="35" t="str">
        <f t="shared" si="48"/>
        <v/>
      </c>
      <c r="DW7" s="36" t="str">
        <f t="shared" si="49"/>
        <v/>
      </c>
      <c r="DX7" s="37"/>
      <c r="DY7" s="33"/>
      <c r="DZ7" s="34"/>
      <c r="EA7" s="35" t="str">
        <f t="shared" si="50"/>
        <v/>
      </c>
      <c r="EB7" s="36" t="str">
        <f t="shared" si="51"/>
        <v/>
      </c>
      <c r="EC7" s="37"/>
      <c r="ED7" s="33"/>
      <c r="EE7" s="34"/>
      <c r="EF7" s="35" t="str">
        <f t="shared" si="52"/>
        <v/>
      </c>
      <c r="EG7" s="36" t="str">
        <f t="shared" si="53"/>
        <v/>
      </c>
      <c r="EH7" s="37"/>
      <c r="EI7" s="33"/>
      <c r="EJ7" s="34"/>
      <c r="EK7" s="35" t="str">
        <f t="shared" si="54"/>
        <v/>
      </c>
      <c r="EL7" s="36" t="str">
        <f t="shared" si="55"/>
        <v/>
      </c>
      <c r="EM7" s="37"/>
      <c r="EN7" s="33"/>
      <c r="EO7" s="34"/>
      <c r="EP7" s="35" t="str">
        <f t="shared" si="56"/>
        <v/>
      </c>
      <c r="EQ7" s="36" t="str">
        <f t="shared" si="57"/>
        <v/>
      </c>
      <c r="ER7" s="37"/>
      <c r="ES7" s="33"/>
      <c r="ET7" s="34"/>
      <c r="EU7" s="35" t="str">
        <f t="shared" si="58"/>
        <v/>
      </c>
      <c r="EV7" s="36" t="str">
        <f t="shared" si="59"/>
        <v/>
      </c>
      <c r="EW7" s="37"/>
    </row>
    <row r="8" spans="1:153" ht="19.5" customHeight="1">
      <c r="A8" s="32">
        <f>IF(DAY(DATE(対象年度,11,5))&lt;&gt;5,"",5)</f>
        <v>5</v>
      </c>
      <c r="B8" s="32" t="str">
        <f>IF(DAY(DATE(対象年度,11,5))&lt;&gt;5,"",CHOOSE(WEEKDAY(DATE(対象年度,11,5),2),"月","火","水","木","金","土","日"))</f>
        <v>木</v>
      </c>
      <c r="C8" s="32" t="str">
        <f>IF(DAY(DATE(対象年度,11,5))&lt;&gt;5,"",IF(ISNUMBER(MATCH(DATE(対象年度,11,5),祝日リスト,0)),"祝",""))</f>
        <v/>
      </c>
      <c r="D8" s="33"/>
      <c r="E8" s="34"/>
      <c r="F8" s="35" t="str">
        <f t="shared" si="0"/>
        <v/>
      </c>
      <c r="G8" s="36" t="str">
        <f t="shared" si="1"/>
        <v/>
      </c>
      <c r="H8" s="37"/>
      <c r="I8" s="33"/>
      <c r="J8" s="34"/>
      <c r="K8" s="35" t="str">
        <f t="shared" si="2"/>
        <v/>
      </c>
      <c r="L8" s="36" t="str">
        <f t="shared" si="3"/>
        <v/>
      </c>
      <c r="M8" s="37"/>
      <c r="N8" s="33"/>
      <c r="O8" s="34"/>
      <c r="P8" s="35" t="str">
        <f t="shared" si="4"/>
        <v/>
      </c>
      <c r="Q8" s="36" t="str">
        <f t="shared" si="5"/>
        <v/>
      </c>
      <c r="R8" s="37"/>
      <c r="S8" s="33"/>
      <c r="T8" s="34"/>
      <c r="U8" s="35" t="str">
        <f t="shared" si="6"/>
        <v/>
      </c>
      <c r="V8" s="36" t="str">
        <f t="shared" si="7"/>
        <v/>
      </c>
      <c r="W8" s="37"/>
      <c r="X8" s="33"/>
      <c r="Y8" s="34"/>
      <c r="Z8" s="35" t="str">
        <f t="shared" si="8"/>
        <v/>
      </c>
      <c r="AA8" s="36" t="str">
        <f t="shared" si="9"/>
        <v/>
      </c>
      <c r="AB8" s="37"/>
      <c r="AC8" s="33"/>
      <c r="AD8" s="34"/>
      <c r="AE8" s="35" t="str">
        <f t="shared" si="10"/>
        <v/>
      </c>
      <c r="AF8" s="36" t="str">
        <f t="shared" si="11"/>
        <v/>
      </c>
      <c r="AG8" s="37"/>
      <c r="AH8" s="33"/>
      <c r="AI8" s="34"/>
      <c r="AJ8" s="35" t="str">
        <f t="shared" si="12"/>
        <v/>
      </c>
      <c r="AK8" s="36" t="str">
        <f t="shared" si="13"/>
        <v/>
      </c>
      <c r="AL8" s="37"/>
      <c r="AM8" s="33"/>
      <c r="AN8" s="34"/>
      <c r="AO8" s="35" t="str">
        <f t="shared" si="14"/>
        <v/>
      </c>
      <c r="AP8" s="36" t="str">
        <f t="shared" si="15"/>
        <v/>
      </c>
      <c r="AQ8" s="37"/>
      <c r="AR8" s="33"/>
      <c r="AS8" s="34"/>
      <c r="AT8" s="35" t="str">
        <f t="shared" si="16"/>
        <v/>
      </c>
      <c r="AU8" s="36" t="str">
        <f t="shared" si="17"/>
        <v/>
      </c>
      <c r="AV8" s="37"/>
      <c r="AW8" s="33"/>
      <c r="AX8" s="34"/>
      <c r="AY8" s="35" t="str">
        <f t="shared" si="18"/>
        <v/>
      </c>
      <c r="AZ8" s="36" t="str">
        <f t="shared" si="19"/>
        <v/>
      </c>
      <c r="BA8" s="37"/>
      <c r="BB8" s="33"/>
      <c r="BC8" s="34"/>
      <c r="BD8" s="35" t="str">
        <f t="shared" si="20"/>
        <v/>
      </c>
      <c r="BE8" s="36" t="str">
        <f t="shared" si="21"/>
        <v/>
      </c>
      <c r="BF8" s="37"/>
      <c r="BG8" s="33"/>
      <c r="BH8" s="34"/>
      <c r="BI8" s="35" t="str">
        <f t="shared" si="22"/>
        <v/>
      </c>
      <c r="BJ8" s="36" t="str">
        <f t="shared" si="23"/>
        <v/>
      </c>
      <c r="BK8" s="37"/>
      <c r="BL8" s="33"/>
      <c r="BM8" s="34"/>
      <c r="BN8" s="35" t="str">
        <f t="shared" si="24"/>
        <v/>
      </c>
      <c r="BO8" s="36" t="str">
        <f t="shared" si="25"/>
        <v/>
      </c>
      <c r="BP8" s="37"/>
      <c r="BQ8" s="33"/>
      <c r="BR8" s="34"/>
      <c r="BS8" s="35" t="str">
        <f t="shared" si="26"/>
        <v/>
      </c>
      <c r="BT8" s="36" t="str">
        <f t="shared" si="27"/>
        <v/>
      </c>
      <c r="BU8" s="37"/>
      <c r="BV8" s="33"/>
      <c r="BW8" s="34"/>
      <c r="BX8" s="35" t="str">
        <f t="shared" si="28"/>
        <v/>
      </c>
      <c r="BY8" s="36" t="str">
        <f t="shared" si="29"/>
        <v/>
      </c>
      <c r="BZ8" s="37"/>
      <c r="CA8" s="33"/>
      <c r="CB8" s="34"/>
      <c r="CC8" s="35" t="str">
        <f t="shared" si="30"/>
        <v/>
      </c>
      <c r="CD8" s="36" t="str">
        <f t="shared" si="31"/>
        <v/>
      </c>
      <c r="CE8" s="37"/>
      <c r="CF8" s="33"/>
      <c r="CG8" s="34"/>
      <c r="CH8" s="35" t="str">
        <f t="shared" si="32"/>
        <v/>
      </c>
      <c r="CI8" s="36" t="str">
        <f t="shared" si="33"/>
        <v/>
      </c>
      <c r="CJ8" s="37"/>
      <c r="CK8" s="33"/>
      <c r="CL8" s="34"/>
      <c r="CM8" s="35" t="str">
        <f t="shared" si="34"/>
        <v/>
      </c>
      <c r="CN8" s="36" t="str">
        <f t="shared" si="35"/>
        <v/>
      </c>
      <c r="CO8" s="37"/>
      <c r="CP8" s="33"/>
      <c r="CQ8" s="34"/>
      <c r="CR8" s="35" t="str">
        <f t="shared" si="36"/>
        <v/>
      </c>
      <c r="CS8" s="36" t="str">
        <f t="shared" si="37"/>
        <v/>
      </c>
      <c r="CT8" s="37"/>
      <c r="CU8" s="33"/>
      <c r="CV8" s="34"/>
      <c r="CW8" s="35" t="str">
        <f t="shared" si="38"/>
        <v/>
      </c>
      <c r="CX8" s="36" t="str">
        <f t="shared" si="39"/>
        <v/>
      </c>
      <c r="CY8" s="37"/>
      <c r="CZ8" s="33"/>
      <c r="DA8" s="34"/>
      <c r="DB8" s="35" t="str">
        <f t="shared" si="40"/>
        <v/>
      </c>
      <c r="DC8" s="36" t="str">
        <f t="shared" si="41"/>
        <v/>
      </c>
      <c r="DD8" s="37"/>
      <c r="DE8" s="33"/>
      <c r="DF8" s="34"/>
      <c r="DG8" s="35" t="str">
        <f t="shared" si="42"/>
        <v/>
      </c>
      <c r="DH8" s="36" t="str">
        <f t="shared" si="43"/>
        <v/>
      </c>
      <c r="DI8" s="37"/>
      <c r="DJ8" s="33"/>
      <c r="DK8" s="34"/>
      <c r="DL8" s="35" t="str">
        <f t="shared" si="44"/>
        <v/>
      </c>
      <c r="DM8" s="36" t="str">
        <f t="shared" si="45"/>
        <v/>
      </c>
      <c r="DN8" s="37"/>
      <c r="DO8" s="33"/>
      <c r="DP8" s="34"/>
      <c r="DQ8" s="35" t="str">
        <f t="shared" si="46"/>
        <v/>
      </c>
      <c r="DR8" s="36" t="str">
        <f t="shared" si="47"/>
        <v/>
      </c>
      <c r="DS8" s="37"/>
      <c r="DT8" s="33"/>
      <c r="DU8" s="34"/>
      <c r="DV8" s="35" t="str">
        <f t="shared" si="48"/>
        <v/>
      </c>
      <c r="DW8" s="36" t="str">
        <f t="shared" si="49"/>
        <v/>
      </c>
      <c r="DX8" s="37"/>
      <c r="DY8" s="33"/>
      <c r="DZ8" s="34"/>
      <c r="EA8" s="35" t="str">
        <f t="shared" si="50"/>
        <v/>
      </c>
      <c r="EB8" s="36" t="str">
        <f t="shared" si="51"/>
        <v/>
      </c>
      <c r="EC8" s="37"/>
      <c r="ED8" s="33"/>
      <c r="EE8" s="34"/>
      <c r="EF8" s="35" t="str">
        <f t="shared" si="52"/>
        <v/>
      </c>
      <c r="EG8" s="36" t="str">
        <f t="shared" si="53"/>
        <v/>
      </c>
      <c r="EH8" s="37"/>
      <c r="EI8" s="33"/>
      <c r="EJ8" s="34"/>
      <c r="EK8" s="35" t="str">
        <f t="shared" si="54"/>
        <v/>
      </c>
      <c r="EL8" s="36" t="str">
        <f t="shared" si="55"/>
        <v/>
      </c>
      <c r="EM8" s="37"/>
      <c r="EN8" s="33"/>
      <c r="EO8" s="34"/>
      <c r="EP8" s="35" t="str">
        <f t="shared" si="56"/>
        <v/>
      </c>
      <c r="EQ8" s="36" t="str">
        <f t="shared" si="57"/>
        <v/>
      </c>
      <c r="ER8" s="37"/>
      <c r="ES8" s="33"/>
      <c r="ET8" s="34"/>
      <c r="EU8" s="35" t="str">
        <f t="shared" si="58"/>
        <v/>
      </c>
      <c r="EV8" s="36" t="str">
        <f t="shared" si="59"/>
        <v/>
      </c>
      <c r="EW8" s="37"/>
    </row>
    <row r="9" spans="1:153" ht="19.5" customHeight="1">
      <c r="A9" s="32">
        <f>IF(DAY(DATE(対象年度,11,6))&lt;&gt;6,"",6)</f>
        <v>6</v>
      </c>
      <c r="B9" s="32" t="str">
        <f>IF(DAY(DATE(対象年度,11,6))&lt;&gt;6,"",CHOOSE(WEEKDAY(DATE(対象年度,11,6),2),"月","火","水","木","金","土","日"))</f>
        <v>金</v>
      </c>
      <c r="C9" s="32" t="str">
        <f>IF(DAY(DATE(対象年度,11,6))&lt;&gt;6,"",IF(ISNUMBER(MATCH(DATE(対象年度,11,6),祝日リスト,0)),"祝",""))</f>
        <v/>
      </c>
      <c r="D9" s="33"/>
      <c r="E9" s="34"/>
      <c r="F9" s="35" t="str">
        <f t="shared" si="0"/>
        <v/>
      </c>
      <c r="G9" s="36" t="str">
        <f t="shared" si="1"/>
        <v/>
      </c>
      <c r="H9" s="37"/>
      <c r="I9" s="33"/>
      <c r="J9" s="34"/>
      <c r="K9" s="35" t="str">
        <f t="shared" si="2"/>
        <v/>
      </c>
      <c r="L9" s="36" t="str">
        <f t="shared" si="3"/>
        <v/>
      </c>
      <c r="M9" s="37"/>
      <c r="N9" s="33"/>
      <c r="O9" s="34"/>
      <c r="P9" s="35" t="str">
        <f t="shared" si="4"/>
        <v/>
      </c>
      <c r="Q9" s="36" t="str">
        <f t="shared" si="5"/>
        <v/>
      </c>
      <c r="R9" s="37"/>
      <c r="S9" s="33"/>
      <c r="T9" s="34"/>
      <c r="U9" s="35" t="str">
        <f t="shared" si="6"/>
        <v/>
      </c>
      <c r="V9" s="36" t="str">
        <f t="shared" si="7"/>
        <v/>
      </c>
      <c r="W9" s="37"/>
      <c r="X9" s="33"/>
      <c r="Y9" s="34"/>
      <c r="Z9" s="35" t="str">
        <f t="shared" si="8"/>
        <v/>
      </c>
      <c r="AA9" s="36" t="str">
        <f t="shared" si="9"/>
        <v/>
      </c>
      <c r="AB9" s="37"/>
      <c r="AC9" s="33"/>
      <c r="AD9" s="34"/>
      <c r="AE9" s="35" t="str">
        <f t="shared" si="10"/>
        <v/>
      </c>
      <c r="AF9" s="36" t="str">
        <f t="shared" si="11"/>
        <v/>
      </c>
      <c r="AG9" s="37"/>
      <c r="AH9" s="33"/>
      <c r="AI9" s="34"/>
      <c r="AJ9" s="35" t="str">
        <f t="shared" si="12"/>
        <v/>
      </c>
      <c r="AK9" s="36" t="str">
        <f t="shared" si="13"/>
        <v/>
      </c>
      <c r="AL9" s="37"/>
      <c r="AM9" s="33"/>
      <c r="AN9" s="34"/>
      <c r="AO9" s="35" t="str">
        <f t="shared" si="14"/>
        <v/>
      </c>
      <c r="AP9" s="36" t="str">
        <f t="shared" si="15"/>
        <v/>
      </c>
      <c r="AQ9" s="37"/>
      <c r="AR9" s="33"/>
      <c r="AS9" s="34"/>
      <c r="AT9" s="35" t="str">
        <f t="shared" si="16"/>
        <v/>
      </c>
      <c r="AU9" s="36" t="str">
        <f t="shared" si="17"/>
        <v/>
      </c>
      <c r="AV9" s="37"/>
      <c r="AW9" s="33"/>
      <c r="AX9" s="34"/>
      <c r="AY9" s="35" t="str">
        <f t="shared" si="18"/>
        <v/>
      </c>
      <c r="AZ9" s="36" t="str">
        <f t="shared" si="19"/>
        <v/>
      </c>
      <c r="BA9" s="37"/>
      <c r="BB9" s="33"/>
      <c r="BC9" s="34"/>
      <c r="BD9" s="35" t="str">
        <f t="shared" si="20"/>
        <v/>
      </c>
      <c r="BE9" s="36" t="str">
        <f t="shared" si="21"/>
        <v/>
      </c>
      <c r="BF9" s="37"/>
      <c r="BG9" s="33"/>
      <c r="BH9" s="34"/>
      <c r="BI9" s="35" t="str">
        <f t="shared" si="22"/>
        <v/>
      </c>
      <c r="BJ9" s="36" t="str">
        <f t="shared" si="23"/>
        <v/>
      </c>
      <c r="BK9" s="37"/>
      <c r="BL9" s="33"/>
      <c r="BM9" s="34"/>
      <c r="BN9" s="35" t="str">
        <f t="shared" si="24"/>
        <v/>
      </c>
      <c r="BO9" s="36" t="str">
        <f t="shared" si="25"/>
        <v/>
      </c>
      <c r="BP9" s="37"/>
      <c r="BQ9" s="33"/>
      <c r="BR9" s="34"/>
      <c r="BS9" s="35" t="str">
        <f t="shared" si="26"/>
        <v/>
      </c>
      <c r="BT9" s="36" t="str">
        <f t="shared" si="27"/>
        <v/>
      </c>
      <c r="BU9" s="37"/>
      <c r="BV9" s="33"/>
      <c r="BW9" s="34"/>
      <c r="BX9" s="35" t="str">
        <f t="shared" si="28"/>
        <v/>
      </c>
      <c r="BY9" s="36" t="str">
        <f t="shared" si="29"/>
        <v/>
      </c>
      <c r="BZ9" s="37"/>
      <c r="CA9" s="33"/>
      <c r="CB9" s="34"/>
      <c r="CC9" s="35" t="str">
        <f t="shared" si="30"/>
        <v/>
      </c>
      <c r="CD9" s="36" t="str">
        <f t="shared" si="31"/>
        <v/>
      </c>
      <c r="CE9" s="37"/>
      <c r="CF9" s="33"/>
      <c r="CG9" s="34"/>
      <c r="CH9" s="35" t="str">
        <f t="shared" si="32"/>
        <v/>
      </c>
      <c r="CI9" s="36" t="str">
        <f t="shared" si="33"/>
        <v/>
      </c>
      <c r="CJ9" s="37"/>
      <c r="CK9" s="33"/>
      <c r="CL9" s="34"/>
      <c r="CM9" s="35" t="str">
        <f t="shared" si="34"/>
        <v/>
      </c>
      <c r="CN9" s="36" t="str">
        <f t="shared" si="35"/>
        <v/>
      </c>
      <c r="CO9" s="37"/>
      <c r="CP9" s="33"/>
      <c r="CQ9" s="34"/>
      <c r="CR9" s="35" t="str">
        <f t="shared" si="36"/>
        <v/>
      </c>
      <c r="CS9" s="36" t="str">
        <f t="shared" si="37"/>
        <v/>
      </c>
      <c r="CT9" s="37"/>
      <c r="CU9" s="33"/>
      <c r="CV9" s="34"/>
      <c r="CW9" s="35" t="str">
        <f t="shared" si="38"/>
        <v/>
      </c>
      <c r="CX9" s="36" t="str">
        <f t="shared" si="39"/>
        <v/>
      </c>
      <c r="CY9" s="37"/>
      <c r="CZ9" s="33"/>
      <c r="DA9" s="34"/>
      <c r="DB9" s="35" t="str">
        <f t="shared" si="40"/>
        <v/>
      </c>
      <c r="DC9" s="36" t="str">
        <f t="shared" si="41"/>
        <v/>
      </c>
      <c r="DD9" s="37"/>
      <c r="DE9" s="33"/>
      <c r="DF9" s="34"/>
      <c r="DG9" s="35" t="str">
        <f t="shared" si="42"/>
        <v/>
      </c>
      <c r="DH9" s="36" t="str">
        <f t="shared" si="43"/>
        <v/>
      </c>
      <c r="DI9" s="37"/>
      <c r="DJ9" s="33"/>
      <c r="DK9" s="34"/>
      <c r="DL9" s="35" t="str">
        <f t="shared" si="44"/>
        <v/>
      </c>
      <c r="DM9" s="36" t="str">
        <f t="shared" si="45"/>
        <v/>
      </c>
      <c r="DN9" s="37"/>
      <c r="DO9" s="33"/>
      <c r="DP9" s="34"/>
      <c r="DQ9" s="35" t="str">
        <f t="shared" si="46"/>
        <v/>
      </c>
      <c r="DR9" s="36" t="str">
        <f t="shared" si="47"/>
        <v/>
      </c>
      <c r="DS9" s="37"/>
      <c r="DT9" s="33"/>
      <c r="DU9" s="34"/>
      <c r="DV9" s="35" t="str">
        <f t="shared" si="48"/>
        <v/>
      </c>
      <c r="DW9" s="36" t="str">
        <f t="shared" si="49"/>
        <v/>
      </c>
      <c r="DX9" s="37"/>
      <c r="DY9" s="33"/>
      <c r="DZ9" s="34"/>
      <c r="EA9" s="35" t="str">
        <f t="shared" si="50"/>
        <v/>
      </c>
      <c r="EB9" s="36" t="str">
        <f t="shared" si="51"/>
        <v/>
      </c>
      <c r="EC9" s="37"/>
      <c r="ED9" s="33"/>
      <c r="EE9" s="34"/>
      <c r="EF9" s="35" t="str">
        <f t="shared" si="52"/>
        <v/>
      </c>
      <c r="EG9" s="36" t="str">
        <f t="shared" si="53"/>
        <v/>
      </c>
      <c r="EH9" s="37"/>
      <c r="EI9" s="33"/>
      <c r="EJ9" s="34"/>
      <c r="EK9" s="35" t="str">
        <f t="shared" si="54"/>
        <v/>
      </c>
      <c r="EL9" s="36" t="str">
        <f t="shared" si="55"/>
        <v/>
      </c>
      <c r="EM9" s="37"/>
      <c r="EN9" s="33"/>
      <c r="EO9" s="34"/>
      <c r="EP9" s="35" t="str">
        <f t="shared" si="56"/>
        <v/>
      </c>
      <c r="EQ9" s="36" t="str">
        <f t="shared" si="57"/>
        <v/>
      </c>
      <c r="ER9" s="37"/>
      <c r="ES9" s="33"/>
      <c r="ET9" s="34"/>
      <c r="EU9" s="35" t="str">
        <f t="shared" si="58"/>
        <v/>
      </c>
      <c r="EV9" s="36" t="str">
        <f t="shared" si="59"/>
        <v/>
      </c>
      <c r="EW9" s="37"/>
    </row>
    <row r="10" spans="1:153" ht="19.5" customHeight="1">
      <c r="A10" s="32">
        <f>IF(DAY(DATE(対象年度,11,7))&lt;&gt;7,"",7)</f>
        <v>7</v>
      </c>
      <c r="B10" s="32" t="str">
        <f>IF(DAY(DATE(対象年度,11,7))&lt;&gt;7,"",CHOOSE(WEEKDAY(DATE(対象年度,11,7),2),"月","火","水","木","金","土","日"))</f>
        <v>土</v>
      </c>
      <c r="C10" s="32" t="str">
        <f>IF(DAY(DATE(対象年度,11,7))&lt;&gt;7,"",IF(ISNUMBER(MATCH(DATE(対象年度,11,7),祝日リスト,0)),"祝",""))</f>
        <v/>
      </c>
      <c r="D10" s="33"/>
      <c r="E10" s="34"/>
      <c r="F10" s="35" t="str">
        <f t="shared" si="0"/>
        <v/>
      </c>
      <c r="G10" s="36" t="str">
        <f t="shared" si="1"/>
        <v/>
      </c>
      <c r="H10" s="37"/>
      <c r="I10" s="33"/>
      <c r="J10" s="34"/>
      <c r="K10" s="35" t="str">
        <f t="shared" si="2"/>
        <v/>
      </c>
      <c r="L10" s="36" t="str">
        <f t="shared" si="3"/>
        <v/>
      </c>
      <c r="M10" s="37"/>
      <c r="N10" s="33"/>
      <c r="O10" s="34"/>
      <c r="P10" s="35" t="str">
        <f t="shared" si="4"/>
        <v/>
      </c>
      <c r="Q10" s="36" t="str">
        <f t="shared" si="5"/>
        <v/>
      </c>
      <c r="R10" s="37"/>
      <c r="S10" s="33"/>
      <c r="T10" s="34"/>
      <c r="U10" s="35" t="str">
        <f t="shared" si="6"/>
        <v/>
      </c>
      <c r="V10" s="36" t="str">
        <f t="shared" si="7"/>
        <v/>
      </c>
      <c r="W10" s="37"/>
      <c r="X10" s="33"/>
      <c r="Y10" s="34"/>
      <c r="Z10" s="35" t="str">
        <f t="shared" si="8"/>
        <v/>
      </c>
      <c r="AA10" s="36" t="str">
        <f t="shared" si="9"/>
        <v/>
      </c>
      <c r="AB10" s="37"/>
      <c r="AC10" s="33"/>
      <c r="AD10" s="34"/>
      <c r="AE10" s="35" t="str">
        <f t="shared" si="10"/>
        <v/>
      </c>
      <c r="AF10" s="36" t="str">
        <f t="shared" si="11"/>
        <v/>
      </c>
      <c r="AG10" s="37"/>
      <c r="AH10" s="33"/>
      <c r="AI10" s="34"/>
      <c r="AJ10" s="35" t="str">
        <f t="shared" si="12"/>
        <v/>
      </c>
      <c r="AK10" s="36" t="str">
        <f t="shared" si="13"/>
        <v/>
      </c>
      <c r="AL10" s="37"/>
      <c r="AM10" s="33"/>
      <c r="AN10" s="34"/>
      <c r="AO10" s="35" t="str">
        <f t="shared" si="14"/>
        <v/>
      </c>
      <c r="AP10" s="36" t="str">
        <f t="shared" si="15"/>
        <v/>
      </c>
      <c r="AQ10" s="37"/>
      <c r="AR10" s="33"/>
      <c r="AS10" s="34"/>
      <c r="AT10" s="35" t="str">
        <f t="shared" si="16"/>
        <v/>
      </c>
      <c r="AU10" s="36" t="str">
        <f t="shared" si="17"/>
        <v/>
      </c>
      <c r="AV10" s="37"/>
      <c r="AW10" s="33"/>
      <c r="AX10" s="34"/>
      <c r="AY10" s="35" t="str">
        <f t="shared" si="18"/>
        <v/>
      </c>
      <c r="AZ10" s="36" t="str">
        <f t="shared" si="19"/>
        <v/>
      </c>
      <c r="BA10" s="37"/>
      <c r="BB10" s="33"/>
      <c r="BC10" s="34"/>
      <c r="BD10" s="35" t="str">
        <f t="shared" si="20"/>
        <v/>
      </c>
      <c r="BE10" s="36" t="str">
        <f t="shared" si="21"/>
        <v/>
      </c>
      <c r="BF10" s="37"/>
      <c r="BG10" s="33"/>
      <c r="BH10" s="34"/>
      <c r="BI10" s="35" t="str">
        <f t="shared" si="22"/>
        <v/>
      </c>
      <c r="BJ10" s="36" t="str">
        <f t="shared" si="23"/>
        <v/>
      </c>
      <c r="BK10" s="37"/>
      <c r="BL10" s="33"/>
      <c r="BM10" s="34"/>
      <c r="BN10" s="35" t="str">
        <f t="shared" si="24"/>
        <v/>
      </c>
      <c r="BO10" s="36" t="str">
        <f t="shared" si="25"/>
        <v/>
      </c>
      <c r="BP10" s="37"/>
      <c r="BQ10" s="33"/>
      <c r="BR10" s="34"/>
      <c r="BS10" s="35" t="str">
        <f t="shared" si="26"/>
        <v/>
      </c>
      <c r="BT10" s="36" t="str">
        <f t="shared" si="27"/>
        <v/>
      </c>
      <c r="BU10" s="37"/>
      <c r="BV10" s="33"/>
      <c r="BW10" s="34"/>
      <c r="BX10" s="35" t="str">
        <f t="shared" si="28"/>
        <v/>
      </c>
      <c r="BY10" s="36" t="str">
        <f t="shared" si="29"/>
        <v/>
      </c>
      <c r="BZ10" s="37"/>
      <c r="CA10" s="33"/>
      <c r="CB10" s="34"/>
      <c r="CC10" s="35" t="str">
        <f t="shared" si="30"/>
        <v/>
      </c>
      <c r="CD10" s="36" t="str">
        <f t="shared" si="31"/>
        <v/>
      </c>
      <c r="CE10" s="37"/>
      <c r="CF10" s="33"/>
      <c r="CG10" s="34"/>
      <c r="CH10" s="35" t="str">
        <f t="shared" si="32"/>
        <v/>
      </c>
      <c r="CI10" s="36" t="str">
        <f t="shared" si="33"/>
        <v/>
      </c>
      <c r="CJ10" s="37"/>
      <c r="CK10" s="33"/>
      <c r="CL10" s="34"/>
      <c r="CM10" s="35" t="str">
        <f t="shared" si="34"/>
        <v/>
      </c>
      <c r="CN10" s="36" t="str">
        <f t="shared" si="35"/>
        <v/>
      </c>
      <c r="CO10" s="37"/>
      <c r="CP10" s="33"/>
      <c r="CQ10" s="34"/>
      <c r="CR10" s="35" t="str">
        <f t="shared" si="36"/>
        <v/>
      </c>
      <c r="CS10" s="36" t="str">
        <f t="shared" si="37"/>
        <v/>
      </c>
      <c r="CT10" s="37"/>
      <c r="CU10" s="33"/>
      <c r="CV10" s="34"/>
      <c r="CW10" s="35" t="str">
        <f t="shared" si="38"/>
        <v/>
      </c>
      <c r="CX10" s="36" t="str">
        <f t="shared" si="39"/>
        <v/>
      </c>
      <c r="CY10" s="37"/>
      <c r="CZ10" s="33"/>
      <c r="DA10" s="34"/>
      <c r="DB10" s="35" t="str">
        <f t="shared" si="40"/>
        <v/>
      </c>
      <c r="DC10" s="36" t="str">
        <f t="shared" si="41"/>
        <v/>
      </c>
      <c r="DD10" s="37"/>
      <c r="DE10" s="33"/>
      <c r="DF10" s="34"/>
      <c r="DG10" s="35" t="str">
        <f t="shared" si="42"/>
        <v/>
      </c>
      <c r="DH10" s="36" t="str">
        <f t="shared" si="43"/>
        <v/>
      </c>
      <c r="DI10" s="37"/>
      <c r="DJ10" s="33"/>
      <c r="DK10" s="34"/>
      <c r="DL10" s="35" t="str">
        <f t="shared" si="44"/>
        <v/>
      </c>
      <c r="DM10" s="36" t="str">
        <f t="shared" si="45"/>
        <v/>
      </c>
      <c r="DN10" s="37"/>
      <c r="DO10" s="33"/>
      <c r="DP10" s="34"/>
      <c r="DQ10" s="35" t="str">
        <f t="shared" si="46"/>
        <v/>
      </c>
      <c r="DR10" s="36" t="str">
        <f t="shared" si="47"/>
        <v/>
      </c>
      <c r="DS10" s="37"/>
      <c r="DT10" s="33"/>
      <c r="DU10" s="34"/>
      <c r="DV10" s="35" t="str">
        <f t="shared" si="48"/>
        <v/>
      </c>
      <c r="DW10" s="36" t="str">
        <f t="shared" si="49"/>
        <v/>
      </c>
      <c r="DX10" s="37"/>
      <c r="DY10" s="33"/>
      <c r="DZ10" s="34"/>
      <c r="EA10" s="35" t="str">
        <f t="shared" si="50"/>
        <v/>
      </c>
      <c r="EB10" s="36" t="str">
        <f t="shared" si="51"/>
        <v/>
      </c>
      <c r="EC10" s="37"/>
      <c r="ED10" s="33"/>
      <c r="EE10" s="34"/>
      <c r="EF10" s="35" t="str">
        <f t="shared" si="52"/>
        <v/>
      </c>
      <c r="EG10" s="36" t="str">
        <f t="shared" si="53"/>
        <v/>
      </c>
      <c r="EH10" s="37"/>
      <c r="EI10" s="33"/>
      <c r="EJ10" s="34"/>
      <c r="EK10" s="35" t="str">
        <f t="shared" si="54"/>
        <v/>
      </c>
      <c r="EL10" s="36" t="str">
        <f t="shared" si="55"/>
        <v/>
      </c>
      <c r="EM10" s="37"/>
      <c r="EN10" s="33"/>
      <c r="EO10" s="34"/>
      <c r="EP10" s="35" t="str">
        <f t="shared" si="56"/>
        <v/>
      </c>
      <c r="EQ10" s="36" t="str">
        <f t="shared" si="57"/>
        <v/>
      </c>
      <c r="ER10" s="37"/>
      <c r="ES10" s="33"/>
      <c r="ET10" s="34"/>
      <c r="EU10" s="35" t="str">
        <f t="shared" si="58"/>
        <v/>
      </c>
      <c r="EV10" s="36" t="str">
        <f t="shared" si="59"/>
        <v/>
      </c>
      <c r="EW10" s="37"/>
    </row>
    <row r="11" spans="1:153" ht="19.5" customHeight="1">
      <c r="A11" s="32">
        <f>IF(DAY(DATE(対象年度,11,8))&lt;&gt;8,"",8)</f>
        <v>8</v>
      </c>
      <c r="B11" s="32" t="str">
        <f>IF(DAY(DATE(対象年度,11,8))&lt;&gt;8,"",CHOOSE(WEEKDAY(DATE(対象年度,11,8),2),"月","火","水","木","金","土","日"))</f>
        <v>日</v>
      </c>
      <c r="C11" s="32" t="str">
        <f>IF(DAY(DATE(対象年度,11,8))&lt;&gt;8,"",IF(ISNUMBER(MATCH(DATE(対象年度,11,8),祝日リスト,0)),"祝",""))</f>
        <v/>
      </c>
      <c r="D11" s="33"/>
      <c r="E11" s="34"/>
      <c r="F11" s="35" t="str">
        <f t="shared" si="0"/>
        <v/>
      </c>
      <c r="G11" s="36" t="str">
        <f t="shared" si="1"/>
        <v/>
      </c>
      <c r="H11" s="37"/>
      <c r="I11" s="33"/>
      <c r="J11" s="34"/>
      <c r="K11" s="35" t="str">
        <f t="shared" si="2"/>
        <v/>
      </c>
      <c r="L11" s="36" t="str">
        <f t="shared" si="3"/>
        <v/>
      </c>
      <c r="M11" s="37"/>
      <c r="N11" s="33"/>
      <c r="O11" s="34"/>
      <c r="P11" s="35" t="str">
        <f t="shared" si="4"/>
        <v/>
      </c>
      <c r="Q11" s="36" t="str">
        <f t="shared" si="5"/>
        <v/>
      </c>
      <c r="R11" s="37"/>
      <c r="S11" s="33"/>
      <c r="T11" s="34"/>
      <c r="U11" s="35" t="str">
        <f t="shared" si="6"/>
        <v/>
      </c>
      <c r="V11" s="36" t="str">
        <f t="shared" si="7"/>
        <v/>
      </c>
      <c r="W11" s="37"/>
      <c r="X11" s="33"/>
      <c r="Y11" s="34"/>
      <c r="Z11" s="35" t="str">
        <f t="shared" si="8"/>
        <v/>
      </c>
      <c r="AA11" s="36" t="str">
        <f t="shared" si="9"/>
        <v/>
      </c>
      <c r="AB11" s="37"/>
      <c r="AC11" s="33"/>
      <c r="AD11" s="34"/>
      <c r="AE11" s="35" t="str">
        <f t="shared" si="10"/>
        <v/>
      </c>
      <c r="AF11" s="36" t="str">
        <f t="shared" si="11"/>
        <v/>
      </c>
      <c r="AG11" s="37"/>
      <c r="AH11" s="33"/>
      <c r="AI11" s="34"/>
      <c r="AJ11" s="35" t="str">
        <f t="shared" si="12"/>
        <v/>
      </c>
      <c r="AK11" s="36" t="str">
        <f t="shared" si="13"/>
        <v/>
      </c>
      <c r="AL11" s="37"/>
      <c r="AM11" s="33"/>
      <c r="AN11" s="34"/>
      <c r="AO11" s="35" t="str">
        <f t="shared" si="14"/>
        <v/>
      </c>
      <c r="AP11" s="36" t="str">
        <f t="shared" si="15"/>
        <v/>
      </c>
      <c r="AQ11" s="37"/>
      <c r="AR11" s="33"/>
      <c r="AS11" s="34"/>
      <c r="AT11" s="35" t="str">
        <f t="shared" si="16"/>
        <v/>
      </c>
      <c r="AU11" s="36" t="str">
        <f t="shared" si="17"/>
        <v/>
      </c>
      <c r="AV11" s="37"/>
      <c r="AW11" s="33"/>
      <c r="AX11" s="34"/>
      <c r="AY11" s="35" t="str">
        <f t="shared" si="18"/>
        <v/>
      </c>
      <c r="AZ11" s="36" t="str">
        <f t="shared" si="19"/>
        <v/>
      </c>
      <c r="BA11" s="37"/>
      <c r="BB11" s="33"/>
      <c r="BC11" s="34"/>
      <c r="BD11" s="35" t="str">
        <f t="shared" si="20"/>
        <v/>
      </c>
      <c r="BE11" s="36" t="str">
        <f t="shared" si="21"/>
        <v/>
      </c>
      <c r="BF11" s="37"/>
      <c r="BG11" s="33"/>
      <c r="BH11" s="34"/>
      <c r="BI11" s="35" t="str">
        <f t="shared" si="22"/>
        <v/>
      </c>
      <c r="BJ11" s="36" t="str">
        <f t="shared" si="23"/>
        <v/>
      </c>
      <c r="BK11" s="37"/>
      <c r="BL11" s="33"/>
      <c r="BM11" s="34"/>
      <c r="BN11" s="35" t="str">
        <f t="shared" si="24"/>
        <v/>
      </c>
      <c r="BO11" s="36" t="str">
        <f t="shared" si="25"/>
        <v/>
      </c>
      <c r="BP11" s="37"/>
      <c r="BQ11" s="33"/>
      <c r="BR11" s="34"/>
      <c r="BS11" s="35" t="str">
        <f t="shared" si="26"/>
        <v/>
      </c>
      <c r="BT11" s="36" t="str">
        <f t="shared" si="27"/>
        <v/>
      </c>
      <c r="BU11" s="37"/>
      <c r="BV11" s="33"/>
      <c r="BW11" s="34"/>
      <c r="BX11" s="35" t="str">
        <f t="shared" si="28"/>
        <v/>
      </c>
      <c r="BY11" s="36" t="str">
        <f t="shared" si="29"/>
        <v/>
      </c>
      <c r="BZ11" s="37"/>
      <c r="CA11" s="33"/>
      <c r="CB11" s="34"/>
      <c r="CC11" s="35" t="str">
        <f t="shared" si="30"/>
        <v/>
      </c>
      <c r="CD11" s="36" t="str">
        <f t="shared" si="31"/>
        <v/>
      </c>
      <c r="CE11" s="37"/>
      <c r="CF11" s="33"/>
      <c r="CG11" s="34"/>
      <c r="CH11" s="35" t="str">
        <f t="shared" si="32"/>
        <v/>
      </c>
      <c r="CI11" s="36" t="str">
        <f t="shared" si="33"/>
        <v/>
      </c>
      <c r="CJ11" s="37"/>
      <c r="CK11" s="33"/>
      <c r="CL11" s="34"/>
      <c r="CM11" s="35" t="str">
        <f t="shared" si="34"/>
        <v/>
      </c>
      <c r="CN11" s="36" t="str">
        <f t="shared" si="35"/>
        <v/>
      </c>
      <c r="CO11" s="37"/>
      <c r="CP11" s="33"/>
      <c r="CQ11" s="34"/>
      <c r="CR11" s="35" t="str">
        <f t="shared" si="36"/>
        <v/>
      </c>
      <c r="CS11" s="36" t="str">
        <f t="shared" si="37"/>
        <v/>
      </c>
      <c r="CT11" s="37"/>
      <c r="CU11" s="33"/>
      <c r="CV11" s="34"/>
      <c r="CW11" s="35" t="str">
        <f t="shared" si="38"/>
        <v/>
      </c>
      <c r="CX11" s="36" t="str">
        <f t="shared" si="39"/>
        <v/>
      </c>
      <c r="CY11" s="37"/>
      <c r="CZ11" s="33"/>
      <c r="DA11" s="34"/>
      <c r="DB11" s="35" t="str">
        <f t="shared" si="40"/>
        <v/>
      </c>
      <c r="DC11" s="36" t="str">
        <f t="shared" si="41"/>
        <v/>
      </c>
      <c r="DD11" s="37"/>
      <c r="DE11" s="33"/>
      <c r="DF11" s="34"/>
      <c r="DG11" s="35" t="str">
        <f t="shared" si="42"/>
        <v/>
      </c>
      <c r="DH11" s="36" t="str">
        <f t="shared" si="43"/>
        <v/>
      </c>
      <c r="DI11" s="37"/>
      <c r="DJ11" s="33"/>
      <c r="DK11" s="34"/>
      <c r="DL11" s="35" t="str">
        <f t="shared" si="44"/>
        <v/>
      </c>
      <c r="DM11" s="36" t="str">
        <f t="shared" si="45"/>
        <v/>
      </c>
      <c r="DN11" s="37"/>
      <c r="DO11" s="33"/>
      <c r="DP11" s="34"/>
      <c r="DQ11" s="35" t="str">
        <f t="shared" si="46"/>
        <v/>
      </c>
      <c r="DR11" s="36" t="str">
        <f t="shared" si="47"/>
        <v/>
      </c>
      <c r="DS11" s="37"/>
      <c r="DT11" s="33"/>
      <c r="DU11" s="34"/>
      <c r="DV11" s="35" t="str">
        <f t="shared" si="48"/>
        <v/>
      </c>
      <c r="DW11" s="36" t="str">
        <f t="shared" si="49"/>
        <v/>
      </c>
      <c r="DX11" s="37"/>
      <c r="DY11" s="33"/>
      <c r="DZ11" s="34"/>
      <c r="EA11" s="35" t="str">
        <f t="shared" si="50"/>
        <v/>
      </c>
      <c r="EB11" s="36" t="str">
        <f t="shared" si="51"/>
        <v/>
      </c>
      <c r="EC11" s="37"/>
      <c r="ED11" s="33"/>
      <c r="EE11" s="34"/>
      <c r="EF11" s="35" t="str">
        <f t="shared" si="52"/>
        <v/>
      </c>
      <c r="EG11" s="36" t="str">
        <f t="shared" si="53"/>
        <v/>
      </c>
      <c r="EH11" s="37"/>
      <c r="EI11" s="33"/>
      <c r="EJ11" s="34"/>
      <c r="EK11" s="35" t="str">
        <f t="shared" si="54"/>
        <v/>
      </c>
      <c r="EL11" s="36" t="str">
        <f t="shared" si="55"/>
        <v/>
      </c>
      <c r="EM11" s="37"/>
      <c r="EN11" s="33"/>
      <c r="EO11" s="34"/>
      <c r="EP11" s="35" t="str">
        <f t="shared" si="56"/>
        <v/>
      </c>
      <c r="EQ11" s="36" t="str">
        <f t="shared" si="57"/>
        <v/>
      </c>
      <c r="ER11" s="37"/>
      <c r="ES11" s="33"/>
      <c r="ET11" s="34"/>
      <c r="EU11" s="35" t="str">
        <f t="shared" si="58"/>
        <v/>
      </c>
      <c r="EV11" s="36" t="str">
        <f t="shared" si="59"/>
        <v/>
      </c>
      <c r="EW11" s="37"/>
    </row>
    <row r="12" spans="1:153" ht="19.5" customHeight="1">
      <c r="A12" s="32">
        <f>IF(DAY(DATE(対象年度,11,9))&lt;&gt;9,"",9)</f>
        <v>9</v>
      </c>
      <c r="B12" s="32" t="str">
        <f>IF(DAY(DATE(対象年度,11,9))&lt;&gt;9,"",CHOOSE(WEEKDAY(DATE(対象年度,11,9),2),"月","火","水","木","金","土","日"))</f>
        <v>月</v>
      </c>
      <c r="C12" s="32" t="str">
        <f>IF(DAY(DATE(対象年度,11,9))&lt;&gt;9,"",IF(ISNUMBER(MATCH(DATE(対象年度,11,9),祝日リスト,0)),"祝",""))</f>
        <v/>
      </c>
      <c r="D12" s="33"/>
      <c r="E12" s="34"/>
      <c r="F12" s="35" t="str">
        <f t="shared" si="0"/>
        <v/>
      </c>
      <c r="G12" s="36" t="str">
        <f t="shared" si="1"/>
        <v/>
      </c>
      <c r="H12" s="37"/>
      <c r="I12" s="33"/>
      <c r="J12" s="34"/>
      <c r="K12" s="35" t="str">
        <f t="shared" si="2"/>
        <v/>
      </c>
      <c r="L12" s="36" t="str">
        <f t="shared" si="3"/>
        <v/>
      </c>
      <c r="M12" s="37"/>
      <c r="N12" s="33"/>
      <c r="O12" s="34"/>
      <c r="P12" s="35" t="str">
        <f t="shared" si="4"/>
        <v/>
      </c>
      <c r="Q12" s="36" t="str">
        <f t="shared" si="5"/>
        <v/>
      </c>
      <c r="R12" s="37"/>
      <c r="S12" s="33"/>
      <c r="T12" s="34"/>
      <c r="U12" s="35" t="str">
        <f t="shared" si="6"/>
        <v/>
      </c>
      <c r="V12" s="36" t="str">
        <f t="shared" si="7"/>
        <v/>
      </c>
      <c r="W12" s="37"/>
      <c r="X12" s="33"/>
      <c r="Y12" s="34"/>
      <c r="Z12" s="35" t="str">
        <f t="shared" si="8"/>
        <v/>
      </c>
      <c r="AA12" s="36" t="str">
        <f t="shared" si="9"/>
        <v/>
      </c>
      <c r="AB12" s="37"/>
      <c r="AC12" s="33"/>
      <c r="AD12" s="34"/>
      <c r="AE12" s="35" t="str">
        <f t="shared" si="10"/>
        <v/>
      </c>
      <c r="AF12" s="36" t="str">
        <f t="shared" si="11"/>
        <v/>
      </c>
      <c r="AG12" s="37"/>
      <c r="AH12" s="33"/>
      <c r="AI12" s="34"/>
      <c r="AJ12" s="35" t="str">
        <f t="shared" si="12"/>
        <v/>
      </c>
      <c r="AK12" s="36" t="str">
        <f t="shared" si="13"/>
        <v/>
      </c>
      <c r="AL12" s="37"/>
      <c r="AM12" s="33"/>
      <c r="AN12" s="34"/>
      <c r="AO12" s="35" t="str">
        <f t="shared" si="14"/>
        <v/>
      </c>
      <c r="AP12" s="36" t="str">
        <f t="shared" si="15"/>
        <v/>
      </c>
      <c r="AQ12" s="37"/>
      <c r="AR12" s="33"/>
      <c r="AS12" s="34"/>
      <c r="AT12" s="35" t="str">
        <f t="shared" si="16"/>
        <v/>
      </c>
      <c r="AU12" s="36" t="str">
        <f t="shared" si="17"/>
        <v/>
      </c>
      <c r="AV12" s="37"/>
      <c r="AW12" s="33"/>
      <c r="AX12" s="34"/>
      <c r="AY12" s="35" t="str">
        <f t="shared" si="18"/>
        <v/>
      </c>
      <c r="AZ12" s="36" t="str">
        <f t="shared" si="19"/>
        <v/>
      </c>
      <c r="BA12" s="37"/>
      <c r="BB12" s="33"/>
      <c r="BC12" s="34"/>
      <c r="BD12" s="35" t="str">
        <f t="shared" si="20"/>
        <v/>
      </c>
      <c r="BE12" s="36" t="str">
        <f t="shared" si="21"/>
        <v/>
      </c>
      <c r="BF12" s="37"/>
      <c r="BG12" s="33"/>
      <c r="BH12" s="34"/>
      <c r="BI12" s="35" t="str">
        <f t="shared" si="22"/>
        <v/>
      </c>
      <c r="BJ12" s="36" t="str">
        <f t="shared" si="23"/>
        <v/>
      </c>
      <c r="BK12" s="37"/>
      <c r="BL12" s="33"/>
      <c r="BM12" s="34"/>
      <c r="BN12" s="35" t="str">
        <f t="shared" si="24"/>
        <v/>
      </c>
      <c r="BO12" s="36" t="str">
        <f t="shared" si="25"/>
        <v/>
      </c>
      <c r="BP12" s="37"/>
      <c r="BQ12" s="33"/>
      <c r="BR12" s="34"/>
      <c r="BS12" s="35" t="str">
        <f t="shared" si="26"/>
        <v/>
      </c>
      <c r="BT12" s="36" t="str">
        <f t="shared" si="27"/>
        <v/>
      </c>
      <c r="BU12" s="37"/>
      <c r="BV12" s="33"/>
      <c r="BW12" s="34"/>
      <c r="BX12" s="35" t="str">
        <f t="shared" si="28"/>
        <v/>
      </c>
      <c r="BY12" s="36" t="str">
        <f t="shared" si="29"/>
        <v/>
      </c>
      <c r="BZ12" s="37"/>
      <c r="CA12" s="33"/>
      <c r="CB12" s="34"/>
      <c r="CC12" s="35" t="str">
        <f t="shared" si="30"/>
        <v/>
      </c>
      <c r="CD12" s="36" t="str">
        <f t="shared" si="31"/>
        <v/>
      </c>
      <c r="CE12" s="37"/>
      <c r="CF12" s="33"/>
      <c r="CG12" s="34"/>
      <c r="CH12" s="35" t="str">
        <f t="shared" si="32"/>
        <v/>
      </c>
      <c r="CI12" s="36" t="str">
        <f t="shared" si="33"/>
        <v/>
      </c>
      <c r="CJ12" s="37"/>
      <c r="CK12" s="33"/>
      <c r="CL12" s="34"/>
      <c r="CM12" s="35" t="str">
        <f t="shared" si="34"/>
        <v/>
      </c>
      <c r="CN12" s="36" t="str">
        <f t="shared" si="35"/>
        <v/>
      </c>
      <c r="CO12" s="37"/>
      <c r="CP12" s="33"/>
      <c r="CQ12" s="34"/>
      <c r="CR12" s="35" t="str">
        <f t="shared" si="36"/>
        <v/>
      </c>
      <c r="CS12" s="36" t="str">
        <f t="shared" si="37"/>
        <v/>
      </c>
      <c r="CT12" s="37"/>
      <c r="CU12" s="33"/>
      <c r="CV12" s="34"/>
      <c r="CW12" s="35" t="str">
        <f t="shared" si="38"/>
        <v/>
      </c>
      <c r="CX12" s="36" t="str">
        <f t="shared" si="39"/>
        <v/>
      </c>
      <c r="CY12" s="37"/>
      <c r="CZ12" s="33"/>
      <c r="DA12" s="34"/>
      <c r="DB12" s="35" t="str">
        <f t="shared" si="40"/>
        <v/>
      </c>
      <c r="DC12" s="36" t="str">
        <f t="shared" si="41"/>
        <v/>
      </c>
      <c r="DD12" s="37"/>
      <c r="DE12" s="33"/>
      <c r="DF12" s="34"/>
      <c r="DG12" s="35" t="str">
        <f t="shared" si="42"/>
        <v/>
      </c>
      <c r="DH12" s="36" t="str">
        <f t="shared" si="43"/>
        <v/>
      </c>
      <c r="DI12" s="37"/>
      <c r="DJ12" s="33"/>
      <c r="DK12" s="34"/>
      <c r="DL12" s="35" t="str">
        <f t="shared" si="44"/>
        <v/>
      </c>
      <c r="DM12" s="36" t="str">
        <f t="shared" si="45"/>
        <v/>
      </c>
      <c r="DN12" s="37"/>
      <c r="DO12" s="33"/>
      <c r="DP12" s="34"/>
      <c r="DQ12" s="35" t="str">
        <f t="shared" si="46"/>
        <v/>
      </c>
      <c r="DR12" s="36" t="str">
        <f t="shared" si="47"/>
        <v/>
      </c>
      <c r="DS12" s="37"/>
      <c r="DT12" s="33"/>
      <c r="DU12" s="34"/>
      <c r="DV12" s="35" t="str">
        <f t="shared" si="48"/>
        <v/>
      </c>
      <c r="DW12" s="36" t="str">
        <f t="shared" si="49"/>
        <v/>
      </c>
      <c r="DX12" s="37"/>
      <c r="DY12" s="33"/>
      <c r="DZ12" s="34"/>
      <c r="EA12" s="35" t="str">
        <f t="shared" si="50"/>
        <v/>
      </c>
      <c r="EB12" s="36" t="str">
        <f t="shared" si="51"/>
        <v/>
      </c>
      <c r="EC12" s="37"/>
      <c r="ED12" s="33"/>
      <c r="EE12" s="34"/>
      <c r="EF12" s="35" t="str">
        <f t="shared" si="52"/>
        <v/>
      </c>
      <c r="EG12" s="36" t="str">
        <f t="shared" si="53"/>
        <v/>
      </c>
      <c r="EH12" s="37"/>
      <c r="EI12" s="33"/>
      <c r="EJ12" s="34"/>
      <c r="EK12" s="35" t="str">
        <f t="shared" si="54"/>
        <v/>
      </c>
      <c r="EL12" s="36" t="str">
        <f t="shared" si="55"/>
        <v/>
      </c>
      <c r="EM12" s="37"/>
      <c r="EN12" s="33"/>
      <c r="EO12" s="34"/>
      <c r="EP12" s="35" t="str">
        <f t="shared" si="56"/>
        <v/>
      </c>
      <c r="EQ12" s="36" t="str">
        <f t="shared" si="57"/>
        <v/>
      </c>
      <c r="ER12" s="37"/>
      <c r="ES12" s="33"/>
      <c r="ET12" s="34"/>
      <c r="EU12" s="35" t="str">
        <f t="shared" si="58"/>
        <v/>
      </c>
      <c r="EV12" s="36" t="str">
        <f t="shared" si="59"/>
        <v/>
      </c>
      <c r="EW12" s="37"/>
    </row>
    <row r="13" spans="1:153" ht="19.5" customHeight="1">
      <c r="A13" s="32">
        <f>IF(DAY(DATE(対象年度,11,10))&lt;&gt;10,"",10)</f>
        <v>10</v>
      </c>
      <c r="B13" s="32" t="str">
        <f>IF(DAY(DATE(対象年度,11,10))&lt;&gt;10,"",CHOOSE(WEEKDAY(DATE(対象年度,11,10),2),"月","火","水","木","金","土","日"))</f>
        <v>火</v>
      </c>
      <c r="C13" s="32" t="str">
        <f>IF(DAY(DATE(対象年度,11,10))&lt;&gt;10,"",IF(ISNUMBER(MATCH(DATE(対象年度,11,10),祝日リスト,0)),"祝",""))</f>
        <v/>
      </c>
      <c r="D13" s="33"/>
      <c r="E13" s="34"/>
      <c r="F13" s="35" t="str">
        <f t="shared" si="0"/>
        <v/>
      </c>
      <c r="G13" s="36" t="str">
        <f t="shared" si="1"/>
        <v/>
      </c>
      <c r="H13" s="37"/>
      <c r="I13" s="33"/>
      <c r="J13" s="34"/>
      <c r="K13" s="35" t="str">
        <f t="shared" si="2"/>
        <v/>
      </c>
      <c r="L13" s="36" t="str">
        <f t="shared" si="3"/>
        <v/>
      </c>
      <c r="M13" s="37"/>
      <c r="N13" s="33"/>
      <c r="O13" s="34"/>
      <c r="P13" s="35" t="str">
        <f t="shared" si="4"/>
        <v/>
      </c>
      <c r="Q13" s="36" t="str">
        <f t="shared" si="5"/>
        <v/>
      </c>
      <c r="R13" s="37"/>
      <c r="S13" s="33"/>
      <c r="T13" s="34"/>
      <c r="U13" s="35" t="str">
        <f t="shared" si="6"/>
        <v/>
      </c>
      <c r="V13" s="36" t="str">
        <f t="shared" si="7"/>
        <v/>
      </c>
      <c r="W13" s="37"/>
      <c r="X13" s="33"/>
      <c r="Y13" s="34"/>
      <c r="Z13" s="35" t="str">
        <f t="shared" si="8"/>
        <v/>
      </c>
      <c r="AA13" s="36" t="str">
        <f t="shared" si="9"/>
        <v/>
      </c>
      <c r="AB13" s="37"/>
      <c r="AC13" s="33"/>
      <c r="AD13" s="34"/>
      <c r="AE13" s="35" t="str">
        <f t="shared" si="10"/>
        <v/>
      </c>
      <c r="AF13" s="36" t="str">
        <f t="shared" si="11"/>
        <v/>
      </c>
      <c r="AG13" s="37"/>
      <c r="AH13" s="33"/>
      <c r="AI13" s="34"/>
      <c r="AJ13" s="35" t="str">
        <f t="shared" si="12"/>
        <v/>
      </c>
      <c r="AK13" s="36" t="str">
        <f t="shared" si="13"/>
        <v/>
      </c>
      <c r="AL13" s="37"/>
      <c r="AM13" s="33"/>
      <c r="AN13" s="34"/>
      <c r="AO13" s="35" t="str">
        <f t="shared" si="14"/>
        <v/>
      </c>
      <c r="AP13" s="36" t="str">
        <f t="shared" si="15"/>
        <v/>
      </c>
      <c r="AQ13" s="37"/>
      <c r="AR13" s="33"/>
      <c r="AS13" s="34"/>
      <c r="AT13" s="35" t="str">
        <f t="shared" si="16"/>
        <v/>
      </c>
      <c r="AU13" s="36" t="str">
        <f t="shared" si="17"/>
        <v/>
      </c>
      <c r="AV13" s="37"/>
      <c r="AW13" s="33"/>
      <c r="AX13" s="34"/>
      <c r="AY13" s="35" t="str">
        <f t="shared" si="18"/>
        <v/>
      </c>
      <c r="AZ13" s="36" t="str">
        <f t="shared" si="19"/>
        <v/>
      </c>
      <c r="BA13" s="37"/>
      <c r="BB13" s="33"/>
      <c r="BC13" s="34"/>
      <c r="BD13" s="35" t="str">
        <f t="shared" si="20"/>
        <v/>
      </c>
      <c r="BE13" s="36" t="str">
        <f t="shared" si="21"/>
        <v/>
      </c>
      <c r="BF13" s="37"/>
      <c r="BG13" s="33"/>
      <c r="BH13" s="34"/>
      <c r="BI13" s="35" t="str">
        <f t="shared" si="22"/>
        <v/>
      </c>
      <c r="BJ13" s="36" t="str">
        <f t="shared" si="23"/>
        <v/>
      </c>
      <c r="BK13" s="37"/>
      <c r="BL13" s="33"/>
      <c r="BM13" s="34"/>
      <c r="BN13" s="35" t="str">
        <f t="shared" si="24"/>
        <v/>
      </c>
      <c r="BO13" s="36" t="str">
        <f t="shared" si="25"/>
        <v/>
      </c>
      <c r="BP13" s="37"/>
      <c r="BQ13" s="33"/>
      <c r="BR13" s="34"/>
      <c r="BS13" s="35" t="str">
        <f t="shared" si="26"/>
        <v/>
      </c>
      <c r="BT13" s="36" t="str">
        <f t="shared" si="27"/>
        <v/>
      </c>
      <c r="BU13" s="37"/>
      <c r="BV13" s="33"/>
      <c r="BW13" s="34"/>
      <c r="BX13" s="35" t="str">
        <f t="shared" si="28"/>
        <v/>
      </c>
      <c r="BY13" s="36" t="str">
        <f t="shared" si="29"/>
        <v/>
      </c>
      <c r="BZ13" s="37"/>
      <c r="CA13" s="33"/>
      <c r="CB13" s="34"/>
      <c r="CC13" s="35" t="str">
        <f t="shared" si="30"/>
        <v/>
      </c>
      <c r="CD13" s="36" t="str">
        <f t="shared" si="31"/>
        <v/>
      </c>
      <c r="CE13" s="37"/>
      <c r="CF13" s="33"/>
      <c r="CG13" s="34"/>
      <c r="CH13" s="35" t="str">
        <f t="shared" si="32"/>
        <v/>
      </c>
      <c r="CI13" s="36" t="str">
        <f t="shared" si="33"/>
        <v/>
      </c>
      <c r="CJ13" s="37"/>
      <c r="CK13" s="33"/>
      <c r="CL13" s="34"/>
      <c r="CM13" s="35" t="str">
        <f t="shared" si="34"/>
        <v/>
      </c>
      <c r="CN13" s="36" t="str">
        <f t="shared" si="35"/>
        <v/>
      </c>
      <c r="CO13" s="37"/>
      <c r="CP13" s="33"/>
      <c r="CQ13" s="34"/>
      <c r="CR13" s="35" t="str">
        <f t="shared" si="36"/>
        <v/>
      </c>
      <c r="CS13" s="36" t="str">
        <f t="shared" si="37"/>
        <v/>
      </c>
      <c r="CT13" s="37"/>
      <c r="CU13" s="33"/>
      <c r="CV13" s="34"/>
      <c r="CW13" s="35" t="str">
        <f t="shared" si="38"/>
        <v/>
      </c>
      <c r="CX13" s="36" t="str">
        <f t="shared" si="39"/>
        <v/>
      </c>
      <c r="CY13" s="37"/>
      <c r="CZ13" s="33"/>
      <c r="DA13" s="34"/>
      <c r="DB13" s="35" t="str">
        <f t="shared" si="40"/>
        <v/>
      </c>
      <c r="DC13" s="36" t="str">
        <f t="shared" si="41"/>
        <v/>
      </c>
      <c r="DD13" s="37"/>
      <c r="DE13" s="33"/>
      <c r="DF13" s="34"/>
      <c r="DG13" s="35" t="str">
        <f t="shared" si="42"/>
        <v/>
      </c>
      <c r="DH13" s="36" t="str">
        <f t="shared" si="43"/>
        <v/>
      </c>
      <c r="DI13" s="37"/>
      <c r="DJ13" s="33"/>
      <c r="DK13" s="34"/>
      <c r="DL13" s="35" t="str">
        <f t="shared" si="44"/>
        <v/>
      </c>
      <c r="DM13" s="36" t="str">
        <f t="shared" si="45"/>
        <v/>
      </c>
      <c r="DN13" s="37"/>
      <c r="DO13" s="33"/>
      <c r="DP13" s="34"/>
      <c r="DQ13" s="35" t="str">
        <f t="shared" si="46"/>
        <v/>
      </c>
      <c r="DR13" s="36" t="str">
        <f t="shared" si="47"/>
        <v/>
      </c>
      <c r="DS13" s="37"/>
      <c r="DT13" s="33"/>
      <c r="DU13" s="34"/>
      <c r="DV13" s="35" t="str">
        <f t="shared" si="48"/>
        <v/>
      </c>
      <c r="DW13" s="36" t="str">
        <f t="shared" si="49"/>
        <v/>
      </c>
      <c r="DX13" s="37"/>
      <c r="DY13" s="33"/>
      <c r="DZ13" s="34"/>
      <c r="EA13" s="35" t="str">
        <f t="shared" si="50"/>
        <v/>
      </c>
      <c r="EB13" s="36" t="str">
        <f t="shared" si="51"/>
        <v/>
      </c>
      <c r="EC13" s="37"/>
      <c r="ED13" s="33"/>
      <c r="EE13" s="34"/>
      <c r="EF13" s="35" t="str">
        <f t="shared" si="52"/>
        <v/>
      </c>
      <c r="EG13" s="36" t="str">
        <f t="shared" si="53"/>
        <v/>
      </c>
      <c r="EH13" s="37"/>
      <c r="EI13" s="33"/>
      <c r="EJ13" s="34"/>
      <c r="EK13" s="35" t="str">
        <f t="shared" si="54"/>
        <v/>
      </c>
      <c r="EL13" s="36" t="str">
        <f t="shared" si="55"/>
        <v/>
      </c>
      <c r="EM13" s="37"/>
      <c r="EN13" s="33"/>
      <c r="EO13" s="34"/>
      <c r="EP13" s="35" t="str">
        <f t="shared" si="56"/>
        <v/>
      </c>
      <c r="EQ13" s="36" t="str">
        <f t="shared" si="57"/>
        <v/>
      </c>
      <c r="ER13" s="37"/>
      <c r="ES13" s="33"/>
      <c r="ET13" s="34"/>
      <c r="EU13" s="35" t="str">
        <f t="shared" si="58"/>
        <v/>
      </c>
      <c r="EV13" s="36" t="str">
        <f t="shared" si="59"/>
        <v/>
      </c>
      <c r="EW13" s="37"/>
    </row>
    <row r="14" spans="1:153" ht="19.5" customHeight="1">
      <c r="A14" s="32">
        <f>IF(DAY(DATE(対象年度,11,11))&lt;&gt;11,"",11)</f>
        <v>11</v>
      </c>
      <c r="B14" s="32" t="str">
        <f>IF(DAY(DATE(対象年度,11,11))&lt;&gt;11,"",CHOOSE(WEEKDAY(DATE(対象年度,11,11),2),"月","火","水","木","金","土","日"))</f>
        <v>水</v>
      </c>
      <c r="C14" s="32" t="str">
        <f>IF(DAY(DATE(対象年度,11,11))&lt;&gt;11,"",IF(ISNUMBER(MATCH(DATE(対象年度,11,11),祝日リスト,0)),"祝",""))</f>
        <v/>
      </c>
      <c r="D14" s="33"/>
      <c r="E14" s="34"/>
      <c r="F14" s="35" t="str">
        <f t="shared" si="0"/>
        <v/>
      </c>
      <c r="G14" s="36" t="str">
        <f t="shared" si="1"/>
        <v/>
      </c>
      <c r="H14" s="37"/>
      <c r="I14" s="33"/>
      <c r="J14" s="34"/>
      <c r="K14" s="35" t="str">
        <f t="shared" si="2"/>
        <v/>
      </c>
      <c r="L14" s="36" t="str">
        <f t="shared" si="3"/>
        <v/>
      </c>
      <c r="M14" s="37"/>
      <c r="N14" s="33"/>
      <c r="O14" s="34"/>
      <c r="P14" s="35" t="str">
        <f t="shared" si="4"/>
        <v/>
      </c>
      <c r="Q14" s="36" t="str">
        <f t="shared" si="5"/>
        <v/>
      </c>
      <c r="R14" s="37"/>
      <c r="S14" s="33"/>
      <c r="T14" s="34"/>
      <c r="U14" s="35" t="str">
        <f t="shared" si="6"/>
        <v/>
      </c>
      <c r="V14" s="36" t="str">
        <f t="shared" si="7"/>
        <v/>
      </c>
      <c r="W14" s="37"/>
      <c r="X14" s="33"/>
      <c r="Y14" s="34"/>
      <c r="Z14" s="35" t="str">
        <f t="shared" si="8"/>
        <v/>
      </c>
      <c r="AA14" s="36" t="str">
        <f t="shared" si="9"/>
        <v/>
      </c>
      <c r="AB14" s="37"/>
      <c r="AC14" s="33"/>
      <c r="AD14" s="34"/>
      <c r="AE14" s="35" t="str">
        <f t="shared" si="10"/>
        <v/>
      </c>
      <c r="AF14" s="36" t="str">
        <f t="shared" si="11"/>
        <v/>
      </c>
      <c r="AG14" s="37"/>
      <c r="AH14" s="33"/>
      <c r="AI14" s="34"/>
      <c r="AJ14" s="35" t="str">
        <f t="shared" si="12"/>
        <v/>
      </c>
      <c r="AK14" s="36" t="str">
        <f t="shared" si="13"/>
        <v/>
      </c>
      <c r="AL14" s="37"/>
      <c r="AM14" s="33"/>
      <c r="AN14" s="34"/>
      <c r="AO14" s="35" t="str">
        <f t="shared" si="14"/>
        <v/>
      </c>
      <c r="AP14" s="36" t="str">
        <f t="shared" si="15"/>
        <v/>
      </c>
      <c r="AQ14" s="37"/>
      <c r="AR14" s="33"/>
      <c r="AS14" s="34"/>
      <c r="AT14" s="35" t="str">
        <f t="shared" si="16"/>
        <v/>
      </c>
      <c r="AU14" s="36" t="str">
        <f t="shared" si="17"/>
        <v/>
      </c>
      <c r="AV14" s="37"/>
      <c r="AW14" s="33"/>
      <c r="AX14" s="34"/>
      <c r="AY14" s="35" t="str">
        <f t="shared" si="18"/>
        <v/>
      </c>
      <c r="AZ14" s="36" t="str">
        <f t="shared" si="19"/>
        <v/>
      </c>
      <c r="BA14" s="37"/>
      <c r="BB14" s="33"/>
      <c r="BC14" s="34"/>
      <c r="BD14" s="35" t="str">
        <f t="shared" si="20"/>
        <v/>
      </c>
      <c r="BE14" s="36" t="str">
        <f t="shared" si="21"/>
        <v/>
      </c>
      <c r="BF14" s="37"/>
      <c r="BG14" s="33"/>
      <c r="BH14" s="34"/>
      <c r="BI14" s="35" t="str">
        <f t="shared" si="22"/>
        <v/>
      </c>
      <c r="BJ14" s="36" t="str">
        <f t="shared" si="23"/>
        <v/>
      </c>
      <c r="BK14" s="37"/>
      <c r="BL14" s="33"/>
      <c r="BM14" s="34"/>
      <c r="BN14" s="35" t="str">
        <f t="shared" si="24"/>
        <v/>
      </c>
      <c r="BO14" s="36" t="str">
        <f t="shared" si="25"/>
        <v/>
      </c>
      <c r="BP14" s="37"/>
      <c r="BQ14" s="33"/>
      <c r="BR14" s="34"/>
      <c r="BS14" s="35" t="str">
        <f t="shared" si="26"/>
        <v/>
      </c>
      <c r="BT14" s="36" t="str">
        <f t="shared" si="27"/>
        <v/>
      </c>
      <c r="BU14" s="37"/>
      <c r="BV14" s="33"/>
      <c r="BW14" s="34"/>
      <c r="BX14" s="35" t="str">
        <f t="shared" si="28"/>
        <v/>
      </c>
      <c r="BY14" s="36" t="str">
        <f t="shared" si="29"/>
        <v/>
      </c>
      <c r="BZ14" s="37"/>
      <c r="CA14" s="33"/>
      <c r="CB14" s="34"/>
      <c r="CC14" s="35" t="str">
        <f t="shared" si="30"/>
        <v/>
      </c>
      <c r="CD14" s="36" t="str">
        <f t="shared" si="31"/>
        <v/>
      </c>
      <c r="CE14" s="37"/>
      <c r="CF14" s="33"/>
      <c r="CG14" s="34"/>
      <c r="CH14" s="35" t="str">
        <f t="shared" si="32"/>
        <v/>
      </c>
      <c r="CI14" s="36" t="str">
        <f t="shared" si="33"/>
        <v/>
      </c>
      <c r="CJ14" s="37"/>
      <c r="CK14" s="33"/>
      <c r="CL14" s="34"/>
      <c r="CM14" s="35" t="str">
        <f t="shared" si="34"/>
        <v/>
      </c>
      <c r="CN14" s="36" t="str">
        <f t="shared" si="35"/>
        <v/>
      </c>
      <c r="CO14" s="37"/>
      <c r="CP14" s="33"/>
      <c r="CQ14" s="34"/>
      <c r="CR14" s="35" t="str">
        <f t="shared" si="36"/>
        <v/>
      </c>
      <c r="CS14" s="36" t="str">
        <f t="shared" si="37"/>
        <v/>
      </c>
      <c r="CT14" s="37"/>
      <c r="CU14" s="33"/>
      <c r="CV14" s="34"/>
      <c r="CW14" s="35" t="str">
        <f t="shared" si="38"/>
        <v/>
      </c>
      <c r="CX14" s="36" t="str">
        <f t="shared" si="39"/>
        <v/>
      </c>
      <c r="CY14" s="37"/>
      <c r="CZ14" s="33"/>
      <c r="DA14" s="34"/>
      <c r="DB14" s="35" t="str">
        <f t="shared" si="40"/>
        <v/>
      </c>
      <c r="DC14" s="36" t="str">
        <f t="shared" si="41"/>
        <v/>
      </c>
      <c r="DD14" s="37"/>
      <c r="DE14" s="33"/>
      <c r="DF14" s="34"/>
      <c r="DG14" s="35" t="str">
        <f t="shared" si="42"/>
        <v/>
      </c>
      <c r="DH14" s="36" t="str">
        <f t="shared" si="43"/>
        <v/>
      </c>
      <c r="DI14" s="37"/>
      <c r="DJ14" s="33"/>
      <c r="DK14" s="34"/>
      <c r="DL14" s="35" t="str">
        <f t="shared" si="44"/>
        <v/>
      </c>
      <c r="DM14" s="36" t="str">
        <f t="shared" si="45"/>
        <v/>
      </c>
      <c r="DN14" s="37"/>
      <c r="DO14" s="33"/>
      <c r="DP14" s="34"/>
      <c r="DQ14" s="35" t="str">
        <f t="shared" si="46"/>
        <v/>
      </c>
      <c r="DR14" s="36" t="str">
        <f t="shared" si="47"/>
        <v/>
      </c>
      <c r="DS14" s="37"/>
      <c r="DT14" s="33"/>
      <c r="DU14" s="34"/>
      <c r="DV14" s="35" t="str">
        <f t="shared" si="48"/>
        <v/>
      </c>
      <c r="DW14" s="36" t="str">
        <f t="shared" si="49"/>
        <v/>
      </c>
      <c r="DX14" s="37"/>
      <c r="DY14" s="33"/>
      <c r="DZ14" s="34"/>
      <c r="EA14" s="35" t="str">
        <f t="shared" si="50"/>
        <v/>
      </c>
      <c r="EB14" s="36" t="str">
        <f t="shared" si="51"/>
        <v/>
      </c>
      <c r="EC14" s="37"/>
      <c r="ED14" s="33"/>
      <c r="EE14" s="34"/>
      <c r="EF14" s="35" t="str">
        <f t="shared" si="52"/>
        <v/>
      </c>
      <c r="EG14" s="36" t="str">
        <f t="shared" si="53"/>
        <v/>
      </c>
      <c r="EH14" s="37"/>
      <c r="EI14" s="33"/>
      <c r="EJ14" s="34"/>
      <c r="EK14" s="35" t="str">
        <f t="shared" si="54"/>
        <v/>
      </c>
      <c r="EL14" s="36" t="str">
        <f t="shared" si="55"/>
        <v/>
      </c>
      <c r="EM14" s="37"/>
      <c r="EN14" s="33"/>
      <c r="EO14" s="34"/>
      <c r="EP14" s="35" t="str">
        <f t="shared" si="56"/>
        <v/>
      </c>
      <c r="EQ14" s="36" t="str">
        <f t="shared" si="57"/>
        <v/>
      </c>
      <c r="ER14" s="37"/>
      <c r="ES14" s="33"/>
      <c r="ET14" s="34"/>
      <c r="EU14" s="35" t="str">
        <f t="shared" si="58"/>
        <v/>
      </c>
      <c r="EV14" s="36" t="str">
        <f t="shared" si="59"/>
        <v/>
      </c>
      <c r="EW14" s="37"/>
    </row>
    <row r="15" spans="1:153" ht="19.5" customHeight="1">
      <c r="A15" s="32">
        <f>IF(DAY(DATE(対象年度,11,12))&lt;&gt;12,"",12)</f>
        <v>12</v>
      </c>
      <c r="B15" s="32" t="str">
        <f>IF(DAY(DATE(対象年度,11,12))&lt;&gt;12,"",CHOOSE(WEEKDAY(DATE(対象年度,11,12),2),"月","火","水","木","金","土","日"))</f>
        <v>木</v>
      </c>
      <c r="C15" s="32" t="str">
        <f>IF(DAY(DATE(対象年度,11,12))&lt;&gt;12,"",IF(ISNUMBER(MATCH(DATE(対象年度,11,12),祝日リスト,0)),"祝",""))</f>
        <v/>
      </c>
      <c r="D15" s="33"/>
      <c r="E15" s="34"/>
      <c r="F15" s="35" t="str">
        <f t="shared" si="0"/>
        <v/>
      </c>
      <c r="G15" s="36" t="str">
        <f t="shared" si="1"/>
        <v/>
      </c>
      <c r="H15" s="37"/>
      <c r="I15" s="33"/>
      <c r="J15" s="34"/>
      <c r="K15" s="35" t="str">
        <f t="shared" si="2"/>
        <v/>
      </c>
      <c r="L15" s="36" t="str">
        <f t="shared" si="3"/>
        <v/>
      </c>
      <c r="M15" s="37"/>
      <c r="N15" s="33"/>
      <c r="O15" s="34"/>
      <c r="P15" s="35" t="str">
        <f t="shared" si="4"/>
        <v/>
      </c>
      <c r="Q15" s="36" t="str">
        <f t="shared" si="5"/>
        <v/>
      </c>
      <c r="R15" s="37"/>
      <c r="S15" s="33"/>
      <c r="T15" s="34"/>
      <c r="U15" s="35" t="str">
        <f t="shared" si="6"/>
        <v/>
      </c>
      <c r="V15" s="36" t="str">
        <f t="shared" si="7"/>
        <v/>
      </c>
      <c r="W15" s="37"/>
      <c r="X15" s="33"/>
      <c r="Y15" s="34"/>
      <c r="Z15" s="35" t="str">
        <f t="shared" si="8"/>
        <v/>
      </c>
      <c r="AA15" s="36" t="str">
        <f t="shared" si="9"/>
        <v/>
      </c>
      <c r="AB15" s="37"/>
      <c r="AC15" s="33"/>
      <c r="AD15" s="34"/>
      <c r="AE15" s="35" t="str">
        <f t="shared" si="10"/>
        <v/>
      </c>
      <c r="AF15" s="36" t="str">
        <f t="shared" si="11"/>
        <v/>
      </c>
      <c r="AG15" s="37"/>
      <c r="AH15" s="33"/>
      <c r="AI15" s="34"/>
      <c r="AJ15" s="35" t="str">
        <f t="shared" si="12"/>
        <v/>
      </c>
      <c r="AK15" s="36" t="str">
        <f t="shared" si="13"/>
        <v/>
      </c>
      <c r="AL15" s="37"/>
      <c r="AM15" s="33"/>
      <c r="AN15" s="34"/>
      <c r="AO15" s="35" t="str">
        <f t="shared" si="14"/>
        <v/>
      </c>
      <c r="AP15" s="36" t="str">
        <f t="shared" si="15"/>
        <v/>
      </c>
      <c r="AQ15" s="37"/>
      <c r="AR15" s="33"/>
      <c r="AS15" s="34"/>
      <c r="AT15" s="35" t="str">
        <f t="shared" si="16"/>
        <v/>
      </c>
      <c r="AU15" s="36" t="str">
        <f t="shared" si="17"/>
        <v/>
      </c>
      <c r="AV15" s="37"/>
      <c r="AW15" s="33"/>
      <c r="AX15" s="34"/>
      <c r="AY15" s="35" t="str">
        <f t="shared" si="18"/>
        <v/>
      </c>
      <c r="AZ15" s="36" t="str">
        <f t="shared" si="19"/>
        <v/>
      </c>
      <c r="BA15" s="37"/>
      <c r="BB15" s="33"/>
      <c r="BC15" s="34"/>
      <c r="BD15" s="35" t="str">
        <f t="shared" si="20"/>
        <v/>
      </c>
      <c r="BE15" s="36" t="str">
        <f t="shared" si="21"/>
        <v/>
      </c>
      <c r="BF15" s="37"/>
      <c r="BG15" s="33"/>
      <c r="BH15" s="34"/>
      <c r="BI15" s="35" t="str">
        <f t="shared" si="22"/>
        <v/>
      </c>
      <c r="BJ15" s="36" t="str">
        <f t="shared" si="23"/>
        <v/>
      </c>
      <c r="BK15" s="37"/>
      <c r="BL15" s="33"/>
      <c r="BM15" s="34"/>
      <c r="BN15" s="35" t="str">
        <f t="shared" si="24"/>
        <v/>
      </c>
      <c r="BO15" s="36" t="str">
        <f t="shared" si="25"/>
        <v/>
      </c>
      <c r="BP15" s="37"/>
      <c r="BQ15" s="33"/>
      <c r="BR15" s="34"/>
      <c r="BS15" s="35" t="str">
        <f t="shared" si="26"/>
        <v/>
      </c>
      <c r="BT15" s="36" t="str">
        <f t="shared" si="27"/>
        <v/>
      </c>
      <c r="BU15" s="37"/>
      <c r="BV15" s="33"/>
      <c r="BW15" s="34"/>
      <c r="BX15" s="35" t="str">
        <f t="shared" si="28"/>
        <v/>
      </c>
      <c r="BY15" s="36" t="str">
        <f t="shared" si="29"/>
        <v/>
      </c>
      <c r="BZ15" s="37"/>
      <c r="CA15" s="33"/>
      <c r="CB15" s="34"/>
      <c r="CC15" s="35" t="str">
        <f t="shared" si="30"/>
        <v/>
      </c>
      <c r="CD15" s="36" t="str">
        <f t="shared" si="31"/>
        <v/>
      </c>
      <c r="CE15" s="37"/>
      <c r="CF15" s="33"/>
      <c r="CG15" s="34"/>
      <c r="CH15" s="35" t="str">
        <f t="shared" si="32"/>
        <v/>
      </c>
      <c r="CI15" s="36" t="str">
        <f t="shared" si="33"/>
        <v/>
      </c>
      <c r="CJ15" s="37"/>
      <c r="CK15" s="33"/>
      <c r="CL15" s="34"/>
      <c r="CM15" s="35" t="str">
        <f t="shared" si="34"/>
        <v/>
      </c>
      <c r="CN15" s="36" t="str">
        <f t="shared" si="35"/>
        <v/>
      </c>
      <c r="CO15" s="37"/>
      <c r="CP15" s="33"/>
      <c r="CQ15" s="34"/>
      <c r="CR15" s="35" t="str">
        <f t="shared" si="36"/>
        <v/>
      </c>
      <c r="CS15" s="36" t="str">
        <f t="shared" si="37"/>
        <v/>
      </c>
      <c r="CT15" s="37"/>
      <c r="CU15" s="33"/>
      <c r="CV15" s="34"/>
      <c r="CW15" s="35" t="str">
        <f t="shared" si="38"/>
        <v/>
      </c>
      <c r="CX15" s="36" t="str">
        <f t="shared" si="39"/>
        <v/>
      </c>
      <c r="CY15" s="37"/>
      <c r="CZ15" s="33"/>
      <c r="DA15" s="34"/>
      <c r="DB15" s="35" t="str">
        <f t="shared" si="40"/>
        <v/>
      </c>
      <c r="DC15" s="36" t="str">
        <f t="shared" si="41"/>
        <v/>
      </c>
      <c r="DD15" s="37"/>
      <c r="DE15" s="33"/>
      <c r="DF15" s="34"/>
      <c r="DG15" s="35" t="str">
        <f t="shared" si="42"/>
        <v/>
      </c>
      <c r="DH15" s="36" t="str">
        <f t="shared" si="43"/>
        <v/>
      </c>
      <c r="DI15" s="37"/>
      <c r="DJ15" s="33"/>
      <c r="DK15" s="34"/>
      <c r="DL15" s="35" t="str">
        <f t="shared" si="44"/>
        <v/>
      </c>
      <c r="DM15" s="36" t="str">
        <f t="shared" si="45"/>
        <v/>
      </c>
      <c r="DN15" s="37"/>
      <c r="DO15" s="33"/>
      <c r="DP15" s="34"/>
      <c r="DQ15" s="35" t="str">
        <f t="shared" si="46"/>
        <v/>
      </c>
      <c r="DR15" s="36" t="str">
        <f t="shared" si="47"/>
        <v/>
      </c>
      <c r="DS15" s="37"/>
      <c r="DT15" s="33"/>
      <c r="DU15" s="34"/>
      <c r="DV15" s="35" t="str">
        <f t="shared" si="48"/>
        <v/>
      </c>
      <c r="DW15" s="36" t="str">
        <f t="shared" si="49"/>
        <v/>
      </c>
      <c r="DX15" s="37"/>
      <c r="DY15" s="33"/>
      <c r="DZ15" s="34"/>
      <c r="EA15" s="35" t="str">
        <f t="shared" si="50"/>
        <v/>
      </c>
      <c r="EB15" s="36" t="str">
        <f t="shared" si="51"/>
        <v/>
      </c>
      <c r="EC15" s="37"/>
      <c r="ED15" s="33"/>
      <c r="EE15" s="34"/>
      <c r="EF15" s="35" t="str">
        <f t="shared" si="52"/>
        <v/>
      </c>
      <c r="EG15" s="36" t="str">
        <f t="shared" si="53"/>
        <v/>
      </c>
      <c r="EH15" s="37"/>
      <c r="EI15" s="33"/>
      <c r="EJ15" s="34"/>
      <c r="EK15" s="35" t="str">
        <f t="shared" si="54"/>
        <v/>
      </c>
      <c r="EL15" s="36" t="str">
        <f t="shared" si="55"/>
        <v/>
      </c>
      <c r="EM15" s="37"/>
      <c r="EN15" s="33"/>
      <c r="EO15" s="34"/>
      <c r="EP15" s="35" t="str">
        <f t="shared" si="56"/>
        <v/>
      </c>
      <c r="EQ15" s="36" t="str">
        <f t="shared" si="57"/>
        <v/>
      </c>
      <c r="ER15" s="37"/>
      <c r="ES15" s="33"/>
      <c r="ET15" s="34"/>
      <c r="EU15" s="35" t="str">
        <f t="shared" si="58"/>
        <v/>
      </c>
      <c r="EV15" s="36" t="str">
        <f t="shared" si="59"/>
        <v/>
      </c>
      <c r="EW15" s="37"/>
    </row>
    <row r="16" spans="1:153" ht="19.5" customHeight="1">
      <c r="A16" s="32">
        <f>IF(DAY(DATE(対象年度,11,13))&lt;&gt;13,"",13)</f>
        <v>13</v>
      </c>
      <c r="B16" s="32" t="str">
        <f>IF(DAY(DATE(対象年度,11,13))&lt;&gt;13,"",CHOOSE(WEEKDAY(DATE(対象年度,11,13),2),"月","火","水","木","金","土","日"))</f>
        <v>金</v>
      </c>
      <c r="C16" s="32" t="str">
        <f>IF(DAY(DATE(対象年度,11,13))&lt;&gt;13,"",IF(ISNUMBER(MATCH(DATE(対象年度,11,13),祝日リスト,0)),"祝",""))</f>
        <v/>
      </c>
      <c r="D16" s="33"/>
      <c r="E16" s="34"/>
      <c r="F16" s="35" t="str">
        <f t="shared" si="0"/>
        <v/>
      </c>
      <c r="G16" s="36" t="str">
        <f t="shared" si="1"/>
        <v/>
      </c>
      <c r="H16" s="37"/>
      <c r="I16" s="33"/>
      <c r="J16" s="34"/>
      <c r="K16" s="35" t="str">
        <f t="shared" si="2"/>
        <v/>
      </c>
      <c r="L16" s="36" t="str">
        <f t="shared" si="3"/>
        <v/>
      </c>
      <c r="M16" s="37"/>
      <c r="N16" s="33"/>
      <c r="O16" s="34"/>
      <c r="P16" s="35" t="str">
        <f t="shared" si="4"/>
        <v/>
      </c>
      <c r="Q16" s="36" t="str">
        <f t="shared" si="5"/>
        <v/>
      </c>
      <c r="R16" s="37"/>
      <c r="S16" s="33"/>
      <c r="T16" s="34"/>
      <c r="U16" s="35" t="str">
        <f t="shared" si="6"/>
        <v/>
      </c>
      <c r="V16" s="36" t="str">
        <f t="shared" si="7"/>
        <v/>
      </c>
      <c r="W16" s="37"/>
      <c r="X16" s="33"/>
      <c r="Y16" s="34"/>
      <c r="Z16" s="35" t="str">
        <f t="shared" si="8"/>
        <v/>
      </c>
      <c r="AA16" s="36" t="str">
        <f t="shared" si="9"/>
        <v/>
      </c>
      <c r="AB16" s="37"/>
      <c r="AC16" s="33"/>
      <c r="AD16" s="34"/>
      <c r="AE16" s="35" t="str">
        <f t="shared" si="10"/>
        <v/>
      </c>
      <c r="AF16" s="36" t="str">
        <f t="shared" si="11"/>
        <v/>
      </c>
      <c r="AG16" s="37"/>
      <c r="AH16" s="33"/>
      <c r="AI16" s="34"/>
      <c r="AJ16" s="35" t="str">
        <f t="shared" si="12"/>
        <v/>
      </c>
      <c r="AK16" s="36" t="str">
        <f t="shared" si="13"/>
        <v/>
      </c>
      <c r="AL16" s="37"/>
      <c r="AM16" s="33"/>
      <c r="AN16" s="34"/>
      <c r="AO16" s="35" t="str">
        <f t="shared" si="14"/>
        <v/>
      </c>
      <c r="AP16" s="36" t="str">
        <f t="shared" si="15"/>
        <v/>
      </c>
      <c r="AQ16" s="37"/>
      <c r="AR16" s="33"/>
      <c r="AS16" s="34"/>
      <c r="AT16" s="35" t="str">
        <f t="shared" si="16"/>
        <v/>
      </c>
      <c r="AU16" s="36" t="str">
        <f t="shared" si="17"/>
        <v/>
      </c>
      <c r="AV16" s="37"/>
      <c r="AW16" s="33"/>
      <c r="AX16" s="34"/>
      <c r="AY16" s="35" t="str">
        <f t="shared" si="18"/>
        <v/>
      </c>
      <c r="AZ16" s="36" t="str">
        <f t="shared" si="19"/>
        <v/>
      </c>
      <c r="BA16" s="37"/>
      <c r="BB16" s="33"/>
      <c r="BC16" s="34"/>
      <c r="BD16" s="35" t="str">
        <f t="shared" si="20"/>
        <v/>
      </c>
      <c r="BE16" s="36" t="str">
        <f t="shared" si="21"/>
        <v/>
      </c>
      <c r="BF16" s="37"/>
      <c r="BG16" s="33"/>
      <c r="BH16" s="34"/>
      <c r="BI16" s="35" t="str">
        <f t="shared" si="22"/>
        <v/>
      </c>
      <c r="BJ16" s="36" t="str">
        <f t="shared" si="23"/>
        <v/>
      </c>
      <c r="BK16" s="37"/>
      <c r="BL16" s="33"/>
      <c r="BM16" s="34"/>
      <c r="BN16" s="35" t="str">
        <f t="shared" si="24"/>
        <v/>
      </c>
      <c r="BO16" s="36" t="str">
        <f t="shared" si="25"/>
        <v/>
      </c>
      <c r="BP16" s="37"/>
      <c r="BQ16" s="33"/>
      <c r="BR16" s="34"/>
      <c r="BS16" s="35" t="str">
        <f t="shared" si="26"/>
        <v/>
      </c>
      <c r="BT16" s="36" t="str">
        <f t="shared" si="27"/>
        <v/>
      </c>
      <c r="BU16" s="37"/>
      <c r="BV16" s="33"/>
      <c r="BW16" s="34"/>
      <c r="BX16" s="35" t="str">
        <f t="shared" si="28"/>
        <v/>
      </c>
      <c r="BY16" s="36" t="str">
        <f t="shared" si="29"/>
        <v/>
      </c>
      <c r="BZ16" s="37"/>
      <c r="CA16" s="33"/>
      <c r="CB16" s="34"/>
      <c r="CC16" s="35" t="str">
        <f t="shared" si="30"/>
        <v/>
      </c>
      <c r="CD16" s="36" t="str">
        <f t="shared" si="31"/>
        <v/>
      </c>
      <c r="CE16" s="37"/>
      <c r="CF16" s="33"/>
      <c r="CG16" s="34"/>
      <c r="CH16" s="35" t="str">
        <f t="shared" si="32"/>
        <v/>
      </c>
      <c r="CI16" s="36" t="str">
        <f t="shared" si="33"/>
        <v/>
      </c>
      <c r="CJ16" s="37"/>
      <c r="CK16" s="33"/>
      <c r="CL16" s="34"/>
      <c r="CM16" s="35" t="str">
        <f t="shared" si="34"/>
        <v/>
      </c>
      <c r="CN16" s="36" t="str">
        <f t="shared" si="35"/>
        <v/>
      </c>
      <c r="CO16" s="37"/>
      <c r="CP16" s="33"/>
      <c r="CQ16" s="34"/>
      <c r="CR16" s="35" t="str">
        <f t="shared" si="36"/>
        <v/>
      </c>
      <c r="CS16" s="36" t="str">
        <f t="shared" si="37"/>
        <v/>
      </c>
      <c r="CT16" s="37"/>
      <c r="CU16" s="33"/>
      <c r="CV16" s="34"/>
      <c r="CW16" s="35" t="str">
        <f t="shared" si="38"/>
        <v/>
      </c>
      <c r="CX16" s="36" t="str">
        <f t="shared" si="39"/>
        <v/>
      </c>
      <c r="CY16" s="37"/>
      <c r="CZ16" s="33"/>
      <c r="DA16" s="34"/>
      <c r="DB16" s="35" t="str">
        <f t="shared" si="40"/>
        <v/>
      </c>
      <c r="DC16" s="36" t="str">
        <f t="shared" si="41"/>
        <v/>
      </c>
      <c r="DD16" s="37"/>
      <c r="DE16" s="33"/>
      <c r="DF16" s="34"/>
      <c r="DG16" s="35" t="str">
        <f t="shared" si="42"/>
        <v/>
      </c>
      <c r="DH16" s="36" t="str">
        <f t="shared" si="43"/>
        <v/>
      </c>
      <c r="DI16" s="37"/>
      <c r="DJ16" s="33"/>
      <c r="DK16" s="34"/>
      <c r="DL16" s="35" t="str">
        <f t="shared" si="44"/>
        <v/>
      </c>
      <c r="DM16" s="36" t="str">
        <f t="shared" si="45"/>
        <v/>
      </c>
      <c r="DN16" s="37"/>
      <c r="DO16" s="33"/>
      <c r="DP16" s="34"/>
      <c r="DQ16" s="35" t="str">
        <f t="shared" si="46"/>
        <v/>
      </c>
      <c r="DR16" s="36" t="str">
        <f t="shared" si="47"/>
        <v/>
      </c>
      <c r="DS16" s="37"/>
      <c r="DT16" s="33"/>
      <c r="DU16" s="34"/>
      <c r="DV16" s="35" t="str">
        <f t="shared" si="48"/>
        <v/>
      </c>
      <c r="DW16" s="36" t="str">
        <f t="shared" si="49"/>
        <v/>
      </c>
      <c r="DX16" s="37"/>
      <c r="DY16" s="33"/>
      <c r="DZ16" s="34"/>
      <c r="EA16" s="35" t="str">
        <f t="shared" si="50"/>
        <v/>
      </c>
      <c r="EB16" s="36" t="str">
        <f t="shared" si="51"/>
        <v/>
      </c>
      <c r="EC16" s="37"/>
      <c r="ED16" s="33"/>
      <c r="EE16" s="34"/>
      <c r="EF16" s="35" t="str">
        <f t="shared" si="52"/>
        <v/>
      </c>
      <c r="EG16" s="36" t="str">
        <f t="shared" si="53"/>
        <v/>
      </c>
      <c r="EH16" s="37"/>
      <c r="EI16" s="33"/>
      <c r="EJ16" s="34"/>
      <c r="EK16" s="35" t="str">
        <f t="shared" si="54"/>
        <v/>
      </c>
      <c r="EL16" s="36" t="str">
        <f t="shared" si="55"/>
        <v/>
      </c>
      <c r="EM16" s="37"/>
      <c r="EN16" s="33"/>
      <c r="EO16" s="34"/>
      <c r="EP16" s="35" t="str">
        <f t="shared" si="56"/>
        <v/>
      </c>
      <c r="EQ16" s="36" t="str">
        <f t="shared" si="57"/>
        <v/>
      </c>
      <c r="ER16" s="37"/>
      <c r="ES16" s="33"/>
      <c r="ET16" s="34"/>
      <c r="EU16" s="35" t="str">
        <f t="shared" si="58"/>
        <v/>
      </c>
      <c r="EV16" s="36" t="str">
        <f t="shared" si="59"/>
        <v/>
      </c>
      <c r="EW16" s="37"/>
    </row>
    <row r="17" spans="1:153" ht="19.5" customHeight="1">
      <c r="A17" s="32">
        <f>IF(DAY(DATE(対象年度,11,14))&lt;&gt;14,"",14)</f>
        <v>14</v>
      </c>
      <c r="B17" s="32" t="str">
        <f>IF(DAY(DATE(対象年度,11,14))&lt;&gt;14,"",CHOOSE(WEEKDAY(DATE(対象年度,11,14),2),"月","火","水","木","金","土","日"))</f>
        <v>土</v>
      </c>
      <c r="C17" s="32" t="str">
        <f>IF(DAY(DATE(対象年度,11,14))&lt;&gt;14,"",IF(ISNUMBER(MATCH(DATE(対象年度,11,14),祝日リスト,0)),"祝",""))</f>
        <v/>
      </c>
      <c r="D17" s="33"/>
      <c r="E17" s="34"/>
      <c r="F17" s="35" t="str">
        <f t="shared" si="0"/>
        <v/>
      </c>
      <c r="G17" s="36" t="str">
        <f t="shared" si="1"/>
        <v/>
      </c>
      <c r="H17" s="37"/>
      <c r="I17" s="33"/>
      <c r="J17" s="34"/>
      <c r="K17" s="35" t="str">
        <f t="shared" si="2"/>
        <v/>
      </c>
      <c r="L17" s="36" t="str">
        <f t="shared" si="3"/>
        <v/>
      </c>
      <c r="M17" s="37"/>
      <c r="N17" s="33"/>
      <c r="O17" s="34"/>
      <c r="P17" s="35" t="str">
        <f t="shared" si="4"/>
        <v/>
      </c>
      <c r="Q17" s="36" t="str">
        <f t="shared" si="5"/>
        <v/>
      </c>
      <c r="R17" s="37"/>
      <c r="S17" s="33"/>
      <c r="T17" s="34"/>
      <c r="U17" s="35" t="str">
        <f t="shared" si="6"/>
        <v/>
      </c>
      <c r="V17" s="36" t="str">
        <f t="shared" si="7"/>
        <v/>
      </c>
      <c r="W17" s="37"/>
      <c r="X17" s="33"/>
      <c r="Y17" s="34"/>
      <c r="Z17" s="35" t="str">
        <f t="shared" si="8"/>
        <v/>
      </c>
      <c r="AA17" s="36" t="str">
        <f t="shared" si="9"/>
        <v/>
      </c>
      <c r="AB17" s="37"/>
      <c r="AC17" s="33"/>
      <c r="AD17" s="34"/>
      <c r="AE17" s="35" t="str">
        <f t="shared" si="10"/>
        <v/>
      </c>
      <c r="AF17" s="36" t="str">
        <f t="shared" si="11"/>
        <v/>
      </c>
      <c r="AG17" s="37"/>
      <c r="AH17" s="33"/>
      <c r="AI17" s="34"/>
      <c r="AJ17" s="35" t="str">
        <f t="shared" si="12"/>
        <v/>
      </c>
      <c r="AK17" s="36" t="str">
        <f t="shared" si="13"/>
        <v/>
      </c>
      <c r="AL17" s="37"/>
      <c r="AM17" s="33"/>
      <c r="AN17" s="34"/>
      <c r="AO17" s="35" t="str">
        <f t="shared" si="14"/>
        <v/>
      </c>
      <c r="AP17" s="36" t="str">
        <f t="shared" si="15"/>
        <v/>
      </c>
      <c r="AQ17" s="37"/>
      <c r="AR17" s="33"/>
      <c r="AS17" s="34"/>
      <c r="AT17" s="35" t="str">
        <f t="shared" si="16"/>
        <v/>
      </c>
      <c r="AU17" s="36" t="str">
        <f t="shared" si="17"/>
        <v/>
      </c>
      <c r="AV17" s="37"/>
      <c r="AW17" s="33"/>
      <c r="AX17" s="34"/>
      <c r="AY17" s="35" t="str">
        <f t="shared" si="18"/>
        <v/>
      </c>
      <c r="AZ17" s="36" t="str">
        <f t="shared" si="19"/>
        <v/>
      </c>
      <c r="BA17" s="37"/>
      <c r="BB17" s="33"/>
      <c r="BC17" s="34"/>
      <c r="BD17" s="35" t="str">
        <f t="shared" si="20"/>
        <v/>
      </c>
      <c r="BE17" s="36" t="str">
        <f t="shared" si="21"/>
        <v/>
      </c>
      <c r="BF17" s="37"/>
      <c r="BG17" s="33"/>
      <c r="BH17" s="34"/>
      <c r="BI17" s="35" t="str">
        <f t="shared" si="22"/>
        <v/>
      </c>
      <c r="BJ17" s="36" t="str">
        <f t="shared" si="23"/>
        <v/>
      </c>
      <c r="BK17" s="37"/>
      <c r="BL17" s="33"/>
      <c r="BM17" s="34"/>
      <c r="BN17" s="35" t="str">
        <f t="shared" si="24"/>
        <v/>
      </c>
      <c r="BO17" s="36" t="str">
        <f t="shared" si="25"/>
        <v/>
      </c>
      <c r="BP17" s="37"/>
      <c r="BQ17" s="33"/>
      <c r="BR17" s="34"/>
      <c r="BS17" s="35" t="str">
        <f t="shared" si="26"/>
        <v/>
      </c>
      <c r="BT17" s="36" t="str">
        <f t="shared" si="27"/>
        <v/>
      </c>
      <c r="BU17" s="37"/>
      <c r="BV17" s="33"/>
      <c r="BW17" s="34"/>
      <c r="BX17" s="35" t="str">
        <f t="shared" si="28"/>
        <v/>
      </c>
      <c r="BY17" s="36" t="str">
        <f t="shared" si="29"/>
        <v/>
      </c>
      <c r="BZ17" s="37"/>
      <c r="CA17" s="33"/>
      <c r="CB17" s="34"/>
      <c r="CC17" s="35" t="str">
        <f t="shared" si="30"/>
        <v/>
      </c>
      <c r="CD17" s="36" t="str">
        <f t="shared" si="31"/>
        <v/>
      </c>
      <c r="CE17" s="37"/>
      <c r="CF17" s="33"/>
      <c r="CG17" s="34"/>
      <c r="CH17" s="35" t="str">
        <f t="shared" si="32"/>
        <v/>
      </c>
      <c r="CI17" s="36" t="str">
        <f t="shared" si="33"/>
        <v/>
      </c>
      <c r="CJ17" s="37"/>
      <c r="CK17" s="33"/>
      <c r="CL17" s="34"/>
      <c r="CM17" s="35" t="str">
        <f t="shared" si="34"/>
        <v/>
      </c>
      <c r="CN17" s="36" t="str">
        <f t="shared" si="35"/>
        <v/>
      </c>
      <c r="CO17" s="37"/>
      <c r="CP17" s="33"/>
      <c r="CQ17" s="34"/>
      <c r="CR17" s="35" t="str">
        <f t="shared" si="36"/>
        <v/>
      </c>
      <c r="CS17" s="36" t="str">
        <f t="shared" si="37"/>
        <v/>
      </c>
      <c r="CT17" s="37"/>
      <c r="CU17" s="33"/>
      <c r="CV17" s="34"/>
      <c r="CW17" s="35" t="str">
        <f t="shared" si="38"/>
        <v/>
      </c>
      <c r="CX17" s="36" t="str">
        <f t="shared" si="39"/>
        <v/>
      </c>
      <c r="CY17" s="37"/>
      <c r="CZ17" s="33"/>
      <c r="DA17" s="34"/>
      <c r="DB17" s="35" t="str">
        <f t="shared" si="40"/>
        <v/>
      </c>
      <c r="DC17" s="36" t="str">
        <f t="shared" si="41"/>
        <v/>
      </c>
      <c r="DD17" s="37"/>
      <c r="DE17" s="33"/>
      <c r="DF17" s="34"/>
      <c r="DG17" s="35" t="str">
        <f t="shared" si="42"/>
        <v/>
      </c>
      <c r="DH17" s="36" t="str">
        <f t="shared" si="43"/>
        <v/>
      </c>
      <c r="DI17" s="37"/>
      <c r="DJ17" s="33"/>
      <c r="DK17" s="34"/>
      <c r="DL17" s="35" t="str">
        <f t="shared" si="44"/>
        <v/>
      </c>
      <c r="DM17" s="36" t="str">
        <f t="shared" si="45"/>
        <v/>
      </c>
      <c r="DN17" s="37"/>
      <c r="DO17" s="33"/>
      <c r="DP17" s="34"/>
      <c r="DQ17" s="35" t="str">
        <f t="shared" si="46"/>
        <v/>
      </c>
      <c r="DR17" s="36" t="str">
        <f t="shared" si="47"/>
        <v/>
      </c>
      <c r="DS17" s="37"/>
      <c r="DT17" s="33"/>
      <c r="DU17" s="34"/>
      <c r="DV17" s="35" t="str">
        <f t="shared" si="48"/>
        <v/>
      </c>
      <c r="DW17" s="36" t="str">
        <f t="shared" si="49"/>
        <v/>
      </c>
      <c r="DX17" s="37"/>
      <c r="DY17" s="33"/>
      <c r="DZ17" s="34"/>
      <c r="EA17" s="35" t="str">
        <f t="shared" si="50"/>
        <v/>
      </c>
      <c r="EB17" s="36" t="str">
        <f t="shared" si="51"/>
        <v/>
      </c>
      <c r="EC17" s="37"/>
      <c r="ED17" s="33"/>
      <c r="EE17" s="34"/>
      <c r="EF17" s="35" t="str">
        <f t="shared" si="52"/>
        <v/>
      </c>
      <c r="EG17" s="36" t="str">
        <f t="shared" si="53"/>
        <v/>
      </c>
      <c r="EH17" s="37"/>
      <c r="EI17" s="33"/>
      <c r="EJ17" s="34"/>
      <c r="EK17" s="35" t="str">
        <f t="shared" si="54"/>
        <v/>
      </c>
      <c r="EL17" s="36" t="str">
        <f t="shared" si="55"/>
        <v/>
      </c>
      <c r="EM17" s="37"/>
      <c r="EN17" s="33"/>
      <c r="EO17" s="34"/>
      <c r="EP17" s="35" t="str">
        <f t="shared" si="56"/>
        <v/>
      </c>
      <c r="EQ17" s="36" t="str">
        <f t="shared" si="57"/>
        <v/>
      </c>
      <c r="ER17" s="37"/>
      <c r="ES17" s="33"/>
      <c r="ET17" s="34"/>
      <c r="EU17" s="35" t="str">
        <f t="shared" si="58"/>
        <v/>
      </c>
      <c r="EV17" s="36" t="str">
        <f t="shared" si="59"/>
        <v/>
      </c>
      <c r="EW17" s="37"/>
    </row>
    <row r="18" spans="1:153" ht="19.5" customHeight="1">
      <c r="A18" s="32">
        <f>IF(DAY(DATE(対象年度,11,15))&lt;&gt;15,"",15)</f>
        <v>15</v>
      </c>
      <c r="B18" s="32" t="str">
        <f>IF(DAY(DATE(対象年度,11,15))&lt;&gt;15,"",CHOOSE(WEEKDAY(DATE(対象年度,11,15),2),"月","火","水","木","金","土","日"))</f>
        <v>日</v>
      </c>
      <c r="C18" s="32" t="str">
        <f>IF(DAY(DATE(対象年度,11,15))&lt;&gt;15,"",IF(ISNUMBER(MATCH(DATE(対象年度,11,15),祝日リスト,0)),"祝",""))</f>
        <v/>
      </c>
      <c r="D18" s="33"/>
      <c r="E18" s="34"/>
      <c r="F18" s="35" t="str">
        <f t="shared" si="0"/>
        <v/>
      </c>
      <c r="G18" s="36" t="str">
        <f t="shared" si="1"/>
        <v/>
      </c>
      <c r="H18" s="37"/>
      <c r="I18" s="33"/>
      <c r="J18" s="34"/>
      <c r="K18" s="35" t="str">
        <f t="shared" si="2"/>
        <v/>
      </c>
      <c r="L18" s="36" t="str">
        <f t="shared" si="3"/>
        <v/>
      </c>
      <c r="M18" s="37"/>
      <c r="N18" s="33"/>
      <c r="O18" s="34"/>
      <c r="P18" s="35" t="str">
        <f t="shared" si="4"/>
        <v/>
      </c>
      <c r="Q18" s="36" t="str">
        <f t="shared" si="5"/>
        <v/>
      </c>
      <c r="R18" s="37"/>
      <c r="S18" s="33"/>
      <c r="T18" s="34"/>
      <c r="U18" s="35" t="str">
        <f t="shared" si="6"/>
        <v/>
      </c>
      <c r="V18" s="36" t="str">
        <f t="shared" si="7"/>
        <v/>
      </c>
      <c r="W18" s="37"/>
      <c r="X18" s="33"/>
      <c r="Y18" s="34"/>
      <c r="Z18" s="35" t="str">
        <f t="shared" si="8"/>
        <v/>
      </c>
      <c r="AA18" s="36" t="str">
        <f t="shared" si="9"/>
        <v/>
      </c>
      <c r="AB18" s="37"/>
      <c r="AC18" s="33"/>
      <c r="AD18" s="34"/>
      <c r="AE18" s="35" t="str">
        <f t="shared" si="10"/>
        <v/>
      </c>
      <c r="AF18" s="36" t="str">
        <f t="shared" si="11"/>
        <v/>
      </c>
      <c r="AG18" s="37"/>
      <c r="AH18" s="33"/>
      <c r="AI18" s="34"/>
      <c r="AJ18" s="35" t="str">
        <f t="shared" si="12"/>
        <v/>
      </c>
      <c r="AK18" s="36" t="str">
        <f t="shared" si="13"/>
        <v/>
      </c>
      <c r="AL18" s="37"/>
      <c r="AM18" s="33"/>
      <c r="AN18" s="34"/>
      <c r="AO18" s="35" t="str">
        <f t="shared" si="14"/>
        <v/>
      </c>
      <c r="AP18" s="36" t="str">
        <f t="shared" si="15"/>
        <v/>
      </c>
      <c r="AQ18" s="37"/>
      <c r="AR18" s="33"/>
      <c r="AS18" s="34"/>
      <c r="AT18" s="35" t="str">
        <f t="shared" si="16"/>
        <v/>
      </c>
      <c r="AU18" s="36" t="str">
        <f t="shared" si="17"/>
        <v/>
      </c>
      <c r="AV18" s="37"/>
      <c r="AW18" s="33"/>
      <c r="AX18" s="34"/>
      <c r="AY18" s="35" t="str">
        <f t="shared" si="18"/>
        <v/>
      </c>
      <c r="AZ18" s="36" t="str">
        <f t="shared" si="19"/>
        <v/>
      </c>
      <c r="BA18" s="37"/>
      <c r="BB18" s="33"/>
      <c r="BC18" s="34"/>
      <c r="BD18" s="35" t="str">
        <f t="shared" si="20"/>
        <v/>
      </c>
      <c r="BE18" s="36" t="str">
        <f t="shared" si="21"/>
        <v/>
      </c>
      <c r="BF18" s="37"/>
      <c r="BG18" s="33"/>
      <c r="BH18" s="34"/>
      <c r="BI18" s="35" t="str">
        <f t="shared" si="22"/>
        <v/>
      </c>
      <c r="BJ18" s="36" t="str">
        <f t="shared" si="23"/>
        <v/>
      </c>
      <c r="BK18" s="37"/>
      <c r="BL18" s="33"/>
      <c r="BM18" s="34"/>
      <c r="BN18" s="35" t="str">
        <f t="shared" si="24"/>
        <v/>
      </c>
      <c r="BO18" s="36" t="str">
        <f t="shared" si="25"/>
        <v/>
      </c>
      <c r="BP18" s="37"/>
      <c r="BQ18" s="33"/>
      <c r="BR18" s="34"/>
      <c r="BS18" s="35" t="str">
        <f t="shared" si="26"/>
        <v/>
      </c>
      <c r="BT18" s="36" t="str">
        <f t="shared" si="27"/>
        <v/>
      </c>
      <c r="BU18" s="37"/>
      <c r="BV18" s="33"/>
      <c r="BW18" s="34"/>
      <c r="BX18" s="35" t="str">
        <f t="shared" si="28"/>
        <v/>
      </c>
      <c r="BY18" s="36" t="str">
        <f t="shared" si="29"/>
        <v/>
      </c>
      <c r="BZ18" s="37"/>
      <c r="CA18" s="33"/>
      <c r="CB18" s="34"/>
      <c r="CC18" s="35" t="str">
        <f t="shared" si="30"/>
        <v/>
      </c>
      <c r="CD18" s="36" t="str">
        <f t="shared" si="31"/>
        <v/>
      </c>
      <c r="CE18" s="37"/>
      <c r="CF18" s="33"/>
      <c r="CG18" s="34"/>
      <c r="CH18" s="35" t="str">
        <f t="shared" si="32"/>
        <v/>
      </c>
      <c r="CI18" s="36" t="str">
        <f t="shared" si="33"/>
        <v/>
      </c>
      <c r="CJ18" s="37"/>
      <c r="CK18" s="33"/>
      <c r="CL18" s="34"/>
      <c r="CM18" s="35" t="str">
        <f t="shared" si="34"/>
        <v/>
      </c>
      <c r="CN18" s="36" t="str">
        <f t="shared" si="35"/>
        <v/>
      </c>
      <c r="CO18" s="37"/>
      <c r="CP18" s="33"/>
      <c r="CQ18" s="34"/>
      <c r="CR18" s="35" t="str">
        <f t="shared" si="36"/>
        <v/>
      </c>
      <c r="CS18" s="36" t="str">
        <f t="shared" si="37"/>
        <v/>
      </c>
      <c r="CT18" s="37"/>
      <c r="CU18" s="33"/>
      <c r="CV18" s="34"/>
      <c r="CW18" s="35" t="str">
        <f t="shared" si="38"/>
        <v/>
      </c>
      <c r="CX18" s="36" t="str">
        <f t="shared" si="39"/>
        <v/>
      </c>
      <c r="CY18" s="37"/>
      <c r="CZ18" s="33"/>
      <c r="DA18" s="34"/>
      <c r="DB18" s="35" t="str">
        <f t="shared" si="40"/>
        <v/>
      </c>
      <c r="DC18" s="36" t="str">
        <f t="shared" si="41"/>
        <v/>
      </c>
      <c r="DD18" s="37"/>
      <c r="DE18" s="33"/>
      <c r="DF18" s="34"/>
      <c r="DG18" s="35" t="str">
        <f t="shared" si="42"/>
        <v/>
      </c>
      <c r="DH18" s="36" t="str">
        <f t="shared" si="43"/>
        <v/>
      </c>
      <c r="DI18" s="37"/>
      <c r="DJ18" s="33"/>
      <c r="DK18" s="34"/>
      <c r="DL18" s="35" t="str">
        <f t="shared" si="44"/>
        <v/>
      </c>
      <c r="DM18" s="36" t="str">
        <f t="shared" si="45"/>
        <v/>
      </c>
      <c r="DN18" s="37"/>
      <c r="DO18" s="33"/>
      <c r="DP18" s="34"/>
      <c r="DQ18" s="35" t="str">
        <f t="shared" si="46"/>
        <v/>
      </c>
      <c r="DR18" s="36" t="str">
        <f t="shared" si="47"/>
        <v/>
      </c>
      <c r="DS18" s="37"/>
      <c r="DT18" s="33"/>
      <c r="DU18" s="34"/>
      <c r="DV18" s="35" t="str">
        <f t="shared" si="48"/>
        <v/>
      </c>
      <c r="DW18" s="36" t="str">
        <f t="shared" si="49"/>
        <v/>
      </c>
      <c r="DX18" s="37"/>
      <c r="DY18" s="33"/>
      <c r="DZ18" s="34"/>
      <c r="EA18" s="35" t="str">
        <f t="shared" si="50"/>
        <v/>
      </c>
      <c r="EB18" s="36" t="str">
        <f t="shared" si="51"/>
        <v/>
      </c>
      <c r="EC18" s="37"/>
      <c r="ED18" s="33"/>
      <c r="EE18" s="34"/>
      <c r="EF18" s="35" t="str">
        <f t="shared" si="52"/>
        <v/>
      </c>
      <c r="EG18" s="36" t="str">
        <f t="shared" si="53"/>
        <v/>
      </c>
      <c r="EH18" s="37"/>
      <c r="EI18" s="33"/>
      <c r="EJ18" s="34"/>
      <c r="EK18" s="35" t="str">
        <f t="shared" si="54"/>
        <v/>
      </c>
      <c r="EL18" s="36" t="str">
        <f t="shared" si="55"/>
        <v/>
      </c>
      <c r="EM18" s="37"/>
      <c r="EN18" s="33"/>
      <c r="EO18" s="34"/>
      <c r="EP18" s="35" t="str">
        <f t="shared" si="56"/>
        <v/>
      </c>
      <c r="EQ18" s="36" t="str">
        <f t="shared" si="57"/>
        <v/>
      </c>
      <c r="ER18" s="37"/>
      <c r="ES18" s="33"/>
      <c r="ET18" s="34"/>
      <c r="EU18" s="35" t="str">
        <f t="shared" si="58"/>
        <v/>
      </c>
      <c r="EV18" s="36" t="str">
        <f t="shared" si="59"/>
        <v/>
      </c>
      <c r="EW18" s="37"/>
    </row>
    <row r="19" spans="1:153" ht="19.5" customHeight="1">
      <c r="A19" s="32">
        <f>IF(DAY(DATE(対象年度,11,16))&lt;&gt;16,"",16)</f>
        <v>16</v>
      </c>
      <c r="B19" s="32" t="str">
        <f>IF(DAY(DATE(対象年度,11,16))&lt;&gt;16,"",CHOOSE(WEEKDAY(DATE(対象年度,11,16),2),"月","火","水","木","金","土","日"))</f>
        <v>月</v>
      </c>
      <c r="C19" s="32" t="str">
        <f>IF(DAY(DATE(対象年度,11,16))&lt;&gt;16,"",IF(ISNUMBER(MATCH(DATE(対象年度,11,16),祝日リスト,0)),"祝",""))</f>
        <v/>
      </c>
      <c r="D19" s="33"/>
      <c r="E19" s="34"/>
      <c r="F19" s="35" t="str">
        <f t="shared" si="0"/>
        <v/>
      </c>
      <c r="G19" s="36" t="str">
        <f t="shared" si="1"/>
        <v/>
      </c>
      <c r="H19" s="37"/>
      <c r="I19" s="33"/>
      <c r="J19" s="34"/>
      <c r="K19" s="35" t="str">
        <f t="shared" si="2"/>
        <v/>
      </c>
      <c r="L19" s="36" t="str">
        <f t="shared" si="3"/>
        <v/>
      </c>
      <c r="M19" s="37"/>
      <c r="N19" s="33"/>
      <c r="O19" s="34"/>
      <c r="P19" s="35" t="str">
        <f t="shared" si="4"/>
        <v/>
      </c>
      <c r="Q19" s="36" t="str">
        <f t="shared" si="5"/>
        <v/>
      </c>
      <c r="R19" s="37"/>
      <c r="S19" s="33"/>
      <c r="T19" s="34"/>
      <c r="U19" s="35" t="str">
        <f t="shared" si="6"/>
        <v/>
      </c>
      <c r="V19" s="36" t="str">
        <f t="shared" si="7"/>
        <v/>
      </c>
      <c r="W19" s="37"/>
      <c r="X19" s="33"/>
      <c r="Y19" s="34"/>
      <c r="Z19" s="35" t="str">
        <f t="shared" si="8"/>
        <v/>
      </c>
      <c r="AA19" s="36" t="str">
        <f t="shared" si="9"/>
        <v/>
      </c>
      <c r="AB19" s="37"/>
      <c r="AC19" s="33"/>
      <c r="AD19" s="34"/>
      <c r="AE19" s="35" t="str">
        <f t="shared" si="10"/>
        <v/>
      </c>
      <c r="AF19" s="36" t="str">
        <f t="shared" si="11"/>
        <v/>
      </c>
      <c r="AG19" s="37"/>
      <c r="AH19" s="33"/>
      <c r="AI19" s="34"/>
      <c r="AJ19" s="35" t="str">
        <f t="shared" si="12"/>
        <v/>
      </c>
      <c r="AK19" s="36" t="str">
        <f t="shared" si="13"/>
        <v/>
      </c>
      <c r="AL19" s="37"/>
      <c r="AM19" s="33"/>
      <c r="AN19" s="34"/>
      <c r="AO19" s="35" t="str">
        <f t="shared" si="14"/>
        <v/>
      </c>
      <c r="AP19" s="36" t="str">
        <f t="shared" si="15"/>
        <v/>
      </c>
      <c r="AQ19" s="37"/>
      <c r="AR19" s="33"/>
      <c r="AS19" s="34"/>
      <c r="AT19" s="35" t="str">
        <f t="shared" si="16"/>
        <v/>
      </c>
      <c r="AU19" s="36" t="str">
        <f t="shared" si="17"/>
        <v/>
      </c>
      <c r="AV19" s="37"/>
      <c r="AW19" s="33"/>
      <c r="AX19" s="34"/>
      <c r="AY19" s="35" t="str">
        <f t="shared" si="18"/>
        <v/>
      </c>
      <c r="AZ19" s="36" t="str">
        <f t="shared" si="19"/>
        <v/>
      </c>
      <c r="BA19" s="37"/>
      <c r="BB19" s="33"/>
      <c r="BC19" s="34"/>
      <c r="BD19" s="35" t="str">
        <f t="shared" si="20"/>
        <v/>
      </c>
      <c r="BE19" s="36" t="str">
        <f t="shared" si="21"/>
        <v/>
      </c>
      <c r="BF19" s="37"/>
      <c r="BG19" s="33"/>
      <c r="BH19" s="34"/>
      <c r="BI19" s="35" t="str">
        <f t="shared" si="22"/>
        <v/>
      </c>
      <c r="BJ19" s="36" t="str">
        <f t="shared" si="23"/>
        <v/>
      </c>
      <c r="BK19" s="37"/>
      <c r="BL19" s="33"/>
      <c r="BM19" s="34"/>
      <c r="BN19" s="35" t="str">
        <f t="shared" si="24"/>
        <v/>
      </c>
      <c r="BO19" s="36" t="str">
        <f t="shared" si="25"/>
        <v/>
      </c>
      <c r="BP19" s="37"/>
      <c r="BQ19" s="33"/>
      <c r="BR19" s="34"/>
      <c r="BS19" s="35" t="str">
        <f t="shared" si="26"/>
        <v/>
      </c>
      <c r="BT19" s="36" t="str">
        <f t="shared" si="27"/>
        <v/>
      </c>
      <c r="BU19" s="37"/>
      <c r="BV19" s="33"/>
      <c r="BW19" s="34"/>
      <c r="BX19" s="35" t="str">
        <f t="shared" si="28"/>
        <v/>
      </c>
      <c r="BY19" s="36" t="str">
        <f t="shared" si="29"/>
        <v/>
      </c>
      <c r="BZ19" s="37"/>
      <c r="CA19" s="33"/>
      <c r="CB19" s="34"/>
      <c r="CC19" s="35" t="str">
        <f t="shared" si="30"/>
        <v/>
      </c>
      <c r="CD19" s="36" t="str">
        <f t="shared" si="31"/>
        <v/>
      </c>
      <c r="CE19" s="37"/>
      <c r="CF19" s="33"/>
      <c r="CG19" s="34"/>
      <c r="CH19" s="35" t="str">
        <f t="shared" si="32"/>
        <v/>
      </c>
      <c r="CI19" s="36" t="str">
        <f t="shared" si="33"/>
        <v/>
      </c>
      <c r="CJ19" s="37"/>
      <c r="CK19" s="33"/>
      <c r="CL19" s="34"/>
      <c r="CM19" s="35" t="str">
        <f t="shared" si="34"/>
        <v/>
      </c>
      <c r="CN19" s="36" t="str">
        <f t="shared" si="35"/>
        <v/>
      </c>
      <c r="CO19" s="37"/>
      <c r="CP19" s="33"/>
      <c r="CQ19" s="34"/>
      <c r="CR19" s="35" t="str">
        <f t="shared" si="36"/>
        <v/>
      </c>
      <c r="CS19" s="36" t="str">
        <f t="shared" si="37"/>
        <v/>
      </c>
      <c r="CT19" s="37"/>
      <c r="CU19" s="33"/>
      <c r="CV19" s="34"/>
      <c r="CW19" s="35" t="str">
        <f t="shared" si="38"/>
        <v/>
      </c>
      <c r="CX19" s="36" t="str">
        <f t="shared" si="39"/>
        <v/>
      </c>
      <c r="CY19" s="37"/>
      <c r="CZ19" s="33"/>
      <c r="DA19" s="34"/>
      <c r="DB19" s="35" t="str">
        <f t="shared" si="40"/>
        <v/>
      </c>
      <c r="DC19" s="36" t="str">
        <f t="shared" si="41"/>
        <v/>
      </c>
      <c r="DD19" s="37"/>
      <c r="DE19" s="33"/>
      <c r="DF19" s="34"/>
      <c r="DG19" s="35" t="str">
        <f t="shared" si="42"/>
        <v/>
      </c>
      <c r="DH19" s="36" t="str">
        <f t="shared" si="43"/>
        <v/>
      </c>
      <c r="DI19" s="37"/>
      <c r="DJ19" s="33"/>
      <c r="DK19" s="34"/>
      <c r="DL19" s="35" t="str">
        <f t="shared" si="44"/>
        <v/>
      </c>
      <c r="DM19" s="36" t="str">
        <f t="shared" si="45"/>
        <v/>
      </c>
      <c r="DN19" s="37"/>
      <c r="DO19" s="33"/>
      <c r="DP19" s="34"/>
      <c r="DQ19" s="35" t="str">
        <f t="shared" si="46"/>
        <v/>
      </c>
      <c r="DR19" s="36" t="str">
        <f t="shared" si="47"/>
        <v/>
      </c>
      <c r="DS19" s="37"/>
      <c r="DT19" s="33"/>
      <c r="DU19" s="34"/>
      <c r="DV19" s="35" t="str">
        <f t="shared" si="48"/>
        <v/>
      </c>
      <c r="DW19" s="36" t="str">
        <f t="shared" si="49"/>
        <v/>
      </c>
      <c r="DX19" s="37"/>
      <c r="DY19" s="33"/>
      <c r="DZ19" s="34"/>
      <c r="EA19" s="35" t="str">
        <f t="shared" si="50"/>
        <v/>
      </c>
      <c r="EB19" s="36" t="str">
        <f t="shared" si="51"/>
        <v/>
      </c>
      <c r="EC19" s="37"/>
      <c r="ED19" s="33"/>
      <c r="EE19" s="34"/>
      <c r="EF19" s="35" t="str">
        <f t="shared" si="52"/>
        <v/>
      </c>
      <c r="EG19" s="36" t="str">
        <f t="shared" si="53"/>
        <v/>
      </c>
      <c r="EH19" s="37"/>
      <c r="EI19" s="33"/>
      <c r="EJ19" s="34"/>
      <c r="EK19" s="35" t="str">
        <f t="shared" si="54"/>
        <v/>
      </c>
      <c r="EL19" s="36" t="str">
        <f t="shared" si="55"/>
        <v/>
      </c>
      <c r="EM19" s="37"/>
      <c r="EN19" s="33"/>
      <c r="EO19" s="34"/>
      <c r="EP19" s="35" t="str">
        <f t="shared" si="56"/>
        <v/>
      </c>
      <c r="EQ19" s="36" t="str">
        <f t="shared" si="57"/>
        <v/>
      </c>
      <c r="ER19" s="37"/>
      <c r="ES19" s="33"/>
      <c r="ET19" s="34"/>
      <c r="EU19" s="35" t="str">
        <f t="shared" si="58"/>
        <v/>
      </c>
      <c r="EV19" s="36" t="str">
        <f t="shared" si="59"/>
        <v/>
      </c>
      <c r="EW19" s="37"/>
    </row>
    <row r="20" spans="1:153" ht="19.5" customHeight="1">
      <c r="A20" s="32">
        <f>IF(DAY(DATE(対象年度,11,17))&lt;&gt;17,"",17)</f>
        <v>17</v>
      </c>
      <c r="B20" s="32" t="str">
        <f>IF(DAY(DATE(対象年度,11,17))&lt;&gt;17,"",CHOOSE(WEEKDAY(DATE(対象年度,11,17),2),"月","火","水","木","金","土","日"))</f>
        <v>火</v>
      </c>
      <c r="C20" s="32" t="str">
        <f>IF(DAY(DATE(対象年度,11,17))&lt;&gt;17,"",IF(ISNUMBER(MATCH(DATE(対象年度,11,17),祝日リスト,0)),"祝",""))</f>
        <v/>
      </c>
      <c r="D20" s="33"/>
      <c r="E20" s="34"/>
      <c r="F20" s="35" t="str">
        <f t="shared" si="0"/>
        <v/>
      </c>
      <c r="G20" s="36" t="str">
        <f t="shared" si="1"/>
        <v/>
      </c>
      <c r="H20" s="37"/>
      <c r="I20" s="33"/>
      <c r="J20" s="34"/>
      <c r="K20" s="35" t="str">
        <f t="shared" si="2"/>
        <v/>
      </c>
      <c r="L20" s="36" t="str">
        <f t="shared" si="3"/>
        <v/>
      </c>
      <c r="M20" s="37"/>
      <c r="N20" s="33"/>
      <c r="O20" s="34"/>
      <c r="P20" s="35" t="str">
        <f t="shared" si="4"/>
        <v/>
      </c>
      <c r="Q20" s="36" t="str">
        <f t="shared" si="5"/>
        <v/>
      </c>
      <c r="R20" s="37"/>
      <c r="S20" s="33"/>
      <c r="T20" s="34"/>
      <c r="U20" s="35" t="str">
        <f t="shared" si="6"/>
        <v/>
      </c>
      <c r="V20" s="36" t="str">
        <f t="shared" si="7"/>
        <v/>
      </c>
      <c r="W20" s="37"/>
      <c r="X20" s="33"/>
      <c r="Y20" s="34"/>
      <c r="Z20" s="35" t="str">
        <f t="shared" si="8"/>
        <v/>
      </c>
      <c r="AA20" s="36" t="str">
        <f t="shared" si="9"/>
        <v/>
      </c>
      <c r="AB20" s="37"/>
      <c r="AC20" s="33"/>
      <c r="AD20" s="34"/>
      <c r="AE20" s="35" t="str">
        <f t="shared" si="10"/>
        <v/>
      </c>
      <c r="AF20" s="36" t="str">
        <f t="shared" si="11"/>
        <v/>
      </c>
      <c r="AG20" s="37"/>
      <c r="AH20" s="33"/>
      <c r="AI20" s="34"/>
      <c r="AJ20" s="35" t="str">
        <f t="shared" si="12"/>
        <v/>
      </c>
      <c r="AK20" s="36" t="str">
        <f t="shared" si="13"/>
        <v/>
      </c>
      <c r="AL20" s="37"/>
      <c r="AM20" s="33"/>
      <c r="AN20" s="34"/>
      <c r="AO20" s="35" t="str">
        <f t="shared" si="14"/>
        <v/>
      </c>
      <c r="AP20" s="36" t="str">
        <f t="shared" si="15"/>
        <v/>
      </c>
      <c r="AQ20" s="37"/>
      <c r="AR20" s="33"/>
      <c r="AS20" s="34"/>
      <c r="AT20" s="35" t="str">
        <f t="shared" si="16"/>
        <v/>
      </c>
      <c r="AU20" s="36" t="str">
        <f t="shared" si="17"/>
        <v/>
      </c>
      <c r="AV20" s="37"/>
      <c r="AW20" s="33"/>
      <c r="AX20" s="34"/>
      <c r="AY20" s="35" t="str">
        <f t="shared" si="18"/>
        <v/>
      </c>
      <c r="AZ20" s="36" t="str">
        <f t="shared" si="19"/>
        <v/>
      </c>
      <c r="BA20" s="37"/>
      <c r="BB20" s="33"/>
      <c r="BC20" s="34"/>
      <c r="BD20" s="35" t="str">
        <f t="shared" si="20"/>
        <v/>
      </c>
      <c r="BE20" s="36" t="str">
        <f t="shared" si="21"/>
        <v/>
      </c>
      <c r="BF20" s="37"/>
      <c r="BG20" s="33"/>
      <c r="BH20" s="34"/>
      <c r="BI20" s="35" t="str">
        <f t="shared" si="22"/>
        <v/>
      </c>
      <c r="BJ20" s="36" t="str">
        <f t="shared" si="23"/>
        <v/>
      </c>
      <c r="BK20" s="37"/>
      <c r="BL20" s="33"/>
      <c r="BM20" s="34"/>
      <c r="BN20" s="35" t="str">
        <f t="shared" si="24"/>
        <v/>
      </c>
      <c r="BO20" s="36" t="str">
        <f t="shared" si="25"/>
        <v/>
      </c>
      <c r="BP20" s="37"/>
      <c r="BQ20" s="33"/>
      <c r="BR20" s="34"/>
      <c r="BS20" s="35" t="str">
        <f t="shared" si="26"/>
        <v/>
      </c>
      <c r="BT20" s="36" t="str">
        <f t="shared" si="27"/>
        <v/>
      </c>
      <c r="BU20" s="37"/>
      <c r="BV20" s="33"/>
      <c r="BW20" s="34"/>
      <c r="BX20" s="35" t="str">
        <f t="shared" si="28"/>
        <v/>
      </c>
      <c r="BY20" s="36" t="str">
        <f t="shared" si="29"/>
        <v/>
      </c>
      <c r="BZ20" s="37"/>
      <c r="CA20" s="33"/>
      <c r="CB20" s="34"/>
      <c r="CC20" s="35" t="str">
        <f t="shared" si="30"/>
        <v/>
      </c>
      <c r="CD20" s="36" t="str">
        <f t="shared" si="31"/>
        <v/>
      </c>
      <c r="CE20" s="37"/>
      <c r="CF20" s="33"/>
      <c r="CG20" s="34"/>
      <c r="CH20" s="35" t="str">
        <f t="shared" si="32"/>
        <v/>
      </c>
      <c r="CI20" s="36" t="str">
        <f t="shared" si="33"/>
        <v/>
      </c>
      <c r="CJ20" s="37"/>
      <c r="CK20" s="33"/>
      <c r="CL20" s="34"/>
      <c r="CM20" s="35" t="str">
        <f t="shared" si="34"/>
        <v/>
      </c>
      <c r="CN20" s="36" t="str">
        <f t="shared" si="35"/>
        <v/>
      </c>
      <c r="CO20" s="37"/>
      <c r="CP20" s="33"/>
      <c r="CQ20" s="34"/>
      <c r="CR20" s="35" t="str">
        <f t="shared" si="36"/>
        <v/>
      </c>
      <c r="CS20" s="36" t="str">
        <f t="shared" si="37"/>
        <v/>
      </c>
      <c r="CT20" s="37"/>
      <c r="CU20" s="33"/>
      <c r="CV20" s="34"/>
      <c r="CW20" s="35" t="str">
        <f t="shared" si="38"/>
        <v/>
      </c>
      <c r="CX20" s="36" t="str">
        <f t="shared" si="39"/>
        <v/>
      </c>
      <c r="CY20" s="37"/>
      <c r="CZ20" s="33"/>
      <c r="DA20" s="34"/>
      <c r="DB20" s="35" t="str">
        <f t="shared" si="40"/>
        <v/>
      </c>
      <c r="DC20" s="36" t="str">
        <f t="shared" si="41"/>
        <v/>
      </c>
      <c r="DD20" s="37"/>
      <c r="DE20" s="33"/>
      <c r="DF20" s="34"/>
      <c r="DG20" s="35" t="str">
        <f t="shared" si="42"/>
        <v/>
      </c>
      <c r="DH20" s="36" t="str">
        <f t="shared" si="43"/>
        <v/>
      </c>
      <c r="DI20" s="37"/>
      <c r="DJ20" s="33"/>
      <c r="DK20" s="34"/>
      <c r="DL20" s="35" t="str">
        <f t="shared" si="44"/>
        <v/>
      </c>
      <c r="DM20" s="36" t="str">
        <f t="shared" si="45"/>
        <v/>
      </c>
      <c r="DN20" s="37"/>
      <c r="DO20" s="33"/>
      <c r="DP20" s="34"/>
      <c r="DQ20" s="35" t="str">
        <f t="shared" si="46"/>
        <v/>
      </c>
      <c r="DR20" s="36" t="str">
        <f t="shared" si="47"/>
        <v/>
      </c>
      <c r="DS20" s="37"/>
      <c r="DT20" s="33"/>
      <c r="DU20" s="34"/>
      <c r="DV20" s="35" t="str">
        <f t="shared" si="48"/>
        <v/>
      </c>
      <c r="DW20" s="36" t="str">
        <f t="shared" si="49"/>
        <v/>
      </c>
      <c r="DX20" s="37"/>
      <c r="DY20" s="33"/>
      <c r="DZ20" s="34"/>
      <c r="EA20" s="35" t="str">
        <f t="shared" si="50"/>
        <v/>
      </c>
      <c r="EB20" s="36" t="str">
        <f t="shared" si="51"/>
        <v/>
      </c>
      <c r="EC20" s="37"/>
      <c r="ED20" s="33"/>
      <c r="EE20" s="34"/>
      <c r="EF20" s="35" t="str">
        <f t="shared" si="52"/>
        <v/>
      </c>
      <c r="EG20" s="36" t="str">
        <f t="shared" si="53"/>
        <v/>
      </c>
      <c r="EH20" s="37"/>
      <c r="EI20" s="33"/>
      <c r="EJ20" s="34"/>
      <c r="EK20" s="35" t="str">
        <f t="shared" si="54"/>
        <v/>
      </c>
      <c r="EL20" s="36" t="str">
        <f t="shared" si="55"/>
        <v/>
      </c>
      <c r="EM20" s="37"/>
      <c r="EN20" s="33"/>
      <c r="EO20" s="34"/>
      <c r="EP20" s="35" t="str">
        <f t="shared" si="56"/>
        <v/>
      </c>
      <c r="EQ20" s="36" t="str">
        <f t="shared" si="57"/>
        <v/>
      </c>
      <c r="ER20" s="37"/>
      <c r="ES20" s="33"/>
      <c r="ET20" s="34"/>
      <c r="EU20" s="35" t="str">
        <f t="shared" si="58"/>
        <v/>
      </c>
      <c r="EV20" s="36" t="str">
        <f t="shared" si="59"/>
        <v/>
      </c>
      <c r="EW20" s="37"/>
    </row>
    <row r="21" spans="1:153" ht="19.5" customHeight="1">
      <c r="A21" s="32">
        <f>IF(DAY(DATE(対象年度,11,18))&lt;&gt;18,"",18)</f>
        <v>18</v>
      </c>
      <c r="B21" s="32" t="str">
        <f>IF(DAY(DATE(対象年度,11,18))&lt;&gt;18,"",CHOOSE(WEEKDAY(DATE(対象年度,11,18),2),"月","火","水","木","金","土","日"))</f>
        <v>水</v>
      </c>
      <c r="C21" s="32" t="str">
        <f>IF(DAY(DATE(対象年度,11,18))&lt;&gt;18,"",IF(ISNUMBER(MATCH(DATE(対象年度,11,18),祝日リスト,0)),"祝",""))</f>
        <v/>
      </c>
      <c r="D21" s="33"/>
      <c r="E21" s="34"/>
      <c r="F21" s="35" t="str">
        <f t="shared" si="0"/>
        <v/>
      </c>
      <c r="G21" s="36" t="str">
        <f t="shared" si="1"/>
        <v/>
      </c>
      <c r="H21" s="37"/>
      <c r="I21" s="33"/>
      <c r="J21" s="34"/>
      <c r="K21" s="35" t="str">
        <f t="shared" si="2"/>
        <v/>
      </c>
      <c r="L21" s="36" t="str">
        <f t="shared" si="3"/>
        <v/>
      </c>
      <c r="M21" s="37"/>
      <c r="N21" s="33"/>
      <c r="O21" s="34"/>
      <c r="P21" s="35" t="str">
        <f t="shared" si="4"/>
        <v/>
      </c>
      <c r="Q21" s="36" t="str">
        <f t="shared" si="5"/>
        <v/>
      </c>
      <c r="R21" s="37"/>
      <c r="S21" s="33"/>
      <c r="T21" s="34"/>
      <c r="U21" s="35" t="str">
        <f t="shared" si="6"/>
        <v/>
      </c>
      <c r="V21" s="36" t="str">
        <f t="shared" si="7"/>
        <v/>
      </c>
      <c r="W21" s="37"/>
      <c r="X21" s="33"/>
      <c r="Y21" s="34"/>
      <c r="Z21" s="35" t="str">
        <f t="shared" si="8"/>
        <v/>
      </c>
      <c r="AA21" s="36" t="str">
        <f t="shared" si="9"/>
        <v/>
      </c>
      <c r="AB21" s="37"/>
      <c r="AC21" s="33"/>
      <c r="AD21" s="34"/>
      <c r="AE21" s="35" t="str">
        <f t="shared" si="10"/>
        <v/>
      </c>
      <c r="AF21" s="36" t="str">
        <f t="shared" si="11"/>
        <v/>
      </c>
      <c r="AG21" s="37"/>
      <c r="AH21" s="33"/>
      <c r="AI21" s="34"/>
      <c r="AJ21" s="35" t="str">
        <f t="shared" si="12"/>
        <v/>
      </c>
      <c r="AK21" s="36" t="str">
        <f t="shared" si="13"/>
        <v/>
      </c>
      <c r="AL21" s="37"/>
      <c r="AM21" s="33"/>
      <c r="AN21" s="34"/>
      <c r="AO21" s="35" t="str">
        <f t="shared" si="14"/>
        <v/>
      </c>
      <c r="AP21" s="36" t="str">
        <f t="shared" si="15"/>
        <v/>
      </c>
      <c r="AQ21" s="37"/>
      <c r="AR21" s="33"/>
      <c r="AS21" s="34"/>
      <c r="AT21" s="35" t="str">
        <f t="shared" si="16"/>
        <v/>
      </c>
      <c r="AU21" s="36" t="str">
        <f t="shared" si="17"/>
        <v/>
      </c>
      <c r="AV21" s="37"/>
      <c r="AW21" s="33"/>
      <c r="AX21" s="34"/>
      <c r="AY21" s="35" t="str">
        <f t="shared" si="18"/>
        <v/>
      </c>
      <c r="AZ21" s="36" t="str">
        <f t="shared" si="19"/>
        <v/>
      </c>
      <c r="BA21" s="37"/>
      <c r="BB21" s="33"/>
      <c r="BC21" s="34"/>
      <c r="BD21" s="35" t="str">
        <f t="shared" si="20"/>
        <v/>
      </c>
      <c r="BE21" s="36" t="str">
        <f t="shared" si="21"/>
        <v/>
      </c>
      <c r="BF21" s="37"/>
      <c r="BG21" s="33"/>
      <c r="BH21" s="34"/>
      <c r="BI21" s="35" t="str">
        <f t="shared" si="22"/>
        <v/>
      </c>
      <c r="BJ21" s="36" t="str">
        <f t="shared" si="23"/>
        <v/>
      </c>
      <c r="BK21" s="37"/>
      <c r="BL21" s="33"/>
      <c r="BM21" s="34"/>
      <c r="BN21" s="35" t="str">
        <f t="shared" si="24"/>
        <v/>
      </c>
      <c r="BO21" s="36" t="str">
        <f t="shared" si="25"/>
        <v/>
      </c>
      <c r="BP21" s="37"/>
      <c r="BQ21" s="33"/>
      <c r="BR21" s="34"/>
      <c r="BS21" s="35" t="str">
        <f t="shared" si="26"/>
        <v/>
      </c>
      <c r="BT21" s="36" t="str">
        <f t="shared" si="27"/>
        <v/>
      </c>
      <c r="BU21" s="37"/>
      <c r="BV21" s="33"/>
      <c r="BW21" s="34"/>
      <c r="BX21" s="35" t="str">
        <f t="shared" si="28"/>
        <v/>
      </c>
      <c r="BY21" s="36" t="str">
        <f t="shared" si="29"/>
        <v/>
      </c>
      <c r="BZ21" s="37"/>
      <c r="CA21" s="33"/>
      <c r="CB21" s="34"/>
      <c r="CC21" s="35" t="str">
        <f t="shared" si="30"/>
        <v/>
      </c>
      <c r="CD21" s="36" t="str">
        <f t="shared" si="31"/>
        <v/>
      </c>
      <c r="CE21" s="37"/>
      <c r="CF21" s="33"/>
      <c r="CG21" s="34"/>
      <c r="CH21" s="35" t="str">
        <f t="shared" si="32"/>
        <v/>
      </c>
      <c r="CI21" s="36" t="str">
        <f t="shared" si="33"/>
        <v/>
      </c>
      <c r="CJ21" s="37"/>
      <c r="CK21" s="33"/>
      <c r="CL21" s="34"/>
      <c r="CM21" s="35" t="str">
        <f t="shared" si="34"/>
        <v/>
      </c>
      <c r="CN21" s="36" t="str">
        <f t="shared" si="35"/>
        <v/>
      </c>
      <c r="CO21" s="37"/>
      <c r="CP21" s="33"/>
      <c r="CQ21" s="34"/>
      <c r="CR21" s="35" t="str">
        <f t="shared" si="36"/>
        <v/>
      </c>
      <c r="CS21" s="36" t="str">
        <f t="shared" si="37"/>
        <v/>
      </c>
      <c r="CT21" s="37"/>
      <c r="CU21" s="33"/>
      <c r="CV21" s="34"/>
      <c r="CW21" s="35" t="str">
        <f t="shared" si="38"/>
        <v/>
      </c>
      <c r="CX21" s="36" t="str">
        <f t="shared" si="39"/>
        <v/>
      </c>
      <c r="CY21" s="37"/>
      <c r="CZ21" s="33"/>
      <c r="DA21" s="34"/>
      <c r="DB21" s="35" t="str">
        <f t="shared" si="40"/>
        <v/>
      </c>
      <c r="DC21" s="36" t="str">
        <f t="shared" si="41"/>
        <v/>
      </c>
      <c r="DD21" s="37"/>
      <c r="DE21" s="33"/>
      <c r="DF21" s="34"/>
      <c r="DG21" s="35" t="str">
        <f t="shared" si="42"/>
        <v/>
      </c>
      <c r="DH21" s="36" t="str">
        <f t="shared" si="43"/>
        <v/>
      </c>
      <c r="DI21" s="37"/>
      <c r="DJ21" s="33"/>
      <c r="DK21" s="34"/>
      <c r="DL21" s="35" t="str">
        <f t="shared" si="44"/>
        <v/>
      </c>
      <c r="DM21" s="36" t="str">
        <f t="shared" si="45"/>
        <v/>
      </c>
      <c r="DN21" s="37"/>
      <c r="DO21" s="33"/>
      <c r="DP21" s="34"/>
      <c r="DQ21" s="35" t="str">
        <f t="shared" si="46"/>
        <v/>
      </c>
      <c r="DR21" s="36" t="str">
        <f t="shared" si="47"/>
        <v/>
      </c>
      <c r="DS21" s="37"/>
      <c r="DT21" s="33"/>
      <c r="DU21" s="34"/>
      <c r="DV21" s="35" t="str">
        <f t="shared" si="48"/>
        <v/>
      </c>
      <c r="DW21" s="36" t="str">
        <f t="shared" si="49"/>
        <v/>
      </c>
      <c r="DX21" s="37"/>
      <c r="DY21" s="33"/>
      <c r="DZ21" s="34"/>
      <c r="EA21" s="35" t="str">
        <f t="shared" si="50"/>
        <v/>
      </c>
      <c r="EB21" s="36" t="str">
        <f t="shared" si="51"/>
        <v/>
      </c>
      <c r="EC21" s="37"/>
      <c r="ED21" s="33"/>
      <c r="EE21" s="34"/>
      <c r="EF21" s="35" t="str">
        <f t="shared" si="52"/>
        <v/>
      </c>
      <c r="EG21" s="36" t="str">
        <f t="shared" si="53"/>
        <v/>
      </c>
      <c r="EH21" s="37"/>
      <c r="EI21" s="33"/>
      <c r="EJ21" s="34"/>
      <c r="EK21" s="35" t="str">
        <f t="shared" si="54"/>
        <v/>
      </c>
      <c r="EL21" s="36" t="str">
        <f t="shared" si="55"/>
        <v/>
      </c>
      <c r="EM21" s="37"/>
      <c r="EN21" s="33"/>
      <c r="EO21" s="34"/>
      <c r="EP21" s="35" t="str">
        <f t="shared" si="56"/>
        <v/>
      </c>
      <c r="EQ21" s="36" t="str">
        <f t="shared" si="57"/>
        <v/>
      </c>
      <c r="ER21" s="37"/>
      <c r="ES21" s="33"/>
      <c r="ET21" s="34"/>
      <c r="EU21" s="35" t="str">
        <f t="shared" si="58"/>
        <v/>
      </c>
      <c r="EV21" s="36" t="str">
        <f t="shared" si="59"/>
        <v/>
      </c>
      <c r="EW21" s="37"/>
    </row>
    <row r="22" spans="1:153" ht="19.5" customHeight="1">
      <c r="A22" s="32">
        <f>IF(DAY(DATE(対象年度,11,19))&lt;&gt;19,"",19)</f>
        <v>19</v>
      </c>
      <c r="B22" s="32" t="str">
        <f>IF(DAY(DATE(対象年度,11,19))&lt;&gt;19,"",CHOOSE(WEEKDAY(DATE(対象年度,11,19),2),"月","火","水","木","金","土","日"))</f>
        <v>木</v>
      </c>
      <c r="C22" s="32" t="str">
        <f>IF(DAY(DATE(対象年度,11,19))&lt;&gt;19,"",IF(ISNUMBER(MATCH(DATE(対象年度,11,19),祝日リスト,0)),"祝",""))</f>
        <v/>
      </c>
      <c r="D22" s="33"/>
      <c r="E22" s="34"/>
      <c r="F22" s="35" t="str">
        <f t="shared" si="0"/>
        <v/>
      </c>
      <c r="G22" s="36" t="str">
        <f t="shared" si="1"/>
        <v/>
      </c>
      <c r="H22" s="37"/>
      <c r="I22" s="33"/>
      <c r="J22" s="34"/>
      <c r="K22" s="35" t="str">
        <f t="shared" si="2"/>
        <v/>
      </c>
      <c r="L22" s="36" t="str">
        <f t="shared" si="3"/>
        <v/>
      </c>
      <c r="M22" s="37"/>
      <c r="N22" s="33"/>
      <c r="O22" s="34"/>
      <c r="P22" s="35" t="str">
        <f t="shared" si="4"/>
        <v/>
      </c>
      <c r="Q22" s="36" t="str">
        <f t="shared" si="5"/>
        <v/>
      </c>
      <c r="R22" s="37"/>
      <c r="S22" s="33"/>
      <c r="T22" s="34"/>
      <c r="U22" s="35" t="str">
        <f t="shared" si="6"/>
        <v/>
      </c>
      <c r="V22" s="36" t="str">
        <f t="shared" si="7"/>
        <v/>
      </c>
      <c r="W22" s="37"/>
      <c r="X22" s="33"/>
      <c r="Y22" s="34"/>
      <c r="Z22" s="35" t="str">
        <f t="shared" si="8"/>
        <v/>
      </c>
      <c r="AA22" s="36" t="str">
        <f t="shared" si="9"/>
        <v/>
      </c>
      <c r="AB22" s="37"/>
      <c r="AC22" s="33"/>
      <c r="AD22" s="34"/>
      <c r="AE22" s="35" t="str">
        <f t="shared" si="10"/>
        <v/>
      </c>
      <c r="AF22" s="36" t="str">
        <f t="shared" si="11"/>
        <v/>
      </c>
      <c r="AG22" s="37"/>
      <c r="AH22" s="33"/>
      <c r="AI22" s="34"/>
      <c r="AJ22" s="35" t="str">
        <f t="shared" si="12"/>
        <v/>
      </c>
      <c r="AK22" s="36" t="str">
        <f t="shared" si="13"/>
        <v/>
      </c>
      <c r="AL22" s="37"/>
      <c r="AM22" s="33"/>
      <c r="AN22" s="34"/>
      <c r="AO22" s="35" t="str">
        <f t="shared" si="14"/>
        <v/>
      </c>
      <c r="AP22" s="36" t="str">
        <f t="shared" si="15"/>
        <v/>
      </c>
      <c r="AQ22" s="37"/>
      <c r="AR22" s="33"/>
      <c r="AS22" s="34"/>
      <c r="AT22" s="35" t="str">
        <f t="shared" si="16"/>
        <v/>
      </c>
      <c r="AU22" s="36" t="str">
        <f t="shared" si="17"/>
        <v/>
      </c>
      <c r="AV22" s="37"/>
      <c r="AW22" s="33"/>
      <c r="AX22" s="34"/>
      <c r="AY22" s="35" t="str">
        <f t="shared" si="18"/>
        <v/>
      </c>
      <c r="AZ22" s="36" t="str">
        <f t="shared" si="19"/>
        <v/>
      </c>
      <c r="BA22" s="37"/>
      <c r="BB22" s="33"/>
      <c r="BC22" s="34"/>
      <c r="BD22" s="35" t="str">
        <f t="shared" si="20"/>
        <v/>
      </c>
      <c r="BE22" s="36" t="str">
        <f t="shared" si="21"/>
        <v/>
      </c>
      <c r="BF22" s="37"/>
      <c r="BG22" s="33"/>
      <c r="BH22" s="34"/>
      <c r="BI22" s="35" t="str">
        <f t="shared" si="22"/>
        <v/>
      </c>
      <c r="BJ22" s="36" t="str">
        <f t="shared" si="23"/>
        <v/>
      </c>
      <c r="BK22" s="37"/>
      <c r="BL22" s="33"/>
      <c r="BM22" s="34"/>
      <c r="BN22" s="35" t="str">
        <f t="shared" si="24"/>
        <v/>
      </c>
      <c r="BO22" s="36" t="str">
        <f t="shared" si="25"/>
        <v/>
      </c>
      <c r="BP22" s="37"/>
      <c r="BQ22" s="33"/>
      <c r="BR22" s="34"/>
      <c r="BS22" s="35" t="str">
        <f t="shared" si="26"/>
        <v/>
      </c>
      <c r="BT22" s="36" t="str">
        <f t="shared" si="27"/>
        <v/>
      </c>
      <c r="BU22" s="37"/>
      <c r="BV22" s="33"/>
      <c r="BW22" s="34"/>
      <c r="BX22" s="35" t="str">
        <f t="shared" si="28"/>
        <v/>
      </c>
      <c r="BY22" s="36" t="str">
        <f t="shared" si="29"/>
        <v/>
      </c>
      <c r="BZ22" s="37"/>
      <c r="CA22" s="33"/>
      <c r="CB22" s="34"/>
      <c r="CC22" s="35" t="str">
        <f t="shared" si="30"/>
        <v/>
      </c>
      <c r="CD22" s="36" t="str">
        <f t="shared" si="31"/>
        <v/>
      </c>
      <c r="CE22" s="37"/>
      <c r="CF22" s="33"/>
      <c r="CG22" s="34"/>
      <c r="CH22" s="35" t="str">
        <f t="shared" si="32"/>
        <v/>
      </c>
      <c r="CI22" s="36" t="str">
        <f t="shared" si="33"/>
        <v/>
      </c>
      <c r="CJ22" s="37"/>
      <c r="CK22" s="33"/>
      <c r="CL22" s="34"/>
      <c r="CM22" s="35" t="str">
        <f t="shared" si="34"/>
        <v/>
      </c>
      <c r="CN22" s="36" t="str">
        <f t="shared" si="35"/>
        <v/>
      </c>
      <c r="CO22" s="37"/>
      <c r="CP22" s="33"/>
      <c r="CQ22" s="34"/>
      <c r="CR22" s="35" t="str">
        <f t="shared" si="36"/>
        <v/>
      </c>
      <c r="CS22" s="36" t="str">
        <f t="shared" si="37"/>
        <v/>
      </c>
      <c r="CT22" s="37"/>
      <c r="CU22" s="33"/>
      <c r="CV22" s="34"/>
      <c r="CW22" s="35" t="str">
        <f t="shared" si="38"/>
        <v/>
      </c>
      <c r="CX22" s="36" t="str">
        <f t="shared" si="39"/>
        <v/>
      </c>
      <c r="CY22" s="37"/>
      <c r="CZ22" s="33"/>
      <c r="DA22" s="34"/>
      <c r="DB22" s="35" t="str">
        <f t="shared" si="40"/>
        <v/>
      </c>
      <c r="DC22" s="36" t="str">
        <f t="shared" si="41"/>
        <v/>
      </c>
      <c r="DD22" s="37"/>
      <c r="DE22" s="33"/>
      <c r="DF22" s="34"/>
      <c r="DG22" s="35" t="str">
        <f t="shared" si="42"/>
        <v/>
      </c>
      <c r="DH22" s="36" t="str">
        <f t="shared" si="43"/>
        <v/>
      </c>
      <c r="DI22" s="37"/>
      <c r="DJ22" s="33"/>
      <c r="DK22" s="34"/>
      <c r="DL22" s="35" t="str">
        <f t="shared" si="44"/>
        <v/>
      </c>
      <c r="DM22" s="36" t="str">
        <f t="shared" si="45"/>
        <v/>
      </c>
      <c r="DN22" s="37"/>
      <c r="DO22" s="33"/>
      <c r="DP22" s="34"/>
      <c r="DQ22" s="35" t="str">
        <f t="shared" si="46"/>
        <v/>
      </c>
      <c r="DR22" s="36" t="str">
        <f t="shared" si="47"/>
        <v/>
      </c>
      <c r="DS22" s="37"/>
      <c r="DT22" s="33"/>
      <c r="DU22" s="34"/>
      <c r="DV22" s="35" t="str">
        <f t="shared" si="48"/>
        <v/>
      </c>
      <c r="DW22" s="36" t="str">
        <f t="shared" si="49"/>
        <v/>
      </c>
      <c r="DX22" s="37"/>
      <c r="DY22" s="33"/>
      <c r="DZ22" s="34"/>
      <c r="EA22" s="35" t="str">
        <f t="shared" si="50"/>
        <v/>
      </c>
      <c r="EB22" s="36" t="str">
        <f t="shared" si="51"/>
        <v/>
      </c>
      <c r="EC22" s="37"/>
      <c r="ED22" s="33"/>
      <c r="EE22" s="34"/>
      <c r="EF22" s="35" t="str">
        <f t="shared" si="52"/>
        <v/>
      </c>
      <c r="EG22" s="36" t="str">
        <f t="shared" si="53"/>
        <v/>
      </c>
      <c r="EH22" s="37"/>
      <c r="EI22" s="33"/>
      <c r="EJ22" s="34"/>
      <c r="EK22" s="35" t="str">
        <f t="shared" si="54"/>
        <v/>
      </c>
      <c r="EL22" s="36" t="str">
        <f t="shared" si="55"/>
        <v/>
      </c>
      <c r="EM22" s="37"/>
      <c r="EN22" s="33"/>
      <c r="EO22" s="34"/>
      <c r="EP22" s="35" t="str">
        <f t="shared" si="56"/>
        <v/>
      </c>
      <c r="EQ22" s="36" t="str">
        <f t="shared" si="57"/>
        <v/>
      </c>
      <c r="ER22" s="37"/>
      <c r="ES22" s="33"/>
      <c r="ET22" s="34"/>
      <c r="EU22" s="35" t="str">
        <f t="shared" si="58"/>
        <v/>
      </c>
      <c r="EV22" s="36" t="str">
        <f t="shared" si="59"/>
        <v/>
      </c>
      <c r="EW22" s="37"/>
    </row>
    <row r="23" spans="1:153" ht="19.5" customHeight="1">
      <c r="A23" s="32">
        <f>IF(DAY(DATE(対象年度,11,20))&lt;&gt;20,"",20)</f>
        <v>20</v>
      </c>
      <c r="B23" s="32" t="str">
        <f>IF(DAY(DATE(対象年度,11,20))&lt;&gt;20,"",CHOOSE(WEEKDAY(DATE(対象年度,11,20),2),"月","火","水","木","金","土","日"))</f>
        <v>金</v>
      </c>
      <c r="C23" s="32" t="str">
        <f>IF(DAY(DATE(対象年度,11,20))&lt;&gt;20,"",IF(ISNUMBER(MATCH(DATE(対象年度,11,20),祝日リスト,0)),"祝",""))</f>
        <v/>
      </c>
      <c r="D23" s="33"/>
      <c r="E23" s="34"/>
      <c r="F23" s="35" t="str">
        <f t="shared" si="0"/>
        <v/>
      </c>
      <c r="G23" s="36" t="str">
        <f t="shared" si="1"/>
        <v/>
      </c>
      <c r="H23" s="37"/>
      <c r="I23" s="33"/>
      <c r="J23" s="34"/>
      <c r="K23" s="35" t="str">
        <f t="shared" si="2"/>
        <v/>
      </c>
      <c r="L23" s="36" t="str">
        <f t="shared" si="3"/>
        <v/>
      </c>
      <c r="M23" s="37"/>
      <c r="N23" s="33"/>
      <c r="O23" s="34"/>
      <c r="P23" s="35" t="str">
        <f t="shared" si="4"/>
        <v/>
      </c>
      <c r="Q23" s="36" t="str">
        <f t="shared" si="5"/>
        <v/>
      </c>
      <c r="R23" s="37"/>
      <c r="S23" s="33"/>
      <c r="T23" s="34"/>
      <c r="U23" s="35" t="str">
        <f t="shared" si="6"/>
        <v/>
      </c>
      <c r="V23" s="36" t="str">
        <f t="shared" si="7"/>
        <v/>
      </c>
      <c r="W23" s="37"/>
      <c r="X23" s="33"/>
      <c r="Y23" s="34"/>
      <c r="Z23" s="35" t="str">
        <f t="shared" si="8"/>
        <v/>
      </c>
      <c r="AA23" s="36" t="str">
        <f t="shared" si="9"/>
        <v/>
      </c>
      <c r="AB23" s="37"/>
      <c r="AC23" s="33"/>
      <c r="AD23" s="34"/>
      <c r="AE23" s="35" t="str">
        <f t="shared" si="10"/>
        <v/>
      </c>
      <c r="AF23" s="36" t="str">
        <f t="shared" si="11"/>
        <v/>
      </c>
      <c r="AG23" s="37"/>
      <c r="AH23" s="33"/>
      <c r="AI23" s="34"/>
      <c r="AJ23" s="35" t="str">
        <f t="shared" si="12"/>
        <v/>
      </c>
      <c r="AK23" s="36" t="str">
        <f t="shared" si="13"/>
        <v/>
      </c>
      <c r="AL23" s="37"/>
      <c r="AM23" s="33"/>
      <c r="AN23" s="34"/>
      <c r="AO23" s="35" t="str">
        <f t="shared" si="14"/>
        <v/>
      </c>
      <c r="AP23" s="36" t="str">
        <f t="shared" si="15"/>
        <v/>
      </c>
      <c r="AQ23" s="37"/>
      <c r="AR23" s="33"/>
      <c r="AS23" s="34"/>
      <c r="AT23" s="35" t="str">
        <f t="shared" si="16"/>
        <v/>
      </c>
      <c r="AU23" s="36" t="str">
        <f t="shared" si="17"/>
        <v/>
      </c>
      <c r="AV23" s="37"/>
      <c r="AW23" s="33"/>
      <c r="AX23" s="34"/>
      <c r="AY23" s="35" t="str">
        <f t="shared" si="18"/>
        <v/>
      </c>
      <c r="AZ23" s="36" t="str">
        <f t="shared" si="19"/>
        <v/>
      </c>
      <c r="BA23" s="37"/>
      <c r="BB23" s="33"/>
      <c r="BC23" s="34"/>
      <c r="BD23" s="35" t="str">
        <f t="shared" si="20"/>
        <v/>
      </c>
      <c r="BE23" s="36" t="str">
        <f t="shared" si="21"/>
        <v/>
      </c>
      <c r="BF23" s="37"/>
      <c r="BG23" s="33"/>
      <c r="BH23" s="34"/>
      <c r="BI23" s="35" t="str">
        <f t="shared" si="22"/>
        <v/>
      </c>
      <c r="BJ23" s="36" t="str">
        <f t="shared" si="23"/>
        <v/>
      </c>
      <c r="BK23" s="37"/>
      <c r="BL23" s="33"/>
      <c r="BM23" s="34"/>
      <c r="BN23" s="35" t="str">
        <f t="shared" si="24"/>
        <v/>
      </c>
      <c r="BO23" s="36" t="str">
        <f t="shared" si="25"/>
        <v/>
      </c>
      <c r="BP23" s="37"/>
      <c r="BQ23" s="33"/>
      <c r="BR23" s="34"/>
      <c r="BS23" s="35" t="str">
        <f t="shared" si="26"/>
        <v/>
      </c>
      <c r="BT23" s="36" t="str">
        <f t="shared" si="27"/>
        <v/>
      </c>
      <c r="BU23" s="37"/>
      <c r="BV23" s="33"/>
      <c r="BW23" s="34"/>
      <c r="BX23" s="35" t="str">
        <f t="shared" si="28"/>
        <v/>
      </c>
      <c r="BY23" s="36" t="str">
        <f t="shared" si="29"/>
        <v/>
      </c>
      <c r="BZ23" s="37"/>
      <c r="CA23" s="33"/>
      <c r="CB23" s="34"/>
      <c r="CC23" s="35" t="str">
        <f t="shared" si="30"/>
        <v/>
      </c>
      <c r="CD23" s="36" t="str">
        <f t="shared" si="31"/>
        <v/>
      </c>
      <c r="CE23" s="37"/>
      <c r="CF23" s="33"/>
      <c r="CG23" s="34"/>
      <c r="CH23" s="35" t="str">
        <f t="shared" si="32"/>
        <v/>
      </c>
      <c r="CI23" s="36" t="str">
        <f t="shared" si="33"/>
        <v/>
      </c>
      <c r="CJ23" s="37"/>
      <c r="CK23" s="33"/>
      <c r="CL23" s="34"/>
      <c r="CM23" s="35" t="str">
        <f t="shared" si="34"/>
        <v/>
      </c>
      <c r="CN23" s="36" t="str">
        <f t="shared" si="35"/>
        <v/>
      </c>
      <c r="CO23" s="37"/>
      <c r="CP23" s="33"/>
      <c r="CQ23" s="34"/>
      <c r="CR23" s="35" t="str">
        <f t="shared" si="36"/>
        <v/>
      </c>
      <c r="CS23" s="36" t="str">
        <f t="shared" si="37"/>
        <v/>
      </c>
      <c r="CT23" s="37"/>
      <c r="CU23" s="33"/>
      <c r="CV23" s="34"/>
      <c r="CW23" s="35" t="str">
        <f t="shared" si="38"/>
        <v/>
      </c>
      <c r="CX23" s="36" t="str">
        <f t="shared" si="39"/>
        <v/>
      </c>
      <c r="CY23" s="37"/>
      <c r="CZ23" s="33"/>
      <c r="DA23" s="34"/>
      <c r="DB23" s="35" t="str">
        <f t="shared" si="40"/>
        <v/>
      </c>
      <c r="DC23" s="36" t="str">
        <f t="shared" si="41"/>
        <v/>
      </c>
      <c r="DD23" s="37"/>
      <c r="DE23" s="33"/>
      <c r="DF23" s="34"/>
      <c r="DG23" s="35" t="str">
        <f t="shared" si="42"/>
        <v/>
      </c>
      <c r="DH23" s="36" t="str">
        <f t="shared" si="43"/>
        <v/>
      </c>
      <c r="DI23" s="37"/>
      <c r="DJ23" s="33"/>
      <c r="DK23" s="34"/>
      <c r="DL23" s="35" t="str">
        <f t="shared" si="44"/>
        <v/>
      </c>
      <c r="DM23" s="36" t="str">
        <f t="shared" si="45"/>
        <v/>
      </c>
      <c r="DN23" s="37"/>
      <c r="DO23" s="33"/>
      <c r="DP23" s="34"/>
      <c r="DQ23" s="35" t="str">
        <f t="shared" si="46"/>
        <v/>
      </c>
      <c r="DR23" s="36" t="str">
        <f t="shared" si="47"/>
        <v/>
      </c>
      <c r="DS23" s="37"/>
      <c r="DT23" s="33"/>
      <c r="DU23" s="34"/>
      <c r="DV23" s="35" t="str">
        <f t="shared" si="48"/>
        <v/>
      </c>
      <c r="DW23" s="36" t="str">
        <f t="shared" si="49"/>
        <v/>
      </c>
      <c r="DX23" s="37"/>
      <c r="DY23" s="33"/>
      <c r="DZ23" s="34"/>
      <c r="EA23" s="35" t="str">
        <f t="shared" si="50"/>
        <v/>
      </c>
      <c r="EB23" s="36" t="str">
        <f t="shared" si="51"/>
        <v/>
      </c>
      <c r="EC23" s="37"/>
      <c r="ED23" s="33"/>
      <c r="EE23" s="34"/>
      <c r="EF23" s="35" t="str">
        <f t="shared" si="52"/>
        <v/>
      </c>
      <c r="EG23" s="36" t="str">
        <f t="shared" si="53"/>
        <v/>
      </c>
      <c r="EH23" s="37"/>
      <c r="EI23" s="33"/>
      <c r="EJ23" s="34"/>
      <c r="EK23" s="35" t="str">
        <f t="shared" si="54"/>
        <v/>
      </c>
      <c r="EL23" s="36" t="str">
        <f t="shared" si="55"/>
        <v/>
      </c>
      <c r="EM23" s="37"/>
      <c r="EN23" s="33"/>
      <c r="EO23" s="34"/>
      <c r="EP23" s="35" t="str">
        <f t="shared" si="56"/>
        <v/>
      </c>
      <c r="EQ23" s="36" t="str">
        <f t="shared" si="57"/>
        <v/>
      </c>
      <c r="ER23" s="37"/>
      <c r="ES23" s="33"/>
      <c r="ET23" s="34"/>
      <c r="EU23" s="35" t="str">
        <f t="shared" si="58"/>
        <v/>
      </c>
      <c r="EV23" s="36" t="str">
        <f t="shared" si="59"/>
        <v/>
      </c>
      <c r="EW23" s="37"/>
    </row>
    <row r="24" spans="1:153" ht="19.5" customHeight="1">
      <c r="A24" s="32">
        <f>IF(DAY(DATE(対象年度,11,21))&lt;&gt;21,"",21)</f>
        <v>21</v>
      </c>
      <c r="B24" s="32" t="str">
        <f>IF(DAY(DATE(対象年度,11,21))&lt;&gt;21,"",CHOOSE(WEEKDAY(DATE(対象年度,11,21),2),"月","火","水","木","金","土","日"))</f>
        <v>土</v>
      </c>
      <c r="C24" s="32" t="str">
        <f>IF(DAY(DATE(対象年度,11,21))&lt;&gt;21,"",IF(ISNUMBER(MATCH(DATE(対象年度,11,21),祝日リスト,0)),"祝",""))</f>
        <v/>
      </c>
      <c r="D24" s="33"/>
      <c r="E24" s="34"/>
      <c r="F24" s="35" t="str">
        <f t="shared" si="0"/>
        <v/>
      </c>
      <c r="G24" s="36" t="str">
        <f t="shared" si="1"/>
        <v/>
      </c>
      <c r="H24" s="37"/>
      <c r="I24" s="33"/>
      <c r="J24" s="34"/>
      <c r="K24" s="35" t="str">
        <f t="shared" si="2"/>
        <v/>
      </c>
      <c r="L24" s="36" t="str">
        <f t="shared" si="3"/>
        <v/>
      </c>
      <c r="M24" s="37"/>
      <c r="N24" s="33"/>
      <c r="O24" s="34"/>
      <c r="P24" s="35" t="str">
        <f t="shared" si="4"/>
        <v/>
      </c>
      <c r="Q24" s="36" t="str">
        <f t="shared" si="5"/>
        <v/>
      </c>
      <c r="R24" s="37"/>
      <c r="S24" s="33"/>
      <c r="T24" s="34"/>
      <c r="U24" s="35" t="str">
        <f t="shared" si="6"/>
        <v/>
      </c>
      <c r="V24" s="36" t="str">
        <f t="shared" si="7"/>
        <v/>
      </c>
      <c r="W24" s="37"/>
      <c r="X24" s="33"/>
      <c r="Y24" s="34"/>
      <c r="Z24" s="35" t="str">
        <f t="shared" si="8"/>
        <v/>
      </c>
      <c r="AA24" s="36" t="str">
        <f t="shared" si="9"/>
        <v/>
      </c>
      <c r="AB24" s="37"/>
      <c r="AC24" s="33"/>
      <c r="AD24" s="34"/>
      <c r="AE24" s="35" t="str">
        <f t="shared" si="10"/>
        <v/>
      </c>
      <c r="AF24" s="36" t="str">
        <f t="shared" si="11"/>
        <v/>
      </c>
      <c r="AG24" s="37"/>
      <c r="AH24" s="33"/>
      <c r="AI24" s="34"/>
      <c r="AJ24" s="35" t="str">
        <f t="shared" si="12"/>
        <v/>
      </c>
      <c r="AK24" s="36" t="str">
        <f t="shared" si="13"/>
        <v/>
      </c>
      <c r="AL24" s="37"/>
      <c r="AM24" s="33"/>
      <c r="AN24" s="34"/>
      <c r="AO24" s="35" t="str">
        <f t="shared" si="14"/>
        <v/>
      </c>
      <c r="AP24" s="36" t="str">
        <f t="shared" si="15"/>
        <v/>
      </c>
      <c r="AQ24" s="37"/>
      <c r="AR24" s="33"/>
      <c r="AS24" s="34"/>
      <c r="AT24" s="35" t="str">
        <f t="shared" si="16"/>
        <v/>
      </c>
      <c r="AU24" s="36" t="str">
        <f t="shared" si="17"/>
        <v/>
      </c>
      <c r="AV24" s="37"/>
      <c r="AW24" s="33"/>
      <c r="AX24" s="34"/>
      <c r="AY24" s="35" t="str">
        <f t="shared" si="18"/>
        <v/>
      </c>
      <c r="AZ24" s="36" t="str">
        <f t="shared" si="19"/>
        <v/>
      </c>
      <c r="BA24" s="37"/>
      <c r="BB24" s="33"/>
      <c r="BC24" s="34"/>
      <c r="BD24" s="35" t="str">
        <f t="shared" si="20"/>
        <v/>
      </c>
      <c r="BE24" s="36" t="str">
        <f t="shared" si="21"/>
        <v/>
      </c>
      <c r="BF24" s="37"/>
      <c r="BG24" s="33"/>
      <c r="BH24" s="34"/>
      <c r="BI24" s="35" t="str">
        <f t="shared" si="22"/>
        <v/>
      </c>
      <c r="BJ24" s="36" t="str">
        <f t="shared" si="23"/>
        <v/>
      </c>
      <c r="BK24" s="37"/>
      <c r="BL24" s="33"/>
      <c r="BM24" s="34"/>
      <c r="BN24" s="35" t="str">
        <f t="shared" si="24"/>
        <v/>
      </c>
      <c r="BO24" s="36" t="str">
        <f t="shared" si="25"/>
        <v/>
      </c>
      <c r="BP24" s="37"/>
      <c r="BQ24" s="33"/>
      <c r="BR24" s="34"/>
      <c r="BS24" s="35" t="str">
        <f t="shared" si="26"/>
        <v/>
      </c>
      <c r="BT24" s="36" t="str">
        <f t="shared" si="27"/>
        <v/>
      </c>
      <c r="BU24" s="37"/>
      <c r="BV24" s="33"/>
      <c r="BW24" s="34"/>
      <c r="BX24" s="35" t="str">
        <f t="shared" si="28"/>
        <v/>
      </c>
      <c r="BY24" s="36" t="str">
        <f t="shared" si="29"/>
        <v/>
      </c>
      <c r="BZ24" s="37"/>
      <c r="CA24" s="33"/>
      <c r="CB24" s="34"/>
      <c r="CC24" s="35" t="str">
        <f t="shared" si="30"/>
        <v/>
      </c>
      <c r="CD24" s="36" t="str">
        <f t="shared" si="31"/>
        <v/>
      </c>
      <c r="CE24" s="37"/>
      <c r="CF24" s="33"/>
      <c r="CG24" s="34"/>
      <c r="CH24" s="35" t="str">
        <f t="shared" si="32"/>
        <v/>
      </c>
      <c r="CI24" s="36" t="str">
        <f t="shared" si="33"/>
        <v/>
      </c>
      <c r="CJ24" s="37"/>
      <c r="CK24" s="33"/>
      <c r="CL24" s="34"/>
      <c r="CM24" s="35" t="str">
        <f t="shared" si="34"/>
        <v/>
      </c>
      <c r="CN24" s="36" t="str">
        <f t="shared" si="35"/>
        <v/>
      </c>
      <c r="CO24" s="37"/>
      <c r="CP24" s="33"/>
      <c r="CQ24" s="34"/>
      <c r="CR24" s="35" t="str">
        <f t="shared" si="36"/>
        <v/>
      </c>
      <c r="CS24" s="36" t="str">
        <f t="shared" si="37"/>
        <v/>
      </c>
      <c r="CT24" s="37"/>
      <c r="CU24" s="33"/>
      <c r="CV24" s="34"/>
      <c r="CW24" s="35" t="str">
        <f t="shared" si="38"/>
        <v/>
      </c>
      <c r="CX24" s="36" t="str">
        <f t="shared" si="39"/>
        <v/>
      </c>
      <c r="CY24" s="37"/>
      <c r="CZ24" s="33"/>
      <c r="DA24" s="34"/>
      <c r="DB24" s="35" t="str">
        <f t="shared" si="40"/>
        <v/>
      </c>
      <c r="DC24" s="36" t="str">
        <f t="shared" si="41"/>
        <v/>
      </c>
      <c r="DD24" s="37"/>
      <c r="DE24" s="33"/>
      <c r="DF24" s="34"/>
      <c r="DG24" s="35" t="str">
        <f t="shared" si="42"/>
        <v/>
      </c>
      <c r="DH24" s="36" t="str">
        <f t="shared" si="43"/>
        <v/>
      </c>
      <c r="DI24" s="37"/>
      <c r="DJ24" s="33"/>
      <c r="DK24" s="34"/>
      <c r="DL24" s="35" t="str">
        <f t="shared" si="44"/>
        <v/>
      </c>
      <c r="DM24" s="36" t="str">
        <f t="shared" si="45"/>
        <v/>
      </c>
      <c r="DN24" s="37"/>
      <c r="DO24" s="33"/>
      <c r="DP24" s="34"/>
      <c r="DQ24" s="35" t="str">
        <f t="shared" si="46"/>
        <v/>
      </c>
      <c r="DR24" s="36" t="str">
        <f t="shared" si="47"/>
        <v/>
      </c>
      <c r="DS24" s="37"/>
      <c r="DT24" s="33"/>
      <c r="DU24" s="34"/>
      <c r="DV24" s="35" t="str">
        <f t="shared" si="48"/>
        <v/>
      </c>
      <c r="DW24" s="36" t="str">
        <f t="shared" si="49"/>
        <v/>
      </c>
      <c r="DX24" s="37"/>
      <c r="DY24" s="33"/>
      <c r="DZ24" s="34"/>
      <c r="EA24" s="35" t="str">
        <f t="shared" si="50"/>
        <v/>
      </c>
      <c r="EB24" s="36" t="str">
        <f t="shared" si="51"/>
        <v/>
      </c>
      <c r="EC24" s="37"/>
      <c r="ED24" s="33"/>
      <c r="EE24" s="34"/>
      <c r="EF24" s="35" t="str">
        <f t="shared" si="52"/>
        <v/>
      </c>
      <c r="EG24" s="36" t="str">
        <f t="shared" si="53"/>
        <v/>
      </c>
      <c r="EH24" s="37"/>
      <c r="EI24" s="33"/>
      <c r="EJ24" s="34"/>
      <c r="EK24" s="35" t="str">
        <f t="shared" si="54"/>
        <v/>
      </c>
      <c r="EL24" s="36" t="str">
        <f t="shared" si="55"/>
        <v/>
      </c>
      <c r="EM24" s="37"/>
      <c r="EN24" s="33"/>
      <c r="EO24" s="34"/>
      <c r="EP24" s="35" t="str">
        <f t="shared" si="56"/>
        <v/>
      </c>
      <c r="EQ24" s="36" t="str">
        <f t="shared" si="57"/>
        <v/>
      </c>
      <c r="ER24" s="37"/>
      <c r="ES24" s="33"/>
      <c r="ET24" s="34"/>
      <c r="EU24" s="35" t="str">
        <f t="shared" si="58"/>
        <v/>
      </c>
      <c r="EV24" s="36" t="str">
        <f t="shared" si="59"/>
        <v/>
      </c>
      <c r="EW24" s="37"/>
    </row>
    <row r="25" spans="1:153" ht="19.5" customHeight="1">
      <c r="A25" s="32">
        <f>IF(DAY(DATE(対象年度,11,22))&lt;&gt;22,"",22)</f>
        <v>22</v>
      </c>
      <c r="B25" s="32" t="str">
        <f>IF(DAY(DATE(対象年度,11,22))&lt;&gt;22,"",CHOOSE(WEEKDAY(DATE(対象年度,11,22),2),"月","火","水","木","金","土","日"))</f>
        <v>日</v>
      </c>
      <c r="C25" s="32" t="str">
        <f>IF(DAY(DATE(対象年度,11,22))&lt;&gt;22,"",IF(ISNUMBER(MATCH(DATE(対象年度,11,22),祝日リスト,0)),"祝",""))</f>
        <v/>
      </c>
      <c r="D25" s="33"/>
      <c r="E25" s="34"/>
      <c r="F25" s="35" t="str">
        <f t="shared" si="0"/>
        <v/>
      </c>
      <c r="G25" s="36" t="str">
        <f t="shared" si="1"/>
        <v/>
      </c>
      <c r="H25" s="37"/>
      <c r="I25" s="33"/>
      <c r="J25" s="34"/>
      <c r="K25" s="35" t="str">
        <f t="shared" si="2"/>
        <v/>
      </c>
      <c r="L25" s="36" t="str">
        <f t="shared" si="3"/>
        <v/>
      </c>
      <c r="M25" s="37"/>
      <c r="N25" s="33"/>
      <c r="O25" s="34"/>
      <c r="P25" s="35" t="str">
        <f t="shared" si="4"/>
        <v/>
      </c>
      <c r="Q25" s="36" t="str">
        <f t="shared" si="5"/>
        <v/>
      </c>
      <c r="R25" s="37"/>
      <c r="S25" s="33"/>
      <c r="T25" s="34"/>
      <c r="U25" s="35" t="str">
        <f t="shared" si="6"/>
        <v/>
      </c>
      <c r="V25" s="36" t="str">
        <f t="shared" si="7"/>
        <v/>
      </c>
      <c r="W25" s="37"/>
      <c r="X25" s="33"/>
      <c r="Y25" s="34"/>
      <c r="Z25" s="35" t="str">
        <f t="shared" si="8"/>
        <v/>
      </c>
      <c r="AA25" s="36" t="str">
        <f t="shared" si="9"/>
        <v/>
      </c>
      <c r="AB25" s="37"/>
      <c r="AC25" s="33"/>
      <c r="AD25" s="34"/>
      <c r="AE25" s="35" t="str">
        <f t="shared" si="10"/>
        <v/>
      </c>
      <c r="AF25" s="36" t="str">
        <f t="shared" si="11"/>
        <v/>
      </c>
      <c r="AG25" s="37"/>
      <c r="AH25" s="33"/>
      <c r="AI25" s="34"/>
      <c r="AJ25" s="35" t="str">
        <f t="shared" si="12"/>
        <v/>
      </c>
      <c r="AK25" s="36" t="str">
        <f t="shared" si="13"/>
        <v/>
      </c>
      <c r="AL25" s="37"/>
      <c r="AM25" s="33"/>
      <c r="AN25" s="34"/>
      <c r="AO25" s="35" t="str">
        <f t="shared" si="14"/>
        <v/>
      </c>
      <c r="AP25" s="36" t="str">
        <f t="shared" si="15"/>
        <v/>
      </c>
      <c r="AQ25" s="37"/>
      <c r="AR25" s="33"/>
      <c r="AS25" s="34"/>
      <c r="AT25" s="35" t="str">
        <f t="shared" si="16"/>
        <v/>
      </c>
      <c r="AU25" s="36" t="str">
        <f t="shared" si="17"/>
        <v/>
      </c>
      <c r="AV25" s="37"/>
      <c r="AW25" s="33"/>
      <c r="AX25" s="34"/>
      <c r="AY25" s="35" t="str">
        <f t="shared" si="18"/>
        <v/>
      </c>
      <c r="AZ25" s="36" t="str">
        <f t="shared" si="19"/>
        <v/>
      </c>
      <c r="BA25" s="37"/>
      <c r="BB25" s="33"/>
      <c r="BC25" s="34"/>
      <c r="BD25" s="35" t="str">
        <f t="shared" si="20"/>
        <v/>
      </c>
      <c r="BE25" s="36" t="str">
        <f t="shared" si="21"/>
        <v/>
      </c>
      <c r="BF25" s="37"/>
      <c r="BG25" s="33"/>
      <c r="BH25" s="34"/>
      <c r="BI25" s="35" t="str">
        <f t="shared" si="22"/>
        <v/>
      </c>
      <c r="BJ25" s="36" t="str">
        <f t="shared" si="23"/>
        <v/>
      </c>
      <c r="BK25" s="37"/>
      <c r="BL25" s="33"/>
      <c r="BM25" s="34"/>
      <c r="BN25" s="35" t="str">
        <f t="shared" si="24"/>
        <v/>
      </c>
      <c r="BO25" s="36" t="str">
        <f t="shared" si="25"/>
        <v/>
      </c>
      <c r="BP25" s="37"/>
      <c r="BQ25" s="33"/>
      <c r="BR25" s="34"/>
      <c r="BS25" s="35" t="str">
        <f t="shared" si="26"/>
        <v/>
      </c>
      <c r="BT25" s="36" t="str">
        <f t="shared" si="27"/>
        <v/>
      </c>
      <c r="BU25" s="37"/>
      <c r="BV25" s="33"/>
      <c r="BW25" s="34"/>
      <c r="BX25" s="35" t="str">
        <f t="shared" si="28"/>
        <v/>
      </c>
      <c r="BY25" s="36" t="str">
        <f t="shared" si="29"/>
        <v/>
      </c>
      <c r="BZ25" s="37"/>
      <c r="CA25" s="33"/>
      <c r="CB25" s="34"/>
      <c r="CC25" s="35" t="str">
        <f t="shared" si="30"/>
        <v/>
      </c>
      <c r="CD25" s="36" t="str">
        <f t="shared" si="31"/>
        <v/>
      </c>
      <c r="CE25" s="37"/>
      <c r="CF25" s="33"/>
      <c r="CG25" s="34"/>
      <c r="CH25" s="35" t="str">
        <f t="shared" si="32"/>
        <v/>
      </c>
      <c r="CI25" s="36" t="str">
        <f t="shared" si="33"/>
        <v/>
      </c>
      <c r="CJ25" s="37"/>
      <c r="CK25" s="33"/>
      <c r="CL25" s="34"/>
      <c r="CM25" s="35" t="str">
        <f t="shared" si="34"/>
        <v/>
      </c>
      <c r="CN25" s="36" t="str">
        <f t="shared" si="35"/>
        <v/>
      </c>
      <c r="CO25" s="37"/>
      <c r="CP25" s="33"/>
      <c r="CQ25" s="34"/>
      <c r="CR25" s="35" t="str">
        <f t="shared" si="36"/>
        <v/>
      </c>
      <c r="CS25" s="36" t="str">
        <f t="shared" si="37"/>
        <v/>
      </c>
      <c r="CT25" s="37"/>
      <c r="CU25" s="33"/>
      <c r="CV25" s="34"/>
      <c r="CW25" s="35" t="str">
        <f t="shared" si="38"/>
        <v/>
      </c>
      <c r="CX25" s="36" t="str">
        <f t="shared" si="39"/>
        <v/>
      </c>
      <c r="CY25" s="37"/>
      <c r="CZ25" s="33"/>
      <c r="DA25" s="34"/>
      <c r="DB25" s="35" t="str">
        <f t="shared" si="40"/>
        <v/>
      </c>
      <c r="DC25" s="36" t="str">
        <f t="shared" si="41"/>
        <v/>
      </c>
      <c r="DD25" s="37"/>
      <c r="DE25" s="33"/>
      <c r="DF25" s="34"/>
      <c r="DG25" s="35" t="str">
        <f t="shared" si="42"/>
        <v/>
      </c>
      <c r="DH25" s="36" t="str">
        <f t="shared" si="43"/>
        <v/>
      </c>
      <c r="DI25" s="37"/>
      <c r="DJ25" s="33"/>
      <c r="DK25" s="34"/>
      <c r="DL25" s="35" t="str">
        <f t="shared" si="44"/>
        <v/>
      </c>
      <c r="DM25" s="36" t="str">
        <f t="shared" si="45"/>
        <v/>
      </c>
      <c r="DN25" s="37"/>
      <c r="DO25" s="33"/>
      <c r="DP25" s="34"/>
      <c r="DQ25" s="35" t="str">
        <f t="shared" si="46"/>
        <v/>
      </c>
      <c r="DR25" s="36" t="str">
        <f t="shared" si="47"/>
        <v/>
      </c>
      <c r="DS25" s="37"/>
      <c r="DT25" s="33"/>
      <c r="DU25" s="34"/>
      <c r="DV25" s="35" t="str">
        <f t="shared" si="48"/>
        <v/>
      </c>
      <c r="DW25" s="36" t="str">
        <f t="shared" si="49"/>
        <v/>
      </c>
      <c r="DX25" s="37"/>
      <c r="DY25" s="33"/>
      <c r="DZ25" s="34"/>
      <c r="EA25" s="35" t="str">
        <f t="shared" si="50"/>
        <v/>
      </c>
      <c r="EB25" s="36" t="str">
        <f t="shared" si="51"/>
        <v/>
      </c>
      <c r="EC25" s="37"/>
      <c r="ED25" s="33"/>
      <c r="EE25" s="34"/>
      <c r="EF25" s="35" t="str">
        <f t="shared" si="52"/>
        <v/>
      </c>
      <c r="EG25" s="36" t="str">
        <f t="shared" si="53"/>
        <v/>
      </c>
      <c r="EH25" s="37"/>
      <c r="EI25" s="33"/>
      <c r="EJ25" s="34"/>
      <c r="EK25" s="35" t="str">
        <f t="shared" si="54"/>
        <v/>
      </c>
      <c r="EL25" s="36" t="str">
        <f t="shared" si="55"/>
        <v/>
      </c>
      <c r="EM25" s="37"/>
      <c r="EN25" s="33"/>
      <c r="EO25" s="34"/>
      <c r="EP25" s="35" t="str">
        <f t="shared" si="56"/>
        <v/>
      </c>
      <c r="EQ25" s="36" t="str">
        <f t="shared" si="57"/>
        <v/>
      </c>
      <c r="ER25" s="37"/>
      <c r="ES25" s="33"/>
      <c r="ET25" s="34"/>
      <c r="EU25" s="35" t="str">
        <f t="shared" si="58"/>
        <v/>
      </c>
      <c r="EV25" s="36" t="str">
        <f t="shared" si="59"/>
        <v/>
      </c>
      <c r="EW25" s="37"/>
    </row>
    <row r="26" spans="1:153" ht="19.5" customHeight="1">
      <c r="A26" s="32">
        <f>IF(DAY(DATE(対象年度,11,23))&lt;&gt;23,"",23)</f>
        <v>23</v>
      </c>
      <c r="B26" s="32" t="str">
        <f>IF(DAY(DATE(対象年度,11,23))&lt;&gt;23,"",CHOOSE(WEEKDAY(DATE(対象年度,11,23),2),"月","火","水","木","金","土","日"))</f>
        <v>月</v>
      </c>
      <c r="C26" s="32" t="str">
        <f>IF(DAY(DATE(対象年度,11,23))&lt;&gt;23,"",IF(ISNUMBER(MATCH(DATE(対象年度,11,23),祝日リスト,0)),"祝",""))</f>
        <v>祝</v>
      </c>
      <c r="D26" s="33"/>
      <c r="E26" s="34"/>
      <c r="F26" s="35" t="str">
        <f t="shared" si="0"/>
        <v/>
      </c>
      <c r="G26" s="36" t="str">
        <f t="shared" si="1"/>
        <v/>
      </c>
      <c r="H26" s="37"/>
      <c r="I26" s="33"/>
      <c r="J26" s="34"/>
      <c r="K26" s="35" t="str">
        <f t="shared" si="2"/>
        <v/>
      </c>
      <c r="L26" s="36" t="str">
        <f t="shared" si="3"/>
        <v/>
      </c>
      <c r="M26" s="37"/>
      <c r="N26" s="33"/>
      <c r="O26" s="34"/>
      <c r="P26" s="35" t="str">
        <f t="shared" si="4"/>
        <v/>
      </c>
      <c r="Q26" s="36" t="str">
        <f t="shared" si="5"/>
        <v/>
      </c>
      <c r="R26" s="37"/>
      <c r="S26" s="33"/>
      <c r="T26" s="34"/>
      <c r="U26" s="35" t="str">
        <f t="shared" si="6"/>
        <v/>
      </c>
      <c r="V26" s="36" t="str">
        <f t="shared" si="7"/>
        <v/>
      </c>
      <c r="W26" s="37"/>
      <c r="X26" s="33"/>
      <c r="Y26" s="34"/>
      <c r="Z26" s="35" t="str">
        <f t="shared" si="8"/>
        <v/>
      </c>
      <c r="AA26" s="36" t="str">
        <f t="shared" si="9"/>
        <v/>
      </c>
      <c r="AB26" s="37"/>
      <c r="AC26" s="33"/>
      <c r="AD26" s="34"/>
      <c r="AE26" s="35" t="str">
        <f t="shared" si="10"/>
        <v/>
      </c>
      <c r="AF26" s="36" t="str">
        <f t="shared" si="11"/>
        <v/>
      </c>
      <c r="AG26" s="37"/>
      <c r="AH26" s="33"/>
      <c r="AI26" s="34"/>
      <c r="AJ26" s="35" t="str">
        <f t="shared" si="12"/>
        <v/>
      </c>
      <c r="AK26" s="36" t="str">
        <f t="shared" si="13"/>
        <v/>
      </c>
      <c r="AL26" s="37"/>
      <c r="AM26" s="33"/>
      <c r="AN26" s="34"/>
      <c r="AO26" s="35" t="str">
        <f t="shared" si="14"/>
        <v/>
      </c>
      <c r="AP26" s="36" t="str">
        <f t="shared" si="15"/>
        <v/>
      </c>
      <c r="AQ26" s="37"/>
      <c r="AR26" s="33"/>
      <c r="AS26" s="34"/>
      <c r="AT26" s="35" t="str">
        <f t="shared" si="16"/>
        <v/>
      </c>
      <c r="AU26" s="36" t="str">
        <f t="shared" si="17"/>
        <v/>
      </c>
      <c r="AV26" s="37"/>
      <c r="AW26" s="33"/>
      <c r="AX26" s="34"/>
      <c r="AY26" s="35" t="str">
        <f t="shared" si="18"/>
        <v/>
      </c>
      <c r="AZ26" s="36" t="str">
        <f t="shared" si="19"/>
        <v/>
      </c>
      <c r="BA26" s="37"/>
      <c r="BB26" s="33"/>
      <c r="BC26" s="34"/>
      <c r="BD26" s="35" t="str">
        <f t="shared" si="20"/>
        <v/>
      </c>
      <c r="BE26" s="36" t="str">
        <f t="shared" si="21"/>
        <v/>
      </c>
      <c r="BF26" s="37"/>
      <c r="BG26" s="33"/>
      <c r="BH26" s="34"/>
      <c r="BI26" s="35" t="str">
        <f t="shared" si="22"/>
        <v/>
      </c>
      <c r="BJ26" s="36" t="str">
        <f t="shared" si="23"/>
        <v/>
      </c>
      <c r="BK26" s="37"/>
      <c r="BL26" s="33"/>
      <c r="BM26" s="34"/>
      <c r="BN26" s="35" t="str">
        <f t="shared" si="24"/>
        <v/>
      </c>
      <c r="BO26" s="36" t="str">
        <f t="shared" si="25"/>
        <v/>
      </c>
      <c r="BP26" s="37"/>
      <c r="BQ26" s="33"/>
      <c r="BR26" s="34"/>
      <c r="BS26" s="35" t="str">
        <f t="shared" si="26"/>
        <v/>
      </c>
      <c r="BT26" s="36" t="str">
        <f t="shared" si="27"/>
        <v/>
      </c>
      <c r="BU26" s="37"/>
      <c r="BV26" s="33"/>
      <c r="BW26" s="34"/>
      <c r="BX26" s="35" t="str">
        <f t="shared" si="28"/>
        <v/>
      </c>
      <c r="BY26" s="36" t="str">
        <f t="shared" si="29"/>
        <v/>
      </c>
      <c r="BZ26" s="37"/>
      <c r="CA26" s="33"/>
      <c r="CB26" s="34"/>
      <c r="CC26" s="35" t="str">
        <f t="shared" si="30"/>
        <v/>
      </c>
      <c r="CD26" s="36" t="str">
        <f t="shared" si="31"/>
        <v/>
      </c>
      <c r="CE26" s="37"/>
      <c r="CF26" s="33"/>
      <c r="CG26" s="34"/>
      <c r="CH26" s="35" t="str">
        <f t="shared" si="32"/>
        <v/>
      </c>
      <c r="CI26" s="36" t="str">
        <f t="shared" si="33"/>
        <v/>
      </c>
      <c r="CJ26" s="37"/>
      <c r="CK26" s="33"/>
      <c r="CL26" s="34"/>
      <c r="CM26" s="35" t="str">
        <f t="shared" si="34"/>
        <v/>
      </c>
      <c r="CN26" s="36" t="str">
        <f t="shared" si="35"/>
        <v/>
      </c>
      <c r="CO26" s="37"/>
      <c r="CP26" s="33"/>
      <c r="CQ26" s="34"/>
      <c r="CR26" s="35" t="str">
        <f t="shared" si="36"/>
        <v/>
      </c>
      <c r="CS26" s="36" t="str">
        <f t="shared" si="37"/>
        <v/>
      </c>
      <c r="CT26" s="37"/>
      <c r="CU26" s="33"/>
      <c r="CV26" s="34"/>
      <c r="CW26" s="35" t="str">
        <f t="shared" si="38"/>
        <v/>
      </c>
      <c r="CX26" s="36" t="str">
        <f t="shared" si="39"/>
        <v/>
      </c>
      <c r="CY26" s="37"/>
      <c r="CZ26" s="33"/>
      <c r="DA26" s="34"/>
      <c r="DB26" s="35" t="str">
        <f t="shared" si="40"/>
        <v/>
      </c>
      <c r="DC26" s="36" t="str">
        <f t="shared" si="41"/>
        <v/>
      </c>
      <c r="DD26" s="37"/>
      <c r="DE26" s="33"/>
      <c r="DF26" s="34"/>
      <c r="DG26" s="35" t="str">
        <f t="shared" si="42"/>
        <v/>
      </c>
      <c r="DH26" s="36" t="str">
        <f t="shared" si="43"/>
        <v/>
      </c>
      <c r="DI26" s="37"/>
      <c r="DJ26" s="33"/>
      <c r="DK26" s="34"/>
      <c r="DL26" s="35" t="str">
        <f t="shared" si="44"/>
        <v/>
      </c>
      <c r="DM26" s="36" t="str">
        <f t="shared" si="45"/>
        <v/>
      </c>
      <c r="DN26" s="37"/>
      <c r="DO26" s="33"/>
      <c r="DP26" s="34"/>
      <c r="DQ26" s="35" t="str">
        <f t="shared" si="46"/>
        <v/>
      </c>
      <c r="DR26" s="36" t="str">
        <f t="shared" si="47"/>
        <v/>
      </c>
      <c r="DS26" s="37"/>
      <c r="DT26" s="33"/>
      <c r="DU26" s="34"/>
      <c r="DV26" s="35" t="str">
        <f t="shared" si="48"/>
        <v/>
      </c>
      <c r="DW26" s="36" t="str">
        <f t="shared" si="49"/>
        <v/>
      </c>
      <c r="DX26" s="37"/>
      <c r="DY26" s="33"/>
      <c r="DZ26" s="34"/>
      <c r="EA26" s="35" t="str">
        <f t="shared" si="50"/>
        <v/>
      </c>
      <c r="EB26" s="36" t="str">
        <f t="shared" si="51"/>
        <v/>
      </c>
      <c r="EC26" s="37"/>
      <c r="ED26" s="33"/>
      <c r="EE26" s="34"/>
      <c r="EF26" s="35" t="str">
        <f t="shared" si="52"/>
        <v/>
      </c>
      <c r="EG26" s="36" t="str">
        <f t="shared" si="53"/>
        <v/>
      </c>
      <c r="EH26" s="37"/>
      <c r="EI26" s="33"/>
      <c r="EJ26" s="34"/>
      <c r="EK26" s="35" t="str">
        <f t="shared" si="54"/>
        <v/>
      </c>
      <c r="EL26" s="36" t="str">
        <f t="shared" si="55"/>
        <v/>
      </c>
      <c r="EM26" s="37"/>
      <c r="EN26" s="33"/>
      <c r="EO26" s="34"/>
      <c r="EP26" s="35" t="str">
        <f t="shared" si="56"/>
        <v/>
      </c>
      <c r="EQ26" s="36" t="str">
        <f t="shared" si="57"/>
        <v/>
      </c>
      <c r="ER26" s="37"/>
      <c r="ES26" s="33"/>
      <c r="ET26" s="34"/>
      <c r="EU26" s="35" t="str">
        <f t="shared" si="58"/>
        <v/>
      </c>
      <c r="EV26" s="36" t="str">
        <f t="shared" si="59"/>
        <v/>
      </c>
      <c r="EW26" s="37"/>
    </row>
    <row r="27" spans="1:153" ht="19.5" customHeight="1">
      <c r="A27" s="32">
        <f>IF(DAY(DATE(対象年度,11,24))&lt;&gt;24,"",24)</f>
        <v>24</v>
      </c>
      <c r="B27" s="32" t="str">
        <f>IF(DAY(DATE(対象年度,11,24))&lt;&gt;24,"",CHOOSE(WEEKDAY(DATE(対象年度,11,24),2),"月","火","水","木","金","土","日"))</f>
        <v>火</v>
      </c>
      <c r="C27" s="32" t="str">
        <f>IF(DAY(DATE(対象年度,11,24))&lt;&gt;24,"",IF(ISNUMBER(MATCH(DATE(対象年度,11,24),祝日リスト,0)),"祝",""))</f>
        <v/>
      </c>
      <c r="D27" s="33"/>
      <c r="E27" s="34"/>
      <c r="F27" s="35" t="str">
        <f t="shared" si="0"/>
        <v/>
      </c>
      <c r="G27" s="36" t="str">
        <f t="shared" si="1"/>
        <v/>
      </c>
      <c r="H27" s="37"/>
      <c r="I27" s="33"/>
      <c r="J27" s="34"/>
      <c r="K27" s="35" t="str">
        <f t="shared" si="2"/>
        <v/>
      </c>
      <c r="L27" s="36" t="str">
        <f t="shared" si="3"/>
        <v/>
      </c>
      <c r="M27" s="37"/>
      <c r="N27" s="33"/>
      <c r="O27" s="34"/>
      <c r="P27" s="35" t="str">
        <f t="shared" si="4"/>
        <v/>
      </c>
      <c r="Q27" s="36" t="str">
        <f t="shared" si="5"/>
        <v/>
      </c>
      <c r="R27" s="37"/>
      <c r="S27" s="33"/>
      <c r="T27" s="34"/>
      <c r="U27" s="35" t="str">
        <f t="shared" si="6"/>
        <v/>
      </c>
      <c r="V27" s="36" t="str">
        <f t="shared" si="7"/>
        <v/>
      </c>
      <c r="W27" s="37"/>
      <c r="X27" s="33"/>
      <c r="Y27" s="34"/>
      <c r="Z27" s="35" t="str">
        <f t="shared" si="8"/>
        <v/>
      </c>
      <c r="AA27" s="36" t="str">
        <f t="shared" si="9"/>
        <v/>
      </c>
      <c r="AB27" s="37"/>
      <c r="AC27" s="33"/>
      <c r="AD27" s="34"/>
      <c r="AE27" s="35" t="str">
        <f t="shared" si="10"/>
        <v/>
      </c>
      <c r="AF27" s="36" t="str">
        <f t="shared" si="11"/>
        <v/>
      </c>
      <c r="AG27" s="37"/>
      <c r="AH27" s="33"/>
      <c r="AI27" s="34"/>
      <c r="AJ27" s="35" t="str">
        <f t="shared" si="12"/>
        <v/>
      </c>
      <c r="AK27" s="36" t="str">
        <f t="shared" si="13"/>
        <v/>
      </c>
      <c r="AL27" s="37"/>
      <c r="AM27" s="33"/>
      <c r="AN27" s="34"/>
      <c r="AO27" s="35" t="str">
        <f t="shared" si="14"/>
        <v/>
      </c>
      <c r="AP27" s="36" t="str">
        <f t="shared" si="15"/>
        <v/>
      </c>
      <c r="AQ27" s="37"/>
      <c r="AR27" s="33"/>
      <c r="AS27" s="34"/>
      <c r="AT27" s="35" t="str">
        <f t="shared" si="16"/>
        <v/>
      </c>
      <c r="AU27" s="36" t="str">
        <f t="shared" si="17"/>
        <v/>
      </c>
      <c r="AV27" s="37"/>
      <c r="AW27" s="33"/>
      <c r="AX27" s="34"/>
      <c r="AY27" s="35" t="str">
        <f t="shared" si="18"/>
        <v/>
      </c>
      <c r="AZ27" s="36" t="str">
        <f t="shared" si="19"/>
        <v/>
      </c>
      <c r="BA27" s="37"/>
      <c r="BB27" s="33"/>
      <c r="BC27" s="34"/>
      <c r="BD27" s="35" t="str">
        <f t="shared" si="20"/>
        <v/>
      </c>
      <c r="BE27" s="36" t="str">
        <f t="shared" si="21"/>
        <v/>
      </c>
      <c r="BF27" s="37"/>
      <c r="BG27" s="33"/>
      <c r="BH27" s="34"/>
      <c r="BI27" s="35" t="str">
        <f t="shared" si="22"/>
        <v/>
      </c>
      <c r="BJ27" s="36" t="str">
        <f t="shared" si="23"/>
        <v/>
      </c>
      <c r="BK27" s="37"/>
      <c r="BL27" s="33"/>
      <c r="BM27" s="34"/>
      <c r="BN27" s="35" t="str">
        <f t="shared" si="24"/>
        <v/>
      </c>
      <c r="BO27" s="36" t="str">
        <f t="shared" si="25"/>
        <v/>
      </c>
      <c r="BP27" s="37"/>
      <c r="BQ27" s="33"/>
      <c r="BR27" s="34"/>
      <c r="BS27" s="35" t="str">
        <f t="shared" si="26"/>
        <v/>
      </c>
      <c r="BT27" s="36" t="str">
        <f t="shared" si="27"/>
        <v/>
      </c>
      <c r="BU27" s="37"/>
      <c r="BV27" s="33"/>
      <c r="BW27" s="34"/>
      <c r="BX27" s="35" t="str">
        <f t="shared" si="28"/>
        <v/>
      </c>
      <c r="BY27" s="36" t="str">
        <f t="shared" si="29"/>
        <v/>
      </c>
      <c r="BZ27" s="37"/>
      <c r="CA27" s="33"/>
      <c r="CB27" s="34"/>
      <c r="CC27" s="35" t="str">
        <f t="shared" si="30"/>
        <v/>
      </c>
      <c r="CD27" s="36" t="str">
        <f t="shared" si="31"/>
        <v/>
      </c>
      <c r="CE27" s="37"/>
      <c r="CF27" s="33"/>
      <c r="CG27" s="34"/>
      <c r="CH27" s="35" t="str">
        <f t="shared" si="32"/>
        <v/>
      </c>
      <c r="CI27" s="36" t="str">
        <f t="shared" si="33"/>
        <v/>
      </c>
      <c r="CJ27" s="37"/>
      <c r="CK27" s="33"/>
      <c r="CL27" s="34"/>
      <c r="CM27" s="35" t="str">
        <f t="shared" si="34"/>
        <v/>
      </c>
      <c r="CN27" s="36" t="str">
        <f t="shared" si="35"/>
        <v/>
      </c>
      <c r="CO27" s="37"/>
      <c r="CP27" s="33"/>
      <c r="CQ27" s="34"/>
      <c r="CR27" s="35" t="str">
        <f t="shared" si="36"/>
        <v/>
      </c>
      <c r="CS27" s="36" t="str">
        <f t="shared" si="37"/>
        <v/>
      </c>
      <c r="CT27" s="37"/>
      <c r="CU27" s="33"/>
      <c r="CV27" s="34"/>
      <c r="CW27" s="35" t="str">
        <f t="shared" si="38"/>
        <v/>
      </c>
      <c r="CX27" s="36" t="str">
        <f t="shared" si="39"/>
        <v/>
      </c>
      <c r="CY27" s="37"/>
      <c r="CZ27" s="33"/>
      <c r="DA27" s="34"/>
      <c r="DB27" s="35" t="str">
        <f t="shared" si="40"/>
        <v/>
      </c>
      <c r="DC27" s="36" t="str">
        <f t="shared" si="41"/>
        <v/>
      </c>
      <c r="DD27" s="37"/>
      <c r="DE27" s="33"/>
      <c r="DF27" s="34"/>
      <c r="DG27" s="35" t="str">
        <f t="shared" si="42"/>
        <v/>
      </c>
      <c r="DH27" s="36" t="str">
        <f t="shared" si="43"/>
        <v/>
      </c>
      <c r="DI27" s="37"/>
      <c r="DJ27" s="33"/>
      <c r="DK27" s="34"/>
      <c r="DL27" s="35" t="str">
        <f t="shared" si="44"/>
        <v/>
      </c>
      <c r="DM27" s="36" t="str">
        <f t="shared" si="45"/>
        <v/>
      </c>
      <c r="DN27" s="37"/>
      <c r="DO27" s="33"/>
      <c r="DP27" s="34"/>
      <c r="DQ27" s="35" t="str">
        <f t="shared" si="46"/>
        <v/>
      </c>
      <c r="DR27" s="36" t="str">
        <f t="shared" si="47"/>
        <v/>
      </c>
      <c r="DS27" s="37"/>
      <c r="DT27" s="33"/>
      <c r="DU27" s="34"/>
      <c r="DV27" s="35" t="str">
        <f t="shared" si="48"/>
        <v/>
      </c>
      <c r="DW27" s="36" t="str">
        <f t="shared" si="49"/>
        <v/>
      </c>
      <c r="DX27" s="37"/>
      <c r="DY27" s="33"/>
      <c r="DZ27" s="34"/>
      <c r="EA27" s="35" t="str">
        <f t="shared" si="50"/>
        <v/>
      </c>
      <c r="EB27" s="36" t="str">
        <f t="shared" si="51"/>
        <v/>
      </c>
      <c r="EC27" s="37"/>
      <c r="ED27" s="33"/>
      <c r="EE27" s="34"/>
      <c r="EF27" s="35" t="str">
        <f t="shared" si="52"/>
        <v/>
      </c>
      <c r="EG27" s="36" t="str">
        <f t="shared" si="53"/>
        <v/>
      </c>
      <c r="EH27" s="37"/>
      <c r="EI27" s="33"/>
      <c r="EJ27" s="34"/>
      <c r="EK27" s="35" t="str">
        <f t="shared" si="54"/>
        <v/>
      </c>
      <c r="EL27" s="36" t="str">
        <f t="shared" si="55"/>
        <v/>
      </c>
      <c r="EM27" s="37"/>
      <c r="EN27" s="33"/>
      <c r="EO27" s="34"/>
      <c r="EP27" s="35" t="str">
        <f t="shared" si="56"/>
        <v/>
      </c>
      <c r="EQ27" s="36" t="str">
        <f t="shared" si="57"/>
        <v/>
      </c>
      <c r="ER27" s="37"/>
      <c r="ES27" s="33"/>
      <c r="ET27" s="34"/>
      <c r="EU27" s="35" t="str">
        <f t="shared" si="58"/>
        <v/>
      </c>
      <c r="EV27" s="36" t="str">
        <f t="shared" si="59"/>
        <v/>
      </c>
      <c r="EW27" s="37"/>
    </row>
    <row r="28" spans="1:153" ht="19.5" customHeight="1">
      <c r="A28" s="32">
        <f>IF(DAY(DATE(対象年度,11,25))&lt;&gt;25,"",25)</f>
        <v>25</v>
      </c>
      <c r="B28" s="32" t="str">
        <f>IF(DAY(DATE(対象年度,11,25))&lt;&gt;25,"",CHOOSE(WEEKDAY(DATE(対象年度,11,25),2),"月","火","水","木","金","土","日"))</f>
        <v>水</v>
      </c>
      <c r="C28" s="32" t="str">
        <f>IF(DAY(DATE(対象年度,11,25))&lt;&gt;25,"",IF(ISNUMBER(MATCH(DATE(対象年度,11,25),祝日リスト,0)),"祝",""))</f>
        <v/>
      </c>
      <c r="D28" s="33"/>
      <c r="E28" s="34"/>
      <c r="F28" s="35" t="str">
        <f t="shared" si="0"/>
        <v/>
      </c>
      <c r="G28" s="36" t="str">
        <f t="shared" si="1"/>
        <v/>
      </c>
      <c r="H28" s="37"/>
      <c r="I28" s="33"/>
      <c r="J28" s="34"/>
      <c r="K28" s="35" t="str">
        <f t="shared" si="2"/>
        <v/>
      </c>
      <c r="L28" s="36" t="str">
        <f t="shared" si="3"/>
        <v/>
      </c>
      <c r="M28" s="37"/>
      <c r="N28" s="33"/>
      <c r="O28" s="34"/>
      <c r="P28" s="35" t="str">
        <f t="shared" si="4"/>
        <v/>
      </c>
      <c r="Q28" s="36" t="str">
        <f t="shared" si="5"/>
        <v/>
      </c>
      <c r="R28" s="37"/>
      <c r="S28" s="33"/>
      <c r="T28" s="34"/>
      <c r="U28" s="35" t="str">
        <f t="shared" si="6"/>
        <v/>
      </c>
      <c r="V28" s="36" t="str">
        <f t="shared" si="7"/>
        <v/>
      </c>
      <c r="W28" s="37"/>
      <c r="X28" s="33"/>
      <c r="Y28" s="34"/>
      <c r="Z28" s="35" t="str">
        <f t="shared" si="8"/>
        <v/>
      </c>
      <c r="AA28" s="36" t="str">
        <f t="shared" si="9"/>
        <v/>
      </c>
      <c r="AB28" s="37"/>
      <c r="AC28" s="33"/>
      <c r="AD28" s="34"/>
      <c r="AE28" s="35" t="str">
        <f t="shared" si="10"/>
        <v/>
      </c>
      <c r="AF28" s="36" t="str">
        <f t="shared" si="11"/>
        <v/>
      </c>
      <c r="AG28" s="37"/>
      <c r="AH28" s="33"/>
      <c r="AI28" s="34"/>
      <c r="AJ28" s="35" t="str">
        <f t="shared" si="12"/>
        <v/>
      </c>
      <c r="AK28" s="36" t="str">
        <f t="shared" si="13"/>
        <v/>
      </c>
      <c r="AL28" s="37"/>
      <c r="AM28" s="33"/>
      <c r="AN28" s="34"/>
      <c r="AO28" s="35" t="str">
        <f t="shared" si="14"/>
        <v/>
      </c>
      <c r="AP28" s="36" t="str">
        <f t="shared" si="15"/>
        <v/>
      </c>
      <c r="AQ28" s="37"/>
      <c r="AR28" s="33"/>
      <c r="AS28" s="34"/>
      <c r="AT28" s="35" t="str">
        <f t="shared" si="16"/>
        <v/>
      </c>
      <c r="AU28" s="36" t="str">
        <f t="shared" si="17"/>
        <v/>
      </c>
      <c r="AV28" s="37"/>
      <c r="AW28" s="33"/>
      <c r="AX28" s="34"/>
      <c r="AY28" s="35" t="str">
        <f t="shared" si="18"/>
        <v/>
      </c>
      <c r="AZ28" s="36" t="str">
        <f t="shared" si="19"/>
        <v/>
      </c>
      <c r="BA28" s="37"/>
      <c r="BB28" s="33"/>
      <c r="BC28" s="34"/>
      <c r="BD28" s="35" t="str">
        <f t="shared" si="20"/>
        <v/>
      </c>
      <c r="BE28" s="36" t="str">
        <f t="shared" si="21"/>
        <v/>
      </c>
      <c r="BF28" s="37"/>
      <c r="BG28" s="33"/>
      <c r="BH28" s="34"/>
      <c r="BI28" s="35" t="str">
        <f t="shared" si="22"/>
        <v/>
      </c>
      <c r="BJ28" s="36" t="str">
        <f t="shared" si="23"/>
        <v/>
      </c>
      <c r="BK28" s="37"/>
      <c r="BL28" s="33"/>
      <c r="BM28" s="34"/>
      <c r="BN28" s="35" t="str">
        <f t="shared" si="24"/>
        <v/>
      </c>
      <c r="BO28" s="36" t="str">
        <f t="shared" si="25"/>
        <v/>
      </c>
      <c r="BP28" s="37"/>
      <c r="BQ28" s="33"/>
      <c r="BR28" s="34"/>
      <c r="BS28" s="35" t="str">
        <f t="shared" si="26"/>
        <v/>
      </c>
      <c r="BT28" s="36" t="str">
        <f t="shared" si="27"/>
        <v/>
      </c>
      <c r="BU28" s="37"/>
      <c r="BV28" s="33"/>
      <c r="BW28" s="34"/>
      <c r="BX28" s="35" t="str">
        <f t="shared" si="28"/>
        <v/>
      </c>
      <c r="BY28" s="36" t="str">
        <f t="shared" si="29"/>
        <v/>
      </c>
      <c r="BZ28" s="37"/>
      <c r="CA28" s="33"/>
      <c r="CB28" s="34"/>
      <c r="CC28" s="35" t="str">
        <f t="shared" si="30"/>
        <v/>
      </c>
      <c r="CD28" s="36" t="str">
        <f t="shared" si="31"/>
        <v/>
      </c>
      <c r="CE28" s="37"/>
      <c r="CF28" s="33"/>
      <c r="CG28" s="34"/>
      <c r="CH28" s="35" t="str">
        <f t="shared" si="32"/>
        <v/>
      </c>
      <c r="CI28" s="36" t="str">
        <f t="shared" si="33"/>
        <v/>
      </c>
      <c r="CJ28" s="37"/>
      <c r="CK28" s="33"/>
      <c r="CL28" s="34"/>
      <c r="CM28" s="35" t="str">
        <f t="shared" si="34"/>
        <v/>
      </c>
      <c r="CN28" s="36" t="str">
        <f t="shared" si="35"/>
        <v/>
      </c>
      <c r="CO28" s="37"/>
      <c r="CP28" s="33"/>
      <c r="CQ28" s="34"/>
      <c r="CR28" s="35" t="str">
        <f t="shared" si="36"/>
        <v/>
      </c>
      <c r="CS28" s="36" t="str">
        <f t="shared" si="37"/>
        <v/>
      </c>
      <c r="CT28" s="37"/>
      <c r="CU28" s="33"/>
      <c r="CV28" s="34"/>
      <c r="CW28" s="35" t="str">
        <f t="shared" si="38"/>
        <v/>
      </c>
      <c r="CX28" s="36" t="str">
        <f t="shared" si="39"/>
        <v/>
      </c>
      <c r="CY28" s="37"/>
      <c r="CZ28" s="33"/>
      <c r="DA28" s="34"/>
      <c r="DB28" s="35" t="str">
        <f t="shared" si="40"/>
        <v/>
      </c>
      <c r="DC28" s="36" t="str">
        <f t="shared" si="41"/>
        <v/>
      </c>
      <c r="DD28" s="37"/>
      <c r="DE28" s="33"/>
      <c r="DF28" s="34"/>
      <c r="DG28" s="35" t="str">
        <f t="shared" si="42"/>
        <v/>
      </c>
      <c r="DH28" s="36" t="str">
        <f t="shared" si="43"/>
        <v/>
      </c>
      <c r="DI28" s="37"/>
      <c r="DJ28" s="33"/>
      <c r="DK28" s="34"/>
      <c r="DL28" s="35" t="str">
        <f t="shared" si="44"/>
        <v/>
      </c>
      <c r="DM28" s="36" t="str">
        <f t="shared" si="45"/>
        <v/>
      </c>
      <c r="DN28" s="37"/>
      <c r="DO28" s="33"/>
      <c r="DP28" s="34"/>
      <c r="DQ28" s="35" t="str">
        <f t="shared" si="46"/>
        <v/>
      </c>
      <c r="DR28" s="36" t="str">
        <f t="shared" si="47"/>
        <v/>
      </c>
      <c r="DS28" s="37"/>
      <c r="DT28" s="33"/>
      <c r="DU28" s="34"/>
      <c r="DV28" s="35" t="str">
        <f t="shared" si="48"/>
        <v/>
      </c>
      <c r="DW28" s="36" t="str">
        <f t="shared" si="49"/>
        <v/>
      </c>
      <c r="DX28" s="37"/>
      <c r="DY28" s="33"/>
      <c r="DZ28" s="34"/>
      <c r="EA28" s="35" t="str">
        <f t="shared" si="50"/>
        <v/>
      </c>
      <c r="EB28" s="36" t="str">
        <f t="shared" si="51"/>
        <v/>
      </c>
      <c r="EC28" s="37"/>
      <c r="ED28" s="33"/>
      <c r="EE28" s="34"/>
      <c r="EF28" s="35" t="str">
        <f t="shared" si="52"/>
        <v/>
      </c>
      <c r="EG28" s="36" t="str">
        <f t="shared" si="53"/>
        <v/>
      </c>
      <c r="EH28" s="37"/>
      <c r="EI28" s="33"/>
      <c r="EJ28" s="34"/>
      <c r="EK28" s="35" t="str">
        <f t="shared" si="54"/>
        <v/>
      </c>
      <c r="EL28" s="36" t="str">
        <f t="shared" si="55"/>
        <v/>
      </c>
      <c r="EM28" s="37"/>
      <c r="EN28" s="33"/>
      <c r="EO28" s="34"/>
      <c r="EP28" s="35" t="str">
        <f t="shared" si="56"/>
        <v/>
      </c>
      <c r="EQ28" s="36" t="str">
        <f t="shared" si="57"/>
        <v/>
      </c>
      <c r="ER28" s="37"/>
      <c r="ES28" s="33"/>
      <c r="ET28" s="34"/>
      <c r="EU28" s="35" t="str">
        <f t="shared" si="58"/>
        <v/>
      </c>
      <c r="EV28" s="36" t="str">
        <f t="shared" si="59"/>
        <v/>
      </c>
      <c r="EW28" s="37"/>
    </row>
    <row r="29" spans="1:153" ht="19.5" customHeight="1">
      <c r="A29" s="32">
        <f>IF(DAY(DATE(対象年度,11,26))&lt;&gt;26,"",26)</f>
        <v>26</v>
      </c>
      <c r="B29" s="32" t="str">
        <f>IF(DAY(DATE(対象年度,11,26))&lt;&gt;26,"",CHOOSE(WEEKDAY(DATE(対象年度,11,26),2),"月","火","水","木","金","土","日"))</f>
        <v>木</v>
      </c>
      <c r="C29" s="32" t="str">
        <f>IF(DAY(DATE(対象年度,11,26))&lt;&gt;26,"",IF(ISNUMBER(MATCH(DATE(対象年度,11,26),祝日リスト,0)),"祝",""))</f>
        <v/>
      </c>
      <c r="D29" s="33"/>
      <c r="E29" s="34"/>
      <c r="F29" s="35" t="str">
        <f t="shared" si="0"/>
        <v/>
      </c>
      <c r="G29" s="36" t="str">
        <f t="shared" si="1"/>
        <v/>
      </c>
      <c r="H29" s="37"/>
      <c r="I29" s="33"/>
      <c r="J29" s="34"/>
      <c r="K29" s="35" t="str">
        <f t="shared" si="2"/>
        <v/>
      </c>
      <c r="L29" s="36" t="str">
        <f t="shared" si="3"/>
        <v/>
      </c>
      <c r="M29" s="37"/>
      <c r="N29" s="33"/>
      <c r="O29" s="34"/>
      <c r="P29" s="35" t="str">
        <f t="shared" si="4"/>
        <v/>
      </c>
      <c r="Q29" s="36" t="str">
        <f t="shared" si="5"/>
        <v/>
      </c>
      <c r="R29" s="37"/>
      <c r="S29" s="33"/>
      <c r="T29" s="34"/>
      <c r="U29" s="35" t="str">
        <f t="shared" si="6"/>
        <v/>
      </c>
      <c r="V29" s="36" t="str">
        <f t="shared" si="7"/>
        <v/>
      </c>
      <c r="W29" s="37"/>
      <c r="X29" s="33"/>
      <c r="Y29" s="34"/>
      <c r="Z29" s="35" t="str">
        <f t="shared" si="8"/>
        <v/>
      </c>
      <c r="AA29" s="36" t="str">
        <f t="shared" si="9"/>
        <v/>
      </c>
      <c r="AB29" s="37"/>
      <c r="AC29" s="33"/>
      <c r="AD29" s="34"/>
      <c r="AE29" s="35" t="str">
        <f t="shared" si="10"/>
        <v/>
      </c>
      <c r="AF29" s="36" t="str">
        <f t="shared" si="11"/>
        <v/>
      </c>
      <c r="AG29" s="37"/>
      <c r="AH29" s="33"/>
      <c r="AI29" s="34"/>
      <c r="AJ29" s="35" t="str">
        <f t="shared" si="12"/>
        <v/>
      </c>
      <c r="AK29" s="36" t="str">
        <f t="shared" si="13"/>
        <v/>
      </c>
      <c r="AL29" s="37"/>
      <c r="AM29" s="33"/>
      <c r="AN29" s="34"/>
      <c r="AO29" s="35" t="str">
        <f t="shared" si="14"/>
        <v/>
      </c>
      <c r="AP29" s="36" t="str">
        <f t="shared" si="15"/>
        <v/>
      </c>
      <c r="AQ29" s="37"/>
      <c r="AR29" s="33"/>
      <c r="AS29" s="34"/>
      <c r="AT29" s="35" t="str">
        <f t="shared" si="16"/>
        <v/>
      </c>
      <c r="AU29" s="36" t="str">
        <f t="shared" si="17"/>
        <v/>
      </c>
      <c r="AV29" s="37"/>
      <c r="AW29" s="33"/>
      <c r="AX29" s="34"/>
      <c r="AY29" s="35" t="str">
        <f t="shared" si="18"/>
        <v/>
      </c>
      <c r="AZ29" s="36" t="str">
        <f t="shared" si="19"/>
        <v/>
      </c>
      <c r="BA29" s="37"/>
      <c r="BB29" s="33"/>
      <c r="BC29" s="34"/>
      <c r="BD29" s="35" t="str">
        <f t="shared" si="20"/>
        <v/>
      </c>
      <c r="BE29" s="36" t="str">
        <f t="shared" si="21"/>
        <v/>
      </c>
      <c r="BF29" s="37"/>
      <c r="BG29" s="33"/>
      <c r="BH29" s="34"/>
      <c r="BI29" s="35" t="str">
        <f t="shared" si="22"/>
        <v/>
      </c>
      <c r="BJ29" s="36" t="str">
        <f t="shared" si="23"/>
        <v/>
      </c>
      <c r="BK29" s="37"/>
      <c r="BL29" s="33"/>
      <c r="BM29" s="34"/>
      <c r="BN29" s="35" t="str">
        <f t="shared" si="24"/>
        <v/>
      </c>
      <c r="BO29" s="36" t="str">
        <f t="shared" si="25"/>
        <v/>
      </c>
      <c r="BP29" s="37"/>
      <c r="BQ29" s="33"/>
      <c r="BR29" s="34"/>
      <c r="BS29" s="35" t="str">
        <f t="shared" si="26"/>
        <v/>
      </c>
      <c r="BT29" s="36" t="str">
        <f t="shared" si="27"/>
        <v/>
      </c>
      <c r="BU29" s="37"/>
      <c r="BV29" s="33"/>
      <c r="BW29" s="34"/>
      <c r="BX29" s="35" t="str">
        <f t="shared" si="28"/>
        <v/>
      </c>
      <c r="BY29" s="36" t="str">
        <f t="shared" si="29"/>
        <v/>
      </c>
      <c r="BZ29" s="37"/>
      <c r="CA29" s="33"/>
      <c r="CB29" s="34"/>
      <c r="CC29" s="35" t="str">
        <f t="shared" si="30"/>
        <v/>
      </c>
      <c r="CD29" s="36" t="str">
        <f t="shared" si="31"/>
        <v/>
      </c>
      <c r="CE29" s="37"/>
      <c r="CF29" s="33"/>
      <c r="CG29" s="34"/>
      <c r="CH29" s="35" t="str">
        <f t="shared" si="32"/>
        <v/>
      </c>
      <c r="CI29" s="36" t="str">
        <f t="shared" si="33"/>
        <v/>
      </c>
      <c r="CJ29" s="37"/>
      <c r="CK29" s="33"/>
      <c r="CL29" s="34"/>
      <c r="CM29" s="35" t="str">
        <f t="shared" si="34"/>
        <v/>
      </c>
      <c r="CN29" s="36" t="str">
        <f t="shared" si="35"/>
        <v/>
      </c>
      <c r="CO29" s="37"/>
      <c r="CP29" s="33"/>
      <c r="CQ29" s="34"/>
      <c r="CR29" s="35" t="str">
        <f t="shared" si="36"/>
        <v/>
      </c>
      <c r="CS29" s="36" t="str">
        <f t="shared" si="37"/>
        <v/>
      </c>
      <c r="CT29" s="37"/>
      <c r="CU29" s="33"/>
      <c r="CV29" s="34"/>
      <c r="CW29" s="35" t="str">
        <f t="shared" si="38"/>
        <v/>
      </c>
      <c r="CX29" s="36" t="str">
        <f t="shared" si="39"/>
        <v/>
      </c>
      <c r="CY29" s="37"/>
      <c r="CZ29" s="33"/>
      <c r="DA29" s="34"/>
      <c r="DB29" s="35" t="str">
        <f t="shared" si="40"/>
        <v/>
      </c>
      <c r="DC29" s="36" t="str">
        <f t="shared" si="41"/>
        <v/>
      </c>
      <c r="DD29" s="37"/>
      <c r="DE29" s="33"/>
      <c r="DF29" s="34"/>
      <c r="DG29" s="35" t="str">
        <f t="shared" si="42"/>
        <v/>
      </c>
      <c r="DH29" s="36" t="str">
        <f t="shared" si="43"/>
        <v/>
      </c>
      <c r="DI29" s="37"/>
      <c r="DJ29" s="33"/>
      <c r="DK29" s="34"/>
      <c r="DL29" s="35" t="str">
        <f t="shared" si="44"/>
        <v/>
      </c>
      <c r="DM29" s="36" t="str">
        <f t="shared" si="45"/>
        <v/>
      </c>
      <c r="DN29" s="37"/>
      <c r="DO29" s="33"/>
      <c r="DP29" s="34"/>
      <c r="DQ29" s="35" t="str">
        <f t="shared" si="46"/>
        <v/>
      </c>
      <c r="DR29" s="36" t="str">
        <f t="shared" si="47"/>
        <v/>
      </c>
      <c r="DS29" s="37"/>
      <c r="DT29" s="33"/>
      <c r="DU29" s="34"/>
      <c r="DV29" s="35" t="str">
        <f t="shared" si="48"/>
        <v/>
      </c>
      <c r="DW29" s="36" t="str">
        <f t="shared" si="49"/>
        <v/>
      </c>
      <c r="DX29" s="37"/>
      <c r="DY29" s="33"/>
      <c r="DZ29" s="34"/>
      <c r="EA29" s="35" t="str">
        <f t="shared" si="50"/>
        <v/>
      </c>
      <c r="EB29" s="36" t="str">
        <f t="shared" si="51"/>
        <v/>
      </c>
      <c r="EC29" s="37"/>
      <c r="ED29" s="33"/>
      <c r="EE29" s="34"/>
      <c r="EF29" s="35" t="str">
        <f t="shared" si="52"/>
        <v/>
      </c>
      <c r="EG29" s="36" t="str">
        <f t="shared" si="53"/>
        <v/>
      </c>
      <c r="EH29" s="37"/>
      <c r="EI29" s="33"/>
      <c r="EJ29" s="34"/>
      <c r="EK29" s="35" t="str">
        <f t="shared" si="54"/>
        <v/>
      </c>
      <c r="EL29" s="36" t="str">
        <f t="shared" si="55"/>
        <v/>
      </c>
      <c r="EM29" s="37"/>
      <c r="EN29" s="33"/>
      <c r="EO29" s="34"/>
      <c r="EP29" s="35" t="str">
        <f t="shared" si="56"/>
        <v/>
      </c>
      <c r="EQ29" s="36" t="str">
        <f t="shared" si="57"/>
        <v/>
      </c>
      <c r="ER29" s="37"/>
      <c r="ES29" s="33"/>
      <c r="ET29" s="34"/>
      <c r="EU29" s="35" t="str">
        <f t="shared" si="58"/>
        <v/>
      </c>
      <c r="EV29" s="36" t="str">
        <f t="shared" si="59"/>
        <v/>
      </c>
      <c r="EW29" s="37"/>
    </row>
    <row r="30" spans="1:153" ht="19.5" customHeight="1">
      <c r="A30" s="32">
        <f>IF(DAY(DATE(対象年度,11,27))&lt;&gt;27,"",27)</f>
        <v>27</v>
      </c>
      <c r="B30" s="32" t="str">
        <f>IF(DAY(DATE(対象年度,11,27))&lt;&gt;27,"",CHOOSE(WEEKDAY(DATE(対象年度,11,27),2),"月","火","水","木","金","土","日"))</f>
        <v>金</v>
      </c>
      <c r="C30" s="32" t="str">
        <f>IF(DAY(DATE(対象年度,11,27))&lt;&gt;27,"",IF(ISNUMBER(MATCH(DATE(対象年度,11,27),祝日リスト,0)),"祝",""))</f>
        <v/>
      </c>
      <c r="D30" s="33"/>
      <c r="E30" s="34"/>
      <c r="F30" s="35" t="str">
        <f t="shared" si="0"/>
        <v/>
      </c>
      <c r="G30" s="36" t="str">
        <f t="shared" si="1"/>
        <v/>
      </c>
      <c r="H30" s="37"/>
      <c r="I30" s="33"/>
      <c r="J30" s="34"/>
      <c r="K30" s="35" t="str">
        <f t="shared" si="2"/>
        <v/>
      </c>
      <c r="L30" s="36" t="str">
        <f t="shared" si="3"/>
        <v/>
      </c>
      <c r="M30" s="37"/>
      <c r="N30" s="33"/>
      <c r="O30" s="34"/>
      <c r="P30" s="35" t="str">
        <f t="shared" si="4"/>
        <v/>
      </c>
      <c r="Q30" s="36" t="str">
        <f t="shared" si="5"/>
        <v/>
      </c>
      <c r="R30" s="37"/>
      <c r="S30" s="33"/>
      <c r="T30" s="34"/>
      <c r="U30" s="35" t="str">
        <f t="shared" si="6"/>
        <v/>
      </c>
      <c r="V30" s="36" t="str">
        <f t="shared" si="7"/>
        <v/>
      </c>
      <c r="W30" s="37"/>
      <c r="X30" s="33"/>
      <c r="Y30" s="34"/>
      <c r="Z30" s="35" t="str">
        <f t="shared" si="8"/>
        <v/>
      </c>
      <c r="AA30" s="36" t="str">
        <f t="shared" si="9"/>
        <v/>
      </c>
      <c r="AB30" s="37"/>
      <c r="AC30" s="33"/>
      <c r="AD30" s="34"/>
      <c r="AE30" s="35" t="str">
        <f t="shared" si="10"/>
        <v/>
      </c>
      <c r="AF30" s="36" t="str">
        <f t="shared" si="11"/>
        <v/>
      </c>
      <c r="AG30" s="37"/>
      <c r="AH30" s="33"/>
      <c r="AI30" s="34"/>
      <c r="AJ30" s="35" t="str">
        <f t="shared" si="12"/>
        <v/>
      </c>
      <c r="AK30" s="36" t="str">
        <f t="shared" si="13"/>
        <v/>
      </c>
      <c r="AL30" s="37"/>
      <c r="AM30" s="33"/>
      <c r="AN30" s="34"/>
      <c r="AO30" s="35" t="str">
        <f t="shared" si="14"/>
        <v/>
      </c>
      <c r="AP30" s="36" t="str">
        <f t="shared" si="15"/>
        <v/>
      </c>
      <c r="AQ30" s="37"/>
      <c r="AR30" s="33"/>
      <c r="AS30" s="34"/>
      <c r="AT30" s="35" t="str">
        <f t="shared" si="16"/>
        <v/>
      </c>
      <c r="AU30" s="36" t="str">
        <f t="shared" si="17"/>
        <v/>
      </c>
      <c r="AV30" s="37"/>
      <c r="AW30" s="33"/>
      <c r="AX30" s="34"/>
      <c r="AY30" s="35" t="str">
        <f t="shared" si="18"/>
        <v/>
      </c>
      <c r="AZ30" s="36" t="str">
        <f t="shared" si="19"/>
        <v/>
      </c>
      <c r="BA30" s="37"/>
      <c r="BB30" s="33"/>
      <c r="BC30" s="34"/>
      <c r="BD30" s="35" t="str">
        <f t="shared" si="20"/>
        <v/>
      </c>
      <c r="BE30" s="36" t="str">
        <f t="shared" si="21"/>
        <v/>
      </c>
      <c r="BF30" s="37"/>
      <c r="BG30" s="33"/>
      <c r="BH30" s="34"/>
      <c r="BI30" s="35" t="str">
        <f t="shared" si="22"/>
        <v/>
      </c>
      <c r="BJ30" s="36" t="str">
        <f t="shared" si="23"/>
        <v/>
      </c>
      <c r="BK30" s="37"/>
      <c r="BL30" s="33"/>
      <c r="BM30" s="34"/>
      <c r="BN30" s="35" t="str">
        <f t="shared" si="24"/>
        <v/>
      </c>
      <c r="BO30" s="36" t="str">
        <f t="shared" si="25"/>
        <v/>
      </c>
      <c r="BP30" s="37"/>
      <c r="BQ30" s="33"/>
      <c r="BR30" s="34"/>
      <c r="BS30" s="35" t="str">
        <f t="shared" si="26"/>
        <v/>
      </c>
      <c r="BT30" s="36" t="str">
        <f t="shared" si="27"/>
        <v/>
      </c>
      <c r="BU30" s="37"/>
      <c r="BV30" s="33"/>
      <c r="BW30" s="34"/>
      <c r="BX30" s="35" t="str">
        <f t="shared" si="28"/>
        <v/>
      </c>
      <c r="BY30" s="36" t="str">
        <f t="shared" si="29"/>
        <v/>
      </c>
      <c r="BZ30" s="37"/>
      <c r="CA30" s="33"/>
      <c r="CB30" s="34"/>
      <c r="CC30" s="35" t="str">
        <f t="shared" si="30"/>
        <v/>
      </c>
      <c r="CD30" s="36" t="str">
        <f t="shared" si="31"/>
        <v/>
      </c>
      <c r="CE30" s="37"/>
      <c r="CF30" s="33"/>
      <c r="CG30" s="34"/>
      <c r="CH30" s="35" t="str">
        <f t="shared" si="32"/>
        <v/>
      </c>
      <c r="CI30" s="36" t="str">
        <f t="shared" si="33"/>
        <v/>
      </c>
      <c r="CJ30" s="37"/>
      <c r="CK30" s="33"/>
      <c r="CL30" s="34"/>
      <c r="CM30" s="35" t="str">
        <f t="shared" si="34"/>
        <v/>
      </c>
      <c r="CN30" s="36" t="str">
        <f t="shared" si="35"/>
        <v/>
      </c>
      <c r="CO30" s="37"/>
      <c r="CP30" s="33"/>
      <c r="CQ30" s="34"/>
      <c r="CR30" s="35" t="str">
        <f t="shared" si="36"/>
        <v/>
      </c>
      <c r="CS30" s="36" t="str">
        <f t="shared" si="37"/>
        <v/>
      </c>
      <c r="CT30" s="37"/>
      <c r="CU30" s="33"/>
      <c r="CV30" s="34"/>
      <c r="CW30" s="35" t="str">
        <f t="shared" si="38"/>
        <v/>
      </c>
      <c r="CX30" s="36" t="str">
        <f t="shared" si="39"/>
        <v/>
      </c>
      <c r="CY30" s="37"/>
      <c r="CZ30" s="33"/>
      <c r="DA30" s="34"/>
      <c r="DB30" s="35" t="str">
        <f t="shared" si="40"/>
        <v/>
      </c>
      <c r="DC30" s="36" t="str">
        <f t="shared" si="41"/>
        <v/>
      </c>
      <c r="DD30" s="37"/>
      <c r="DE30" s="33"/>
      <c r="DF30" s="34"/>
      <c r="DG30" s="35" t="str">
        <f t="shared" si="42"/>
        <v/>
      </c>
      <c r="DH30" s="36" t="str">
        <f t="shared" si="43"/>
        <v/>
      </c>
      <c r="DI30" s="37"/>
      <c r="DJ30" s="33"/>
      <c r="DK30" s="34"/>
      <c r="DL30" s="35" t="str">
        <f t="shared" si="44"/>
        <v/>
      </c>
      <c r="DM30" s="36" t="str">
        <f t="shared" si="45"/>
        <v/>
      </c>
      <c r="DN30" s="37"/>
      <c r="DO30" s="33"/>
      <c r="DP30" s="34"/>
      <c r="DQ30" s="35" t="str">
        <f t="shared" si="46"/>
        <v/>
      </c>
      <c r="DR30" s="36" t="str">
        <f t="shared" si="47"/>
        <v/>
      </c>
      <c r="DS30" s="37"/>
      <c r="DT30" s="33"/>
      <c r="DU30" s="34"/>
      <c r="DV30" s="35" t="str">
        <f t="shared" si="48"/>
        <v/>
      </c>
      <c r="DW30" s="36" t="str">
        <f t="shared" si="49"/>
        <v/>
      </c>
      <c r="DX30" s="37"/>
      <c r="DY30" s="33"/>
      <c r="DZ30" s="34"/>
      <c r="EA30" s="35" t="str">
        <f t="shared" si="50"/>
        <v/>
      </c>
      <c r="EB30" s="36" t="str">
        <f t="shared" si="51"/>
        <v/>
      </c>
      <c r="EC30" s="37"/>
      <c r="ED30" s="33"/>
      <c r="EE30" s="34"/>
      <c r="EF30" s="35" t="str">
        <f t="shared" si="52"/>
        <v/>
      </c>
      <c r="EG30" s="36" t="str">
        <f t="shared" si="53"/>
        <v/>
      </c>
      <c r="EH30" s="37"/>
      <c r="EI30" s="33"/>
      <c r="EJ30" s="34"/>
      <c r="EK30" s="35" t="str">
        <f t="shared" si="54"/>
        <v/>
      </c>
      <c r="EL30" s="36" t="str">
        <f t="shared" si="55"/>
        <v/>
      </c>
      <c r="EM30" s="37"/>
      <c r="EN30" s="33"/>
      <c r="EO30" s="34"/>
      <c r="EP30" s="35" t="str">
        <f t="shared" si="56"/>
        <v/>
      </c>
      <c r="EQ30" s="36" t="str">
        <f t="shared" si="57"/>
        <v/>
      </c>
      <c r="ER30" s="37"/>
      <c r="ES30" s="33"/>
      <c r="ET30" s="34"/>
      <c r="EU30" s="35" t="str">
        <f t="shared" si="58"/>
        <v/>
      </c>
      <c r="EV30" s="36" t="str">
        <f t="shared" si="59"/>
        <v/>
      </c>
      <c r="EW30" s="37"/>
    </row>
    <row r="31" spans="1:153" ht="19.5" customHeight="1">
      <c r="A31" s="32">
        <f>IF(DAY(DATE(対象年度,11,28))&lt;&gt;28,"",28)</f>
        <v>28</v>
      </c>
      <c r="B31" s="32" t="str">
        <f>IF(DAY(DATE(対象年度,11,28))&lt;&gt;28,"",CHOOSE(WEEKDAY(DATE(対象年度,11,28),2),"月","火","水","木","金","土","日"))</f>
        <v>土</v>
      </c>
      <c r="C31" s="32" t="str">
        <f>IF(DAY(DATE(対象年度,11,28))&lt;&gt;28,"",IF(ISNUMBER(MATCH(DATE(対象年度,11,28),祝日リスト,0)),"祝",""))</f>
        <v/>
      </c>
      <c r="D31" s="33"/>
      <c r="E31" s="34"/>
      <c r="F31" s="35" t="str">
        <f t="shared" si="0"/>
        <v/>
      </c>
      <c r="G31" s="36" t="str">
        <f t="shared" si="1"/>
        <v/>
      </c>
      <c r="H31" s="37"/>
      <c r="I31" s="33"/>
      <c r="J31" s="34"/>
      <c r="K31" s="35" t="str">
        <f t="shared" si="2"/>
        <v/>
      </c>
      <c r="L31" s="36" t="str">
        <f t="shared" si="3"/>
        <v/>
      </c>
      <c r="M31" s="37"/>
      <c r="N31" s="33"/>
      <c r="O31" s="34"/>
      <c r="P31" s="35" t="str">
        <f t="shared" si="4"/>
        <v/>
      </c>
      <c r="Q31" s="36" t="str">
        <f t="shared" si="5"/>
        <v/>
      </c>
      <c r="R31" s="37"/>
      <c r="S31" s="33"/>
      <c r="T31" s="34"/>
      <c r="U31" s="35" t="str">
        <f t="shared" si="6"/>
        <v/>
      </c>
      <c r="V31" s="36" t="str">
        <f t="shared" si="7"/>
        <v/>
      </c>
      <c r="W31" s="37"/>
      <c r="X31" s="33"/>
      <c r="Y31" s="34"/>
      <c r="Z31" s="35" t="str">
        <f t="shared" si="8"/>
        <v/>
      </c>
      <c r="AA31" s="36" t="str">
        <f t="shared" si="9"/>
        <v/>
      </c>
      <c r="AB31" s="37"/>
      <c r="AC31" s="33"/>
      <c r="AD31" s="34"/>
      <c r="AE31" s="35" t="str">
        <f t="shared" si="10"/>
        <v/>
      </c>
      <c r="AF31" s="36" t="str">
        <f t="shared" si="11"/>
        <v/>
      </c>
      <c r="AG31" s="37"/>
      <c r="AH31" s="33"/>
      <c r="AI31" s="34"/>
      <c r="AJ31" s="35" t="str">
        <f t="shared" si="12"/>
        <v/>
      </c>
      <c r="AK31" s="36" t="str">
        <f t="shared" si="13"/>
        <v/>
      </c>
      <c r="AL31" s="37"/>
      <c r="AM31" s="33"/>
      <c r="AN31" s="34"/>
      <c r="AO31" s="35" t="str">
        <f t="shared" si="14"/>
        <v/>
      </c>
      <c r="AP31" s="36" t="str">
        <f t="shared" si="15"/>
        <v/>
      </c>
      <c r="AQ31" s="37"/>
      <c r="AR31" s="33"/>
      <c r="AS31" s="34"/>
      <c r="AT31" s="35" t="str">
        <f t="shared" si="16"/>
        <v/>
      </c>
      <c r="AU31" s="36" t="str">
        <f t="shared" si="17"/>
        <v/>
      </c>
      <c r="AV31" s="37"/>
      <c r="AW31" s="33"/>
      <c r="AX31" s="34"/>
      <c r="AY31" s="35" t="str">
        <f t="shared" si="18"/>
        <v/>
      </c>
      <c r="AZ31" s="36" t="str">
        <f t="shared" si="19"/>
        <v/>
      </c>
      <c r="BA31" s="37"/>
      <c r="BB31" s="33"/>
      <c r="BC31" s="34"/>
      <c r="BD31" s="35" t="str">
        <f t="shared" si="20"/>
        <v/>
      </c>
      <c r="BE31" s="36" t="str">
        <f t="shared" si="21"/>
        <v/>
      </c>
      <c r="BF31" s="37"/>
      <c r="BG31" s="33"/>
      <c r="BH31" s="34"/>
      <c r="BI31" s="35" t="str">
        <f t="shared" si="22"/>
        <v/>
      </c>
      <c r="BJ31" s="36" t="str">
        <f t="shared" si="23"/>
        <v/>
      </c>
      <c r="BK31" s="37"/>
      <c r="BL31" s="33"/>
      <c r="BM31" s="34"/>
      <c r="BN31" s="35" t="str">
        <f t="shared" si="24"/>
        <v/>
      </c>
      <c r="BO31" s="36" t="str">
        <f t="shared" si="25"/>
        <v/>
      </c>
      <c r="BP31" s="37"/>
      <c r="BQ31" s="33"/>
      <c r="BR31" s="34"/>
      <c r="BS31" s="35" t="str">
        <f t="shared" si="26"/>
        <v/>
      </c>
      <c r="BT31" s="36" t="str">
        <f t="shared" si="27"/>
        <v/>
      </c>
      <c r="BU31" s="37"/>
      <c r="BV31" s="33"/>
      <c r="BW31" s="34"/>
      <c r="BX31" s="35" t="str">
        <f t="shared" si="28"/>
        <v/>
      </c>
      <c r="BY31" s="36" t="str">
        <f t="shared" si="29"/>
        <v/>
      </c>
      <c r="BZ31" s="37"/>
      <c r="CA31" s="33"/>
      <c r="CB31" s="34"/>
      <c r="CC31" s="35" t="str">
        <f t="shared" si="30"/>
        <v/>
      </c>
      <c r="CD31" s="36" t="str">
        <f t="shared" si="31"/>
        <v/>
      </c>
      <c r="CE31" s="37"/>
      <c r="CF31" s="33"/>
      <c r="CG31" s="34"/>
      <c r="CH31" s="35" t="str">
        <f t="shared" si="32"/>
        <v/>
      </c>
      <c r="CI31" s="36" t="str">
        <f t="shared" si="33"/>
        <v/>
      </c>
      <c r="CJ31" s="37"/>
      <c r="CK31" s="33"/>
      <c r="CL31" s="34"/>
      <c r="CM31" s="35" t="str">
        <f t="shared" si="34"/>
        <v/>
      </c>
      <c r="CN31" s="36" t="str">
        <f t="shared" si="35"/>
        <v/>
      </c>
      <c r="CO31" s="37"/>
      <c r="CP31" s="33"/>
      <c r="CQ31" s="34"/>
      <c r="CR31" s="35" t="str">
        <f t="shared" si="36"/>
        <v/>
      </c>
      <c r="CS31" s="36" t="str">
        <f t="shared" si="37"/>
        <v/>
      </c>
      <c r="CT31" s="37"/>
      <c r="CU31" s="33"/>
      <c r="CV31" s="34"/>
      <c r="CW31" s="35" t="str">
        <f t="shared" si="38"/>
        <v/>
      </c>
      <c r="CX31" s="36" t="str">
        <f t="shared" si="39"/>
        <v/>
      </c>
      <c r="CY31" s="37"/>
      <c r="CZ31" s="33"/>
      <c r="DA31" s="34"/>
      <c r="DB31" s="35" t="str">
        <f t="shared" si="40"/>
        <v/>
      </c>
      <c r="DC31" s="36" t="str">
        <f t="shared" si="41"/>
        <v/>
      </c>
      <c r="DD31" s="37"/>
      <c r="DE31" s="33"/>
      <c r="DF31" s="34"/>
      <c r="DG31" s="35" t="str">
        <f t="shared" si="42"/>
        <v/>
      </c>
      <c r="DH31" s="36" t="str">
        <f t="shared" si="43"/>
        <v/>
      </c>
      <c r="DI31" s="37"/>
      <c r="DJ31" s="33"/>
      <c r="DK31" s="34"/>
      <c r="DL31" s="35" t="str">
        <f t="shared" si="44"/>
        <v/>
      </c>
      <c r="DM31" s="36" t="str">
        <f t="shared" si="45"/>
        <v/>
      </c>
      <c r="DN31" s="37"/>
      <c r="DO31" s="33"/>
      <c r="DP31" s="34"/>
      <c r="DQ31" s="35" t="str">
        <f t="shared" si="46"/>
        <v/>
      </c>
      <c r="DR31" s="36" t="str">
        <f t="shared" si="47"/>
        <v/>
      </c>
      <c r="DS31" s="37"/>
      <c r="DT31" s="33"/>
      <c r="DU31" s="34"/>
      <c r="DV31" s="35" t="str">
        <f t="shared" si="48"/>
        <v/>
      </c>
      <c r="DW31" s="36" t="str">
        <f t="shared" si="49"/>
        <v/>
      </c>
      <c r="DX31" s="37"/>
      <c r="DY31" s="33"/>
      <c r="DZ31" s="34"/>
      <c r="EA31" s="35" t="str">
        <f t="shared" si="50"/>
        <v/>
      </c>
      <c r="EB31" s="36" t="str">
        <f t="shared" si="51"/>
        <v/>
      </c>
      <c r="EC31" s="37"/>
      <c r="ED31" s="33"/>
      <c r="EE31" s="34"/>
      <c r="EF31" s="35" t="str">
        <f t="shared" si="52"/>
        <v/>
      </c>
      <c r="EG31" s="36" t="str">
        <f t="shared" si="53"/>
        <v/>
      </c>
      <c r="EH31" s="37"/>
      <c r="EI31" s="33"/>
      <c r="EJ31" s="34"/>
      <c r="EK31" s="35" t="str">
        <f t="shared" si="54"/>
        <v/>
      </c>
      <c r="EL31" s="36" t="str">
        <f t="shared" si="55"/>
        <v/>
      </c>
      <c r="EM31" s="37"/>
      <c r="EN31" s="33"/>
      <c r="EO31" s="34"/>
      <c r="EP31" s="35" t="str">
        <f t="shared" si="56"/>
        <v/>
      </c>
      <c r="EQ31" s="36" t="str">
        <f t="shared" si="57"/>
        <v/>
      </c>
      <c r="ER31" s="37"/>
      <c r="ES31" s="33"/>
      <c r="ET31" s="34"/>
      <c r="EU31" s="35" t="str">
        <f t="shared" si="58"/>
        <v/>
      </c>
      <c r="EV31" s="36" t="str">
        <f t="shared" si="59"/>
        <v/>
      </c>
      <c r="EW31" s="37"/>
    </row>
    <row r="32" spans="1:153" ht="19.5" customHeight="1">
      <c r="A32" s="32">
        <f>IF(DAY(DATE(対象年度,11,29))&lt;&gt;29,"",29)</f>
        <v>29</v>
      </c>
      <c r="B32" s="32" t="str">
        <f>IF(DAY(DATE(対象年度,11,29))&lt;&gt;29,"",CHOOSE(WEEKDAY(DATE(対象年度,11,29),2),"月","火","水","木","金","土","日"))</f>
        <v>日</v>
      </c>
      <c r="C32" s="32" t="str">
        <f>IF(DAY(DATE(対象年度,11,29))&lt;&gt;29,"",IF(ISNUMBER(MATCH(DATE(対象年度,11,29),祝日リスト,0)),"祝",""))</f>
        <v/>
      </c>
      <c r="D32" s="33"/>
      <c r="E32" s="34"/>
      <c r="F32" s="35" t="str">
        <f t="shared" si="0"/>
        <v/>
      </c>
      <c r="G32" s="36" t="str">
        <f t="shared" si="1"/>
        <v/>
      </c>
      <c r="H32" s="37"/>
      <c r="I32" s="33"/>
      <c r="J32" s="34"/>
      <c r="K32" s="35" t="str">
        <f t="shared" si="2"/>
        <v/>
      </c>
      <c r="L32" s="36" t="str">
        <f t="shared" si="3"/>
        <v/>
      </c>
      <c r="M32" s="37"/>
      <c r="N32" s="33"/>
      <c r="O32" s="34"/>
      <c r="P32" s="35" t="str">
        <f t="shared" si="4"/>
        <v/>
      </c>
      <c r="Q32" s="36" t="str">
        <f t="shared" si="5"/>
        <v/>
      </c>
      <c r="R32" s="37"/>
      <c r="S32" s="33"/>
      <c r="T32" s="34"/>
      <c r="U32" s="35" t="str">
        <f t="shared" si="6"/>
        <v/>
      </c>
      <c r="V32" s="36" t="str">
        <f t="shared" si="7"/>
        <v/>
      </c>
      <c r="W32" s="37"/>
      <c r="X32" s="33"/>
      <c r="Y32" s="34"/>
      <c r="Z32" s="35" t="str">
        <f t="shared" si="8"/>
        <v/>
      </c>
      <c r="AA32" s="36" t="str">
        <f t="shared" si="9"/>
        <v/>
      </c>
      <c r="AB32" s="37"/>
      <c r="AC32" s="33"/>
      <c r="AD32" s="34"/>
      <c r="AE32" s="35" t="str">
        <f t="shared" si="10"/>
        <v/>
      </c>
      <c r="AF32" s="36" t="str">
        <f t="shared" si="11"/>
        <v/>
      </c>
      <c r="AG32" s="37"/>
      <c r="AH32" s="33"/>
      <c r="AI32" s="34"/>
      <c r="AJ32" s="35" t="str">
        <f t="shared" si="12"/>
        <v/>
      </c>
      <c r="AK32" s="36" t="str">
        <f t="shared" si="13"/>
        <v/>
      </c>
      <c r="AL32" s="37"/>
      <c r="AM32" s="33"/>
      <c r="AN32" s="34"/>
      <c r="AO32" s="35" t="str">
        <f t="shared" si="14"/>
        <v/>
      </c>
      <c r="AP32" s="36" t="str">
        <f t="shared" si="15"/>
        <v/>
      </c>
      <c r="AQ32" s="37"/>
      <c r="AR32" s="33"/>
      <c r="AS32" s="34"/>
      <c r="AT32" s="35" t="str">
        <f t="shared" si="16"/>
        <v/>
      </c>
      <c r="AU32" s="36" t="str">
        <f t="shared" si="17"/>
        <v/>
      </c>
      <c r="AV32" s="37"/>
      <c r="AW32" s="33"/>
      <c r="AX32" s="34"/>
      <c r="AY32" s="35" t="str">
        <f t="shared" si="18"/>
        <v/>
      </c>
      <c r="AZ32" s="36" t="str">
        <f t="shared" si="19"/>
        <v/>
      </c>
      <c r="BA32" s="37"/>
      <c r="BB32" s="33"/>
      <c r="BC32" s="34"/>
      <c r="BD32" s="35" t="str">
        <f t="shared" si="20"/>
        <v/>
      </c>
      <c r="BE32" s="36" t="str">
        <f t="shared" si="21"/>
        <v/>
      </c>
      <c r="BF32" s="37"/>
      <c r="BG32" s="33"/>
      <c r="BH32" s="34"/>
      <c r="BI32" s="35" t="str">
        <f t="shared" si="22"/>
        <v/>
      </c>
      <c r="BJ32" s="36" t="str">
        <f t="shared" si="23"/>
        <v/>
      </c>
      <c r="BK32" s="37"/>
      <c r="BL32" s="33"/>
      <c r="BM32" s="34"/>
      <c r="BN32" s="35" t="str">
        <f t="shared" si="24"/>
        <v/>
      </c>
      <c r="BO32" s="36" t="str">
        <f t="shared" si="25"/>
        <v/>
      </c>
      <c r="BP32" s="37"/>
      <c r="BQ32" s="33"/>
      <c r="BR32" s="34"/>
      <c r="BS32" s="35" t="str">
        <f t="shared" si="26"/>
        <v/>
      </c>
      <c r="BT32" s="36" t="str">
        <f t="shared" si="27"/>
        <v/>
      </c>
      <c r="BU32" s="37"/>
      <c r="BV32" s="33"/>
      <c r="BW32" s="34"/>
      <c r="BX32" s="35" t="str">
        <f t="shared" si="28"/>
        <v/>
      </c>
      <c r="BY32" s="36" t="str">
        <f t="shared" si="29"/>
        <v/>
      </c>
      <c r="BZ32" s="37"/>
      <c r="CA32" s="33"/>
      <c r="CB32" s="34"/>
      <c r="CC32" s="35" t="str">
        <f t="shared" si="30"/>
        <v/>
      </c>
      <c r="CD32" s="36" t="str">
        <f t="shared" si="31"/>
        <v/>
      </c>
      <c r="CE32" s="37"/>
      <c r="CF32" s="33"/>
      <c r="CG32" s="34"/>
      <c r="CH32" s="35" t="str">
        <f t="shared" si="32"/>
        <v/>
      </c>
      <c r="CI32" s="36" t="str">
        <f t="shared" si="33"/>
        <v/>
      </c>
      <c r="CJ32" s="37"/>
      <c r="CK32" s="33"/>
      <c r="CL32" s="34"/>
      <c r="CM32" s="35" t="str">
        <f t="shared" si="34"/>
        <v/>
      </c>
      <c r="CN32" s="36" t="str">
        <f t="shared" si="35"/>
        <v/>
      </c>
      <c r="CO32" s="37"/>
      <c r="CP32" s="33"/>
      <c r="CQ32" s="34"/>
      <c r="CR32" s="35" t="str">
        <f t="shared" si="36"/>
        <v/>
      </c>
      <c r="CS32" s="36" t="str">
        <f t="shared" si="37"/>
        <v/>
      </c>
      <c r="CT32" s="37"/>
      <c r="CU32" s="33"/>
      <c r="CV32" s="34"/>
      <c r="CW32" s="35" t="str">
        <f t="shared" si="38"/>
        <v/>
      </c>
      <c r="CX32" s="36" t="str">
        <f t="shared" si="39"/>
        <v/>
      </c>
      <c r="CY32" s="37"/>
      <c r="CZ32" s="33"/>
      <c r="DA32" s="34"/>
      <c r="DB32" s="35" t="str">
        <f t="shared" si="40"/>
        <v/>
      </c>
      <c r="DC32" s="36" t="str">
        <f t="shared" si="41"/>
        <v/>
      </c>
      <c r="DD32" s="37"/>
      <c r="DE32" s="33"/>
      <c r="DF32" s="34"/>
      <c r="DG32" s="35" t="str">
        <f t="shared" si="42"/>
        <v/>
      </c>
      <c r="DH32" s="36" t="str">
        <f t="shared" si="43"/>
        <v/>
      </c>
      <c r="DI32" s="37"/>
      <c r="DJ32" s="33"/>
      <c r="DK32" s="34"/>
      <c r="DL32" s="35" t="str">
        <f t="shared" si="44"/>
        <v/>
      </c>
      <c r="DM32" s="36" t="str">
        <f t="shared" si="45"/>
        <v/>
      </c>
      <c r="DN32" s="37"/>
      <c r="DO32" s="33"/>
      <c r="DP32" s="34"/>
      <c r="DQ32" s="35" t="str">
        <f t="shared" si="46"/>
        <v/>
      </c>
      <c r="DR32" s="36" t="str">
        <f t="shared" si="47"/>
        <v/>
      </c>
      <c r="DS32" s="37"/>
      <c r="DT32" s="33"/>
      <c r="DU32" s="34"/>
      <c r="DV32" s="35" t="str">
        <f t="shared" si="48"/>
        <v/>
      </c>
      <c r="DW32" s="36" t="str">
        <f t="shared" si="49"/>
        <v/>
      </c>
      <c r="DX32" s="37"/>
      <c r="DY32" s="33"/>
      <c r="DZ32" s="34"/>
      <c r="EA32" s="35" t="str">
        <f t="shared" si="50"/>
        <v/>
      </c>
      <c r="EB32" s="36" t="str">
        <f t="shared" si="51"/>
        <v/>
      </c>
      <c r="EC32" s="37"/>
      <c r="ED32" s="33"/>
      <c r="EE32" s="34"/>
      <c r="EF32" s="35" t="str">
        <f t="shared" si="52"/>
        <v/>
      </c>
      <c r="EG32" s="36" t="str">
        <f t="shared" si="53"/>
        <v/>
      </c>
      <c r="EH32" s="37"/>
      <c r="EI32" s="33"/>
      <c r="EJ32" s="34"/>
      <c r="EK32" s="35" t="str">
        <f t="shared" si="54"/>
        <v/>
      </c>
      <c r="EL32" s="36" t="str">
        <f t="shared" si="55"/>
        <v/>
      </c>
      <c r="EM32" s="37"/>
      <c r="EN32" s="33"/>
      <c r="EO32" s="34"/>
      <c r="EP32" s="35" t="str">
        <f t="shared" si="56"/>
        <v/>
      </c>
      <c r="EQ32" s="36" t="str">
        <f t="shared" si="57"/>
        <v/>
      </c>
      <c r="ER32" s="37"/>
      <c r="ES32" s="33"/>
      <c r="ET32" s="34"/>
      <c r="EU32" s="35" t="str">
        <f t="shared" si="58"/>
        <v/>
      </c>
      <c r="EV32" s="36" t="str">
        <f t="shared" si="59"/>
        <v/>
      </c>
      <c r="EW32" s="37"/>
    </row>
    <row r="33" spans="1:153" ht="19.5" customHeight="1">
      <c r="A33" s="32">
        <f>IF(DAY(DATE(対象年度,11,30))&lt;&gt;30,"",30)</f>
        <v>30</v>
      </c>
      <c r="B33" s="32" t="str">
        <f>IF(DAY(DATE(対象年度,11,30))&lt;&gt;30,"",CHOOSE(WEEKDAY(DATE(対象年度,11,30),2),"月","火","水","木","金","土","日"))</f>
        <v>月</v>
      </c>
      <c r="C33" s="32" t="str">
        <f>IF(DAY(DATE(対象年度,11,30))&lt;&gt;30,"",IF(ISNUMBER(MATCH(DATE(対象年度,11,30),祝日リスト,0)),"祝",""))</f>
        <v/>
      </c>
      <c r="D33" s="33"/>
      <c r="E33" s="34"/>
      <c r="F33" s="35" t="str">
        <f t="shared" si="0"/>
        <v/>
      </c>
      <c r="G33" s="36" t="str">
        <f t="shared" si="1"/>
        <v/>
      </c>
      <c r="H33" s="37"/>
      <c r="I33" s="33"/>
      <c r="J33" s="34"/>
      <c r="K33" s="35" t="str">
        <f t="shared" si="2"/>
        <v/>
      </c>
      <c r="L33" s="36" t="str">
        <f t="shared" si="3"/>
        <v/>
      </c>
      <c r="M33" s="37"/>
      <c r="N33" s="33"/>
      <c r="O33" s="34"/>
      <c r="P33" s="35" t="str">
        <f t="shared" si="4"/>
        <v/>
      </c>
      <c r="Q33" s="36" t="str">
        <f t="shared" si="5"/>
        <v/>
      </c>
      <c r="R33" s="37"/>
      <c r="S33" s="33"/>
      <c r="T33" s="34"/>
      <c r="U33" s="35" t="str">
        <f t="shared" si="6"/>
        <v/>
      </c>
      <c r="V33" s="36" t="str">
        <f t="shared" si="7"/>
        <v/>
      </c>
      <c r="W33" s="37"/>
      <c r="X33" s="33"/>
      <c r="Y33" s="34"/>
      <c r="Z33" s="35" t="str">
        <f t="shared" si="8"/>
        <v/>
      </c>
      <c r="AA33" s="36" t="str">
        <f t="shared" si="9"/>
        <v/>
      </c>
      <c r="AB33" s="37"/>
      <c r="AC33" s="33"/>
      <c r="AD33" s="34"/>
      <c r="AE33" s="35" t="str">
        <f t="shared" si="10"/>
        <v/>
      </c>
      <c r="AF33" s="36" t="str">
        <f t="shared" si="11"/>
        <v/>
      </c>
      <c r="AG33" s="37"/>
      <c r="AH33" s="33"/>
      <c r="AI33" s="34"/>
      <c r="AJ33" s="35" t="str">
        <f t="shared" si="12"/>
        <v/>
      </c>
      <c r="AK33" s="36" t="str">
        <f t="shared" si="13"/>
        <v/>
      </c>
      <c r="AL33" s="37"/>
      <c r="AM33" s="33"/>
      <c r="AN33" s="34"/>
      <c r="AO33" s="35" t="str">
        <f t="shared" si="14"/>
        <v/>
      </c>
      <c r="AP33" s="36" t="str">
        <f t="shared" si="15"/>
        <v/>
      </c>
      <c r="AQ33" s="37"/>
      <c r="AR33" s="33"/>
      <c r="AS33" s="34"/>
      <c r="AT33" s="35" t="str">
        <f t="shared" si="16"/>
        <v/>
      </c>
      <c r="AU33" s="36" t="str">
        <f t="shared" si="17"/>
        <v/>
      </c>
      <c r="AV33" s="37"/>
      <c r="AW33" s="33"/>
      <c r="AX33" s="34"/>
      <c r="AY33" s="35" t="str">
        <f t="shared" si="18"/>
        <v/>
      </c>
      <c r="AZ33" s="36" t="str">
        <f t="shared" si="19"/>
        <v/>
      </c>
      <c r="BA33" s="37"/>
      <c r="BB33" s="33"/>
      <c r="BC33" s="34"/>
      <c r="BD33" s="35" t="str">
        <f t="shared" si="20"/>
        <v/>
      </c>
      <c r="BE33" s="36" t="str">
        <f t="shared" si="21"/>
        <v/>
      </c>
      <c r="BF33" s="37"/>
      <c r="BG33" s="33"/>
      <c r="BH33" s="34"/>
      <c r="BI33" s="35" t="str">
        <f t="shared" si="22"/>
        <v/>
      </c>
      <c r="BJ33" s="36" t="str">
        <f t="shared" si="23"/>
        <v/>
      </c>
      <c r="BK33" s="37"/>
      <c r="BL33" s="33"/>
      <c r="BM33" s="34"/>
      <c r="BN33" s="35" t="str">
        <f t="shared" si="24"/>
        <v/>
      </c>
      <c r="BO33" s="36" t="str">
        <f t="shared" si="25"/>
        <v/>
      </c>
      <c r="BP33" s="37"/>
      <c r="BQ33" s="33"/>
      <c r="BR33" s="34"/>
      <c r="BS33" s="35" t="str">
        <f t="shared" si="26"/>
        <v/>
      </c>
      <c r="BT33" s="36" t="str">
        <f t="shared" si="27"/>
        <v/>
      </c>
      <c r="BU33" s="37"/>
      <c r="BV33" s="33"/>
      <c r="BW33" s="34"/>
      <c r="BX33" s="35" t="str">
        <f t="shared" si="28"/>
        <v/>
      </c>
      <c r="BY33" s="36" t="str">
        <f t="shared" si="29"/>
        <v/>
      </c>
      <c r="BZ33" s="37"/>
      <c r="CA33" s="33"/>
      <c r="CB33" s="34"/>
      <c r="CC33" s="35" t="str">
        <f t="shared" si="30"/>
        <v/>
      </c>
      <c r="CD33" s="36" t="str">
        <f t="shared" si="31"/>
        <v/>
      </c>
      <c r="CE33" s="37"/>
      <c r="CF33" s="33"/>
      <c r="CG33" s="34"/>
      <c r="CH33" s="35" t="str">
        <f t="shared" si="32"/>
        <v/>
      </c>
      <c r="CI33" s="36" t="str">
        <f t="shared" si="33"/>
        <v/>
      </c>
      <c r="CJ33" s="37"/>
      <c r="CK33" s="33"/>
      <c r="CL33" s="34"/>
      <c r="CM33" s="35" t="str">
        <f t="shared" si="34"/>
        <v/>
      </c>
      <c r="CN33" s="36" t="str">
        <f t="shared" si="35"/>
        <v/>
      </c>
      <c r="CO33" s="37"/>
      <c r="CP33" s="33"/>
      <c r="CQ33" s="34"/>
      <c r="CR33" s="35" t="str">
        <f t="shared" si="36"/>
        <v/>
      </c>
      <c r="CS33" s="36" t="str">
        <f t="shared" si="37"/>
        <v/>
      </c>
      <c r="CT33" s="37"/>
      <c r="CU33" s="33"/>
      <c r="CV33" s="34"/>
      <c r="CW33" s="35" t="str">
        <f t="shared" si="38"/>
        <v/>
      </c>
      <c r="CX33" s="36" t="str">
        <f t="shared" si="39"/>
        <v/>
      </c>
      <c r="CY33" s="37"/>
      <c r="CZ33" s="33"/>
      <c r="DA33" s="34"/>
      <c r="DB33" s="35" t="str">
        <f t="shared" si="40"/>
        <v/>
      </c>
      <c r="DC33" s="36" t="str">
        <f t="shared" si="41"/>
        <v/>
      </c>
      <c r="DD33" s="37"/>
      <c r="DE33" s="33"/>
      <c r="DF33" s="34"/>
      <c r="DG33" s="35" t="str">
        <f t="shared" si="42"/>
        <v/>
      </c>
      <c r="DH33" s="36" t="str">
        <f t="shared" si="43"/>
        <v/>
      </c>
      <c r="DI33" s="37"/>
      <c r="DJ33" s="33"/>
      <c r="DK33" s="34"/>
      <c r="DL33" s="35" t="str">
        <f t="shared" si="44"/>
        <v/>
      </c>
      <c r="DM33" s="36" t="str">
        <f t="shared" si="45"/>
        <v/>
      </c>
      <c r="DN33" s="37"/>
      <c r="DO33" s="33"/>
      <c r="DP33" s="34"/>
      <c r="DQ33" s="35" t="str">
        <f t="shared" si="46"/>
        <v/>
      </c>
      <c r="DR33" s="36" t="str">
        <f t="shared" si="47"/>
        <v/>
      </c>
      <c r="DS33" s="37"/>
      <c r="DT33" s="33"/>
      <c r="DU33" s="34"/>
      <c r="DV33" s="35" t="str">
        <f t="shared" si="48"/>
        <v/>
      </c>
      <c r="DW33" s="36" t="str">
        <f t="shared" si="49"/>
        <v/>
      </c>
      <c r="DX33" s="37"/>
      <c r="DY33" s="33"/>
      <c r="DZ33" s="34"/>
      <c r="EA33" s="35" t="str">
        <f t="shared" si="50"/>
        <v/>
      </c>
      <c r="EB33" s="36" t="str">
        <f t="shared" si="51"/>
        <v/>
      </c>
      <c r="EC33" s="37"/>
      <c r="ED33" s="33"/>
      <c r="EE33" s="34"/>
      <c r="EF33" s="35" t="str">
        <f t="shared" si="52"/>
        <v/>
      </c>
      <c r="EG33" s="36" t="str">
        <f t="shared" si="53"/>
        <v/>
      </c>
      <c r="EH33" s="37"/>
      <c r="EI33" s="33"/>
      <c r="EJ33" s="34"/>
      <c r="EK33" s="35" t="str">
        <f t="shared" si="54"/>
        <v/>
      </c>
      <c r="EL33" s="36" t="str">
        <f t="shared" si="55"/>
        <v/>
      </c>
      <c r="EM33" s="37"/>
      <c r="EN33" s="33"/>
      <c r="EO33" s="34"/>
      <c r="EP33" s="35" t="str">
        <f t="shared" si="56"/>
        <v/>
      </c>
      <c r="EQ33" s="36" t="str">
        <f t="shared" si="57"/>
        <v/>
      </c>
      <c r="ER33" s="37"/>
      <c r="ES33" s="33"/>
      <c r="ET33" s="34"/>
      <c r="EU33" s="35" t="str">
        <f t="shared" si="58"/>
        <v/>
      </c>
      <c r="EV33" s="36" t="str">
        <f t="shared" si="59"/>
        <v/>
      </c>
      <c r="EW33" s="37"/>
    </row>
    <row r="34" spans="1:153" ht="19.5" customHeight="1">
      <c r="A34" s="39" t="str">
        <f>IF(DAY(DATE(対象年度,11,31))&lt;&gt;31,"",31)</f>
        <v/>
      </c>
      <c r="B34" s="39" t="str">
        <f>IF(DAY(DATE(対象年度,11,31))&lt;&gt;31,"",CHOOSE(WEEKDAY(DATE(対象年度,11,31),2),"月","火","水","木","金","土","日"))</f>
        <v/>
      </c>
      <c r="C34" s="39" t="str">
        <f>IF(DAY(DATE(対象年度,11,31))&lt;&gt;31,"",IF(ISNUMBER(MATCH(DATE(対象年度,11,31),祝日リスト,0)),"祝",""))</f>
        <v/>
      </c>
      <c r="D34" s="40"/>
      <c r="E34" s="41"/>
      <c r="F34" s="42" t="str">
        <f t="shared" si="0"/>
        <v/>
      </c>
      <c r="G34" s="43" t="str">
        <f t="shared" si="1"/>
        <v/>
      </c>
      <c r="H34" s="44"/>
      <c r="I34" s="40"/>
      <c r="J34" s="41"/>
      <c r="K34" s="42" t="str">
        <f t="shared" si="2"/>
        <v/>
      </c>
      <c r="L34" s="43" t="str">
        <f t="shared" si="3"/>
        <v/>
      </c>
      <c r="M34" s="44"/>
      <c r="N34" s="40"/>
      <c r="O34" s="41"/>
      <c r="P34" s="42" t="str">
        <f t="shared" si="4"/>
        <v/>
      </c>
      <c r="Q34" s="43" t="str">
        <f t="shared" si="5"/>
        <v/>
      </c>
      <c r="R34" s="44"/>
      <c r="S34" s="40"/>
      <c r="T34" s="41"/>
      <c r="U34" s="42" t="str">
        <f t="shared" si="6"/>
        <v/>
      </c>
      <c r="V34" s="43" t="str">
        <f t="shared" si="7"/>
        <v/>
      </c>
      <c r="W34" s="44"/>
      <c r="X34" s="40"/>
      <c r="Y34" s="41"/>
      <c r="Z34" s="42" t="str">
        <f t="shared" si="8"/>
        <v/>
      </c>
      <c r="AA34" s="43" t="str">
        <f t="shared" si="9"/>
        <v/>
      </c>
      <c r="AB34" s="44"/>
      <c r="AC34" s="40"/>
      <c r="AD34" s="41"/>
      <c r="AE34" s="42" t="str">
        <f t="shared" si="10"/>
        <v/>
      </c>
      <c r="AF34" s="43" t="str">
        <f t="shared" si="11"/>
        <v/>
      </c>
      <c r="AG34" s="44"/>
      <c r="AH34" s="40"/>
      <c r="AI34" s="41"/>
      <c r="AJ34" s="42" t="str">
        <f t="shared" si="12"/>
        <v/>
      </c>
      <c r="AK34" s="43" t="str">
        <f t="shared" si="13"/>
        <v/>
      </c>
      <c r="AL34" s="44"/>
      <c r="AM34" s="40"/>
      <c r="AN34" s="41"/>
      <c r="AO34" s="42" t="str">
        <f t="shared" si="14"/>
        <v/>
      </c>
      <c r="AP34" s="43" t="str">
        <f t="shared" si="15"/>
        <v/>
      </c>
      <c r="AQ34" s="44"/>
      <c r="AR34" s="40"/>
      <c r="AS34" s="41"/>
      <c r="AT34" s="42" t="str">
        <f t="shared" si="16"/>
        <v/>
      </c>
      <c r="AU34" s="43" t="str">
        <f t="shared" si="17"/>
        <v/>
      </c>
      <c r="AV34" s="44"/>
      <c r="AW34" s="40"/>
      <c r="AX34" s="41"/>
      <c r="AY34" s="42" t="str">
        <f t="shared" si="18"/>
        <v/>
      </c>
      <c r="AZ34" s="43" t="str">
        <f t="shared" si="19"/>
        <v/>
      </c>
      <c r="BA34" s="44"/>
      <c r="BB34" s="40"/>
      <c r="BC34" s="41"/>
      <c r="BD34" s="42" t="str">
        <f t="shared" si="20"/>
        <v/>
      </c>
      <c r="BE34" s="43" t="str">
        <f t="shared" si="21"/>
        <v/>
      </c>
      <c r="BF34" s="44"/>
      <c r="BG34" s="40"/>
      <c r="BH34" s="41"/>
      <c r="BI34" s="42" t="str">
        <f t="shared" si="22"/>
        <v/>
      </c>
      <c r="BJ34" s="43" t="str">
        <f t="shared" si="23"/>
        <v/>
      </c>
      <c r="BK34" s="44"/>
      <c r="BL34" s="40"/>
      <c r="BM34" s="41"/>
      <c r="BN34" s="42" t="str">
        <f t="shared" si="24"/>
        <v/>
      </c>
      <c r="BO34" s="43" t="str">
        <f t="shared" si="25"/>
        <v/>
      </c>
      <c r="BP34" s="44"/>
      <c r="BQ34" s="40"/>
      <c r="BR34" s="41"/>
      <c r="BS34" s="42" t="str">
        <f t="shared" si="26"/>
        <v/>
      </c>
      <c r="BT34" s="43" t="str">
        <f t="shared" si="27"/>
        <v/>
      </c>
      <c r="BU34" s="44"/>
      <c r="BV34" s="40"/>
      <c r="BW34" s="41"/>
      <c r="BX34" s="42" t="str">
        <f t="shared" si="28"/>
        <v/>
      </c>
      <c r="BY34" s="43" t="str">
        <f t="shared" si="29"/>
        <v/>
      </c>
      <c r="BZ34" s="44"/>
      <c r="CA34" s="40"/>
      <c r="CB34" s="41"/>
      <c r="CC34" s="42" t="str">
        <f t="shared" si="30"/>
        <v/>
      </c>
      <c r="CD34" s="43" t="str">
        <f t="shared" si="31"/>
        <v/>
      </c>
      <c r="CE34" s="44"/>
      <c r="CF34" s="40"/>
      <c r="CG34" s="41"/>
      <c r="CH34" s="42" t="str">
        <f t="shared" si="32"/>
        <v/>
      </c>
      <c r="CI34" s="43" t="str">
        <f t="shared" si="33"/>
        <v/>
      </c>
      <c r="CJ34" s="44"/>
      <c r="CK34" s="40"/>
      <c r="CL34" s="41"/>
      <c r="CM34" s="42" t="str">
        <f t="shared" si="34"/>
        <v/>
      </c>
      <c r="CN34" s="43" t="str">
        <f t="shared" si="35"/>
        <v/>
      </c>
      <c r="CO34" s="44"/>
      <c r="CP34" s="40"/>
      <c r="CQ34" s="41"/>
      <c r="CR34" s="42" t="str">
        <f t="shared" si="36"/>
        <v/>
      </c>
      <c r="CS34" s="43" t="str">
        <f t="shared" si="37"/>
        <v/>
      </c>
      <c r="CT34" s="44"/>
      <c r="CU34" s="40"/>
      <c r="CV34" s="41"/>
      <c r="CW34" s="42" t="str">
        <f t="shared" si="38"/>
        <v/>
      </c>
      <c r="CX34" s="43" t="str">
        <f t="shared" si="39"/>
        <v/>
      </c>
      <c r="CY34" s="44"/>
      <c r="CZ34" s="40"/>
      <c r="DA34" s="41"/>
      <c r="DB34" s="42" t="str">
        <f t="shared" si="40"/>
        <v/>
      </c>
      <c r="DC34" s="43" t="str">
        <f t="shared" si="41"/>
        <v/>
      </c>
      <c r="DD34" s="44"/>
      <c r="DE34" s="40"/>
      <c r="DF34" s="41"/>
      <c r="DG34" s="42" t="str">
        <f t="shared" si="42"/>
        <v/>
      </c>
      <c r="DH34" s="43" t="str">
        <f t="shared" si="43"/>
        <v/>
      </c>
      <c r="DI34" s="44"/>
      <c r="DJ34" s="40"/>
      <c r="DK34" s="41"/>
      <c r="DL34" s="42" t="str">
        <f t="shared" si="44"/>
        <v/>
      </c>
      <c r="DM34" s="43" t="str">
        <f t="shared" si="45"/>
        <v/>
      </c>
      <c r="DN34" s="44"/>
      <c r="DO34" s="40"/>
      <c r="DP34" s="41"/>
      <c r="DQ34" s="42" t="str">
        <f t="shared" si="46"/>
        <v/>
      </c>
      <c r="DR34" s="43" t="str">
        <f t="shared" si="47"/>
        <v/>
      </c>
      <c r="DS34" s="44"/>
      <c r="DT34" s="40"/>
      <c r="DU34" s="41"/>
      <c r="DV34" s="42" t="str">
        <f t="shared" si="48"/>
        <v/>
      </c>
      <c r="DW34" s="43" t="str">
        <f t="shared" si="49"/>
        <v/>
      </c>
      <c r="DX34" s="44"/>
      <c r="DY34" s="40"/>
      <c r="DZ34" s="41"/>
      <c r="EA34" s="42" t="str">
        <f t="shared" si="50"/>
        <v/>
      </c>
      <c r="EB34" s="43" t="str">
        <f t="shared" si="51"/>
        <v/>
      </c>
      <c r="EC34" s="44"/>
      <c r="ED34" s="40"/>
      <c r="EE34" s="41"/>
      <c r="EF34" s="42" t="str">
        <f t="shared" si="52"/>
        <v/>
      </c>
      <c r="EG34" s="43" t="str">
        <f t="shared" si="53"/>
        <v/>
      </c>
      <c r="EH34" s="44"/>
      <c r="EI34" s="40"/>
      <c r="EJ34" s="41"/>
      <c r="EK34" s="42" t="str">
        <f t="shared" si="54"/>
        <v/>
      </c>
      <c r="EL34" s="43" t="str">
        <f t="shared" si="55"/>
        <v/>
      </c>
      <c r="EM34" s="44"/>
      <c r="EN34" s="40"/>
      <c r="EO34" s="41"/>
      <c r="EP34" s="42" t="str">
        <f t="shared" si="56"/>
        <v/>
      </c>
      <c r="EQ34" s="43" t="str">
        <f t="shared" si="57"/>
        <v/>
      </c>
      <c r="ER34" s="44"/>
      <c r="ES34" s="40"/>
      <c r="ET34" s="41"/>
      <c r="EU34" s="42" t="str">
        <f t="shared" si="58"/>
        <v/>
      </c>
      <c r="EV34" s="43" t="str">
        <f t="shared" si="5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0</v>
      </c>
      <c r="E35" s="94"/>
      <c r="F35" s="94"/>
      <c r="G35" s="94"/>
      <c r="H35" s="94"/>
      <c r="I35" s="94">
        <f>COUNTIF(K4:K34,"○")</f>
        <v>0</v>
      </c>
      <c r="J35" s="94"/>
      <c r="K35" s="94"/>
      <c r="L35" s="94"/>
      <c r="M35" s="94"/>
      <c r="N35" s="94">
        <f>COUNTIF(P4:P34,"○")</f>
        <v>0</v>
      </c>
      <c r="O35" s="94"/>
      <c r="P35" s="94"/>
      <c r="Q35" s="94"/>
      <c r="R35" s="94"/>
      <c r="S35" s="94">
        <f>COUNTIF(U4:U34,"○")</f>
        <v>0</v>
      </c>
      <c r="T35" s="94"/>
      <c r="U35" s="94"/>
      <c r="V35" s="94"/>
      <c r="W35" s="94"/>
      <c r="X35" s="94">
        <f>COUNTIF(Z4:Z34,"○")</f>
        <v>0</v>
      </c>
      <c r="Y35" s="94"/>
      <c r="Z35" s="94"/>
      <c r="AA35" s="94"/>
      <c r="AB35" s="94"/>
      <c r="AC35" s="94">
        <f>COUNTIF(AE4:AE34,"○")</f>
        <v>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0</v>
      </c>
      <c r="E37" s="98"/>
      <c r="F37" s="98"/>
      <c r="G37" s="98"/>
      <c r="H37" s="98"/>
      <c r="I37" s="98">
        <f>I35+I36</f>
        <v>0</v>
      </c>
      <c r="J37" s="98"/>
      <c r="K37" s="98"/>
      <c r="L37" s="98"/>
      <c r="M37" s="98"/>
      <c r="N37" s="98">
        <f>N35+N36</f>
        <v>0</v>
      </c>
      <c r="O37" s="98"/>
      <c r="P37" s="98"/>
      <c r="Q37" s="98"/>
      <c r="R37" s="98"/>
      <c r="S37" s="98">
        <f>S35+S36</f>
        <v>0</v>
      </c>
      <c r="T37" s="98"/>
      <c r="U37" s="98"/>
      <c r="V37" s="98"/>
      <c r="W37" s="98"/>
      <c r="X37" s="98">
        <f>X35+X36</f>
        <v>0</v>
      </c>
      <c r="Y37" s="98"/>
      <c r="Z37" s="98"/>
      <c r="AA37" s="98"/>
      <c r="AB37" s="98"/>
      <c r="AC37" s="98">
        <f>AC35+AC36</f>
        <v>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0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190" priority="63">
      <formula>$B4="日"</formula>
    </cfRule>
    <cfRule type="expression" dxfId="189" priority="64">
      <formula>$B4="土"</formula>
    </cfRule>
    <cfRule type="expression" dxfId="188" priority="62">
      <formula>AND($A4&lt;&gt;"",ISNUMBER(MATCH(DATE(対象年度,11,$A4),祝日リスト,0)))</formula>
    </cfRule>
  </conditionalFormatting>
  <conditionalFormatting sqref="D4:D34">
    <cfRule type="expression" dxfId="187" priority="3">
      <formula>$D4="休業"</formula>
    </cfRule>
    <cfRule type="expression" dxfId="186" priority="2">
      <formula>$D4="有給"</formula>
    </cfRule>
  </conditionalFormatting>
  <conditionalFormatting sqref="I4:I34">
    <cfRule type="expression" dxfId="185" priority="4">
      <formula>$I4="有給"</formula>
    </cfRule>
    <cfRule type="expression" dxfId="184" priority="5">
      <formula>$I4="休業"</formula>
    </cfRule>
  </conditionalFormatting>
  <conditionalFormatting sqref="N4:N34">
    <cfRule type="expression" dxfId="183" priority="6">
      <formula>$N4="有給"</formula>
    </cfRule>
    <cfRule type="expression" dxfId="182" priority="7">
      <formula>$N4="休業"</formula>
    </cfRule>
  </conditionalFormatting>
  <conditionalFormatting sqref="S4:S34">
    <cfRule type="expression" dxfId="181" priority="8">
      <formula>$S4="有給"</formula>
    </cfRule>
    <cfRule type="expression" dxfId="180" priority="9">
      <formula>$S4="休業"</formula>
    </cfRule>
  </conditionalFormatting>
  <conditionalFormatting sqref="X4:X34">
    <cfRule type="expression" dxfId="179" priority="10">
      <formula>$X4="有給"</formula>
    </cfRule>
    <cfRule type="expression" dxfId="178" priority="11">
      <formula>$X4="休業"</formula>
    </cfRule>
  </conditionalFormatting>
  <conditionalFormatting sqref="AC4:AC34">
    <cfRule type="expression" dxfId="177" priority="12">
      <formula>$AC4="有給"</formula>
    </cfRule>
    <cfRule type="expression" dxfId="176" priority="13">
      <formula>$AC4="休業"</formula>
    </cfRule>
  </conditionalFormatting>
  <conditionalFormatting sqref="AH4:AH34">
    <cfRule type="expression" dxfId="175" priority="14">
      <formula>$AH4="有給"</formula>
    </cfRule>
    <cfRule type="expression" dxfId="174" priority="15">
      <formula>$AH4="休業"</formula>
    </cfRule>
  </conditionalFormatting>
  <conditionalFormatting sqref="AM4:AM34">
    <cfRule type="expression" dxfId="173" priority="17">
      <formula>$AM4="休業"</formula>
    </cfRule>
    <cfRule type="expression" dxfId="172" priority="16">
      <formula>$AM4="有給"</formula>
    </cfRule>
  </conditionalFormatting>
  <conditionalFormatting sqref="AR4:AR34">
    <cfRule type="expression" dxfId="171" priority="19">
      <formula>$AR4="休業"</formula>
    </cfRule>
    <cfRule type="expression" dxfId="170" priority="18">
      <formula>$AR4="有給"</formula>
    </cfRule>
  </conditionalFormatting>
  <conditionalFormatting sqref="AW4:AW34">
    <cfRule type="expression" dxfId="169" priority="20">
      <formula>$AW4="有給"</formula>
    </cfRule>
    <cfRule type="expression" dxfId="168" priority="21">
      <formula>$AW4="休業"</formula>
    </cfRule>
  </conditionalFormatting>
  <conditionalFormatting sqref="BB4:BB34">
    <cfRule type="expression" dxfId="167" priority="22">
      <formula>$BB4="有給"</formula>
    </cfRule>
    <cfRule type="expression" dxfId="166" priority="23">
      <formula>$BB4="休業"</formula>
    </cfRule>
  </conditionalFormatting>
  <conditionalFormatting sqref="BG4:BG34">
    <cfRule type="expression" dxfId="165" priority="24">
      <formula>$BG4="有給"</formula>
    </cfRule>
    <cfRule type="expression" dxfId="164" priority="25">
      <formula>$BG4="休業"</formula>
    </cfRule>
  </conditionalFormatting>
  <conditionalFormatting sqref="BL4:BL34">
    <cfRule type="expression" dxfId="163" priority="26">
      <formula>$BL4="有給"</formula>
    </cfRule>
    <cfRule type="expression" dxfId="162" priority="27">
      <formula>$BL4="休業"</formula>
    </cfRule>
  </conditionalFormatting>
  <conditionalFormatting sqref="BQ4:BQ34">
    <cfRule type="expression" dxfId="161" priority="28">
      <formula>$BQ4="有給"</formula>
    </cfRule>
    <cfRule type="expression" dxfId="160" priority="29">
      <formula>$BQ4="休業"</formula>
    </cfRule>
  </conditionalFormatting>
  <conditionalFormatting sqref="BV4:BV34">
    <cfRule type="expression" dxfId="159" priority="30">
      <formula>$BV4="有給"</formula>
    </cfRule>
    <cfRule type="expression" dxfId="158" priority="31">
      <formula>$BV4="休業"</formula>
    </cfRule>
  </conditionalFormatting>
  <conditionalFormatting sqref="CA4:CA34">
    <cfRule type="expression" dxfId="157" priority="33">
      <formula>$CA4="休業"</formula>
    </cfRule>
    <cfRule type="expression" dxfId="156" priority="32">
      <formula>$CA4="有給"</formula>
    </cfRule>
  </conditionalFormatting>
  <conditionalFormatting sqref="CF4:CF34">
    <cfRule type="expression" dxfId="155" priority="34">
      <formula>$CF4="有給"</formula>
    </cfRule>
    <cfRule type="expression" dxfId="154" priority="35">
      <formula>$CF4="休業"</formula>
    </cfRule>
  </conditionalFormatting>
  <conditionalFormatting sqref="CK4:CK34">
    <cfRule type="expression" dxfId="153" priority="37">
      <formula>$CK4="休業"</formula>
    </cfRule>
    <cfRule type="expression" dxfId="152" priority="36">
      <formula>$CK4="有給"</formula>
    </cfRule>
  </conditionalFormatting>
  <conditionalFormatting sqref="CP4:CP34">
    <cfRule type="expression" dxfId="151" priority="38">
      <formula>$CP4="有給"</formula>
    </cfRule>
    <cfRule type="expression" dxfId="150" priority="39">
      <formula>$CP4="休業"</formula>
    </cfRule>
  </conditionalFormatting>
  <conditionalFormatting sqref="CU4:CU34">
    <cfRule type="expression" dxfId="149" priority="40">
      <formula>$CU4="有給"</formula>
    </cfRule>
    <cfRule type="expression" dxfId="148" priority="41">
      <formula>$CU4="休業"</formula>
    </cfRule>
  </conditionalFormatting>
  <conditionalFormatting sqref="CZ4:CZ34">
    <cfRule type="expression" dxfId="147" priority="42">
      <formula>$CZ4="有給"</formula>
    </cfRule>
    <cfRule type="expression" dxfId="146" priority="43">
      <formula>$CZ4="休業"</formula>
    </cfRule>
  </conditionalFormatting>
  <conditionalFormatting sqref="DE4:DE34">
    <cfRule type="expression" dxfId="145" priority="44">
      <formula>$DE4="有給"</formula>
    </cfRule>
    <cfRule type="expression" dxfId="144" priority="45">
      <formula>$DE4="休業"</formula>
    </cfRule>
  </conditionalFormatting>
  <conditionalFormatting sqref="DJ4:DJ34">
    <cfRule type="expression" dxfId="143" priority="46">
      <formula>$DJ4="有給"</formula>
    </cfRule>
    <cfRule type="expression" dxfId="142" priority="47">
      <formula>$DJ4="休業"</formula>
    </cfRule>
  </conditionalFormatting>
  <conditionalFormatting sqref="DO4:DO34">
    <cfRule type="expression" dxfId="141" priority="48">
      <formula>$DO4="有給"</formula>
    </cfRule>
    <cfRule type="expression" dxfId="140" priority="49">
      <formula>$DO4="休業"</formula>
    </cfRule>
  </conditionalFormatting>
  <conditionalFormatting sqref="DT4:DT34">
    <cfRule type="expression" dxfId="139" priority="51">
      <formula>$DT4="休業"</formula>
    </cfRule>
    <cfRule type="expression" dxfId="138" priority="50">
      <formula>$DT4="有給"</formula>
    </cfRule>
  </conditionalFormatting>
  <conditionalFormatting sqref="DY4:DY34">
    <cfRule type="expression" dxfId="137" priority="52">
      <formula>$DY4="有給"</formula>
    </cfRule>
    <cfRule type="expression" dxfId="136" priority="53">
      <formula>$DY4="休業"</formula>
    </cfRule>
  </conditionalFormatting>
  <conditionalFormatting sqref="ED4:ED34">
    <cfRule type="expression" dxfId="135" priority="54">
      <formula>$ED4="有給"</formula>
    </cfRule>
    <cfRule type="expression" dxfId="134" priority="55">
      <formula>$ED4="休業"</formula>
    </cfRule>
  </conditionalFormatting>
  <conditionalFormatting sqref="EI4:EI34">
    <cfRule type="expression" dxfId="133" priority="56">
      <formula>$EI4="有給"</formula>
    </cfRule>
    <cfRule type="expression" dxfId="132" priority="57">
      <formula>$EI4="休業"</formula>
    </cfRule>
  </conditionalFormatting>
  <conditionalFormatting sqref="EN4:EN34">
    <cfRule type="expression" dxfId="131" priority="58">
      <formula>$EN4="有給"</formula>
    </cfRule>
    <cfRule type="expression" dxfId="130" priority="59">
      <formula>$EN4="休業"</formula>
    </cfRule>
  </conditionalFormatting>
  <conditionalFormatting sqref="ES4:ES34">
    <cfRule type="expression" dxfId="129" priority="60">
      <formula>$ES4="有給"</formula>
    </cfRule>
    <cfRule type="expression" dxfId="128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D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W4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12月分　出面表　"</f>
        <v xml:space="preserve"> 2026年 12月分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IFERROR(IF(従業員マスタ!$C$4="","",対象年度&amp;"年12月　"&amp;従業員マスタ!$C$4),"")</f>
        <v>2026年12月　建設　太郎</v>
      </c>
      <c r="E2" s="92"/>
      <c r="F2" s="92"/>
      <c r="G2" s="92"/>
      <c r="H2" s="92"/>
      <c r="I2" s="92" t="str">
        <f>IFERROR(IF(従業員マスタ!$C$5="","",対象年度&amp;"年12月　"&amp;従業員マスタ!$C$5),"")</f>
        <v>2026年12月　配管　次郎</v>
      </c>
      <c r="J2" s="92"/>
      <c r="K2" s="92"/>
      <c r="L2" s="92"/>
      <c r="M2" s="92"/>
      <c r="N2" s="92" t="str">
        <f>IFERROR(IF(従業員マスタ!$C$6="","",対象年度&amp;"年12月　"&amp;従業員マスタ!$C$6),"")</f>
        <v>2026年12月　設備　一郎</v>
      </c>
      <c r="O2" s="92"/>
      <c r="P2" s="92"/>
      <c r="Q2" s="92"/>
      <c r="R2" s="92"/>
      <c r="S2" s="92" t="str">
        <f>IFERROR(IF(従業員マスタ!$C$7="","",対象年度&amp;"年12月　"&amp;従業員マスタ!$C$7),"")</f>
        <v>2026年12月　土木　三郎</v>
      </c>
      <c r="T2" s="92"/>
      <c r="U2" s="92"/>
      <c r="V2" s="92"/>
      <c r="W2" s="92"/>
      <c r="X2" s="92" t="str">
        <f>IFERROR(IF(従業員マスタ!$C$8="","",対象年度&amp;"年12月　"&amp;従業員マスタ!$C$8),"")</f>
        <v>2026年12月　塗装　史郎</v>
      </c>
      <c r="Y2" s="92"/>
      <c r="Z2" s="92"/>
      <c r="AA2" s="92"/>
      <c r="AB2" s="92"/>
      <c r="AC2" s="92" t="str">
        <f>IFERROR(IF(従業員マスタ!$C$9="","",対象年度&amp;"年12月　"&amp;従業員マスタ!$C$9),"")</f>
        <v>2026年12月　電工　五郎</v>
      </c>
      <c r="AD2" s="92"/>
      <c r="AE2" s="92"/>
      <c r="AF2" s="92"/>
      <c r="AG2" s="92"/>
      <c r="AH2" s="92" t="str">
        <f>IFERROR(IF(従業員マスタ!$C$10="","",対象年度&amp;"年12月　"&amp;従業員マスタ!$C$10),"")</f>
        <v>2026年12月　現場　花子</v>
      </c>
      <c r="AI2" s="92"/>
      <c r="AJ2" s="92"/>
      <c r="AK2" s="92"/>
      <c r="AL2" s="92"/>
      <c r="AM2" s="92" t="str">
        <f>IFERROR(IF(従業員マスタ!$C$11="","",対象年度&amp;"年12月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IFERROR(IF(従業員マスタ!$C$12="","",対象年度&amp;"年12月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IFERROR(IF(従業員マスタ!$C$13="","",対象年度&amp;"年12月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IFERROR(IF(従業員マスタ!$C$14="","",対象年度&amp;"年12月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IFERROR(IF(従業員マスタ!$C$15="","",対象年度&amp;"年12月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IFERROR(IF(従業員マスタ!$C$16="","",対象年度&amp;"年12月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IFERROR(IF(従業員マスタ!$C$17="","",対象年度&amp;"年12月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IFERROR(IF(従業員マスタ!$C$18="","",対象年度&amp;"年12月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IFERROR(IF(従業員マスタ!$C$19="","",対象年度&amp;"年12月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IFERROR(IF(従業員マスタ!$C$20="","",対象年度&amp;"年12月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IFERROR(IF(従業員マスタ!$C$21="","",対象年度&amp;"年12月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IFERROR(IF(従業員マスタ!$C$22="","",対象年度&amp;"年12月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IFERROR(IF(従業員マスタ!$C$23="","",対象年度&amp;"年12月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IFERROR(IF(従業員マスタ!$C$24="","",対象年度&amp;"年12月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IFERROR(IF(従業員マスタ!$C$25="","",対象年度&amp;"年12月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IFERROR(IF(従業員マスタ!$C$26="","",対象年度&amp;"年12月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IFERROR(IF(従業員マスタ!$C$27="","",対象年度&amp;"年12月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IFERROR(IF(従業員マスタ!$C$28="","",対象年度&amp;"年12月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IFERROR(IF(従業員マスタ!$C$29="","",対象年度&amp;"年12月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IFERROR(IF(従業員マスタ!$C$30="","",対象年度&amp;"年12月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IFERROR(IF(従業員マスタ!$C$31="","",対象年度&amp;"年12月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IFERROR(IF(従業員マスタ!$C$32="","",対象年度&amp;"年12月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IFERROR(IF(従業員マスタ!$C$33="","",対象年度&amp;"年12月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IF(DAY(DATE(対象年度,12,1))&lt;&gt;1,"",1)</f>
        <v>1</v>
      </c>
      <c r="B4" s="26" t="str">
        <f>IF(DAY(DATE(対象年度,12,1))&lt;&gt;1,"",CHOOSE(WEEKDAY(DATE(対象年度,12,1),2),"月","火","水","木","金","土","日"))</f>
        <v>火</v>
      </c>
      <c r="C4" s="26" t="str">
        <f>IF(DAY(DATE(対象年度,12,1))&lt;&gt;1,"",IF(ISNUMBER(MATCH(DATE(対象年度,12,1),祝日リスト,0)),"祝",""))</f>
        <v/>
      </c>
      <c r="D4" s="27"/>
      <c r="E4" s="28"/>
      <c r="F4" s="29" t="str">
        <f t="shared" ref="F4:F34" si="0">IF(D4="","",IF(ISNUMBER(SEARCH("夜勤",D4)),"",IF(A4="","","○")))</f>
        <v/>
      </c>
      <c r="G4" s="30" t="str">
        <f t="shared" ref="G4:G34" si="1">IF(A4="","",IF(OR(AND(E4&lt;&gt;"",NOT(OR(E4="有給",E4="休業"))),ISNUMBER(SEARCH("夜勤",D4))),"○",""))</f>
        <v/>
      </c>
      <c r="H4" s="31"/>
      <c r="I4" s="27"/>
      <c r="J4" s="28"/>
      <c r="K4" s="29" t="str">
        <f t="shared" ref="K4:K34" si="2">IF(I4="","",IF(ISNUMBER(SEARCH("夜勤",I4)),"",IF(A4="","","○")))</f>
        <v/>
      </c>
      <c r="L4" s="30" t="str">
        <f t="shared" ref="L4:L34" si="3">IF(A4="","",IF(OR(AND(J4&lt;&gt;"",NOT(OR(J4="有給",J4="休業"))),ISNUMBER(SEARCH("夜勤",I4))),"○",""))</f>
        <v/>
      </c>
      <c r="M4" s="31"/>
      <c r="N4" s="27"/>
      <c r="O4" s="28"/>
      <c r="P4" s="29" t="str">
        <f t="shared" ref="P4:P34" si="4">IF(N4="","",IF(ISNUMBER(SEARCH("夜勤",N4)),"",IF(A4="","","○")))</f>
        <v/>
      </c>
      <c r="Q4" s="30" t="str">
        <f t="shared" ref="Q4:Q34" si="5">IF(A4="","",IF(OR(AND(O4&lt;&gt;"",NOT(OR(O4="有給",O4="休業"))),ISNUMBER(SEARCH("夜勤",N4))),"○",""))</f>
        <v/>
      </c>
      <c r="R4" s="31"/>
      <c r="S4" s="27"/>
      <c r="T4" s="28"/>
      <c r="U4" s="29" t="str">
        <f t="shared" ref="U4:U34" si="6">IF(S4="","",IF(ISNUMBER(SEARCH("夜勤",S4)),"",IF(A4="","","○")))</f>
        <v/>
      </c>
      <c r="V4" s="30" t="str">
        <f t="shared" ref="V4:V34" si="7">IF(A4="","",IF(OR(AND(T4&lt;&gt;"",NOT(OR(T4="有給",T4="休業"))),ISNUMBER(SEARCH("夜勤",S4))),"○",""))</f>
        <v/>
      </c>
      <c r="W4" s="31"/>
      <c r="X4" s="27"/>
      <c r="Y4" s="28"/>
      <c r="Z4" s="29" t="str">
        <f t="shared" ref="Z4:Z34" si="8">IF(X4="","",IF(ISNUMBER(SEARCH("夜勤",X4)),"",IF(A4="","","○")))</f>
        <v/>
      </c>
      <c r="AA4" s="30" t="str">
        <f t="shared" ref="AA4:AA34" si="9">IF(A4="","",IF(OR(AND(Y4&lt;&gt;"",NOT(OR(Y4="有給",Y4="休業"))),ISNUMBER(SEARCH("夜勤",X4))),"○",""))</f>
        <v/>
      </c>
      <c r="AB4" s="31"/>
      <c r="AC4" s="27"/>
      <c r="AD4" s="28"/>
      <c r="AE4" s="29" t="str">
        <f t="shared" ref="AE4:AE34" si="10">IF(AC4="","",IF(ISNUMBER(SEARCH("夜勤",AC4)),"",IF(A4="","","○")))</f>
        <v/>
      </c>
      <c r="AF4" s="30" t="str">
        <f t="shared" ref="AF4:AF34" si="11">IF(A4="","",IF(OR(AND(AD4&lt;&gt;"",NOT(OR(AD4="有給",AD4="休業"))),ISNUMBER(SEARCH("夜勤",AC4))),"○",""))</f>
        <v/>
      </c>
      <c r="AG4" s="31"/>
      <c r="AH4" s="27"/>
      <c r="AI4" s="28"/>
      <c r="AJ4" s="29" t="str">
        <f t="shared" ref="AJ4:AJ34" si="12">IF(AH4="","",IF(ISNUMBER(SEARCH("夜勤",AH4)),"",IF(A4="","","○")))</f>
        <v/>
      </c>
      <c r="AK4" s="30" t="str">
        <f t="shared" ref="AK4:AK34" si="13">IF(A4="","",IF(OR(AND(AI4&lt;&gt;"",NOT(OR(AI4="有給",AI4="休業"))),ISNUMBER(SEARCH("夜勤",AH4))),"○",""))</f>
        <v/>
      </c>
      <c r="AL4" s="31"/>
      <c r="AM4" s="27"/>
      <c r="AN4" s="28"/>
      <c r="AO4" s="29" t="str">
        <f t="shared" ref="AO4:AO34" si="14">IF(AM4="","",IF(ISNUMBER(SEARCH("夜勤",AM4)),"",IF(A4="","","○")))</f>
        <v/>
      </c>
      <c r="AP4" s="30" t="str">
        <f t="shared" ref="AP4:AP34" si="15">IF(A4="","",IF(OR(AND(AN4&lt;&gt;"",NOT(OR(AN4="有給",AN4="休業"))),ISNUMBER(SEARCH("夜勤",AM4))),"○",""))</f>
        <v/>
      </c>
      <c r="AQ4" s="31"/>
      <c r="AR4" s="27"/>
      <c r="AS4" s="28"/>
      <c r="AT4" s="29" t="str">
        <f t="shared" ref="AT4:AT34" si="16">IF(AR4="","",IF(ISNUMBER(SEARCH("夜勤",AR4)),"",IF(A4="","","○")))</f>
        <v/>
      </c>
      <c r="AU4" s="30" t="str">
        <f t="shared" ref="AU4:AU34" si="17">IF(A4="","",IF(OR(AND(AS4&lt;&gt;"",NOT(OR(AS4="有給",AS4="休業"))),ISNUMBER(SEARCH("夜勤",AR4))),"○",""))</f>
        <v/>
      </c>
      <c r="AV4" s="31"/>
      <c r="AW4" s="27"/>
      <c r="AX4" s="28"/>
      <c r="AY4" s="29" t="str">
        <f t="shared" ref="AY4:AY34" si="18">IF(AW4="","",IF(ISNUMBER(SEARCH("夜勤",AW4)),"",IF(A4="","","○")))</f>
        <v/>
      </c>
      <c r="AZ4" s="30" t="str">
        <f t="shared" ref="AZ4:AZ34" si="19">IF(A4="","",IF(OR(AND(AX4&lt;&gt;"",NOT(OR(AX4="有給",AX4="休業"))),ISNUMBER(SEARCH("夜勤",AW4))),"○",""))</f>
        <v/>
      </c>
      <c r="BA4" s="31"/>
      <c r="BB4" s="27"/>
      <c r="BC4" s="28"/>
      <c r="BD4" s="29" t="str">
        <f t="shared" ref="BD4:BD34" si="20">IF(BB4="","",IF(ISNUMBER(SEARCH("夜勤",BB4)),"",IF(A4="","","○")))</f>
        <v/>
      </c>
      <c r="BE4" s="30" t="str">
        <f t="shared" ref="BE4:BE34" si="21">IF(A4="","",IF(OR(AND(BC4&lt;&gt;"",NOT(OR(BC4="有給",BC4="休業"))),ISNUMBER(SEARCH("夜勤",BB4))),"○",""))</f>
        <v/>
      </c>
      <c r="BF4" s="31"/>
      <c r="BG4" s="27"/>
      <c r="BH4" s="28"/>
      <c r="BI4" s="29" t="str">
        <f t="shared" ref="BI4:BI34" si="22">IF(BG4="","",IF(ISNUMBER(SEARCH("夜勤",BG4)),"",IF(A4="","","○")))</f>
        <v/>
      </c>
      <c r="BJ4" s="30" t="str">
        <f t="shared" ref="BJ4:BJ34" si="2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24">IF(BL4="","",IF(ISNUMBER(SEARCH("夜勤",BL4)),"",IF(A4="","","○")))</f>
        <v/>
      </c>
      <c r="BO4" s="30" t="str">
        <f t="shared" ref="BO4:BO34" si="2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26">IF(BQ4="","",IF(ISNUMBER(SEARCH("夜勤",BQ4)),"",IF(A4="","","○")))</f>
        <v/>
      </c>
      <c r="BT4" s="30" t="str">
        <f t="shared" ref="BT4:BT34" si="2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28">IF(BV4="","",IF(ISNUMBER(SEARCH("夜勤",BV4)),"",IF(A4="","","○")))</f>
        <v/>
      </c>
      <c r="BY4" s="30" t="str">
        <f t="shared" ref="BY4:BY34" si="2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30">IF(CA4="","",IF(ISNUMBER(SEARCH("夜勤",CA4)),"",IF(A4="","","○")))</f>
        <v/>
      </c>
      <c r="CD4" s="30" t="str">
        <f t="shared" ref="CD4:CD34" si="3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32">IF(CF4="","",IF(ISNUMBER(SEARCH("夜勤",CF4)),"",IF(A4="","","○")))</f>
        <v/>
      </c>
      <c r="CI4" s="30" t="str">
        <f t="shared" ref="CI4:CI34" si="3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34">IF(CK4="","",IF(ISNUMBER(SEARCH("夜勤",CK4)),"",IF(A4="","","○")))</f>
        <v/>
      </c>
      <c r="CN4" s="30" t="str">
        <f t="shared" ref="CN4:CN34" si="3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36">IF(CP4="","",IF(ISNUMBER(SEARCH("夜勤",CP4)),"",IF(A4="","","○")))</f>
        <v/>
      </c>
      <c r="CS4" s="30" t="str">
        <f t="shared" ref="CS4:CS34" si="3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38">IF(CU4="","",IF(ISNUMBER(SEARCH("夜勤",CU4)),"",IF(A4="","","○")))</f>
        <v/>
      </c>
      <c r="CX4" s="30" t="str">
        <f t="shared" ref="CX4:CX34" si="3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40">IF(CZ4="","",IF(ISNUMBER(SEARCH("夜勤",CZ4)),"",IF(A4="","","○")))</f>
        <v/>
      </c>
      <c r="DC4" s="30" t="str">
        <f t="shared" ref="DC4:DC34" si="4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42">IF(DE4="","",IF(ISNUMBER(SEARCH("夜勤",DE4)),"",IF(A4="","","○")))</f>
        <v/>
      </c>
      <c r="DH4" s="30" t="str">
        <f t="shared" ref="DH4:DH34" si="4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44">IF(DJ4="","",IF(ISNUMBER(SEARCH("夜勤",DJ4)),"",IF(A4="","","○")))</f>
        <v/>
      </c>
      <c r="DM4" s="30" t="str">
        <f t="shared" ref="DM4:DM34" si="4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46">IF(DO4="","",IF(ISNUMBER(SEARCH("夜勤",DO4)),"",IF(A4="","","○")))</f>
        <v/>
      </c>
      <c r="DR4" s="30" t="str">
        <f t="shared" ref="DR4:DR34" si="4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48">IF(DT4="","",IF(ISNUMBER(SEARCH("夜勤",DT4)),"",IF(A4="","","○")))</f>
        <v/>
      </c>
      <c r="DW4" s="30" t="str">
        <f t="shared" ref="DW4:DW34" si="4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50">IF(DY4="","",IF(ISNUMBER(SEARCH("夜勤",DY4)),"",IF(A4="","","○")))</f>
        <v/>
      </c>
      <c r="EB4" s="30" t="str">
        <f t="shared" ref="EB4:EB34" si="5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52">IF(ED4="","",IF(ISNUMBER(SEARCH("夜勤",ED4)),"",IF(A4="","","○")))</f>
        <v/>
      </c>
      <c r="EG4" s="30" t="str">
        <f t="shared" ref="EG4:EG34" si="5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54">IF(EI4="","",IF(ISNUMBER(SEARCH("夜勤",EI4)),"",IF(A4="","","○")))</f>
        <v/>
      </c>
      <c r="EL4" s="30" t="str">
        <f t="shared" ref="EL4:EL34" si="5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56">IF(EN4="","",IF(ISNUMBER(SEARCH("夜勤",EN4)),"",IF(A4="","","○")))</f>
        <v/>
      </c>
      <c r="EQ4" s="30" t="str">
        <f t="shared" ref="EQ4:EQ34" si="5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58">IF(ES4="","",IF(ISNUMBER(SEARCH("夜勤",ES4)),"",IF(A4="","","○")))</f>
        <v/>
      </c>
      <c r="EV4" s="30" t="str">
        <f t="shared" ref="EV4:EV34" si="5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IF(DAY(DATE(対象年度,12,2))&lt;&gt;2,"",2)</f>
        <v>2</v>
      </c>
      <c r="B5" s="32" t="str">
        <f>IF(DAY(DATE(対象年度,12,2))&lt;&gt;2,"",CHOOSE(WEEKDAY(DATE(対象年度,12,2),2),"月","火","水","木","金","土","日"))</f>
        <v>水</v>
      </c>
      <c r="C5" s="32" t="str">
        <f>IF(DAY(DATE(対象年度,12,2))&lt;&gt;2,"",IF(ISNUMBER(MATCH(DATE(対象年度,12,2),祝日リスト,0)),"祝",""))</f>
        <v/>
      </c>
      <c r="D5" s="33"/>
      <c r="E5" s="34"/>
      <c r="F5" s="35" t="str">
        <f t="shared" si="0"/>
        <v/>
      </c>
      <c r="G5" s="36" t="str">
        <f t="shared" si="1"/>
        <v/>
      </c>
      <c r="H5" s="37"/>
      <c r="I5" s="33"/>
      <c r="J5" s="34"/>
      <c r="K5" s="35" t="str">
        <f t="shared" si="2"/>
        <v/>
      </c>
      <c r="L5" s="36" t="str">
        <f t="shared" si="3"/>
        <v/>
      </c>
      <c r="M5" s="37"/>
      <c r="N5" s="33"/>
      <c r="O5" s="34"/>
      <c r="P5" s="35" t="str">
        <f t="shared" si="4"/>
        <v/>
      </c>
      <c r="Q5" s="36" t="str">
        <f t="shared" si="5"/>
        <v/>
      </c>
      <c r="R5" s="37"/>
      <c r="S5" s="33"/>
      <c r="T5" s="34"/>
      <c r="U5" s="35" t="str">
        <f t="shared" si="6"/>
        <v/>
      </c>
      <c r="V5" s="36" t="str">
        <f t="shared" si="7"/>
        <v/>
      </c>
      <c r="W5" s="37"/>
      <c r="X5" s="33"/>
      <c r="Y5" s="34"/>
      <c r="Z5" s="35" t="str">
        <f t="shared" si="8"/>
        <v/>
      </c>
      <c r="AA5" s="36" t="str">
        <f t="shared" si="9"/>
        <v/>
      </c>
      <c r="AB5" s="37"/>
      <c r="AC5" s="33"/>
      <c r="AD5" s="34"/>
      <c r="AE5" s="35" t="str">
        <f t="shared" si="10"/>
        <v/>
      </c>
      <c r="AF5" s="36" t="str">
        <f t="shared" si="11"/>
        <v/>
      </c>
      <c r="AG5" s="37"/>
      <c r="AH5" s="33"/>
      <c r="AI5" s="34"/>
      <c r="AJ5" s="35" t="str">
        <f t="shared" si="12"/>
        <v/>
      </c>
      <c r="AK5" s="36" t="str">
        <f t="shared" si="13"/>
        <v/>
      </c>
      <c r="AL5" s="37"/>
      <c r="AM5" s="33"/>
      <c r="AN5" s="34"/>
      <c r="AO5" s="35" t="str">
        <f t="shared" si="14"/>
        <v/>
      </c>
      <c r="AP5" s="36" t="str">
        <f t="shared" si="15"/>
        <v/>
      </c>
      <c r="AQ5" s="37"/>
      <c r="AR5" s="33"/>
      <c r="AS5" s="34"/>
      <c r="AT5" s="35" t="str">
        <f t="shared" si="16"/>
        <v/>
      </c>
      <c r="AU5" s="36" t="str">
        <f t="shared" si="17"/>
        <v/>
      </c>
      <c r="AV5" s="37"/>
      <c r="AW5" s="33"/>
      <c r="AX5" s="34"/>
      <c r="AY5" s="35" t="str">
        <f t="shared" si="18"/>
        <v/>
      </c>
      <c r="AZ5" s="36" t="str">
        <f t="shared" si="19"/>
        <v/>
      </c>
      <c r="BA5" s="37"/>
      <c r="BB5" s="33"/>
      <c r="BC5" s="34"/>
      <c r="BD5" s="35" t="str">
        <f t="shared" si="20"/>
        <v/>
      </c>
      <c r="BE5" s="36" t="str">
        <f t="shared" si="21"/>
        <v/>
      </c>
      <c r="BF5" s="37"/>
      <c r="BG5" s="33"/>
      <c r="BH5" s="34"/>
      <c r="BI5" s="35" t="str">
        <f t="shared" si="22"/>
        <v/>
      </c>
      <c r="BJ5" s="36" t="str">
        <f t="shared" si="23"/>
        <v/>
      </c>
      <c r="BK5" s="37"/>
      <c r="BL5" s="33"/>
      <c r="BM5" s="34"/>
      <c r="BN5" s="35" t="str">
        <f t="shared" si="24"/>
        <v/>
      </c>
      <c r="BO5" s="36" t="str">
        <f t="shared" si="25"/>
        <v/>
      </c>
      <c r="BP5" s="37"/>
      <c r="BQ5" s="33"/>
      <c r="BR5" s="34"/>
      <c r="BS5" s="35" t="str">
        <f t="shared" si="26"/>
        <v/>
      </c>
      <c r="BT5" s="36" t="str">
        <f t="shared" si="27"/>
        <v/>
      </c>
      <c r="BU5" s="37"/>
      <c r="BV5" s="33"/>
      <c r="BW5" s="34"/>
      <c r="BX5" s="35" t="str">
        <f t="shared" si="28"/>
        <v/>
      </c>
      <c r="BY5" s="36" t="str">
        <f t="shared" si="29"/>
        <v/>
      </c>
      <c r="BZ5" s="37"/>
      <c r="CA5" s="33"/>
      <c r="CB5" s="34"/>
      <c r="CC5" s="35" t="str">
        <f t="shared" si="30"/>
        <v/>
      </c>
      <c r="CD5" s="36" t="str">
        <f t="shared" si="31"/>
        <v/>
      </c>
      <c r="CE5" s="37"/>
      <c r="CF5" s="33"/>
      <c r="CG5" s="34"/>
      <c r="CH5" s="35" t="str">
        <f t="shared" si="32"/>
        <v/>
      </c>
      <c r="CI5" s="36" t="str">
        <f t="shared" si="33"/>
        <v/>
      </c>
      <c r="CJ5" s="37"/>
      <c r="CK5" s="33"/>
      <c r="CL5" s="34"/>
      <c r="CM5" s="35" t="str">
        <f t="shared" si="34"/>
        <v/>
      </c>
      <c r="CN5" s="36" t="str">
        <f t="shared" si="35"/>
        <v/>
      </c>
      <c r="CO5" s="37"/>
      <c r="CP5" s="33"/>
      <c r="CQ5" s="34"/>
      <c r="CR5" s="35" t="str">
        <f t="shared" si="36"/>
        <v/>
      </c>
      <c r="CS5" s="36" t="str">
        <f t="shared" si="37"/>
        <v/>
      </c>
      <c r="CT5" s="37"/>
      <c r="CU5" s="33"/>
      <c r="CV5" s="34"/>
      <c r="CW5" s="35" t="str">
        <f t="shared" si="38"/>
        <v/>
      </c>
      <c r="CX5" s="36" t="str">
        <f t="shared" si="39"/>
        <v/>
      </c>
      <c r="CY5" s="37"/>
      <c r="CZ5" s="33"/>
      <c r="DA5" s="34"/>
      <c r="DB5" s="35" t="str">
        <f t="shared" si="40"/>
        <v/>
      </c>
      <c r="DC5" s="36" t="str">
        <f t="shared" si="41"/>
        <v/>
      </c>
      <c r="DD5" s="37"/>
      <c r="DE5" s="33"/>
      <c r="DF5" s="34"/>
      <c r="DG5" s="35" t="str">
        <f t="shared" si="42"/>
        <v/>
      </c>
      <c r="DH5" s="36" t="str">
        <f t="shared" si="43"/>
        <v/>
      </c>
      <c r="DI5" s="37"/>
      <c r="DJ5" s="33"/>
      <c r="DK5" s="34"/>
      <c r="DL5" s="35" t="str">
        <f t="shared" si="44"/>
        <v/>
      </c>
      <c r="DM5" s="36" t="str">
        <f t="shared" si="45"/>
        <v/>
      </c>
      <c r="DN5" s="37"/>
      <c r="DO5" s="33"/>
      <c r="DP5" s="34"/>
      <c r="DQ5" s="35" t="str">
        <f t="shared" si="46"/>
        <v/>
      </c>
      <c r="DR5" s="36" t="str">
        <f t="shared" si="47"/>
        <v/>
      </c>
      <c r="DS5" s="37"/>
      <c r="DT5" s="33"/>
      <c r="DU5" s="34"/>
      <c r="DV5" s="35" t="str">
        <f t="shared" si="48"/>
        <v/>
      </c>
      <c r="DW5" s="36" t="str">
        <f t="shared" si="49"/>
        <v/>
      </c>
      <c r="DX5" s="37"/>
      <c r="DY5" s="33"/>
      <c r="DZ5" s="34"/>
      <c r="EA5" s="35" t="str">
        <f t="shared" si="50"/>
        <v/>
      </c>
      <c r="EB5" s="36" t="str">
        <f t="shared" si="51"/>
        <v/>
      </c>
      <c r="EC5" s="37"/>
      <c r="ED5" s="33"/>
      <c r="EE5" s="34"/>
      <c r="EF5" s="35" t="str">
        <f t="shared" si="52"/>
        <v/>
      </c>
      <c r="EG5" s="36" t="str">
        <f t="shared" si="53"/>
        <v/>
      </c>
      <c r="EH5" s="37"/>
      <c r="EI5" s="33"/>
      <c r="EJ5" s="34"/>
      <c r="EK5" s="35" t="str">
        <f t="shared" si="54"/>
        <v/>
      </c>
      <c r="EL5" s="36" t="str">
        <f t="shared" si="55"/>
        <v/>
      </c>
      <c r="EM5" s="37"/>
      <c r="EN5" s="33"/>
      <c r="EO5" s="34"/>
      <c r="EP5" s="35" t="str">
        <f t="shared" si="56"/>
        <v/>
      </c>
      <c r="EQ5" s="36" t="str">
        <f t="shared" si="57"/>
        <v/>
      </c>
      <c r="ER5" s="37"/>
      <c r="ES5" s="33"/>
      <c r="ET5" s="34"/>
      <c r="EU5" s="35" t="str">
        <f t="shared" si="58"/>
        <v/>
      </c>
      <c r="EV5" s="36" t="str">
        <f t="shared" si="59"/>
        <v/>
      </c>
      <c r="EW5" s="37"/>
    </row>
    <row r="6" spans="1:153" ht="19.5" customHeight="1">
      <c r="A6" s="32">
        <f>IF(DAY(DATE(対象年度,12,3))&lt;&gt;3,"",3)</f>
        <v>3</v>
      </c>
      <c r="B6" s="32" t="str">
        <f>IF(DAY(DATE(対象年度,12,3))&lt;&gt;3,"",CHOOSE(WEEKDAY(DATE(対象年度,12,3),2),"月","火","水","木","金","土","日"))</f>
        <v>木</v>
      </c>
      <c r="C6" s="32" t="str">
        <f>IF(DAY(DATE(対象年度,12,3))&lt;&gt;3,"",IF(ISNUMBER(MATCH(DATE(対象年度,12,3),祝日リスト,0)),"祝",""))</f>
        <v/>
      </c>
      <c r="D6" s="33"/>
      <c r="E6" s="34"/>
      <c r="F6" s="35" t="str">
        <f t="shared" si="0"/>
        <v/>
      </c>
      <c r="G6" s="36" t="str">
        <f t="shared" si="1"/>
        <v/>
      </c>
      <c r="H6" s="37"/>
      <c r="I6" s="33"/>
      <c r="J6" s="34"/>
      <c r="K6" s="35" t="str">
        <f t="shared" si="2"/>
        <v/>
      </c>
      <c r="L6" s="36" t="str">
        <f t="shared" si="3"/>
        <v/>
      </c>
      <c r="M6" s="37"/>
      <c r="N6" s="33"/>
      <c r="O6" s="34"/>
      <c r="P6" s="35" t="str">
        <f t="shared" si="4"/>
        <v/>
      </c>
      <c r="Q6" s="36" t="str">
        <f t="shared" si="5"/>
        <v/>
      </c>
      <c r="R6" s="37"/>
      <c r="S6" s="33"/>
      <c r="T6" s="34"/>
      <c r="U6" s="35" t="str">
        <f t="shared" si="6"/>
        <v/>
      </c>
      <c r="V6" s="36" t="str">
        <f t="shared" si="7"/>
        <v/>
      </c>
      <c r="W6" s="37"/>
      <c r="X6" s="33"/>
      <c r="Y6" s="34"/>
      <c r="Z6" s="35" t="str">
        <f t="shared" si="8"/>
        <v/>
      </c>
      <c r="AA6" s="36" t="str">
        <f t="shared" si="9"/>
        <v/>
      </c>
      <c r="AB6" s="37"/>
      <c r="AC6" s="33"/>
      <c r="AD6" s="34"/>
      <c r="AE6" s="35" t="str">
        <f t="shared" si="10"/>
        <v/>
      </c>
      <c r="AF6" s="36" t="str">
        <f t="shared" si="11"/>
        <v/>
      </c>
      <c r="AG6" s="37"/>
      <c r="AH6" s="33"/>
      <c r="AI6" s="34"/>
      <c r="AJ6" s="35" t="str">
        <f t="shared" si="12"/>
        <v/>
      </c>
      <c r="AK6" s="36" t="str">
        <f t="shared" si="13"/>
        <v/>
      </c>
      <c r="AL6" s="37"/>
      <c r="AM6" s="33"/>
      <c r="AN6" s="34"/>
      <c r="AO6" s="35" t="str">
        <f t="shared" si="14"/>
        <v/>
      </c>
      <c r="AP6" s="36" t="str">
        <f t="shared" si="15"/>
        <v/>
      </c>
      <c r="AQ6" s="37"/>
      <c r="AR6" s="33"/>
      <c r="AS6" s="34"/>
      <c r="AT6" s="35" t="str">
        <f t="shared" si="16"/>
        <v/>
      </c>
      <c r="AU6" s="36" t="str">
        <f t="shared" si="17"/>
        <v/>
      </c>
      <c r="AV6" s="37"/>
      <c r="AW6" s="33"/>
      <c r="AX6" s="34"/>
      <c r="AY6" s="35" t="str">
        <f t="shared" si="18"/>
        <v/>
      </c>
      <c r="AZ6" s="36" t="str">
        <f t="shared" si="19"/>
        <v/>
      </c>
      <c r="BA6" s="37"/>
      <c r="BB6" s="33"/>
      <c r="BC6" s="34"/>
      <c r="BD6" s="35" t="str">
        <f t="shared" si="20"/>
        <v/>
      </c>
      <c r="BE6" s="36" t="str">
        <f t="shared" si="21"/>
        <v/>
      </c>
      <c r="BF6" s="37"/>
      <c r="BG6" s="33"/>
      <c r="BH6" s="34"/>
      <c r="BI6" s="35" t="str">
        <f t="shared" si="22"/>
        <v/>
      </c>
      <c r="BJ6" s="36" t="str">
        <f t="shared" si="23"/>
        <v/>
      </c>
      <c r="BK6" s="37"/>
      <c r="BL6" s="33"/>
      <c r="BM6" s="34"/>
      <c r="BN6" s="35" t="str">
        <f t="shared" si="24"/>
        <v/>
      </c>
      <c r="BO6" s="36" t="str">
        <f t="shared" si="25"/>
        <v/>
      </c>
      <c r="BP6" s="37"/>
      <c r="BQ6" s="33"/>
      <c r="BR6" s="34"/>
      <c r="BS6" s="35" t="str">
        <f t="shared" si="26"/>
        <v/>
      </c>
      <c r="BT6" s="36" t="str">
        <f t="shared" si="27"/>
        <v/>
      </c>
      <c r="BU6" s="37"/>
      <c r="BV6" s="33"/>
      <c r="BW6" s="34"/>
      <c r="BX6" s="35" t="str">
        <f t="shared" si="28"/>
        <v/>
      </c>
      <c r="BY6" s="36" t="str">
        <f t="shared" si="29"/>
        <v/>
      </c>
      <c r="BZ6" s="37"/>
      <c r="CA6" s="33"/>
      <c r="CB6" s="34"/>
      <c r="CC6" s="35" t="str">
        <f t="shared" si="30"/>
        <v/>
      </c>
      <c r="CD6" s="36" t="str">
        <f t="shared" si="31"/>
        <v/>
      </c>
      <c r="CE6" s="37"/>
      <c r="CF6" s="33"/>
      <c r="CG6" s="34"/>
      <c r="CH6" s="35" t="str">
        <f t="shared" si="32"/>
        <v/>
      </c>
      <c r="CI6" s="36" t="str">
        <f t="shared" si="33"/>
        <v/>
      </c>
      <c r="CJ6" s="37"/>
      <c r="CK6" s="33"/>
      <c r="CL6" s="34"/>
      <c r="CM6" s="35" t="str">
        <f t="shared" si="34"/>
        <v/>
      </c>
      <c r="CN6" s="36" t="str">
        <f t="shared" si="35"/>
        <v/>
      </c>
      <c r="CO6" s="37"/>
      <c r="CP6" s="33"/>
      <c r="CQ6" s="34"/>
      <c r="CR6" s="35" t="str">
        <f t="shared" si="36"/>
        <v/>
      </c>
      <c r="CS6" s="36" t="str">
        <f t="shared" si="37"/>
        <v/>
      </c>
      <c r="CT6" s="37"/>
      <c r="CU6" s="33"/>
      <c r="CV6" s="34"/>
      <c r="CW6" s="35" t="str">
        <f t="shared" si="38"/>
        <v/>
      </c>
      <c r="CX6" s="36" t="str">
        <f t="shared" si="39"/>
        <v/>
      </c>
      <c r="CY6" s="37"/>
      <c r="CZ6" s="33"/>
      <c r="DA6" s="34"/>
      <c r="DB6" s="35" t="str">
        <f t="shared" si="40"/>
        <v/>
      </c>
      <c r="DC6" s="36" t="str">
        <f t="shared" si="41"/>
        <v/>
      </c>
      <c r="DD6" s="37"/>
      <c r="DE6" s="33"/>
      <c r="DF6" s="34"/>
      <c r="DG6" s="35" t="str">
        <f t="shared" si="42"/>
        <v/>
      </c>
      <c r="DH6" s="36" t="str">
        <f t="shared" si="43"/>
        <v/>
      </c>
      <c r="DI6" s="37"/>
      <c r="DJ6" s="33"/>
      <c r="DK6" s="34"/>
      <c r="DL6" s="35" t="str">
        <f t="shared" si="44"/>
        <v/>
      </c>
      <c r="DM6" s="36" t="str">
        <f t="shared" si="45"/>
        <v/>
      </c>
      <c r="DN6" s="37"/>
      <c r="DO6" s="33"/>
      <c r="DP6" s="34"/>
      <c r="DQ6" s="35" t="str">
        <f t="shared" si="46"/>
        <v/>
      </c>
      <c r="DR6" s="36" t="str">
        <f t="shared" si="47"/>
        <v/>
      </c>
      <c r="DS6" s="37"/>
      <c r="DT6" s="33"/>
      <c r="DU6" s="34"/>
      <c r="DV6" s="35" t="str">
        <f t="shared" si="48"/>
        <v/>
      </c>
      <c r="DW6" s="36" t="str">
        <f t="shared" si="49"/>
        <v/>
      </c>
      <c r="DX6" s="37"/>
      <c r="DY6" s="33"/>
      <c r="DZ6" s="34"/>
      <c r="EA6" s="35" t="str">
        <f t="shared" si="50"/>
        <v/>
      </c>
      <c r="EB6" s="36" t="str">
        <f t="shared" si="51"/>
        <v/>
      </c>
      <c r="EC6" s="37"/>
      <c r="ED6" s="33"/>
      <c r="EE6" s="34"/>
      <c r="EF6" s="35" t="str">
        <f t="shared" si="52"/>
        <v/>
      </c>
      <c r="EG6" s="36" t="str">
        <f t="shared" si="53"/>
        <v/>
      </c>
      <c r="EH6" s="37"/>
      <c r="EI6" s="33"/>
      <c r="EJ6" s="34"/>
      <c r="EK6" s="35" t="str">
        <f t="shared" si="54"/>
        <v/>
      </c>
      <c r="EL6" s="36" t="str">
        <f t="shared" si="55"/>
        <v/>
      </c>
      <c r="EM6" s="37"/>
      <c r="EN6" s="33"/>
      <c r="EO6" s="34"/>
      <c r="EP6" s="35" t="str">
        <f t="shared" si="56"/>
        <v/>
      </c>
      <c r="EQ6" s="36" t="str">
        <f t="shared" si="57"/>
        <v/>
      </c>
      <c r="ER6" s="37"/>
      <c r="ES6" s="33"/>
      <c r="ET6" s="34"/>
      <c r="EU6" s="35" t="str">
        <f t="shared" si="58"/>
        <v/>
      </c>
      <c r="EV6" s="36" t="str">
        <f t="shared" si="59"/>
        <v/>
      </c>
      <c r="EW6" s="37"/>
    </row>
    <row r="7" spans="1:153" ht="19.5" customHeight="1">
      <c r="A7" s="32">
        <f>IF(DAY(DATE(対象年度,12,4))&lt;&gt;4,"",4)</f>
        <v>4</v>
      </c>
      <c r="B7" s="32" t="str">
        <f>IF(DAY(DATE(対象年度,12,4))&lt;&gt;4,"",CHOOSE(WEEKDAY(DATE(対象年度,12,4),2),"月","火","水","木","金","土","日"))</f>
        <v>金</v>
      </c>
      <c r="C7" s="32" t="str">
        <f>IF(DAY(DATE(対象年度,12,4))&lt;&gt;4,"",IF(ISNUMBER(MATCH(DATE(対象年度,12,4),祝日リスト,0)),"祝",""))</f>
        <v/>
      </c>
      <c r="D7" s="33"/>
      <c r="E7" s="34"/>
      <c r="F7" s="35" t="str">
        <f t="shared" si="0"/>
        <v/>
      </c>
      <c r="G7" s="36" t="str">
        <f t="shared" si="1"/>
        <v/>
      </c>
      <c r="H7" s="37"/>
      <c r="I7" s="33"/>
      <c r="J7" s="34"/>
      <c r="K7" s="35" t="str">
        <f t="shared" si="2"/>
        <v/>
      </c>
      <c r="L7" s="36" t="str">
        <f t="shared" si="3"/>
        <v/>
      </c>
      <c r="M7" s="37"/>
      <c r="N7" s="33"/>
      <c r="O7" s="34"/>
      <c r="P7" s="35" t="str">
        <f t="shared" si="4"/>
        <v/>
      </c>
      <c r="Q7" s="36" t="str">
        <f t="shared" si="5"/>
        <v/>
      </c>
      <c r="R7" s="37"/>
      <c r="S7" s="33"/>
      <c r="T7" s="34"/>
      <c r="U7" s="35" t="str">
        <f t="shared" si="6"/>
        <v/>
      </c>
      <c r="V7" s="36" t="str">
        <f t="shared" si="7"/>
        <v/>
      </c>
      <c r="W7" s="37"/>
      <c r="X7" s="33"/>
      <c r="Y7" s="34"/>
      <c r="Z7" s="35" t="str">
        <f t="shared" si="8"/>
        <v/>
      </c>
      <c r="AA7" s="36" t="str">
        <f t="shared" si="9"/>
        <v/>
      </c>
      <c r="AB7" s="37"/>
      <c r="AC7" s="33"/>
      <c r="AD7" s="34"/>
      <c r="AE7" s="35" t="str">
        <f t="shared" si="10"/>
        <v/>
      </c>
      <c r="AF7" s="36" t="str">
        <f t="shared" si="11"/>
        <v/>
      </c>
      <c r="AG7" s="37"/>
      <c r="AH7" s="33"/>
      <c r="AI7" s="34"/>
      <c r="AJ7" s="35" t="str">
        <f t="shared" si="12"/>
        <v/>
      </c>
      <c r="AK7" s="36" t="str">
        <f t="shared" si="13"/>
        <v/>
      </c>
      <c r="AL7" s="37"/>
      <c r="AM7" s="33"/>
      <c r="AN7" s="34"/>
      <c r="AO7" s="35" t="str">
        <f t="shared" si="14"/>
        <v/>
      </c>
      <c r="AP7" s="36" t="str">
        <f t="shared" si="15"/>
        <v/>
      </c>
      <c r="AQ7" s="37"/>
      <c r="AR7" s="33"/>
      <c r="AS7" s="34"/>
      <c r="AT7" s="35" t="str">
        <f t="shared" si="16"/>
        <v/>
      </c>
      <c r="AU7" s="36" t="str">
        <f t="shared" si="17"/>
        <v/>
      </c>
      <c r="AV7" s="37"/>
      <c r="AW7" s="33"/>
      <c r="AX7" s="34"/>
      <c r="AY7" s="35" t="str">
        <f t="shared" si="18"/>
        <v/>
      </c>
      <c r="AZ7" s="36" t="str">
        <f t="shared" si="19"/>
        <v/>
      </c>
      <c r="BA7" s="37"/>
      <c r="BB7" s="33"/>
      <c r="BC7" s="34"/>
      <c r="BD7" s="35" t="str">
        <f t="shared" si="20"/>
        <v/>
      </c>
      <c r="BE7" s="36" t="str">
        <f t="shared" si="21"/>
        <v/>
      </c>
      <c r="BF7" s="37"/>
      <c r="BG7" s="33"/>
      <c r="BH7" s="34"/>
      <c r="BI7" s="35" t="str">
        <f t="shared" si="22"/>
        <v/>
      </c>
      <c r="BJ7" s="36" t="str">
        <f t="shared" si="23"/>
        <v/>
      </c>
      <c r="BK7" s="37"/>
      <c r="BL7" s="33"/>
      <c r="BM7" s="34"/>
      <c r="BN7" s="35" t="str">
        <f t="shared" si="24"/>
        <v/>
      </c>
      <c r="BO7" s="36" t="str">
        <f t="shared" si="25"/>
        <v/>
      </c>
      <c r="BP7" s="37"/>
      <c r="BQ7" s="33"/>
      <c r="BR7" s="34"/>
      <c r="BS7" s="35" t="str">
        <f t="shared" si="26"/>
        <v/>
      </c>
      <c r="BT7" s="36" t="str">
        <f t="shared" si="27"/>
        <v/>
      </c>
      <c r="BU7" s="37"/>
      <c r="BV7" s="33"/>
      <c r="BW7" s="34"/>
      <c r="BX7" s="35" t="str">
        <f t="shared" si="28"/>
        <v/>
      </c>
      <c r="BY7" s="36" t="str">
        <f t="shared" si="29"/>
        <v/>
      </c>
      <c r="BZ7" s="37"/>
      <c r="CA7" s="33"/>
      <c r="CB7" s="34"/>
      <c r="CC7" s="35" t="str">
        <f t="shared" si="30"/>
        <v/>
      </c>
      <c r="CD7" s="36" t="str">
        <f t="shared" si="31"/>
        <v/>
      </c>
      <c r="CE7" s="37"/>
      <c r="CF7" s="33"/>
      <c r="CG7" s="34"/>
      <c r="CH7" s="35" t="str">
        <f t="shared" si="32"/>
        <v/>
      </c>
      <c r="CI7" s="36" t="str">
        <f t="shared" si="33"/>
        <v/>
      </c>
      <c r="CJ7" s="37"/>
      <c r="CK7" s="33"/>
      <c r="CL7" s="34"/>
      <c r="CM7" s="35" t="str">
        <f t="shared" si="34"/>
        <v/>
      </c>
      <c r="CN7" s="36" t="str">
        <f t="shared" si="35"/>
        <v/>
      </c>
      <c r="CO7" s="37"/>
      <c r="CP7" s="33"/>
      <c r="CQ7" s="34"/>
      <c r="CR7" s="35" t="str">
        <f t="shared" si="36"/>
        <v/>
      </c>
      <c r="CS7" s="36" t="str">
        <f t="shared" si="37"/>
        <v/>
      </c>
      <c r="CT7" s="37"/>
      <c r="CU7" s="33"/>
      <c r="CV7" s="34"/>
      <c r="CW7" s="35" t="str">
        <f t="shared" si="38"/>
        <v/>
      </c>
      <c r="CX7" s="36" t="str">
        <f t="shared" si="39"/>
        <v/>
      </c>
      <c r="CY7" s="37"/>
      <c r="CZ7" s="33"/>
      <c r="DA7" s="34"/>
      <c r="DB7" s="35" t="str">
        <f t="shared" si="40"/>
        <v/>
      </c>
      <c r="DC7" s="36" t="str">
        <f t="shared" si="41"/>
        <v/>
      </c>
      <c r="DD7" s="37"/>
      <c r="DE7" s="33"/>
      <c r="DF7" s="34"/>
      <c r="DG7" s="35" t="str">
        <f t="shared" si="42"/>
        <v/>
      </c>
      <c r="DH7" s="36" t="str">
        <f t="shared" si="43"/>
        <v/>
      </c>
      <c r="DI7" s="37"/>
      <c r="DJ7" s="33"/>
      <c r="DK7" s="34"/>
      <c r="DL7" s="35" t="str">
        <f t="shared" si="44"/>
        <v/>
      </c>
      <c r="DM7" s="36" t="str">
        <f t="shared" si="45"/>
        <v/>
      </c>
      <c r="DN7" s="37"/>
      <c r="DO7" s="33"/>
      <c r="DP7" s="34"/>
      <c r="DQ7" s="35" t="str">
        <f t="shared" si="46"/>
        <v/>
      </c>
      <c r="DR7" s="36" t="str">
        <f t="shared" si="47"/>
        <v/>
      </c>
      <c r="DS7" s="37"/>
      <c r="DT7" s="33"/>
      <c r="DU7" s="34"/>
      <c r="DV7" s="35" t="str">
        <f t="shared" si="48"/>
        <v/>
      </c>
      <c r="DW7" s="36" t="str">
        <f t="shared" si="49"/>
        <v/>
      </c>
      <c r="DX7" s="37"/>
      <c r="DY7" s="33"/>
      <c r="DZ7" s="34"/>
      <c r="EA7" s="35" t="str">
        <f t="shared" si="50"/>
        <v/>
      </c>
      <c r="EB7" s="36" t="str">
        <f t="shared" si="51"/>
        <v/>
      </c>
      <c r="EC7" s="37"/>
      <c r="ED7" s="33"/>
      <c r="EE7" s="34"/>
      <c r="EF7" s="35" t="str">
        <f t="shared" si="52"/>
        <v/>
      </c>
      <c r="EG7" s="36" t="str">
        <f t="shared" si="53"/>
        <v/>
      </c>
      <c r="EH7" s="37"/>
      <c r="EI7" s="33"/>
      <c r="EJ7" s="34"/>
      <c r="EK7" s="35" t="str">
        <f t="shared" si="54"/>
        <v/>
      </c>
      <c r="EL7" s="36" t="str">
        <f t="shared" si="55"/>
        <v/>
      </c>
      <c r="EM7" s="37"/>
      <c r="EN7" s="33"/>
      <c r="EO7" s="34"/>
      <c r="EP7" s="35" t="str">
        <f t="shared" si="56"/>
        <v/>
      </c>
      <c r="EQ7" s="36" t="str">
        <f t="shared" si="57"/>
        <v/>
      </c>
      <c r="ER7" s="37"/>
      <c r="ES7" s="33"/>
      <c r="ET7" s="34"/>
      <c r="EU7" s="35" t="str">
        <f t="shared" si="58"/>
        <v/>
      </c>
      <c r="EV7" s="36" t="str">
        <f t="shared" si="59"/>
        <v/>
      </c>
      <c r="EW7" s="37"/>
    </row>
    <row r="8" spans="1:153" ht="19.5" customHeight="1">
      <c r="A8" s="32">
        <f>IF(DAY(DATE(対象年度,12,5))&lt;&gt;5,"",5)</f>
        <v>5</v>
      </c>
      <c r="B8" s="32" t="str">
        <f>IF(DAY(DATE(対象年度,12,5))&lt;&gt;5,"",CHOOSE(WEEKDAY(DATE(対象年度,12,5),2),"月","火","水","木","金","土","日"))</f>
        <v>土</v>
      </c>
      <c r="C8" s="32" t="str">
        <f>IF(DAY(DATE(対象年度,12,5))&lt;&gt;5,"",IF(ISNUMBER(MATCH(DATE(対象年度,12,5),祝日リスト,0)),"祝",""))</f>
        <v/>
      </c>
      <c r="D8" s="33"/>
      <c r="E8" s="34"/>
      <c r="F8" s="35" t="str">
        <f t="shared" si="0"/>
        <v/>
      </c>
      <c r="G8" s="36" t="str">
        <f t="shared" si="1"/>
        <v/>
      </c>
      <c r="H8" s="37"/>
      <c r="I8" s="33"/>
      <c r="J8" s="34"/>
      <c r="K8" s="35" t="str">
        <f t="shared" si="2"/>
        <v/>
      </c>
      <c r="L8" s="36" t="str">
        <f t="shared" si="3"/>
        <v/>
      </c>
      <c r="M8" s="37"/>
      <c r="N8" s="33"/>
      <c r="O8" s="34"/>
      <c r="P8" s="35" t="str">
        <f t="shared" si="4"/>
        <v/>
      </c>
      <c r="Q8" s="36" t="str">
        <f t="shared" si="5"/>
        <v/>
      </c>
      <c r="R8" s="37"/>
      <c r="S8" s="33"/>
      <c r="T8" s="34"/>
      <c r="U8" s="35" t="str">
        <f t="shared" si="6"/>
        <v/>
      </c>
      <c r="V8" s="36" t="str">
        <f t="shared" si="7"/>
        <v/>
      </c>
      <c r="W8" s="37"/>
      <c r="X8" s="33"/>
      <c r="Y8" s="34"/>
      <c r="Z8" s="35" t="str">
        <f t="shared" si="8"/>
        <v/>
      </c>
      <c r="AA8" s="36" t="str">
        <f t="shared" si="9"/>
        <v/>
      </c>
      <c r="AB8" s="37"/>
      <c r="AC8" s="33"/>
      <c r="AD8" s="34"/>
      <c r="AE8" s="35" t="str">
        <f t="shared" si="10"/>
        <v/>
      </c>
      <c r="AF8" s="36" t="str">
        <f t="shared" si="11"/>
        <v/>
      </c>
      <c r="AG8" s="37"/>
      <c r="AH8" s="33"/>
      <c r="AI8" s="34"/>
      <c r="AJ8" s="35" t="str">
        <f t="shared" si="12"/>
        <v/>
      </c>
      <c r="AK8" s="36" t="str">
        <f t="shared" si="13"/>
        <v/>
      </c>
      <c r="AL8" s="37"/>
      <c r="AM8" s="33"/>
      <c r="AN8" s="34"/>
      <c r="AO8" s="35" t="str">
        <f t="shared" si="14"/>
        <v/>
      </c>
      <c r="AP8" s="36" t="str">
        <f t="shared" si="15"/>
        <v/>
      </c>
      <c r="AQ8" s="37"/>
      <c r="AR8" s="33"/>
      <c r="AS8" s="34"/>
      <c r="AT8" s="35" t="str">
        <f t="shared" si="16"/>
        <v/>
      </c>
      <c r="AU8" s="36" t="str">
        <f t="shared" si="17"/>
        <v/>
      </c>
      <c r="AV8" s="37"/>
      <c r="AW8" s="33"/>
      <c r="AX8" s="34"/>
      <c r="AY8" s="35" t="str">
        <f t="shared" si="18"/>
        <v/>
      </c>
      <c r="AZ8" s="36" t="str">
        <f t="shared" si="19"/>
        <v/>
      </c>
      <c r="BA8" s="37"/>
      <c r="BB8" s="33"/>
      <c r="BC8" s="34"/>
      <c r="BD8" s="35" t="str">
        <f t="shared" si="20"/>
        <v/>
      </c>
      <c r="BE8" s="36" t="str">
        <f t="shared" si="21"/>
        <v/>
      </c>
      <c r="BF8" s="37"/>
      <c r="BG8" s="33"/>
      <c r="BH8" s="34"/>
      <c r="BI8" s="35" t="str">
        <f t="shared" si="22"/>
        <v/>
      </c>
      <c r="BJ8" s="36" t="str">
        <f t="shared" si="23"/>
        <v/>
      </c>
      <c r="BK8" s="37"/>
      <c r="BL8" s="33"/>
      <c r="BM8" s="34"/>
      <c r="BN8" s="35" t="str">
        <f t="shared" si="24"/>
        <v/>
      </c>
      <c r="BO8" s="36" t="str">
        <f t="shared" si="25"/>
        <v/>
      </c>
      <c r="BP8" s="37"/>
      <c r="BQ8" s="33"/>
      <c r="BR8" s="34"/>
      <c r="BS8" s="35" t="str">
        <f t="shared" si="26"/>
        <v/>
      </c>
      <c r="BT8" s="36" t="str">
        <f t="shared" si="27"/>
        <v/>
      </c>
      <c r="BU8" s="37"/>
      <c r="BV8" s="33"/>
      <c r="BW8" s="34"/>
      <c r="BX8" s="35" t="str">
        <f t="shared" si="28"/>
        <v/>
      </c>
      <c r="BY8" s="36" t="str">
        <f t="shared" si="29"/>
        <v/>
      </c>
      <c r="BZ8" s="37"/>
      <c r="CA8" s="33"/>
      <c r="CB8" s="34"/>
      <c r="CC8" s="35" t="str">
        <f t="shared" si="30"/>
        <v/>
      </c>
      <c r="CD8" s="36" t="str">
        <f t="shared" si="31"/>
        <v/>
      </c>
      <c r="CE8" s="37"/>
      <c r="CF8" s="33"/>
      <c r="CG8" s="34"/>
      <c r="CH8" s="35" t="str">
        <f t="shared" si="32"/>
        <v/>
      </c>
      <c r="CI8" s="36" t="str">
        <f t="shared" si="33"/>
        <v/>
      </c>
      <c r="CJ8" s="37"/>
      <c r="CK8" s="33"/>
      <c r="CL8" s="34"/>
      <c r="CM8" s="35" t="str">
        <f t="shared" si="34"/>
        <v/>
      </c>
      <c r="CN8" s="36" t="str">
        <f t="shared" si="35"/>
        <v/>
      </c>
      <c r="CO8" s="37"/>
      <c r="CP8" s="33"/>
      <c r="CQ8" s="34"/>
      <c r="CR8" s="35" t="str">
        <f t="shared" si="36"/>
        <v/>
      </c>
      <c r="CS8" s="36" t="str">
        <f t="shared" si="37"/>
        <v/>
      </c>
      <c r="CT8" s="37"/>
      <c r="CU8" s="33"/>
      <c r="CV8" s="34"/>
      <c r="CW8" s="35" t="str">
        <f t="shared" si="38"/>
        <v/>
      </c>
      <c r="CX8" s="36" t="str">
        <f t="shared" si="39"/>
        <v/>
      </c>
      <c r="CY8" s="37"/>
      <c r="CZ8" s="33"/>
      <c r="DA8" s="34"/>
      <c r="DB8" s="35" t="str">
        <f t="shared" si="40"/>
        <v/>
      </c>
      <c r="DC8" s="36" t="str">
        <f t="shared" si="41"/>
        <v/>
      </c>
      <c r="DD8" s="37"/>
      <c r="DE8" s="33"/>
      <c r="DF8" s="34"/>
      <c r="DG8" s="35" t="str">
        <f t="shared" si="42"/>
        <v/>
      </c>
      <c r="DH8" s="36" t="str">
        <f t="shared" si="43"/>
        <v/>
      </c>
      <c r="DI8" s="37"/>
      <c r="DJ8" s="33"/>
      <c r="DK8" s="34"/>
      <c r="DL8" s="35" t="str">
        <f t="shared" si="44"/>
        <v/>
      </c>
      <c r="DM8" s="36" t="str">
        <f t="shared" si="45"/>
        <v/>
      </c>
      <c r="DN8" s="37"/>
      <c r="DO8" s="33"/>
      <c r="DP8" s="34"/>
      <c r="DQ8" s="35" t="str">
        <f t="shared" si="46"/>
        <v/>
      </c>
      <c r="DR8" s="36" t="str">
        <f t="shared" si="47"/>
        <v/>
      </c>
      <c r="DS8" s="37"/>
      <c r="DT8" s="33"/>
      <c r="DU8" s="34"/>
      <c r="DV8" s="35" t="str">
        <f t="shared" si="48"/>
        <v/>
      </c>
      <c r="DW8" s="36" t="str">
        <f t="shared" si="49"/>
        <v/>
      </c>
      <c r="DX8" s="37"/>
      <c r="DY8" s="33"/>
      <c r="DZ8" s="34"/>
      <c r="EA8" s="35" t="str">
        <f t="shared" si="50"/>
        <v/>
      </c>
      <c r="EB8" s="36" t="str">
        <f t="shared" si="51"/>
        <v/>
      </c>
      <c r="EC8" s="37"/>
      <c r="ED8" s="33"/>
      <c r="EE8" s="34"/>
      <c r="EF8" s="35" t="str">
        <f t="shared" si="52"/>
        <v/>
      </c>
      <c r="EG8" s="36" t="str">
        <f t="shared" si="53"/>
        <v/>
      </c>
      <c r="EH8" s="37"/>
      <c r="EI8" s="33"/>
      <c r="EJ8" s="34"/>
      <c r="EK8" s="35" t="str">
        <f t="shared" si="54"/>
        <v/>
      </c>
      <c r="EL8" s="36" t="str">
        <f t="shared" si="55"/>
        <v/>
      </c>
      <c r="EM8" s="37"/>
      <c r="EN8" s="33"/>
      <c r="EO8" s="34"/>
      <c r="EP8" s="35" t="str">
        <f t="shared" si="56"/>
        <v/>
      </c>
      <c r="EQ8" s="36" t="str">
        <f t="shared" si="57"/>
        <v/>
      </c>
      <c r="ER8" s="37"/>
      <c r="ES8" s="33"/>
      <c r="ET8" s="34"/>
      <c r="EU8" s="35" t="str">
        <f t="shared" si="58"/>
        <v/>
      </c>
      <c r="EV8" s="36" t="str">
        <f t="shared" si="59"/>
        <v/>
      </c>
      <c r="EW8" s="37"/>
    </row>
    <row r="9" spans="1:153" ht="19.5" customHeight="1">
      <c r="A9" s="32">
        <f>IF(DAY(DATE(対象年度,12,6))&lt;&gt;6,"",6)</f>
        <v>6</v>
      </c>
      <c r="B9" s="32" t="str">
        <f>IF(DAY(DATE(対象年度,12,6))&lt;&gt;6,"",CHOOSE(WEEKDAY(DATE(対象年度,12,6),2),"月","火","水","木","金","土","日"))</f>
        <v>日</v>
      </c>
      <c r="C9" s="32" t="str">
        <f>IF(DAY(DATE(対象年度,12,6))&lt;&gt;6,"",IF(ISNUMBER(MATCH(DATE(対象年度,12,6),祝日リスト,0)),"祝",""))</f>
        <v/>
      </c>
      <c r="D9" s="33"/>
      <c r="E9" s="34"/>
      <c r="F9" s="35" t="str">
        <f t="shared" si="0"/>
        <v/>
      </c>
      <c r="G9" s="36" t="str">
        <f t="shared" si="1"/>
        <v/>
      </c>
      <c r="H9" s="37"/>
      <c r="I9" s="33"/>
      <c r="J9" s="34"/>
      <c r="K9" s="35" t="str">
        <f t="shared" si="2"/>
        <v/>
      </c>
      <c r="L9" s="36" t="str">
        <f t="shared" si="3"/>
        <v/>
      </c>
      <c r="M9" s="37"/>
      <c r="N9" s="33"/>
      <c r="O9" s="34"/>
      <c r="P9" s="35" t="str">
        <f t="shared" si="4"/>
        <v/>
      </c>
      <c r="Q9" s="36" t="str">
        <f t="shared" si="5"/>
        <v/>
      </c>
      <c r="R9" s="37"/>
      <c r="S9" s="33"/>
      <c r="T9" s="34"/>
      <c r="U9" s="35" t="str">
        <f t="shared" si="6"/>
        <v/>
      </c>
      <c r="V9" s="36" t="str">
        <f t="shared" si="7"/>
        <v/>
      </c>
      <c r="W9" s="37"/>
      <c r="X9" s="33"/>
      <c r="Y9" s="34"/>
      <c r="Z9" s="35" t="str">
        <f t="shared" si="8"/>
        <v/>
      </c>
      <c r="AA9" s="36" t="str">
        <f t="shared" si="9"/>
        <v/>
      </c>
      <c r="AB9" s="37"/>
      <c r="AC9" s="33"/>
      <c r="AD9" s="34"/>
      <c r="AE9" s="35" t="str">
        <f t="shared" si="10"/>
        <v/>
      </c>
      <c r="AF9" s="36" t="str">
        <f t="shared" si="11"/>
        <v/>
      </c>
      <c r="AG9" s="37"/>
      <c r="AH9" s="33"/>
      <c r="AI9" s="34"/>
      <c r="AJ9" s="35" t="str">
        <f t="shared" si="12"/>
        <v/>
      </c>
      <c r="AK9" s="36" t="str">
        <f t="shared" si="13"/>
        <v/>
      </c>
      <c r="AL9" s="37"/>
      <c r="AM9" s="33"/>
      <c r="AN9" s="34"/>
      <c r="AO9" s="35" t="str">
        <f t="shared" si="14"/>
        <v/>
      </c>
      <c r="AP9" s="36" t="str">
        <f t="shared" si="15"/>
        <v/>
      </c>
      <c r="AQ9" s="37"/>
      <c r="AR9" s="33"/>
      <c r="AS9" s="34"/>
      <c r="AT9" s="35" t="str">
        <f t="shared" si="16"/>
        <v/>
      </c>
      <c r="AU9" s="36" t="str">
        <f t="shared" si="17"/>
        <v/>
      </c>
      <c r="AV9" s="37"/>
      <c r="AW9" s="33"/>
      <c r="AX9" s="34"/>
      <c r="AY9" s="35" t="str">
        <f t="shared" si="18"/>
        <v/>
      </c>
      <c r="AZ9" s="36" t="str">
        <f t="shared" si="19"/>
        <v/>
      </c>
      <c r="BA9" s="37"/>
      <c r="BB9" s="33"/>
      <c r="BC9" s="34"/>
      <c r="BD9" s="35" t="str">
        <f t="shared" si="20"/>
        <v/>
      </c>
      <c r="BE9" s="36" t="str">
        <f t="shared" si="21"/>
        <v/>
      </c>
      <c r="BF9" s="37"/>
      <c r="BG9" s="33"/>
      <c r="BH9" s="34"/>
      <c r="BI9" s="35" t="str">
        <f t="shared" si="22"/>
        <v/>
      </c>
      <c r="BJ9" s="36" t="str">
        <f t="shared" si="23"/>
        <v/>
      </c>
      <c r="BK9" s="37"/>
      <c r="BL9" s="33"/>
      <c r="BM9" s="34"/>
      <c r="BN9" s="35" t="str">
        <f t="shared" si="24"/>
        <v/>
      </c>
      <c r="BO9" s="36" t="str">
        <f t="shared" si="25"/>
        <v/>
      </c>
      <c r="BP9" s="37"/>
      <c r="BQ9" s="33"/>
      <c r="BR9" s="34"/>
      <c r="BS9" s="35" t="str">
        <f t="shared" si="26"/>
        <v/>
      </c>
      <c r="BT9" s="36" t="str">
        <f t="shared" si="27"/>
        <v/>
      </c>
      <c r="BU9" s="37"/>
      <c r="BV9" s="33"/>
      <c r="BW9" s="34"/>
      <c r="BX9" s="35" t="str">
        <f t="shared" si="28"/>
        <v/>
      </c>
      <c r="BY9" s="36" t="str">
        <f t="shared" si="29"/>
        <v/>
      </c>
      <c r="BZ9" s="37"/>
      <c r="CA9" s="33"/>
      <c r="CB9" s="34"/>
      <c r="CC9" s="35" t="str">
        <f t="shared" si="30"/>
        <v/>
      </c>
      <c r="CD9" s="36" t="str">
        <f t="shared" si="31"/>
        <v/>
      </c>
      <c r="CE9" s="37"/>
      <c r="CF9" s="33"/>
      <c r="CG9" s="34"/>
      <c r="CH9" s="35" t="str">
        <f t="shared" si="32"/>
        <v/>
      </c>
      <c r="CI9" s="36" t="str">
        <f t="shared" si="33"/>
        <v/>
      </c>
      <c r="CJ9" s="37"/>
      <c r="CK9" s="33"/>
      <c r="CL9" s="34"/>
      <c r="CM9" s="35" t="str">
        <f t="shared" si="34"/>
        <v/>
      </c>
      <c r="CN9" s="36" t="str">
        <f t="shared" si="35"/>
        <v/>
      </c>
      <c r="CO9" s="37"/>
      <c r="CP9" s="33"/>
      <c r="CQ9" s="34"/>
      <c r="CR9" s="35" t="str">
        <f t="shared" si="36"/>
        <v/>
      </c>
      <c r="CS9" s="36" t="str">
        <f t="shared" si="37"/>
        <v/>
      </c>
      <c r="CT9" s="37"/>
      <c r="CU9" s="33"/>
      <c r="CV9" s="34"/>
      <c r="CW9" s="35" t="str">
        <f t="shared" si="38"/>
        <v/>
      </c>
      <c r="CX9" s="36" t="str">
        <f t="shared" si="39"/>
        <v/>
      </c>
      <c r="CY9" s="37"/>
      <c r="CZ9" s="33"/>
      <c r="DA9" s="34"/>
      <c r="DB9" s="35" t="str">
        <f t="shared" si="40"/>
        <v/>
      </c>
      <c r="DC9" s="36" t="str">
        <f t="shared" si="41"/>
        <v/>
      </c>
      <c r="DD9" s="37"/>
      <c r="DE9" s="33"/>
      <c r="DF9" s="34"/>
      <c r="DG9" s="35" t="str">
        <f t="shared" si="42"/>
        <v/>
      </c>
      <c r="DH9" s="36" t="str">
        <f t="shared" si="43"/>
        <v/>
      </c>
      <c r="DI9" s="37"/>
      <c r="DJ9" s="33"/>
      <c r="DK9" s="34"/>
      <c r="DL9" s="35" t="str">
        <f t="shared" si="44"/>
        <v/>
      </c>
      <c r="DM9" s="36" t="str">
        <f t="shared" si="45"/>
        <v/>
      </c>
      <c r="DN9" s="37"/>
      <c r="DO9" s="33"/>
      <c r="DP9" s="34"/>
      <c r="DQ9" s="35" t="str">
        <f t="shared" si="46"/>
        <v/>
      </c>
      <c r="DR9" s="36" t="str">
        <f t="shared" si="47"/>
        <v/>
      </c>
      <c r="DS9" s="37"/>
      <c r="DT9" s="33"/>
      <c r="DU9" s="34"/>
      <c r="DV9" s="35" t="str">
        <f t="shared" si="48"/>
        <v/>
      </c>
      <c r="DW9" s="36" t="str">
        <f t="shared" si="49"/>
        <v/>
      </c>
      <c r="DX9" s="37"/>
      <c r="DY9" s="33"/>
      <c r="DZ9" s="34"/>
      <c r="EA9" s="35" t="str">
        <f t="shared" si="50"/>
        <v/>
      </c>
      <c r="EB9" s="36" t="str">
        <f t="shared" si="51"/>
        <v/>
      </c>
      <c r="EC9" s="37"/>
      <c r="ED9" s="33"/>
      <c r="EE9" s="34"/>
      <c r="EF9" s="35" t="str">
        <f t="shared" si="52"/>
        <v/>
      </c>
      <c r="EG9" s="36" t="str">
        <f t="shared" si="53"/>
        <v/>
      </c>
      <c r="EH9" s="37"/>
      <c r="EI9" s="33"/>
      <c r="EJ9" s="34"/>
      <c r="EK9" s="35" t="str">
        <f t="shared" si="54"/>
        <v/>
      </c>
      <c r="EL9" s="36" t="str">
        <f t="shared" si="55"/>
        <v/>
      </c>
      <c r="EM9" s="37"/>
      <c r="EN9" s="33"/>
      <c r="EO9" s="34"/>
      <c r="EP9" s="35" t="str">
        <f t="shared" si="56"/>
        <v/>
      </c>
      <c r="EQ9" s="36" t="str">
        <f t="shared" si="57"/>
        <v/>
      </c>
      <c r="ER9" s="37"/>
      <c r="ES9" s="33"/>
      <c r="ET9" s="34"/>
      <c r="EU9" s="35" t="str">
        <f t="shared" si="58"/>
        <v/>
      </c>
      <c r="EV9" s="36" t="str">
        <f t="shared" si="59"/>
        <v/>
      </c>
      <c r="EW9" s="37"/>
    </row>
    <row r="10" spans="1:153" ht="19.5" customHeight="1">
      <c r="A10" s="32">
        <f>IF(DAY(DATE(対象年度,12,7))&lt;&gt;7,"",7)</f>
        <v>7</v>
      </c>
      <c r="B10" s="32" t="str">
        <f>IF(DAY(DATE(対象年度,12,7))&lt;&gt;7,"",CHOOSE(WEEKDAY(DATE(対象年度,12,7),2),"月","火","水","木","金","土","日"))</f>
        <v>月</v>
      </c>
      <c r="C10" s="32" t="str">
        <f>IF(DAY(DATE(対象年度,12,7))&lt;&gt;7,"",IF(ISNUMBER(MATCH(DATE(対象年度,12,7),祝日リスト,0)),"祝",""))</f>
        <v/>
      </c>
      <c r="D10" s="33"/>
      <c r="E10" s="34"/>
      <c r="F10" s="35" t="str">
        <f t="shared" si="0"/>
        <v/>
      </c>
      <c r="G10" s="36" t="str">
        <f t="shared" si="1"/>
        <v/>
      </c>
      <c r="H10" s="37"/>
      <c r="I10" s="33"/>
      <c r="J10" s="34"/>
      <c r="K10" s="35" t="str">
        <f t="shared" si="2"/>
        <v/>
      </c>
      <c r="L10" s="36" t="str">
        <f t="shared" si="3"/>
        <v/>
      </c>
      <c r="M10" s="37"/>
      <c r="N10" s="33"/>
      <c r="O10" s="34"/>
      <c r="P10" s="35" t="str">
        <f t="shared" si="4"/>
        <v/>
      </c>
      <c r="Q10" s="36" t="str">
        <f t="shared" si="5"/>
        <v/>
      </c>
      <c r="R10" s="37"/>
      <c r="S10" s="33"/>
      <c r="T10" s="34"/>
      <c r="U10" s="35" t="str">
        <f t="shared" si="6"/>
        <v/>
      </c>
      <c r="V10" s="36" t="str">
        <f t="shared" si="7"/>
        <v/>
      </c>
      <c r="W10" s="37"/>
      <c r="X10" s="33"/>
      <c r="Y10" s="34"/>
      <c r="Z10" s="35" t="str">
        <f t="shared" si="8"/>
        <v/>
      </c>
      <c r="AA10" s="36" t="str">
        <f t="shared" si="9"/>
        <v/>
      </c>
      <c r="AB10" s="37"/>
      <c r="AC10" s="33"/>
      <c r="AD10" s="34"/>
      <c r="AE10" s="35" t="str">
        <f t="shared" si="10"/>
        <v/>
      </c>
      <c r="AF10" s="36" t="str">
        <f t="shared" si="11"/>
        <v/>
      </c>
      <c r="AG10" s="37"/>
      <c r="AH10" s="33"/>
      <c r="AI10" s="34"/>
      <c r="AJ10" s="35" t="str">
        <f t="shared" si="12"/>
        <v/>
      </c>
      <c r="AK10" s="36" t="str">
        <f t="shared" si="13"/>
        <v/>
      </c>
      <c r="AL10" s="37"/>
      <c r="AM10" s="33"/>
      <c r="AN10" s="34"/>
      <c r="AO10" s="35" t="str">
        <f t="shared" si="14"/>
        <v/>
      </c>
      <c r="AP10" s="36" t="str">
        <f t="shared" si="15"/>
        <v/>
      </c>
      <c r="AQ10" s="37"/>
      <c r="AR10" s="33"/>
      <c r="AS10" s="34"/>
      <c r="AT10" s="35" t="str">
        <f t="shared" si="16"/>
        <v/>
      </c>
      <c r="AU10" s="36" t="str">
        <f t="shared" si="17"/>
        <v/>
      </c>
      <c r="AV10" s="37"/>
      <c r="AW10" s="33"/>
      <c r="AX10" s="34"/>
      <c r="AY10" s="35" t="str">
        <f t="shared" si="18"/>
        <v/>
      </c>
      <c r="AZ10" s="36" t="str">
        <f t="shared" si="19"/>
        <v/>
      </c>
      <c r="BA10" s="37"/>
      <c r="BB10" s="33"/>
      <c r="BC10" s="34"/>
      <c r="BD10" s="35" t="str">
        <f t="shared" si="20"/>
        <v/>
      </c>
      <c r="BE10" s="36" t="str">
        <f t="shared" si="21"/>
        <v/>
      </c>
      <c r="BF10" s="37"/>
      <c r="BG10" s="33"/>
      <c r="BH10" s="34"/>
      <c r="BI10" s="35" t="str">
        <f t="shared" si="22"/>
        <v/>
      </c>
      <c r="BJ10" s="36" t="str">
        <f t="shared" si="23"/>
        <v/>
      </c>
      <c r="BK10" s="37"/>
      <c r="BL10" s="33"/>
      <c r="BM10" s="34"/>
      <c r="BN10" s="35" t="str">
        <f t="shared" si="24"/>
        <v/>
      </c>
      <c r="BO10" s="36" t="str">
        <f t="shared" si="25"/>
        <v/>
      </c>
      <c r="BP10" s="37"/>
      <c r="BQ10" s="33"/>
      <c r="BR10" s="34"/>
      <c r="BS10" s="35" t="str">
        <f t="shared" si="26"/>
        <v/>
      </c>
      <c r="BT10" s="36" t="str">
        <f t="shared" si="27"/>
        <v/>
      </c>
      <c r="BU10" s="37"/>
      <c r="BV10" s="33"/>
      <c r="BW10" s="34"/>
      <c r="BX10" s="35" t="str">
        <f t="shared" si="28"/>
        <v/>
      </c>
      <c r="BY10" s="36" t="str">
        <f t="shared" si="29"/>
        <v/>
      </c>
      <c r="BZ10" s="37"/>
      <c r="CA10" s="33"/>
      <c r="CB10" s="34"/>
      <c r="CC10" s="35" t="str">
        <f t="shared" si="30"/>
        <v/>
      </c>
      <c r="CD10" s="36" t="str">
        <f t="shared" si="31"/>
        <v/>
      </c>
      <c r="CE10" s="37"/>
      <c r="CF10" s="33"/>
      <c r="CG10" s="34"/>
      <c r="CH10" s="35" t="str">
        <f t="shared" si="32"/>
        <v/>
      </c>
      <c r="CI10" s="36" t="str">
        <f t="shared" si="33"/>
        <v/>
      </c>
      <c r="CJ10" s="37"/>
      <c r="CK10" s="33"/>
      <c r="CL10" s="34"/>
      <c r="CM10" s="35" t="str">
        <f t="shared" si="34"/>
        <v/>
      </c>
      <c r="CN10" s="36" t="str">
        <f t="shared" si="35"/>
        <v/>
      </c>
      <c r="CO10" s="37"/>
      <c r="CP10" s="33"/>
      <c r="CQ10" s="34"/>
      <c r="CR10" s="35" t="str">
        <f t="shared" si="36"/>
        <v/>
      </c>
      <c r="CS10" s="36" t="str">
        <f t="shared" si="37"/>
        <v/>
      </c>
      <c r="CT10" s="37"/>
      <c r="CU10" s="33"/>
      <c r="CV10" s="34"/>
      <c r="CW10" s="35" t="str">
        <f t="shared" si="38"/>
        <v/>
      </c>
      <c r="CX10" s="36" t="str">
        <f t="shared" si="39"/>
        <v/>
      </c>
      <c r="CY10" s="37"/>
      <c r="CZ10" s="33"/>
      <c r="DA10" s="34"/>
      <c r="DB10" s="35" t="str">
        <f t="shared" si="40"/>
        <v/>
      </c>
      <c r="DC10" s="36" t="str">
        <f t="shared" si="41"/>
        <v/>
      </c>
      <c r="DD10" s="37"/>
      <c r="DE10" s="33"/>
      <c r="DF10" s="34"/>
      <c r="DG10" s="35" t="str">
        <f t="shared" si="42"/>
        <v/>
      </c>
      <c r="DH10" s="36" t="str">
        <f t="shared" si="43"/>
        <v/>
      </c>
      <c r="DI10" s="37"/>
      <c r="DJ10" s="33"/>
      <c r="DK10" s="34"/>
      <c r="DL10" s="35" t="str">
        <f t="shared" si="44"/>
        <v/>
      </c>
      <c r="DM10" s="36" t="str">
        <f t="shared" si="45"/>
        <v/>
      </c>
      <c r="DN10" s="37"/>
      <c r="DO10" s="33"/>
      <c r="DP10" s="34"/>
      <c r="DQ10" s="35" t="str">
        <f t="shared" si="46"/>
        <v/>
      </c>
      <c r="DR10" s="36" t="str">
        <f t="shared" si="47"/>
        <v/>
      </c>
      <c r="DS10" s="37"/>
      <c r="DT10" s="33"/>
      <c r="DU10" s="34"/>
      <c r="DV10" s="35" t="str">
        <f t="shared" si="48"/>
        <v/>
      </c>
      <c r="DW10" s="36" t="str">
        <f t="shared" si="49"/>
        <v/>
      </c>
      <c r="DX10" s="37"/>
      <c r="DY10" s="33"/>
      <c r="DZ10" s="34"/>
      <c r="EA10" s="35" t="str">
        <f t="shared" si="50"/>
        <v/>
      </c>
      <c r="EB10" s="36" t="str">
        <f t="shared" si="51"/>
        <v/>
      </c>
      <c r="EC10" s="37"/>
      <c r="ED10" s="33"/>
      <c r="EE10" s="34"/>
      <c r="EF10" s="35" t="str">
        <f t="shared" si="52"/>
        <v/>
      </c>
      <c r="EG10" s="36" t="str">
        <f t="shared" si="53"/>
        <v/>
      </c>
      <c r="EH10" s="37"/>
      <c r="EI10" s="33"/>
      <c r="EJ10" s="34"/>
      <c r="EK10" s="35" t="str">
        <f t="shared" si="54"/>
        <v/>
      </c>
      <c r="EL10" s="36" t="str">
        <f t="shared" si="55"/>
        <v/>
      </c>
      <c r="EM10" s="37"/>
      <c r="EN10" s="33"/>
      <c r="EO10" s="34"/>
      <c r="EP10" s="35" t="str">
        <f t="shared" si="56"/>
        <v/>
      </c>
      <c r="EQ10" s="36" t="str">
        <f t="shared" si="57"/>
        <v/>
      </c>
      <c r="ER10" s="37"/>
      <c r="ES10" s="33"/>
      <c r="ET10" s="34"/>
      <c r="EU10" s="35" t="str">
        <f t="shared" si="58"/>
        <v/>
      </c>
      <c r="EV10" s="36" t="str">
        <f t="shared" si="59"/>
        <v/>
      </c>
      <c r="EW10" s="37"/>
    </row>
    <row r="11" spans="1:153" ht="19.5" customHeight="1">
      <c r="A11" s="32">
        <f>IF(DAY(DATE(対象年度,12,8))&lt;&gt;8,"",8)</f>
        <v>8</v>
      </c>
      <c r="B11" s="32" t="str">
        <f>IF(DAY(DATE(対象年度,12,8))&lt;&gt;8,"",CHOOSE(WEEKDAY(DATE(対象年度,12,8),2),"月","火","水","木","金","土","日"))</f>
        <v>火</v>
      </c>
      <c r="C11" s="32" t="str">
        <f>IF(DAY(DATE(対象年度,12,8))&lt;&gt;8,"",IF(ISNUMBER(MATCH(DATE(対象年度,12,8),祝日リスト,0)),"祝",""))</f>
        <v/>
      </c>
      <c r="D11" s="33"/>
      <c r="E11" s="34"/>
      <c r="F11" s="35" t="str">
        <f t="shared" si="0"/>
        <v/>
      </c>
      <c r="G11" s="36" t="str">
        <f t="shared" si="1"/>
        <v/>
      </c>
      <c r="H11" s="37"/>
      <c r="I11" s="33"/>
      <c r="J11" s="34"/>
      <c r="K11" s="35" t="str">
        <f t="shared" si="2"/>
        <v/>
      </c>
      <c r="L11" s="36" t="str">
        <f t="shared" si="3"/>
        <v/>
      </c>
      <c r="M11" s="37"/>
      <c r="N11" s="33"/>
      <c r="O11" s="34"/>
      <c r="P11" s="35" t="str">
        <f t="shared" si="4"/>
        <v/>
      </c>
      <c r="Q11" s="36" t="str">
        <f t="shared" si="5"/>
        <v/>
      </c>
      <c r="R11" s="37"/>
      <c r="S11" s="33"/>
      <c r="T11" s="34"/>
      <c r="U11" s="35" t="str">
        <f t="shared" si="6"/>
        <v/>
      </c>
      <c r="V11" s="36" t="str">
        <f t="shared" si="7"/>
        <v/>
      </c>
      <c r="W11" s="37"/>
      <c r="X11" s="33"/>
      <c r="Y11" s="34"/>
      <c r="Z11" s="35" t="str">
        <f t="shared" si="8"/>
        <v/>
      </c>
      <c r="AA11" s="36" t="str">
        <f t="shared" si="9"/>
        <v/>
      </c>
      <c r="AB11" s="37"/>
      <c r="AC11" s="33"/>
      <c r="AD11" s="34"/>
      <c r="AE11" s="35" t="str">
        <f t="shared" si="10"/>
        <v/>
      </c>
      <c r="AF11" s="36" t="str">
        <f t="shared" si="11"/>
        <v/>
      </c>
      <c r="AG11" s="37"/>
      <c r="AH11" s="33"/>
      <c r="AI11" s="34"/>
      <c r="AJ11" s="35" t="str">
        <f t="shared" si="12"/>
        <v/>
      </c>
      <c r="AK11" s="36" t="str">
        <f t="shared" si="13"/>
        <v/>
      </c>
      <c r="AL11" s="37"/>
      <c r="AM11" s="33"/>
      <c r="AN11" s="34"/>
      <c r="AO11" s="35" t="str">
        <f t="shared" si="14"/>
        <v/>
      </c>
      <c r="AP11" s="36" t="str">
        <f t="shared" si="15"/>
        <v/>
      </c>
      <c r="AQ11" s="37"/>
      <c r="AR11" s="33"/>
      <c r="AS11" s="34"/>
      <c r="AT11" s="35" t="str">
        <f t="shared" si="16"/>
        <v/>
      </c>
      <c r="AU11" s="36" t="str">
        <f t="shared" si="17"/>
        <v/>
      </c>
      <c r="AV11" s="37"/>
      <c r="AW11" s="33"/>
      <c r="AX11" s="34"/>
      <c r="AY11" s="35" t="str">
        <f t="shared" si="18"/>
        <v/>
      </c>
      <c r="AZ11" s="36" t="str">
        <f t="shared" si="19"/>
        <v/>
      </c>
      <c r="BA11" s="37"/>
      <c r="BB11" s="33"/>
      <c r="BC11" s="34"/>
      <c r="BD11" s="35" t="str">
        <f t="shared" si="20"/>
        <v/>
      </c>
      <c r="BE11" s="36" t="str">
        <f t="shared" si="21"/>
        <v/>
      </c>
      <c r="BF11" s="37"/>
      <c r="BG11" s="33"/>
      <c r="BH11" s="34"/>
      <c r="BI11" s="35" t="str">
        <f t="shared" si="22"/>
        <v/>
      </c>
      <c r="BJ11" s="36" t="str">
        <f t="shared" si="23"/>
        <v/>
      </c>
      <c r="BK11" s="37"/>
      <c r="BL11" s="33"/>
      <c r="BM11" s="34"/>
      <c r="BN11" s="35" t="str">
        <f t="shared" si="24"/>
        <v/>
      </c>
      <c r="BO11" s="36" t="str">
        <f t="shared" si="25"/>
        <v/>
      </c>
      <c r="BP11" s="37"/>
      <c r="BQ11" s="33"/>
      <c r="BR11" s="34"/>
      <c r="BS11" s="35" t="str">
        <f t="shared" si="26"/>
        <v/>
      </c>
      <c r="BT11" s="36" t="str">
        <f t="shared" si="27"/>
        <v/>
      </c>
      <c r="BU11" s="37"/>
      <c r="BV11" s="33"/>
      <c r="BW11" s="34"/>
      <c r="BX11" s="35" t="str">
        <f t="shared" si="28"/>
        <v/>
      </c>
      <c r="BY11" s="36" t="str">
        <f t="shared" si="29"/>
        <v/>
      </c>
      <c r="BZ11" s="37"/>
      <c r="CA11" s="33"/>
      <c r="CB11" s="34"/>
      <c r="CC11" s="35" t="str">
        <f t="shared" si="30"/>
        <v/>
      </c>
      <c r="CD11" s="36" t="str">
        <f t="shared" si="31"/>
        <v/>
      </c>
      <c r="CE11" s="37"/>
      <c r="CF11" s="33"/>
      <c r="CG11" s="34"/>
      <c r="CH11" s="35" t="str">
        <f t="shared" si="32"/>
        <v/>
      </c>
      <c r="CI11" s="36" t="str">
        <f t="shared" si="33"/>
        <v/>
      </c>
      <c r="CJ11" s="37"/>
      <c r="CK11" s="33"/>
      <c r="CL11" s="34"/>
      <c r="CM11" s="35" t="str">
        <f t="shared" si="34"/>
        <v/>
      </c>
      <c r="CN11" s="36" t="str">
        <f t="shared" si="35"/>
        <v/>
      </c>
      <c r="CO11" s="37"/>
      <c r="CP11" s="33"/>
      <c r="CQ11" s="34"/>
      <c r="CR11" s="35" t="str">
        <f t="shared" si="36"/>
        <v/>
      </c>
      <c r="CS11" s="36" t="str">
        <f t="shared" si="37"/>
        <v/>
      </c>
      <c r="CT11" s="37"/>
      <c r="CU11" s="33"/>
      <c r="CV11" s="34"/>
      <c r="CW11" s="35" t="str">
        <f t="shared" si="38"/>
        <v/>
      </c>
      <c r="CX11" s="36" t="str">
        <f t="shared" si="39"/>
        <v/>
      </c>
      <c r="CY11" s="37"/>
      <c r="CZ11" s="33"/>
      <c r="DA11" s="34"/>
      <c r="DB11" s="35" t="str">
        <f t="shared" si="40"/>
        <v/>
      </c>
      <c r="DC11" s="36" t="str">
        <f t="shared" si="41"/>
        <v/>
      </c>
      <c r="DD11" s="37"/>
      <c r="DE11" s="33"/>
      <c r="DF11" s="34"/>
      <c r="DG11" s="35" t="str">
        <f t="shared" si="42"/>
        <v/>
      </c>
      <c r="DH11" s="36" t="str">
        <f t="shared" si="43"/>
        <v/>
      </c>
      <c r="DI11" s="37"/>
      <c r="DJ11" s="33"/>
      <c r="DK11" s="34"/>
      <c r="DL11" s="35" t="str">
        <f t="shared" si="44"/>
        <v/>
      </c>
      <c r="DM11" s="36" t="str">
        <f t="shared" si="45"/>
        <v/>
      </c>
      <c r="DN11" s="37"/>
      <c r="DO11" s="33"/>
      <c r="DP11" s="34"/>
      <c r="DQ11" s="35" t="str">
        <f t="shared" si="46"/>
        <v/>
      </c>
      <c r="DR11" s="36" t="str">
        <f t="shared" si="47"/>
        <v/>
      </c>
      <c r="DS11" s="37"/>
      <c r="DT11" s="33"/>
      <c r="DU11" s="34"/>
      <c r="DV11" s="35" t="str">
        <f t="shared" si="48"/>
        <v/>
      </c>
      <c r="DW11" s="36" t="str">
        <f t="shared" si="49"/>
        <v/>
      </c>
      <c r="DX11" s="37"/>
      <c r="DY11" s="33"/>
      <c r="DZ11" s="34"/>
      <c r="EA11" s="35" t="str">
        <f t="shared" si="50"/>
        <v/>
      </c>
      <c r="EB11" s="36" t="str">
        <f t="shared" si="51"/>
        <v/>
      </c>
      <c r="EC11" s="37"/>
      <c r="ED11" s="33"/>
      <c r="EE11" s="34"/>
      <c r="EF11" s="35" t="str">
        <f t="shared" si="52"/>
        <v/>
      </c>
      <c r="EG11" s="36" t="str">
        <f t="shared" si="53"/>
        <v/>
      </c>
      <c r="EH11" s="37"/>
      <c r="EI11" s="33"/>
      <c r="EJ11" s="34"/>
      <c r="EK11" s="35" t="str">
        <f t="shared" si="54"/>
        <v/>
      </c>
      <c r="EL11" s="36" t="str">
        <f t="shared" si="55"/>
        <v/>
      </c>
      <c r="EM11" s="37"/>
      <c r="EN11" s="33"/>
      <c r="EO11" s="34"/>
      <c r="EP11" s="35" t="str">
        <f t="shared" si="56"/>
        <v/>
      </c>
      <c r="EQ11" s="36" t="str">
        <f t="shared" si="57"/>
        <v/>
      </c>
      <c r="ER11" s="37"/>
      <c r="ES11" s="33"/>
      <c r="ET11" s="34"/>
      <c r="EU11" s="35" t="str">
        <f t="shared" si="58"/>
        <v/>
      </c>
      <c r="EV11" s="36" t="str">
        <f t="shared" si="59"/>
        <v/>
      </c>
      <c r="EW11" s="37"/>
    </row>
    <row r="12" spans="1:153" ht="19.5" customHeight="1">
      <c r="A12" s="32">
        <f>IF(DAY(DATE(対象年度,12,9))&lt;&gt;9,"",9)</f>
        <v>9</v>
      </c>
      <c r="B12" s="32" t="str">
        <f>IF(DAY(DATE(対象年度,12,9))&lt;&gt;9,"",CHOOSE(WEEKDAY(DATE(対象年度,12,9),2),"月","火","水","木","金","土","日"))</f>
        <v>水</v>
      </c>
      <c r="C12" s="32" t="str">
        <f>IF(DAY(DATE(対象年度,12,9))&lt;&gt;9,"",IF(ISNUMBER(MATCH(DATE(対象年度,12,9),祝日リスト,0)),"祝",""))</f>
        <v/>
      </c>
      <c r="D12" s="33"/>
      <c r="E12" s="34"/>
      <c r="F12" s="35" t="str">
        <f t="shared" si="0"/>
        <v/>
      </c>
      <c r="G12" s="36" t="str">
        <f t="shared" si="1"/>
        <v/>
      </c>
      <c r="H12" s="37"/>
      <c r="I12" s="33"/>
      <c r="J12" s="34"/>
      <c r="K12" s="35" t="str">
        <f t="shared" si="2"/>
        <v/>
      </c>
      <c r="L12" s="36" t="str">
        <f t="shared" si="3"/>
        <v/>
      </c>
      <c r="M12" s="37"/>
      <c r="N12" s="33"/>
      <c r="O12" s="34"/>
      <c r="P12" s="35" t="str">
        <f t="shared" si="4"/>
        <v/>
      </c>
      <c r="Q12" s="36" t="str">
        <f t="shared" si="5"/>
        <v/>
      </c>
      <c r="R12" s="37"/>
      <c r="S12" s="33"/>
      <c r="T12" s="34"/>
      <c r="U12" s="35" t="str">
        <f t="shared" si="6"/>
        <v/>
      </c>
      <c r="V12" s="36" t="str">
        <f t="shared" si="7"/>
        <v/>
      </c>
      <c r="W12" s="37"/>
      <c r="X12" s="33"/>
      <c r="Y12" s="34"/>
      <c r="Z12" s="35" t="str">
        <f t="shared" si="8"/>
        <v/>
      </c>
      <c r="AA12" s="36" t="str">
        <f t="shared" si="9"/>
        <v/>
      </c>
      <c r="AB12" s="37"/>
      <c r="AC12" s="33"/>
      <c r="AD12" s="34"/>
      <c r="AE12" s="35" t="str">
        <f t="shared" si="10"/>
        <v/>
      </c>
      <c r="AF12" s="36" t="str">
        <f t="shared" si="11"/>
        <v/>
      </c>
      <c r="AG12" s="37"/>
      <c r="AH12" s="33"/>
      <c r="AI12" s="34"/>
      <c r="AJ12" s="35" t="str">
        <f t="shared" si="12"/>
        <v/>
      </c>
      <c r="AK12" s="36" t="str">
        <f t="shared" si="13"/>
        <v/>
      </c>
      <c r="AL12" s="37"/>
      <c r="AM12" s="33"/>
      <c r="AN12" s="34"/>
      <c r="AO12" s="35" t="str">
        <f t="shared" si="14"/>
        <v/>
      </c>
      <c r="AP12" s="36" t="str">
        <f t="shared" si="15"/>
        <v/>
      </c>
      <c r="AQ12" s="37"/>
      <c r="AR12" s="33"/>
      <c r="AS12" s="34"/>
      <c r="AT12" s="35" t="str">
        <f t="shared" si="16"/>
        <v/>
      </c>
      <c r="AU12" s="36" t="str">
        <f t="shared" si="17"/>
        <v/>
      </c>
      <c r="AV12" s="37"/>
      <c r="AW12" s="33"/>
      <c r="AX12" s="34"/>
      <c r="AY12" s="35" t="str">
        <f t="shared" si="18"/>
        <v/>
      </c>
      <c r="AZ12" s="36" t="str">
        <f t="shared" si="19"/>
        <v/>
      </c>
      <c r="BA12" s="37"/>
      <c r="BB12" s="33"/>
      <c r="BC12" s="34"/>
      <c r="BD12" s="35" t="str">
        <f t="shared" si="20"/>
        <v/>
      </c>
      <c r="BE12" s="36" t="str">
        <f t="shared" si="21"/>
        <v/>
      </c>
      <c r="BF12" s="37"/>
      <c r="BG12" s="33"/>
      <c r="BH12" s="34"/>
      <c r="BI12" s="35" t="str">
        <f t="shared" si="22"/>
        <v/>
      </c>
      <c r="BJ12" s="36" t="str">
        <f t="shared" si="23"/>
        <v/>
      </c>
      <c r="BK12" s="37"/>
      <c r="BL12" s="33"/>
      <c r="BM12" s="34"/>
      <c r="BN12" s="35" t="str">
        <f t="shared" si="24"/>
        <v/>
      </c>
      <c r="BO12" s="36" t="str">
        <f t="shared" si="25"/>
        <v/>
      </c>
      <c r="BP12" s="37"/>
      <c r="BQ12" s="33"/>
      <c r="BR12" s="34"/>
      <c r="BS12" s="35" t="str">
        <f t="shared" si="26"/>
        <v/>
      </c>
      <c r="BT12" s="36" t="str">
        <f t="shared" si="27"/>
        <v/>
      </c>
      <c r="BU12" s="37"/>
      <c r="BV12" s="33"/>
      <c r="BW12" s="34"/>
      <c r="BX12" s="35" t="str">
        <f t="shared" si="28"/>
        <v/>
      </c>
      <c r="BY12" s="36" t="str">
        <f t="shared" si="29"/>
        <v/>
      </c>
      <c r="BZ12" s="37"/>
      <c r="CA12" s="33"/>
      <c r="CB12" s="34"/>
      <c r="CC12" s="35" t="str">
        <f t="shared" si="30"/>
        <v/>
      </c>
      <c r="CD12" s="36" t="str">
        <f t="shared" si="31"/>
        <v/>
      </c>
      <c r="CE12" s="37"/>
      <c r="CF12" s="33"/>
      <c r="CG12" s="34"/>
      <c r="CH12" s="35" t="str">
        <f t="shared" si="32"/>
        <v/>
      </c>
      <c r="CI12" s="36" t="str">
        <f t="shared" si="33"/>
        <v/>
      </c>
      <c r="CJ12" s="37"/>
      <c r="CK12" s="33"/>
      <c r="CL12" s="34"/>
      <c r="CM12" s="35" t="str">
        <f t="shared" si="34"/>
        <v/>
      </c>
      <c r="CN12" s="36" t="str">
        <f t="shared" si="35"/>
        <v/>
      </c>
      <c r="CO12" s="37"/>
      <c r="CP12" s="33"/>
      <c r="CQ12" s="34"/>
      <c r="CR12" s="35" t="str">
        <f t="shared" si="36"/>
        <v/>
      </c>
      <c r="CS12" s="36" t="str">
        <f t="shared" si="37"/>
        <v/>
      </c>
      <c r="CT12" s="37"/>
      <c r="CU12" s="33"/>
      <c r="CV12" s="34"/>
      <c r="CW12" s="35" t="str">
        <f t="shared" si="38"/>
        <v/>
      </c>
      <c r="CX12" s="36" t="str">
        <f t="shared" si="39"/>
        <v/>
      </c>
      <c r="CY12" s="37"/>
      <c r="CZ12" s="33"/>
      <c r="DA12" s="34"/>
      <c r="DB12" s="35" t="str">
        <f t="shared" si="40"/>
        <v/>
      </c>
      <c r="DC12" s="36" t="str">
        <f t="shared" si="41"/>
        <v/>
      </c>
      <c r="DD12" s="37"/>
      <c r="DE12" s="33"/>
      <c r="DF12" s="34"/>
      <c r="DG12" s="35" t="str">
        <f t="shared" si="42"/>
        <v/>
      </c>
      <c r="DH12" s="36" t="str">
        <f t="shared" si="43"/>
        <v/>
      </c>
      <c r="DI12" s="37"/>
      <c r="DJ12" s="33"/>
      <c r="DK12" s="34"/>
      <c r="DL12" s="35" t="str">
        <f t="shared" si="44"/>
        <v/>
      </c>
      <c r="DM12" s="36" t="str">
        <f t="shared" si="45"/>
        <v/>
      </c>
      <c r="DN12" s="37"/>
      <c r="DO12" s="33"/>
      <c r="DP12" s="34"/>
      <c r="DQ12" s="35" t="str">
        <f t="shared" si="46"/>
        <v/>
      </c>
      <c r="DR12" s="36" t="str">
        <f t="shared" si="47"/>
        <v/>
      </c>
      <c r="DS12" s="37"/>
      <c r="DT12" s="33"/>
      <c r="DU12" s="34"/>
      <c r="DV12" s="35" t="str">
        <f t="shared" si="48"/>
        <v/>
      </c>
      <c r="DW12" s="36" t="str">
        <f t="shared" si="49"/>
        <v/>
      </c>
      <c r="DX12" s="37"/>
      <c r="DY12" s="33"/>
      <c r="DZ12" s="34"/>
      <c r="EA12" s="35" t="str">
        <f t="shared" si="50"/>
        <v/>
      </c>
      <c r="EB12" s="36" t="str">
        <f t="shared" si="51"/>
        <v/>
      </c>
      <c r="EC12" s="37"/>
      <c r="ED12" s="33"/>
      <c r="EE12" s="34"/>
      <c r="EF12" s="35" t="str">
        <f t="shared" si="52"/>
        <v/>
      </c>
      <c r="EG12" s="36" t="str">
        <f t="shared" si="53"/>
        <v/>
      </c>
      <c r="EH12" s="37"/>
      <c r="EI12" s="33"/>
      <c r="EJ12" s="34"/>
      <c r="EK12" s="35" t="str">
        <f t="shared" si="54"/>
        <v/>
      </c>
      <c r="EL12" s="36" t="str">
        <f t="shared" si="55"/>
        <v/>
      </c>
      <c r="EM12" s="37"/>
      <c r="EN12" s="33"/>
      <c r="EO12" s="34"/>
      <c r="EP12" s="35" t="str">
        <f t="shared" si="56"/>
        <v/>
      </c>
      <c r="EQ12" s="36" t="str">
        <f t="shared" si="57"/>
        <v/>
      </c>
      <c r="ER12" s="37"/>
      <c r="ES12" s="33"/>
      <c r="ET12" s="34"/>
      <c r="EU12" s="35" t="str">
        <f t="shared" si="58"/>
        <v/>
      </c>
      <c r="EV12" s="36" t="str">
        <f t="shared" si="59"/>
        <v/>
      </c>
      <c r="EW12" s="37"/>
    </row>
    <row r="13" spans="1:153" ht="19.5" customHeight="1">
      <c r="A13" s="32">
        <f>IF(DAY(DATE(対象年度,12,10))&lt;&gt;10,"",10)</f>
        <v>10</v>
      </c>
      <c r="B13" s="32" t="str">
        <f>IF(DAY(DATE(対象年度,12,10))&lt;&gt;10,"",CHOOSE(WEEKDAY(DATE(対象年度,12,10),2),"月","火","水","木","金","土","日"))</f>
        <v>木</v>
      </c>
      <c r="C13" s="32" t="str">
        <f>IF(DAY(DATE(対象年度,12,10))&lt;&gt;10,"",IF(ISNUMBER(MATCH(DATE(対象年度,12,10),祝日リスト,0)),"祝",""))</f>
        <v/>
      </c>
      <c r="D13" s="33"/>
      <c r="E13" s="34"/>
      <c r="F13" s="35" t="str">
        <f t="shared" si="0"/>
        <v/>
      </c>
      <c r="G13" s="36" t="str">
        <f t="shared" si="1"/>
        <v/>
      </c>
      <c r="H13" s="37"/>
      <c r="I13" s="33"/>
      <c r="J13" s="34"/>
      <c r="K13" s="35" t="str">
        <f t="shared" si="2"/>
        <v/>
      </c>
      <c r="L13" s="36" t="str">
        <f t="shared" si="3"/>
        <v/>
      </c>
      <c r="M13" s="37"/>
      <c r="N13" s="33"/>
      <c r="O13" s="34"/>
      <c r="P13" s="35" t="str">
        <f t="shared" si="4"/>
        <v/>
      </c>
      <c r="Q13" s="36" t="str">
        <f t="shared" si="5"/>
        <v/>
      </c>
      <c r="R13" s="37"/>
      <c r="S13" s="33"/>
      <c r="T13" s="34"/>
      <c r="U13" s="35" t="str">
        <f t="shared" si="6"/>
        <v/>
      </c>
      <c r="V13" s="36" t="str">
        <f t="shared" si="7"/>
        <v/>
      </c>
      <c r="W13" s="37"/>
      <c r="X13" s="33"/>
      <c r="Y13" s="34"/>
      <c r="Z13" s="35" t="str">
        <f t="shared" si="8"/>
        <v/>
      </c>
      <c r="AA13" s="36" t="str">
        <f t="shared" si="9"/>
        <v/>
      </c>
      <c r="AB13" s="37"/>
      <c r="AC13" s="33"/>
      <c r="AD13" s="34"/>
      <c r="AE13" s="35" t="str">
        <f t="shared" si="10"/>
        <v/>
      </c>
      <c r="AF13" s="36" t="str">
        <f t="shared" si="11"/>
        <v/>
      </c>
      <c r="AG13" s="37"/>
      <c r="AH13" s="33"/>
      <c r="AI13" s="34"/>
      <c r="AJ13" s="35" t="str">
        <f t="shared" si="12"/>
        <v/>
      </c>
      <c r="AK13" s="36" t="str">
        <f t="shared" si="13"/>
        <v/>
      </c>
      <c r="AL13" s="37"/>
      <c r="AM13" s="33"/>
      <c r="AN13" s="34"/>
      <c r="AO13" s="35" t="str">
        <f t="shared" si="14"/>
        <v/>
      </c>
      <c r="AP13" s="36" t="str">
        <f t="shared" si="15"/>
        <v/>
      </c>
      <c r="AQ13" s="37"/>
      <c r="AR13" s="33"/>
      <c r="AS13" s="34"/>
      <c r="AT13" s="35" t="str">
        <f t="shared" si="16"/>
        <v/>
      </c>
      <c r="AU13" s="36" t="str">
        <f t="shared" si="17"/>
        <v/>
      </c>
      <c r="AV13" s="37"/>
      <c r="AW13" s="33"/>
      <c r="AX13" s="34"/>
      <c r="AY13" s="35" t="str">
        <f t="shared" si="18"/>
        <v/>
      </c>
      <c r="AZ13" s="36" t="str">
        <f t="shared" si="19"/>
        <v/>
      </c>
      <c r="BA13" s="37"/>
      <c r="BB13" s="33"/>
      <c r="BC13" s="34"/>
      <c r="BD13" s="35" t="str">
        <f t="shared" si="20"/>
        <v/>
      </c>
      <c r="BE13" s="36" t="str">
        <f t="shared" si="21"/>
        <v/>
      </c>
      <c r="BF13" s="37"/>
      <c r="BG13" s="33"/>
      <c r="BH13" s="34"/>
      <c r="BI13" s="35" t="str">
        <f t="shared" si="22"/>
        <v/>
      </c>
      <c r="BJ13" s="36" t="str">
        <f t="shared" si="23"/>
        <v/>
      </c>
      <c r="BK13" s="37"/>
      <c r="BL13" s="33"/>
      <c r="BM13" s="34"/>
      <c r="BN13" s="35" t="str">
        <f t="shared" si="24"/>
        <v/>
      </c>
      <c r="BO13" s="36" t="str">
        <f t="shared" si="25"/>
        <v/>
      </c>
      <c r="BP13" s="37"/>
      <c r="BQ13" s="33"/>
      <c r="BR13" s="34"/>
      <c r="BS13" s="35" t="str">
        <f t="shared" si="26"/>
        <v/>
      </c>
      <c r="BT13" s="36" t="str">
        <f t="shared" si="27"/>
        <v/>
      </c>
      <c r="BU13" s="37"/>
      <c r="BV13" s="33"/>
      <c r="BW13" s="34"/>
      <c r="BX13" s="35" t="str">
        <f t="shared" si="28"/>
        <v/>
      </c>
      <c r="BY13" s="36" t="str">
        <f t="shared" si="29"/>
        <v/>
      </c>
      <c r="BZ13" s="37"/>
      <c r="CA13" s="33"/>
      <c r="CB13" s="34"/>
      <c r="CC13" s="35" t="str">
        <f t="shared" si="30"/>
        <v/>
      </c>
      <c r="CD13" s="36" t="str">
        <f t="shared" si="31"/>
        <v/>
      </c>
      <c r="CE13" s="37"/>
      <c r="CF13" s="33"/>
      <c r="CG13" s="34"/>
      <c r="CH13" s="35" t="str">
        <f t="shared" si="32"/>
        <v/>
      </c>
      <c r="CI13" s="36" t="str">
        <f t="shared" si="33"/>
        <v/>
      </c>
      <c r="CJ13" s="37"/>
      <c r="CK13" s="33"/>
      <c r="CL13" s="34"/>
      <c r="CM13" s="35" t="str">
        <f t="shared" si="34"/>
        <v/>
      </c>
      <c r="CN13" s="36" t="str">
        <f t="shared" si="35"/>
        <v/>
      </c>
      <c r="CO13" s="37"/>
      <c r="CP13" s="33"/>
      <c r="CQ13" s="34"/>
      <c r="CR13" s="35" t="str">
        <f t="shared" si="36"/>
        <v/>
      </c>
      <c r="CS13" s="36" t="str">
        <f t="shared" si="37"/>
        <v/>
      </c>
      <c r="CT13" s="37"/>
      <c r="CU13" s="33"/>
      <c r="CV13" s="34"/>
      <c r="CW13" s="35" t="str">
        <f t="shared" si="38"/>
        <v/>
      </c>
      <c r="CX13" s="36" t="str">
        <f t="shared" si="39"/>
        <v/>
      </c>
      <c r="CY13" s="37"/>
      <c r="CZ13" s="33"/>
      <c r="DA13" s="34"/>
      <c r="DB13" s="35" t="str">
        <f t="shared" si="40"/>
        <v/>
      </c>
      <c r="DC13" s="36" t="str">
        <f t="shared" si="41"/>
        <v/>
      </c>
      <c r="DD13" s="37"/>
      <c r="DE13" s="33"/>
      <c r="DF13" s="34"/>
      <c r="DG13" s="35" t="str">
        <f t="shared" si="42"/>
        <v/>
      </c>
      <c r="DH13" s="36" t="str">
        <f t="shared" si="43"/>
        <v/>
      </c>
      <c r="DI13" s="37"/>
      <c r="DJ13" s="33"/>
      <c r="DK13" s="34"/>
      <c r="DL13" s="35" t="str">
        <f t="shared" si="44"/>
        <v/>
      </c>
      <c r="DM13" s="36" t="str">
        <f t="shared" si="45"/>
        <v/>
      </c>
      <c r="DN13" s="37"/>
      <c r="DO13" s="33"/>
      <c r="DP13" s="34"/>
      <c r="DQ13" s="35" t="str">
        <f t="shared" si="46"/>
        <v/>
      </c>
      <c r="DR13" s="36" t="str">
        <f t="shared" si="47"/>
        <v/>
      </c>
      <c r="DS13" s="37"/>
      <c r="DT13" s="33"/>
      <c r="DU13" s="34"/>
      <c r="DV13" s="35" t="str">
        <f t="shared" si="48"/>
        <v/>
      </c>
      <c r="DW13" s="36" t="str">
        <f t="shared" si="49"/>
        <v/>
      </c>
      <c r="DX13" s="37"/>
      <c r="DY13" s="33"/>
      <c r="DZ13" s="34"/>
      <c r="EA13" s="35" t="str">
        <f t="shared" si="50"/>
        <v/>
      </c>
      <c r="EB13" s="36" t="str">
        <f t="shared" si="51"/>
        <v/>
      </c>
      <c r="EC13" s="37"/>
      <c r="ED13" s="33"/>
      <c r="EE13" s="34"/>
      <c r="EF13" s="35" t="str">
        <f t="shared" si="52"/>
        <v/>
      </c>
      <c r="EG13" s="36" t="str">
        <f t="shared" si="53"/>
        <v/>
      </c>
      <c r="EH13" s="37"/>
      <c r="EI13" s="33"/>
      <c r="EJ13" s="34"/>
      <c r="EK13" s="35" t="str">
        <f t="shared" si="54"/>
        <v/>
      </c>
      <c r="EL13" s="36" t="str">
        <f t="shared" si="55"/>
        <v/>
      </c>
      <c r="EM13" s="37"/>
      <c r="EN13" s="33"/>
      <c r="EO13" s="34"/>
      <c r="EP13" s="35" t="str">
        <f t="shared" si="56"/>
        <v/>
      </c>
      <c r="EQ13" s="36" t="str">
        <f t="shared" si="57"/>
        <v/>
      </c>
      <c r="ER13" s="37"/>
      <c r="ES13" s="33"/>
      <c r="ET13" s="34"/>
      <c r="EU13" s="35" t="str">
        <f t="shared" si="58"/>
        <v/>
      </c>
      <c r="EV13" s="36" t="str">
        <f t="shared" si="59"/>
        <v/>
      </c>
      <c r="EW13" s="37"/>
    </row>
    <row r="14" spans="1:153" ht="19.5" customHeight="1">
      <c r="A14" s="32">
        <f>IF(DAY(DATE(対象年度,12,11))&lt;&gt;11,"",11)</f>
        <v>11</v>
      </c>
      <c r="B14" s="32" t="str">
        <f>IF(DAY(DATE(対象年度,12,11))&lt;&gt;11,"",CHOOSE(WEEKDAY(DATE(対象年度,12,11),2),"月","火","水","木","金","土","日"))</f>
        <v>金</v>
      </c>
      <c r="C14" s="32" t="str">
        <f>IF(DAY(DATE(対象年度,12,11))&lt;&gt;11,"",IF(ISNUMBER(MATCH(DATE(対象年度,12,11),祝日リスト,0)),"祝",""))</f>
        <v/>
      </c>
      <c r="D14" s="33"/>
      <c r="E14" s="34"/>
      <c r="F14" s="35" t="str">
        <f t="shared" si="0"/>
        <v/>
      </c>
      <c r="G14" s="36" t="str">
        <f t="shared" si="1"/>
        <v/>
      </c>
      <c r="H14" s="37"/>
      <c r="I14" s="33"/>
      <c r="J14" s="34"/>
      <c r="K14" s="35" t="str">
        <f t="shared" si="2"/>
        <v/>
      </c>
      <c r="L14" s="36" t="str">
        <f t="shared" si="3"/>
        <v/>
      </c>
      <c r="M14" s="37"/>
      <c r="N14" s="33"/>
      <c r="O14" s="34"/>
      <c r="P14" s="35" t="str">
        <f t="shared" si="4"/>
        <v/>
      </c>
      <c r="Q14" s="36" t="str">
        <f t="shared" si="5"/>
        <v/>
      </c>
      <c r="R14" s="37"/>
      <c r="S14" s="33"/>
      <c r="T14" s="34"/>
      <c r="U14" s="35" t="str">
        <f t="shared" si="6"/>
        <v/>
      </c>
      <c r="V14" s="36" t="str">
        <f t="shared" si="7"/>
        <v/>
      </c>
      <c r="W14" s="37"/>
      <c r="X14" s="33"/>
      <c r="Y14" s="34"/>
      <c r="Z14" s="35" t="str">
        <f t="shared" si="8"/>
        <v/>
      </c>
      <c r="AA14" s="36" t="str">
        <f t="shared" si="9"/>
        <v/>
      </c>
      <c r="AB14" s="37"/>
      <c r="AC14" s="33"/>
      <c r="AD14" s="34"/>
      <c r="AE14" s="35" t="str">
        <f t="shared" si="10"/>
        <v/>
      </c>
      <c r="AF14" s="36" t="str">
        <f t="shared" si="11"/>
        <v/>
      </c>
      <c r="AG14" s="37"/>
      <c r="AH14" s="33"/>
      <c r="AI14" s="34"/>
      <c r="AJ14" s="35" t="str">
        <f t="shared" si="12"/>
        <v/>
      </c>
      <c r="AK14" s="36" t="str">
        <f t="shared" si="13"/>
        <v/>
      </c>
      <c r="AL14" s="37"/>
      <c r="AM14" s="33"/>
      <c r="AN14" s="34"/>
      <c r="AO14" s="35" t="str">
        <f t="shared" si="14"/>
        <v/>
      </c>
      <c r="AP14" s="36" t="str">
        <f t="shared" si="15"/>
        <v/>
      </c>
      <c r="AQ14" s="37"/>
      <c r="AR14" s="33"/>
      <c r="AS14" s="34"/>
      <c r="AT14" s="35" t="str">
        <f t="shared" si="16"/>
        <v/>
      </c>
      <c r="AU14" s="36" t="str">
        <f t="shared" si="17"/>
        <v/>
      </c>
      <c r="AV14" s="37"/>
      <c r="AW14" s="33"/>
      <c r="AX14" s="34"/>
      <c r="AY14" s="35" t="str">
        <f t="shared" si="18"/>
        <v/>
      </c>
      <c r="AZ14" s="36" t="str">
        <f t="shared" si="19"/>
        <v/>
      </c>
      <c r="BA14" s="37"/>
      <c r="BB14" s="33"/>
      <c r="BC14" s="34"/>
      <c r="BD14" s="35" t="str">
        <f t="shared" si="20"/>
        <v/>
      </c>
      <c r="BE14" s="36" t="str">
        <f t="shared" si="21"/>
        <v/>
      </c>
      <c r="BF14" s="37"/>
      <c r="BG14" s="33"/>
      <c r="BH14" s="34"/>
      <c r="BI14" s="35" t="str">
        <f t="shared" si="22"/>
        <v/>
      </c>
      <c r="BJ14" s="36" t="str">
        <f t="shared" si="23"/>
        <v/>
      </c>
      <c r="BK14" s="37"/>
      <c r="BL14" s="33"/>
      <c r="BM14" s="34"/>
      <c r="BN14" s="35" t="str">
        <f t="shared" si="24"/>
        <v/>
      </c>
      <c r="BO14" s="36" t="str">
        <f t="shared" si="25"/>
        <v/>
      </c>
      <c r="BP14" s="37"/>
      <c r="BQ14" s="33"/>
      <c r="BR14" s="34"/>
      <c r="BS14" s="35" t="str">
        <f t="shared" si="26"/>
        <v/>
      </c>
      <c r="BT14" s="36" t="str">
        <f t="shared" si="27"/>
        <v/>
      </c>
      <c r="BU14" s="37"/>
      <c r="BV14" s="33"/>
      <c r="BW14" s="34"/>
      <c r="BX14" s="35" t="str">
        <f t="shared" si="28"/>
        <v/>
      </c>
      <c r="BY14" s="36" t="str">
        <f t="shared" si="29"/>
        <v/>
      </c>
      <c r="BZ14" s="37"/>
      <c r="CA14" s="33"/>
      <c r="CB14" s="34"/>
      <c r="CC14" s="35" t="str">
        <f t="shared" si="30"/>
        <v/>
      </c>
      <c r="CD14" s="36" t="str">
        <f t="shared" si="31"/>
        <v/>
      </c>
      <c r="CE14" s="37"/>
      <c r="CF14" s="33"/>
      <c r="CG14" s="34"/>
      <c r="CH14" s="35" t="str">
        <f t="shared" si="32"/>
        <v/>
      </c>
      <c r="CI14" s="36" t="str">
        <f t="shared" si="33"/>
        <v/>
      </c>
      <c r="CJ14" s="37"/>
      <c r="CK14" s="33"/>
      <c r="CL14" s="34"/>
      <c r="CM14" s="35" t="str">
        <f t="shared" si="34"/>
        <v/>
      </c>
      <c r="CN14" s="36" t="str">
        <f t="shared" si="35"/>
        <v/>
      </c>
      <c r="CO14" s="37"/>
      <c r="CP14" s="33"/>
      <c r="CQ14" s="34"/>
      <c r="CR14" s="35" t="str">
        <f t="shared" si="36"/>
        <v/>
      </c>
      <c r="CS14" s="36" t="str">
        <f t="shared" si="37"/>
        <v/>
      </c>
      <c r="CT14" s="37"/>
      <c r="CU14" s="33"/>
      <c r="CV14" s="34"/>
      <c r="CW14" s="35" t="str">
        <f t="shared" si="38"/>
        <v/>
      </c>
      <c r="CX14" s="36" t="str">
        <f t="shared" si="39"/>
        <v/>
      </c>
      <c r="CY14" s="37"/>
      <c r="CZ14" s="33"/>
      <c r="DA14" s="34"/>
      <c r="DB14" s="35" t="str">
        <f t="shared" si="40"/>
        <v/>
      </c>
      <c r="DC14" s="36" t="str">
        <f t="shared" si="41"/>
        <v/>
      </c>
      <c r="DD14" s="37"/>
      <c r="DE14" s="33"/>
      <c r="DF14" s="34"/>
      <c r="DG14" s="35" t="str">
        <f t="shared" si="42"/>
        <v/>
      </c>
      <c r="DH14" s="36" t="str">
        <f t="shared" si="43"/>
        <v/>
      </c>
      <c r="DI14" s="37"/>
      <c r="DJ14" s="33"/>
      <c r="DK14" s="34"/>
      <c r="DL14" s="35" t="str">
        <f t="shared" si="44"/>
        <v/>
      </c>
      <c r="DM14" s="36" t="str">
        <f t="shared" si="45"/>
        <v/>
      </c>
      <c r="DN14" s="37"/>
      <c r="DO14" s="33"/>
      <c r="DP14" s="34"/>
      <c r="DQ14" s="35" t="str">
        <f t="shared" si="46"/>
        <v/>
      </c>
      <c r="DR14" s="36" t="str">
        <f t="shared" si="47"/>
        <v/>
      </c>
      <c r="DS14" s="37"/>
      <c r="DT14" s="33"/>
      <c r="DU14" s="34"/>
      <c r="DV14" s="35" t="str">
        <f t="shared" si="48"/>
        <v/>
      </c>
      <c r="DW14" s="36" t="str">
        <f t="shared" si="49"/>
        <v/>
      </c>
      <c r="DX14" s="37"/>
      <c r="DY14" s="33"/>
      <c r="DZ14" s="34"/>
      <c r="EA14" s="35" t="str">
        <f t="shared" si="50"/>
        <v/>
      </c>
      <c r="EB14" s="36" t="str">
        <f t="shared" si="51"/>
        <v/>
      </c>
      <c r="EC14" s="37"/>
      <c r="ED14" s="33"/>
      <c r="EE14" s="34"/>
      <c r="EF14" s="35" t="str">
        <f t="shared" si="52"/>
        <v/>
      </c>
      <c r="EG14" s="36" t="str">
        <f t="shared" si="53"/>
        <v/>
      </c>
      <c r="EH14" s="37"/>
      <c r="EI14" s="33"/>
      <c r="EJ14" s="34"/>
      <c r="EK14" s="35" t="str">
        <f t="shared" si="54"/>
        <v/>
      </c>
      <c r="EL14" s="36" t="str">
        <f t="shared" si="55"/>
        <v/>
      </c>
      <c r="EM14" s="37"/>
      <c r="EN14" s="33"/>
      <c r="EO14" s="34"/>
      <c r="EP14" s="35" t="str">
        <f t="shared" si="56"/>
        <v/>
      </c>
      <c r="EQ14" s="36" t="str">
        <f t="shared" si="57"/>
        <v/>
      </c>
      <c r="ER14" s="37"/>
      <c r="ES14" s="33"/>
      <c r="ET14" s="34"/>
      <c r="EU14" s="35" t="str">
        <f t="shared" si="58"/>
        <v/>
      </c>
      <c r="EV14" s="36" t="str">
        <f t="shared" si="59"/>
        <v/>
      </c>
      <c r="EW14" s="37"/>
    </row>
    <row r="15" spans="1:153" ht="19.5" customHeight="1">
      <c r="A15" s="32">
        <f>IF(DAY(DATE(対象年度,12,12))&lt;&gt;12,"",12)</f>
        <v>12</v>
      </c>
      <c r="B15" s="32" t="str">
        <f>IF(DAY(DATE(対象年度,12,12))&lt;&gt;12,"",CHOOSE(WEEKDAY(DATE(対象年度,12,12),2),"月","火","水","木","金","土","日"))</f>
        <v>土</v>
      </c>
      <c r="C15" s="32" t="str">
        <f>IF(DAY(DATE(対象年度,12,12))&lt;&gt;12,"",IF(ISNUMBER(MATCH(DATE(対象年度,12,12),祝日リスト,0)),"祝",""))</f>
        <v/>
      </c>
      <c r="D15" s="33"/>
      <c r="E15" s="34"/>
      <c r="F15" s="35" t="str">
        <f t="shared" si="0"/>
        <v/>
      </c>
      <c r="G15" s="36" t="str">
        <f t="shared" si="1"/>
        <v/>
      </c>
      <c r="H15" s="37"/>
      <c r="I15" s="33"/>
      <c r="J15" s="34"/>
      <c r="K15" s="35" t="str">
        <f t="shared" si="2"/>
        <v/>
      </c>
      <c r="L15" s="36" t="str">
        <f t="shared" si="3"/>
        <v/>
      </c>
      <c r="M15" s="37"/>
      <c r="N15" s="33"/>
      <c r="O15" s="34"/>
      <c r="P15" s="35" t="str">
        <f t="shared" si="4"/>
        <v/>
      </c>
      <c r="Q15" s="36" t="str">
        <f t="shared" si="5"/>
        <v/>
      </c>
      <c r="R15" s="37"/>
      <c r="S15" s="33"/>
      <c r="T15" s="34"/>
      <c r="U15" s="35" t="str">
        <f t="shared" si="6"/>
        <v/>
      </c>
      <c r="V15" s="36" t="str">
        <f t="shared" si="7"/>
        <v/>
      </c>
      <c r="W15" s="37"/>
      <c r="X15" s="33"/>
      <c r="Y15" s="34"/>
      <c r="Z15" s="35" t="str">
        <f t="shared" si="8"/>
        <v/>
      </c>
      <c r="AA15" s="36" t="str">
        <f t="shared" si="9"/>
        <v/>
      </c>
      <c r="AB15" s="37"/>
      <c r="AC15" s="33"/>
      <c r="AD15" s="34"/>
      <c r="AE15" s="35" t="str">
        <f t="shared" si="10"/>
        <v/>
      </c>
      <c r="AF15" s="36" t="str">
        <f t="shared" si="11"/>
        <v/>
      </c>
      <c r="AG15" s="37"/>
      <c r="AH15" s="33"/>
      <c r="AI15" s="34"/>
      <c r="AJ15" s="35" t="str">
        <f t="shared" si="12"/>
        <v/>
      </c>
      <c r="AK15" s="36" t="str">
        <f t="shared" si="13"/>
        <v/>
      </c>
      <c r="AL15" s="37"/>
      <c r="AM15" s="33"/>
      <c r="AN15" s="34"/>
      <c r="AO15" s="35" t="str">
        <f t="shared" si="14"/>
        <v/>
      </c>
      <c r="AP15" s="36" t="str">
        <f t="shared" si="15"/>
        <v/>
      </c>
      <c r="AQ15" s="37"/>
      <c r="AR15" s="33"/>
      <c r="AS15" s="34"/>
      <c r="AT15" s="35" t="str">
        <f t="shared" si="16"/>
        <v/>
      </c>
      <c r="AU15" s="36" t="str">
        <f t="shared" si="17"/>
        <v/>
      </c>
      <c r="AV15" s="37"/>
      <c r="AW15" s="33"/>
      <c r="AX15" s="34"/>
      <c r="AY15" s="35" t="str">
        <f t="shared" si="18"/>
        <v/>
      </c>
      <c r="AZ15" s="36" t="str">
        <f t="shared" si="19"/>
        <v/>
      </c>
      <c r="BA15" s="37"/>
      <c r="BB15" s="33"/>
      <c r="BC15" s="34"/>
      <c r="BD15" s="35" t="str">
        <f t="shared" si="20"/>
        <v/>
      </c>
      <c r="BE15" s="36" t="str">
        <f t="shared" si="21"/>
        <v/>
      </c>
      <c r="BF15" s="37"/>
      <c r="BG15" s="33"/>
      <c r="BH15" s="34"/>
      <c r="BI15" s="35" t="str">
        <f t="shared" si="22"/>
        <v/>
      </c>
      <c r="BJ15" s="36" t="str">
        <f t="shared" si="23"/>
        <v/>
      </c>
      <c r="BK15" s="37"/>
      <c r="BL15" s="33"/>
      <c r="BM15" s="34"/>
      <c r="BN15" s="35" t="str">
        <f t="shared" si="24"/>
        <v/>
      </c>
      <c r="BO15" s="36" t="str">
        <f t="shared" si="25"/>
        <v/>
      </c>
      <c r="BP15" s="37"/>
      <c r="BQ15" s="33"/>
      <c r="BR15" s="34"/>
      <c r="BS15" s="35" t="str">
        <f t="shared" si="26"/>
        <v/>
      </c>
      <c r="BT15" s="36" t="str">
        <f t="shared" si="27"/>
        <v/>
      </c>
      <c r="BU15" s="37"/>
      <c r="BV15" s="33"/>
      <c r="BW15" s="34"/>
      <c r="BX15" s="35" t="str">
        <f t="shared" si="28"/>
        <v/>
      </c>
      <c r="BY15" s="36" t="str">
        <f t="shared" si="29"/>
        <v/>
      </c>
      <c r="BZ15" s="37"/>
      <c r="CA15" s="33"/>
      <c r="CB15" s="34"/>
      <c r="CC15" s="35" t="str">
        <f t="shared" si="30"/>
        <v/>
      </c>
      <c r="CD15" s="36" t="str">
        <f t="shared" si="31"/>
        <v/>
      </c>
      <c r="CE15" s="37"/>
      <c r="CF15" s="33"/>
      <c r="CG15" s="34"/>
      <c r="CH15" s="35" t="str">
        <f t="shared" si="32"/>
        <v/>
      </c>
      <c r="CI15" s="36" t="str">
        <f t="shared" si="33"/>
        <v/>
      </c>
      <c r="CJ15" s="37"/>
      <c r="CK15" s="33"/>
      <c r="CL15" s="34"/>
      <c r="CM15" s="35" t="str">
        <f t="shared" si="34"/>
        <v/>
      </c>
      <c r="CN15" s="36" t="str">
        <f t="shared" si="35"/>
        <v/>
      </c>
      <c r="CO15" s="37"/>
      <c r="CP15" s="33"/>
      <c r="CQ15" s="34"/>
      <c r="CR15" s="35" t="str">
        <f t="shared" si="36"/>
        <v/>
      </c>
      <c r="CS15" s="36" t="str">
        <f t="shared" si="37"/>
        <v/>
      </c>
      <c r="CT15" s="37"/>
      <c r="CU15" s="33"/>
      <c r="CV15" s="34"/>
      <c r="CW15" s="35" t="str">
        <f t="shared" si="38"/>
        <v/>
      </c>
      <c r="CX15" s="36" t="str">
        <f t="shared" si="39"/>
        <v/>
      </c>
      <c r="CY15" s="37"/>
      <c r="CZ15" s="33"/>
      <c r="DA15" s="34"/>
      <c r="DB15" s="35" t="str">
        <f t="shared" si="40"/>
        <v/>
      </c>
      <c r="DC15" s="36" t="str">
        <f t="shared" si="41"/>
        <v/>
      </c>
      <c r="DD15" s="37"/>
      <c r="DE15" s="33"/>
      <c r="DF15" s="34"/>
      <c r="DG15" s="35" t="str">
        <f t="shared" si="42"/>
        <v/>
      </c>
      <c r="DH15" s="36" t="str">
        <f t="shared" si="43"/>
        <v/>
      </c>
      <c r="DI15" s="37"/>
      <c r="DJ15" s="33"/>
      <c r="DK15" s="34"/>
      <c r="DL15" s="35" t="str">
        <f t="shared" si="44"/>
        <v/>
      </c>
      <c r="DM15" s="36" t="str">
        <f t="shared" si="45"/>
        <v/>
      </c>
      <c r="DN15" s="37"/>
      <c r="DO15" s="33"/>
      <c r="DP15" s="34"/>
      <c r="DQ15" s="35" t="str">
        <f t="shared" si="46"/>
        <v/>
      </c>
      <c r="DR15" s="36" t="str">
        <f t="shared" si="47"/>
        <v/>
      </c>
      <c r="DS15" s="37"/>
      <c r="DT15" s="33"/>
      <c r="DU15" s="34"/>
      <c r="DV15" s="35" t="str">
        <f t="shared" si="48"/>
        <v/>
      </c>
      <c r="DW15" s="36" t="str">
        <f t="shared" si="49"/>
        <v/>
      </c>
      <c r="DX15" s="37"/>
      <c r="DY15" s="33"/>
      <c r="DZ15" s="34"/>
      <c r="EA15" s="35" t="str">
        <f t="shared" si="50"/>
        <v/>
      </c>
      <c r="EB15" s="36" t="str">
        <f t="shared" si="51"/>
        <v/>
      </c>
      <c r="EC15" s="37"/>
      <c r="ED15" s="33"/>
      <c r="EE15" s="34"/>
      <c r="EF15" s="35" t="str">
        <f t="shared" si="52"/>
        <v/>
      </c>
      <c r="EG15" s="36" t="str">
        <f t="shared" si="53"/>
        <v/>
      </c>
      <c r="EH15" s="37"/>
      <c r="EI15" s="33"/>
      <c r="EJ15" s="34"/>
      <c r="EK15" s="35" t="str">
        <f t="shared" si="54"/>
        <v/>
      </c>
      <c r="EL15" s="36" t="str">
        <f t="shared" si="55"/>
        <v/>
      </c>
      <c r="EM15" s="37"/>
      <c r="EN15" s="33"/>
      <c r="EO15" s="34"/>
      <c r="EP15" s="35" t="str">
        <f t="shared" si="56"/>
        <v/>
      </c>
      <c r="EQ15" s="36" t="str">
        <f t="shared" si="57"/>
        <v/>
      </c>
      <c r="ER15" s="37"/>
      <c r="ES15" s="33"/>
      <c r="ET15" s="34"/>
      <c r="EU15" s="35" t="str">
        <f t="shared" si="58"/>
        <v/>
      </c>
      <c r="EV15" s="36" t="str">
        <f t="shared" si="59"/>
        <v/>
      </c>
      <c r="EW15" s="37"/>
    </row>
    <row r="16" spans="1:153" ht="19.5" customHeight="1">
      <c r="A16" s="32">
        <f>IF(DAY(DATE(対象年度,12,13))&lt;&gt;13,"",13)</f>
        <v>13</v>
      </c>
      <c r="B16" s="32" t="str">
        <f>IF(DAY(DATE(対象年度,12,13))&lt;&gt;13,"",CHOOSE(WEEKDAY(DATE(対象年度,12,13),2),"月","火","水","木","金","土","日"))</f>
        <v>日</v>
      </c>
      <c r="C16" s="32" t="str">
        <f>IF(DAY(DATE(対象年度,12,13))&lt;&gt;13,"",IF(ISNUMBER(MATCH(DATE(対象年度,12,13),祝日リスト,0)),"祝",""))</f>
        <v/>
      </c>
      <c r="D16" s="33"/>
      <c r="E16" s="34"/>
      <c r="F16" s="35" t="str">
        <f t="shared" si="0"/>
        <v/>
      </c>
      <c r="G16" s="36" t="str">
        <f t="shared" si="1"/>
        <v/>
      </c>
      <c r="H16" s="37"/>
      <c r="I16" s="33"/>
      <c r="J16" s="34"/>
      <c r="K16" s="35" t="str">
        <f t="shared" si="2"/>
        <v/>
      </c>
      <c r="L16" s="36" t="str">
        <f t="shared" si="3"/>
        <v/>
      </c>
      <c r="M16" s="37"/>
      <c r="N16" s="33"/>
      <c r="O16" s="34"/>
      <c r="P16" s="35" t="str">
        <f t="shared" si="4"/>
        <v/>
      </c>
      <c r="Q16" s="36" t="str">
        <f t="shared" si="5"/>
        <v/>
      </c>
      <c r="R16" s="37"/>
      <c r="S16" s="33"/>
      <c r="T16" s="34"/>
      <c r="U16" s="35" t="str">
        <f t="shared" si="6"/>
        <v/>
      </c>
      <c r="V16" s="36" t="str">
        <f t="shared" si="7"/>
        <v/>
      </c>
      <c r="W16" s="37"/>
      <c r="X16" s="33"/>
      <c r="Y16" s="34"/>
      <c r="Z16" s="35" t="str">
        <f t="shared" si="8"/>
        <v/>
      </c>
      <c r="AA16" s="36" t="str">
        <f t="shared" si="9"/>
        <v/>
      </c>
      <c r="AB16" s="37"/>
      <c r="AC16" s="33"/>
      <c r="AD16" s="34"/>
      <c r="AE16" s="35" t="str">
        <f t="shared" si="10"/>
        <v/>
      </c>
      <c r="AF16" s="36" t="str">
        <f t="shared" si="11"/>
        <v/>
      </c>
      <c r="AG16" s="37"/>
      <c r="AH16" s="33"/>
      <c r="AI16" s="34"/>
      <c r="AJ16" s="35" t="str">
        <f t="shared" si="12"/>
        <v/>
      </c>
      <c r="AK16" s="36" t="str">
        <f t="shared" si="13"/>
        <v/>
      </c>
      <c r="AL16" s="37"/>
      <c r="AM16" s="33"/>
      <c r="AN16" s="34"/>
      <c r="AO16" s="35" t="str">
        <f t="shared" si="14"/>
        <v/>
      </c>
      <c r="AP16" s="36" t="str">
        <f t="shared" si="15"/>
        <v/>
      </c>
      <c r="AQ16" s="37"/>
      <c r="AR16" s="33"/>
      <c r="AS16" s="34"/>
      <c r="AT16" s="35" t="str">
        <f t="shared" si="16"/>
        <v/>
      </c>
      <c r="AU16" s="36" t="str">
        <f t="shared" si="17"/>
        <v/>
      </c>
      <c r="AV16" s="37"/>
      <c r="AW16" s="33"/>
      <c r="AX16" s="34"/>
      <c r="AY16" s="35" t="str">
        <f t="shared" si="18"/>
        <v/>
      </c>
      <c r="AZ16" s="36" t="str">
        <f t="shared" si="19"/>
        <v/>
      </c>
      <c r="BA16" s="37"/>
      <c r="BB16" s="33"/>
      <c r="BC16" s="34"/>
      <c r="BD16" s="35" t="str">
        <f t="shared" si="20"/>
        <v/>
      </c>
      <c r="BE16" s="36" t="str">
        <f t="shared" si="21"/>
        <v/>
      </c>
      <c r="BF16" s="37"/>
      <c r="BG16" s="33"/>
      <c r="BH16" s="34"/>
      <c r="BI16" s="35" t="str">
        <f t="shared" si="22"/>
        <v/>
      </c>
      <c r="BJ16" s="36" t="str">
        <f t="shared" si="23"/>
        <v/>
      </c>
      <c r="BK16" s="37"/>
      <c r="BL16" s="33"/>
      <c r="BM16" s="34"/>
      <c r="BN16" s="35" t="str">
        <f t="shared" si="24"/>
        <v/>
      </c>
      <c r="BO16" s="36" t="str">
        <f t="shared" si="25"/>
        <v/>
      </c>
      <c r="BP16" s="37"/>
      <c r="BQ16" s="33"/>
      <c r="BR16" s="34"/>
      <c r="BS16" s="35" t="str">
        <f t="shared" si="26"/>
        <v/>
      </c>
      <c r="BT16" s="36" t="str">
        <f t="shared" si="27"/>
        <v/>
      </c>
      <c r="BU16" s="37"/>
      <c r="BV16" s="33"/>
      <c r="BW16" s="34"/>
      <c r="BX16" s="35" t="str">
        <f t="shared" si="28"/>
        <v/>
      </c>
      <c r="BY16" s="36" t="str">
        <f t="shared" si="29"/>
        <v/>
      </c>
      <c r="BZ16" s="37"/>
      <c r="CA16" s="33"/>
      <c r="CB16" s="34"/>
      <c r="CC16" s="35" t="str">
        <f t="shared" si="30"/>
        <v/>
      </c>
      <c r="CD16" s="36" t="str">
        <f t="shared" si="31"/>
        <v/>
      </c>
      <c r="CE16" s="37"/>
      <c r="CF16" s="33"/>
      <c r="CG16" s="34"/>
      <c r="CH16" s="35" t="str">
        <f t="shared" si="32"/>
        <v/>
      </c>
      <c r="CI16" s="36" t="str">
        <f t="shared" si="33"/>
        <v/>
      </c>
      <c r="CJ16" s="37"/>
      <c r="CK16" s="33"/>
      <c r="CL16" s="34"/>
      <c r="CM16" s="35" t="str">
        <f t="shared" si="34"/>
        <v/>
      </c>
      <c r="CN16" s="36" t="str">
        <f t="shared" si="35"/>
        <v/>
      </c>
      <c r="CO16" s="37"/>
      <c r="CP16" s="33"/>
      <c r="CQ16" s="34"/>
      <c r="CR16" s="35" t="str">
        <f t="shared" si="36"/>
        <v/>
      </c>
      <c r="CS16" s="36" t="str">
        <f t="shared" si="37"/>
        <v/>
      </c>
      <c r="CT16" s="37"/>
      <c r="CU16" s="33"/>
      <c r="CV16" s="34"/>
      <c r="CW16" s="35" t="str">
        <f t="shared" si="38"/>
        <v/>
      </c>
      <c r="CX16" s="36" t="str">
        <f t="shared" si="39"/>
        <v/>
      </c>
      <c r="CY16" s="37"/>
      <c r="CZ16" s="33"/>
      <c r="DA16" s="34"/>
      <c r="DB16" s="35" t="str">
        <f t="shared" si="40"/>
        <v/>
      </c>
      <c r="DC16" s="36" t="str">
        <f t="shared" si="41"/>
        <v/>
      </c>
      <c r="DD16" s="37"/>
      <c r="DE16" s="33"/>
      <c r="DF16" s="34"/>
      <c r="DG16" s="35" t="str">
        <f t="shared" si="42"/>
        <v/>
      </c>
      <c r="DH16" s="36" t="str">
        <f t="shared" si="43"/>
        <v/>
      </c>
      <c r="DI16" s="37"/>
      <c r="DJ16" s="33"/>
      <c r="DK16" s="34"/>
      <c r="DL16" s="35" t="str">
        <f t="shared" si="44"/>
        <v/>
      </c>
      <c r="DM16" s="36" t="str">
        <f t="shared" si="45"/>
        <v/>
      </c>
      <c r="DN16" s="37"/>
      <c r="DO16" s="33"/>
      <c r="DP16" s="34"/>
      <c r="DQ16" s="35" t="str">
        <f t="shared" si="46"/>
        <v/>
      </c>
      <c r="DR16" s="36" t="str">
        <f t="shared" si="47"/>
        <v/>
      </c>
      <c r="DS16" s="37"/>
      <c r="DT16" s="33"/>
      <c r="DU16" s="34"/>
      <c r="DV16" s="35" t="str">
        <f t="shared" si="48"/>
        <v/>
      </c>
      <c r="DW16" s="36" t="str">
        <f t="shared" si="49"/>
        <v/>
      </c>
      <c r="DX16" s="37"/>
      <c r="DY16" s="33"/>
      <c r="DZ16" s="34"/>
      <c r="EA16" s="35" t="str">
        <f t="shared" si="50"/>
        <v/>
      </c>
      <c r="EB16" s="36" t="str">
        <f t="shared" si="51"/>
        <v/>
      </c>
      <c r="EC16" s="37"/>
      <c r="ED16" s="33"/>
      <c r="EE16" s="34"/>
      <c r="EF16" s="35" t="str">
        <f t="shared" si="52"/>
        <v/>
      </c>
      <c r="EG16" s="36" t="str">
        <f t="shared" si="53"/>
        <v/>
      </c>
      <c r="EH16" s="37"/>
      <c r="EI16" s="33"/>
      <c r="EJ16" s="34"/>
      <c r="EK16" s="35" t="str">
        <f t="shared" si="54"/>
        <v/>
      </c>
      <c r="EL16" s="36" t="str">
        <f t="shared" si="55"/>
        <v/>
      </c>
      <c r="EM16" s="37"/>
      <c r="EN16" s="33"/>
      <c r="EO16" s="34"/>
      <c r="EP16" s="35" t="str">
        <f t="shared" si="56"/>
        <v/>
      </c>
      <c r="EQ16" s="36" t="str">
        <f t="shared" si="57"/>
        <v/>
      </c>
      <c r="ER16" s="37"/>
      <c r="ES16" s="33"/>
      <c r="ET16" s="34"/>
      <c r="EU16" s="35" t="str">
        <f t="shared" si="58"/>
        <v/>
      </c>
      <c r="EV16" s="36" t="str">
        <f t="shared" si="59"/>
        <v/>
      </c>
      <c r="EW16" s="37"/>
    </row>
    <row r="17" spans="1:153" ht="19.5" customHeight="1">
      <c r="A17" s="32">
        <f>IF(DAY(DATE(対象年度,12,14))&lt;&gt;14,"",14)</f>
        <v>14</v>
      </c>
      <c r="B17" s="32" t="str">
        <f>IF(DAY(DATE(対象年度,12,14))&lt;&gt;14,"",CHOOSE(WEEKDAY(DATE(対象年度,12,14),2),"月","火","水","木","金","土","日"))</f>
        <v>月</v>
      </c>
      <c r="C17" s="32" t="str">
        <f>IF(DAY(DATE(対象年度,12,14))&lt;&gt;14,"",IF(ISNUMBER(MATCH(DATE(対象年度,12,14),祝日リスト,0)),"祝",""))</f>
        <v/>
      </c>
      <c r="D17" s="33"/>
      <c r="E17" s="34"/>
      <c r="F17" s="35" t="str">
        <f t="shared" si="0"/>
        <v/>
      </c>
      <c r="G17" s="36" t="str">
        <f t="shared" si="1"/>
        <v/>
      </c>
      <c r="H17" s="37"/>
      <c r="I17" s="33"/>
      <c r="J17" s="34"/>
      <c r="K17" s="35" t="str">
        <f t="shared" si="2"/>
        <v/>
      </c>
      <c r="L17" s="36" t="str">
        <f t="shared" si="3"/>
        <v/>
      </c>
      <c r="M17" s="37"/>
      <c r="N17" s="33"/>
      <c r="O17" s="34"/>
      <c r="P17" s="35" t="str">
        <f t="shared" si="4"/>
        <v/>
      </c>
      <c r="Q17" s="36" t="str">
        <f t="shared" si="5"/>
        <v/>
      </c>
      <c r="R17" s="37"/>
      <c r="S17" s="33"/>
      <c r="T17" s="34"/>
      <c r="U17" s="35" t="str">
        <f t="shared" si="6"/>
        <v/>
      </c>
      <c r="V17" s="36" t="str">
        <f t="shared" si="7"/>
        <v/>
      </c>
      <c r="W17" s="37"/>
      <c r="X17" s="33"/>
      <c r="Y17" s="34"/>
      <c r="Z17" s="35" t="str">
        <f t="shared" si="8"/>
        <v/>
      </c>
      <c r="AA17" s="36" t="str">
        <f t="shared" si="9"/>
        <v/>
      </c>
      <c r="AB17" s="37"/>
      <c r="AC17" s="33"/>
      <c r="AD17" s="34"/>
      <c r="AE17" s="35" t="str">
        <f t="shared" si="10"/>
        <v/>
      </c>
      <c r="AF17" s="36" t="str">
        <f t="shared" si="11"/>
        <v/>
      </c>
      <c r="AG17" s="37"/>
      <c r="AH17" s="33"/>
      <c r="AI17" s="34"/>
      <c r="AJ17" s="35" t="str">
        <f t="shared" si="12"/>
        <v/>
      </c>
      <c r="AK17" s="36" t="str">
        <f t="shared" si="13"/>
        <v/>
      </c>
      <c r="AL17" s="37"/>
      <c r="AM17" s="33"/>
      <c r="AN17" s="34"/>
      <c r="AO17" s="35" t="str">
        <f t="shared" si="14"/>
        <v/>
      </c>
      <c r="AP17" s="36" t="str">
        <f t="shared" si="15"/>
        <v/>
      </c>
      <c r="AQ17" s="37"/>
      <c r="AR17" s="33"/>
      <c r="AS17" s="34"/>
      <c r="AT17" s="35" t="str">
        <f t="shared" si="16"/>
        <v/>
      </c>
      <c r="AU17" s="36" t="str">
        <f t="shared" si="17"/>
        <v/>
      </c>
      <c r="AV17" s="37"/>
      <c r="AW17" s="33"/>
      <c r="AX17" s="34"/>
      <c r="AY17" s="35" t="str">
        <f t="shared" si="18"/>
        <v/>
      </c>
      <c r="AZ17" s="36" t="str">
        <f t="shared" si="19"/>
        <v/>
      </c>
      <c r="BA17" s="37"/>
      <c r="BB17" s="33"/>
      <c r="BC17" s="34"/>
      <c r="BD17" s="35" t="str">
        <f t="shared" si="20"/>
        <v/>
      </c>
      <c r="BE17" s="36" t="str">
        <f t="shared" si="21"/>
        <v/>
      </c>
      <c r="BF17" s="37"/>
      <c r="BG17" s="33"/>
      <c r="BH17" s="34"/>
      <c r="BI17" s="35" t="str">
        <f t="shared" si="22"/>
        <v/>
      </c>
      <c r="BJ17" s="36" t="str">
        <f t="shared" si="23"/>
        <v/>
      </c>
      <c r="BK17" s="37"/>
      <c r="BL17" s="33"/>
      <c r="BM17" s="34"/>
      <c r="BN17" s="35" t="str">
        <f t="shared" si="24"/>
        <v/>
      </c>
      <c r="BO17" s="36" t="str">
        <f t="shared" si="25"/>
        <v/>
      </c>
      <c r="BP17" s="37"/>
      <c r="BQ17" s="33"/>
      <c r="BR17" s="34"/>
      <c r="BS17" s="35" t="str">
        <f t="shared" si="26"/>
        <v/>
      </c>
      <c r="BT17" s="36" t="str">
        <f t="shared" si="27"/>
        <v/>
      </c>
      <c r="BU17" s="37"/>
      <c r="BV17" s="33"/>
      <c r="BW17" s="34"/>
      <c r="BX17" s="35" t="str">
        <f t="shared" si="28"/>
        <v/>
      </c>
      <c r="BY17" s="36" t="str">
        <f t="shared" si="29"/>
        <v/>
      </c>
      <c r="BZ17" s="37"/>
      <c r="CA17" s="33"/>
      <c r="CB17" s="34"/>
      <c r="CC17" s="35" t="str">
        <f t="shared" si="30"/>
        <v/>
      </c>
      <c r="CD17" s="36" t="str">
        <f t="shared" si="31"/>
        <v/>
      </c>
      <c r="CE17" s="37"/>
      <c r="CF17" s="33"/>
      <c r="CG17" s="34"/>
      <c r="CH17" s="35" t="str">
        <f t="shared" si="32"/>
        <v/>
      </c>
      <c r="CI17" s="36" t="str">
        <f t="shared" si="33"/>
        <v/>
      </c>
      <c r="CJ17" s="37"/>
      <c r="CK17" s="33"/>
      <c r="CL17" s="34"/>
      <c r="CM17" s="35" t="str">
        <f t="shared" si="34"/>
        <v/>
      </c>
      <c r="CN17" s="36" t="str">
        <f t="shared" si="35"/>
        <v/>
      </c>
      <c r="CO17" s="37"/>
      <c r="CP17" s="33"/>
      <c r="CQ17" s="34"/>
      <c r="CR17" s="35" t="str">
        <f t="shared" si="36"/>
        <v/>
      </c>
      <c r="CS17" s="36" t="str">
        <f t="shared" si="37"/>
        <v/>
      </c>
      <c r="CT17" s="37"/>
      <c r="CU17" s="33"/>
      <c r="CV17" s="34"/>
      <c r="CW17" s="35" t="str">
        <f t="shared" si="38"/>
        <v/>
      </c>
      <c r="CX17" s="36" t="str">
        <f t="shared" si="39"/>
        <v/>
      </c>
      <c r="CY17" s="37"/>
      <c r="CZ17" s="33"/>
      <c r="DA17" s="34"/>
      <c r="DB17" s="35" t="str">
        <f t="shared" si="40"/>
        <v/>
      </c>
      <c r="DC17" s="36" t="str">
        <f t="shared" si="41"/>
        <v/>
      </c>
      <c r="DD17" s="37"/>
      <c r="DE17" s="33"/>
      <c r="DF17" s="34"/>
      <c r="DG17" s="35" t="str">
        <f t="shared" si="42"/>
        <v/>
      </c>
      <c r="DH17" s="36" t="str">
        <f t="shared" si="43"/>
        <v/>
      </c>
      <c r="DI17" s="37"/>
      <c r="DJ17" s="33"/>
      <c r="DK17" s="34"/>
      <c r="DL17" s="35" t="str">
        <f t="shared" si="44"/>
        <v/>
      </c>
      <c r="DM17" s="36" t="str">
        <f t="shared" si="45"/>
        <v/>
      </c>
      <c r="DN17" s="37"/>
      <c r="DO17" s="33"/>
      <c r="DP17" s="34"/>
      <c r="DQ17" s="35" t="str">
        <f t="shared" si="46"/>
        <v/>
      </c>
      <c r="DR17" s="36" t="str">
        <f t="shared" si="47"/>
        <v/>
      </c>
      <c r="DS17" s="37"/>
      <c r="DT17" s="33"/>
      <c r="DU17" s="34"/>
      <c r="DV17" s="35" t="str">
        <f t="shared" si="48"/>
        <v/>
      </c>
      <c r="DW17" s="36" t="str">
        <f t="shared" si="49"/>
        <v/>
      </c>
      <c r="DX17" s="37"/>
      <c r="DY17" s="33"/>
      <c r="DZ17" s="34"/>
      <c r="EA17" s="35" t="str">
        <f t="shared" si="50"/>
        <v/>
      </c>
      <c r="EB17" s="36" t="str">
        <f t="shared" si="51"/>
        <v/>
      </c>
      <c r="EC17" s="37"/>
      <c r="ED17" s="33"/>
      <c r="EE17" s="34"/>
      <c r="EF17" s="35" t="str">
        <f t="shared" si="52"/>
        <v/>
      </c>
      <c r="EG17" s="36" t="str">
        <f t="shared" si="53"/>
        <v/>
      </c>
      <c r="EH17" s="37"/>
      <c r="EI17" s="33"/>
      <c r="EJ17" s="34"/>
      <c r="EK17" s="35" t="str">
        <f t="shared" si="54"/>
        <v/>
      </c>
      <c r="EL17" s="36" t="str">
        <f t="shared" si="55"/>
        <v/>
      </c>
      <c r="EM17" s="37"/>
      <c r="EN17" s="33"/>
      <c r="EO17" s="34"/>
      <c r="EP17" s="35" t="str">
        <f t="shared" si="56"/>
        <v/>
      </c>
      <c r="EQ17" s="36" t="str">
        <f t="shared" si="57"/>
        <v/>
      </c>
      <c r="ER17" s="37"/>
      <c r="ES17" s="33"/>
      <c r="ET17" s="34"/>
      <c r="EU17" s="35" t="str">
        <f t="shared" si="58"/>
        <v/>
      </c>
      <c r="EV17" s="36" t="str">
        <f t="shared" si="59"/>
        <v/>
      </c>
      <c r="EW17" s="37"/>
    </row>
    <row r="18" spans="1:153" ht="19.5" customHeight="1">
      <c r="A18" s="32">
        <f>IF(DAY(DATE(対象年度,12,15))&lt;&gt;15,"",15)</f>
        <v>15</v>
      </c>
      <c r="B18" s="32" t="str">
        <f>IF(DAY(DATE(対象年度,12,15))&lt;&gt;15,"",CHOOSE(WEEKDAY(DATE(対象年度,12,15),2),"月","火","水","木","金","土","日"))</f>
        <v>火</v>
      </c>
      <c r="C18" s="32" t="str">
        <f>IF(DAY(DATE(対象年度,12,15))&lt;&gt;15,"",IF(ISNUMBER(MATCH(DATE(対象年度,12,15),祝日リスト,0)),"祝",""))</f>
        <v/>
      </c>
      <c r="D18" s="33"/>
      <c r="E18" s="34"/>
      <c r="F18" s="35" t="str">
        <f t="shared" si="0"/>
        <v/>
      </c>
      <c r="G18" s="36" t="str">
        <f t="shared" si="1"/>
        <v/>
      </c>
      <c r="H18" s="37"/>
      <c r="I18" s="33"/>
      <c r="J18" s="34"/>
      <c r="K18" s="35" t="str">
        <f t="shared" si="2"/>
        <v/>
      </c>
      <c r="L18" s="36" t="str">
        <f t="shared" si="3"/>
        <v/>
      </c>
      <c r="M18" s="37"/>
      <c r="N18" s="33"/>
      <c r="O18" s="34"/>
      <c r="P18" s="35" t="str">
        <f t="shared" si="4"/>
        <v/>
      </c>
      <c r="Q18" s="36" t="str">
        <f t="shared" si="5"/>
        <v/>
      </c>
      <c r="R18" s="37"/>
      <c r="S18" s="33"/>
      <c r="T18" s="34"/>
      <c r="U18" s="35" t="str">
        <f t="shared" si="6"/>
        <v/>
      </c>
      <c r="V18" s="36" t="str">
        <f t="shared" si="7"/>
        <v/>
      </c>
      <c r="W18" s="37"/>
      <c r="X18" s="33"/>
      <c r="Y18" s="34"/>
      <c r="Z18" s="35" t="str">
        <f t="shared" si="8"/>
        <v/>
      </c>
      <c r="AA18" s="36" t="str">
        <f t="shared" si="9"/>
        <v/>
      </c>
      <c r="AB18" s="37"/>
      <c r="AC18" s="33"/>
      <c r="AD18" s="34"/>
      <c r="AE18" s="35" t="str">
        <f t="shared" si="10"/>
        <v/>
      </c>
      <c r="AF18" s="36" t="str">
        <f t="shared" si="11"/>
        <v/>
      </c>
      <c r="AG18" s="37"/>
      <c r="AH18" s="33"/>
      <c r="AI18" s="34"/>
      <c r="AJ18" s="35" t="str">
        <f t="shared" si="12"/>
        <v/>
      </c>
      <c r="AK18" s="36" t="str">
        <f t="shared" si="13"/>
        <v/>
      </c>
      <c r="AL18" s="37"/>
      <c r="AM18" s="33"/>
      <c r="AN18" s="34"/>
      <c r="AO18" s="35" t="str">
        <f t="shared" si="14"/>
        <v/>
      </c>
      <c r="AP18" s="36" t="str">
        <f t="shared" si="15"/>
        <v/>
      </c>
      <c r="AQ18" s="37"/>
      <c r="AR18" s="33"/>
      <c r="AS18" s="34"/>
      <c r="AT18" s="35" t="str">
        <f t="shared" si="16"/>
        <v/>
      </c>
      <c r="AU18" s="36" t="str">
        <f t="shared" si="17"/>
        <v/>
      </c>
      <c r="AV18" s="37"/>
      <c r="AW18" s="33"/>
      <c r="AX18" s="34"/>
      <c r="AY18" s="35" t="str">
        <f t="shared" si="18"/>
        <v/>
      </c>
      <c r="AZ18" s="36" t="str">
        <f t="shared" si="19"/>
        <v/>
      </c>
      <c r="BA18" s="37"/>
      <c r="BB18" s="33"/>
      <c r="BC18" s="34"/>
      <c r="BD18" s="35" t="str">
        <f t="shared" si="20"/>
        <v/>
      </c>
      <c r="BE18" s="36" t="str">
        <f t="shared" si="21"/>
        <v/>
      </c>
      <c r="BF18" s="37"/>
      <c r="BG18" s="33"/>
      <c r="BH18" s="34"/>
      <c r="BI18" s="35" t="str">
        <f t="shared" si="22"/>
        <v/>
      </c>
      <c r="BJ18" s="36" t="str">
        <f t="shared" si="23"/>
        <v/>
      </c>
      <c r="BK18" s="37"/>
      <c r="BL18" s="33"/>
      <c r="BM18" s="34"/>
      <c r="BN18" s="35" t="str">
        <f t="shared" si="24"/>
        <v/>
      </c>
      <c r="BO18" s="36" t="str">
        <f t="shared" si="25"/>
        <v/>
      </c>
      <c r="BP18" s="37"/>
      <c r="BQ18" s="33"/>
      <c r="BR18" s="34"/>
      <c r="BS18" s="35" t="str">
        <f t="shared" si="26"/>
        <v/>
      </c>
      <c r="BT18" s="36" t="str">
        <f t="shared" si="27"/>
        <v/>
      </c>
      <c r="BU18" s="37"/>
      <c r="BV18" s="33"/>
      <c r="BW18" s="34"/>
      <c r="BX18" s="35" t="str">
        <f t="shared" si="28"/>
        <v/>
      </c>
      <c r="BY18" s="36" t="str">
        <f t="shared" si="29"/>
        <v/>
      </c>
      <c r="BZ18" s="37"/>
      <c r="CA18" s="33"/>
      <c r="CB18" s="34"/>
      <c r="CC18" s="35" t="str">
        <f t="shared" si="30"/>
        <v/>
      </c>
      <c r="CD18" s="36" t="str">
        <f t="shared" si="31"/>
        <v/>
      </c>
      <c r="CE18" s="37"/>
      <c r="CF18" s="33"/>
      <c r="CG18" s="34"/>
      <c r="CH18" s="35" t="str">
        <f t="shared" si="32"/>
        <v/>
      </c>
      <c r="CI18" s="36" t="str">
        <f t="shared" si="33"/>
        <v/>
      </c>
      <c r="CJ18" s="37"/>
      <c r="CK18" s="33"/>
      <c r="CL18" s="34"/>
      <c r="CM18" s="35" t="str">
        <f t="shared" si="34"/>
        <v/>
      </c>
      <c r="CN18" s="36" t="str">
        <f t="shared" si="35"/>
        <v/>
      </c>
      <c r="CO18" s="37"/>
      <c r="CP18" s="33"/>
      <c r="CQ18" s="34"/>
      <c r="CR18" s="35" t="str">
        <f t="shared" si="36"/>
        <v/>
      </c>
      <c r="CS18" s="36" t="str">
        <f t="shared" si="37"/>
        <v/>
      </c>
      <c r="CT18" s="37"/>
      <c r="CU18" s="33"/>
      <c r="CV18" s="34"/>
      <c r="CW18" s="35" t="str">
        <f t="shared" si="38"/>
        <v/>
      </c>
      <c r="CX18" s="36" t="str">
        <f t="shared" si="39"/>
        <v/>
      </c>
      <c r="CY18" s="37"/>
      <c r="CZ18" s="33"/>
      <c r="DA18" s="34"/>
      <c r="DB18" s="35" t="str">
        <f t="shared" si="40"/>
        <v/>
      </c>
      <c r="DC18" s="36" t="str">
        <f t="shared" si="41"/>
        <v/>
      </c>
      <c r="DD18" s="37"/>
      <c r="DE18" s="33"/>
      <c r="DF18" s="34"/>
      <c r="DG18" s="35" t="str">
        <f t="shared" si="42"/>
        <v/>
      </c>
      <c r="DH18" s="36" t="str">
        <f t="shared" si="43"/>
        <v/>
      </c>
      <c r="DI18" s="37"/>
      <c r="DJ18" s="33"/>
      <c r="DK18" s="34"/>
      <c r="DL18" s="35" t="str">
        <f t="shared" si="44"/>
        <v/>
      </c>
      <c r="DM18" s="36" t="str">
        <f t="shared" si="45"/>
        <v/>
      </c>
      <c r="DN18" s="37"/>
      <c r="DO18" s="33"/>
      <c r="DP18" s="34"/>
      <c r="DQ18" s="35" t="str">
        <f t="shared" si="46"/>
        <v/>
      </c>
      <c r="DR18" s="36" t="str">
        <f t="shared" si="47"/>
        <v/>
      </c>
      <c r="DS18" s="37"/>
      <c r="DT18" s="33"/>
      <c r="DU18" s="34"/>
      <c r="DV18" s="35" t="str">
        <f t="shared" si="48"/>
        <v/>
      </c>
      <c r="DW18" s="36" t="str">
        <f t="shared" si="49"/>
        <v/>
      </c>
      <c r="DX18" s="37"/>
      <c r="DY18" s="33"/>
      <c r="DZ18" s="34"/>
      <c r="EA18" s="35" t="str">
        <f t="shared" si="50"/>
        <v/>
      </c>
      <c r="EB18" s="36" t="str">
        <f t="shared" si="51"/>
        <v/>
      </c>
      <c r="EC18" s="37"/>
      <c r="ED18" s="33"/>
      <c r="EE18" s="34"/>
      <c r="EF18" s="35" t="str">
        <f t="shared" si="52"/>
        <v/>
      </c>
      <c r="EG18" s="36" t="str">
        <f t="shared" si="53"/>
        <v/>
      </c>
      <c r="EH18" s="37"/>
      <c r="EI18" s="33"/>
      <c r="EJ18" s="34"/>
      <c r="EK18" s="35" t="str">
        <f t="shared" si="54"/>
        <v/>
      </c>
      <c r="EL18" s="36" t="str">
        <f t="shared" si="55"/>
        <v/>
      </c>
      <c r="EM18" s="37"/>
      <c r="EN18" s="33"/>
      <c r="EO18" s="34"/>
      <c r="EP18" s="35" t="str">
        <f t="shared" si="56"/>
        <v/>
      </c>
      <c r="EQ18" s="36" t="str">
        <f t="shared" si="57"/>
        <v/>
      </c>
      <c r="ER18" s="37"/>
      <c r="ES18" s="33"/>
      <c r="ET18" s="34"/>
      <c r="EU18" s="35" t="str">
        <f t="shared" si="58"/>
        <v/>
      </c>
      <c r="EV18" s="36" t="str">
        <f t="shared" si="59"/>
        <v/>
      </c>
      <c r="EW18" s="37"/>
    </row>
    <row r="19" spans="1:153" ht="19.5" customHeight="1">
      <c r="A19" s="32">
        <f>IF(DAY(DATE(対象年度,12,16))&lt;&gt;16,"",16)</f>
        <v>16</v>
      </c>
      <c r="B19" s="32" t="str">
        <f>IF(DAY(DATE(対象年度,12,16))&lt;&gt;16,"",CHOOSE(WEEKDAY(DATE(対象年度,12,16),2),"月","火","水","木","金","土","日"))</f>
        <v>水</v>
      </c>
      <c r="C19" s="32" t="str">
        <f>IF(DAY(DATE(対象年度,12,16))&lt;&gt;16,"",IF(ISNUMBER(MATCH(DATE(対象年度,12,16),祝日リスト,0)),"祝",""))</f>
        <v/>
      </c>
      <c r="D19" s="33"/>
      <c r="E19" s="34"/>
      <c r="F19" s="35" t="str">
        <f t="shared" si="0"/>
        <v/>
      </c>
      <c r="G19" s="36" t="str">
        <f t="shared" si="1"/>
        <v/>
      </c>
      <c r="H19" s="37"/>
      <c r="I19" s="33"/>
      <c r="J19" s="34"/>
      <c r="K19" s="35" t="str">
        <f t="shared" si="2"/>
        <v/>
      </c>
      <c r="L19" s="36" t="str">
        <f t="shared" si="3"/>
        <v/>
      </c>
      <c r="M19" s="37"/>
      <c r="N19" s="33"/>
      <c r="O19" s="34"/>
      <c r="P19" s="35" t="str">
        <f t="shared" si="4"/>
        <v/>
      </c>
      <c r="Q19" s="36" t="str">
        <f t="shared" si="5"/>
        <v/>
      </c>
      <c r="R19" s="37"/>
      <c r="S19" s="33"/>
      <c r="T19" s="34"/>
      <c r="U19" s="35" t="str">
        <f t="shared" si="6"/>
        <v/>
      </c>
      <c r="V19" s="36" t="str">
        <f t="shared" si="7"/>
        <v/>
      </c>
      <c r="W19" s="37"/>
      <c r="X19" s="33"/>
      <c r="Y19" s="34"/>
      <c r="Z19" s="35" t="str">
        <f t="shared" si="8"/>
        <v/>
      </c>
      <c r="AA19" s="36" t="str">
        <f t="shared" si="9"/>
        <v/>
      </c>
      <c r="AB19" s="37"/>
      <c r="AC19" s="33"/>
      <c r="AD19" s="34"/>
      <c r="AE19" s="35" t="str">
        <f t="shared" si="10"/>
        <v/>
      </c>
      <c r="AF19" s="36" t="str">
        <f t="shared" si="11"/>
        <v/>
      </c>
      <c r="AG19" s="37"/>
      <c r="AH19" s="33"/>
      <c r="AI19" s="34"/>
      <c r="AJ19" s="35" t="str">
        <f t="shared" si="12"/>
        <v/>
      </c>
      <c r="AK19" s="36" t="str">
        <f t="shared" si="13"/>
        <v/>
      </c>
      <c r="AL19" s="37"/>
      <c r="AM19" s="33"/>
      <c r="AN19" s="34"/>
      <c r="AO19" s="35" t="str">
        <f t="shared" si="14"/>
        <v/>
      </c>
      <c r="AP19" s="36" t="str">
        <f t="shared" si="15"/>
        <v/>
      </c>
      <c r="AQ19" s="37"/>
      <c r="AR19" s="33"/>
      <c r="AS19" s="34"/>
      <c r="AT19" s="35" t="str">
        <f t="shared" si="16"/>
        <v/>
      </c>
      <c r="AU19" s="36" t="str">
        <f t="shared" si="17"/>
        <v/>
      </c>
      <c r="AV19" s="37"/>
      <c r="AW19" s="33"/>
      <c r="AX19" s="34"/>
      <c r="AY19" s="35" t="str">
        <f t="shared" si="18"/>
        <v/>
      </c>
      <c r="AZ19" s="36" t="str">
        <f t="shared" si="19"/>
        <v/>
      </c>
      <c r="BA19" s="37"/>
      <c r="BB19" s="33"/>
      <c r="BC19" s="34"/>
      <c r="BD19" s="35" t="str">
        <f t="shared" si="20"/>
        <v/>
      </c>
      <c r="BE19" s="36" t="str">
        <f t="shared" si="21"/>
        <v/>
      </c>
      <c r="BF19" s="37"/>
      <c r="BG19" s="33"/>
      <c r="BH19" s="34"/>
      <c r="BI19" s="35" t="str">
        <f t="shared" si="22"/>
        <v/>
      </c>
      <c r="BJ19" s="36" t="str">
        <f t="shared" si="23"/>
        <v/>
      </c>
      <c r="BK19" s="37"/>
      <c r="BL19" s="33"/>
      <c r="BM19" s="34"/>
      <c r="BN19" s="35" t="str">
        <f t="shared" si="24"/>
        <v/>
      </c>
      <c r="BO19" s="36" t="str">
        <f t="shared" si="25"/>
        <v/>
      </c>
      <c r="BP19" s="37"/>
      <c r="BQ19" s="33"/>
      <c r="BR19" s="34"/>
      <c r="BS19" s="35" t="str">
        <f t="shared" si="26"/>
        <v/>
      </c>
      <c r="BT19" s="36" t="str">
        <f t="shared" si="27"/>
        <v/>
      </c>
      <c r="BU19" s="37"/>
      <c r="BV19" s="33"/>
      <c r="BW19" s="34"/>
      <c r="BX19" s="35" t="str">
        <f t="shared" si="28"/>
        <v/>
      </c>
      <c r="BY19" s="36" t="str">
        <f t="shared" si="29"/>
        <v/>
      </c>
      <c r="BZ19" s="37"/>
      <c r="CA19" s="33"/>
      <c r="CB19" s="34"/>
      <c r="CC19" s="35" t="str">
        <f t="shared" si="30"/>
        <v/>
      </c>
      <c r="CD19" s="36" t="str">
        <f t="shared" si="31"/>
        <v/>
      </c>
      <c r="CE19" s="37"/>
      <c r="CF19" s="33"/>
      <c r="CG19" s="34"/>
      <c r="CH19" s="35" t="str">
        <f t="shared" si="32"/>
        <v/>
      </c>
      <c r="CI19" s="36" t="str">
        <f t="shared" si="33"/>
        <v/>
      </c>
      <c r="CJ19" s="37"/>
      <c r="CK19" s="33"/>
      <c r="CL19" s="34"/>
      <c r="CM19" s="35" t="str">
        <f t="shared" si="34"/>
        <v/>
      </c>
      <c r="CN19" s="36" t="str">
        <f t="shared" si="35"/>
        <v/>
      </c>
      <c r="CO19" s="37"/>
      <c r="CP19" s="33"/>
      <c r="CQ19" s="34"/>
      <c r="CR19" s="35" t="str">
        <f t="shared" si="36"/>
        <v/>
      </c>
      <c r="CS19" s="36" t="str">
        <f t="shared" si="37"/>
        <v/>
      </c>
      <c r="CT19" s="37"/>
      <c r="CU19" s="33"/>
      <c r="CV19" s="34"/>
      <c r="CW19" s="35" t="str">
        <f t="shared" si="38"/>
        <v/>
      </c>
      <c r="CX19" s="36" t="str">
        <f t="shared" si="39"/>
        <v/>
      </c>
      <c r="CY19" s="37"/>
      <c r="CZ19" s="33"/>
      <c r="DA19" s="34"/>
      <c r="DB19" s="35" t="str">
        <f t="shared" si="40"/>
        <v/>
      </c>
      <c r="DC19" s="36" t="str">
        <f t="shared" si="41"/>
        <v/>
      </c>
      <c r="DD19" s="37"/>
      <c r="DE19" s="33"/>
      <c r="DF19" s="34"/>
      <c r="DG19" s="35" t="str">
        <f t="shared" si="42"/>
        <v/>
      </c>
      <c r="DH19" s="36" t="str">
        <f t="shared" si="43"/>
        <v/>
      </c>
      <c r="DI19" s="37"/>
      <c r="DJ19" s="33"/>
      <c r="DK19" s="34"/>
      <c r="DL19" s="35" t="str">
        <f t="shared" si="44"/>
        <v/>
      </c>
      <c r="DM19" s="36" t="str">
        <f t="shared" si="45"/>
        <v/>
      </c>
      <c r="DN19" s="37"/>
      <c r="DO19" s="33"/>
      <c r="DP19" s="34"/>
      <c r="DQ19" s="35" t="str">
        <f t="shared" si="46"/>
        <v/>
      </c>
      <c r="DR19" s="36" t="str">
        <f t="shared" si="47"/>
        <v/>
      </c>
      <c r="DS19" s="37"/>
      <c r="DT19" s="33"/>
      <c r="DU19" s="34"/>
      <c r="DV19" s="35" t="str">
        <f t="shared" si="48"/>
        <v/>
      </c>
      <c r="DW19" s="36" t="str">
        <f t="shared" si="49"/>
        <v/>
      </c>
      <c r="DX19" s="37"/>
      <c r="DY19" s="33"/>
      <c r="DZ19" s="34"/>
      <c r="EA19" s="35" t="str">
        <f t="shared" si="50"/>
        <v/>
      </c>
      <c r="EB19" s="36" t="str">
        <f t="shared" si="51"/>
        <v/>
      </c>
      <c r="EC19" s="37"/>
      <c r="ED19" s="33"/>
      <c r="EE19" s="34"/>
      <c r="EF19" s="35" t="str">
        <f t="shared" si="52"/>
        <v/>
      </c>
      <c r="EG19" s="36" t="str">
        <f t="shared" si="53"/>
        <v/>
      </c>
      <c r="EH19" s="37"/>
      <c r="EI19" s="33"/>
      <c r="EJ19" s="34"/>
      <c r="EK19" s="35" t="str">
        <f t="shared" si="54"/>
        <v/>
      </c>
      <c r="EL19" s="36" t="str">
        <f t="shared" si="55"/>
        <v/>
      </c>
      <c r="EM19" s="37"/>
      <c r="EN19" s="33"/>
      <c r="EO19" s="34"/>
      <c r="EP19" s="35" t="str">
        <f t="shared" si="56"/>
        <v/>
      </c>
      <c r="EQ19" s="36" t="str">
        <f t="shared" si="57"/>
        <v/>
      </c>
      <c r="ER19" s="37"/>
      <c r="ES19" s="33"/>
      <c r="ET19" s="34"/>
      <c r="EU19" s="35" t="str">
        <f t="shared" si="58"/>
        <v/>
      </c>
      <c r="EV19" s="36" t="str">
        <f t="shared" si="59"/>
        <v/>
      </c>
      <c r="EW19" s="37"/>
    </row>
    <row r="20" spans="1:153" ht="19.5" customHeight="1">
      <c r="A20" s="32">
        <f>IF(DAY(DATE(対象年度,12,17))&lt;&gt;17,"",17)</f>
        <v>17</v>
      </c>
      <c r="B20" s="32" t="str">
        <f>IF(DAY(DATE(対象年度,12,17))&lt;&gt;17,"",CHOOSE(WEEKDAY(DATE(対象年度,12,17),2),"月","火","水","木","金","土","日"))</f>
        <v>木</v>
      </c>
      <c r="C20" s="32" t="str">
        <f>IF(DAY(DATE(対象年度,12,17))&lt;&gt;17,"",IF(ISNUMBER(MATCH(DATE(対象年度,12,17),祝日リスト,0)),"祝",""))</f>
        <v/>
      </c>
      <c r="D20" s="33"/>
      <c r="E20" s="34"/>
      <c r="F20" s="35" t="str">
        <f t="shared" si="0"/>
        <v/>
      </c>
      <c r="G20" s="36" t="str">
        <f t="shared" si="1"/>
        <v/>
      </c>
      <c r="H20" s="37"/>
      <c r="I20" s="33"/>
      <c r="J20" s="34"/>
      <c r="K20" s="35" t="str">
        <f t="shared" si="2"/>
        <v/>
      </c>
      <c r="L20" s="36" t="str">
        <f t="shared" si="3"/>
        <v/>
      </c>
      <c r="M20" s="37"/>
      <c r="N20" s="33"/>
      <c r="O20" s="34"/>
      <c r="P20" s="35" t="str">
        <f t="shared" si="4"/>
        <v/>
      </c>
      <c r="Q20" s="36" t="str">
        <f t="shared" si="5"/>
        <v/>
      </c>
      <c r="R20" s="37"/>
      <c r="S20" s="33"/>
      <c r="T20" s="34"/>
      <c r="U20" s="35" t="str">
        <f t="shared" si="6"/>
        <v/>
      </c>
      <c r="V20" s="36" t="str">
        <f t="shared" si="7"/>
        <v/>
      </c>
      <c r="W20" s="37"/>
      <c r="X20" s="33"/>
      <c r="Y20" s="34"/>
      <c r="Z20" s="35" t="str">
        <f t="shared" si="8"/>
        <v/>
      </c>
      <c r="AA20" s="36" t="str">
        <f t="shared" si="9"/>
        <v/>
      </c>
      <c r="AB20" s="37"/>
      <c r="AC20" s="33"/>
      <c r="AD20" s="34"/>
      <c r="AE20" s="35" t="str">
        <f t="shared" si="10"/>
        <v/>
      </c>
      <c r="AF20" s="36" t="str">
        <f t="shared" si="11"/>
        <v/>
      </c>
      <c r="AG20" s="37"/>
      <c r="AH20" s="33"/>
      <c r="AI20" s="34"/>
      <c r="AJ20" s="35" t="str">
        <f t="shared" si="12"/>
        <v/>
      </c>
      <c r="AK20" s="36" t="str">
        <f t="shared" si="13"/>
        <v/>
      </c>
      <c r="AL20" s="37"/>
      <c r="AM20" s="33"/>
      <c r="AN20" s="34"/>
      <c r="AO20" s="35" t="str">
        <f t="shared" si="14"/>
        <v/>
      </c>
      <c r="AP20" s="36" t="str">
        <f t="shared" si="15"/>
        <v/>
      </c>
      <c r="AQ20" s="37"/>
      <c r="AR20" s="33"/>
      <c r="AS20" s="34"/>
      <c r="AT20" s="35" t="str">
        <f t="shared" si="16"/>
        <v/>
      </c>
      <c r="AU20" s="36" t="str">
        <f t="shared" si="17"/>
        <v/>
      </c>
      <c r="AV20" s="37"/>
      <c r="AW20" s="33"/>
      <c r="AX20" s="34"/>
      <c r="AY20" s="35" t="str">
        <f t="shared" si="18"/>
        <v/>
      </c>
      <c r="AZ20" s="36" t="str">
        <f t="shared" si="19"/>
        <v/>
      </c>
      <c r="BA20" s="37"/>
      <c r="BB20" s="33"/>
      <c r="BC20" s="34"/>
      <c r="BD20" s="35" t="str">
        <f t="shared" si="20"/>
        <v/>
      </c>
      <c r="BE20" s="36" t="str">
        <f t="shared" si="21"/>
        <v/>
      </c>
      <c r="BF20" s="37"/>
      <c r="BG20" s="33"/>
      <c r="BH20" s="34"/>
      <c r="BI20" s="35" t="str">
        <f t="shared" si="22"/>
        <v/>
      </c>
      <c r="BJ20" s="36" t="str">
        <f t="shared" si="23"/>
        <v/>
      </c>
      <c r="BK20" s="37"/>
      <c r="BL20" s="33"/>
      <c r="BM20" s="34"/>
      <c r="BN20" s="35" t="str">
        <f t="shared" si="24"/>
        <v/>
      </c>
      <c r="BO20" s="36" t="str">
        <f t="shared" si="25"/>
        <v/>
      </c>
      <c r="BP20" s="37"/>
      <c r="BQ20" s="33"/>
      <c r="BR20" s="34"/>
      <c r="BS20" s="35" t="str">
        <f t="shared" si="26"/>
        <v/>
      </c>
      <c r="BT20" s="36" t="str">
        <f t="shared" si="27"/>
        <v/>
      </c>
      <c r="BU20" s="37"/>
      <c r="BV20" s="33"/>
      <c r="BW20" s="34"/>
      <c r="BX20" s="35" t="str">
        <f t="shared" si="28"/>
        <v/>
      </c>
      <c r="BY20" s="36" t="str">
        <f t="shared" si="29"/>
        <v/>
      </c>
      <c r="BZ20" s="37"/>
      <c r="CA20" s="33"/>
      <c r="CB20" s="34"/>
      <c r="CC20" s="35" t="str">
        <f t="shared" si="30"/>
        <v/>
      </c>
      <c r="CD20" s="36" t="str">
        <f t="shared" si="31"/>
        <v/>
      </c>
      <c r="CE20" s="37"/>
      <c r="CF20" s="33"/>
      <c r="CG20" s="34"/>
      <c r="CH20" s="35" t="str">
        <f t="shared" si="32"/>
        <v/>
      </c>
      <c r="CI20" s="36" t="str">
        <f t="shared" si="33"/>
        <v/>
      </c>
      <c r="CJ20" s="37"/>
      <c r="CK20" s="33"/>
      <c r="CL20" s="34"/>
      <c r="CM20" s="35" t="str">
        <f t="shared" si="34"/>
        <v/>
      </c>
      <c r="CN20" s="36" t="str">
        <f t="shared" si="35"/>
        <v/>
      </c>
      <c r="CO20" s="37"/>
      <c r="CP20" s="33"/>
      <c r="CQ20" s="34"/>
      <c r="CR20" s="35" t="str">
        <f t="shared" si="36"/>
        <v/>
      </c>
      <c r="CS20" s="36" t="str">
        <f t="shared" si="37"/>
        <v/>
      </c>
      <c r="CT20" s="37"/>
      <c r="CU20" s="33"/>
      <c r="CV20" s="34"/>
      <c r="CW20" s="35" t="str">
        <f t="shared" si="38"/>
        <v/>
      </c>
      <c r="CX20" s="36" t="str">
        <f t="shared" si="39"/>
        <v/>
      </c>
      <c r="CY20" s="37"/>
      <c r="CZ20" s="33"/>
      <c r="DA20" s="34"/>
      <c r="DB20" s="35" t="str">
        <f t="shared" si="40"/>
        <v/>
      </c>
      <c r="DC20" s="36" t="str">
        <f t="shared" si="41"/>
        <v/>
      </c>
      <c r="DD20" s="37"/>
      <c r="DE20" s="33"/>
      <c r="DF20" s="34"/>
      <c r="DG20" s="35" t="str">
        <f t="shared" si="42"/>
        <v/>
      </c>
      <c r="DH20" s="36" t="str">
        <f t="shared" si="43"/>
        <v/>
      </c>
      <c r="DI20" s="37"/>
      <c r="DJ20" s="33"/>
      <c r="DK20" s="34"/>
      <c r="DL20" s="35" t="str">
        <f t="shared" si="44"/>
        <v/>
      </c>
      <c r="DM20" s="36" t="str">
        <f t="shared" si="45"/>
        <v/>
      </c>
      <c r="DN20" s="37"/>
      <c r="DO20" s="33"/>
      <c r="DP20" s="34"/>
      <c r="DQ20" s="35" t="str">
        <f t="shared" si="46"/>
        <v/>
      </c>
      <c r="DR20" s="36" t="str">
        <f t="shared" si="47"/>
        <v/>
      </c>
      <c r="DS20" s="37"/>
      <c r="DT20" s="33"/>
      <c r="DU20" s="34"/>
      <c r="DV20" s="35" t="str">
        <f t="shared" si="48"/>
        <v/>
      </c>
      <c r="DW20" s="36" t="str">
        <f t="shared" si="49"/>
        <v/>
      </c>
      <c r="DX20" s="37"/>
      <c r="DY20" s="33"/>
      <c r="DZ20" s="34"/>
      <c r="EA20" s="35" t="str">
        <f t="shared" si="50"/>
        <v/>
      </c>
      <c r="EB20" s="36" t="str">
        <f t="shared" si="51"/>
        <v/>
      </c>
      <c r="EC20" s="37"/>
      <c r="ED20" s="33"/>
      <c r="EE20" s="34"/>
      <c r="EF20" s="35" t="str">
        <f t="shared" si="52"/>
        <v/>
      </c>
      <c r="EG20" s="36" t="str">
        <f t="shared" si="53"/>
        <v/>
      </c>
      <c r="EH20" s="37"/>
      <c r="EI20" s="33"/>
      <c r="EJ20" s="34"/>
      <c r="EK20" s="35" t="str">
        <f t="shared" si="54"/>
        <v/>
      </c>
      <c r="EL20" s="36" t="str">
        <f t="shared" si="55"/>
        <v/>
      </c>
      <c r="EM20" s="37"/>
      <c r="EN20" s="33"/>
      <c r="EO20" s="34"/>
      <c r="EP20" s="35" t="str">
        <f t="shared" si="56"/>
        <v/>
      </c>
      <c r="EQ20" s="36" t="str">
        <f t="shared" si="57"/>
        <v/>
      </c>
      <c r="ER20" s="37"/>
      <c r="ES20" s="33"/>
      <c r="ET20" s="34"/>
      <c r="EU20" s="35" t="str">
        <f t="shared" si="58"/>
        <v/>
      </c>
      <c r="EV20" s="36" t="str">
        <f t="shared" si="59"/>
        <v/>
      </c>
      <c r="EW20" s="37"/>
    </row>
    <row r="21" spans="1:153" ht="19.5" customHeight="1">
      <c r="A21" s="32">
        <f>IF(DAY(DATE(対象年度,12,18))&lt;&gt;18,"",18)</f>
        <v>18</v>
      </c>
      <c r="B21" s="32" t="str">
        <f>IF(DAY(DATE(対象年度,12,18))&lt;&gt;18,"",CHOOSE(WEEKDAY(DATE(対象年度,12,18),2),"月","火","水","木","金","土","日"))</f>
        <v>金</v>
      </c>
      <c r="C21" s="32" t="str">
        <f>IF(DAY(DATE(対象年度,12,18))&lt;&gt;18,"",IF(ISNUMBER(MATCH(DATE(対象年度,12,18),祝日リスト,0)),"祝",""))</f>
        <v/>
      </c>
      <c r="D21" s="33"/>
      <c r="E21" s="34"/>
      <c r="F21" s="35" t="str">
        <f t="shared" si="0"/>
        <v/>
      </c>
      <c r="G21" s="36" t="str">
        <f t="shared" si="1"/>
        <v/>
      </c>
      <c r="H21" s="37"/>
      <c r="I21" s="33"/>
      <c r="J21" s="34"/>
      <c r="K21" s="35" t="str">
        <f t="shared" si="2"/>
        <v/>
      </c>
      <c r="L21" s="36" t="str">
        <f t="shared" si="3"/>
        <v/>
      </c>
      <c r="M21" s="37"/>
      <c r="N21" s="33"/>
      <c r="O21" s="34"/>
      <c r="P21" s="35" t="str">
        <f t="shared" si="4"/>
        <v/>
      </c>
      <c r="Q21" s="36" t="str">
        <f t="shared" si="5"/>
        <v/>
      </c>
      <c r="R21" s="37"/>
      <c r="S21" s="33"/>
      <c r="T21" s="34"/>
      <c r="U21" s="35" t="str">
        <f t="shared" si="6"/>
        <v/>
      </c>
      <c r="V21" s="36" t="str">
        <f t="shared" si="7"/>
        <v/>
      </c>
      <c r="W21" s="37"/>
      <c r="X21" s="33"/>
      <c r="Y21" s="34"/>
      <c r="Z21" s="35" t="str">
        <f t="shared" si="8"/>
        <v/>
      </c>
      <c r="AA21" s="36" t="str">
        <f t="shared" si="9"/>
        <v/>
      </c>
      <c r="AB21" s="37"/>
      <c r="AC21" s="33"/>
      <c r="AD21" s="34"/>
      <c r="AE21" s="35" t="str">
        <f t="shared" si="10"/>
        <v/>
      </c>
      <c r="AF21" s="36" t="str">
        <f t="shared" si="11"/>
        <v/>
      </c>
      <c r="AG21" s="37"/>
      <c r="AH21" s="33"/>
      <c r="AI21" s="34"/>
      <c r="AJ21" s="35" t="str">
        <f t="shared" si="12"/>
        <v/>
      </c>
      <c r="AK21" s="36" t="str">
        <f t="shared" si="13"/>
        <v/>
      </c>
      <c r="AL21" s="37"/>
      <c r="AM21" s="33"/>
      <c r="AN21" s="34"/>
      <c r="AO21" s="35" t="str">
        <f t="shared" si="14"/>
        <v/>
      </c>
      <c r="AP21" s="36" t="str">
        <f t="shared" si="15"/>
        <v/>
      </c>
      <c r="AQ21" s="37"/>
      <c r="AR21" s="33"/>
      <c r="AS21" s="34"/>
      <c r="AT21" s="35" t="str">
        <f t="shared" si="16"/>
        <v/>
      </c>
      <c r="AU21" s="36" t="str">
        <f t="shared" si="17"/>
        <v/>
      </c>
      <c r="AV21" s="37"/>
      <c r="AW21" s="33"/>
      <c r="AX21" s="34"/>
      <c r="AY21" s="35" t="str">
        <f t="shared" si="18"/>
        <v/>
      </c>
      <c r="AZ21" s="36" t="str">
        <f t="shared" si="19"/>
        <v/>
      </c>
      <c r="BA21" s="37"/>
      <c r="BB21" s="33"/>
      <c r="BC21" s="34"/>
      <c r="BD21" s="35" t="str">
        <f t="shared" si="20"/>
        <v/>
      </c>
      <c r="BE21" s="36" t="str">
        <f t="shared" si="21"/>
        <v/>
      </c>
      <c r="BF21" s="37"/>
      <c r="BG21" s="33"/>
      <c r="BH21" s="34"/>
      <c r="BI21" s="35" t="str">
        <f t="shared" si="22"/>
        <v/>
      </c>
      <c r="BJ21" s="36" t="str">
        <f t="shared" si="23"/>
        <v/>
      </c>
      <c r="BK21" s="37"/>
      <c r="BL21" s="33"/>
      <c r="BM21" s="34"/>
      <c r="BN21" s="35" t="str">
        <f t="shared" si="24"/>
        <v/>
      </c>
      <c r="BO21" s="36" t="str">
        <f t="shared" si="25"/>
        <v/>
      </c>
      <c r="BP21" s="37"/>
      <c r="BQ21" s="33"/>
      <c r="BR21" s="34"/>
      <c r="BS21" s="35" t="str">
        <f t="shared" si="26"/>
        <v/>
      </c>
      <c r="BT21" s="36" t="str">
        <f t="shared" si="27"/>
        <v/>
      </c>
      <c r="BU21" s="37"/>
      <c r="BV21" s="33"/>
      <c r="BW21" s="34"/>
      <c r="BX21" s="35" t="str">
        <f t="shared" si="28"/>
        <v/>
      </c>
      <c r="BY21" s="36" t="str">
        <f t="shared" si="29"/>
        <v/>
      </c>
      <c r="BZ21" s="37"/>
      <c r="CA21" s="33"/>
      <c r="CB21" s="34"/>
      <c r="CC21" s="35" t="str">
        <f t="shared" si="30"/>
        <v/>
      </c>
      <c r="CD21" s="36" t="str">
        <f t="shared" si="31"/>
        <v/>
      </c>
      <c r="CE21" s="37"/>
      <c r="CF21" s="33"/>
      <c r="CG21" s="34"/>
      <c r="CH21" s="35" t="str">
        <f t="shared" si="32"/>
        <v/>
      </c>
      <c r="CI21" s="36" t="str">
        <f t="shared" si="33"/>
        <v/>
      </c>
      <c r="CJ21" s="37"/>
      <c r="CK21" s="33"/>
      <c r="CL21" s="34"/>
      <c r="CM21" s="35" t="str">
        <f t="shared" si="34"/>
        <v/>
      </c>
      <c r="CN21" s="36" t="str">
        <f t="shared" si="35"/>
        <v/>
      </c>
      <c r="CO21" s="37"/>
      <c r="CP21" s="33"/>
      <c r="CQ21" s="34"/>
      <c r="CR21" s="35" t="str">
        <f t="shared" si="36"/>
        <v/>
      </c>
      <c r="CS21" s="36" t="str">
        <f t="shared" si="37"/>
        <v/>
      </c>
      <c r="CT21" s="37"/>
      <c r="CU21" s="33"/>
      <c r="CV21" s="34"/>
      <c r="CW21" s="35" t="str">
        <f t="shared" si="38"/>
        <v/>
      </c>
      <c r="CX21" s="36" t="str">
        <f t="shared" si="39"/>
        <v/>
      </c>
      <c r="CY21" s="37"/>
      <c r="CZ21" s="33"/>
      <c r="DA21" s="34"/>
      <c r="DB21" s="35" t="str">
        <f t="shared" si="40"/>
        <v/>
      </c>
      <c r="DC21" s="36" t="str">
        <f t="shared" si="41"/>
        <v/>
      </c>
      <c r="DD21" s="37"/>
      <c r="DE21" s="33"/>
      <c r="DF21" s="34"/>
      <c r="DG21" s="35" t="str">
        <f t="shared" si="42"/>
        <v/>
      </c>
      <c r="DH21" s="36" t="str">
        <f t="shared" si="43"/>
        <v/>
      </c>
      <c r="DI21" s="37"/>
      <c r="DJ21" s="33"/>
      <c r="DK21" s="34"/>
      <c r="DL21" s="35" t="str">
        <f t="shared" si="44"/>
        <v/>
      </c>
      <c r="DM21" s="36" t="str">
        <f t="shared" si="45"/>
        <v/>
      </c>
      <c r="DN21" s="37"/>
      <c r="DO21" s="33"/>
      <c r="DP21" s="34"/>
      <c r="DQ21" s="35" t="str">
        <f t="shared" si="46"/>
        <v/>
      </c>
      <c r="DR21" s="36" t="str">
        <f t="shared" si="47"/>
        <v/>
      </c>
      <c r="DS21" s="37"/>
      <c r="DT21" s="33"/>
      <c r="DU21" s="34"/>
      <c r="DV21" s="35" t="str">
        <f t="shared" si="48"/>
        <v/>
      </c>
      <c r="DW21" s="36" t="str">
        <f t="shared" si="49"/>
        <v/>
      </c>
      <c r="DX21" s="37"/>
      <c r="DY21" s="33"/>
      <c r="DZ21" s="34"/>
      <c r="EA21" s="35" t="str">
        <f t="shared" si="50"/>
        <v/>
      </c>
      <c r="EB21" s="36" t="str">
        <f t="shared" si="51"/>
        <v/>
      </c>
      <c r="EC21" s="37"/>
      <c r="ED21" s="33"/>
      <c r="EE21" s="34"/>
      <c r="EF21" s="35" t="str">
        <f t="shared" si="52"/>
        <v/>
      </c>
      <c r="EG21" s="36" t="str">
        <f t="shared" si="53"/>
        <v/>
      </c>
      <c r="EH21" s="37"/>
      <c r="EI21" s="33"/>
      <c r="EJ21" s="34"/>
      <c r="EK21" s="35" t="str">
        <f t="shared" si="54"/>
        <v/>
      </c>
      <c r="EL21" s="36" t="str">
        <f t="shared" si="55"/>
        <v/>
      </c>
      <c r="EM21" s="37"/>
      <c r="EN21" s="33"/>
      <c r="EO21" s="34"/>
      <c r="EP21" s="35" t="str">
        <f t="shared" si="56"/>
        <v/>
      </c>
      <c r="EQ21" s="36" t="str">
        <f t="shared" si="57"/>
        <v/>
      </c>
      <c r="ER21" s="37"/>
      <c r="ES21" s="33"/>
      <c r="ET21" s="34"/>
      <c r="EU21" s="35" t="str">
        <f t="shared" si="58"/>
        <v/>
      </c>
      <c r="EV21" s="36" t="str">
        <f t="shared" si="59"/>
        <v/>
      </c>
      <c r="EW21" s="37"/>
    </row>
    <row r="22" spans="1:153" ht="19.5" customHeight="1">
      <c r="A22" s="32">
        <f>IF(DAY(DATE(対象年度,12,19))&lt;&gt;19,"",19)</f>
        <v>19</v>
      </c>
      <c r="B22" s="32" t="str">
        <f>IF(DAY(DATE(対象年度,12,19))&lt;&gt;19,"",CHOOSE(WEEKDAY(DATE(対象年度,12,19),2),"月","火","水","木","金","土","日"))</f>
        <v>土</v>
      </c>
      <c r="C22" s="32" t="str">
        <f>IF(DAY(DATE(対象年度,12,19))&lt;&gt;19,"",IF(ISNUMBER(MATCH(DATE(対象年度,12,19),祝日リスト,0)),"祝",""))</f>
        <v/>
      </c>
      <c r="D22" s="33"/>
      <c r="E22" s="34"/>
      <c r="F22" s="35" t="str">
        <f t="shared" si="0"/>
        <v/>
      </c>
      <c r="G22" s="36" t="str">
        <f t="shared" si="1"/>
        <v/>
      </c>
      <c r="H22" s="37"/>
      <c r="I22" s="33"/>
      <c r="J22" s="34"/>
      <c r="K22" s="35" t="str">
        <f t="shared" si="2"/>
        <v/>
      </c>
      <c r="L22" s="36" t="str">
        <f t="shared" si="3"/>
        <v/>
      </c>
      <c r="M22" s="37"/>
      <c r="N22" s="33"/>
      <c r="O22" s="34"/>
      <c r="P22" s="35" t="str">
        <f t="shared" si="4"/>
        <v/>
      </c>
      <c r="Q22" s="36" t="str">
        <f t="shared" si="5"/>
        <v/>
      </c>
      <c r="R22" s="37"/>
      <c r="S22" s="33"/>
      <c r="T22" s="34"/>
      <c r="U22" s="35" t="str">
        <f t="shared" si="6"/>
        <v/>
      </c>
      <c r="V22" s="36" t="str">
        <f t="shared" si="7"/>
        <v/>
      </c>
      <c r="W22" s="37"/>
      <c r="X22" s="33"/>
      <c r="Y22" s="34"/>
      <c r="Z22" s="35" t="str">
        <f t="shared" si="8"/>
        <v/>
      </c>
      <c r="AA22" s="36" t="str">
        <f t="shared" si="9"/>
        <v/>
      </c>
      <c r="AB22" s="37"/>
      <c r="AC22" s="33"/>
      <c r="AD22" s="34"/>
      <c r="AE22" s="35" t="str">
        <f t="shared" si="10"/>
        <v/>
      </c>
      <c r="AF22" s="36" t="str">
        <f t="shared" si="11"/>
        <v/>
      </c>
      <c r="AG22" s="37"/>
      <c r="AH22" s="33"/>
      <c r="AI22" s="34"/>
      <c r="AJ22" s="35" t="str">
        <f t="shared" si="12"/>
        <v/>
      </c>
      <c r="AK22" s="36" t="str">
        <f t="shared" si="13"/>
        <v/>
      </c>
      <c r="AL22" s="37"/>
      <c r="AM22" s="33"/>
      <c r="AN22" s="34"/>
      <c r="AO22" s="35" t="str">
        <f t="shared" si="14"/>
        <v/>
      </c>
      <c r="AP22" s="36" t="str">
        <f t="shared" si="15"/>
        <v/>
      </c>
      <c r="AQ22" s="37"/>
      <c r="AR22" s="33"/>
      <c r="AS22" s="34"/>
      <c r="AT22" s="35" t="str">
        <f t="shared" si="16"/>
        <v/>
      </c>
      <c r="AU22" s="36" t="str">
        <f t="shared" si="17"/>
        <v/>
      </c>
      <c r="AV22" s="37"/>
      <c r="AW22" s="33"/>
      <c r="AX22" s="34"/>
      <c r="AY22" s="35" t="str">
        <f t="shared" si="18"/>
        <v/>
      </c>
      <c r="AZ22" s="36" t="str">
        <f t="shared" si="19"/>
        <v/>
      </c>
      <c r="BA22" s="37"/>
      <c r="BB22" s="33"/>
      <c r="BC22" s="34"/>
      <c r="BD22" s="35" t="str">
        <f t="shared" si="20"/>
        <v/>
      </c>
      <c r="BE22" s="36" t="str">
        <f t="shared" si="21"/>
        <v/>
      </c>
      <c r="BF22" s="37"/>
      <c r="BG22" s="33"/>
      <c r="BH22" s="34"/>
      <c r="BI22" s="35" t="str">
        <f t="shared" si="22"/>
        <v/>
      </c>
      <c r="BJ22" s="36" t="str">
        <f t="shared" si="23"/>
        <v/>
      </c>
      <c r="BK22" s="37"/>
      <c r="BL22" s="33"/>
      <c r="BM22" s="34"/>
      <c r="BN22" s="35" t="str">
        <f t="shared" si="24"/>
        <v/>
      </c>
      <c r="BO22" s="36" t="str">
        <f t="shared" si="25"/>
        <v/>
      </c>
      <c r="BP22" s="37"/>
      <c r="BQ22" s="33"/>
      <c r="BR22" s="34"/>
      <c r="BS22" s="35" t="str">
        <f t="shared" si="26"/>
        <v/>
      </c>
      <c r="BT22" s="36" t="str">
        <f t="shared" si="27"/>
        <v/>
      </c>
      <c r="BU22" s="37"/>
      <c r="BV22" s="33"/>
      <c r="BW22" s="34"/>
      <c r="BX22" s="35" t="str">
        <f t="shared" si="28"/>
        <v/>
      </c>
      <c r="BY22" s="36" t="str">
        <f t="shared" si="29"/>
        <v/>
      </c>
      <c r="BZ22" s="37"/>
      <c r="CA22" s="33"/>
      <c r="CB22" s="34"/>
      <c r="CC22" s="35" t="str">
        <f t="shared" si="30"/>
        <v/>
      </c>
      <c r="CD22" s="36" t="str">
        <f t="shared" si="31"/>
        <v/>
      </c>
      <c r="CE22" s="37"/>
      <c r="CF22" s="33"/>
      <c r="CG22" s="34"/>
      <c r="CH22" s="35" t="str">
        <f t="shared" si="32"/>
        <v/>
      </c>
      <c r="CI22" s="36" t="str">
        <f t="shared" si="33"/>
        <v/>
      </c>
      <c r="CJ22" s="37"/>
      <c r="CK22" s="33"/>
      <c r="CL22" s="34"/>
      <c r="CM22" s="35" t="str">
        <f t="shared" si="34"/>
        <v/>
      </c>
      <c r="CN22" s="36" t="str">
        <f t="shared" si="35"/>
        <v/>
      </c>
      <c r="CO22" s="37"/>
      <c r="CP22" s="33"/>
      <c r="CQ22" s="34"/>
      <c r="CR22" s="35" t="str">
        <f t="shared" si="36"/>
        <v/>
      </c>
      <c r="CS22" s="36" t="str">
        <f t="shared" si="37"/>
        <v/>
      </c>
      <c r="CT22" s="37"/>
      <c r="CU22" s="33"/>
      <c r="CV22" s="34"/>
      <c r="CW22" s="35" t="str">
        <f t="shared" si="38"/>
        <v/>
      </c>
      <c r="CX22" s="36" t="str">
        <f t="shared" si="39"/>
        <v/>
      </c>
      <c r="CY22" s="37"/>
      <c r="CZ22" s="33"/>
      <c r="DA22" s="34"/>
      <c r="DB22" s="35" t="str">
        <f t="shared" si="40"/>
        <v/>
      </c>
      <c r="DC22" s="36" t="str">
        <f t="shared" si="41"/>
        <v/>
      </c>
      <c r="DD22" s="37"/>
      <c r="DE22" s="33"/>
      <c r="DF22" s="34"/>
      <c r="DG22" s="35" t="str">
        <f t="shared" si="42"/>
        <v/>
      </c>
      <c r="DH22" s="36" t="str">
        <f t="shared" si="43"/>
        <v/>
      </c>
      <c r="DI22" s="37"/>
      <c r="DJ22" s="33"/>
      <c r="DK22" s="34"/>
      <c r="DL22" s="35" t="str">
        <f t="shared" si="44"/>
        <v/>
      </c>
      <c r="DM22" s="36" t="str">
        <f t="shared" si="45"/>
        <v/>
      </c>
      <c r="DN22" s="37"/>
      <c r="DO22" s="33"/>
      <c r="DP22" s="34"/>
      <c r="DQ22" s="35" t="str">
        <f t="shared" si="46"/>
        <v/>
      </c>
      <c r="DR22" s="36" t="str">
        <f t="shared" si="47"/>
        <v/>
      </c>
      <c r="DS22" s="37"/>
      <c r="DT22" s="33"/>
      <c r="DU22" s="34"/>
      <c r="DV22" s="35" t="str">
        <f t="shared" si="48"/>
        <v/>
      </c>
      <c r="DW22" s="36" t="str">
        <f t="shared" si="49"/>
        <v/>
      </c>
      <c r="DX22" s="37"/>
      <c r="DY22" s="33"/>
      <c r="DZ22" s="34"/>
      <c r="EA22" s="35" t="str">
        <f t="shared" si="50"/>
        <v/>
      </c>
      <c r="EB22" s="36" t="str">
        <f t="shared" si="51"/>
        <v/>
      </c>
      <c r="EC22" s="37"/>
      <c r="ED22" s="33"/>
      <c r="EE22" s="34"/>
      <c r="EF22" s="35" t="str">
        <f t="shared" si="52"/>
        <v/>
      </c>
      <c r="EG22" s="36" t="str">
        <f t="shared" si="53"/>
        <v/>
      </c>
      <c r="EH22" s="37"/>
      <c r="EI22" s="33"/>
      <c r="EJ22" s="34"/>
      <c r="EK22" s="35" t="str">
        <f t="shared" si="54"/>
        <v/>
      </c>
      <c r="EL22" s="36" t="str">
        <f t="shared" si="55"/>
        <v/>
      </c>
      <c r="EM22" s="37"/>
      <c r="EN22" s="33"/>
      <c r="EO22" s="34"/>
      <c r="EP22" s="35" t="str">
        <f t="shared" si="56"/>
        <v/>
      </c>
      <c r="EQ22" s="36" t="str">
        <f t="shared" si="57"/>
        <v/>
      </c>
      <c r="ER22" s="37"/>
      <c r="ES22" s="33"/>
      <c r="ET22" s="34"/>
      <c r="EU22" s="35" t="str">
        <f t="shared" si="58"/>
        <v/>
      </c>
      <c r="EV22" s="36" t="str">
        <f t="shared" si="59"/>
        <v/>
      </c>
      <c r="EW22" s="37"/>
    </row>
    <row r="23" spans="1:153" ht="19.5" customHeight="1">
      <c r="A23" s="32">
        <f>IF(DAY(DATE(対象年度,12,20))&lt;&gt;20,"",20)</f>
        <v>20</v>
      </c>
      <c r="B23" s="32" t="str">
        <f>IF(DAY(DATE(対象年度,12,20))&lt;&gt;20,"",CHOOSE(WEEKDAY(DATE(対象年度,12,20),2),"月","火","水","木","金","土","日"))</f>
        <v>日</v>
      </c>
      <c r="C23" s="32" t="str">
        <f>IF(DAY(DATE(対象年度,12,20))&lt;&gt;20,"",IF(ISNUMBER(MATCH(DATE(対象年度,12,20),祝日リスト,0)),"祝",""))</f>
        <v/>
      </c>
      <c r="D23" s="33"/>
      <c r="E23" s="34"/>
      <c r="F23" s="35" t="str">
        <f t="shared" si="0"/>
        <v/>
      </c>
      <c r="G23" s="36" t="str">
        <f t="shared" si="1"/>
        <v/>
      </c>
      <c r="H23" s="37"/>
      <c r="I23" s="33"/>
      <c r="J23" s="34"/>
      <c r="K23" s="35" t="str">
        <f t="shared" si="2"/>
        <v/>
      </c>
      <c r="L23" s="36" t="str">
        <f t="shared" si="3"/>
        <v/>
      </c>
      <c r="M23" s="37"/>
      <c r="N23" s="33"/>
      <c r="O23" s="34"/>
      <c r="P23" s="35" t="str">
        <f t="shared" si="4"/>
        <v/>
      </c>
      <c r="Q23" s="36" t="str">
        <f t="shared" si="5"/>
        <v/>
      </c>
      <c r="R23" s="37"/>
      <c r="S23" s="33"/>
      <c r="T23" s="34"/>
      <c r="U23" s="35" t="str">
        <f t="shared" si="6"/>
        <v/>
      </c>
      <c r="V23" s="36" t="str">
        <f t="shared" si="7"/>
        <v/>
      </c>
      <c r="W23" s="37"/>
      <c r="X23" s="33"/>
      <c r="Y23" s="34"/>
      <c r="Z23" s="35" t="str">
        <f t="shared" si="8"/>
        <v/>
      </c>
      <c r="AA23" s="36" t="str">
        <f t="shared" si="9"/>
        <v/>
      </c>
      <c r="AB23" s="37"/>
      <c r="AC23" s="33"/>
      <c r="AD23" s="34"/>
      <c r="AE23" s="35" t="str">
        <f t="shared" si="10"/>
        <v/>
      </c>
      <c r="AF23" s="36" t="str">
        <f t="shared" si="11"/>
        <v/>
      </c>
      <c r="AG23" s="37"/>
      <c r="AH23" s="33"/>
      <c r="AI23" s="34"/>
      <c r="AJ23" s="35" t="str">
        <f t="shared" si="12"/>
        <v/>
      </c>
      <c r="AK23" s="36" t="str">
        <f t="shared" si="13"/>
        <v/>
      </c>
      <c r="AL23" s="37"/>
      <c r="AM23" s="33"/>
      <c r="AN23" s="34"/>
      <c r="AO23" s="35" t="str">
        <f t="shared" si="14"/>
        <v/>
      </c>
      <c r="AP23" s="36" t="str">
        <f t="shared" si="15"/>
        <v/>
      </c>
      <c r="AQ23" s="37"/>
      <c r="AR23" s="33"/>
      <c r="AS23" s="34"/>
      <c r="AT23" s="35" t="str">
        <f t="shared" si="16"/>
        <v/>
      </c>
      <c r="AU23" s="36" t="str">
        <f t="shared" si="17"/>
        <v/>
      </c>
      <c r="AV23" s="37"/>
      <c r="AW23" s="33"/>
      <c r="AX23" s="34"/>
      <c r="AY23" s="35" t="str">
        <f t="shared" si="18"/>
        <v/>
      </c>
      <c r="AZ23" s="36" t="str">
        <f t="shared" si="19"/>
        <v/>
      </c>
      <c r="BA23" s="37"/>
      <c r="BB23" s="33"/>
      <c r="BC23" s="34"/>
      <c r="BD23" s="35" t="str">
        <f t="shared" si="20"/>
        <v/>
      </c>
      <c r="BE23" s="36" t="str">
        <f t="shared" si="21"/>
        <v/>
      </c>
      <c r="BF23" s="37"/>
      <c r="BG23" s="33"/>
      <c r="BH23" s="34"/>
      <c r="BI23" s="35" t="str">
        <f t="shared" si="22"/>
        <v/>
      </c>
      <c r="BJ23" s="36" t="str">
        <f t="shared" si="23"/>
        <v/>
      </c>
      <c r="BK23" s="37"/>
      <c r="BL23" s="33"/>
      <c r="BM23" s="34"/>
      <c r="BN23" s="35" t="str">
        <f t="shared" si="24"/>
        <v/>
      </c>
      <c r="BO23" s="36" t="str">
        <f t="shared" si="25"/>
        <v/>
      </c>
      <c r="BP23" s="37"/>
      <c r="BQ23" s="33"/>
      <c r="BR23" s="34"/>
      <c r="BS23" s="35" t="str">
        <f t="shared" si="26"/>
        <v/>
      </c>
      <c r="BT23" s="36" t="str">
        <f t="shared" si="27"/>
        <v/>
      </c>
      <c r="BU23" s="37"/>
      <c r="BV23" s="33"/>
      <c r="BW23" s="34"/>
      <c r="BX23" s="35" t="str">
        <f t="shared" si="28"/>
        <v/>
      </c>
      <c r="BY23" s="36" t="str">
        <f t="shared" si="29"/>
        <v/>
      </c>
      <c r="BZ23" s="37"/>
      <c r="CA23" s="33"/>
      <c r="CB23" s="34"/>
      <c r="CC23" s="35" t="str">
        <f t="shared" si="30"/>
        <v/>
      </c>
      <c r="CD23" s="36" t="str">
        <f t="shared" si="31"/>
        <v/>
      </c>
      <c r="CE23" s="37"/>
      <c r="CF23" s="33"/>
      <c r="CG23" s="34"/>
      <c r="CH23" s="35" t="str">
        <f t="shared" si="32"/>
        <v/>
      </c>
      <c r="CI23" s="36" t="str">
        <f t="shared" si="33"/>
        <v/>
      </c>
      <c r="CJ23" s="37"/>
      <c r="CK23" s="33"/>
      <c r="CL23" s="34"/>
      <c r="CM23" s="35" t="str">
        <f t="shared" si="34"/>
        <v/>
      </c>
      <c r="CN23" s="36" t="str">
        <f t="shared" si="35"/>
        <v/>
      </c>
      <c r="CO23" s="37"/>
      <c r="CP23" s="33"/>
      <c r="CQ23" s="34"/>
      <c r="CR23" s="35" t="str">
        <f t="shared" si="36"/>
        <v/>
      </c>
      <c r="CS23" s="36" t="str">
        <f t="shared" si="37"/>
        <v/>
      </c>
      <c r="CT23" s="37"/>
      <c r="CU23" s="33"/>
      <c r="CV23" s="34"/>
      <c r="CW23" s="35" t="str">
        <f t="shared" si="38"/>
        <v/>
      </c>
      <c r="CX23" s="36" t="str">
        <f t="shared" si="39"/>
        <v/>
      </c>
      <c r="CY23" s="37"/>
      <c r="CZ23" s="33"/>
      <c r="DA23" s="34"/>
      <c r="DB23" s="35" t="str">
        <f t="shared" si="40"/>
        <v/>
      </c>
      <c r="DC23" s="36" t="str">
        <f t="shared" si="41"/>
        <v/>
      </c>
      <c r="DD23" s="37"/>
      <c r="DE23" s="33"/>
      <c r="DF23" s="34"/>
      <c r="DG23" s="35" t="str">
        <f t="shared" si="42"/>
        <v/>
      </c>
      <c r="DH23" s="36" t="str">
        <f t="shared" si="43"/>
        <v/>
      </c>
      <c r="DI23" s="37"/>
      <c r="DJ23" s="33"/>
      <c r="DK23" s="34"/>
      <c r="DL23" s="35" t="str">
        <f t="shared" si="44"/>
        <v/>
      </c>
      <c r="DM23" s="36" t="str">
        <f t="shared" si="45"/>
        <v/>
      </c>
      <c r="DN23" s="37"/>
      <c r="DO23" s="33"/>
      <c r="DP23" s="34"/>
      <c r="DQ23" s="35" t="str">
        <f t="shared" si="46"/>
        <v/>
      </c>
      <c r="DR23" s="36" t="str">
        <f t="shared" si="47"/>
        <v/>
      </c>
      <c r="DS23" s="37"/>
      <c r="DT23" s="33"/>
      <c r="DU23" s="34"/>
      <c r="DV23" s="35" t="str">
        <f t="shared" si="48"/>
        <v/>
      </c>
      <c r="DW23" s="36" t="str">
        <f t="shared" si="49"/>
        <v/>
      </c>
      <c r="DX23" s="37"/>
      <c r="DY23" s="33"/>
      <c r="DZ23" s="34"/>
      <c r="EA23" s="35" t="str">
        <f t="shared" si="50"/>
        <v/>
      </c>
      <c r="EB23" s="36" t="str">
        <f t="shared" si="51"/>
        <v/>
      </c>
      <c r="EC23" s="37"/>
      <c r="ED23" s="33"/>
      <c r="EE23" s="34"/>
      <c r="EF23" s="35" t="str">
        <f t="shared" si="52"/>
        <v/>
      </c>
      <c r="EG23" s="36" t="str">
        <f t="shared" si="53"/>
        <v/>
      </c>
      <c r="EH23" s="37"/>
      <c r="EI23" s="33"/>
      <c r="EJ23" s="34"/>
      <c r="EK23" s="35" t="str">
        <f t="shared" si="54"/>
        <v/>
      </c>
      <c r="EL23" s="36" t="str">
        <f t="shared" si="55"/>
        <v/>
      </c>
      <c r="EM23" s="37"/>
      <c r="EN23" s="33"/>
      <c r="EO23" s="34"/>
      <c r="EP23" s="35" t="str">
        <f t="shared" si="56"/>
        <v/>
      </c>
      <c r="EQ23" s="36" t="str">
        <f t="shared" si="57"/>
        <v/>
      </c>
      <c r="ER23" s="37"/>
      <c r="ES23" s="33"/>
      <c r="ET23" s="34"/>
      <c r="EU23" s="35" t="str">
        <f t="shared" si="58"/>
        <v/>
      </c>
      <c r="EV23" s="36" t="str">
        <f t="shared" si="59"/>
        <v/>
      </c>
      <c r="EW23" s="37"/>
    </row>
    <row r="24" spans="1:153" ht="19.5" customHeight="1">
      <c r="A24" s="32">
        <f>IF(DAY(DATE(対象年度,12,21))&lt;&gt;21,"",21)</f>
        <v>21</v>
      </c>
      <c r="B24" s="32" t="str">
        <f>IF(DAY(DATE(対象年度,12,21))&lt;&gt;21,"",CHOOSE(WEEKDAY(DATE(対象年度,12,21),2),"月","火","水","木","金","土","日"))</f>
        <v>月</v>
      </c>
      <c r="C24" s="32" t="str">
        <f>IF(DAY(DATE(対象年度,12,21))&lt;&gt;21,"",IF(ISNUMBER(MATCH(DATE(対象年度,12,21),祝日リスト,0)),"祝",""))</f>
        <v/>
      </c>
      <c r="D24" s="33"/>
      <c r="E24" s="34"/>
      <c r="F24" s="35" t="str">
        <f t="shared" si="0"/>
        <v/>
      </c>
      <c r="G24" s="36" t="str">
        <f t="shared" si="1"/>
        <v/>
      </c>
      <c r="H24" s="37"/>
      <c r="I24" s="33"/>
      <c r="J24" s="34"/>
      <c r="K24" s="35" t="str">
        <f t="shared" si="2"/>
        <v/>
      </c>
      <c r="L24" s="36" t="str">
        <f t="shared" si="3"/>
        <v/>
      </c>
      <c r="M24" s="37"/>
      <c r="N24" s="33"/>
      <c r="O24" s="34"/>
      <c r="P24" s="35" t="str">
        <f t="shared" si="4"/>
        <v/>
      </c>
      <c r="Q24" s="36" t="str">
        <f t="shared" si="5"/>
        <v/>
      </c>
      <c r="R24" s="37"/>
      <c r="S24" s="33"/>
      <c r="T24" s="34"/>
      <c r="U24" s="35" t="str">
        <f t="shared" si="6"/>
        <v/>
      </c>
      <c r="V24" s="36" t="str">
        <f t="shared" si="7"/>
        <v/>
      </c>
      <c r="W24" s="37"/>
      <c r="X24" s="33"/>
      <c r="Y24" s="34"/>
      <c r="Z24" s="35" t="str">
        <f t="shared" si="8"/>
        <v/>
      </c>
      <c r="AA24" s="36" t="str">
        <f t="shared" si="9"/>
        <v/>
      </c>
      <c r="AB24" s="37"/>
      <c r="AC24" s="33"/>
      <c r="AD24" s="34"/>
      <c r="AE24" s="35" t="str">
        <f t="shared" si="10"/>
        <v/>
      </c>
      <c r="AF24" s="36" t="str">
        <f t="shared" si="11"/>
        <v/>
      </c>
      <c r="AG24" s="37"/>
      <c r="AH24" s="33"/>
      <c r="AI24" s="34"/>
      <c r="AJ24" s="35" t="str">
        <f t="shared" si="12"/>
        <v/>
      </c>
      <c r="AK24" s="36" t="str">
        <f t="shared" si="13"/>
        <v/>
      </c>
      <c r="AL24" s="37"/>
      <c r="AM24" s="33"/>
      <c r="AN24" s="34"/>
      <c r="AO24" s="35" t="str">
        <f t="shared" si="14"/>
        <v/>
      </c>
      <c r="AP24" s="36" t="str">
        <f t="shared" si="15"/>
        <v/>
      </c>
      <c r="AQ24" s="37"/>
      <c r="AR24" s="33"/>
      <c r="AS24" s="34"/>
      <c r="AT24" s="35" t="str">
        <f t="shared" si="16"/>
        <v/>
      </c>
      <c r="AU24" s="36" t="str">
        <f t="shared" si="17"/>
        <v/>
      </c>
      <c r="AV24" s="37"/>
      <c r="AW24" s="33"/>
      <c r="AX24" s="34"/>
      <c r="AY24" s="35" t="str">
        <f t="shared" si="18"/>
        <v/>
      </c>
      <c r="AZ24" s="36" t="str">
        <f t="shared" si="19"/>
        <v/>
      </c>
      <c r="BA24" s="37"/>
      <c r="BB24" s="33"/>
      <c r="BC24" s="34"/>
      <c r="BD24" s="35" t="str">
        <f t="shared" si="20"/>
        <v/>
      </c>
      <c r="BE24" s="36" t="str">
        <f t="shared" si="21"/>
        <v/>
      </c>
      <c r="BF24" s="37"/>
      <c r="BG24" s="33"/>
      <c r="BH24" s="34"/>
      <c r="BI24" s="35" t="str">
        <f t="shared" si="22"/>
        <v/>
      </c>
      <c r="BJ24" s="36" t="str">
        <f t="shared" si="23"/>
        <v/>
      </c>
      <c r="BK24" s="37"/>
      <c r="BL24" s="33"/>
      <c r="BM24" s="34"/>
      <c r="BN24" s="35" t="str">
        <f t="shared" si="24"/>
        <v/>
      </c>
      <c r="BO24" s="36" t="str">
        <f t="shared" si="25"/>
        <v/>
      </c>
      <c r="BP24" s="37"/>
      <c r="BQ24" s="33"/>
      <c r="BR24" s="34"/>
      <c r="BS24" s="35" t="str">
        <f t="shared" si="26"/>
        <v/>
      </c>
      <c r="BT24" s="36" t="str">
        <f t="shared" si="27"/>
        <v/>
      </c>
      <c r="BU24" s="37"/>
      <c r="BV24" s="33"/>
      <c r="BW24" s="34"/>
      <c r="BX24" s="35" t="str">
        <f t="shared" si="28"/>
        <v/>
      </c>
      <c r="BY24" s="36" t="str">
        <f t="shared" si="29"/>
        <v/>
      </c>
      <c r="BZ24" s="37"/>
      <c r="CA24" s="33"/>
      <c r="CB24" s="34"/>
      <c r="CC24" s="35" t="str">
        <f t="shared" si="30"/>
        <v/>
      </c>
      <c r="CD24" s="36" t="str">
        <f t="shared" si="31"/>
        <v/>
      </c>
      <c r="CE24" s="37"/>
      <c r="CF24" s="33"/>
      <c r="CG24" s="34"/>
      <c r="CH24" s="35" t="str">
        <f t="shared" si="32"/>
        <v/>
      </c>
      <c r="CI24" s="36" t="str">
        <f t="shared" si="33"/>
        <v/>
      </c>
      <c r="CJ24" s="37"/>
      <c r="CK24" s="33"/>
      <c r="CL24" s="34"/>
      <c r="CM24" s="35" t="str">
        <f t="shared" si="34"/>
        <v/>
      </c>
      <c r="CN24" s="36" t="str">
        <f t="shared" si="35"/>
        <v/>
      </c>
      <c r="CO24" s="37"/>
      <c r="CP24" s="33"/>
      <c r="CQ24" s="34"/>
      <c r="CR24" s="35" t="str">
        <f t="shared" si="36"/>
        <v/>
      </c>
      <c r="CS24" s="36" t="str">
        <f t="shared" si="37"/>
        <v/>
      </c>
      <c r="CT24" s="37"/>
      <c r="CU24" s="33"/>
      <c r="CV24" s="34"/>
      <c r="CW24" s="35" t="str">
        <f t="shared" si="38"/>
        <v/>
      </c>
      <c r="CX24" s="36" t="str">
        <f t="shared" si="39"/>
        <v/>
      </c>
      <c r="CY24" s="37"/>
      <c r="CZ24" s="33"/>
      <c r="DA24" s="34"/>
      <c r="DB24" s="35" t="str">
        <f t="shared" si="40"/>
        <v/>
      </c>
      <c r="DC24" s="36" t="str">
        <f t="shared" si="41"/>
        <v/>
      </c>
      <c r="DD24" s="37"/>
      <c r="DE24" s="33"/>
      <c r="DF24" s="34"/>
      <c r="DG24" s="35" t="str">
        <f t="shared" si="42"/>
        <v/>
      </c>
      <c r="DH24" s="36" t="str">
        <f t="shared" si="43"/>
        <v/>
      </c>
      <c r="DI24" s="37"/>
      <c r="DJ24" s="33"/>
      <c r="DK24" s="34"/>
      <c r="DL24" s="35" t="str">
        <f t="shared" si="44"/>
        <v/>
      </c>
      <c r="DM24" s="36" t="str">
        <f t="shared" si="45"/>
        <v/>
      </c>
      <c r="DN24" s="37"/>
      <c r="DO24" s="33"/>
      <c r="DP24" s="34"/>
      <c r="DQ24" s="35" t="str">
        <f t="shared" si="46"/>
        <v/>
      </c>
      <c r="DR24" s="36" t="str">
        <f t="shared" si="47"/>
        <v/>
      </c>
      <c r="DS24" s="37"/>
      <c r="DT24" s="33"/>
      <c r="DU24" s="34"/>
      <c r="DV24" s="35" t="str">
        <f t="shared" si="48"/>
        <v/>
      </c>
      <c r="DW24" s="36" t="str">
        <f t="shared" si="49"/>
        <v/>
      </c>
      <c r="DX24" s="37"/>
      <c r="DY24" s="33"/>
      <c r="DZ24" s="34"/>
      <c r="EA24" s="35" t="str">
        <f t="shared" si="50"/>
        <v/>
      </c>
      <c r="EB24" s="36" t="str">
        <f t="shared" si="51"/>
        <v/>
      </c>
      <c r="EC24" s="37"/>
      <c r="ED24" s="33"/>
      <c r="EE24" s="34"/>
      <c r="EF24" s="35" t="str">
        <f t="shared" si="52"/>
        <v/>
      </c>
      <c r="EG24" s="36" t="str">
        <f t="shared" si="53"/>
        <v/>
      </c>
      <c r="EH24" s="37"/>
      <c r="EI24" s="33"/>
      <c r="EJ24" s="34"/>
      <c r="EK24" s="35" t="str">
        <f t="shared" si="54"/>
        <v/>
      </c>
      <c r="EL24" s="36" t="str">
        <f t="shared" si="55"/>
        <v/>
      </c>
      <c r="EM24" s="37"/>
      <c r="EN24" s="33"/>
      <c r="EO24" s="34"/>
      <c r="EP24" s="35" t="str">
        <f t="shared" si="56"/>
        <v/>
      </c>
      <c r="EQ24" s="36" t="str">
        <f t="shared" si="57"/>
        <v/>
      </c>
      <c r="ER24" s="37"/>
      <c r="ES24" s="33"/>
      <c r="ET24" s="34"/>
      <c r="EU24" s="35" t="str">
        <f t="shared" si="58"/>
        <v/>
      </c>
      <c r="EV24" s="36" t="str">
        <f t="shared" si="59"/>
        <v/>
      </c>
      <c r="EW24" s="37"/>
    </row>
    <row r="25" spans="1:153" ht="19.5" customHeight="1">
      <c r="A25" s="32">
        <f>IF(DAY(DATE(対象年度,12,22))&lt;&gt;22,"",22)</f>
        <v>22</v>
      </c>
      <c r="B25" s="32" t="str">
        <f>IF(DAY(DATE(対象年度,12,22))&lt;&gt;22,"",CHOOSE(WEEKDAY(DATE(対象年度,12,22),2),"月","火","水","木","金","土","日"))</f>
        <v>火</v>
      </c>
      <c r="C25" s="32" t="str">
        <f>IF(DAY(DATE(対象年度,12,22))&lt;&gt;22,"",IF(ISNUMBER(MATCH(DATE(対象年度,12,22),祝日リスト,0)),"祝",""))</f>
        <v/>
      </c>
      <c r="D25" s="33"/>
      <c r="E25" s="34"/>
      <c r="F25" s="35" t="str">
        <f t="shared" si="0"/>
        <v/>
      </c>
      <c r="G25" s="36" t="str">
        <f t="shared" si="1"/>
        <v/>
      </c>
      <c r="H25" s="37"/>
      <c r="I25" s="33"/>
      <c r="J25" s="34"/>
      <c r="K25" s="35" t="str">
        <f t="shared" si="2"/>
        <v/>
      </c>
      <c r="L25" s="36" t="str">
        <f t="shared" si="3"/>
        <v/>
      </c>
      <c r="M25" s="37"/>
      <c r="N25" s="33"/>
      <c r="O25" s="34"/>
      <c r="P25" s="35" t="str">
        <f t="shared" si="4"/>
        <v/>
      </c>
      <c r="Q25" s="36" t="str">
        <f t="shared" si="5"/>
        <v/>
      </c>
      <c r="R25" s="37"/>
      <c r="S25" s="33"/>
      <c r="T25" s="34"/>
      <c r="U25" s="35" t="str">
        <f t="shared" si="6"/>
        <v/>
      </c>
      <c r="V25" s="36" t="str">
        <f t="shared" si="7"/>
        <v/>
      </c>
      <c r="W25" s="37"/>
      <c r="X25" s="33"/>
      <c r="Y25" s="34"/>
      <c r="Z25" s="35" t="str">
        <f t="shared" si="8"/>
        <v/>
      </c>
      <c r="AA25" s="36" t="str">
        <f t="shared" si="9"/>
        <v/>
      </c>
      <c r="AB25" s="37"/>
      <c r="AC25" s="33"/>
      <c r="AD25" s="34"/>
      <c r="AE25" s="35" t="str">
        <f t="shared" si="10"/>
        <v/>
      </c>
      <c r="AF25" s="36" t="str">
        <f t="shared" si="11"/>
        <v/>
      </c>
      <c r="AG25" s="37"/>
      <c r="AH25" s="33"/>
      <c r="AI25" s="34"/>
      <c r="AJ25" s="35" t="str">
        <f t="shared" si="12"/>
        <v/>
      </c>
      <c r="AK25" s="36" t="str">
        <f t="shared" si="13"/>
        <v/>
      </c>
      <c r="AL25" s="37"/>
      <c r="AM25" s="33"/>
      <c r="AN25" s="34"/>
      <c r="AO25" s="35" t="str">
        <f t="shared" si="14"/>
        <v/>
      </c>
      <c r="AP25" s="36" t="str">
        <f t="shared" si="15"/>
        <v/>
      </c>
      <c r="AQ25" s="37"/>
      <c r="AR25" s="33"/>
      <c r="AS25" s="34"/>
      <c r="AT25" s="35" t="str">
        <f t="shared" si="16"/>
        <v/>
      </c>
      <c r="AU25" s="36" t="str">
        <f t="shared" si="17"/>
        <v/>
      </c>
      <c r="AV25" s="37"/>
      <c r="AW25" s="33"/>
      <c r="AX25" s="34"/>
      <c r="AY25" s="35" t="str">
        <f t="shared" si="18"/>
        <v/>
      </c>
      <c r="AZ25" s="36" t="str">
        <f t="shared" si="19"/>
        <v/>
      </c>
      <c r="BA25" s="37"/>
      <c r="BB25" s="33"/>
      <c r="BC25" s="34"/>
      <c r="BD25" s="35" t="str">
        <f t="shared" si="20"/>
        <v/>
      </c>
      <c r="BE25" s="36" t="str">
        <f t="shared" si="21"/>
        <v/>
      </c>
      <c r="BF25" s="37"/>
      <c r="BG25" s="33"/>
      <c r="BH25" s="34"/>
      <c r="BI25" s="35" t="str">
        <f t="shared" si="22"/>
        <v/>
      </c>
      <c r="BJ25" s="36" t="str">
        <f t="shared" si="23"/>
        <v/>
      </c>
      <c r="BK25" s="37"/>
      <c r="BL25" s="33"/>
      <c r="BM25" s="34"/>
      <c r="BN25" s="35" t="str">
        <f t="shared" si="24"/>
        <v/>
      </c>
      <c r="BO25" s="36" t="str">
        <f t="shared" si="25"/>
        <v/>
      </c>
      <c r="BP25" s="37"/>
      <c r="BQ25" s="33"/>
      <c r="BR25" s="34"/>
      <c r="BS25" s="35" t="str">
        <f t="shared" si="26"/>
        <v/>
      </c>
      <c r="BT25" s="36" t="str">
        <f t="shared" si="27"/>
        <v/>
      </c>
      <c r="BU25" s="37"/>
      <c r="BV25" s="33"/>
      <c r="BW25" s="34"/>
      <c r="BX25" s="35" t="str">
        <f t="shared" si="28"/>
        <v/>
      </c>
      <c r="BY25" s="36" t="str">
        <f t="shared" si="29"/>
        <v/>
      </c>
      <c r="BZ25" s="37"/>
      <c r="CA25" s="33"/>
      <c r="CB25" s="34"/>
      <c r="CC25" s="35" t="str">
        <f t="shared" si="30"/>
        <v/>
      </c>
      <c r="CD25" s="36" t="str">
        <f t="shared" si="31"/>
        <v/>
      </c>
      <c r="CE25" s="37"/>
      <c r="CF25" s="33"/>
      <c r="CG25" s="34"/>
      <c r="CH25" s="35" t="str">
        <f t="shared" si="32"/>
        <v/>
      </c>
      <c r="CI25" s="36" t="str">
        <f t="shared" si="33"/>
        <v/>
      </c>
      <c r="CJ25" s="37"/>
      <c r="CK25" s="33"/>
      <c r="CL25" s="34"/>
      <c r="CM25" s="35" t="str">
        <f t="shared" si="34"/>
        <v/>
      </c>
      <c r="CN25" s="36" t="str">
        <f t="shared" si="35"/>
        <v/>
      </c>
      <c r="CO25" s="37"/>
      <c r="CP25" s="33"/>
      <c r="CQ25" s="34"/>
      <c r="CR25" s="35" t="str">
        <f t="shared" si="36"/>
        <v/>
      </c>
      <c r="CS25" s="36" t="str">
        <f t="shared" si="37"/>
        <v/>
      </c>
      <c r="CT25" s="37"/>
      <c r="CU25" s="33"/>
      <c r="CV25" s="34"/>
      <c r="CW25" s="35" t="str">
        <f t="shared" si="38"/>
        <v/>
      </c>
      <c r="CX25" s="36" t="str">
        <f t="shared" si="39"/>
        <v/>
      </c>
      <c r="CY25" s="37"/>
      <c r="CZ25" s="33"/>
      <c r="DA25" s="34"/>
      <c r="DB25" s="35" t="str">
        <f t="shared" si="40"/>
        <v/>
      </c>
      <c r="DC25" s="36" t="str">
        <f t="shared" si="41"/>
        <v/>
      </c>
      <c r="DD25" s="37"/>
      <c r="DE25" s="33"/>
      <c r="DF25" s="34"/>
      <c r="DG25" s="35" t="str">
        <f t="shared" si="42"/>
        <v/>
      </c>
      <c r="DH25" s="36" t="str">
        <f t="shared" si="43"/>
        <v/>
      </c>
      <c r="DI25" s="37"/>
      <c r="DJ25" s="33"/>
      <c r="DK25" s="34"/>
      <c r="DL25" s="35" t="str">
        <f t="shared" si="44"/>
        <v/>
      </c>
      <c r="DM25" s="36" t="str">
        <f t="shared" si="45"/>
        <v/>
      </c>
      <c r="DN25" s="37"/>
      <c r="DO25" s="33"/>
      <c r="DP25" s="34"/>
      <c r="DQ25" s="35" t="str">
        <f t="shared" si="46"/>
        <v/>
      </c>
      <c r="DR25" s="36" t="str">
        <f t="shared" si="47"/>
        <v/>
      </c>
      <c r="DS25" s="37"/>
      <c r="DT25" s="33"/>
      <c r="DU25" s="34"/>
      <c r="DV25" s="35" t="str">
        <f t="shared" si="48"/>
        <v/>
      </c>
      <c r="DW25" s="36" t="str">
        <f t="shared" si="49"/>
        <v/>
      </c>
      <c r="DX25" s="37"/>
      <c r="DY25" s="33"/>
      <c r="DZ25" s="34"/>
      <c r="EA25" s="35" t="str">
        <f t="shared" si="50"/>
        <v/>
      </c>
      <c r="EB25" s="36" t="str">
        <f t="shared" si="51"/>
        <v/>
      </c>
      <c r="EC25" s="37"/>
      <c r="ED25" s="33"/>
      <c r="EE25" s="34"/>
      <c r="EF25" s="35" t="str">
        <f t="shared" si="52"/>
        <v/>
      </c>
      <c r="EG25" s="36" t="str">
        <f t="shared" si="53"/>
        <v/>
      </c>
      <c r="EH25" s="37"/>
      <c r="EI25" s="33"/>
      <c r="EJ25" s="34"/>
      <c r="EK25" s="35" t="str">
        <f t="shared" si="54"/>
        <v/>
      </c>
      <c r="EL25" s="36" t="str">
        <f t="shared" si="55"/>
        <v/>
      </c>
      <c r="EM25" s="37"/>
      <c r="EN25" s="33"/>
      <c r="EO25" s="34"/>
      <c r="EP25" s="35" t="str">
        <f t="shared" si="56"/>
        <v/>
      </c>
      <c r="EQ25" s="36" t="str">
        <f t="shared" si="57"/>
        <v/>
      </c>
      <c r="ER25" s="37"/>
      <c r="ES25" s="33"/>
      <c r="ET25" s="34"/>
      <c r="EU25" s="35" t="str">
        <f t="shared" si="58"/>
        <v/>
      </c>
      <c r="EV25" s="36" t="str">
        <f t="shared" si="59"/>
        <v/>
      </c>
      <c r="EW25" s="37"/>
    </row>
    <row r="26" spans="1:153" ht="19.5" customHeight="1">
      <c r="A26" s="32">
        <f>IF(DAY(DATE(対象年度,12,23))&lt;&gt;23,"",23)</f>
        <v>23</v>
      </c>
      <c r="B26" s="32" t="str">
        <f>IF(DAY(DATE(対象年度,12,23))&lt;&gt;23,"",CHOOSE(WEEKDAY(DATE(対象年度,12,23),2),"月","火","水","木","金","土","日"))</f>
        <v>水</v>
      </c>
      <c r="C26" s="32" t="str">
        <f>IF(DAY(DATE(対象年度,12,23))&lt;&gt;23,"",IF(ISNUMBER(MATCH(DATE(対象年度,12,23),祝日リスト,0)),"祝",""))</f>
        <v/>
      </c>
      <c r="D26" s="33"/>
      <c r="E26" s="34"/>
      <c r="F26" s="35" t="str">
        <f t="shared" si="0"/>
        <v/>
      </c>
      <c r="G26" s="36" t="str">
        <f t="shared" si="1"/>
        <v/>
      </c>
      <c r="H26" s="37"/>
      <c r="I26" s="33"/>
      <c r="J26" s="34"/>
      <c r="K26" s="35" t="str">
        <f t="shared" si="2"/>
        <v/>
      </c>
      <c r="L26" s="36" t="str">
        <f t="shared" si="3"/>
        <v/>
      </c>
      <c r="M26" s="37"/>
      <c r="N26" s="33"/>
      <c r="O26" s="34"/>
      <c r="P26" s="35" t="str">
        <f t="shared" si="4"/>
        <v/>
      </c>
      <c r="Q26" s="36" t="str">
        <f t="shared" si="5"/>
        <v/>
      </c>
      <c r="R26" s="37"/>
      <c r="S26" s="33"/>
      <c r="T26" s="34"/>
      <c r="U26" s="35" t="str">
        <f t="shared" si="6"/>
        <v/>
      </c>
      <c r="V26" s="36" t="str">
        <f t="shared" si="7"/>
        <v/>
      </c>
      <c r="W26" s="37"/>
      <c r="X26" s="33"/>
      <c r="Y26" s="34"/>
      <c r="Z26" s="35" t="str">
        <f t="shared" si="8"/>
        <v/>
      </c>
      <c r="AA26" s="36" t="str">
        <f t="shared" si="9"/>
        <v/>
      </c>
      <c r="AB26" s="37"/>
      <c r="AC26" s="33"/>
      <c r="AD26" s="34"/>
      <c r="AE26" s="35" t="str">
        <f t="shared" si="10"/>
        <v/>
      </c>
      <c r="AF26" s="36" t="str">
        <f t="shared" si="11"/>
        <v/>
      </c>
      <c r="AG26" s="37"/>
      <c r="AH26" s="33"/>
      <c r="AI26" s="34"/>
      <c r="AJ26" s="35" t="str">
        <f t="shared" si="12"/>
        <v/>
      </c>
      <c r="AK26" s="36" t="str">
        <f t="shared" si="13"/>
        <v/>
      </c>
      <c r="AL26" s="37"/>
      <c r="AM26" s="33"/>
      <c r="AN26" s="34"/>
      <c r="AO26" s="35" t="str">
        <f t="shared" si="14"/>
        <v/>
      </c>
      <c r="AP26" s="36" t="str">
        <f t="shared" si="15"/>
        <v/>
      </c>
      <c r="AQ26" s="37"/>
      <c r="AR26" s="33"/>
      <c r="AS26" s="34"/>
      <c r="AT26" s="35" t="str">
        <f t="shared" si="16"/>
        <v/>
      </c>
      <c r="AU26" s="36" t="str">
        <f t="shared" si="17"/>
        <v/>
      </c>
      <c r="AV26" s="37"/>
      <c r="AW26" s="33"/>
      <c r="AX26" s="34"/>
      <c r="AY26" s="35" t="str">
        <f t="shared" si="18"/>
        <v/>
      </c>
      <c r="AZ26" s="36" t="str">
        <f t="shared" si="19"/>
        <v/>
      </c>
      <c r="BA26" s="37"/>
      <c r="BB26" s="33"/>
      <c r="BC26" s="34"/>
      <c r="BD26" s="35" t="str">
        <f t="shared" si="20"/>
        <v/>
      </c>
      <c r="BE26" s="36" t="str">
        <f t="shared" si="21"/>
        <v/>
      </c>
      <c r="BF26" s="37"/>
      <c r="BG26" s="33"/>
      <c r="BH26" s="34"/>
      <c r="BI26" s="35" t="str">
        <f t="shared" si="22"/>
        <v/>
      </c>
      <c r="BJ26" s="36" t="str">
        <f t="shared" si="23"/>
        <v/>
      </c>
      <c r="BK26" s="37"/>
      <c r="BL26" s="33"/>
      <c r="BM26" s="34"/>
      <c r="BN26" s="35" t="str">
        <f t="shared" si="24"/>
        <v/>
      </c>
      <c r="BO26" s="36" t="str">
        <f t="shared" si="25"/>
        <v/>
      </c>
      <c r="BP26" s="37"/>
      <c r="BQ26" s="33"/>
      <c r="BR26" s="34"/>
      <c r="BS26" s="35" t="str">
        <f t="shared" si="26"/>
        <v/>
      </c>
      <c r="BT26" s="36" t="str">
        <f t="shared" si="27"/>
        <v/>
      </c>
      <c r="BU26" s="37"/>
      <c r="BV26" s="33"/>
      <c r="BW26" s="34"/>
      <c r="BX26" s="35" t="str">
        <f t="shared" si="28"/>
        <v/>
      </c>
      <c r="BY26" s="36" t="str">
        <f t="shared" si="29"/>
        <v/>
      </c>
      <c r="BZ26" s="37"/>
      <c r="CA26" s="33"/>
      <c r="CB26" s="34"/>
      <c r="CC26" s="35" t="str">
        <f t="shared" si="30"/>
        <v/>
      </c>
      <c r="CD26" s="36" t="str">
        <f t="shared" si="31"/>
        <v/>
      </c>
      <c r="CE26" s="37"/>
      <c r="CF26" s="33"/>
      <c r="CG26" s="34"/>
      <c r="CH26" s="35" t="str">
        <f t="shared" si="32"/>
        <v/>
      </c>
      <c r="CI26" s="36" t="str">
        <f t="shared" si="33"/>
        <v/>
      </c>
      <c r="CJ26" s="37"/>
      <c r="CK26" s="33"/>
      <c r="CL26" s="34"/>
      <c r="CM26" s="35" t="str">
        <f t="shared" si="34"/>
        <v/>
      </c>
      <c r="CN26" s="36" t="str">
        <f t="shared" si="35"/>
        <v/>
      </c>
      <c r="CO26" s="37"/>
      <c r="CP26" s="33"/>
      <c r="CQ26" s="34"/>
      <c r="CR26" s="35" t="str">
        <f t="shared" si="36"/>
        <v/>
      </c>
      <c r="CS26" s="36" t="str">
        <f t="shared" si="37"/>
        <v/>
      </c>
      <c r="CT26" s="37"/>
      <c r="CU26" s="33"/>
      <c r="CV26" s="34"/>
      <c r="CW26" s="35" t="str">
        <f t="shared" si="38"/>
        <v/>
      </c>
      <c r="CX26" s="36" t="str">
        <f t="shared" si="39"/>
        <v/>
      </c>
      <c r="CY26" s="37"/>
      <c r="CZ26" s="33"/>
      <c r="DA26" s="34"/>
      <c r="DB26" s="35" t="str">
        <f t="shared" si="40"/>
        <v/>
      </c>
      <c r="DC26" s="36" t="str">
        <f t="shared" si="41"/>
        <v/>
      </c>
      <c r="DD26" s="37"/>
      <c r="DE26" s="33"/>
      <c r="DF26" s="34"/>
      <c r="DG26" s="35" t="str">
        <f t="shared" si="42"/>
        <v/>
      </c>
      <c r="DH26" s="36" t="str">
        <f t="shared" si="43"/>
        <v/>
      </c>
      <c r="DI26" s="37"/>
      <c r="DJ26" s="33"/>
      <c r="DK26" s="34"/>
      <c r="DL26" s="35" t="str">
        <f t="shared" si="44"/>
        <v/>
      </c>
      <c r="DM26" s="36" t="str">
        <f t="shared" si="45"/>
        <v/>
      </c>
      <c r="DN26" s="37"/>
      <c r="DO26" s="33"/>
      <c r="DP26" s="34"/>
      <c r="DQ26" s="35" t="str">
        <f t="shared" si="46"/>
        <v/>
      </c>
      <c r="DR26" s="36" t="str">
        <f t="shared" si="47"/>
        <v/>
      </c>
      <c r="DS26" s="37"/>
      <c r="DT26" s="33"/>
      <c r="DU26" s="34"/>
      <c r="DV26" s="35" t="str">
        <f t="shared" si="48"/>
        <v/>
      </c>
      <c r="DW26" s="36" t="str">
        <f t="shared" si="49"/>
        <v/>
      </c>
      <c r="DX26" s="37"/>
      <c r="DY26" s="33"/>
      <c r="DZ26" s="34"/>
      <c r="EA26" s="35" t="str">
        <f t="shared" si="50"/>
        <v/>
      </c>
      <c r="EB26" s="36" t="str">
        <f t="shared" si="51"/>
        <v/>
      </c>
      <c r="EC26" s="37"/>
      <c r="ED26" s="33"/>
      <c r="EE26" s="34"/>
      <c r="EF26" s="35" t="str">
        <f t="shared" si="52"/>
        <v/>
      </c>
      <c r="EG26" s="36" t="str">
        <f t="shared" si="53"/>
        <v/>
      </c>
      <c r="EH26" s="37"/>
      <c r="EI26" s="33"/>
      <c r="EJ26" s="34"/>
      <c r="EK26" s="35" t="str">
        <f t="shared" si="54"/>
        <v/>
      </c>
      <c r="EL26" s="36" t="str">
        <f t="shared" si="55"/>
        <v/>
      </c>
      <c r="EM26" s="37"/>
      <c r="EN26" s="33"/>
      <c r="EO26" s="34"/>
      <c r="EP26" s="35" t="str">
        <f t="shared" si="56"/>
        <v/>
      </c>
      <c r="EQ26" s="36" t="str">
        <f t="shared" si="57"/>
        <v/>
      </c>
      <c r="ER26" s="37"/>
      <c r="ES26" s="33"/>
      <c r="ET26" s="34"/>
      <c r="EU26" s="35" t="str">
        <f t="shared" si="58"/>
        <v/>
      </c>
      <c r="EV26" s="36" t="str">
        <f t="shared" si="59"/>
        <v/>
      </c>
      <c r="EW26" s="37"/>
    </row>
    <row r="27" spans="1:153" ht="19.5" customHeight="1">
      <c r="A27" s="32">
        <f>IF(DAY(DATE(対象年度,12,24))&lt;&gt;24,"",24)</f>
        <v>24</v>
      </c>
      <c r="B27" s="32" t="str">
        <f>IF(DAY(DATE(対象年度,12,24))&lt;&gt;24,"",CHOOSE(WEEKDAY(DATE(対象年度,12,24),2),"月","火","水","木","金","土","日"))</f>
        <v>木</v>
      </c>
      <c r="C27" s="32" t="str">
        <f>IF(DAY(DATE(対象年度,12,24))&lt;&gt;24,"",IF(ISNUMBER(MATCH(DATE(対象年度,12,24),祝日リスト,0)),"祝",""))</f>
        <v/>
      </c>
      <c r="D27" s="33"/>
      <c r="E27" s="34"/>
      <c r="F27" s="35" t="str">
        <f t="shared" si="0"/>
        <v/>
      </c>
      <c r="G27" s="36" t="str">
        <f t="shared" si="1"/>
        <v/>
      </c>
      <c r="H27" s="37"/>
      <c r="I27" s="33"/>
      <c r="J27" s="34"/>
      <c r="K27" s="35" t="str">
        <f t="shared" si="2"/>
        <v/>
      </c>
      <c r="L27" s="36" t="str">
        <f t="shared" si="3"/>
        <v/>
      </c>
      <c r="M27" s="37"/>
      <c r="N27" s="33"/>
      <c r="O27" s="34"/>
      <c r="P27" s="35" t="str">
        <f t="shared" si="4"/>
        <v/>
      </c>
      <c r="Q27" s="36" t="str">
        <f t="shared" si="5"/>
        <v/>
      </c>
      <c r="R27" s="37"/>
      <c r="S27" s="33"/>
      <c r="T27" s="34"/>
      <c r="U27" s="35" t="str">
        <f t="shared" si="6"/>
        <v/>
      </c>
      <c r="V27" s="36" t="str">
        <f t="shared" si="7"/>
        <v/>
      </c>
      <c r="W27" s="37"/>
      <c r="X27" s="33"/>
      <c r="Y27" s="34"/>
      <c r="Z27" s="35" t="str">
        <f t="shared" si="8"/>
        <v/>
      </c>
      <c r="AA27" s="36" t="str">
        <f t="shared" si="9"/>
        <v/>
      </c>
      <c r="AB27" s="37"/>
      <c r="AC27" s="33"/>
      <c r="AD27" s="34"/>
      <c r="AE27" s="35" t="str">
        <f t="shared" si="10"/>
        <v/>
      </c>
      <c r="AF27" s="36" t="str">
        <f t="shared" si="11"/>
        <v/>
      </c>
      <c r="AG27" s="37"/>
      <c r="AH27" s="33"/>
      <c r="AI27" s="34"/>
      <c r="AJ27" s="35" t="str">
        <f t="shared" si="12"/>
        <v/>
      </c>
      <c r="AK27" s="36" t="str">
        <f t="shared" si="13"/>
        <v/>
      </c>
      <c r="AL27" s="37"/>
      <c r="AM27" s="33"/>
      <c r="AN27" s="34"/>
      <c r="AO27" s="35" t="str">
        <f t="shared" si="14"/>
        <v/>
      </c>
      <c r="AP27" s="36" t="str">
        <f t="shared" si="15"/>
        <v/>
      </c>
      <c r="AQ27" s="37"/>
      <c r="AR27" s="33"/>
      <c r="AS27" s="34"/>
      <c r="AT27" s="35" t="str">
        <f t="shared" si="16"/>
        <v/>
      </c>
      <c r="AU27" s="36" t="str">
        <f t="shared" si="17"/>
        <v/>
      </c>
      <c r="AV27" s="37"/>
      <c r="AW27" s="33"/>
      <c r="AX27" s="34"/>
      <c r="AY27" s="35" t="str">
        <f t="shared" si="18"/>
        <v/>
      </c>
      <c r="AZ27" s="36" t="str">
        <f t="shared" si="19"/>
        <v/>
      </c>
      <c r="BA27" s="37"/>
      <c r="BB27" s="33"/>
      <c r="BC27" s="34"/>
      <c r="BD27" s="35" t="str">
        <f t="shared" si="20"/>
        <v/>
      </c>
      <c r="BE27" s="36" t="str">
        <f t="shared" si="21"/>
        <v/>
      </c>
      <c r="BF27" s="37"/>
      <c r="BG27" s="33"/>
      <c r="BH27" s="34"/>
      <c r="BI27" s="35" t="str">
        <f t="shared" si="22"/>
        <v/>
      </c>
      <c r="BJ27" s="36" t="str">
        <f t="shared" si="23"/>
        <v/>
      </c>
      <c r="BK27" s="37"/>
      <c r="BL27" s="33"/>
      <c r="BM27" s="34"/>
      <c r="BN27" s="35" t="str">
        <f t="shared" si="24"/>
        <v/>
      </c>
      <c r="BO27" s="36" t="str">
        <f t="shared" si="25"/>
        <v/>
      </c>
      <c r="BP27" s="37"/>
      <c r="BQ27" s="33"/>
      <c r="BR27" s="34"/>
      <c r="BS27" s="35" t="str">
        <f t="shared" si="26"/>
        <v/>
      </c>
      <c r="BT27" s="36" t="str">
        <f t="shared" si="27"/>
        <v/>
      </c>
      <c r="BU27" s="37"/>
      <c r="BV27" s="33"/>
      <c r="BW27" s="34"/>
      <c r="BX27" s="35" t="str">
        <f t="shared" si="28"/>
        <v/>
      </c>
      <c r="BY27" s="36" t="str">
        <f t="shared" si="29"/>
        <v/>
      </c>
      <c r="BZ27" s="37"/>
      <c r="CA27" s="33"/>
      <c r="CB27" s="34"/>
      <c r="CC27" s="35" t="str">
        <f t="shared" si="30"/>
        <v/>
      </c>
      <c r="CD27" s="36" t="str">
        <f t="shared" si="31"/>
        <v/>
      </c>
      <c r="CE27" s="37"/>
      <c r="CF27" s="33"/>
      <c r="CG27" s="34"/>
      <c r="CH27" s="35" t="str">
        <f t="shared" si="32"/>
        <v/>
      </c>
      <c r="CI27" s="36" t="str">
        <f t="shared" si="33"/>
        <v/>
      </c>
      <c r="CJ27" s="37"/>
      <c r="CK27" s="33"/>
      <c r="CL27" s="34"/>
      <c r="CM27" s="35" t="str">
        <f t="shared" si="34"/>
        <v/>
      </c>
      <c r="CN27" s="36" t="str">
        <f t="shared" si="35"/>
        <v/>
      </c>
      <c r="CO27" s="37"/>
      <c r="CP27" s="33"/>
      <c r="CQ27" s="34"/>
      <c r="CR27" s="35" t="str">
        <f t="shared" si="36"/>
        <v/>
      </c>
      <c r="CS27" s="36" t="str">
        <f t="shared" si="37"/>
        <v/>
      </c>
      <c r="CT27" s="37"/>
      <c r="CU27" s="33"/>
      <c r="CV27" s="34"/>
      <c r="CW27" s="35" t="str">
        <f t="shared" si="38"/>
        <v/>
      </c>
      <c r="CX27" s="36" t="str">
        <f t="shared" si="39"/>
        <v/>
      </c>
      <c r="CY27" s="37"/>
      <c r="CZ27" s="33"/>
      <c r="DA27" s="34"/>
      <c r="DB27" s="35" t="str">
        <f t="shared" si="40"/>
        <v/>
      </c>
      <c r="DC27" s="36" t="str">
        <f t="shared" si="41"/>
        <v/>
      </c>
      <c r="DD27" s="37"/>
      <c r="DE27" s="33"/>
      <c r="DF27" s="34"/>
      <c r="DG27" s="35" t="str">
        <f t="shared" si="42"/>
        <v/>
      </c>
      <c r="DH27" s="36" t="str">
        <f t="shared" si="43"/>
        <v/>
      </c>
      <c r="DI27" s="37"/>
      <c r="DJ27" s="33"/>
      <c r="DK27" s="34"/>
      <c r="DL27" s="35" t="str">
        <f t="shared" si="44"/>
        <v/>
      </c>
      <c r="DM27" s="36" t="str">
        <f t="shared" si="45"/>
        <v/>
      </c>
      <c r="DN27" s="37"/>
      <c r="DO27" s="33"/>
      <c r="DP27" s="34"/>
      <c r="DQ27" s="35" t="str">
        <f t="shared" si="46"/>
        <v/>
      </c>
      <c r="DR27" s="36" t="str">
        <f t="shared" si="47"/>
        <v/>
      </c>
      <c r="DS27" s="37"/>
      <c r="DT27" s="33"/>
      <c r="DU27" s="34"/>
      <c r="DV27" s="35" t="str">
        <f t="shared" si="48"/>
        <v/>
      </c>
      <c r="DW27" s="36" t="str">
        <f t="shared" si="49"/>
        <v/>
      </c>
      <c r="DX27" s="37"/>
      <c r="DY27" s="33"/>
      <c r="DZ27" s="34"/>
      <c r="EA27" s="35" t="str">
        <f t="shared" si="50"/>
        <v/>
      </c>
      <c r="EB27" s="36" t="str">
        <f t="shared" si="51"/>
        <v/>
      </c>
      <c r="EC27" s="37"/>
      <c r="ED27" s="33"/>
      <c r="EE27" s="34"/>
      <c r="EF27" s="35" t="str">
        <f t="shared" si="52"/>
        <v/>
      </c>
      <c r="EG27" s="36" t="str">
        <f t="shared" si="53"/>
        <v/>
      </c>
      <c r="EH27" s="37"/>
      <c r="EI27" s="33"/>
      <c r="EJ27" s="34"/>
      <c r="EK27" s="35" t="str">
        <f t="shared" si="54"/>
        <v/>
      </c>
      <c r="EL27" s="36" t="str">
        <f t="shared" si="55"/>
        <v/>
      </c>
      <c r="EM27" s="37"/>
      <c r="EN27" s="33"/>
      <c r="EO27" s="34"/>
      <c r="EP27" s="35" t="str">
        <f t="shared" si="56"/>
        <v/>
      </c>
      <c r="EQ27" s="36" t="str">
        <f t="shared" si="57"/>
        <v/>
      </c>
      <c r="ER27" s="37"/>
      <c r="ES27" s="33"/>
      <c r="ET27" s="34"/>
      <c r="EU27" s="35" t="str">
        <f t="shared" si="58"/>
        <v/>
      </c>
      <c r="EV27" s="36" t="str">
        <f t="shared" si="59"/>
        <v/>
      </c>
      <c r="EW27" s="37"/>
    </row>
    <row r="28" spans="1:153" ht="19.5" customHeight="1">
      <c r="A28" s="32">
        <f>IF(DAY(DATE(対象年度,12,25))&lt;&gt;25,"",25)</f>
        <v>25</v>
      </c>
      <c r="B28" s="32" t="str">
        <f>IF(DAY(DATE(対象年度,12,25))&lt;&gt;25,"",CHOOSE(WEEKDAY(DATE(対象年度,12,25),2),"月","火","水","木","金","土","日"))</f>
        <v>金</v>
      </c>
      <c r="C28" s="32" t="str">
        <f>IF(DAY(DATE(対象年度,12,25))&lt;&gt;25,"",IF(ISNUMBER(MATCH(DATE(対象年度,12,25),祝日リスト,0)),"祝",""))</f>
        <v/>
      </c>
      <c r="D28" s="33"/>
      <c r="E28" s="34"/>
      <c r="F28" s="35" t="str">
        <f t="shared" si="0"/>
        <v/>
      </c>
      <c r="G28" s="36" t="str">
        <f t="shared" si="1"/>
        <v/>
      </c>
      <c r="H28" s="37"/>
      <c r="I28" s="33"/>
      <c r="J28" s="34"/>
      <c r="K28" s="35" t="str">
        <f t="shared" si="2"/>
        <v/>
      </c>
      <c r="L28" s="36" t="str">
        <f t="shared" si="3"/>
        <v/>
      </c>
      <c r="M28" s="37"/>
      <c r="N28" s="33"/>
      <c r="O28" s="34"/>
      <c r="P28" s="35" t="str">
        <f t="shared" si="4"/>
        <v/>
      </c>
      <c r="Q28" s="36" t="str">
        <f t="shared" si="5"/>
        <v/>
      </c>
      <c r="R28" s="37"/>
      <c r="S28" s="33"/>
      <c r="T28" s="34"/>
      <c r="U28" s="35" t="str">
        <f t="shared" si="6"/>
        <v/>
      </c>
      <c r="V28" s="36" t="str">
        <f t="shared" si="7"/>
        <v/>
      </c>
      <c r="W28" s="37"/>
      <c r="X28" s="33"/>
      <c r="Y28" s="34"/>
      <c r="Z28" s="35" t="str">
        <f t="shared" si="8"/>
        <v/>
      </c>
      <c r="AA28" s="36" t="str">
        <f t="shared" si="9"/>
        <v/>
      </c>
      <c r="AB28" s="37"/>
      <c r="AC28" s="33"/>
      <c r="AD28" s="34"/>
      <c r="AE28" s="35" t="str">
        <f t="shared" si="10"/>
        <v/>
      </c>
      <c r="AF28" s="36" t="str">
        <f t="shared" si="11"/>
        <v/>
      </c>
      <c r="AG28" s="37"/>
      <c r="AH28" s="33"/>
      <c r="AI28" s="34"/>
      <c r="AJ28" s="35" t="str">
        <f t="shared" si="12"/>
        <v/>
      </c>
      <c r="AK28" s="36" t="str">
        <f t="shared" si="13"/>
        <v/>
      </c>
      <c r="AL28" s="37"/>
      <c r="AM28" s="33"/>
      <c r="AN28" s="34"/>
      <c r="AO28" s="35" t="str">
        <f t="shared" si="14"/>
        <v/>
      </c>
      <c r="AP28" s="36" t="str">
        <f t="shared" si="15"/>
        <v/>
      </c>
      <c r="AQ28" s="37"/>
      <c r="AR28" s="33"/>
      <c r="AS28" s="34"/>
      <c r="AT28" s="35" t="str">
        <f t="shared" si="16"/>
        <v/>
      </c>
      <c r="AU28" s="36" t="str">
        <f t="shared" si="17"/>
        <v/>
      </c>
      <c r="AV28" s="37"/>
      <c r="AW28" s="33"/>
      <c r="AX28" s="34"/>
      <c r="AY28" s="35" t="str">
        <f t="shared" si="18"/>
        <v/>
      </c>
      <c r="AZ28" s="36" t="str">
        <f t="shared" si="19"/>
        <v/>
      </c>
      <c r="BA28" s="37"/>
      <c r="BB28" s="33"/>
      <c r="BC28" s="34"/>
      <c r="BD28" s="35" t="str">
        <f t="shared" si="20"/>
        <v/>
      </c>
      <c r="BE28" s="36" t="str">
        <f t="shared" si="21"/>
        <v/>
      </c>
      <c r="BF28" s="37"/>
      <c r="BG28" s="33"/>
      <c r="BH28" s="34"/>
      <c r="BI28" s="35" t="str">
        <f t="shared" si="22"/>
        <v/>
      </c>
      <c r="BJ28" s="36" t="str">
        <f t="shared" si="23"/>
        <v/>
      </c>
      <c r="BK28" s="37"/>
      <c r="BL28" s="33"/>
      <c r="BM28" s="34"/>
      <c r="BN28" s="35" t="str">
        <f t="shared" si="24"/>
        <v/>
      </c>
      <c r="BO28" s="36" t="str">
        <f t="shared" si="25"/>
        <v/>
      </c>
      <c r="BP28" s="37"/>
      <c r="BQ28" s="33"/>
      <c r="BR28" s="34"/>
      <c r="BS28" s="35" t="str">
        <f t="shared" si="26"/>
        <v/>
      </c>
      <c r="BT28" s="36" t="str">
        <f t="shared" si="27"/>
        <v/>
      </c>
      <c r="BU28" s="37"/>
      <c r="BV28" s="33"/>
      <c r="BW28" s="34"/>
      <c r="BX28" s="35" t="str">
        <f t="shared" si="28"/>
        <v/>
      </c>
      <c r="BY28" s="36" t="str">
        <f t="shared" si="29"/>
        <v/>
      </c>
      <c r="BZ28" s="37"/>
      <c r="CA28" s="33"/>
      <c r="CB28" s="34"/>
      <c r="CC28" s="35" t="str">
        <f t="shared" si="30"/>
        <v/>
      </c>
      <c r="CD28" s="36" t="str">
        <f t="shared" si="31"/>
        <v/>
      </c>
      <c r="CE28" s="37"/>
      <c r="CF28" s="33"/>
      <c r="CG28" s="34"/>
      <c r="CH28" s="35" t="str">
        <f t="shared" si="32"/>
        <v/>
      </c>
      <c r="CI28" s="36" t="str">
        <f t="shared" si="33"/>
        <v/>
      </c>
      <c r="CJ28" s="37"/>
      <c r="CK28" s="33"/>
      <c r="CL28" s="34"/>
      <c r="CM28" s="35" t="str">
        <f t="shared" si="34"/>
        <v/>
      </c>
      <c r="CN28" s="36" t="str">
        <f t="shared" si="35"/>
        <v/>
      </c>
      <c r="CO28" s="37"/>
      <c r="CP28" s="33"/>
      <c r="CQ28" s="34"/>
      <c r="CR28" s="35" t="str">
        <f t="shared" si="36"/>
        <v/>
      </c>
      <c r="CS28" s="36" t="str">
        <f t="shared" si="37"/>
        <v/>
      </c>
      <c r="CT28" s="37"/>
      <c r="CU28" s="33"/>
      <c r="CV28" s="34"/>
      <c r="CW28" s="35" t="str">
        <f t="shared" si="38"/>
        <v/>
      </c>
      <c r="CX28" s="36" t="str">
        <f t="shared" si="39"/>
        <v/>
      </c>
      <c r="CY28" s="37"/>
      <c r="CZ28" s="33"/>
      <c r="DA28" s="34"/>
      <c r="DB28" s="35" t="str">
        <f t="shared" si="40"/>
        <v/>
      </c>
      <c r="DC28" s="36" t="str">
        <f t="shared" si="41"/>
        <v/>
      </c>
      <c r="DD28" s="37"/>
      <c r="DE28" s="33"/>
      <c r="DF28" s="34"/>
      <c r="DG28" s="35" t="str">
        <f t="shared" si="42"/>
        <v/>
      </c>
      <c r="DH28" s="36" t="str">
        <f t="shared" si="43"/>
        <v/>
      </c>
      <c r="DI28" s="37"/>
      <c r="DJ28" s="33"/>
      <c r="DK28" s="34"/>
      <c r="DL28" s="35" t="str">
        <f t="shared" si="44"/>
        <v/>
      </c>
      <c r="DM28" s="36" t="str">
        <f t="shared" si="45"/>
        <v/>
      </c>
      <c r="DN28" s="37"/>
      <c r="DO28" s="33"/>
      <c r="DP28" s="34"/>
      <c r="DQ28" s="35" t="str">
        <f t="shared" si="46"/>
        <v/>
      </c>
      <c r="DR28" s="36" t="str">
        <f t="shared" si="47"/>
        <v/>
      </c>
      <c r="DS28" s="37"/>
      <c r="DT28" s="33"/>
      <c r="DU28" s="34"/>
      <c r="DV28" s="35" t="str">
        <f t="shared" si="48"/>
        <v/>
      </c>
      <c r="DW28" s="36" t="str">
        <f t="shared" si="49"/>
        <v/>
      </c>
      <c r="DX28" s="37"/>
      <c r="DY28" s="33"/>
      <c r="DZ28" s="34"/>
      <c r="EA28" s="35" t="str">
        <f t="shared" si="50"/>
        <v/>
      </c>
      <c r="EB28" s="36" t="str">
        <f t="shared" si="51"/>
        <v/>
      </c>
      <c r="EC28" s="37"/>
      <c r="ED28" s="33"/>
      <c r="EE28" s="34"/>
      <c r="EF28" s="35" t="str">
        <f t="shared" si="52"/>
        <v/>
      </c>
      <c r="EG28" s="36" t="str">
        <f t="shared" si="53"/>
        <v/>
      </c>
      <c r="EH28" s="37"/>
      <c r="EI28" s="33"/>
      <c r="EJ28" s="34"/>
      <c r="EK28" s="35" t="str">
        <f t="shared" si="54"/>
        <v/>
      </c>
      <c r="EL28" s="36" t="str">
        <f t="shared" si="55"/>
        <v/>
      </c>
      <c r="EM28" s="37"/>
      <c r="EN28" s="33"/>
      <c r="EO28" s="34"/>
      <c r="EP28" s="35" t="str">
        <f t="shared" si="56"/>
        <v/>
      </c>
      <c r="EQ28" s="36" t="str">
        <f t="shared" si="57"/>
        <v/>
      </c>
      <c r="ER28" s="37"/>
      <c r="ES28" s="33"/>
      <c r="ET28" s="34"/>
      <c r="EU28" s="35" t="str">
        <f t="shared" si="58"/>
        <v/>
      </c>
      <c r="EV28" s="36" t="str">
        <f t="shared" si="59"/>
        <v/>
      </c>
      <c r="EW28" s="37"/>
    </row>
    <row r="29" spans="1:153" ht="19.5" customHeight="1">
      <c r="A29" s="32">
        <f>IF(DAY(DATE(対象年度,12,26))&lt;&gt;26,"",26)</f>
        <v>26</v>
      </c>
      <c r="B29" s="32" t="str">
        <f>IF(DAY(DATE(対象年度,12,26))&lt;&gt;26,"",CHOOSE(WEEKDAY(DATE(対象年度,12,26),2),"月","火","水","木","金","土","日"))</f>
        <v>土</v>
      </c>
      <c r="C29" s="32" t="str">
        <f>IF(DAY(DATE(対象年度,12,26))&lt;&gt;26,"",IF(ISNUMBER(MATCH(DATE(対象年度,12,26),祝日リスト,0)),"祝",""))</f>
        <v/>
      </c>
      <c r="D29" s="33"/>
      <c r="E29" s="34"/>
      <c r="F29" s="35" t="str">
        <f t="shared" si="0"/>
        <v/>
      </c>
      <c r="G29" s="36" t="str">
        <f t="shared" si="1"/>
        <v/>
      </c>
      <c r="H29" s="37"/>
      <c r="I29" s="33"/>
      <c r="J29" s="34"/>
      <c r="K29" s="35" t="str">
        <f t="shared" si="2"/>
        <v/>
      </c>
      <c r="L29" s="36" t="str">
        <f t="shared" si="3"/>
        <v/>
      </c>
      <c r="M29" s="37"/>
      <c r="N29" s="33"/>
      <c r="O29" s="34"/>
      <c r="P29" s="35" t="str">
        <f t="shared" si="4"/>
        <v/>
      </c>
      <c r="Q29" s="36" t="str">
        <f t="shared" si="5"/>
        <v/>
      </c>
      <c r="R29" s="37"/>
      <c r="S29" s="33"/>
      <c r="T29" s="34"/>
      <c r="U29" s="35" t="str">
        <f t="shared" si="6"/>
        <v/>
      </c>
      <c r="V29" s="36" t="str">
        <f t="shared" si="7"/>
        <v/>
      </c>
      <c r="W29" s="37"/>
      <c r="X29" s="33"/>
      <c r="Y29" s="34"/>
      <c r="Z29" s="35" t="str">
        <f t="shared" si="8"/>
        <v/>
      </c>
      <c r="AA29" s="36" t="str">
        <f t="shared" si="9"/>
        <v/>
      </c>
      <c r="AB29" s="37"/>
      <c r="AC29" s="33"/>
      <c r="AD29" s="34"/>
      <c r="AE29" s="35" t="str">
        <f t="shared" si="10"/>
        <v/>
      </c>
      <c r="AF29" s="36" t="str">
        <f t="shared" si="11"/>
        <v/>
      </c>
      <c r="AG29" s="37"/>
      <c r="AH29" s="33"/>
      <c r="AI29" s="34"/>
      <c r="AJ29" s="35" t="str">
        <f t="shared" si="12"/>
        <v/>
      </c>
      <c r="AK29" s="36" t="str">
        <f t="shared" si="13"/>
        <v/>
      </c>
      <c r="AL29" s="37"/>
      <c r="AM29" s="33"/>
      <c r="AN29" s="34"/>
      <c r="AO29" s="35" t="str">
        <f t="shared" si="14"/>
        <v/>
      </c>
      <c r="AP29" s="36" t="str">
        <f t="shared" si="15"/>
        <v/>
      </c>
      <c r="AQ29" s="37"/>
      <c r="AR29" s="33"/>
      <c r="AS29" s="34"/>
      <c r="AT29" s="35" t="str">
        <f t="shared" si="16"/>
        <v/>
      </c>
      <c r="AU29" s="36" t="str">
        <f t="shared" si="17"/>
        <v/>
      </c>
      <c r="AV29" s="37"/>
      <c r="AW29" s="33"/>
      <c r="AX29" s="34"/>
      <c r="AY29" s="35" t="str">
        <f t="shared" si="18"/>
        <v/>
      </c>
      <c r="AZ29" s="36" t="str">
        <f t="shared" si="19"/>
        <v/>
      </c>
      <c r="BA29" s="37"/>
      <c r="BB29" s="33"/>
      <c r="BC29" s="34"/>
      <c r="BD29" s="35" t="str">
        <f t="shared" si="20"/>
        <v/>
      </c>
      <c r="BE29" s="36" t="str">
        <f t="shared" si="21"/>
        <v/>
      </c>
      <c r="BF29" s="37"/>
      <c r="BG29" s="33"/>
      <c r="BH29" s="34"/>
      <c r="BI29" s="35" t="str">
        <f t="shared" si="22"/>
        <v/>
      </c>
      <c r="BJ29" s="36" t="str">
        <f t="shared" si="23"/>
        <v/>
      </c>
      <c r="BK29" s="37"/>
      <c r="BL29" s="33"/>
      <c r="BM29" s="34"/>
      <c r="BN29" s="35" t="str">
        <f t="shared" si="24"/>
        <v/>
      </c>
      <c r="BO29" s="36" t="str">
        <f t="shared" si="25"/>
        <v/>
      </c>
      <c r="BP29" s="37"/>
      <c r="BQ29" s="33"/>
      <c r="BR29" s="34"/>
      <c r="BS29" s="35" t="str">
        <f t="shared" si="26"/>
        <v/>
      </c>
      <c r="BT29" s="36" t="str">
        <f t="shared" si="27"/>
        <v/>
      </c>
      <c r="BU29" s="37"/>
      <c r="BV29" s="33"/>
      <c r="BW29" s="34"/>
      <c r="BX29" s="35" t="str">
        <f t="shared" si="28"/>
        <v/>
      </c>
      <c r="BY29" s="36" t="str">
        <f t="shared" si="29"/>
        <v/>
      </c>
      <c r="BZ29" s="37"/>
      <c r="CA29" s="33"/>
      <c r="CB29" s="34"/>
      <c r="CC29" s="35" t="str">
        <f t="shared" si="30"/>
        <v/>
      </c>
      <c r="CD29" s="36" t="str">
        <f t="shared" si="31"/>
        <v/>
      </c>
      <c r="CE29" s="37"/>
      <c r="CF29" s="33"/>
      <c r="CG29" s="34"/>
      <c r="CH29" s="35" t="str">
        <f t="shared" si="32"/>
        <v/>
      </c>
      <c r="CI29" s="36" t="str">
        <f t="shared" si="33"/>
        <v/>
      </c>
      <c r="CJ29" s="37"/>
      <c r="CK29" s="33"/>
      <c r="CL29" s="34"/>
      <c r="CM29" s="35" t="str">
        <f t="shared" si="34"/>
        <v/>
      </c>
      <c r="CN29" s="36" t="str">
        <f t="shared" si="35"/>
        <v/>
      </c>
      <c r="CO29" s="37"/>
      <c r="CP29" s="33"/>
      <c r="CQ29" s="34"/>
      <c r="CR29" s="35" t="str">
        <f t="shared" si="36"/>
        <v/>
      </c>
      <c r="CS29" s="36" t="str">
        <f t="shared" si="37"/>
        <v/>
      </c>
      <c r="CT29" s="37"/>
      <c r="CU29" s="33"/>
      <c r="CV29" s="34"/>
      <c r="CW29" s="35" t="str">
        <f t="shared" si="38"/>
        <v/>
      </c>
      <c r="CX29" s="36" t="str">
        <f t="shared" si="39"/>
        <v/>
      </c>
      <c r="CY29" s="37"/>
      <c r="CZ29" s="33"/>
      <c r="DA29" s="34"/>
      <c r="DB29" s="35" t="str">
        <f t="shared" si="40"/>
        <v/>
      </c>
      <c r="DC29" s="36" t="str">
        <f t="shared" si="41"/>
        <v/>
      </c>
      <c r="DD29" s="37"/>
      <c r="DE29" s="33"/>
      <c r="DF29" s="34"/>
      <c r="DG29" s="35" t="str">
        <f t="shared" si="42"/>
        <v/>
      </c>
      <c r="DH29" s="36" t="str">
        <f t="shared" si="43"/>
        <v/>
      </c>
      <c r="DI29" s="37"/>
      <c r="DJ29" s="33"/>
      <c r="DK29" s="34"/>
      <c r="DL29" s="35" t="str">
        <f t="shared" si="44"/>
        <v/>
      </c>
      <c r="DM29" s="36" t="str">
        <f t="shared" si="45"/>
        <v/>
      </c>
      <c r="DN29" s="37"/>
      <c r="DO29" s="33"/>
      <c r="DP29" s="34"/>
      <c r="DQ29" s="35" t="str">
        <f t="shared" si="46"/>
        <v/>
      </c>
      <c r="DR29" s="36" t="str">
        <f t="shared" si="47"/>
        <v/>
      </c>
      <c r="DS29" s="37"/>
      <c r="DT29" s="33"/>
      <c r="DU29" s="34"/>
      <c r="DV29" s="35" t="str">
        <f t="shared" si="48"/>
        <v/>
      </c>
      <c r="DW29" s="36" t="str">
        <f t="shared" si="49"/>
        <v/>
      </c>
      <c r="DX29" s="37"/>
      <c r="DY29" s="33"/>
      <c r="DZ29" s="34"/>
      <c r="EA29" s="35" t="str">
        <f t="shared" si="50"/>
        <v/>
      </c>
      <c r="EB29" s="36" t="str">
        <f t="shared" si="51"/>
        <v/>
      </c>
      <c r="EC29" s="37"/>
      <c r="ED29" s="33"/>
      <c r="EE29" s="34"/>
      <c r="EF29" s="35" t="str">
        <f t="shared" si="52"/>
        <v/>
      </c>
      <c r="EG29" s="36" t="str">
        <f t="shared" si="53"/>
        <v/>
      </c>
      <c r="EH29" s="37"/>
      <c r="EI29" s="33"/>
      <c r="EJ29" s="34"/>
      <c r="EK29" s="35" t="str">
        <f t="shared" si="54"/>
        <v/>
      </c>
      <c r="EL29" s="36" t="str">
        <f t="shared" si="55"/>
        <v/>
      </c>
      <c r="EM29" s="37"/>
      <c r="EN29" s="33"/>
      <c r="EO29" s="34"/>
      <c r="EP29" s="35" t="str">
        <f t="shared" si="56"/>
        <v/>
      </c>
      <c r="EQ29" s="36" t="str">
        <f t="shared" si="57"/>
        <v/>
      </c>
      <c r="ER29" s="37"/>
      <c r="ES29" s="33"/>
      <c r="ET29" s="34"/>
      <c r="EU29" s="35" t="str">
        <f t="shared" si="58"/>
        <v/>
      </c>
      <c r="EV29" s="36" t="str">
        <f t="shared" si="59"/>
        <v/>
      </c>
      <c r="EW29" s="37"/>
    </row>
    <row r="30" spans="1:153" ht="19.5" customHeight="1">
      <c r="A30" s="32">
        <f>IF(DAY(DATE(対象年度,12,27))&lt;&gt;27,"",27)</f>
        <v>27</v>
      </c>
      <c r="B30" s="32" t="str">
        <f>IF(DAY(DATE(対象年度,12,27))&lt;&gt;27,"",CHOOSE(WEEKDAY(DATE(対象年度,12,27),2),"月","火","水","木","金","土","日"))</f>
        <v>日</v>
      </c>
      <c r="C30" s="32" t="str">
        <f>IF(DAY(DATE(対象年度,12,27))&lt;&gt;27,"",IF(ISNUMBER(MATCH(DATE(対象年度,12,27),祝日リスト,0)),"祝",""))</f>
        <v/>
      </c>
      <c r="D30" s="33"/>
      <c r="E30" s="34"/>
      <c r="F30" s="35" t="str">
        <f t="shared" si="0"/>
        <v/>
      </c>
      <c r="G30" s="36" t="str">
        <f t="shared" si="1"/>
        <v/>
      </c>
      <c r="H30" s="37"/>
      <c r="I30" s="33"/>
      <c r="J30" s="34"/>
      <c r="K30" s="35" t="str">
        <f t="shared" si="2"/>
        <v/>
      </c>
      <c r="L30" s="36" t="str">
        <f t="shared" si="3"/>
        <v/>
      </c>
      <c r="M30" s="37"/>
      <c r="N30" s="33"/>
      <c r="O30" s="34"/>
      <c r="P30" s="35" t="str">
        <f t="shared" si="4"/>
        <v/>
      </c>
      <c r="Q30" s="36" t="str">
        <f t="shared" si="5"/>
        <v/>
      </c>
      <c r="R30" s="37"/>
      <c r="S30" s="33"/>
      <c r="T30" s="34"/>
      <c r="U30" s="35" t="str">
        <f t="shared" si="6"/>
        <v/>
      </c>
      <c r="V30" s="36" t="str">
        <f t="shared" si="7"/>
        <v/>
      </c>
      <c r="W30" s="37"/>
      <c r="X30" s="33"/>
      <c r="Y30" s="34"/>
      <c r="Z30" s="35" t="str">
        <f t="shared" si="8"/>
        <v/>
      </c>
      <c r="AA30" s="36" t="str">
        <f t="shared" si="9"/>
        <v/>
      </c>
      <c r="AB30" s="37"/>
      <c r="AC30" s="33"/>
      <c r="AD30" s="34"/>
      <c r="AE30" s="35" t="str">
        <f t="shared" si="10"/>
        <v/>
      </c>
      <c r="AF30" s="36" t="str">
        <f t="shared" si="11"/>
        <v/>
      </c>
      <c r="AG30" s="37"/>
      <c r="AH30" s="33"/>
      <c r="AI30" s="34"/>
      <c r="AJ30" s="35" t="str">
        <f t="shared" si="12"/>
        <v/>
      </c>
      <c r="AK30" s="36" t="str">
        <f t="shared" si="13"/>
        <v/>
      </c>
      <c r="AL30" s="37"/>
      <c r="AM30" s="33"/>
      <c r="AN30" s="34"/>
      <c r="AO30" s="35" t="str">
        <f t="shared" si="14"/>
        <v/>
      </c>
      <c r="AP30" s="36" t="str">
        <f t="shared" si="15"/>
        <v/>
      </c>
      <c r="AQ30" s="37"/>
      <c r="AR30" s="33"/>
      <c r="AS30" s="34"/>
      <c r="AT30" s="35" t="str">
        <f t="shared" si="16"/>
        <v/>
      </c>
      <c r="AU30" s="36" t="str">
        <f t="shared" si="17"/>
        <v/>
      </c>
      <c r="AV30" s="37"/>
      <c r="AW30" s="33"/>
      <c r="AX30" s="34"/>
      <c r="AY30" s="35" t="str">
        <f t="shared" si="18"/>
        <v/>
      </c>
      <c r="AZ30" s="36" t="str">
        <f t="shared" si="19"/>
        <v/>
      </c>
      <c r="BA30" s="37"/>
      <c r="BB30" s="33"/>
      <c r="BC30" s="34"/>
      <c r="BD30" s="35" t="str">
        <f t="shared" si="20"/>
        <v/>
      </c>
      <c r="BE30" s="36" t="str">
        <f t="shared" si="21"/>
        <v/>
      </c>
      <c r="BF30" s="37"/>
      <c r="BG30" s="33"/>
      <c r="BH30" s="34"/>
      <c r="BI30" s="35" t="str">
        <f t="shared" si="22"/>
        <v/>
      </c>
      <c r="BJ30" s="36" t="str">
        <f t="shared" si="23"/>
        <v/>
      </c>
      <c r="BK30" s="37"/>
      <c r="BL30" s="33"/>
      <c r="BM30" s="34"/>
      <c r="BN30" s="35" t="str">
        <f t="shared" si="24"/>
        <v/>
      </c>
      <c r="BO30" s="36" t="str">
        <f t="shared" si="25"/>
        <v/>
      </c>
      <c r="BP30" s="37"/>
      <c r="BQ30" s="33"/>
      <c r="BR30" s="34"/>
      <c r="BS30" s="35" t="str">
        <f t="shared" si="26"/>
        <v/>
      </c>
      <c r="BT30" s="36" t="str">
        <f t="shared" si="27"/>
        <v/>
      </c>
      <c r="BU30" s="37"/>
      <c r="BV30" s="33"/>
      <c r="BW30" s="34"/>
      <c r="BX30" s="35" t="str">
        <f t="shared" si="28"/>
        <v/>
      </c>
      <c r="BY30" s="36" t="str">
        <f t="shared" si="29"/>
        <v/>
      </c>
      <c r="BZ30" s="37"/>
      <c r="CA30" s="33"/>
      <c r="CB30" s="34"/>
      <c r="CC30" s="35" t="str">
        <f t="shared" si="30"/>
        <v/>
      </c>
      <c r="CD30" s="36" t="str">
        <f t="shared" si="31"/>
        <v/>
      </c>
      <c r="CE30" s="37"/>
      <c r="CF30" s="33"/>
      <c r="CG30" s="34"/>
      <c r="CH30" s="35" t="str">
        <f t="shared" si="32"/>
        <v/>
      </c>
      <c r="CI30" s="36" t="str">
        <f t="shared" si="33"/>
        <v/>
      </c>
      <c r="CJ30" s="37"/>
      <c r="CK30" s="33"/>
      <c r="CL30" s="34"/>
      <c r="CM30" s="35" t="str">
        <f t="shared" si="34"/>
        <v/>
      </c>
      <c r="CN30" s="36" t="str">
        <f t="shared" si="35"/>
        <v/>
      </c>
      <c r="CO30" s="37"/>
      <c r="CP30" s="33"/>
      <c r="CQ30" s="34"/>
      <c r="CR30" s="35" t="str">
        <f t="shared" si="36"/>
        <v/>
      </c>
      <c r="CS30" s="36" t="str">
        <f t="shared" si="37"/>
        <v/>
      </c>
      <c r="CT30" s="37"/>
      <c r="CU30" s="33"/>
      <c r="CV30" s="34"/>
      <c r="CW30" s="35" t="str">
        <f t="shared" si="38"/>
        <v/>
      </c>
      <c r="CX30" s="36" t="str">
        <f t="shared" si="39"/>
        <v/>
      </c>
      <c r="CY30" s="37"/>
      <c r="CZ30" s="33"/>
      <c r="DA30" s="34"/>
      <c r="DB30" s="35" t="str">
        <f t="shared" si="40"/>
        <v/>
      </c>
      <c r="DC30" s="36" t="str">
        <f t="shared" si="41"/>
        <v/>
      </c>
      <c r="DD30" s="37"/>
      <c r="DE30" s="33"/>
      <c r="DF30" s="34"/>
      <c r="DG30" s="35" t="str">
        <f t="shared" si="42"/>
        <v/>
      </c>
      <c r="DH30" s="36" t="str">
        <f t="shared" si="43"/>
        <v/>
      </c>
      <c r="DI30" s="37"/>
      <c r="DJ30" s="33"/>
      <c r="DK30" s="34"/>
      <c r="DL30" s="35" t="str">
        <f t="shared" si="44"/>
        <v/>
      </c>
      <c r="DM30" s="36" t="str">
        <f t="shared" si="45"/>
        <v/>
      </c>
      <c r="DN30" s="37"/>
      <c r="DO30" s="33"/>
      <c r="DP30" s="34"/>
      <c r="DQ30" s="35" t="str">
        <f t="shared" si="46"/>
        <v/>
      </c>
      <c r="DR30" s="36" t="str">
        <f t="shared" si="47"/>
        <v/>
      </c>
      <c r="DS30" s="37"/>
      <c r="DT30" s="33"/>
      <c r="DU30" s="34"/>
      <c r="DV30" s="35" t="str">
        <f t="shared" si="48"/>
        <v/>
      </c>
      <c r="DW30" s="36" t="str">
        <f t="shared" si="49"/>
        <v/>
      </c>
      <c r="DX30" s="37"/>
      <c r="DY30" s="33"/>
      <c r="DZ30" s="34"/>
      <c r="EA30" s="35" t="str">
        <f t="shared" si="50"/>
        <v/>
      </c>
      <c r="EB30" s="36" t="str">
        <f t="shared" si="51"/>
        <v/>
      </c>
      <c r="EC30" s="37"/>
      <c r="ED30" s="33"/>
      <c r="EE30" s="34"/>
      <c r="EF30" s="35" t="str">
        <f t="shared" si="52"/>
        <v/>
      </c>
      <c r="EG30" s="36" t="str">
        <f t="shared" si="53"/>
        <v/>
      </c>
      <c r="EH30" s="37"/>
      <c r="EI30" s="33"/>
      <c r="EJ30" s="34"/>
      <c r="EK30" s="35" t="str">
        <f t="shared" si="54"/>
        <v/>
      </c>
      <c r="EL30" s="36" t="str">
        <f t="shared" si="55"/>
        <v/>
      </c>
      <c r="EM30" s="37"/>
      <c r="EN30" s="33"/>
      <c r="EO30" s="34"/>
      <c r="EP30" s="35" t="str">
        <f t="shared" si="56"/>
        <v/>
      </c>
      <c r="EQ30" s="36" t="str">
        <f t="shared" si="57"/>
        <v/>
      </c>
      <c r="ER30" s="37"/>
      <c r="ES30" s="33"/>
      <c r="ET30" s="34"/>
      <c r="EU30" s="35" t="str">
        <f t="shared" si="58"/>
        <v/>
      </c>
      <c r="EV30" s="36" t="str">
        <f t="shared" si="59"/>
        <v/>
      </c>
      <c r="EW30" s="37"/>
    </row>
    <row r="31" spans="1:153" ht="19.5" customHeight="1">
      <c r="A31" s="32">
        <f>IF(DAY(DATE(対象年度,12,28))&lt;&gt;28,"",28)</f>
        <v>28</v>
      </c>
      <c r="B31" s="32" t="str">
        <f>IF(DAY(DATE(対象年度,12,28))&lt;&gt;28,"",CHOOSE(WEEKDAY(DATE(対象年度,12,28),2),"月","火","水","木","金","土","日"))</f>
        <v>月</v>
      </c>
      <c r="C31" s="32" t="str">
        <f>IF(DAY(DATE(対象年度,12,28))&lt;&gt;28,"",IF(ISNUMBER(MATCH(DATE(対象年度,12,28),祝日リスト,0)),"祝",""))</f>
        <v/>
      </c>
      <c r="D31" s="33"/>
      <c r="E31" s="34"/>
      <c r="F31" s="35" t="str">
        <f t="shared" si="0"/>
        <v/>
      </c>
      <c r="G31" s="36" t="str">
        <f t="shared" si="1"/>
        <v/>
      </c>
      <c r="H31" s="37"/>
      <c r="I31" s="33"/>
      <c r="J31" s="34"/>
      <c r="K31" s="35" t="str">
        <f t="shared" si="2"/>
        <v/>
      </c>
      <c r="L31" s="36" t="str">
        <f t="shared" si="3"/>
        <v/>
      </c>
      <c r="M31" s="37"/>
      <c r="N31" s="33"/>
      <c r="O31" s="34"/>
      <c r="P31" s="35" t="str">
        <f t="shared" si="4"/>
        <v/>
      </c>
      <c r="Q31" s="36" t="str">
        <f t="shared" si="5"/>
        <v/>
      </c>
      <c r="R31" s="37"/>
      <c r="S31" s="33"/>
      <c r="T31" s="34"/>
      <c r="U31" s="35" t="str">
        <f t="shared" si="6"/>
        <v/>
      </c>
      <c r="V31" s="36" t="str">
        <f t="shared" si="7"/>
        <v/>
      </c>
      <c r="W31" s="37"/>
      <c r="X31" s="33"/>
      <c r="Y31" s="34"/>
      <c r="Z31" s="35" t="str">
        <f t="shared" si="8"/>
        <v/>
      </c>
      <c r="AA31" s="36" t="str">
        <f t="shared" si="9"/>
        <v/>
      </c>
      <c r="AB31" s="37"/>
      <c r="AC31" s="33"/>
      <c r="AD31" s="34"/>
      <c r="AE31" s="35" t="str">
        <f t="shared" si="10"/>
        <v/>
      </c>
      <c r="AF31" s="36" t="str">
        <f t="shared" si="11"/>
        <v/>
      </c>
      <c r="AG31" s="37"/>
      <c r="AH31" s="33"/>
      <c r="AI31" s="34"/>
      <c r="AJ31" s="35" t="str">
        <f t="shared" si="12"/>
        <v/>
      </c>
      <c r="AK31" s="36" t="str">
        <f t="shared" si="13"/>
        <v/>
      </c>
      <c r="AL31" s="37"/>
      <c r="AM31" s="33"/>
      <c r="AN31" s="34"/>
      <c r="AO31" s="35" t="str">
        <f t="shared" si="14"/>
        <v/>
      </c>
      <c r="AP31" s="36" t="str">
        <f t="shared" si="15"/>
        <v/>
      </c>
      <c r="AQ31" s="37"/>
      <c r="AR31" s="33"/>
      <c r="AS31" s="34"/>
      <c r="AT31" s="35" t="str">
        <f t="shared" si="16"/>
        <v/>
      </c>
      <c r="AU31" s="36" t="str">
        <f t="shared" si="17"/>
        <v/>
      </c>
      <c r="AV31" s="37"/>
      <c r="AW31" s="33"/>
      <c r="AX31" s="34"/>
      <c r="AY31" s="35" t="str">
        <f t="shared" si="18"/>
        <v/>
      </c>
      <c r="AZ31" s="36" t="str">
        <f t="shared" si="19"/>
        <v/>
      </c>
      <c r="BA31" s="37"/>
      <c r="BB31" s="33"/>
      <c r="BC31" s="34"/>
      <c r="BD31" s="35" t="str">
        <f t="shared" si="20"/>
        <v/>
      </c>
      <c r="BE31" s="36" t="str">
        <f t="shared" si="21"/>
        <v/>
      </c>
      <c r="BF31" s="37"/>
      <c r="BG31" s="33"/>
      <c r="BH31" s="34"/>
      <c r="BI31" s="35" t="str">
        <f t="shared" si="22"/>
        <v/>
      </c>
      <c r="BJ31" s="36" t="str">
        <f t="shared" si="23"/>
        <v/>
      </c>
      <c r="BK31" s="37"/>
      <c r="BL31" s="33"/>
      <c r="BM31" s="34"/>
      <c r="BN31" s="35" t="str">
        <f t="shared" si="24"/>
        <v/>
      </c>
      <c r="BO31" s="36" t="str">
        <f t="shared" si="25"/>
        <v/>
      </c>
      <c r="BP31" s="37"/>
      <c r="BQ31" s="33"/>
      <c r="BR31" s="34"/>
      <c r="BS31" s="35" t="str">
        <f t="shared" si="26"/>
        <v/>
      </c>
      <c r="BT31" s="36" t="str">
        <f t="shared" si="27"/>
        <v/>
      </c>
      <c r="BU31" s="37"/>
      <c r="BV31" s="33"/>
      <c r="BW31" s="34"/>
      <c r="BX31" s="35" t="str">
        <f t="shared" si="28"/>
        <v/>
      </c>
      <c r="BY31" s="36" t="str">
        <f t="shared" si="29"/>
        <v/>
      </c>
      <c r="BZ31" s="37"/>
      <c r="CA31" s="33"/>
      <c r="CB31" s="34"/>
      <c r="CC31" s="35" t="str">
        <f t="shared" si="30"/>
        <v/>
      </c>
      <c r="CD31" s="36" t="str">
        <f t="shared" si="31"/>
        <v/>
      </c>
      <c r="CE31" s="37"/>
      <c r="CF31" s="33"/>
      <c r="CG31" s="34"/>
      <c r="CH31" s="35" t="str">
        <f t="shared" si="32"/>
        <v/>
      </c>
      <c r="CI31" s="36" t="str">
        <f t="shared" si="33"/>
        <v/>
      </c>
      <c r="CJ31" s="37"/>
      <c r="CK31" s="33"/>
      <c r="CL31" s="34"/>
      <c r="CM31" s="35" t="str">
        <f t="shared" si="34"/>
        <v/>
      </c>
      <c r="CN31" s="36" t="str">
        <f t="shared" si="35"/>
        <v/>
      </c>
      <c r="CO31" s="37"/>
      <c r="CP31" s="33"/>
      <c r="CQ31" s="34"/>
      <c r="CR31" s="35" t="str">
        <f t="shared" si="36"/>
        <v/>
      </c>
      <c r="CS31" s="36" t="str">
        <f t="shared" si="37"/>
        <v/>
      </c>
      <c r="CT31" s="37"/>
      <c r="CU31" s="33"/>
      <c r="CV31" s="34"/>
      <c r="CW31" s="35" t="str">
        <f t="shared" si="38"/>
        <v/>
      </c>
      <c r="CX31" s="36" t="str">
        <f t="shared" si="39"/>
        <v/>
      </c>
      <c r="CY31" s="37"/>
      <c r="CZ31" s="33"/>
      <c r="DA31" s="34"/>
      <c r="DB31" s="35" t="str">
        <f t="shared" si="40"/>
        <v/>
      </c>
      <c r="DC31" s="36" t="str">
        <f t="shared" si="41"/>
        <v/>
      </c>
      <c r="DD31" s="37"/>
      <c r="DE31" s="33"/>
      <c r="DF31" s="34"/>
      <c r="DG31" s="35" t="str">
        <f t="shared" si="42"/>
        <v/>
      </c>
      <c r="DH31" s="36" t="str">
        <f t="shared" si="43"/>
        <v/>
      </c>
      <c r="DI31" s="37"/>
      <c r="DJ31" s="33"/>
      <c r="DK31" s="34"/>
      <c r="DL31" s="35" t="str">
        <f t="shared" si="44"/>
        <v/>
      </c>
      <c r="DM31" s="36" t="str">
        <f t="shared" si="45"/>
        <v/>
      </c>
      <c r="DN31" s="37"/>
      <c r="DO31" s="33"/>
      <c r="DP31" s="34"/>
      <c r="DQ31" s="35" t="str">
        <f t="shared" si="46"/>
        <v/>
      </c>
      <c r="DR31" s="36" t="str">
        <f t="shared" si="47"/>
        <v/>
      </c>
      <c r="DS31" s="37"/>
      <c r="DT31" s="33"/>
      <c r="DU31" s="34"/>
      <c r="DV31" s="35" t="str">
        <f t="shared" si="48"/>
        <v/>
      </c>
      <c r="DW31" s="36" t="str">
        <f t="shared" si="49"/>
        <v/>
      </c>
      <c r="DX31" s="37"/>
      <c r="DY31" s="33"/>
      <c r="DZ31" s="34"/>
      <c r="EA31" s="35" t="str">
        <f t="shared" si="50"/>
        <v/>
      </c>
      <c r="EB31" s="36" t="str">
        <f t="shared" si="51"/>
        <v/>
      </c>
      <c r="EC31" s="37"/>
      <c r="ED31" s="33"/>
      <c r="EE31" s="34"/>
      <c r="EF31" s="35" t="str">
        <f t="shared" si="52"/>
        <v/>
      </c>
      <c r="EG31" s="36" t="str">
        <f t="shared" si="53"/>
        <v/>
      </c>
      <c r="EH31" s="37"/>
      <c r="EI31" s="33"/>
      <c r="EJ31" s="34"/>
      <c r="EK31" s="35" t="str">
        <f t="shared" si="54"/>
        <v/>
      </c>
      <c r="EL31" s="36" t="str">
        <f t="shared" si="55"/>
        <v/>
      </c>
      <c r="EM31" s="37"/>
      <c r="EN31" s="33"/>
      <c r="EO31" s="34"/>
      <c r="EP31" s="35" t="str">
        <f t="shared" si="56"/>
        <v/>
      </c>
      <c r="EQ31" s="36" t="str">
        <f t="shared" si="57"/>
        <v/>
      </c>
      <c r="ER31" s="37"/>
      <c r="ES31" s="33"/>
      <c r="ET31" s="34"/>
      <c r="EU31" s="35" t="str">
        <f t="shared" si="58"/>
        <v/>
      </c>
      <c r="EV31" s="36" t="str">
        <f t="shared" si="59"/>
        <v/>
      </c>
      <c r="EW31" s="37"/>
    </row>
    <row r="32" spans="1:153" ht="19.5" customHeight="1">
      <c r="A32" s="32">
        <f>IF(DAY(DATE(対象年度,12,29))&lt;&gt;29,"",29)</f>
        <v>29</v>
      </c>
      <c r="B32" s="32" t="str">
        <f>IF(DAY(DATE(対象年度,12,29))&lt;&gt;29,"",CHOOSE(WEEKDAY(DATE(対象年度,12,29),2),"月","火","水","木","金","土","日"))</f>
        <v>火</v>
      </c>
      <c r="C32" s="32" t="str">
        <f>IF(DAY(DATE(対象年度,12,29))&lt;&gt;29,"",IF(ISNUMBER(MATCH(DATE(対象年度,12,29),祝日リスト,0)),"祝",""))</f>
        <v/>
      </c>
      <c r="D32" s="33"/>
      <c r="E32" s="34"/>
      <c r="F32" s="35" t="str">
        <f t="shared" si="0"/>
        <v/>
      </c>
      <c r="G32" s="36" t="str">
        <f t="shared" si="1"/>
        <v/>
      </c>
      <c r="H32" s="37"/>
      <c r="I32" s="33"/>
      <c r="J32" s="34"/>
      <c r="K32" s="35" t="str">
        <f t="shared" si="2"/>
        <v/>
      </c>
      <c r="L32" s="36" t="str">
        <f t="shared" si="3"/>
        <v/>
      </c>
      <c r="M32" s="37"/>
      <c r="N32" s="33"/>
      <c r="O32" s="34"/>
      <c r="P32" s="35" t="str">
        <f t="shared" si="4"/>
        <v/>
      </c>
      <c r="Q32" s="36" t="str">
        <f t="shared" si="5"/>
        <v/>
      </c>
      <c r="R32" s="37"/>
      <c r="S32" s="33"/>
      <c r="T32" s="34"/>
      <c r="U32" s="35" t="str">
        <f t="shared" si="6"/>
        <v/>
      </c>
      <c r="V32" s="36" t="str">
        <f t="shared" si="7"/>
        <v/>
      </c>
      <c r="W32" s="37"/>
      <c r="X32" s="33"/>
      <c r="Y32" s="34"/>
      <c r="Z32" s="35" t="str">
        <f t="shared" si="8"/>
        <v/>
      </c>
      <c r="AA32" s="36" t="str">
        <f t="shared" si="9"/>
        <v/>
      </c>
      <c r="AB32" s="37"/>
      <c r="AC32" s="33"/>
      <c r="AD32" s="34"/>
      <c r="AE32" s="35" t="str">
        <f t="shared" si="10"/>
        <v/>
      </c>
      <c r="AF32" s="36" t="str">
        <f t="shared" si="11"/>
        <v/>
      </c>
      <c r="AG32" s="37"/>
      <c r="AH32" s="33"/>
      <c r="AI32" s="34"/>
      <c r="AJ32" s="35" t="str">
        <f t="shared" si="12"/>
        <v/>
      </c>
      <c r="AK32" s="36" t="str">
        <f t="shared" si="13"/>
        <v/>
      </c>
      <c r="AL32" s="37"/>
      <c r="AM32" s="33"/>
      <c r="AN32" s="34"/>
      <c r="AO32" s="35" t="str">
        <f t="shared" si="14"/>
        <v/>
      </c>
      <c r="AP32" s="36" t="str">
        <f t="shared" si="15"/>
        <v/>
      </c>
      <c r="AQ32" s="37"/>
      <c r="AR32" s="33"/>
      <c r="AS32" s="34"/>
      <c r="AT32" s="35" t="str">
        <f t="shared" si="16"/>
        <v/>
      </c>
      <c r="AU32" s="36" t="str">
        <f t="shared" si="17"/>
        <v/>
      </c>
      <c r="AV32" s="37"/>
      <c r="AW32" s="33"/>
      <c r="AX32" s="34"/>
      <c r="AY32" s="35" t="str">
        <f t="shared" si="18"/>
        <v/>
      </c>
      <c r="AZ32" s="36" t="str">
        <f t="shared" si="19"/>
        <v/>
      </c>
      <c r="BA32" s="37"/>
      <c r="BB32" s="33"/>
      <c r="BC32" s="34"/>
      <c r="BD32" s="35" t="str">
        <f t="shared" si="20"/>
        <v/>
      </c>
      <c r="BE32" s="36" t="str">
        <f t="shared" si="21"/>
        <v/>
      </c>
      <c r="BF32" s="37"/>
      <c r="BG32" s="33"/>
      <c r="BH32" s="34"/>
      <c r="BI32" s="35" t="str">
        <f t="shared" si="22"/>
        <v/>
      </c>
      <c r="BJ32" s="36" t="str">
        <f t="shared" si="23"/>
        <v/>
      </c>
      <c r="BK32" s="37"/>
      <c r="BL32" s="33"/>
      <c r="BM32" s="34"/>
      <c r="BN32" s="35" t="str">
        <f t="shared" si="24"/>
        <v/>
      </c>
      <c r="BO32" s="36" t="str">
        <f t="shared" si="25"/>
        <v/>
      </c>
      <c r="BP32" s="37"/>
      <c r="BQ32" s="33"/>
      <c r="BR32" s="34"/>
      <c r="BS32" s="35" t="str">
        <f t="shared" si="26"/>
        <v/>
      </c>
      <c r="BT32" s="36" t="str">
        <f t="shared" si="27"/>
        <v/>
      </c>
      <c r="BU32" s="37"/>
      <c r="BV32" s="33"/>
      <c r="BW32" s="34"/>
      <c r="BX32" s="35" t="str">
        <f t="shared" si="28"/>
        <v/>
      </c>
      <c r="BY32" s="36" t="str">
        <f t="shared" si="29"/>
        <v/>
      </c>
      <c r="BZ32" s="37"/>
      <c r="CA32" s="33"/>
      <c r="CB32" s="34"/>
      <c r="CC32" s="35" t="str">
        <f t="shared" si="30"/>
        <v/>
      </c>
      <c r="CD32" s="36" t="str">
        <f t="shared" si="31"/>
        <v/>
      </c>
      <c r="CE32" s="37"/>
      <c r="CF32" s="33"/>
      <c r="CG32" s="34"/>
      <c r="CH32" s="35" t="str">
        <f t="shared" si="32"/>
        <v/>
      </c>
      <c r="CI32" s="36" t="str">
        <f t="shared" si="33"/>
        <v/>
      </c>
      <c r="CJ32" s="37"/>
      <c r="CK32" s="33"/>
      <c r="CL32" s="34"/>
      <c r="CM32" s="35" t="str">
        <f t="shared" si="34"/>
        <v/>
      </c>
      <c r="CN32" s="36" t="str">
        <f t="shared" si="35"/>
        <v/>
      </c>
      <c r="CO32" s="37"/>
      <c r="CP32" s="33"/>
      <c r="CQ32" s="34"/>
      <c r="CR32" s="35" t="str">
        <f t="shared" si="36"/>
        <v/>
      </c>
      <c r="CS32" s="36" t="str">
        <f t="shared" si="37"/>
        <v/>
      </c>
      <c r="CT32" s="37"/>
      <c r="CU32" s="33"/>
      <c r="CV32" s="34"/>
      <c r="CW32" s="35" t="str">
        <f t="shared" si="38"/>
        <v/>
      </c>
      <c r="CX32" s="36" t="str">
        <f t="shared" si="39"/>
        <v/>
      </c>
      <c r="CY32" s="37"/>
      <c r="CZ32" s="33"/>
      <c r="DA32" s="34"/>
      <c r="DB32" s="35" t="str">
        <f t="shared" si="40"/>
        <v/>
      </c>
      <c r="DC32" s="36" t="str">
        <f t="shared" si="41"/>
        <v/>
      </c>
      <c r="DD32" s="37"/>
      <c r="DE32" s="33"/>
      <c r="DF32" s="34"/>
      <c r="DG32" s="35" t="str">
        <f t="shared" si="42"/>
        <v/>
      </c>
      <c r="DH32" s="36" t="str">
        <f t="shared" si="43"/>
        <v/>
      </c>
      <c r="DI32" s="37"/>
      <c r="DJ32" s="33"/>
      <c r="DK32" s="34"/>
      <c r="DL32" s="35" t="str">
        <f t="shared" si="44"/>
        <v/>
      </c>
      <c r="DM32" s="36" t="str">
        <f t="shared" si="45"/>
        <v/>
      </c>
      <c r="DN32" s="37"/>
      <c r="DO32" s="33"/>
      <c r="DP32" s="34"/>
      <c r="DQ32" s="35" t="str">
        <f t="shared" si="46"/>
        <v/>
      </c>
      <c r="DR32" s="36" t="str">
        <f t="shared" si="47"/>
        <v/>
      </c>
      <c r="DS32" s="37"/>
      <c r="DT32" s="33"/>
      <c r="DU32" s="34"/>
      <c r="DV32" s="35" t="str">
        <f t="shared" si="48"/>
        <v/>
      </c>
      <c r="DW32" s="36" t="str">
        <f t="shared" si="49"/>
        <v/>
      </c>
      <c r="DX32" s="37"/>
      <c r="DY32" s="33"/>
      <c r="DZ32" s="34"/>
      <c r="EA32" s="35" t="str">
        <f t="shared" si="50"/>
        <v/>
      </c>
      <c r="EB32" s="36" t="str">
        <f t="shared" si="51"/>
        <v/>
      </c>
      <c r="EC32" s="37"/>
      <c r="ED32" s="33"/>
      <c r="EE32" s="34"/>
      <c r="EF32" s="35" t="str">
        <f t="shared" si="52"/>
        <v/>
      </c>
      <c r="EG32" s="36" t="str">
        <f t="shared" si="53"/>
        <v/>
      </c>
      <c r="EH32" s="37"/>
      <c r="EI32" s="33"/>
      <c r="EJ32" s="34"/>
      <c r="EK32" s="35" t="str">
        <f t="shared" si="54"/>
        <v/>
      </c>
      <c r="EL32" s="36" t="str">
        <f t="shared" si="55"/>
        <v/>
      </c>
      <c r="EM32" s="37"/>
      <c r="EN32" s="33"/>
      <c r="EO32" s="34"/>
      <c r="EP32" s="35" t="str">
        <f t="shared" si="56"/>
        <v/>
      </c>
      <c r="EQ32" s="36" t="str">
        <f t="shared" si="57"/>
        <v/>
      </c>
      <c r="ER32" s="37"/>
      <c r="ES32" s="33"/>
      <c r="ET32" s="34"/>
      <c r="EU32" s="35" t="str">
        <f t="shared" si="58"/>
        <v/>
      </c>
      <c r="EV32" s="36" t="str">
        <f t="shared" si="59"/>
        <v/>
      </c>
      <c r="EW32" s="37"/>
    </row>
    <row r="33" spans="1:153" ht="19.5" customHeight="1">
      <c r="A33" s="32">
        <f>IF(DAY(DATE(対象年度,12,30))&lt;&gt;30,"",30)</f>
        <v>30</v>
      </c>
      <c r="B33" s="32" t="str">
        <f>IF(DAY(DATE(対象年度,12,30))&lt;&gt;30,"",CHOOSE(WEEKDAY(DATE(対象年度,12,30),2),"月","火","水","木","金","土","日"))</f>
        <v>水</v>
      </c>
      <c r="C33" s="32" t="str">
        <f>IF(DAY(DATE(対象年度,12,30))&lt;&gt;30,"",IF(ISNUMBER(MATCH(DATE(対象年度,12,30),祝日リスト,0)),"祝",""))</f>
        <v/>
      </c>
      <c r="D33" s="33"/>
      <c r="E33" s="34"/>
      <c r="F33" s="35" t="str">
        <f t="shared" si="0"/>
        <v/>
      </c>
      <c r="G33" s="36" t="str">
        <f t="shared" si="1"/>
        <v/>
      </c>
      <c r="H33" s="37"/>
      <c r="I33" s="33"/>
      <c r="J33" s="34"/>
      <c r="K33" s="35" t="str">
        <f t="shared" si="2"/>
        <v/>
      </c>
      <c r="L33" s="36" t="str">
        <f t="shared" si="3"/>
        <v/>
      </c>
      <c r="M33" s="37"/>
      <c r="N33" s="33"/>
      <c r="O33" s="34"/>
      <c r="P33" s="35" t="str">
        <f t="shared" si="4"/>
        <v/>
      </c>
      <c r="Q33" s="36" t="str">
        <f t="shared" si="5"/>
        <v/>
      </c>
      <c r="R33" s="37"/>
      <c r="S33" s="33"/>
      <c r="T33" s="34"/>
      <c r="U33" s="35" t="str">
        <f t="shared" si="6"/>
        <v/>
      </c>
      <c r="V33" s="36" t="str">
        <f t="shared" si="7"/>
        <v/>
      </c>
      <c r="W33" s="37"/>
      <c r="X33" s="33"/>
      <c r="Y33" s="34"/>
      <c r="Z33" s="35" t="str">
        <f t="shared" si="8"/>
        <v/>
      </c>
      <c r="AA33" s="36" t="str">
        <f t="shared" si="9"/>
        <v/>
      </c>
      <c r="AB33" s="37"/>
      <c r="AC33" s="33"/>
      <c r="AD33" s="34"/>
      <c r="AE33" s="35" t="str">
        <f t="shared" si="10"/>
        <v/>
      </c>
      <c r="AF33" s="36" t="str">
        <f t="shared" si="11"/>
        <v/>
      </c>
      <c r="AG33" s="37"/>
      <c r="AH33" s="33"/>
      <c r="AI33" s="34"/>
      <c r="AJ33" s="35" t="str">
        <f t="shared" si="12"/>
        <v/>
      </c>
      <c r="AK33" s="36" t="str">
        <f t="shared" si="13"/>
        <v/>
      </c>
      <c r="AL33" s="37"/>
      <c r="AM33" s="33"/>
      <c r="AN33" s="34"/>
      <c r="AO33" s="35" t="str">
        <f t="shared" si="14"/>
        <v/>
      </c>
      <c r="AP33" s="36" t="str">
        <f t="shared" si="15"/>
        <v/>
      </c>
      <c r="AQ33" s="37"/>
      <c r="AR33" s="33"/>
      <c r="AS33" s="34"/>
      <c r="AT33" s="35" t="str">
        <f t="shared" si="16"/>
        <v/>
      </c>
      <c r="AU33" s="36" t="str">
        <f t="shared" si="17"/>
        <v/>
      </c>
      <c r="AV33" s="37"/>
      <c r="AW33" s="33"/>
      <c r="AX33" s="34"/>
      <c r="AY33" s="35" t="str">
        <f t="shared" si="18"/>
        <v/>
      </c>
      <c r="AZ33" s="36" t="str">
        <f t="shared" si="19"/>
        <v/>
      </c>
      <c r="BA33" s="37"/>
      <c r="BB33" s="33"/>
      <c r="BC33" s="34"/>
      <c r="BD33" s="35" t="str">
        <f t="shared" si="20"/>
        <v/>
      </c>
      <c r="BE33" s="36" t="str">
        <f t="shared" si="21"/>
        <v/>
      </c>
      <c r="BF33" s="37"/>
      <c r="BG33" s="33"/>
      <c r="BH33" s="34"/>
      <c r="BI33" s="35" t="str">
        <f t="shared" si="22"/>
        <v/>
      </c>
      <c r="BJ33" s="36" t="str">
        <f t="shared" si="23"/>
        <v/>
      </c>
      <c r="BK33" s="37"/>
      <c r="BL33" s="33"/>
      <c r="BM33" s="34"/>
      <c r="BN33" s="35" t="str">
        <f t="shared" si="24"/>
        <v/>
      </c>
      <c r="BO33" s="36" t="str">
        <f t="shared" si="25"/>
        <v/>
      </c>
      <c r="BP33" s="37"/>
      <c r="BQ33" s="33"/>
      <c r="BR33" s="34"/>
      <c r="BS33" s="35" t="str">
        <f t="shared" si="26"/>
        <v/>
      </c>
      <c r="BT33" s="36" t="str">
        <f t="shared" si="27"/>
        <v/>
      </c>
      <c r="BU33" s="37"/>
      <c r="BV33" s="33"/>
      <c r="BW33" s="34"/>
      <c r="BX33" s="35" t="str">
        <f t="shared" si="28"/>
        <v/>
      </c>
      <c r="BY33" s="36" t="str">
        <f t="shared" si="29"/>
        <v/>
      </c>
      <c r="BZ33" s="37"/>
      <c r="CA33" s="33"/>
      <c r="CB33" s="34"/>
      <c r="CC33" s="35" t="str">
        <f t="shared" si="30"/>
        <v/>
      </c>
      <c r="CD33" s="36" t="str">
        <f t="shared" si="31"/>
        <v/>
      </c>
      <c r="CE33" s="37"/>
      <c r="CF33" s="33"/>
      <c r="CG33" s="34"/>
      <c r="CH33" s="35" t="str">
        <f t="shared" si="32"/>
        <v/>
      </c>
      <c r="CI33" s="36" t="str">
        <f t="shared" si="33"/>
        <v/>
      </c>
      <c r="CJ33" s="37"/>
      <c r="CK33" s="33"/>
      <c r="CL33" s="34"/>
      <c r="CM33" s="35" t="str">
        <f t="shared" si="34"/>
        <v/>
      </c>
      <c r="CN33" s="36" t="str">
        <f t="shared" si="35"/>
        <v/>
      </c>
      <c r="CO33" s="37"/>
      <c r="CP33" s="33"/>
      <c r="CQ33" s="34"/>
      <c r="CR33" s="35" t="str">
        <f t="shared" si="36"/>
        <v/>
      </c>
      <c r="CS33" s="36" t="str">
        <f t="shared" si="37"/>
        <v/>
      </c>
      <c r="CT33" s="37"/>
      <c r="CU33" s="33"/>
      <c r="CV33" s="34"/>
      <c r="CW33" s="35" t="str">
        <f t="shared" si="38"/>
        <v/>
      </c>
      <c r="CX33" s="36" t="str">
        <f t="shared" si="39"/>
        <v/>
      </c>
      <c r="CY33" s="37"/>
      <c r="CZ33" s="33"/>
      <c r="DA33" s="34"/>
      <c r="DB33" s="35" t="str">
        <f t="shared" si="40"/>
        <v/>
      </c>
      <c r="DC33" s="36" t="str">
        <f t="shared" si="41"/>
        <v/>
      </c>
      <c r="DD33" s="37"/>
      <c r="DE33" s="33"/>
      <c r="DF33" s="34"/>
      <c r="DG33" s="35" t="str">
        <f t="shared" si="42"/>
        <v/>
      </c>
      <c r="DH33" s="36" t="str">
        <f t="shared" si="43"/>
        <v/>
      </c>
      <c r="DI33" s="37"/>
      <c r="DJ33" s="33"/>
      <c r="DK33" s="34"/>
      <c r="DL33" s="35" t="str">
        <f t="shared" si="44"/>
        <v/>
      </c>
      <c r="DM33" s="36" t="str">
        <f t="shared" si="45"/>
        <v/>
      </c>
      <c r="DN33" s="37"/>
      <c r="DO33" s="33"/>
      <c r="DP33" s="34"/>
      <c r="DQ33" s="35" t="str">
        <f t="shared" si="46"/>
        <v/>
      </c>
      <c r="DR33" s="36" t="str">
        <f t="shared" si="47"/>
        <v/>
      </c>
      <c r="DS33" s="37"/>
      <c r="DT33" s="33"/>
      <c r="DU33" s="34"/>
      <c r="DV33" s="35" t="str">
        <f t="shared" si="48"/>
        <v/>
      </c>
      <c r="DW33" s="36" t="str">
        <f t="shared" si="49"/>
        <v/>
      </c>
      <c r="DX33" s="37"/>
      <c r="DY33" s="33"/>
      <c r="DZ33" s="34"/>
      <c r="EA33" s="35" t="str">
        <f t="shared" si="50"/>
        <v/>
      </c>
      <c r="EB33" s="36" t="str">
        <f t="shared" si="51"/>
        <v/>
      </c>
      <c r="EC33" s="37"/>
      <c r="ED33" s="33"/>
      <c r="EE33" s="34"/>
      <c r="EF33" s="35" t="str">
        <f t="shared" si="52"/>
        <v/>
      </c>
      <c r="EG33" s="36" t="str">
        <f t="shared" si="53"/>
        <v/>
      </c>
      <c r="EH33" s="37"/>
      <c r="EI33" s="33"/>
      <c r="EJ33" s="34"/>
      <c r="EK33" s="35" t="str">
        <f t="shared" si="54"/>
        <v/>
      </c>
      <c r="EL33" s="36" t="str">
        <f t="shared" si="55"/>
        <v/>
      </c>
      <c r="EM33" s="37"/>
      <c r="EN33" s="33"/>
      <c r="EO33" s="34"/>
      <c r="EP33" s="35" t="str">
        <f t="shared" si="56"/>
        <v/>
      </c>
      <c r="EQ33" s="36" t="str">
        <f t="shared" si="57"/>
        <v/>
      </c>
      <c r="ER33" s="37"/>
      <c r="ES33" s="33"/>
      <c r="ET33" s="34"/>
      <c r="EU33" s="35" t="str">
        <f t="shared" si="58"/>
        <v/>
      </c>
      <c r="EV33" s="36" t="str">
        <f t="shared" si="59"/>
        <v/>
      </c>
      <c r="EW33" s="37"/>
    </row>
    <row r="34" spans="1:153" ht="19.5" customHeight="1">
      <c r="A34" s="39">
        <f>IF(DAY(DATE(対象年度,12,31))&lt;&gt;31,"",31)</f>
        <v>31</v>
      </c>
      <c r="B34" s="39" t="str">
        <f>IF(DAY(DATE(対象年度,12,31))&lt;&gt;31,"",CHOOSE(WEEKDAY(DATE(対象年度,12,31),2),"月","火","水","木","金","土","日"))</f>
        <v>木</v>
      </c>
      <c r="C34" s="39" t="str">
        <f>IF(DAY(DATE(対象年度,12,31))&lt;&gt;31,"",IF(ISNUMBER(MATCH(DATE(対象年度,12,31),祝日リスト,0)),"祝",""))</f>
        <v/>
      </c>
      <c r="D34" s="40"/>
      <c r="E34" s="41"/>
      <c r="F34" s="42" t="str">
        <f t="shared" si="0"/>
        <v/>
      </c>
      <c r="G34" s="43" t="str">
        <f t="shared" si="1"/>
        <v/>
      </c>
      <c r="H34" s="44"/>
      <c r="I34" s="40"/>
      <c r="J34" s="41"/>
      <c r="K34" s="42" t="str">
        <f t="shared" si="2"/>
        <v/>
      </c>
      <c r="L34" s="43" t="str">
        <f t="shared" si="3"/>
        <v/>
      </c>
      <c r="M34" s="44"/>
      <c r="N34" s="40"/>
      <c r="O34" s="41"/>
      <c r="P34" s="42" t="str">
        <f t="shared" si="4"/>
        <v/>
      </c>
      <c r="Q34" s="43" t="str">
        <f t="shared" si="5"/>
        <v/>
      </c>
      <c r="R34" s="44"/>
      <c r="S34" s="40"/>
      <c r="T34" s="41"/>
      <c r="U34" s="42" t="str">
        <f t="shared" si="6"/>
        <v/>
      </c>
      <c r="V34" s="43" t="str">
        <f t="shared" si="7"/>
        <v/>
      </c>
      <c r="W34" s="44"/>
      <c r="X34" s="40"/>
      <c r="Y34" s="41"/>
      <c r="Z34" s="42" t="str">
        <f t="shared" si="8"/>
        <v/>
      </c>
      <c r="AA34" s="43" t="str">
        <f t="shared" si="9"/>
        <v/>
      </c>
      <c r="AB34" s="44"/>
      <c r="AC34" s="40"/>
      <c r="AD34" s="41"/>
      <c r="AE34" s="42" t="str">
        <f t="shared" si="10"/>
        <v/>
      </c>
      <c r="AF34" s="43" t="str">
        <f t="shared" si="11"/>
        <v/>
      </c>
      <c r="AG34" s="44"/>
      <c r="AH34" s="40"/>
      <c r="AI34" s="41"/>
      <c r="AJ34" s="42" t="str">
        <f t="shared" si="12"/>
        <v/>
      </c>
      <c r="AK34" s="43" t="str">
        <f t="shared" si="13"/>
        <v/>
      </c>
      <c r="AL34" s="44"/>
      <c r="AM34" s="40"/>
      <c r="AN34" s="41"/>
      <c r="AO34" s="42" t="str">
        <f t="shared" si="14"/>
        <v/>
      </c>
      <c r="AP34" s="43" t="str">
        <f t="shared" si="15"/>
        <v/>
      </c>
      <c r="AQ34" s="44"/>
      <c r="AR34" s="40"/>
      <c r="AS34" s="41"/>
      <c r="AT34" s="42" t="str">
        <f t="shared" si="16"/>
        <v/>
      </c>
      <c r="AU34" s="43" t="str">
        <f t="shared" si="17"/>
        <v/>
      </c>
      <c r="AV34" s="44"/>
      <c r="AW34" s="40"/>
      <c r="AX34" s="41"/>
      <c r="AY34" s="42" t="str">
        <f t="shared" si="18"/>
        <v/>
      </c>
      <c r="AZ34" s="43" t="str">
        <f t="shared" si="19"/>
        <v/>
      </c>
      <c r="BA34" s="44"/>
      <c r="BB34" s="40"/>
      <c r="BC34" s="41"/>
      <c r="BD34" s="42" t="str">
        <f t="shared" si="20"/>
        <v/>
      </c>
      <c r="BE34" s="43" t="str">
        <f t="shared" si="21"/>
        <v/>
      </c>
      <c r="BF34" s="44"/>
      <c r="BG34" s="40"/>
      <c r="BH34" s="41"/>
      <c r="BI34" s="42" t="str">
        <f t="shared" si="22"/>
        <v/>
      </c>
      <c r="BJ34" s="43" t="str">
        <f t="shared" si="23"/>
        <v/>
      </c>
      <c r="BK34" s="44"/>
      <c r="BL34" s="40"/>
      <c r="BM34" s="41"/>
      <c r="BN34" s="42" t="str">
        <f t="shared" si="24"/>
        <v/>
      </c>
      <c r="BO34" s="43" t="str">
        <f t="shared" si="25"/>
        <v/>
      </c>
      <c r="BP34" s="44"/>
      <c r="BQ34" s="40"/>
      <c r="BR34" s="41"/>
      <c r="BS34" s="42" t="str">
        <f t="shared" si="26"/>
        <v/>
      </c>
      <c r="BT34" s="43" t="str">
        <f t="shared" si="27"/>
        <v/>
      </c>
      <c r="BU34" s="44"/>
      <c r="BV34" s="40"/>
      <c r="BW34" s="41"/>
      <c r="BX34" s="42" t="str">
        <f t="shared" si="28"/>
        <v/>
      </c>
      <c r="BY34" s="43" t="str">
        <f t="shared" si="29"/>
        <v/>
      </c>
      <c r="BZ34" s="44"/>
      <c r="CA34" s="40"/>
      <c r="CB34" s="41"/>
      <c r="CC34" s="42" t="str">
        <f t="shared" si="30"/>
        <v/>
      </c>
      <c r="CD34" s="43" t="str">
        <f t="shared" si="31"/>
        <v/>
      </c>
      <c r="CE34" s="44"/>
      <c r="CF34" s="40"/>
      <c r="CG34" s="41"/>
      <c r="CH34" s="42" t="str">
        <f t="shared" si="32"/>
        <v/>
      </c>
      <c r="CI34" s="43" t="str">
        <f t="shared" si="33"/>
        <v/>
      </c>
      <c r="CJ34" s="44"/>
      <c r="CK34" s="40"/>
      <c r="CL34" s="41"/>
      <c r="CM34" s="42" t="str">
        <f t="shared" si="34"/>
        <v/>
      </c>
      <c r="CN34" s="43" t="str">
        <f t="shared" si="35"/>
        <v/>
      </c>
      <c r="CO34" s="44"/>
      <c r="CP34" s="40"/>
      <c r="CQ34" s="41"/>
      <c r="CR34" s="42" t="str">
        <f t="shared" si="36"/>
        <v/>
      </c>
      <c r="CS34" s="43" t="str">
        <f t="shared" si="37"/>
        <v/>
      </c>
      <c r="CT34" s="44"/>
      <c r="CU34" s="40"/>
      <c r="CV34" s="41"/>
      <c r="CW34" s="42" t="str">
        <f t="shared" si="38"/>
        <v/>
      </c>
      <c r="CX34" s="43" t="str">
        <f t="shared" si="39"/>
        <v/>
      </c>
      <c r="CY34" s="44"/>
      <c r="CZ34" s="40"/>
      <c r="DA34" s="41"/>
      <c r="DB34" s="42" t="str">
        <f t="shared" si="40"/>
        <v/>
      </c>
      <c r="DC34" s="43" t="str">
        <f t="shared" si="41"/>
        <v/>
      </c>
      <c r="DD34" s="44"/>
      <c r="DE34" s="40"/>
      <c r="DF34" s="41"/>
      <c r="DG34" s="42" t="str">
        <f t="shared" si="42"/>
        <v/>
      </c>
      <c r="DH34" s="43" t="str">
        <f t="shared" si="43"/>
        <v/>
      </c>
      <c r="DI34" s="44"/>
      <c r="DJ34" s="40"/>
      <c r="DK34" s="41"/>
      <c r="DL34" s="42" t="str">
        <f t="shared" si="44"/>
        <v/>
      </c>
      <c r="DM34" s="43" t="str">
        <f t="shared" si="45"/>
        <v/>
      </c>
      <c r="DN34" s="44"/>
      <c r="DO34" s="40"/>
      <c r="DP34" s="41"/>
      <c r="DQ34" s="42" t="str">
        <f t="shared" si="46"/>
        <v/>
      </c>
      <c r="DR34" s="43" t="str">
        <f t="shared" si="47"/>
        <v/>
      </c>
      <c r="DS34" s="44"/>
      <c r="DT34" s="40"/>
      <c r="DU34" s="41"/>
      <c r="DV34" s="42" t="str">
        <f t="shared" si="48"/>
        <v/>
      </c>
      <c r="DW34" s="43" t="str">
        <f t="shared" si="49"/>
        <v/>
      </c>
      <c r="DX34" s="44"/>
      <c r="DY34" s="40"/>
      <c r="DZ34" s="41"/>
      <c r="EA34" s="42" t="str">
        <f t="shared" si="50"/>
        <v/>
      </c>
      <c r="EB34" s="43" t="str">
        <f t="shared" si="51"/>
        <v/>
      </c>
      <c r="EC34" s="44"/>
      <c r="ED34" s="40"/>
      <c r="EE34" s="41"/>
      <c r="EF34" s="42" t="str">
        <f t="shared" si="52"/>
        <v/>
      </c>
      <c r="EG34" s="43" t="str">
        <f t="shared" si="53"/>
        <v/>
      </c>
      <c r="EH34" s="44"/>
      <c r="EI34" s="40"/>
      <c r="EJ34" s="41"/>
      <c r="EK34" s="42" t="str">
        <f t="shared" si="54"/>
        <v/>
      </c>
      <c r="EL34" s="43" t="str">
        <f t="shared" si="55"/>
        <v/>
      </c>
      <c r="EM34" s="44"/>
      <c r="EN34" s="40"/>
      <c r="EO34" s="41"/>
      <c r="EP34" s="42" t="str">
        <f t="shared" si="56"/>
        <v/>
      </c>
      <c r="EQ34" s="43" t="str">
        <f t="shared" si="57"/>
        <v/>
      </c>
      <c r="ER34" s="44"/>
      <c r="ES34" s="40"/>
      <c r="ET34" s="41"/>
      <c r="EU34" s="42" t="str">
        <f t="shared" si="58"/>
        <v/>
      </c>
      <c r="EV34" s="43" t="str">
        <f t="shared" si="5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0</v>
      </c>
      <c r="E35" s="94"/>
      <c r="F35" s="94"/>
      <c r="G35" s="94"/>
      <c r="H35" s="94"/>
      <c r="I35" s="94">
        <f>COUNTIF(K4:K34,"○")</f>
        <v>0</v>
      </c>
      <c r="J35" s="94"/>
      <c r="K35" s="94"/>
      <c r="L35" s="94"/>
      <c r="M35" s="94"/>
      <c r="N35" s="94">
        <f>COUNTIF(P4:P34,"○")</f>
        <v>0</v>
      </c>
      <c r="O35" s="94"/>
      <c r="P35" s="94"/>
      <c r="Q35" s="94"/>
      <c r="R35" s="94"/>
      <c r="S35" s="94">
        <f>COUNTIF(U4:U34,"○")</f>
        <v>0</v>
      </c>
      <c r="T35" s="94"/>
      <c r="U35" s="94"/>
      <c r="V35" s="94"/>
      <c r="W35" s="94"/>
      <c r="X35" s="94">
        <f>COUNTIF(Z4:Z34,"○")</f>
        <v>0</v>
      </c>
      <c r="Y35" s="94"/>
      <c r="Z35" s="94"/>
      <c r="AA35" s="94"/>
      <c r="AB35" s="94"/>
      <c r="AC35" s="94">
        <f>COUNTIF(AE4:AE34,"○")</f>
        <v>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0</v>
      </c>
      <c r="E37" s="98"/>
      <c r="F37" s="98"/>
      <c r="G37" s="98"/>
      <c r="H37" s="98"/>
      <c r="I37" s="98">
        <f>I35+I36</f>
        <v>0</v>
      </c>
      <c r="J37" s="98"/>
      <c r="K37" s="98"/>
      <c r="L37" s="98"/>
      <c r="M37" s="98"/>
      <c r="N37" s="98">
        <f>N35+N36</f>
        <v>0</v>
      </c>
      <c r="O37" s="98"/>
      <c r="P37" s="98"/>
      <c r="Q37" s="98"/>
      <c r="R37" s="98"/>
      <c r="S37" s="98">
        <f>S35+S36</f>
        <v>0</v>
      </c>
      <c r="T37" s="98"/>
      <c r="U37" s="98"/>
      <c r="V37" s="98"/>
      <c r="W37" s="98"/>
      <c r="X37" s="98">
        <f>X35+X36</f>
        <v>0</v>
      </c>
      <c r="Y37" s="98"/>
      <c r="Z37" s="98"/>
      <c r="AA37" s="98"/>
      <c r="AB37" s="98"/>
      <c r="AC37" s="98">
        <f>AC35+AC36</f>
        <v>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0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127" priority="63">
      <formula>$B4="日"</formula>
    </cfRule>
    <cfRule type="expression" dxfId="126" priority="64">
      <formula>$B4="土"</formula>
    </cfRule>
    <cfRule type="expression" dxfId="125" priority="62">
      <formula>AND($A4&lt;&gt;"",ISNUMBER(MATCH(DATE(対象年度,12,$A4),祝日リスト,0)))</formula>
    </cfRule>
  </conditionalFormatting>
  <conditionalFormatting sqref="D4:D34">
    <cfRule type="expression" dxfId="124" priority="3">
      <formula>$D4="休業"</formula>
    </cfRule>
    <cfRule type="expression" dxfId="123" priority="2">
      <formula>$D4="有給"</formula>
    </cfRule>
  </conditionalFormatting>
  <conditionalFormatting sqref="I4:I34">
    <cfRule type="expression" dxfId="122" priority="4">
      <formula>$I4="有給"</formula>
    </cfRule>
    <cfRule type="expression" dxfId="121" priority="5">
      <formula>$I4="休業"</formula>
    </cfRule>
  </conditionalFormatting>
  <conditionalFormatting sqref="N4:N34">
    <cfRule type="expression" dxfId="120" priority="6">
      <formula>$N4="有給"</formula>
    </cfRule>
    <cfRule type="expression" dxfId="119" priority="7">
      <formula>$N4="休業"</formula>
    </cfRule>
  </conditionalFormatting>
  <conditionalFormatting sqref="S4:S34">
    <cfRule type="expression" dxfId="118" priority="8">
      <formula>$S4="有給"</formula>
    </cfRule>
    <cfRule type="expression" dxfId="117" priority="9">
      <formula>$S4="休業"</formula>
    </cfRule>
  </conditionalFormatting>
  <conditionalFormatting sqref="X4:X34">
    <cfRule type="expression" dxfId="116" priority="10">
      <formula>$X4="有給"</formula>
    </cfRule>
    <cfRule type="expression" dxfId="115" priority="11">
      <formula>$X4="休業"</formula>
    </cfRule>
  </conditionalFormatting>
  <conditionalFormatting sqref="AC4:AC34">
    <cfRule type="expression" dxfId="114" priority="12">
      <formula>$AC4="有給"</formula>
    </cfRule>
    <cfRule type="expression" dxfId="113" priority="13">
      <formula>$AC4="休業"</formula>
    </cfRule>
  </conditionalFormatting>
  <conditionalFormatting sqref="AH4:AH34">
    <cfRule type="expression" dxfId="112" priority="14">
      <formula>$AH4="有給"</formula>
    </cfRule>
    <cfRule type="expression" dxfId="111" priority="15">
      <formula>$AH4="休業"</formula>
    </cfRule>
  </conditionalFormatting>
  <conditionalFormatting sqref="AM4:AM34">
    <cfRule type="expression" dxfId="110" priority="17">
      <formula>$AM4="休業"</formula>
    </cfRule>
    <cfRule type="expression" dxfId="109" priority="16">
      <formula>$AM4="有給"</formula>
    </cfRule>
  </conditionalFormatting>
  <conditionalFormatting sqref="AR4:AR34">
    <cfRule type="expression" dxfId="108" priority="19">
      <formula>$AR4="休業"</formula>
    </cfRule>
    <cfRule type="expression" dxfId="107" priority="18">
      <formula>$AR4="有給"</formula>
    </cfRule>
  </conditionalFormatting>
  <conditionalFormatting sqref="AW4:AW34">
    <cfRule type="expression" dxfId="106" priority="20">
      <formula>$AW4="有給"</formula>
    </cfRule>
    <cfRule type="expression" dxfId="105" priority="21">
      <formula>$AW4="休業"</formula>
    </cfRule>
  </conditionalFormatting>
  <conditionalFormatting sqref="BB4:BB34">
    <cfRule type="expression" dxfId="104" priority="22">
      <formula>$BB4="有給"</formula>
    </cfRule>
    <cfRule type="expression" dxfId="103" priority="23">
      <formula>$BB4="休業"</formula>
    </cfRule>
  </conditionalFormatting>
  <conditionalFormatting sqref="BG4:BG34">
    <cfRule type="expression" dxfId="102" priority="24">
      <formula>$BG4="有給"</formula>
    </cfRule>
    <cfRule type="expression" dxfId="101" priority="25">
      <formula>$BG4="休業"</formula>
    </cfRule>
  </conditionalFormatting>
  <conditionalFormatting sqref="BL4:BL34">
    <cfRule type="expression" dxfId="100" priority="26">
      <formula>$BL4="有給"</formula>
    </cfRule>
    <cfRule type="expression" dxfId="99" priority="27">
      <formula>$BL4="休業"</formula>
    </cfRule>
  </conditionalFormatting>
  <conditionalFormatting sqref="BQ4:BQ34">
    <cfRule type="expression" dxfId="98" priority="28">
      <formula>$BQ4="有給"</formula>
    </cfRule>
    <cfRule type="expression" dxfId="97" priority="29">
      <formula>$BQ4="休業"</formula>
    </cfRule>
  </conditionalFormatting>
  <conditionalFormatting sqref="BV4:BV34">
    <cfRule type="expression" dxfId="96" priority="30">
      <formula>$BV4="有給"</formula>
    </cfRule>
    <cfRule type="expression" dxfId="95" priority="31">
      <formula>$BV4="休業"</formula>
    </cfRule>
  </conditionalFormatting>
  <conditionalFormatting sqref="CA4:CA34">
    <cfRule type="expression" dxfId="94" priority="33">
      <formula>$CA4="休業"</formula>
    </cfRule>
    <cfRule type="expression" dxfId="93" priority="32">
      <formula>$CA4="有給"</formula>
    </cfRule>
  </conditionalFormatting>
  <conditionalFormatting sqref="CF4:CF34">
    <cfRule type="expression" dxfId="92" priority="34">
      <formula>$CF4="有給"</formula>
    </cfRule>
    <cfRule type="expression" dxfId="91" priority="35">
      <formula>$CF4="休業"</formula>
    </cfRule>
  </conditionalFormatting>
  <conditionalFormatting sqref="CK4:CK34">
    <cfRule type="expression" dxfId="90" priority="37">
      <formula>$CK4="休業"</formula>
    </cfRule>
    <cfRule type="expression" dxfId="89" priority="36">
      <formula>$CK4="有給"</formula>
    </cfRule>
  </conditionalFormatting>
  <conditionalFormatting sqref="CP4:CP34">
    <cfRule type="expression" dxfId="88" priority="38">
      <formula>$CP4="有給"</formula>
    </cfRule>
    <cfRule type="expression" dxfId="87" priority="39">
      <formula>$CP4="休業"</formula>
    </cfRule>
  </conditionalFormatting>
  <conditionalFormatting sqref="CU4:CU34">
    <cfRule type="expression" dxfId="86" priority="40">
      <formula>$CU4="有給"</formula>
    </cfRule>
    <cfRule type="expression" dxfId="85" priority="41">
      <formula>$CU4="休業"</formula>
    </cfRule>
  </conditionalFormatting>
  <conditionalFormatting sqref="CZ4:CZ34">
    <cfRule type="expression" dxfId="84" priority="42">
      <formula>$CZ4="有給"</formula>
    </cfRule>
    <cfRule type="expression" dxfId="83" priority="43">
      <formula>$CZ4="休業"</formula>
    </cfRule>
  </conditionalFormatting>
  <conditionalFormatting sqref="DE4:DE34">
    <cfRule type="expression" dxfId="82" priority="44">
      <formula>$DE4="有給"</formula>
    </cfRule>
    <cfRule type="expression" dxfId="81" priority="45">
      <formula>$DE4="休業"</formula>
    </cfRule>
  </conditionalFormatting>
  <conditionalFormatting sqref="DJ4:DJ34">
    <cfRule type="expression" dxfId="80" priority="46">
      <formula>$DJ4="有給"</formula>
    </cfRule>
    <cfRule type="expression" dxfId="79" priority="47">
      <formula>$DJ4="休業"</formula>
    </cfRule>
  </conditionalFormatting>
  <conditionalFormatting sqref="DO4:DO34">
    <cfRule type="expression" dxfId="78" priority="48">
      <formula>$DO4="有給"</formula>
    </cfRule>
    <cfRule type="expression" dxfId="77" priority="49">
      <formula>$DO4="休業"</formula>
    </cfRule>
  </conditionalFormatting>
  <conditionalFormatting sqref="DT4:DT34">
    <cfRule type="expression" dxfId="76" priority="51">
      <formula>$DT4="休業"</formula>
    </cfRule>
    <cfRule type="expression" dxfId="75" priority="50">
      <formula>$DT4="有給"</formula>
    </cfRule>
  </conditionalFormatting>
  <conditionalFormatting sqref="DY4:DY34">
    <cfRule type="expression" dxfId="74" priority="52">
      <formula>$DY4="有給"</formula>
    </cfRule>
    <cfRule type="expression" dxfId="73" priority="53">
      <formula>$DY4="休業"</formula>
    </cfRule>
  </conditionalFormatting>
  <conditionalFormatting sqref="ED4:ED34">
    <cfRule type="expression" dxfId="72" priority="54">
      <formula>$ED4="有給"</formula>
    </cfRule>
    <cfRule type="expression" dxfId="71" priority="55">
      <formula>$ED4="休業"</formula>
    </cfRule>
  </conditionalFormatting>
  <conditionalFormatting sqref="EI4:EI34">
    <cfRule type="expression" dxfId="70" priority="56">
      <formula>$EI4="有給"</formula>
    </cfRule>
    <cfRule type="expression" dxfId="69" priority="57">
      <formula>$EI4="休業"</formula>
    </cfRule>
  </conditionalFormatting>
  <conditionalFormatting sqref="EN4:EN34">
    <cfRule type="expression" dxfId="68" priority="58">
      <formula>$EN4="有給"</formula>
    </cfRule>
    <cfRule type="expression" dxfId="67" priority="59">
      <formula>$EN4="休業"</formula>
    </cfRule>
  </conditionalFormatting>
  <conditionalFormatting sqref="ES4:ES34">
    <cfRule type="expression" dxfId="66" priority="60">
      <formula>$ES4="有給"</formula>
    </cfRule>
    <cfRule type="expression" dxfId="65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E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H39"/>
  <sheetViews>
    <sheetView topLeftCell="A26" zoomScaleNormal="100" workbookViewId="0">
      <selection activeCell="K30" sqref="K30"/>
    </sheetView>
  </sheetViews>
  <sheetFormatPr defaultColWidth="8.7109375" defaultRowHeight="15"/>
  <cols>
    <col min="1" max="1" width="5" customWidth="1"/>
    <col min="2" max="2" width="4" customWidth="1"/>
    <col min="3" max="4" width="14" customWidth="1"/>
    <col min="5" max="6" width="6" customWidth="1"/>
    <col min="7" max="7" width="7" customWidth="1"/>
    <col min="8" max="8" width="12" customWidth="1"/>
  </cols>
  <sheetData>
    <row r="1" spans="1:8" ht="27.75" customHeight="1">
      <c r="A1" s="105" t="s">
        <v>78</v>
      </c>
      <c r="B1" s="105"/>
      <c r="C1" s="105"/>
      <c r="D1" s="105"/>
      <c r="E1" s="105"/>
      <c r="F1" s="105"/>
      <c r="G1" s="105"/>
      <c r="H1" s="105"/>
    </row>
    <row r="2" spans="1:8" ht="18" customHeight="1">
      <c r="A2" s="114" t="s">
        <v>17</v>
      </c>
      <c r="B2" s="114"/>
      <c r="C2" s="114"/>
      <c r="D2" s="114"/>
      <c r="E2" s="114"/>
      <c r="F2" s="114"/>
      <c r="G2" s="114"/>
      <c r="H2" s="114"/>
    </row>
    <row r="3" spans="1:8" ht="27.75" customHeight="1">
      <c r="A3" s="49" t="s">
        <v>79</v>
      </c>
      <c r="B3" s="115" t="str">
        <f>対象年度&amp;"年 "&amp;$B$4&amp;"月"</f>
        <v>2026年 1月</v>
      </c>
      <c r="C3" s="115"/>
      <c r="D3" s="49" t="s">
        <v>80</v>
      </c>
      <c r="E3" s="116" t="s">
        <v>122</v>
      </c>
      <c r="F3" s="116"/>
      <c r="G3" s="116"/>
      <c r="H3" s="116"/>
    </row>
    <row r="4" spans="1:8" ht="19.5" customHeight="1">
      <c r="A4" s="50" t="s">
        <v>81</v>
      </c>
      <c r="B4" s="51">
        <v>1</v>
      </c>
      <c r="C4" s="52" t="s">
        <v>82</v>
      </c>
      <c r="D4" s="53" t="s">
        <v>83</v>
      </c>
      <c r="E4" s="53" t="s">
        <v>84</v>
      </c>
      <c r="F4" s="53" t="s">
        <v>85</v>
      </c>
      <c r="G4" s="117" t="s">
        <v>86</v>
      </c>
      <c r="H4" s="117"/>
    </row>
    <row r="5" spans="1:8" ht="48" customHeight="1">
      <c r="A5" s="111"/>
      <c r="B5" s="111"/>
      <c r="C5" s="111"/>
      <c r="D5" s="54"/>
      <c r="E5" s="54"/>
      <c r="F5" s="54"/>
      <c r="G5" s="54"/>
      <c r="H5" s="54"/>
    </row>
    <row r="6" spans="1:8" ht="21.75" customHeight="1">
      <c r="A6" s="55" t="s">
        <v>66</v>
      </c>
      <c r="B6" s="55" t="s">
        <v>67</v>
      </c>
      <c r="C6" s="55" t="s">
        <v>69</v>
      </c>
      <c r="D6" s="56" t="s">
        <v>70</v>
      </c>
      <c r="E6" s="55" t="s">
        <v>71</v>
      </c>
      <c r="F6" s="55" t="s">
        <v>72</v>
      </c>
      <c r="G6" s="55" t="s">
        <v>73</v>
      </c>
      <c r="H6" s="55" t="s">
        <v>57</v>
      </c>
    </row>
    <row r="7" spans="1:8" ht="15" customHeight="1">
      <c r="A7" s="57">
        <f>IF(DAY(DATE(対象年度,$B$4,1))&lt;&gt;1,"",1)</f>
        <v>1</v>
      </c>
      <c r="B7" s="57" t="str">
        <f>IF(DAY(DATE(対象年度,$B$4,1))&lt;&gt;1,"",CHOOSE(WEEKDAY(DATE(対象年度,$B$4,1),2),"月","火","水","木","金","土","日"))</f>
        <v>木</v>
      </c>
      <c r="C7" s="57" t="str">
        <f ca="1">IFERROR(IF(INDEX(INDIRECT("'"&amp;$B$4&amp;"月"&amp;"'!A:AZ"),4,(4 + (MATCH($E$3,従業員マスタ!$C$4:$C$33,0)-1)*5)+0)="","",INDEX(INDIRECT("'"&amp;$B$4&amp;"月"&amp;"'!A:AZ"),4,(4 + (MATCH($E$3,従業員マスタ!$C$4:$C$33,0)-1)*5)+0)),"")</f>
        <v/>
      </c>
      <c r="D7" s="58" t="str">
        <f ca="1">IFERROR(IF(INDEX(INDIRECT("'"&amp;$B$4&amp;"月"&amp;"'!A:AZ"),4,(4 + (MATCH($E$3,従業員マスタ!$C$4:$C$33,0)-1)*5)+1)="","",INDEX(INDIRECT("'"&amp;$B$4&amp;"月"&amp;"'!A:AZ"),4,(4 + (MATCH($E$3,従業員マスタ!$C$4:$C$33,0)-1)*5)+1)),"")</f>
        <v/>
      </c>
      <c r="E7" s="57" t="str">
        <f ca="1">IFERROR(IF(INDEX(INDIRECT("'"&amp;$B$4&amp;"月"&amp;"'!A:AZ"),4,(4 + (MATCH($E$3,従業員マスタ!$C$4:$C$33,0)-1)*5)+2)="","",INDEX(INDIRECT("'"&amp;$B$4&amp;"月"&amp;"'!A:AZ"),4,(4 + (MATCH($E$3,従業員マスタ!$C$4:$C$33,0)-1)*5)+2)),"")</f>
        <v/>
      </c>
      <c r="F7" s="59" t="str">
        <f ca="1">IFERROR(IF(INDEX(INDIRECT("'"&amp;$B$4&amp;"月"&amp;"'!A:AZ"),4,(4 + (MATCH($E$3,従業員マスタ!$C$4:$C$33,0)-1)*5)+3)="","",INDEX(INDIRECT("'"&amp;$B$4&amp;"月"&amp;"'!A:AZ"),4,(4 + (MATCH($E$3,従業員マスタ!$C$4:$C$33,0)-1)*5)+3)),"")</f>
        <v/>
      </c>
      <c r="G7" s="57" t="str">
        <f ca="1">IFERROR(IF(INDEX(INDIRECT("'"&amp;$B$4&amp;"月"&amp;"'!A:AZ"),4,(4 + (MATCH($E$3,従業員マスタ!$C$4:$C$33,0)-1)*5)+4)="","",INDEX(INDIRECT("'"&amp;$B$4&amp;"月"&amp;"'!A:AZ"),4,(4 + (MATCH($E$3,従業員マスタ!$C$4:$C$33,0)-1)*5)+4)),"")</f>
        <v/>
      </c>
      <c r="H7" s="57"/>
    </row>
    <row r="8" spans="1:8" ht="15" customHeight="1">
      <c r="A8" s="57">
        <f>IF(DAY(DATE(対象年度,$B$4,2))&lt;&gt;2,"",2)</f>
        <v>2</v>
      </c>
      <c r="B8" s="57" t="str">
        <f>IF(DAY(DATE(対象年度,$B$4,2))&lt;&gt;2,"",CHOOSE(WEEKDAY(DATE(対象年度,$B$4,2),2),"月","火","水","木","金","土","日"))</f>
        <v>金</v>
      </c>
      <c r="C8" s="57" t="str">
        <f ca="1">IFERROR(IF(INDEX(INDIRECT("'"&amp;$B$4&amp;"月"&amp;"'!A:AZ"),5,(4 + (MATCH($E$3,従業員マスタ!$C$4:$C$33,0)-1)*5)+0)="","",INDEX(INDIRECT("'"&amp;$B$4&amp;"月"&amp;"'!A:AZ"),5,(4 + (MATCH($E$3,従業員マスタ!$C$4:$C$33,0)-1)*5)+0)),"")</f>
        <v/>
      </c>
      <c r="D8" s="58" t="str">
        <f ca="1">IFERROR(IF(INDEX(INDIRECT("'"&amp;$B$4&amp;"月"&amp;"'!A:AZ"),5,(4 + (MATCH($E$3,従業員マスタ!$C$4:$C$33,0)-1)*5)+1)="","",INDEX(INDIRECT("'"&amp;$B$4&amp;"月"&amp;"'!A:AZ"),5,(4 + (MATCH($E$3,従業員マスタ!$C$4:$C$33,0)-1)*5)+1)),"")</f>
        <v/>
      </c>
      <c r="E8" s="57" t="str">
        <f ca="1">IFERROR(IF(INDEX(INDIRECT("'"&amp;$B$4&amp;"月"&amp;"'!A:AZ"),5,(4 + (MATCH($E$3,従業員マスタ!$C$4:$C$33,0)-1)*5)+2)="","",INDEX(INDIRECT("'"&amp;$B$4&amp;"月"&amp;"'!A:AZ"),5,(4 + (MATCH($E$3,従業員マスタ!$C$4:$C$33,0)-1)*5)+2)),"")</f>
        <v/>
      </c>
      <c r="F8" s="59" t="str">
        <f ca="1">IFERROR(IF(INDEX(INDIRECT("'"&amp;$B$4&amp;"月"&amp;"'!A:AZ"),5,(4 + (MATCH($E$3,従業員マスタ!$C$4:$C$33,0)-1)*5)+3)="","",INDEX(INDIRECT("'"&amp;$B$4&amp;"月"&amp;"'!A:AZ"),5,(4 + (MATCH($E$3,従業員マスタ!$C$4:$C$33,0)-1)*5)+3)),"")</f>
        <v/>
      </c>
      <c r="G8" s="57" t="str">
        <f ca="1">IFERROR(IF(INDEX(INDIRECT("'"&amp;$B$4&amp;"月"&amp;"'!A:AZ"),5,(4 + (MATCH($E$3,従業員マスタ!$C$4:$C$33,0)-1)*5)+4)="","",INDEX(INDIRECT("'"&amp;$B$4&amp;"月"&amp;"'!A:AZ"),5,(4 + (MATCH($E$3,従業員マスタ!$C$4:$C$33,0)-1)*5)+4)),"")</f>
        <v/>
      </c>
      <c r="H8" s="57"/>
    </row>
    <row r="9" spans="1:8" ht="15" customHeight="1">
      <c r="A9" s="57">
        <f>IF(DAY(DATE(対象年度,$B$4,3))&lt;&gt;3,"",3)</f>
        <v>3</v>
      </c>
      <c r="B9" s="57" t="str">
        <f>IF(DAY(DATE(対象年度,$B$4,3))&lt;&gt;3,"",CHOOSE(WEEKDAY(DATE(対象年度,$B$4,3),2),"月","火","水","木","金","土","日"))</f>
        <v>土</v>
      </c>
      <c r="C9" s="57" t="str">
        <f ca="1">IFERROR(IF(INDEX(INDIRECT("'"&amp;$B$4&amp;"月"&amp;"'!A:AZ"),6,(4 + (MATCH($E$3,従業員マスタ!$C$4:$C$33,0)-1)*5)+0)="","",INDEX(INDIRECT("'"&amp;$B$4&amp;"月"&amp;"'!A:AZ"),6,(4 + (MATCH($E$3,従業員マスタ!$C$4:$C$33,0)-1)*5)+0)),"")</f>
        <v/>
      </c>
      <c r="D9" s="58" t="str">
        <f ca="1">IFERROR(IF(INDEX(INDIRECT("'"&amp;$B$4&amp;"月"&amp;"'!A:AZ"),6,(4 + (MATCH($E$3,従業員マスタ!$C$4:$C$33,0)-1)*5)+1)="","",INDEX(INDIRECT("'"&amp;$B$4&amp;"月"&amp;"'!A:AZ"),6,(4 + (MATCH($E$3,従業員マスタ!$C$4:$C$33,0)-1)*5)+1)),"")</f>
        <v/>
      </c>
      <c r="E9" s="57" t="str">
        <f ca="1">IFERROR(IF(INDEX(INDIRECT("'"&amp;$B$4&amp;"月"&amp;"'!A:AZ"),6,(4 + (MATCH($E$3,従業員マスタ!$C$4:$C$33,0)-1)*5)+2)="","",INDEX(INDIRECT("'"&amp;$B$4&amp;"月"&amp;"'!A:AZ"),6,(4 + (MATCH($E$3,従業員マスタ!$C$4:$C$33,0)-1)*5)+2)),"")</f>
        <v/>
      </c>
      <c r="F9" s="59" t="str">
        <f ca="1">IFERROR(IF(INDEX(INDIRECT("'"&amp;$B$4&amp;"月"&amp;"'!A:AZ"),6,(4 + (MATCH($E$3,従業員マスタ!$C$4:$C$33,0)-1)*5)+3)="","",INDEX(INDIRECT("'"&amp;$B$4&amp;"月"&amp;"'!A:AZ"),6,(4 + (MATCH($E$3,従業員マスタ!$C$4:$C$33,0)-1)*5)+3)),"")</f>
        <v/>
      </c>
      <c r="G9" s="57" t="str">
        <f ca="1">IFERROR(IF(INDEX(INDIRECT("'"&amp;$B$4&amp;"月"&amp;"'!A:AZ"),6,(4 + (MATCH($E$3,従業員マスタ!$C$4:$C$33,0)-1)*5)+4)="","",INDEX(INDIRECT("'"&amp;$B$4&amp;"月"&amp;"'!A:AZ"),6,(4 + (MATCH($E$3,従業員マスタ!$C$4:$C$33,0)-1)*5)+4)),"")</f>
        <v/>
      </c>
      <c r="H9" s="57"/>
    </row>
    <row r="10" spans="1:8" ht="15" customHeight="1">
      <c r="A10" s="57">
        <f>IF(DAY(DATE(対象年度,$B$4,4))&lt;&gt;4,"",4)</f>
        <v>4</v>
      </c>
      <c r="B10" s="57" t="str">
        <f>IF(DAY(DATE(対象年度,$B$4,4))&lt;&gt;4,"",CHOOSE(WEEKDAY(DATE(対象年度,$B$4,4),2),"月","火","水","木","金","土","日"))</f>
        <v>日</v>
      </c>
      <c r="C10" s="57" t="str">
        <f ca="1">IFERROR(IF(INDEX(INDIRECT("'"&amp;$B$4&amp;"月"&amp;"'!A:AZ"),7,(4 + (MATCH($E$3,従業員マスタ!$C$4:$C$33,0)-1)*5)+0)="","",INDEX(INDIRECT("'"&amp;$B$4&amp;"月"&amp;"'!A:AZ"),7,(4 + (MATCH($E$3,従業員マスタ!$C$4:$C$33,0)-1)*5)+0)),"")</f>
        <v/>
      </c>
      <c r="D10" s="58" t="str">
        <f ca="1">IFERROR(IF(INDEX(INDIRECT("'"&amp;$B$4&amp;"月"&amp;"'!A:AZ"),7,(4 + (MATCH($E$3,従業員マスタ!$C$4:$C$33,0)-1)*5)+1)="","",INDEX(INDIRECT("'"&amp;$B$4&amp;"月"&amp;"'!A:AZ"),7,(4 + (MATCH($E$3,従業員マスタ!$C$4:$C$33,0)-1)*5)+1)),"")</f>
        <v/>
      </c>
      <c r="E10" s="57" t="str">
        <f ca="1">IFERROR(IF(INDEX(INDIRECT("'"&amp;$B$4&amp;"月"&amp;"'!A:AZ"),7,(4 + (MATCH($E$3,従業員マスタ!$C$4:$C$33,0)-1)*5)+2)="","",INDEX(INDIRECT("'"&amp;$B$4&amp;"月"&amp;"'!A:AZ"),7,(4 + (MATCH($E$3,従業員マスタ!$C$4:$C$33,0)-1)*5)+2)),"")</f>
        <v/>
      </c>
      <c r="F10" s="59" t="str">
        <f ca="1">IFERROR(IF(INDEX(INDIRECT("'"&amp;$B$4&amp;"月"&amp;"'!A:AZ"),7,(4 + (MATCH($E$3,従業員マスタ!$C$4:$C$33,0)-1)*5)+3)="","",INDEX(INDIRECT("'"&amp;$B$4&amp;"月"&amp;"'!A:AZ"),7,(4 + (MATCH($E$3,従業員マスタ!$C$4:$C$33,0)-1)*5)+3)),"")</f>
        <v/>
      </c>
      <c r="G10" s="57" t="str">
        <f ca="1">IFERROR(IF(INDEX(INDIRECT("'"&amp;$B$4&amp;"月"&amp;"'!A:AZ"),7,(4 + (MATCH($E$3,従業員マスタ!$C$4:$C$33,0)-1)*5)+4)="","",INDEX(INDIRECT("'"&amp;$B$4&amp;"月"&amp;"'!A:AZ"),7,(4 + (MATCH($E$3,従業員マスタ!$C$4:$C$33,0)-1)*5)+4)),"")</f>
        <v/>
      </c>
      <c r="H10" s="57"/>
    </row>
    <row r="11" spans="1:8" ht="15" customHeight="1">
      <c r="A11" s="57">
        <f>IF(DAY(DATE(対象年度,$B$4,5))&lt;&gt;5,"",5)</f>
        <v>5</v>
      </c>
      <c r="B11" s="57" t="str">
        <f>IF(DAY(DATE(対象年度,$B$4,5))&lt;&gt;5,"",CHOOSE(WEEKDAY(DATE(対象年度,$B$4,5),2),"月","火","水","木","金","土","日"))</f>
        <v>月</v>
      </c>
      <c r="C11" s="57" t="str">
        <f ca="1">IFERROR(IF(INDEX(INDIRECT("'"&amp;$B$4&amp;"月"&amp;"'!A:AZ"),8,(4 + (MATCH($E$3,従業員マスタ!$C$4:$C$33,0)-1)*5)+0)="","",INDEX(INDIRECT("'"&amp;$B$4&amp;"月"&amp;"'!A:AZ"),8,(4 + (MATCH($E$3,従業員マスタ!$C$4:$C$33,0)-1)*5)+0)),"")</f>
        <v/>
      </c>
      <c r="D11" s="58" t="str">
        <f ca="1">IFERROR(IF(INDEX(INDIRECT("'"&amp;$B$4&amp;"月"&amp;"'!A:AZ"),8,(4 + (MATCH($E$3,従業員マスタ!$C$4:$C$33,0)-1)*5)+1)="","",INDEX(INDIRECT("'"&amp;$B$4&amp;"月"&amp;"'!A:AZ"),8,(4 + (MATCH($E$3,従業員マスタ!$C$4:$C$33,0)-1)*5)+1)),"")</f>
        <v/>
      </c>
      <c r="E11" s="57" t="str">
        <f ca="1">IFERROR(IF(INDEX(INDIRECT("'"&amp;$B$4&amp;"月"&amp;"'!A:AZ"),8,(4 + (MATCH($E$3,従業員マスタ!$C$4:$C$33,0)-1)*5)+2)="","",INDEX(INDIRECT("'"&amp;$B$4&amp;"月"&amp;"'!A:AZ"),8,(4 + (MATCH($E$3,従業員マスタ!$C$4:$C$33,0)-1)*5)+2)),"")</f>
        <v/>
      </c>
      <c r="F11" s="59" t="str">
        <f ca="1">IFERROR(IF(INDEX(INDIRECT("'"&amp;$B$4&amp;"月"&amp;"'!A:AZ"),8,(4 + (MATCH($E$3,従業員マスタ!$C$4:$C$33,0)-1)*5)+3)="","",INDEX(INDIRECT("'"&amp;$B$4&amp;"月"&amp;"'!A:AZ"),8,(4 + (MATCH($E$3,従業員マスタ!$C$4:$C$33,0)-1)*5)+3)),"")</f>
        <v/>
      </c>
      <c r="G11" s="57" t="str">
        <f ca="1">IFERROR(IF(INDEX(INDIRECT("'"&amp;$B$4&amp;"月"&amp;"'!A:AZ"),8,(4 + (MATCH($E$3,従業員マスタ!$C$4:$C$33,0)-1)*5)+4)="","",INDEX(INDIRECT("'"&amp;$B$4&amp;"月"&amp;"'!A:AZ"),8,(4 + (MATCH($E$3,従業員マスタ!$C$4:$C$33,0)-1)*5)+4)),"")</f>
        <v/>
      </c>
      <c r="H11" s="57"/>
    </row>
    <row r="12" spans="1:8" ht="15" customHeight="1">
      <c r="A12" s="57">
        <f>IF(DAY(DATE(対象年度,$B$4,6))&lt;&gt;6,"",6)</f>
        <v>6</v>
      </c>
      <c r="B12" s="57" t="str">
        <f>IF(DAY(DATE(対象年度,$B$4,6))&lt;&gt;6,"",CHOOSE(WEEKDAY(DATE(対象年度,$B$4,6),2),"月","火","水","木","金","土","日"))</f>
        <v>火</v>
      </c>
      <c r="C12" s="57" t="str">
        <f ca="1">IFERROR(IF(INDEX(INDIRECT("'"&amp;$B$4&amp;"月"&amp;"'!A:AZ"),9,(4 + (MATCH($E$3,従業員マスタ!$C$4:$C$33,0)-1)*5)+0)="","",INDEX(INDIRECT("'"&amp;$B$4&amp;"月"&amp;"'!A:AZ"),9,(4 + (MATCH($E$3,従業員マスタ!$C$4:$C$33,0)-1)*5)+0)),"")</f>
        <v/>
      </c>
      <c r="D12" s="58" t="str">
        <f ca="1">IFERROR(IF(INDEX(INDIRECT("'"&amp;$B$4&amp;"月"&amp;"'!A:AZ"),9,(4 + (MATCH($E$3,従業員マスタ!$C$4:$C$33,0)-1)*5)+1)="","",INDEX(INDIRECT("'"&amp;$B$4&amp;"月"&amp;"'!A:AZ"),9,(4 + (MATCH($E$3,従業員マスタ!$C$4:$C$33,0)-1)*5)+1)),"")</f>
        <v/>
      </c>
      <c r="E12" s="57" t="str">
        <f ca="1">IFERROR(IF(INDEX(INDIRECT("'"&amp;$B$4&amp;"月"&amp;"'!A:AZ"),9,(4 + (MATCH($E$3,従業員マスタ!$C$4:$C$33,0)-1)*5)+2)="","",INDEX(INDIRECT("'"&amp;$B$4&amp;"月"&amp;"'!A:AZ"),9,(4 + (MATCH($E$3,従業員マスタ!$C$4:$C$33,0)-1)*5)+2)),"")</f>
        <v/>
      </c>
      <c r="F12" s="59" t="str">
        <f ca="1">IFERROR(IF(INDEX(INDIRECT("'"&amp;$B$4&amp;"月"&amp;"'!A:AZ"),9,(4 + (MATCH($E$3,従業員マスタ!$C$4:$C$33,0)-1)*5)+3)="","",INDEX(INDIRECT("'"&amp;$B$4&amp;"月"&amp;"'!A:AZ"),9,(4 + (MATCH($E$3,従業員マスタ!$C$4:$C$33,0)-1)*5)+3)),"")</f>
        <v/>
      </c>
      <c r="G12" s="57" t="str">
        <f ca="1">IFERROR(IF(INDEX(INDIRECT("'"&amp;$B$4&amp;"月"&amp;"'!A:AZ"),9,(4 + (MATCH($E$3,従業員マスタ!$C$4:$C$33,0)-1)*5)+4)="","",INDEX(INDIRECT("'"&amp;$B$4&amp;"月"&amp;"'!A:AZ"),9,(4 + (MATCH($E$3,従業員マスタ!$C$4:$C$33,0)-1)*5)+4)),"")</f>
        <v/>
      </c>
      <c r="H12" s="57"/>
    </row>
    <row r="13" spans="1:8" ht="15" customHeight="1">
      <c r="A13" s="57">
        <f>IF(DAY(DATE(対象年度,$B$4,7))&lt;&gt;7,"",7)</f>
        <v>7</v>
      </c>
      <c r="B13" s="57" t="str">
        <f>IF(DAY(DATE(対象年度,$B$4,7))&lt;&gt;7,"",CHOOSE(WEEKDAY(DATE(対象年度,$B$4,7),2),"月","火","水","木","金","土","日"))</f>
        <v>水</v>
      </c>
      <c r="C13" s="57" t="str">
        <f ca="1">IFERROR(IF(INDEX(INDIRECT("'"&amp;$B$4&amp;"月"&amp;"'!A:AZ"),10,(4 + (MATCH($E$3,従業員マスタ!$C$4:$C$33,0)-1)*5)+0)="","",INDEX(INDIRECT("'"&amp;$B$4&amp;"月"&amp;"'!A:AZ"),10,(4 + (MATCH($E$3,従業員マスタ!$C$4:$C$33,0)-1)*5)+0)),"")</f>
        <v/>
      </c>
      <c r="D13" s="58" t="str">
        <f ca="1">IFERROR(IF(INDEX(INDIRECT("'"&amp;$B$4&amp;"月"&amp;"'!A:AZ"),10,(4 + (MATCH($E$3,従業員マスタ!$C$4:$C$33,0)-1)*5)+1)="","",INDEX(INDIRECT("'"&amp;$B$4&amp;"月"&amp;"'!A:AZ"),10,(4 + (MATCH($E$3,従業員マスタ!$C$4:$C$33,0)-1)*5)+1)),"")</f>
        <v/>
      </c>
      <c r="E13" s="57" t="str">
        <f ca="1">IFERROR(IF(INDEX(INDIRECT("'"&amp;$B$4&amp;"月"&amp;"'!A:AZ"),10,(4 + (MATCH($E$3,従業員マスタ!$C$4:$C$33,0)-1)*5)+2)="","",INDEX(INDIRECT("'"&amp;$B$4&amp;"月"&amp;"'!A:AZ"),10,(4 + (MATCH($E$3,従業員マスタ!$C$4:$C$33,0)-1)*5)+2)),"")</f>
        <v/>
      </c>
      <c r="F13" s="59" t="str">
        <f ca="1">IFERROR(IF(INDEX(INDIRECT("'"&amp;$B$4&amp;"月"&amp;"'!A:AZ"),10,(4 + (MATCH($E$3,従業員マスタ!$C$4:$C$33,0)-1)*5)+3)="","",INDEX(INDIRECT("'"&amp;$B$4&amp;"月"&amp;"'!A:AZ"),10,(4 + (MATCH($E$3,従業員マスタ!$C$4:$C$33,0)-1)*5)+3)),"")</f>
        <v/>
      </c>
      <c r="G13" s="57" t="str">
        <f ca="1">IFERROR(IF(INDEX(INDIRECT("'"&amp;$B$4&amp;"月"&amp;"'!A:AZ"),10,(4 + (MATCH($E$3,従業員マスタ!$C$4:$C$33,0)-1)*5)+4)="","",INDEX(INDIRECT("'"&amp;$B$4&amp;"月"&amp;"'!A:AZ"),10,(4 + (MATCH($E$3,従業員マスタ!$C$4:$C$33,0)-1)*5)+4)),"")</f>
        <v/>
      </c>
      <c r="H13" s="57"/>
    </row>
    <row r="14" spans="1:8" ht="15" customHeight="1">
      <c r="A14" s="57">
        <f>IF(DAY(DATE(対象年度,$B$4,8))&lt;&gt;8,"",8)</f>
        <v>8</v>
      </c>
      <c r="B14" s="57" t="str">
        <f>IF(DAY(DATE(対象年度,$B$4,8))&lt;&gt;8,"",CHOOSE(WEEKDAY(DATE(対象年度,$B$4,8),2),"月","火","水","木","金","土","日"))</f>
        <v>木</v>
      </c>
      <c r="C14" s="57" t="str">
        <f ca="1">IFERROR(IF(INDEX(INDIRECT("'"&amp;$B$4&amp;"月"&amp;"'!A:AZ"),11,(4 + (MATCH($E$3,従業員マスタ!$C$4:$C$33,0)-1)*5)+0)="","",INDEX(INDIRECT("'"&amp;$B$4&amp;"月"&amp;"'!A:AZ"),11,(4 + (MATCH($E$3,従業員マスタ!$C$4:$C$33,0)-1)*5)+0)),"")</f>
        <v/>
      </c>
      <c r="D14" s="58" t="str">
        <f ca="1">IFERROR(IF(INDEX(INDIRECT("'"&amp;$B$4&amp;"月"&amp;"'!A:AZ"),11,(4 + (MATCH($E$3,従業員マスタ!$C$4:$C$33,0)-1)*5)+1)="","",INDEX(INDIRECT("'"&amp;$B$4&amp;"月"&amp;"'!A:AZ"),11,(4 + (MATCH($E$3,従業員マスタ!$C$4:$C$33,0)-1)*5)+1)),"")</f>
        <v/>
      </c>
      <c r="E14" s="57" t="str">
        <f ca="1">IFERROR(IF(INDEX(INDIRECT("'"&amp;$B$4&amp;"月"&amp;"'!A:AZ"),11,(4 + (MATCH($E$3,従業員マスタ!$C$4:$C$33,0)-1)*5)+2)="","",INDEX(INDIRECT("'"&amp;$B$4&amp;"月"&amp;"'!A:AZ"),11,(4 + (MATCH($E$3,従業員マスタ!$C$4:$C$33,0)-1)*5)+2)),"")</f>
        <v/>
      </c>
      <c r="F14" s="59" t="str">
        <f ca="1">IFERROR(IF(INDEX(INDIRECT("'"&amp;$B$4&amp;"月"&amp;"'!A:AZ"),11,(4 + (MATCH($E$3,従業員マスタ!$C$4:$C$33,0)-1)*5)+3)="","",INDEX(INDIRECT("'"&amp;$B$4&amp;"月"&amp;"'!A:AZ"),11,(4 + (MATCH($E$3,従業員マスタ!$C$4:$C$33,0)-1)*5)+3)),"")</f>
        <v/>
      </c>
      <c r="G14" s="57" t="str">
        <f ca="1">IFERROR(IF(INDEX(INDIRECT("'"&amp;$B$4&amp;"月"&amp;"'!A:AZ"),11,(4 + (MATCH($E$3,従業員マスタ!$C$4:$C$33,0)-1)*5)+4)="","",INDEX(INDIRECT("'"&amp;$B$4&amp;"月"&amp;"'!A:AZ"),11,(4 + (MATCH($E$3,従業員マスタ!$C$4:$C$33,0)-1)*5)+4)),"")</f>
        <v/>
      </c>
      <c r="H14" s="57"/>
    </row>
    <row r="15" spans="1:8" ht="15" customHeight="1">
      <c r="A15" s="57">
        <f>IF(DAY(DATE(対象年度,$B$4,9))&lt;&gt;9,"",9)</f>
        <v>9</v>
      </c>
      <c r="B15" s="57" t="str">
        <f>IF(DAY(DATE(対象年度,$B$4,9))&lt;&gt;9,"",CHOOSE(WEEKDAY(DATE(対象年度,$B$4,9),2),"月","火","水","木","金","土","日"))</f>
        <v>金</v>
      </c>
      <c r="C15" s="57" t="str">
        <f ca="1">IFERROR(IF(INDEX(INDIRECT("'"&amp;$B$4&amp;"月"&amp;"'!A:AZ"),12,(4 + (MATCH($E$3,従業員マスタ!$C$4:$C$33,0)-1)*5)+0)="","",INDEX(INDIRECT("'"&amp;$B$4&amp;"月"&amp;"'!A:AZ"),12,(4 + (MATCH($E$3,従業員マスタ!$C$4:$C$33,0)-1)*5)+0)),"")</f>
        <v/>
      </c>
      <c r="D15" s="58" t="str">
        <f ca="1">IFERROR(IF(INDEX(INDIRECT("'"&amp;$B$4&amp;"月"&amp;"'!A:AZ"),12,(4 + (MATCH($E$3,従業員マスタ!$C$4:$C$33,0)-1)*5)+1)="","",INDEX(INDIRECT("'"&amp;$B$4&amp;"月"&amp;"'!A:AZ"),12,(4 + (MATCH($E$3,従業員マスタ!$C$4:$C$33,0)-1)*5)+1)),"")</f>
        <v/>
      </c>
      <c r="E15" s="57" t="str">
        <f ca="1">IFERROR(IF(INDEX(INDIRECT("'"&amp;$B$4&amp;"月"&amp;"'!A:AZ"),12,(4 + (MATCH($E$3,従業員マスタ!$C$4:$C$33,0)-1)*5)+2)="","",INDEX(INDIRECT("'"&amp;$B$4&amp;"月"&amp;"'!A:AZ"),12,(4 + (MATCH($E$3,従業員マスタ!$C$4:$C$33,0)-1)*5)+2)),"")</f>
        <v/>
      </c>
      <c r="F15" s="59" t="str">
        <f ca="1">IFERROR(IF(INDEX(INDIRECT("'"&amp;$B$4&amp;"月"&amp;"'!A:AZ"),12,(4 + (MATCH($E$3,従業員マスタ!$C$4:$C$33,0)-1)*5)+3)="","",INDEX(INDIRECT("'"&amp;$B$4&amp;"月"&amp;"'!A:AZ"),12,(4 + (MATCH($E$3,従業員マスタ!$C$4:$C$33,0)-1)*5)+3)),"")</f>
        <v/>
      </c>
      <c r="G15" s="57" t="str">
        <f ca="1">IFERROR(IF(INDEX(INDIRECT("'"&amp;$B$4&amp;"月"&amp;"'!A:AZ"),12,(4 + (MATCH($E$3,従業員マスタ!$C$4:$C$33,0)-1)*5)+4)="","",INDEX(INDIRECT("'"&amp;$B$4&amp;"月"&amp;"'!A:AZ"),12,(4 + (MATCH($E$3,従業員マスタ!$C$4:$C$33,0)-1)*5)+4)),"")</f>
        <v/>
      </c>
      <c r="H15" s="57"/>
    </row>
    <row r="16" spans="1:8" ht="15" customHeight="1">
      <c r="A16" s="57">
        <f>IF(DAY(DATE(対象年度,$B$4,10))&lt;&gt;10,"",10)</f>
        <v>10</v>
      </c>
      <c r="B16" s="57" t="str">
        <f>IF(DAY(DATE(対象年度,$B$4,10))&lt;&gt;10,"",CHOOSE(WEEKDAY(DATE(対象年度,$B$4,10),2),"月","火","水","木","金","土","日"))</f>
        <v>土</v>
      </c>
      <c r="C16" s="57" t="str">
        <f ca="1">IFERROR(IF(INDEX(INDIRECT("'"&amp;$B$4&amp;"月"&amp;"'!A:AZ"),13,(4 + (MATCH($E$3,従業員マスタ!$C$4:$C$33,0)-1)*5)+0)="","",INDEX(INDIRECT("'"&amp;$B$4&amp;"月"&amp;"'!A:AZ"),13,(4 + (MATCH($E$3,従業員マスタ!$C$4:$C$33,0)-1)*5)+0)),"")</f>
        <v/>
      </c>
      <c r="D16" s="58" t="str">
        <f ca="1">IFERROR(IF(INDEX(INDIRECT("'"&amp;$B$4&amp;"月"&amp;"'!A:AZ"),13,(4 + (MATCH($E$3,従業員マスタ!$C$4:$C$33,0)-1)*5)+1)="","",INDEX(INDIRECT("'"&amp;$B$4&amp;"月"&amp;"'!A:AZ"),13,(4 + (MATCH($E$3,従業員マスタ!$C$4:$C$33,0)-1)*5)+1)),"")</f>
        <v/>
      </c>
      <c r="E16" s="57" t="str">
        <f ca="1">IFERROR(IF(INDEX(INDIRECT("'"&amp;$B$4&amp;"月"&amp;"'!A:AZ"),13,(4 + (MATCH($E$3,従業員マスタ!$C$4:$C$33,0)-1)*5)+2)="","",INDEX(INDIRECT("'"&amp;$B$4&amp;"月"&amp;"'!A:AZ"),13,(4 + (MATCH($E$3,従業員マスタ!$C$4:$C$33,0)-1)*5)+2)),"")</f>
        <v/>
      </c>
      <c r="F16" s="59" t="str">
        <f ca="1">IFERROR(IF(INDEX(INDIRECT("'"&amp;$B$4&amp;"月"&amp;"'!A:AZ"),13,(4 + (MATCH($E$3,従業員マスタ!$C$4:$C$33,0)-1)*5)+3)="","",INDEX(INDIRECT("'"&amp;$B$4&amp;"月"&amp;"'!A:AZ"),13,(4 + (MATCH($E$3,従業員マスタ!$C$4:$C$33,0)-1)*5)+3)),"")</f>
        <v/>
      </c>
      <c r="G16" s="57" t="str">
        <f ca="1">IFERROR(IF(INDEX(INDIRECT("'"&amp;$B$4&amp;"月"&amp;"'!A:AZ"),13,(4 + (MATCH($E$3,従業員マスタ!$C$4:$C$33,0)-1)*5)+4)="","",INDEX(INDIRECT("'"&amp;$B$4&amp;"月"&amp;"'!A:AZ"),13,(4 + (MATCH($E$3,従業員マスタ!$C$4:$C$33,0)-1)*5)+4)),"")</f>
        <v/>
      </c>
      <c r="H16" s="57"/>
    </row>
    <row r="17" spans="1:8" ht="15" customHeight="1">
      <c r="A17" s="57">
        <f>IF(DAY(DATE(対象年度,$B$4,11))&lt;&gt;11,"",11)</f>
        <v>11</v>
      </c>
      <c r="B17" s="57" t="str">
        <f>IF(DAY(DATE(対象年度,$B$4,11))&lt;&gt;11,"",CHOOSE(WEEKDAY(DATE(対象年度,$B$4,11),2),"月","火","水","木","金","土","日"))</f>
        <v>日</v>
      </c>
      <c r="C17" s="57" t="str">
        <f ca="1">IFERROR(IF(INDEX(INDIRECT("'"&amp;$B$4&amp;"月"&amp;"'!A:AZ"),14,(4 + (MATCH($E$3,従業員マスタ!$C$4:$C$33,0)-1)*5)+0)="","",INDEX(INDIRECT("'"&amp;$B$4&amp;"月"&amp;"'!A:AZ"),14,(4 + (MATCH($E$3,従業員マスタ!$C$4:$C$33,0)-1)*5)+0)),"")</f>
        <v/>
      </c>
      <c r="D17" s="58" t="str">
        <f ca="1">IFERROR(IF(INDEX(INDIRECT("'"&amp;$B$4&amp;"月"&amp;"'!A:AZ"),14,(4 + (MATCH($E$3,従業員マスタ!$C$4:$C$33,0)-1)*5)+1)="","",INDEX(INDIRECT("'"&amp;$B$4&amp;"月"&amp;"'!A:AZ"),14,(4 + (MATCH($E$3,従業員マスタ!$C$4:$C$33,0)-1)*5)+1)),"")</f>
        <v/>
      </c>
      <c r="E17" s="57" t="str">
        <f ca="1">IFERROR(IF(INDEX(INDIRECT("'"&amp;$B$4&amp;"月"&amp;"'!A:AZ"),14,(4 + (MATCH($E$3,従業員マスタ!$C$4:$C$33,0)-1)*5)+2)="","",INDEX(INDIRECT("'"&amp;$B$4&amp;"月"&amp;"'!A:AZ"),14,(4 + (MATCH($E$3,従業員マスタ!$C$4:$C$33,0)-1)*5)+2)),"")</f>
        <v/>
      </c>
      <c r="F17" s="59" t="str">
        <f ca="1">IFERROR(IF(INDEX(INDIRECT("'"&amp;$B$4&amp;"月"&amp;"'!A:AZ"),14,(4 + (MATCH($E$3,従業員マスタ!$C$4:$C$33,0)-1)*5)+3)="","",INDEX(INDIRECT("'"&amp;$B$4&amp;"月"&amp;"'!A:AZ"),14,(4 + (MATCH($E$3,従業員マスタ!$C$4:$C$33,0)-1)*5)+3)),"")</f>
        <v/>
      </c>
      <c r="G17" s="57" t="str">
        <f ca="1">IFERROR(IF(INDEX(INDIRECT("'"&amp;$B$4&amp;"月"&amp;"'!A:AZ"),14,(4 + (MATCH($E$3,従業員マスタ!$C$4:$C$33,0)-1)*5)+4)="","",INDEX(INDIRECT("'"&amp;$B$4&amp;"月"&amp;"'!A:AZ"),14,(4 + (MATCH($E$3,従業員マスタ!$C$4:$C$33,0)-1)*5)+4)),"")</f>
        <v/>
      </c>
      <c r="H17" s="57"/>
    </row>
    <row r="18" spans="1:8" ht="15" customHeight="1">
      <c r="A18" s="57">
        <f>IF(DAY(DATE(対象年度,$B$4,12))&lt;&gt;12,"",12)</f>
        <v>12</v>
      </c>
      <c r="B18" s="57" t="str">
        <f>IF(DAY(DATE(対象年度,$B$4,12))&lt;&gt;12,"",CHOOSE(WEEKDAY(DATE(対象年度,$B$4,12),2),"月","火","水","木","金","土","日"))</f>
        <v>月</v>
      </c>
      <c r="C18" s="57" t="str">
        <f ca="1">IFERROR(IF(INDEX(INDIRECT("'"&amp;$B$4&amp;"月"&amp;"'!A:AZ"),15,(4 + (MATCH($E$3,従業員マスタ!$C$4:$C$33,0)-1)*5)+0)="","",INDEX(INDIRECT("'"&amp;$B$4&amp;"月"&amp;"'!A:AZ"),15,(4 + (MATCH($E$3,従業員マスタ!$C$4:$C$33,0)-1)*5)+0)),"")</f>
        <v/>
      </c>
      <c r="D18" s="58" t="str">
        <f ca="1">IFERROR(IF(INDEX(INDIRECT("'"&amp;$B$4&amp;"月"&amp;"'!A:AZ"),15,(4 + (MATCH($E$3,従業員マスタ!$C$4:$C$33,0)-1)*5)+1)="","",INDEX(INDIRECT("'"&amp;$B$4&amp;"月"&amp;"'!A:AZ"),15,(4 + (MATCH($E$3,従業員マスタ!$C$4:$C$33,0)-1)*5)+1)),"")</f>
        <v/>
      </c>
      <c r="E18" s="57" t="str">
        <f ca="1">IFERROR(IF(INDEX(INDIRECT("'"&amp;$B$4&amp;"月"&amp;"'!A:AZ"),15,(4 + (MATCH($E$3,従業員マスタ!$C$4:$C$33,0)-1)*5)+2)="","",INDEX(INDIRECT("'"&amp;$B$4&amp;"月"&amp;"'!A:AZ"),15,(4 + (MATCH($E$3,従業員マスタ!$C$4:$C$33,0)-1)*5)+2)),"")</f>
        <v/>
      </c>
      <c r="F18" s="59" t="str">
        <f ca="1">IFERROR(IF(INDEX(INDIRECT("'"&amp;$B$4&amp;"月"&amp;"'!A:AZ"),15,(4 + (MATCH($E$3,従業員マスタ!$C$4:$C$33,0)-1)*5)+3)="","",INDEX(INDIRECT("'"&amp;$B$4&amp;"月"&amp;"'!A:AZ"),15,(4 + (MATCH($E$3,従業員マスタ!$C$4:$C$33,0)-1)*5)+3)),"")</f>
        <v/>
      </c>
      <c r="G18" s="57" t="str">
        <f ca="1">IFERROR(IF(INDEX(INDIRECT("'"&amp;$B$4&amp;"月"&amp;"'!A:AZ"),15,(4 + (MATCH($E$3,従業員マスタ!$C$4:$C$33,0)-1)*5)+4)="","",INDEX(INDIRECT("'"&amp;$B$4&amp;"月"&amp;"'!A:AZ"),15,(4 + (MATCH($E$3,従業員マスタ!$C$4:$C$33,0)-1)*5)+4)),"")</f>
        <v/>
      </c>
      <c r="H18" s="57"/>
    </row>
    <row r="19" spans="1:8" ht="15" customHeight="1">
      <c r="A19" s="57">
        <f>IF(DAY(DATE(対象年度,$B$4,13))&lt;&gt;13,"",13)</f>
        <v>13</v>
      </c>
      <c r="B19" s="57" t="str">
        <f>IF(DAY(DATE(対象年度,$B$4,13))&lt;&gt;13,"",CHOOSE(WEEKDAY(DATE(対象年度,$B$4,13),2),"月","火","水","木","金","土","日"))</f>
        <v>火</v>
      </c>
      <c r="C19" s="57" t="str">
        <f ca="1">IFERROR(IF(INDEX(INDIRECT("'"&amp;$B$4&amp;"月"&amp;"'!A:AZ"),16,(4 + (MATCH($E$3,従業員マスタ!$C$4:$C$33,0)-1)*5)+0)="","",INDEX(INDIRECT("'"&amp;$B$4&amp;"月"&amp;"'!A:AZ"),16,(4 + (MATCH($E$3,従業員マスタ!$C$4:$C$33,0)-1)*5)+0)),"")</f>
        <v/>
      </c>
      <c r="D19" s="58" t="str">
        <f ca="1">IFERROR(IF(INDEX(INDIRECT("'"&amp;$B$4&amp;"月"&amp;"'!A:AZ"),16,(4 + (MATCH($E$3,従業員マスタ!$C$4:$C$33,0)-1)*5)+1)="","",INDEX(INDIRECT("'"&amp;$B$4&amp;"月"&amp;"'!A:AZ"),16,(4 + (MATCH($E$3,従業員マスタ!$C$4:$C$33,0)-1)*5)+1)),"")</f>
        <v/>
      </c>
      <c r="E19" s="57" t="str">
        <f ca="1">IFERROR(IF(INDEX(INDIRECT("'"&amp;$B$4&amp;"月"&amp;"'!A:AZ"),16,(4 + (MATCH($E$3,従業員マスタ!$C$4:$C$33,0)-1)*5)+2)="","",INDEX(INDIRECT("'"&amp;$B$4&amp;"月"&amp;"'!A:AZ"),16,(4 + (MATCH($E$3,従業員マスタ!$C$4:$C$33,0)-1)*5)+2)),"")</f>
        <v/>
      </c>
      <c r="F19" s="59" t="str">
        <f ca="1">IFERROR(IF(INDEX(INDIRECT("'"&amp;$B$4&amp;"月"&amp;"'!A:AZ"),16,(4 + (MATCH($E$3,従業員マスタ!$C$4:$C$33,0)-1)*5)+3)="","",INDEX(INDIRECT("'"&amp;$B$4&amp;"月"&amp;"'!A:AZ"),16,(4 + (MATCH($E$3,従業員マスタ!$C$4:$C$33,0)-1)*5)+3)),"")</f>
        <v/>
      </c>
      <c r="G19" s="57" t="str">
        <f ca="1">IFERROR(IF(INDEX(INDIRECT("'"&amp;$B$4&amp;"月"&amp;"'!A:AZ"),16,(4 + (MATCH($E$3,従業員マスタ!$C$4:$C$33,0)-1)*5)+4)="","",INDEX(INDIRECT("'"&amp;$B$4&amp;"月"&amp;"'!A:AZ"),16,(4 + (MATCH($E$3,従業員マスタ!$C$4:$C$33,0)-1)*5)+4)),"")</f>
        <v/>
      </c>
      <c r="H19" s="57"/>
    </row>
    <row r="20" spans="1:8" ht="15" customHeight="1">
      <c r="A20" s="57">
        <f>IF(DAY(DATE(対象年度,$B$4,14))&lt;&gt;14,"",14)</f>
        <v>14</v>
      </c>
      <c r="B20" s="57" t="str">
        <f>IF(DAY(DATE(対象年度,$B$4,14))&lt;&gt;14,"",CHOOSE(WEEKDAY(DATE(対象年度,$B$4,14),2),"月","火","水","木","金","土","日"))</f>
        <v>水</v>
      </c>
      <c r="C20" s="57" t="str">
        <f ca="1">IFERROR(IF(INDEX(INDIRECT("'"&amp;$B$4&amp;"月"&amp;"'!A:AZ"),17,(4 + (MATCH($E$3,従業員マスタ!$C$4:$C$33,0)-1)*5)+0)="","",INDEX(INDIRECT("'"&amp;$B$4&amp;"月"&amp;"'!A:AZ"),17,(4 + (MATCH($E$3,従業員マスタ!$C$4:$C$33,0)-1)*5)+0)),"")</f>
        <v/>
      </c>
      <c r="D20" s="58" t="str">
        <f ca="1">IFERROR(IF(INDEX(INDIRECT("'"&amp;$B$4&amp;"月"&amp;"'!A:AZ"),17,(4 + (MATCH($E$3,従業員マスタ!$C$4:$C$33,0)-1)*5)+1)="","",INDEX(INDIRECT("'"&amp;$B$4&amp;"月"&amp;"'!A:AZ"),17,(4 + (MATCH($E$3,従業員マスタ!$C$4:$C$33,0)-1)*5)+1)),"")</f>
        <v/>
      </c>
      <c r="E20" s="57" t="str">
        <f ca="1">IFERROR(IF(INDEX(INDIRECT("'"&amp;$B$4&amp;"月"&amp;"'!A:AZ"),17,(4 + (MATCH($E$3,従業員マスタ!$C$4:$C$33,0)-1)*5)+2)="","",INDEX(INDIRECT("'"&amp;$B$4&amp;"月"&amp;"'!A:AZ"),17,(4 + (MATCH($E$3,従業員マスタ!$C$4:$C$33,0)-1)*5)+2)),"")</f>
        <v/>
      </c>
      <c r="F20" s="59" t="str">
        <f ca="1">IFERROR(IF(INDEX(INDIRECT("'"&amp;$B$4&amp;"月"&amp;"'!A:AZ"),17,(4 + (MATCH($E$3,従業員マスタ!$C$4:$C$33,0)-1)*5)+3)="","",INDEX(INDIRECT("'"&amp;$B$4&amp;"月"&amp;"'!A:AZ"),17,(4 + (MATCH($E$3,従業員マスタ!$C$4:$C$33,0)-1)*5)+3)),"")</f>
        <v/>
      </c>
      <c r="G20" s="57" t="str">
        <f ca="1">IFERROR(IF(INDEX(INDIRECT("'"&amp;$B$4&amp;"月"&amp;"'!A:AZ"),17,(4 + (MATCH($E$3,従業員マスタ!$C$4:$C$33,0)-1)*5)+4)="","",INDEX(INDIRECT("'"&amp;$B$4&amp;"月"&amp;"'!A:AZ"),17,(4 + (MATCH($E$3,従業員マスタ!$C$4:$C$33,0)-1)*5)+4)),"")</f>
        <v/>
      </c>
      <c r="H20" s="57"/>
    </row>
    <row r="21" spans="1:8" ht="15" customHeight="1">
      <c r="A21" s="57">
        <f>IF(DAY(DATE(対象年度,$B$4,15))&lt;&gt;15,"",15)</f>
        <v>15</v>
      </c>
      <c r="B21" s="57" t="str">
        <f>IF(DAY(DATE(対象年度,$B$4,15))&lt;&gt;15,"",CHOOSE(WEEKDAY(DATE(対象年度,$B$4,15),2),"月","火","水","木","金","土","日"))</f>
        <v>木</v>
      </c>
      <c r="C21" s="57" t="str">
        <f ca="1">IFERROR(IF(INDEX(INDIRECT("'"&amp;$B$4&amp;"月"&amp;"'!A:AZ"),18,(4 + (MATCH($E$3,従業員マスタ!$C$4:$C$33,0)-1)*5)+0)="","",INDEX(INDIRECT("'"&amp;$B$4&amp;"月"&amp;"'!A:AZ"),18,(4 + (MATCH($E$3,従業員マスタ!$C$4:$C$33,0)-1)*5)+0)),"")</f>
        <v/>
      </c>
      <c r="D21" s="58" t="str">
        <f ca="1">IFERROR(IF(INDEX(INDIRECT("'"&amp;$B$4&amp;"月"&amp;"'!A:AZ"),18,(4 + (MATCH($E$3,従業員マスタ!$C$4:$C$33,0)-1)*5)+1)="","",INDEX(INDIRECT("'"&amp;$B$4&amp;"月"&amp;"'!A:AZ"),18,(4 + (MATCH($E$3,従業員マスタ!$C$4:$C$33,0)-1)*5)+1)),"")</f>
        <v/>
      </c>
      <c r="E21" s="57" t="str">
        <f ca="1">IFERROR(IF(INDEX(INDIRECT("'"&amp;$B$4&amp;"月"&amp;"'!A:AZ"),18,(4 + (MATCH($E$3,従業員マスタ!$C$4:$C$33,0)-1)*5)+2)="","",INDEX(INDIRECT("'"&amp;$B$4&amp;"月"&amp;"'!A:AZ"),18,(4 + (MATCH($E$3,従業員マスタ!$C$4:$C$33,0)-1)*5)+2)),"")</f>
        <v/>
      </c>
      <c r="F21" s="59" t="str">
        <f ca="1">IFERROR(IF(INDEX(INDIRECT("'"&amp;$B$4&amp;"月"&amp;"'!A:AZ"),18,(4 + (MATCH($E$3,従業員マスタ!$C$4:$C$33,0)-1)*5)+3)="","",INDEX(INDIRECT("'"&amp;$B$4&amp;"月"&amp;"'!A:AZ"),18,(4 + (MATCH($E$3,従業員マスタ!$C$4:$C$33,0)-1)*5)+3)),"")</f>
        <v/>
      </c>
      <c r="G21" s="57" t="str">
        <f ca="1">IFERROR(IF(INDEX(INDIRECT("'"&amp;$B$4&amp;"月"&amp;"'!A:AZ"),18,(4 + (MATCH($E$3,従業員マスタ!$C$4:$C$33,0)-1)*5)+4)="","",INDEX(INDIRECT("'"&amp;$B$4&amp;"月"&amp;"'!A:AZ"),18,(4 + (MATCH($E$3,従業員マスタ!$C$4:$C$33,0)-1)*5)+4)),"")</f>
        <v/>
      </c>
      <c r="H21" s="57"/>
    </row>
    <row r="22" spans="1:8" ht="15" customHeight="1">
      <c r="A22" s="57">
        <f>IF(DAY(DATE(対象年度,$B$4,16))&lt;&gt;16,"",16)</f>
        <v>16</v>
      </c>
      <c r="B22" s="57" t="str">
        <f>IF(DAY(DATE(対象年度,$B$4,16))&lt;&gt;16,"",CHOOSE(WEEKDAY(DATE(対象年度,$B$4,16),2),"月","火","水","木","金","土","日"))</f>
        <v>金</v>
      </c>
      <c r="C22" s="57" t="str">
        <f ca="1">IFERROR(IF(INDEX(INDIRECT("'"&amp;$B$4&amp;"月"&amp;"'!A:AZ"),19,(4 + (MATCH($E$3,従業員マスタ!$C$4:$C$33,0)-1)*5)+0)="","",INDEX(INDIRECT("'"&amp;$B$4&amp;"月"&amp;"'!A:AZ"),19,(4 + (MATCH($E$3,従業員マスタ!$C$4:$C$33,0)-1)*5)+0)),"")</f>
        <v/>
      </c>
      <c r="D22" s="58" t="str">
        <f ca="1">IFERROR(IF(INDEX(INDIRECT("'"&amp;$B$4&amp;"月"&amp;"'!A:AZ"),19,(4 + (MATCH($E$3,従業員マスタ!$C$4:$C$33,0)-1)*5)+1)="","",INDEX(INDIRECT("'"&amp;$B$4&amp;"月"&amp;"'!A:AZ"),19,(4 + (MATCH($E$3,従業員マスタ!$C$4:$C$33,0)-1)*5)+1)),"")</f>
        <v/>
      </c>
      <c r="E22" s="57" t="str">
        <f ca="1">IFERROR(IF(INDEX(INDIRECT("'"&amp;$B$4&amp;"月"&amp;"'!A:AZ"),19,(4 + (MATCH($E$3,従業員マスタ!$C$4:$C$33,0)-1)*5)+2)="","",INDEX(INDIRECT("'"&amp;$B$4&amp;"月"&amp;"'!A:AZ"),19,(4 + (MATCH($E$3,従業員マスタ!$C$4:$C$33,0)-1)*5)+2)),"")</f>
        <v/>
      </c>
      <c r="F22" s="59" t="str">
        <f ca="1">IFERROR(IF(INDEX(INDIRECT("'"&amp;$B$4&amp;"月"&amp;"'!A:AZ"),19,(4 + (MATCH($E$3,従業員マスタ!$C$4:$C$33,0)-1)*5)+3)="","",INDEX(INDIRECT("'"&amp;$B$4&amp;"月"&amp;"'!A:AZ"),19,(4 + (MATCH($E$3,従業員マスタ!$C$4:$C$33,0)-1)*5)+3)),"")</f>
        <v/>
      </c>
      <c r="G22" s="57" t="str">
        <f ca="1">IFERROR(IF(INDEX(INDIRECT("'"&amp;$B$4&amp;"月"&amp;"'!A:AZ"),19,(4 + (MATCH($E$3,従業員マスタ!$C$4:$C$33,0)-1)*5)+4)="","",INDEX(INDIRECT("'"&amp;$B$4&amp;"月"&amp;"'!A:AZ"),19,(4 + (MATCH($E$3,従業員マスタ!$C$4:$C$33,0)-1)*5)+4)),"")</f>
        <v/>
      </c>
      <c r="H22" s="57"/>
    </row>
    <row r="23" spans="1:8" ht="15" customHeight="1">
      <c r="A23" s="57">
        <f>IF(DAY(DATE(対象年度,$B$4,17))&lt;&gt;17,"",17)</f>
        <v>17</v>
      </c>
      <c r="B23" s="57" t="str">
        <f>IF(DAY(DATE(対象年度,$B$4,17))&lt;&gt;17,"",CHOOSE(WEEKDAY(DATE(対象年度,$B$4,17),2),"月","火","水","木","金","土","日"))</f>
        <v>土</v>
      </c>
      <c r="C23" s="57" t="str">
        <f ca="1">IFERROR(IF(INDEX(INDIRECT("'"&amp;$B$4&amp;"月"&amp;"'!A:AZ"),20,(4 + (MATCH($E$3,従業員マスタ!$C$4:$C$33,0)-1)*5)+0)="","",INDEX(INDIRECT("'"&amp;$B$4&amp;"月"&amp;"'!A:AZ"),20,(4 + (MATCH($E$3,従業員マスタ!$C$4:$C$33,0)-1)*5)+0)),"")</f>
        <v/>
      </c>
      <c r="D23" s="58" t="str">
        <f ca="1">IFERROR(IF(INDEX(INDIRECT("'"&amp;$B$4&amp;"月"&amp;"'!A:AZ"),20,(4 + (MATCH($E$3,従業員マスタ!$C$4:$C$33,0)-1)*5)+1)="","",INDEX(INDIRECT("'"&amp;$B$4&amp;"月"&amp;"'!A:AZ"),20,(4 + (MATCH($E$3,従業員マスタ!$C$4:$C$33,0)-1)*5)+1)),"")</f>
        <v/>
      </c>
      <c r="E23" s="57" t="str">
        <f ca="1">IFERROR(IF(INDEX(INDIRECT("'"&amp;$B$4&amp;"月"&amp;"'!A:AZ"),20,(4 + (MATCH($E$3,従業員マスタ!$C$4:$C$33,0)-1)*5)+2)="","",INDEX(INDIRECT("'"&amp;$B$4&amp;"月"&amp;"'!A:AZ"),20,(4 + (MATCH($E$3,従業員マスタ!$C$4:$C$33,0)-1)*5)+2)),"")</f>
        <v/>
      </c>
      <c r="F23" s="59" t="str">
        <f ca="1">IFERROR(IF(INDEX(INDIRECT("'"&amp;$B$4&amp;"月"&amp;"'!A:AZ"),20,(4 + (MATCH($E$3,従業員マスタ!$C$4:$C$33,0)-1)*5)+3)="","",INDEX(INDIRECT("'"&amp;$B$4&amp;"月"&amp;"'!A:AZ"),20,(4 + (MATCH($E$3,従業員マスタ!$C$4:$C$33,0)-1)*5)+3)),"")</f>
        <v/>
      </c>
      <c r="G23" s="57" t="str">
        <f ca="1">IFERROR(IF(INDEX(INDIRECT("'"&amp;$B$4&amp;"月"&amp;"'!A:AZ"),20,(4 + (MATCH($E$3,従業員マスタ!$C$4:$C$33,0)-1)*5)+4)="","",INDEX(INDIRECT("'"&amp;$B$4&amp;"月"&amp;"'!A:AZ"),20,(4 + (MATCH($E$3,従業員マスタ!$C$4:$C$33,0)-1)*5)+4)),"")</f>
        <v/>
      </c>
      <c r="H23" s="57"/>
    </row>
    <row r="24" spans="1:8" ht="15" customHeight="1">
      <c r="A24" s="57">
        <f>IF(DAY(DATE(対象年度,$B$4,18))&lt;&gt;18,"",18)</f>
        <v>18</v>
      </c>
      <c r="B24" s="57" t="str">
        <f>IF(DAY(DATE(対象年度,$B$4,18))&lt;&gt;18,"",CHOOSE(WEEKDAY(DATE(対象年度,$B$4,18),2),"月","火","水","木","金","土","日"))</f>
        <v>日</v>
      </c>
      <c r="C24" s="57" t="str">
        <f ca="1">IFERROR(IF(INDEX(INDIRECT("'"&amp;$B$4&amp;"月"&amp;"'!A:AZ"),21,(4 + (MATCH($E$3,従業員マスタ!$C$4:$C$33,0)-1)*5)+0)="","",INDEX(INDIRECT("'"&amp;$B$4&amp;"月"&amp;"'!A:AZ"),21,(4 + (MATCH($E$3,従業員マスタ!$C$4:$C$33,0)-1)*5)+0)),"")</f>
        <v/>
      </c>
      <c r="D24" s="58" t="str">
        <f ca="1">IFERROR(IF(INDEX(INDIRECT("'"&amp;$B$4&amp;"月"&amp;"'!A:AZ"),21,(4 + (MATCH($E$3,従業員マスタ!$C$4:$C$33,0)-1)*5)+1)="","",INDEX(INDIRECT("'"&amp;$B$4&amp;"月"&amp;"'!A:AZ"),21,(4 + (MATCH($E$3,従業員マスタ!$C$4:$C$33,0)-1)*5)+1)),"")</f>
        <v/>
      </c>
      <c r="E24" s="57" t="str">
        <f ca="1">IFERROR(IF(INDEX(INDIRECT("'"&amp;$B$4&amp;"月"&amp;"'!A:AZ"),21,(4 + (MATCH($E$3,従業員マスタ!$C$4:$C$33,0)-1)*5)+2)="","",INDEX(INDIRECT("'"&amp;$B$4&amp;"月"&amp;"'!A:AZ"),21,(4 + (MATCH($E$3,従業員マスタ!$C$4:$C$33,0)-1)*5)+2)),"")</f>
        <v/>
      </c>
      <c r="F24" s="59" t="str">
        <f ca="1">IFERROR(IF(INDEX(INDIRECT("'"&amp;$B$4&amp;"月"&amp;"'!A:AZ"),21,(4 + (MATCH($E$3,従業員マスタ!$C$4:$C$33,0)-1)*5)+3)="","",INDEX(INDIRECT("'"&amp;$B$4&amp;"月"&amp;"'!A:AZ"),21,(4 + (MATCH($E$3,従業員マスタ!$C$4:$C$33,0)-1)*5)+3)),"")</f>
        <v/>
      </c>
      <c r="G24" s="57" t="str">
        <f ca="1">IFERROR(IF(INDEX(INDIRECT("'"&amp;$B$4&amp;"月"&amp;"'!A:AZ"),21,(4 + (MATCH($E$3,従業員マスタ!$C$4:$C$33,0)-1)*5)+4)="","",INDEX(INDIRECT("'"&amp;$B$4&amp;"月"&amp;"'!A:AZ"),21,(4 + (MATCH($E$3,従業員マスタ!$C$4:$C$33,0)-1)*5)+4)),"")</f>
        <v/>
      </c>
      <c r="H24" s="57"/>
    </row>
    <row r="25" spans="1:8" ht="15" customHeight="1">
      <c r="A25" s="57">
        <f>IF(DAY(DATE(対象年度,$B$4,19))&lt;&gt;19,"",19)</f>
        <v>19</v>
      </c>
      <c r="B25" s="57" t="str">
        <f>IF(DAY(DATE(対象年度,$B$4,19))&lt;&gt;19,"",CHOOSE(WEEKDAY(DATE(対象年度,$B$4,19),2),"月","火","水","木","金","土","日"))</f>
        <v>月</v>
      </c>
      <c r="C25" s="57" t="str">
        <f ca="1">IFERROR(IF(INDEX(INDIRECT("'"&amp;$B$4&amp;"月"&amp;"'!A:AZ"),22,(4 + (MATCH($E$3,従業員マスタ!$C$4:$C$33,0)-1)*5)+0)="","",INDEX(INDIRECT("'"&amp;$B$4&amp;"月"&amp;"'!A:AZ"),22,(4 + (MATCH($E$3,従業員マスタ!$C$4:$C$33,0)-1)*5)+0)),"")</f>
        <v/>
      </c>
      <c r="D25" s="58" t="str">
        <f ca="1">IFERROR(IF(INDEX(INDIRECT("'"&amp;$B$4&amp;"月"&amp;"'!A:AZ"),22,(4 + (MATCH($E$3,従業員マスタ!$C$4:$C$33,0)-1)*5)+1)="","",INDEX(INDIRECT("'"&amp;$B$4&amp;"月"&amp;"'!A:AZ"),22,(4 + (MATCH($E$3,従業員マスタ!$C$4:$C$33,0)-1)*5)+1)),"")</f>
        <v/>
      </c>
      <c r="E25" s="57" t="str">
        <f ca="1">IFERROR(IF(INDEX(INDIRECT("'"&amp;$B$4&amp;"月"&amp;"'!A:AZ"),22,(4 + (MATCH($E$3,従業員マスタ!$C$4:$C$33,0)-1)*5)+2)="","",INDEX(INDIRECT("'"&amp;$B$4&amp;"月"&amp;"'!A:AZ"),22,(4 + (MATCH($E$3,従業員マスタ!$C$4:$C$33,0)-1)*5)+2)),"")</f>
        <v/>
      </c>
      <c r="F25" s="59" t="str">
        <f ca="1">IFERROR(IF(INDEX(INDIRECT("'"&amp;$B$4&amp;"月"&amp;"'!A:AZ"),22,(4 + (MATCH($E$3,従業員マスタ!$C$4:$C$33,0)-1)*5)+3)="","",INDEX(INDIRECT("'"&amp;$B$4&amp;"月"&amp;"'!A:AZ"),22,(4 + (MATCH($E$3,従業員マスタ!$C$4:$C$33,0)-1)*5)+3)),"")</f>
        <v/>
      </c>
      <c r="G25" s="57" t="str">
        <f ca="1">IFERROR(IF(INDEX(INDIRECT("'"&amp;$B$4&amp;"月"&amp;"'!A:AZ"),22,(4 + (MATCH($E$3,従業員マスタ!$C$4:$C$33,0)-1)*5)+4)="","",INDEX(INDIRECT("'"&amp;$B$4&amp;"月"&amp;"'!A:AZ"),22,(4 + (MATCH($E$3,従業員マスタ!$C$4:$C$33,0)-1)*5)+4)),"")</f>
        <v/>
      </c>
      <c r="H25" s="57"/>
    </row>
    <row r="26" spans="1:8" ht="15" customHeight="1">
      <c r="A26" s="57">
        <f>IF(DAY(DATE(対象年度,$B$4,20))&lt;&gt;20,"",20)</f>
        <v>20</v>
      </c>
      <c r="B26" s="57" t="str">
        <f>IF(DAY(DATE(対象年度,$B$4,20))&lt;&gt;20,"",CHOOSE(WEEKDAY(DATE(対象年度,$B$4,20),2),"月","火","水","木","金","土","日"))</f>
        <v>火</v>
      </c>
      <c r="C26" s="57" t="str">
        <f ca="1">IFERROR(IF(INDEX(INDIRECT("'"&amp;$B$4&amp;"月"&amp;"'!A:AZ"),23,(4 + (MATCH($E$3,従業員マスタ!$C$4:$C$33,0)-1)*5)+0)="","",INDEX(INDIRECT("'"&amp;$B$4&amp;"月"&amp;"'!A:AZ"),23,(4 + (MATCH($E$3,従業員マスタ!$C$4:$C$33,0)-1)*5)+0)),"")</f>
        <v/>
      </c>
      <c r="D26" s="58" t="str">
        <f ca="1">IFERROR(IF(INDEX(INDIRECT("'"&amp;$B$4&amp;"月"&amp;"'!A:AZ"),23,(4 + (MATCH($E$3,従業員マスタ!$C$4:$C$33,0)-1)*5)+1)="","",INDEX(INDIRECT("'"&amp;$B$4&amp;"月"&amp;"'!A:AZ"),23,(4 + (MATCH($E$3,従業員マスタ!$C$4:$C$33,0)-1)*5)+1)),"")</f>
        <v/>
      </c>
      <c r="E26" s="57" t="str">
        <f ca="1">IFERROR(IF(INDEX(INDIRECT("'"&amp;$B$4&amp;"月"&amp;"'!A:AZ"),23,(4 + (MATCH($E$3,従業員マスタ!$C$4:$C$33,0)-1)*5)+2)="","",INDEX(INDIRECT("'"&amp;$B$4&amp;"月"&amp;"'!A:AZ"),23,(4 + (MATCH($E$3,従業員マスタ!$C$4:$C$33,0)-1)*5)+2)),"")</f>
        <v/>
      </c>
      <c r="F26" s="59" t="str">
        <f ca="1">IFERROR(IF(INDEX(INDIRECT("'"&amp;$B$4&amp;"月"&amp;"'!A:AZ"),23,(4 + (MATCH($E$3,従業員マスタ!$C$4:$C$33,0)-1)*5)+3)="","",INDEX(INDIRECT("'"&amp;$B$4&amp;"月"&amp;"'!A:AZ"),23,(4 + (MATCH($E$3,従業員マスタ!$C$4:$C$33,0)-1)*5)+3)),"")</f>
        <v/>
      </c>
      <c r="G26" s="57" t="str">
        <f ca="1">IFERROR(IF(INDEX(INDIRECT("'"&amp;$B$4&amp;"月"&amp;"'!A:AZ"),23,(4 + (MATCH($E$3,従業員マスタ!$C$4:$C$33,0)-1)*5)+4)="","",INDEX(INDIRECT("'"&amp;$B$4&amp;"月"&amp;"'!A:AZ"),23,(4 + (MATCH($E$3,従業員マスタ!$C$4:$C$33,0)-1)*5)+4)),"")</f>
        <v/>
      </c>
      <c r="H26" s="57"/>
    </row>
    <row r="27" spans="1:8" ht="15" customHeight="1">
      <c r="A27" s="57">
        <f>IF(DAY(DATE(対象年度,$B$4,21))&lt;&gt;21,"",21)</f>
        <v>21</v>
      </c>
      <c r="B27" s="57" t="str">
        <f>IF(DAY(DATE(対象年度,$B$4,21))&lt;&gt;21,"",CHOOSE(WEEKDAY(DATE(対象年度,$B$4,21),2),"月","火","水","木","金","土","日"))</f>
        <v>水</v>
      </c>
      <c r="C27" s="57" t="str">
        <f ca="1">IFERROR(IF(INDEX(INDIRECT("'"&amp;$B$4&amp;"月"&amp;"'!A:AZ"),24,(4 + (MATCH($E$3,従業員マスタ!$C$4:$C$33,0)-1)*5)+0)="","",INDEX(INDIRECT("'"&amp;$B$4&amp;"月"&amp;"'!A:AZ"),24,(4 + (MATCH($E$3,従業員マスタ!$C$4:$C$33,0)-1)*5)+0)),"")</f>
        <v>事務所</v>
      </c>
      <c r="D27" s="58" t="str">
        <f ca="1">IFERROR(IF(INDEX(INDIRECT("'"&amp;$B$4&amp;"月"&amp;"'!A:AZ"),24,(4 + (MATCH($E$3,従業員マスタ!$C$4:$C$33,0)-1)*5)+1)="","",INDEX(INDIRECT("'"&amp;$B$4&amp;"月"&amp;"'!A:AZ"),24,(4 + (MATCH($E$3,従業員マスタ!$C$4:$C$33,0)-1)*5)+1)),"")</f>
        <v/>
      </c>
      <c r="E27" s="57" t="str">
        <f ca="1">IFERROR(IF(INDEX(INDIRECT("'"&amp;$B$4&amp;"月"&amp;"'!A:AZ"),24,(4 + (MATCH($E$3,従業員マスタ!$C$4:$C$33,0)-1)*5)+2)="","",INDEX(INDIRECT("'"&amp;$B$4&amp;"月"&amp;"'!A:AZ"),24,(4 + (MATCH($E$3,従業員マスタ!$C$4:$C$33,0)-1)*5)+2)),"")</f>
        <v>○</v>
      </c>
      <c r="F27" s="59" t="str">
        <f ca="1">IFERROR(IF(INDEX(INDIRECT("'"&amp;$B$4&amp;"月"&amp;"'!A:AZ"),24,(4 + (MATCH($E$3,従業員マスタ!$C$4:$C$33,0)-1)*5)+3)="","",INDEX(INDIRECT("'"&amp;$B$4&amp;"月"&amp;"'!A:AZ"),24,(4 + (MATCH($E$3,従業員マスタ!$C$4:$C$33,0)-1)*5)+3)),"")</f>
        <v/>
      </c>
      <c r="G27" s="57" t="str">
        <f ca="1">IFERROR(IF(INDEX(INDIRECT("'"&amp;$B$4&amp;"月"&amp;"'!A:AZ"),24,(4 + (MATCH($E$3,従業員マスタ!$C$4:$C$33,0)-1)*5)+4)="","",INDEX(INDIRECT("'"&amp;$B$4&amp;"月"&amp;"'!A:AZ"),24,(4 + (MATCH($E$3,従業員マスタ!$C$4:$C$33,0)-1)*5)+4)),"")</f>
        <v/>
      </c>
      <c r="H27" s="57"/>
    </row>
    <row r="28" spans="1:8" ht="15" customHeight="1">
      <c r="A28" s="57">
        <f>IF(DAY(DATE(対象年度,$B$4,22))&lt;&gt;22,"",22)</f>
        <v>22</v>
      </c>
      <c r="B28" s="57" t="str">
        <f>IF(DAY(DATE(対象年度,$B$4,22))&lt;&gt;22,"",CHOOSE(WEEKDAY(DATE(対象年度,$B$4,22),2),"月","火","水","木","金","土","日"))</f>
        <v>木</v>
      </c>
      <c r="C28" s="57" t="str">
        <f ca="1">IFERROR(IF(INDEX(INDIRECT("'"&amp;$B$4&amp;"月"&amp;"'!A:AZ"),25,(4 + (MATCH($E$3,従業員マスタ!$C$4:$C$33,0)-1)*5)+0)="","",INDEX(INDIRECT("'"&amp;$B$4&amp;"月"&amp;"'!A:AZ"),25,(4 + (MATCH($E$3,従業員マスタ!$C$4:$C$33,0)-1)*5)+0)),"")</f>
        <v>事務所</v>
      </c>
      <c r="D28" s="58" t="str">
        <f ca="1">IFERROR(IF(INDEX(INDIRECT("'"&amp;$B$4&amp;"月"&amp;"'!A:AZ"),25,(4 + (MATCH($E$3,従業員マスタ!$C$4:$C$33,0)-1)*5)+1)="","",INDEX(INDIRECT("'"&amp;$B$4&amp;"月"&amp;"'!A:AZ"),25,(4 + (MATCH($E$3,従業員マスタ!$C$4:$C$33,0)-1)*5)+1)),"")</f>
        <v/>
      </c>
      <c r="E28" s="57" t="str">
        <f ca="1">IFERROR(IF(INDEX(INDIRECT("'"&amp;$B$4&amp;"月"&amp;"'!A:AZ"),25,(4 + (MATCH($E$3,従業員マスタ!$C$4:$C$33,0)-1)*5)+2)="","",INDEX(INDIRECT("'"&amp;$B$4&amp;"月"&amp;"'!A:AZ"),25,(4 + (MATCH($E$3,従業員マスタ!$C$4:$C$33,0)-1)*5)+2)),"")</f>
        <v>○</v>
      </c>
      <c r="F28" s="59" t="str">
        <f ca="1">IFERROR(IF(INDEX(INDIRECT("'"&amp;$B$4&amp;"月"&amp;"'!A:AZ"),25,(4 + (MATCH($E$3,従業員マスタ!$C$4:$C$33,0)-1)*5)+3)="","",INDEX(INDIRECT("'"&amp;$B$4&amp;"月"&amp;"'!A:AZ"),25,(4 + (MATCH($E$3,従業員マスタ!$C$4:$C$33,0)-1)*5)+3)),"")</f>
        <v/>
      </c>
      <c r="G28" s="57" t="str">
        <f ca="1">IFERROR(IF(INDEX(INDIRECT("'"&amp;$B$4&amp;"月"&amp;"'!A:AZ"),25,(4 + (MATCH($E$3,従業員マスタ!$C$4:$C$33,0)-1)*5)+4)="","",INDEX(INDIRECT("'"&amp;$B$4&amp;"月"&amp;"'!A:AZ"),25,(4 + (MATCH($E$3,従業員マスタ!$C$4:$C$33,0)-1)*5)+4)),"")</f>
        <v/>
      </c>
      <c r="H28" s="57"/>
    </row>
    <row r="29" spans="1:8" ht="15" customHeight="1">
      <c r="A29" s="57">
        <f>IF(DAY(DATE(対象年度,$B$4,23))&lt;&gt;23,"",23)</f>
        <v>23</v>
      </c>
      <c r="B29" s="57" t="str">
        <f>IF(DAY(DATE(対象年度,$B$4,23))&lt;&gt;23,"",CHOOSE(WEEKDAY(DATE(対象年度,$B$4,23),2),"月","火","水","木","金","土","日"))</f>
        <v>金</v>
      </c>
      <c r="C29" s="57" t="str">
        <f ca="1">IFERROR(IF(INDEX(INDIRECT("'"&amp;$B$4&amp;"月"&amp;"'!A:AZ"),26,(4 + (MATCH($E$3,従業員マスタ!$C$4:$C$33,0)-1)*5)+0)="","",INDEX(INDIRECT("'"&amp;$B$4&amp;"月"&amp;"'!A:AZ"),26,(4 + (MATCH($E$3,従業員マスタ!$C$4:$C$33,0)-1)*5)+0)),"")</f>
        <v>事務所</v>
      </c>
      <c r="D29" s="58" t="str">
        <f ca="1">IFERROR(IF(INDEX(INDIRECT("'"&amp;$B$4&amp;"月"&amp;"'!A:AZ"),26,(4 + (MATCH($E$3,従業員マスタ!$C$4:$C$33,0)-1)*5)+1)="","",INDEX(INDIRECT("'"&amp;$B$4&amp;"月"&amp;"'!A:AZ"),26,(4 + (MATCH($E$3,従業員マスタ!$C$4:$C$33,0)-1)*5)+1)),"")</f>
        <v/>
      </c>
      <c r="E29" s="57" t="str">
        <f ca="1">IFERROR(IF(INDEX(INDIRECT("'"&amp;$B$4&amp;"月"&amp;"'!A:AZ"),26,(4 + (MATCH($E$3,従業員マスタ!$C$4:$C$33,0)-1)*5)+2)="","",INDEX(INDIRECT("'"&amp;$B$4&amp;"月"&amp;"'!A:AZ"),26,(4 + (MATCH($E$3,従業員マスタ!$C$4:$C$33,0)-1)*5)+2)),"")</f>
        <v>○</v>
      </c>
      <c r="F29" s="59" t="str">
        <f ca="1">IFERROR(IF(INDEX(INDIRECT("'"&amp;$B$4&amp;"月"&amp;"'!A:AZ"),26,(4 + (MATCH($E$3,従業員マスタ!$C$4:$C$33,0)-1)*5)+3)="","",INDEX(INDIRECT("'"&amp;$B$4&amp;"月"&amp;"'!A:AZ"),26,(4 + (MATCH($E$3,従業員マスタ!$C$4:$C$33,0)-1)*5)+3)),"")</f>
        <v/>
      </c>
      <c r="G29" s="57" t="str">
        <f ca="1">IFERROR(IF(INDEX(INDIRECT("'"&amp;$B$4&amp;"月"&amp;"'!A:AZ"),26,(4 + (MATCH($E$3,従業員マスタ!$C$4:$C$33,0)-1)*5)+4)="","",INDEX(INDIRECT("'"&amp;$B$4&amp;"月"&amp;"'!A:AZ"),26,(4 + (MATCH($E$3,従業員マスタ!$C$4:$C$33,0)-1)*5)+4)),"")</f>
        <v/>
      </c>
      <c r="H29" s="57"/>
    </row>
    <row r="30" spans="1:8" ht="15" customHeight="1">
      <c r="A30" s="57">
        <f>IF(DAY(DATE(対象年度,$B$4,24))&lt;&gt;24,"",24)</f>
        <v>24</v>
      </c>
      <c r="B30" s="57" t="str">
        <f>IF(DAY(DATE(対象年度,$B$4,24))&lt;&gt;24,"",CHOOSE(WEEKDAY(DATE(対象年度,$B$4,24),2),"月","火","水","木","金","土","日"))</f>
        <v>土</v>
      </c>
      <c r="C30" s="57" t="str">
        <f ca="1">IFERROR(IF(INDEX(INDIRECT("'"&amp;$B$4&amp;"月"&amp;"'!A:AZ"),27,(4 + (MATCH($E$3,従業員マスタ!$C$4:$C$33,0)-1)*5)+0)="","",INDEX(INDIRECT("'"&amp;$B$4&amp;"月"&amp;"'!A:AZ"),27,(4 + (MATCH($E$3,従業員マスタ!$C$4:$C$33,0)-1)*5)+0)),"")</f>
        <v/>
      </c>
      <c r="D30" s="58" t="str">
        <f ca="1">IFERROR(IF(INDEX(INDIRECT("'"&amp;$B$4&amp;"月"&amp;"'!A:AZ"),27,(4 + (MATCH($E$3,従業員マスタ!$C$4:$C$33,0)-1)*5)+1)="","",INDEX(INDIRECT("'"&amp;$B$4&amp;"月"&amp;"'!A:AZ"),27,(4 + (MATCH($E$3,従業員マスタ!$C$4:$C$33,0)-1)*5)+1)),"")</f>
        <v/>
      </c>
      <c r="E30" s="57" t="str">
        <f ca="1">IFERROR(IF(INDEX(INDIRECT("'"&amp;$B$4&amp;"月"&amp;"'!A:AZ"),27,(4 + (MATCH($E$3,従業員マスタ!$C$4:$C$33,0)-1)*5)+2)="","",INDEX(INDIRECT("'"&amp;$B$4&amp;"月"&amp;"'!A:AZ"),27,(4 + (MATCH($E$3,従業員マスタ!$C$4:$C$33,0)-1)*5)+2)),"")</f>
        <v/>
      </c>
      <c r="F30" s="59" t="str">
        <f ca="1">IFERROR(IF(INDEX(INDIRECT("'"&amp;$B$4&amp;"月"&amp;"'!A:AZ"),27,(4 + (MATCH($E$3,従業員マスタ!$C$4:$C$33,0)-1)*5)+3)="","",INDEX(INDIRECT("'"&amp;$B$4&amp;"月"&amp;"'!A:AZ"),27,(4 + (MATCH($E$3,従業員マスタ!$C$4:$C$33,0)-1)*5)+3)),"")</f>
        <v/>
      </c>
      <c r="G30" s="57" t="str">
        <f ca="1">IFERROR(IF(INDEX(INDIRECT("'"&amp;$B$4&amp;"月"&amp;"'!A:AZ"),27,(4 + (MATCH($E$3,従業員マスタ!$C$4:$C$33,0)-1)*5)+4)="","",INDEX(INDIRECT("'"&amp;$B$4&amp;"月"&amp;"'!A:AZ"),27,(4 + (MATCH($E$3,従業員マスタ!$C$4:$C$33,0)-1)*5)+4)),"")</f>
        <v/>
      </c>
      <c r="H30" s="57"/>
    </row>
    <row r="31" spans="1:8" ht="15" customHeight="1">
      <c r="A31" s="57">
        <f>IF(DAY(DATE(対象年度,$B$4,25))&lt;&gt;25,"",25)</f>
        <v>25</v>
      </c>
      <c r="B31" s="57" t="str">
        <f>IF(DAY(DATE(対象年度,$B$4,25))&lt;&gt;25,"",CHOOSE(WEEKDAY(DATE(対象年度,$B$4,25),2),"月","火","水","木","金","土","日"))</f>
        <v>日</v>
      </c>
      <c r="C31" s="57" t="str">
        <f ca="1">IFERROR(IF(INDEX(INDIRECT("'"&amp;$B$4&amp;"月"&amp;"'!A:AZ"),28,(4 + (MATCH($E$3,従業員マスタ!$C$4:$C$33,0)-1)*5)+0)="","",INDEX(INDIRECT("'"&amp;$B$4&amp;"月"&amp;"'!A:AZ"),28,(4 + (MATCH($E$3,従業員マスタ!$C$4:$C$33,0)-1)*5)+0)),"")</f>
        <v/>
      </c>
      <c r="D31" s="58" t="str">
        <f ca="1">IFERROR(IF(INDEX(INDIRECT("'"&amp;$B$4&amp;"月"&amp;"'!A:AZ"),28,(4 + (MATCH($E$3,従業員マスタ!$C$4:$C$33,0)-1)*5)+1)="","",INDEX(INDIRECT("'"&amp;$B$4&amp;"月"&amp;"'!A:AZ"),28,(4 + (MATCH($E$3,従業員マスタ!$C$4:$C$33,0)-1)*5)+1)),"")</f>
        <v/>
      </c>
      <c r="E31" s="57" t="str">
        <f ca="1">IFERROR(IF(INDEX(INDIRECT("'"&amp;$B$4&amp;"月"&amp;"'!A:AZ"),28,(4 + (MATCH($E$3,従業員マスタ!$C$4:$C$33,0)-1)*5)+2)="","",INDEX(INDIRECT("'"&amp;$B$4&amp;"月"&amp;"'!A:AZ"),28,(4 + (MATCH($E$3,従業員マスタ!$C$4:$C$33,0)-1)*5)+2)),"")</f>
        <v/>
      </c>
      <c r="F31" s="59" t="str">
        <f ca="1">IFERROR(IF(INDEX(INDIRECT("'"&amp;$B$4&amp;"月"&amp;"'!A:AZ"),28,(4 + (MATCH($E$3,従業員マスタ!$C$4:$C$33,0)-1)*5)+3)="","",INDEX(INDIRECT("'"&amp;$B$4&amp;"月"&amp;"'!A:AZ"),28,(4 + (MATCH($E$3,従業員マスタ!$C$4:$C$33,0)-1)*5)+3)),"")</f>
        <v/>
      </c>
      <c r="G31" s="57" t="str">
        <f ca="1">IFERROR(IF(INDEX(INDIRECT("'"&amp;$B$4&amp;"月"&amp;"'!A:AZ"),28,(4 + (MATCH($E$3,従業員マスタ!$C$4:$C$33,0)-1)*5)+4)="","",INDEX(INDIRECT("'"&amp;$B$4&amp;"月"&amp;"'!A:AZ"),28,(4 + (MATCH($E$3,従業員マスタ!$C$4:$C$33,0)-1)*5)+4)),"")</f>
        <v/>
      </c>
      <c r="H31" s="57"/>
    </row>
    <row r="32" spans="1:8" ht="15" customHeight="1">
      <c r="A32" s="57">
        <f>IF(DAY(DATE(対象年度,$B$4,26))&lt;&gt;26,"",26)</f>
        <v>26</v>
      </c>
      <c r="B32" s="57" t="str">
        <f>IF(DAY(DATE(対象年度,$B$4,26))&lt;&gt;26,"",CHOOSE(WEEKDAY(DATE(対象年度,$B$4,26),2),"月","火","水","木","金","土","日"))</f>
        <v>月</v>
      </c>
      <c r="C32" s="57" t="str">
        <f ca="1">IFERROR(IF(INDEX(INDIRECT("'"&amp;$B$4&amp;"月"&amp;"'!A:AZ"),29,(4 + (MATCH($E$3,従業員マスタ!$C$4:$C$33,0)-1)*5)+0)="","",INDEX(INDIRECT("'"&amp;$B$4&amp;"月"&amp;"'!A:AZ"),29,(4 + (MATCH($E$3,従業員マスタ!$C$4:$C$33,0)-1)*5)+0)),"")</f>
        <v>事務所</v>
      </c>
      <c r="D32" s="58" t="str">
        <f ca="1">IFERROR(IF(INDEX(INDIRECT("'"&amp;$B$4&amp;"月"&amp;"'!A:AZ"),29,(4 + (MATCH($E$3,従業員マスタ!$C$4:$C$33,0)-1)*5)+1)="","",INDEX(INDIRECT("'"&amp;$B$4&amp;"月"&amp;"'!A:AZ"),29,(4 + (MATCH($E$3,従業員マスタ!$C$4:$C$33,0)-1)*5)+1)),"")</f>
        <v/>
      </c>
      <c r="E32" s="57" t="str">
        <f ca="1">IFERROR(IF(INDEX(INDIRECT("'"&amp;$B$4&amp;"月"&amp;"'!A:AZ"),29,(4 + (MATCH($E$3,従業員マスタ!$C$4:$C$33,0)-1)*5)+2)="","",INDEX(INDIRECT("'"&amp;$B$4&amp;"月"&amp;"'!A:AZ"),29,(4 + (MATCH($E$3,従業員マスタ!$C$4:$C$33,0)-1)*5)+2)),"")</f>
        <v>○</v>
      </c>
      <c r="F32" s="59" t="str">
        <f ca="1">IFERROR(IF(INDEX(INDIRECT("'"&amp;$B$4&amp;"月"&amp;"'!A:AZ"),29,(4 + (MATCH($E$3,従業員マスタ!$C$4:$C$33,0)-1)*5)+3)="","",INDEX(INDIRECT("'"&amp;$B$4&amp;"月"&amp;"'!A:AZ"),29,(4 + (MATCH($E$3,従業員マスタ!$C$4:$C$33,0)-1)*5)+3)),"")</f>
        <v/>
      </c>
      <c r="G32" s="57" t="str">
        <f ca="1">IFERROR(IF(INDEX(INDIRECT("'"&amp;$B$4&amp;"月"&amp;"'!A:AZ"),29,(4 + (MATCH($E$3,従業員マスタ!$C$4:$C$33,0)-1)*5)+4)="","",INDEX(INDIRECT("'"&amp;$B$4&amp;"月"&amp;"'!A:AZ"),29,(4 + (MATCH($E$3,従業員マスタ!$C$4:$C$33,0)-1)*5)+4)),"")</f>
        <v/>
      </c>
      <c r="H32" s="57"/>
    </row>
    <row r="33" spans="1:8" ht="15" customHeight="1">
      <c r="A33" s="57">
        <f>IF(DAY(DATE(対象年度,$B$4,27))&lt;&gt;27,"",27)</f>
        <v>27</v>
      </c>
      <c r="B33" s="57" t="str">
        <f>IF(DAY(DATE(対象年度,$B$4,27))&lt;&gt;27,"",CHOOSE(WEEKDAY(DATE(対象年度,$B$4,27),2),"月","火","水","木","金","土","日"))</f>
        <v>火</v>
      </c>
      <c r="C33" s="57" t="str">
        <f ca="1">IFERROR(IF(INDEX(INDIRECT("'"&amp;$B$4&amp;"月"&amp;"'!A:AZ"),30,(4 + (MATCH($E$3,従業員マスタ!$C$4:$C$33,0)-1)*5)+0)="","",INDEX(INDIRECT("'"&amp;$B$4&amp;"月"&amp;"'!A:AZ"),30,(4 + (MATCH($E$3,従業員マスタ!$C$4:$C$33,0)-1)*5)+0)),"")</f>
        <v>事務所</v>
      </c>
      <c r="D33" s="58" t="str">
        <f ca="1">IFERROR(IF(INDEX(INDIRECT("'"&amp;$B$4&amp;"月"&amp;"'!A:AZ"),30,(4 + (MATCH($E$3,従業員マスタ!$C$4:$C$33,0)-1)*5)+1)="","",INDEX(INDIRECT("'"&amp;$B$4&amp;"月"&amp;"'!A:AZ"),30,(4 + (MATCH($E$3,従業員マスタ!$C$4:$C$33,0)-1)*5)+1)),"")</f>
        <v/>
      </c>
      <c r="E33" s="57" t="str">
        <f ca="1">IFERROR(IF(INDEX(INDIRECT("'"&amp;$B$4&amp;"月"&amp;"'!A:AZ"),30,(4 + (MATCH($E$3,従業員マスタ!$C$4:$C$33,0)-1)*5)+2)="","",INDEX(INDIRECT("'"&amp;$B$4&amp;"月"&amp;"'!A:AZ"),30,(4 + (MATCH($E$3,従業員マスタ!$C$4:$C$33,0)-1)*5)+2)),"")</f>
        <v>○</v>
      </c>
      <c r="F33" s="59" t="str">
        <f ca="1">IFERROR(IF(INDEX(INDIRECT("'"&amp;$B$4&amp;"月"&amp;"'!A:AZ"),30,(4 + (MATCH($E$3,従業員マスタ!$C$4:$C$33,0)-1)*5)+3)="","",INDEX(INDIRECT("'"&amp;$B$4&amp;"月"&amp;"'!A:AZ"),30,(4 + (MATCH($E$3,従業員マスタ!$C$4:$C$33,0)-1)*5)+3)),"")</f>
        <v/>
      </c>
      <c r="G33" s="57" t="str">
        <f ca="1">IFERROR(IF(INDEX(INDIRECT("'"&amp;$B$4&amp;"月"&amp;"'!A:AZ"),30,(4 + (MATCH($E$3,従業員マスタ!$C$4:$C$33,0)-1)*5)+4)="","",INDEX(INDIRECT("'"&amp;$B$4&amp;"月"&amp;"'!A:AZ"),30,(4 + (MATCH($E$3,従業員マスタ!$C$4:$C$33,0)-1)*5)+4)),"")</f>
        <v/>
      </c>
      <c r="H33" s="57"/>
    </row>
    <row r="34" spans="1:8" ht="15" customHeight="1">
      <c r="A34" s="57">
        <f>IF(DAY(DATE(対象年度,$B$4,28))&lt;&gt;28,"",28)</f>
        <v>28</v>
      </c>
      <c r="B34" s="57" t="str">
        <f>IF(DAY(DATE(対象年度,$B$4,28))&lt;&gt;28,"",CHOOSE(WEEKDAY(DATE(対象年度,$B$4,28),2),"月","火","水","木","金","土","日"))</f>
        <v>水</v>
      </c>
      <c r="C34" s="57" t="str">
        <f ca="1">IFERROR(IF(INDEX(INDIRECT("'"&amp;$B$4&amp;"月"&amp;"'!A:AZ"),31,(4 + (MATCH($E$3,従業員マスタ!$C$4:$C$33,0)-1)*5)+0)="","",INDEX(INDIRECT("'"&amp;$B$4&amp;"月"&amp;"'!A:AZ"),31,(4 + (MATCH($E$3,従業員マスタ!$C$4:$C$33,0)-1)*5)+0)),"")</f>
        <v>事務所</v>
      </c>
      <c r="D34" s="58" t="str">
        <f ca="1">IFERROR(IF(INDEX(INDIRECT("'"&amp;$B$4&amp;"月"&amp;"'!A:AZ"),31,(4 + (MATCH($E$3,従業員マスタ!$C$4:$C$33,0)-1)*5)+1)="","",INDEX(INDIRECT("'"&amp;$B$4&amp;"月"&amp;"'!A:AZ"),31,(4 + (MATCH($E$3,従業員マスタ!$C$4:$C$33,0)-1)*5)+1)),"")</f>
        <v/>
      </c>
      <c r="E34" s="57" t="str">
        <f ca="1">IFERROR(IF(INDEX(INDIRECT("'"&amp;$B$4&amp;"月"&amp;"'!A:AZ"),31,(4 + (MATCH($E$3,従業員マスタ!$C$4:$C$33,0)-1)*5)+2)="","",INDEX(INDIRECT("'"&amp;$B$4&amp;"月"&amp;"'!A:AZ"),31,(4 + (MATCH($E$3,従業員マスタ!$C$4:$C$33,0)-1)*5)+2)),"")</f>
        <v>○</v>
      </c>
      <c r="F34" s="59" t="str">
        <f ca="1">IFERROR(IF(INDEX(INDIRECT("'"&amp;$B$4&amp;"月"&amp;"'!A:AZ"),31,(4 + (MATCH($E$3,従業員マスタ!$C$4:$C$33,0)-1)*5)+3)="","",INDEX(INDIRECT("'"&amp;$B$4&amp;"月"&amp;"'!A:AZ"),31,(4 + (MATCH($E$3,従業員マスタ!$C$4:$C$33,0)-1)*5)+3)),"")</f>
        <v/>
      </c>
      <c r="G34" s="57" t="str">
        <f ca="1">IFERROR(IF(INDEX(INDIRECT("'"&amp;$B$4&amp;"月"&amp;"'!A:AZ"),31,(4 + (MATCH($E$3,従業員マスタ!$C$4:$C$33,0)-1)*5)+4)="","",INDEX(INDIRECT("'"&amp;$B$4&amp;"月"&amp;"'!A:AZ"),31,(4 + (MATCH($E$3,従業員マスタ!$C$4:$C$33,0)-1)*5)+4)),"")</f>
        <v/>
      </c>
      <c r="H34" s="57"/>
    </row>
    <row r="35" spans="1:8" ht="15" customHeight="1">
      <c r="A35" s="57">
        <f>IF(DAY(DATE(対象年度,$B$4,29))&lt;&gt;29,"",29)</f>
        <v>29</v>
      </c>
      <c r="B35" s="57" t="str">
        <f>IF(DAY(DATE(対象年度,$B$4,29))&lt;&gt;29,"",CHOOSE(WEEKDAY(DATE(対象年度,$B$4,29),2),"月","火","水","木","金","土","日"))</f>
        <v>木</v>
      </c>
      <c r="C35" s="57" t="str">
        <f ca="1">IFERROR(IF(INDEX(INDIRECT("'"&amp;$B$4&amp;"月"&amp;"'!A:AZ"),32,(4 + (MATCH($E$3,従業員マスタ!$C$4:$C$33,0)-1)*5)+0)="","",INDEX(INDIRECT("'"&amp;$B$4&amp;"月"&amp;"'!A:AZ"),32,(4 + (MATCH($E$3,従業員マスタ!$C$4:$C$33,0)-1)*5)+0)),"")</f>
        <v>事務所</v>
      </c>
      <c r="D35" s="58" t="str">
        <f ca="1">IFERROR(IF(INDEX(INDIRECT("'"&amp;$B$4&amp;"月"&amp;"'!A:AZ"),32,(4 + (MATCH($E$3,従業員マスタ!$C$4:$C$33,0)-1)*5)+1)="","",INDEX(INDIRECT("'"&amp;$B$4&amp;"月"&amp;"'!A:AZ"),32,(4 + (MATCH($E$3,従業員マスタ!$C$4:$C$33,0)-1)*5)+1)),"")</f>
        <v/>
      </c>
      <c r="E35" s="57" t="str">
        <f ca="1">IFERROR(IF(INDEX(INDIRECT("'"&amp;$B$4&amp;"月"&amp;"'!A:AZ"),32,(4 + (MATCH($E$3,従業員マスタ!$C$4:$C$33,0)-1)*5)+2)="","",INDEX(INDIRECT("'"&amp;$B$4&amp;"月"&amp;"'!A:AZ"),32,(4 + (MATCH($E$3,従業員マスタ!$C$4:$C$33,0)-1)*5)+2)),"")</f>
        <v>○</v>
      </c>
      <c r="F35" s="59" t="str">
        <f ca="1">IFERROR(IF(INDEX(INDIRECT("'"&amp;$B$4&amp;"月"&amp;"'!A:AZ"),32,(4 + (MATCH($E$3,従業員マスタ!$C$4:$C$33,0)-1)*5)+3)="","",INDEX(INDIRECT("'"&amp;$B$4&amp;"月"&amp;"'!A:AZ"),32,(4 + (MATCH($E$3,従業員マスタ!$C$4:$C$33,0)-1)*5)+3)),"")</f>
        <v/>
      </c>
      <c r="G35" s="57" t="str">
        <f ca="1">IFERROR(IF(INDEX(INDIRECT("'"&amp;$B$4&amp;"月"&amp;"'!A:AZ"),32,(4 + (MATCH($E$3,従業員マスタ!$C$4:$C$33,0)-1)*5)+4)="","",INDEX(INDIRECT("'"&amp;$B$4&amp;"月"&amp;"'!A:AZ"),32,(4 + (MATCH($E$3,従業員マスタ!$C$4:$C$33,0)-1)*5)+4)),"")</f>
        <v/>
      </c>
      <c r="H35" s="57"/>
    </row>
    <row r="36" spans="1:8" ht="15" customHeight="1">
      <c r="A36" s="57">
        <f>IF(DAY(DATE(対象年度,$B$4,30))&lt;&gt;30,"",30)</f>
        <v>30</v>
      </c>
      <c r="B36" s="57" t="str">
        <f>IF(DAY(DATE(対象年度,$B$4,30))&lt;&gt;30,"",CHOOSE(WEEKDAY(DATE(対象年度,$B$4,30),2),"月","火","水","木","金","土","日"))</f>
        <v>金</v>
      </c>
      <c r="C36" s="57" t="str">
        <f ca="1">IFERROR(IF(INDEX(INDIRECT("'"&amp;$B$4&amp;"月"&amp;"'!A:AZ"),33,(4 + (MATCH($E$3,従業員マスタ!$C$4:$C$33,0)-1)*5)+0)="","",INDEX(INDIRECT("'"&amp;$B$4&amp;"月"&amp;"'!A:AZ"),33,(4 + (MATCH($E$3,従業員マスタ!$C$4:$C$33,0)-1)*5)+0)),"")</f>
        <v>事務所</v>
      </c>
      <c r="D36" s="58" t="str">
        <f ca="1">IFERROR(IF(INDEX(INDIRECT("'"&amp;$B$4&amp;"月"&amp;"'!A:AZ"),33,(4 + (MATCH($E$3,従業員マスタ!$C$4:$C$33,0)-1)*5)+1)="","",INDEX(INDIRECT("'"&amp;$B$4&amp;"月"&amp;"'!A:AZ"),33,(4 + (MATCH($E$3,従業員マスタ!$C$4:$C$33,0)-1)*5)+1)),"")</f>
        <v/>
      </c>
      <c r="E36" s="57" t="str">
        <f ca="1">IFERROR(IF(INDEX(INDIRECT("'"&amp;$B$4&amp;"月"&amp;"'!A:AZ"),33,(4 + (MATCH($E$3,従業員マスタ!$C$4:$C$33,0)-1)*5)+2)="","",INDEX(INDIRECT("'"&amp;$B$4&amp;"月"&amp;"'!A:AZ"),33,(4 + (MATCH($E$3,従業員マスタ!$C$4:$C$33,0)-1)*5)+2)),"")</f>
        <v>○</v>
      </c>
      <c r="F36" s="59" t="str">
        <f ca="1">IFERROR(IF(INDEX(INDIRECT("'"&amp;$B$4&amp;"月"&amp;"'!A:AZ"),33,(4 + (MATCH($E$3,従業員マスタ!$C$4:$C$33,0)-1)*5)+3)="","",INDEX(INDIRECT("'"&amp;$B$4&amp;"月"&amp;"'!A:AZ"),33,(4 + (MATCH($E$3,従業員マスタ!$C$4:$C$33,0)-1)*5)+3)),"")</f>
        <v/>
      </c>
      <c r="G36" s="57" t="str">
        <f ca="1">IFERROR(IF(INDEX(INDIRECT("'"&amp;$B$4&amp;"月"&amp;"'!A:AZ"),33,(4 + (MATCH($E$3,従業員マスタ!$C$4:$C$33,0)-1)*5)+4)="","",INDEX(INDIRECT("'"&amp;$B$4&amp;"月"&amp;"'!A:AZ"),33,(4 + (MATCH($E$3,従業員マスタ!$C$4:$C$33,0)-1)*5)+4)),"")</f>
        <v/>
      </c>
      <c r="H36" s="57"/>
    </row>
    <row r="37" spans="1:8" ht="15" customHeight="1">
      <c r="A37" s="57">
        <f>IF(DAY(DATE(対象年度,$B$4,31))&lt;&gt;31,"",31)</f>
        <v>31</v>
      </c>
      <c r="B37" s="57" t="str">
        <f>IF(DAY(DATE(対象年度,$B$4,31))&lt;&gt;31,"",CHOOSE(WEEKDAY(DATE(対象年度,$B$4,31),2),"月","火","水","木","金","土","日"))</f>
        <v>土</v>
      </c>
      <c r="C37" s="57" t="str">
        <f ca="1">IFERROR(IF(INDEX(INDIRECT("'"&amp;$B$4&amp;"月"&amp;"'!A:AZ"),34,(4 + (MATCH($E$3,従業員マスタ!$C$4:$C$33,0)-1)*5)+0)="","",INDEX(INDIRECT("'"&amp;$B$4&amp;"月"&amp;"'!A:AZ"),34,(4 + (MATCH($E$3,従業員マスタ!$C$4:$C$33,0)-1)*5)+0)),"")</f>
        <v/>
      </c>
      <c r="D37" s="58" t="str">
        <f ca="1">IFERROR(IF(INDEX(INDIRECT("'"&amp;$B$4&amp;"月"&amp;"'!A:AZ"),34,(4 + (MATCH($E$3,従業員マスタ!$C$4:$C$33,0)-1)*5)+1)="","",INDEX(INDIRECT("'"&amp;$B$4&amp;"月"&amp;"'!A:AZ"),34,(4 + (MATCH($E$3,従業員マスタ!$C$4:$C$33,0)-1)*5)+1)),"")</f>
        <v/>
      </c>
      <c r="E37" s="57" t="str">
        <f ca="1">IFERROR(IF(INDEX(INDIRECT("'"&amp;$B$4&amp;"月"&amp;"'!A:AZ"),34,(4 + (MATCH($E$3,従業員マスタ!$C$4:$C$33,0)-1)*5)+2)="","",INDEX(INDIRECT("'"&amp;$B$4&amp;"月"&amp;"'!A:AZ"),34,(4 + (MATCH($E$3,従業員マスタ!$C$4:$C$33,0)-1)*5)+2)),"")</f>
        <v/>
      </c>
      <c r="F37" s="59" t="str">
        <f ca="1">IFERROR(IF(INDEX(INDIRECT("'"&amp;$B$4&amp;"月"&amp;"'!A:AZ"),34,(4 + (MATCH($E$3,従業員マスタ!$C$4:$C$33,0)-1)*5)+3)="","",INDEX(INDIRECT("'"&amp;$B$4&amp;"月"&amp;"'!A:AZ"),34,(4 + (MATCH($E$3,従業員マスタ!$C$4:$C$33,0)-1)*5)+3)),"")</f>
        <v/>
      </c>
      <c r="G37" s="57" t="str">
        <f ca="1">IFERROR(IF(INDEX(INDIRECT("'"&amp;$B$4&amp;"月"&amp;"'!A:AZ"),34,(4 + (MATCH($E$3,従業員マスタ!$C$4:$C$33,0)-1)*5)+4)="","",INDEX(INDIRECT("'"&amp;$B$4&amp;"月"&amp;"'!A:AZ"),34,(4 + (MATCH($E$3,従業員マスタ!$C$4:$C$33,0)-1)*5)+4)),"")</f>
        <v/>
      </c>
      <c r="H37" s="57"/>
    </row>
    <row r="38" spans="1:8" ht="21.75" customHeight="1">
      <c r="A38" s="112" t="s">
        <v>87</v>
      </c>
      <c r="B38" s="112"/>
      <c r="C38" s="61" t="s">
        <v>71</v>
      </c>
      <c r="D38" s="62">
        <f ca="1">IFERROR(INDEX(INDIRECT("'"&amp;$B$4&amp;"月"&amp;"'!A:AZ"),35,(4 + (MATCH($E$3,従業員マスタ!$C$4:$C$33,0)-1)*5)),0)</f>
        <v>8</v>
      </c>
      <c r="E38" s="63" t="s">
        <v>72</v>
      </c>
      <c r="F38" s="64">
        <f ca="1">IFERROR(INDEX(INDIRECT("'"&amp;$B$4&amp;"月"&amp;"'!A:AZ"),36,(4 + (MATCH($E$3,従業員マスタ!$C$4:$C$33,0)-1)*5)),0)</f>
        <v>0</v>
      </c>
      <c r="G38" s="61" t="s">
        <v>73</v>
      </c>
      <c r="H38" s="62">
        <f ca="1">IFERROR(INDEX(INDIRECT("'"&amp;$B$4&amp;"月"&amp;"'!A:AZ"),38,(4 + (MATCH($E$3,従業員マスタ!$C$4:$C$33,0)-1)*5)),0)</f>
        <v>0</v>
      </c>
    </row>
    <row r="39" spans="1:8" ht="24" customHeight="1">
      <c r="A39" s="113"/>
      <c r="B39" s="113"/>
      <c r="C39" s="65" t="s">
        <v>76</v>
      </c>
      <c r="D39" s="66">
        <f ca="1">IFERROR(INDEX(INDIRECT("'"&amp;$B$4&amp;"月"&amp;"'!A:AZ"),37,(4 + (MATCH($E$3,従業員マスタ!$C$4:$C$33,0)-1)*5)),0)</f>
        <v>8</v>
      </c>
      <c r="E39" s="67" t="s">
        <v>64</v>
      </c>
      <c r="F39" s="68">
        <f ca="1">IFERROR(INDEX(INDIRECT("'"&amp;$B$4&amp;"月"&amp;"'!A:AZ"),39,(4 + (MATCH($E$3,従業員マスタ!$C$4:$C$33,0)-1)*5)),0)</f>
        <v>0</v>
      </c>
      <c r="G39" s="69" t="s">
        <v>65</v>
      </c>
      <c r="H39" s="70">
        <f ca="1">IFERROR(INDEX(INDIRECT("'"&amp;$B$4&amp;"月"&amp;"'!A:AZ"),40,(4 + (MATCH($E$3,従業員マスタ!$C$4:$C$33,0)-1)*5)),0)</f>
        <v>0</v>
      </c>
    </row>
  </sheetData>
  <mergeCells count="8">
    <mergeCell ref="A5:C5"/>
    <mergeCell ref="A38:B38"/>
    <mergeCell ref="A39:B39"/>
    <mergeCell ref="A1:H1"/>
    <mergeCell ref="A2:H2"/>
    <mergeCell ref="B3:C3"/>
    <mergeCell ref="E3:H3"/>
    <mergeCell ref="G4:H4"/>
  </mergeCells>
  <phoneticPr fontId="43"/>
  <conditionalFormatting sqref="A7:H37">
    <cfRule type="expression" dxfId="64" priority="2">
      <formula>$C7="有給"</formula>
    </cfRule>
    <cfRule type="expression" dxfId="63" priority="3">
      <formula>$C7="休業"</formula>
    </cfRule>
    <cfRule type="expression" dxfId="62" priority="4">
      <formula>AND($A7&lt;&gt;"",ISNUMBER(MATCH(DATE(対象年度,$B$4,$A7),祝日リスト,0)))</formula>
    </cfRule>
    <cfRule type="expression" dxfId="61" priority="5">
      <formula>$B7="日"</formula>
    </cfRule>
    <cfRule type="expression" dxfId="60" priority="6">
      <formula>$B7="土"</formula>
    </cfRule>
  </conditionalFormatting>
  <dataValidations count="1">
    <dataValidation type="list" sqref="B4" xr:uid="{00000000-0002-0000-0F00-000001000000}">
      <formula1>"1,2,3,4,5,6,7,8,9,10,11,12"</formula1>
      <formula2>0</formula2>
    </dataValidation>
  </dataValidations>
  <pageMargins left="0.5" right="0.5" top="0.5" bottom="0.5" header="0.511811023622047" footer="0.511811023622047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xr:uid="{00000000-0002-0000-0F00-000000000000}">
          <x14:formula1>
            <xm:f>従業員マスタ!$C$4:$C$33</xm:f>
          </x14:formula1>
          <x14:formula2>
            <xm:f>0</xm:f>
          </x14:formula2>
          <xm:sqref>E3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H482"/>
  <sheetViews>
    <sheetView topLeftCell="A191" zoomScaleNormal="100" workbookViewId="0">
      <selection sqref="A1:H1"/>
    </sheetView>
  </sheetViews>
  <sheetFormatPr defaultColWidth="8.7109375" defaultRowHeight="15"/>
  <cols>
    <col min="1" max="1" width="5" customWidth="1"/>
    <col min="2" max="2" width="4" customWidth="1"/>
    <col min="3" max="4" width="14" customWidth="1"/>
    <col min="5" max="6" width="6" customWidth="1"/>
    <col min="7" max="7" width="7" customWidth="1"/>
    <col min="8" max="8" width="12" customWidth="1"/>
  </cols>
  <sheetData>
    <row r="1" spans="1:8" ht="27.75" customHeight="1">
      <c r="A1" s="118" t="s">
        <v>88</v>
      </c>
      <c r="B1" s="118"/>
      <c r="C1" s="118"/>
      <c r="D1" s="118"/>
      <c r="E1" s="118"/>
      <c r="F1" s="118"/>
      <c r="G1" s="118"/>
      <c r="H1" s="118"/>
    </row>
    <row r="2" spans="1:8" ht="24" customHeight="1">
      <c r="A2" s="71" t="s">
        <v>89</v>
      </c>
      <c r="B2" s="72">
        <v>1</v>
      </c>
      <c r="C2" s="52" t="s">
        <v>82</v>
      </c>
      <c r="D2" s="119" t="str">
        <f>対象年度&amp;"年"</f>
        <v>2026年</v>
      </c>
      <c r="E2" s="119"/>
      <c r="F2" s="119"/>
      <c r="G2" s="119"/>
      <c r="H2" s="119"/>
    </row>
    <row r="4" spans="1:8" ht="27.75" customHeight="1">
      <c r="A4" s="105" t="s">
        <v>78</v>
      </c>
      <c r="B4" s="105"/>
      <c r="C4" s="105"/>
      <c r="D4" s="105"/>
      <c r="E4" s="105"/>
      <c r="F4" s="105"/>
      <c r="G4" s="105"/>
      <c r="H4" s="105"/>
    </row>
    <row r="5" spans="1:8" ht="18" customHeight="1">
      <c r="A5" s="114" t="s">
        <v>17</v>
      </c>
      <c r="B5" s="114"/>
      <c r="C5" s="114"/>
      <c r="D5" s="114"/>
      <c r="E5" s="114"/>
      <c r="F5" s="114"/>
      <c r="G5" s="114"/>
      <c r="H5" s="114"/>
    </row>
    <row r="6" spans="1:8" ht="27.75" customHeight="1">
      <c r="A6" s="49" t="s">
        <v>79</v>
      </c>
      <c r="B6" s="115" t="str">
        <f>対象年度&amp;"年 "&amp;$B$2&amp;"月"</f>
        <v>2026年 1月</v>
      </c>
      <c r="C6" s="115"/>
      <c r="D6" s="49" t="s">
        <v>80</v>
      </c>
      <c r="E6" s="116" t="str">
        <f>IFERROR(従業員マスタ!$C$4,"")</f>
        <v>建設　太郎</v>
      </c>
      <c r="F6" s="116"/>
      <c r="G6" s="116"/>
      <c r="H6" s="116"/>
    </row>
    <row r="7" spans="1:8" ht="19.5" customHeight="1">
      <c r="A7" s="73" t="s">
        <v>90</v>
      </c>
      <c r="B7" s="53" t="s">
        <v>91</v>
      </c>
      <c r="C7" s="120" t="s">
        <v>84</v>
      </c>
      <c r="D7" s="120"/>
      <c r="E7" s="120" t="s">
        <v>85</v>
      </c>
      <c r="F7" s="120"/>
      <c r="G7" s="117" t="s">
        <v>86</v>
      </c>
      <c r="H7" s="117"/>
    </row>
    <row r="8" spans="1:8" ht="43.5" customHeight="1">
      <c r="A8" s="74"/>
      <c r="B8" s="54"/>
      <c r="C8" s="111"/>
      <c r="D8" s="111"/>
      <c r="E8" s="111"/>
      <c r="F8" s="111"/>
      <c r="G8" s="111"/>
      <c r="H8" s="111"/>
    </row>
    <row r="9" spans="1:8" ht="19.5" customHeight="1">
      <c r="A9" s="55" t="s">
        <v>66</v>
      </c>
      <c r="B9" s="55" t="s">
        <v>67</v>
      </c>
      <c r="C9" s="55" t="s">
        <v>69</v>
      </c>
      <c r="D9" s="56" t="s">
        <v>70</v>
      </c>
      <c r="E9" s="55" t="s">
        <v>71</v>
      </c>
      <c r="F9" s="55" t="s">
        <v>72</v>
      </c>
      <c r="G9" s="55" t="s">
        <v>73</v>
      </c>
      <c r="H9" s="55" t="s">
        <v>57</v>
      </c>
    </row>
    <row r="10" spans="1:8" ht="13.5" customHeight="1">
      <c r="A10" s="57">
        <f>IF(DAY(DATE(対象年度,$B$2,1))&lt;&gt;1,"",1)</f>
        <v>1</v>
      </c>
      <c r="B10" s="57" t="str">
        <f>IF(DAY(DATE(対象年度,$B$2,1))&lt;&gt;1,"",CHOOSE(WEEKDAY(DATE(対象年度,$B$2,1),2),"月","火","水","木","金","土","日"))</f>
        <v>木</v>
      </c>
      <c r="C10" s="57" t="str">
        <f ca="1">IFERROR(IF(INDEX(INDIRECT("'"&amp;$B$2&amp;"月"&amp;"'!A:AZ"),4,4+0)="","",INDEX(INDIRECT("'"&amp;$B$2&amp;"月"&amp;"'!A:AZ"),4,4+0)),"")</f>
        <v/>
      </c>
      <c r="D10" s="58" t="str">
        <f ca="1">IFERROR(IF(INDEX(INDIRECT("'"&amp;$B$2&amp;"月"&amp;"'!A:AZ"),4,4+1)="","",INDEX(INDIRECT("'"&amp;$B$2&amp;"月"&amp;"'!A:AZ"),4,4+1)),"")</f>
        <v/>
      </c>
      <c r="E10" s="57" t="str">
        <f ca="1">IFERROR(IF(INDEX(INDIRECT("'"&amp;$B$2&amp;"月"&amp;"'!A:AZ"),4,4+2)="","",INDEX(INDIRECT("'"&amp;$B$2&amp;"月"&amp;"'!A:AZ"),4,4+2)),"")</f>
        <v/>
      </c>
      <c r="F10" s="59" t="str">
        <f ca="1">IFERROR(IF(INDEX(INDIRECT("'"&amp;$B$2&amp;"月"&amp;"'!A:AZ"),4,4+3)="","",INDEX(INDIRECT("'"&amp;$B$2&amp;"月"&amp;"'!A:AZ"),4,4+3)),"")</f>
        <v/>
      </c>
      <c r="G10" s="57" t="str">
        <f ca="1">IFERROR(IF(INDEX(INDIRECT("'"&amp;$B$2&amp;"月"&amp;"'!A:AZ"),4,4+4)="","",INDEX(INDIRECT("'"&amp;$B$2&amp;"月"&amp;"'!A:AZ"),4,4+4)),"")</f>
        <v/>
      </c>
      <c r="H10" s="57"/>
    </row>
    <row r="11" spans="1:8" ht="13.5" customHeight="1">
      <c r="A11" s="57">
        <f>IF(DAY(DATE(対象年度,$B$2,2))&lt;&gt;2,"",2)</f>
        <v>2</v>
      </c>
      <c r="B11" s="57" t="str">
        <f>IF(DAY(DATE(対象年度,$B$2,2))&lt;&gt;2,"",CHOOSE(WEEKDAY(DATE(対象年度,$B$2,2),2),"月","火","水","木","金","土","日"))</f>
        <v>金</v>
      </c>
      <c r="C11" s="57" t="str">
        <f ca="1">IFERROR(IF(INDEX(INDIRECT("'"&amp;$B$2&amp;"月"&amp;"'!A:AZ"),5,4+0)="","",INDEX(INDIRECT("'"&amp;$B$2&amp;"月"&amp;"'!A:AZ"),5,4+0)),"")</f>
        <v/>
      </c>
      <c r="D11" s="58" t="str">
        <f ca="1">IFERROR(IF(INDEX(INDIRECT("'"&amp;$B$2&amp;"月"&amp;"'!A:AZ"),5,4+1)="","",INDEX(INDIRECT("'"&amp;$B$2&amp;"月"&amp;"'!A:AZ"),5,4+1)),"")</f>
        <v/>
      </c>
      <c r="E11" s="57" t="str">
        <f ca="1">IFERROR(IF(INDEX(INDIRECT("'"&amp;$B$2&amp;"月"&amp;"'!A:AZ"),5,4+2)="","",INDEX(INDIRECT("'"&amp;$B$2&amp;"月"&amp;"'!A:AZ"),5,4+2)),"")</f>
        <v/>
      </c>
      <c r="F11" s="59" t="str">
        <f ca="1">IFERROR(IF(INDEX(INDIRECT("'"&amp;$B$2&amp;"月"&amp;"'!A:AZ"),5,4+3)="","",INDEX(INDIRECT("'"&amp;$B$2&amp;"月"&amp;"'!A:AZ"),5,4+3)),"")</f>
        <v/>
      </c>
      <c r="G11" s="57" t="str">
        <f ca="1">IFERROR(IF(INDEX(INDIRECT("'"&amp;$B$2&amp;"月"&amp;"'!A:AZ"),5,4+4)="","",INDEX(INDIRECT("'"&amp;$B$2&amp;"月"&amp;"'!A:AZ"),5,4+4)),"")</f>
        <v/>
      </c>
      <c r="H11" s="57"/>
    </row>
    <row r="12" spans="1:8" ht="13.5" customHeight="1">
      <c r="A12" s="57">
        <f>IF(DAY(DATE(対象年度,$B$2,3))&lt;&gt;3,"",3)</f>
        <v>3</v>
      </c>
      <c r="B12" s="57" t="str">
        <f>IF(DAY(DATE(対象年度,$B$2,3))&lt;&gt;3,"",CHOOSE(WEEKDAY(DATE(対象年度,$B$2,3),2),"月","火","水","木","金","土","日"))</f>
        <v>土</v>
      </c>
      <c r="C12" s="57" t="str">
        <f ca="1">IFERROR(IF(INDEX(INDIRECT("'"&amp;$B$2&amp;"月"&amp;"'!A:AZ"),6,4+0)="","",INDEX(INDIRECT("'"&amp;$B$2&amp;"月"&amp;"'!A:AZ"),6,4+0)),"")</f>
        <v/>
      </c>
      <c r="D12" s="58" t="str">
        <f ca="1">IFERROR(IF(INDEX(INDIRECT("'"&amp;$B$2&amp;"月"&amp;"'!A:AZ"),6,4+1)="","",INDEX(INDIRECT("'"&amp;$B$2&amp;"月"&amp;"'!A:AZ"),6,4+1)),"")</f>
        <v/>
      </c>
      <c r="E12" s="57" t="str">
        <f ca="1">IFERROR(IF(INDEX(INDIRECT("'"&amp;$B$2&amp;"月"&amp;"'!A:AZ"),6,4+2)="","",INDEX(INDIRECT("'"&amp;$B$2&amp;"月"&amp;"'!A:AZ"),6,4+2)),"")</f>
        <v/>
      </c>
      <c r="F12" s="59" t="str">
        <f ca="1">IFERROR(IF(INDEX(INDIRECT("'"&amp;$B$2&amp;"月"&amp;"'!A:AZ"),6,4+3)="","",INDEX(INDIRECT("'"&amp;$B$2&amp;"月"&amp;"'!A:AZ"),6,4+3)),"")</f>
        <v/>
      </c>
      <c r="G12" s="57" t="str">
        <f ca="1">IFERROR(IF(INDEX(INDIRECT("'"&amp;$B$2&amp;"月"&amp;"'!A:AZ"),6,4+4)="","",INDEX(INDIRECT("'"&amp;$B$2&amp;"月"&amp;"'!A:AZ"),6,4+4)),"")</f>
        <v/>
      </c>
      <c r="H12" s="57"/>
    </row>
    <row r="13" spans="1:8" ht="13.5" customHeight="1">
      <c r="A13" s="57">
        <f>IF(DAY(DATE(対象年度,$B$2,4))&lt;&gt;4,"",4)</f>
        <v>4</v>
      </c>
      <c r="B13" s="57" t="str">
        <f>IF(DAY(DATE(対象年度,$B$2,4))&lt;&gt;4,"",CHOOSE(WEEKDAY(DATE(対象年度,$B$2,4),2),"月","火","水","木","金","土","日"))</f>
        <v>日</v>
      </c>
      <c r="C13" s="57" t="str">
        <f ca="1">IFERROR(IF(INDEX(INDIRECT("'"&amp;$B$2&amp;"月"&amp;"'!A:AZ"),7,4+0)="","",INDEX(INDIRECT("'"&amp;$B$2&amp;"月"&amp;"'!A:AZ"),7,4+0)),"")</f>
        <v/>
      </c>
      <c r="D13" s="58" t="str">
        <f ca="1">IFERROR(IF(INDEX(INDIRECT("'"&amp;$B$2&amp;"月"&amp;"'!A:AZ"),7,4+1)="","",INDEX(INDIRECT("'"&amp;$B$2&amp;"月"&amp;"'!A:AZ"),7,4+1)),"")</f>
        <v/>
      </c>
      <c r="E13" s="57" t="str">
        <f ca="1">IFERROR(IF(INDEX(INDIRECT("'"&amp;$B$2&amp;"月"&amp;"'!A:AZ"),7,4+2)="","",INDEX(INDIRECT("'"&amp;$B$2&amp;"月"&amp;"'!A:AZ"),7,4+2)),"")</f>
        <v/>
      </c>
      <c r="F13" s="59" t="str">
        <f ca="1">IFERROR(IF(INDEX(INDIRECT("'"&amp;$B$2&amp;"月"&amp;"'!A:AZ"),7,4+3)="","",INDEX(INDIRECT("'"&amp;$B$2&amp;"月"&amp;"'!A:AZ"),7,4+3)),"")</f>
        <v/>
      </c>
      <c r="G13" s="57" t="str">
        <f ca="1">IFERROR(IF(INDEX(INDIRECT("'"&amp;$B$2&amp;"月"&amp;"'!A:AZ"),7,4+4)="","",INDEX(INDIRECT("'"&amp;$B$2&amp;"月"&amp;"'!A:AZ"),7,4+4)),"")</f>
        <v/>
      </c>
      <c r="H13" s="57"/>
    </row>
    <row r="14" spans="1:8" ht="13.5" customHeight="1">
      <c r="A14" s="57">
        <f>IF(DAY(DATE(対象年度,$B$2,5))&lt;&gt;5,"",5)</f>
        <v>5</v>
      </c>
      <c r="B14" s="57" t="str">
        <f>IF(DAY(DATE(対象年度,$B$2,5))&lt;&gt;5,"",CHOOSE(WEEKDAY(DATE(対象年度,$B$2,5),2),"月","火","水","木","金","土","日"))</f>
        <v>月</v>
      </c>
      <c r="C14" s="57" t="str">
        <f ca="1">IFERROR(IF(INDEX(INDIRECT("'"&amp;$B$2&amp;"月"&amp;"'!A:AZ"),8,4+0)="","",INDEX(INDIRECT("'"&amp;$B$2&amp;"月"&amp;"'!A:AZ"),8,4+0)),"")</f>
        <v/>
      </c>
      <c r="D14" s="58" t="str">
        <f ca="1">IFERROR(IF(INDEX(INDIRECT("'"&amp;$B$2&amp;"月"&amp;"'!A:AZ"),8,4+1)="","",INDEX(INDIRECT("'"&amp;$B$2&amp;"月"&amp;"'!A:AZ"),8,4+1)),"")</f>
        <v/>
      </c>
      <c r="E14" s="57" t="str">
        <f ca="1">IFERROR(IF(INDEX(INDIRECT("'"&amp;$B$2&amp;"月"&amp;"'!A:AZ"),8,4+2)="","",INDEX(INDIRECT("'"&amp;$B$2&amp;"月"&amp;"'!A:AZ"),8,4+2)),"")</f>
        <v/>
      </c>
      <c r="F14" s="59" t="str">
        <f ca="1">IFERROR(IF(INDEX(INDIRECT("'"&amp;$B$2&amp;"月"&amp;"'!A:AZ"),8,4+3)="","",INDEX(INDIRECT("'"&amp;$B$2&amp;"月"&amp;"'!A:AZ"),8,4+3)),"")</f>
        <v/>
      </c>
      <c r="G14" s="57" t="str">
        <f ca="1">IFERROR(IF(INDEX(INDIRECT("'"&amp;$B$2&amp;"月"&amp;"'!A:AZ"),8,4+4)="","",INDEX(INDIRECT("'"&amp;$B$2&amp;"月"&amp;"'!A:AZ"),8,4+4)),"")</f>
        <v/>
      </c>
      <c r="H14" s="57"/>
    </row>
    <row r="15" spans="1:8" ht="13.5" customHeight="1">
      <c r="A15" s="57">
        <f>IF(DAY(DATE(対象年度,$B$2,6))&lt;&gt;6,"",6)</f>
        <v>6</v>
      </c>
      <c r="B15" s="57" t="str">
        <f>IF(DAY(DATE(対象年度,$B$2,6))&lt;&gt;6,"",CHOOSE(WEEKDAY(DATE(対象年度,$B$2,6),2),"月","火","水","木","金","土","日"))</f>
        <v>火</v>
      </c>
      <c r="C15" s="57" t="str">
        <f ca="1">IFERROR(IF(INDEX(INDIRECT("'"&amp;$B$2&amp;"月"&amp;"'!A:AZ"),9,4+0)="","",INDEX(INDIRECT("'"&amp;$B$2&amp;"月"&amp;"'!A:AZ"),9,4+0)),"")</f>
        <v/>
      </c>
      <c r="D15" s="58" t="str">
        <f ca="1">IFERROR(IF(INDEX(INDIRECT("'"&amp;$B$2&amp;"月"&amp;"'!A:AZ"),9,4+1)="","",INDEX(INDIRECT("'"&amp;$B$2&amp;"月"&amp;"'!A:AZ"),9,4+1)),"")</f>
        <v/>
      </c>
      <c r="E15" s="57" t="str">
        <f ca="1">IFERROR(IF(INDEX(INDIRECT("'"&amp;$B$2&amp;"月"&amp;"'!A:AZ"),9,4+2)="","",INDEX(INDIRECT("'"&amp;$B$2&amp;"月"&amp;"'!A:AZ"),9,4+2)),"")</f>
        <v/>
      </c>
      <c r="F15" s="59" t="str">
        <f ca="1">IFERROR(IF(INDEX(INDIRECT("'"&amp;$B$2&amp;"月"&amp;"'!A:AZ"),9,4+3)="","",INDEX(INDIRECT("'"&amp;$B$2&amp;"月"&amp;"'!A:AZ"),9,4+3)),"")</f>
        <v/>
      </c>
      <c r="G15" s="57" t="str">
        <f ca="1">IFERROR(IF(INDEX(INDIRECT("'"&amp;$B$2&amp;"月"&amp;"'!A:AZ"),9,4+4)="","",INDEX(INDIRECT("'"&amp;$B$2&amp;"月"&amp;"'!A:AZ"),9,4+4)),"")</f>
        <v/>
      </c>
      <c r="H15" s="57"/>
    </row>
    <row r="16" spans="1:8" ht="13.5" customHeight="1">
      <c r="A16" s="57">
        <f>IF(DAY(DATE(対象年度,$B$2,7))&lt;&gt;7,"",7)</f>
        <v>7</v>
      </c>
      <c r="B16" s="57" t="str">
        <f>IF(DAY(DATE(対象年度,$B$2,7))&lt;&gt;7,"",CHOOSE(WEEKDAY(DATE(対象年度,$B$2,7),2),"月","火","水","木","金","土","日"))</f>
        <v>水</v>
      </c>
      <c r="C16" s="57" t="str">
        <f ca="1">IFERROR(IF(INDEX(INDIRECT("'"&amp;$B$2&amp;"月"&amp;"'!A:AZ"),10,4+0)="","",INDEX(INDIRECT("'"&amp;$B$2&amp;"月"&amp;"'!A:AZ"),10,4+0)),"")</f>
        <v/>
      </c>
      <c r="D16" s="58" t="str">
        <f ca="1">IFERROR(IF(INDEX(INDIRECT("'"&amp;$B$2&amp;"月"&amp;"'!A:AZ"),10,4+1)="","",INDEX(INDIRECT("'"&amp;$B$2&amp;"月"&amp;"'!A:AZ"),10,4+1)),"")</f>
        <v/>
      </c>
      <c r="E16" s="57" t="str">
        <f ca="1">IFERROR(IF(INDEX(INDIRECT("'"&amp;$B$2&amp;"月"&amp;"'!A:AZ"),10,4+2)="","",INDEX(INDIRECT("'"&amp;$B$2&amp;"月"&amp;"'!A:AZ"),10,4+2)),"")</f>
        <v/>
      </c>
      <c r="F16" s="59" t="str">
        <f ca="1">IFERROR(IF(INDEX(INDIRECT("'"&amp;$B$2&amp;"月"&amp;"'!A:AZ"),10,4+3)="","",INDEX(INDIRECT("'"&amp;$B$2&amp;"月"&amp;"'!A:AZ"),10,4+3)),"")</f>
        <v/>
      </c>
      <c r="G16" s="57" t="str">
        <f ca="1">IFERROR(IF(INDEX(INDIRECT("'"&amp;$B$2&amp;"月"&amp;"'!A:AZ"),10,4+4)="","",INDEX(INDIRECT("'"&amp;$B$2&amp;"月"&amp;"'!A:AZ"),10,4+4)),"")</f>
        <v/>
      </c>
      <c r="H16" s="57"/>
    </row>
    <row r="17" spans="1:8" ht="13.5" customHeight="1">
      <c r="A17" s="57">
        <f>IF(DAY(DATE(対象年度,$B$2,8))&lt;&gt;8,"",8)</f>
        <v>8</v>
      </c>
      <c r="B17" s="57" t="str">
        <f>IF(DAY(DATE(対象年度,$B$2,8))&lt;&gt;8,"",CHOOSE(WEEKDAY(DATE(対象年度,$B$2,8),2),"月","火","水","木","金","土","日"))</f>
        <v>木</v>
      </c>
      <c r="C17" s="57" t="str">
        <f ca="1">IFERROR(IF(INDEX(INDIRECT("'"&amp;$B$2&amp;"月"&amp;"'!A:AZ"),11,4+0)="","",INDEX(INDIRECT("'"&amp;$B$2&amp;"月"&amp;"'!A:AZ"),11,4+0)),"")</f>
        <v/>
      </c>
      <c r="D17" s="58" t="str">
        <f ca="1">IFERROR(IF(INDEX(INDIRECT("'"&amp;$B$2&amp;"月"&amp;"'!A:AZ"),11,4+1)="","",INDEX(INDIRECT("'"&amp;$B$2&amp;"月"&amp;"'!A:AZ"),11,4+1)),"")</f>
        <v/>
      </c>
      <c r="E17" s="57" t="str">
        <f ca="1">IFERROR(IF(INDEX(INDIRECT("'"&amp;$B$2&amp;"月"&amp;"'!A:AZ"),11,4+2)="","",INDEX(INDIRECT("'"&amp;$B$2&amp;"月"&amp;"'!A:AZ"),11,4+2)),"")</f>
        <v/>
      </c>
      <c r="F17" s="59" t="str">
        <f ca="1">IFERROR(IF(INDEX(INDIRECT("'"&amp;$B$2&amp;"月"&amp;"'!A:AZ"),11,4+3)="","",INDEX(INDIRECT("'"&amp;$B$2&amp;"月"&amp;"'!A:AZ"),11,4+3)),"")</f>
        <v/>
      </c>
      <c r="G17" s="57" t="str">
        <f ca="1">IFERROR(IF(INDEX(INDIRECT("'"&amp;$B$2&amp;"月"&amp;"'!A:AZ"),11,4+4)="","",INDEX(INDIRECT("'"&amp;$B$2&amp;"月"&amp;"'!A:AZ"),11,4+4)),"")</f>
        <v/>
      </c>
      <c r="H17" s="57"/>
    </row>
    <row r="18" spans="1:8" ht="13.5" customHeight="1">
      <c r="A18" s="57">
        <f>IF(DAY(DATE(対象年度,$B$2,9))&lt;&gt;9,"",9)</f>
        <v>9</v>
      </c>
      <c r="B18" s="57" t="str">
        <f>IF(DAY(DATE(対象年度,$B$2,9))&lt;&gt;9,"",CHOOSE(WEEKDAY(DATE(対象年度,$B$2,9),2),"月","火","水","木","金","土","日"))</f>
        <v>金</v>
      </c>
      <c r="C18" s="57" t="str">
        <f ca="1">IFERROR(IF(INDEX(INDIRECT("'"&amp;$B$2&amp;"月"&amp;"'!A:AZ"),12,4+0)="","",INDEX(INDIRECT("'"&amp;$B$2&amp;"月"&amp;"'!A:AZ"),12,4+0)),"")</f>
        <v/>
      </c>
      <c r="D18" s="58" t="str">
        <f ca="1">IFERROR(IF(INDEX(INDIRECT("'"&amp;$B$2&amp;"月"&amp;"'!A:AZ"),12,4+1)="","",INDEX(INDIRECT("'"&amp;$B$2&amp;"月"&amp;"'!A:AZ"),12,4+1)),"")</f>
        <v/>
      </c>
      <c r="E18" s="57" t="str">
        <f ca="1">IFERROR(IF(INDEX(INDIRECT("'"&amp;$B$2&amp;"月"&amp;"'!A:AZ"),12,4+2)="","",INDEX(INDIRECT("'"&amp;$B$2&amp;"月"&amp;"'!A:AZ"),12,4+2)),"")</f>
        <v/>
      </c>
      <c r="F18" s="59" t="str">
        <f ca="1">IFERROR(IF(INDEX(INDIRECT("'"&amp;$B$2&amp;"月"&amp;"'!A:AZ"),12,4+3)="","",INDEX(INDIRECT("'"&amp;$B$2&amp;"月"&amp;"'!A:AZ"),12,4+3)),"")</f>
        <v/>
      </c>
      <c r="G18" s="57" t="str">
        <f ca="1">IFERROR(IF(INDEX(INDIRECT("'"&amp;$B$2&amp;"月"&amp;"'!A:AZ"),12,4+4)="","",INDEX(INDIRECT("'"&amp;$B$2&amp;"月"&amp;"'!A:AZ"),12,4+4)),"")</f>
        <v/>
      </c>
      <c r="H18" s="57"/>
    </row>
    <row r="19" spans="1:8" ht="13.5" customHeight="1">
      <c r="A19" s="57">
        <f>IF(DAY(DATE(対象年度,$B$2,10))&lt;&gt;10,"",10)</f>
        <v>10</v>
      </c>
      <c r="B19" s="57" t="str">
        <f>IF(DAY(DATE(対象年度,$B$2,10))&lt;&gt;10,"",CHOOSE(WEEKDAY(DATE(対象年度,$B$2,10),2),"月","火","水","木","金","土","日"))</f>
        <v>土</v>
      </c>
      <c r="C19" s="57" t="str">
        <f ca="1">IFERROR(IF(INDEX(INDIRECT("'"&amp;$B$2&amp;"月"&amp;"'!A:AZ"),13,4+0)="","",INDEX(INDIRECT("'"&amp;$B$2&amp;"月"&amp;"'!A:AZ"),13,4+0)),"")</f>
        <v/>
      </c>
      <c r="D19" s="58" t="str">
        <f ca="1">IFERROR(IF(INDEX(INDIRECT("'"&amp;$B$2&amp;"月"&amp;"'!A:AZ"),13,4+1)="","",INDEX(INDIRECT("'"&amp;$B$2&amp;"月"&amp;"'!A:AZ"),13,4+1)),"")</f>
        <v/>
      </c>
      <c r="E19" s="57" t="str">
        <f ca="1">IFERROR(IF(INDEX(INDIRECT("'"&amp;$B$2&amp;"月"&amp;"'!A:AZ"),13,4+2)="","",INDEX(INDIRECT("'"&amp;$B$2&amp;"月"&amp;"'!A:AZ"),13,4+2)),"")</f>
        <v/>
      </c>
      <c r="F19" s="59" t="str">
        <f ca="1">IFERROR(IF(INDEX(INDIRECT("'"&amp;$B$2&amp;"月"&amp;"'!A:AZ"),13,4+3)="","",INDEX(INDIRECT("'"&amp;$B$2&amp;"月"&amp;"'!A:AZ"),13,4+3)),"")</f>
        <v/>
      </c>
      <c r="G19" s="57" t="str">
        <f ca="1">IFERROR(IF(INDEX(INDIRECT("'"&amp;$B$2&amp;"月"&amp;"'!A:AZ"),13,4+4)="","",INDEX(INDIRECT("'"&amp;$B$2&amp;"月"&amp;"'!A:AZ"),13,4+4)),"")</f>
        <v/>
      </c>
      <c r="H19" s="57"/>
    </row>
    <row r="20" spans="1:8" ht="13.5" customHeight="1">
      <c r="A20" s="57">
        <f>IF(DAY(DATE(対象年度,$B$2,11))&lt;&gt;11,"",11)</f>
        <v>11</v>
      </c>
      <c r="B20" s="57" t="str">
        <f>IF(DAY(DATE(対象年度,$B$2,11))&lt;&gt;11,"",CHOOSE(WEEKDAY(DATE(対象年度,$B$2,11),2),"月","火","水","木","金","土","日"))</f>
        <v>日</v>
      </c>
      <c r="C20" s="57" t="str">
        <f ca="1">IFERROR(IF(INDEX(INDIRECT("'"&amp;$B$2&amp;"月"&amp;"'!A:AZ"),14,4+0)="","",INDEX(INDIRECT("'"&amp;$B$2&amp;"月"&amp;"'!A:AZ"),14,4+0)),"")</f>
        <v/>
      </c>
      <c r="D20" s="58" t="str">
        <f ca="1">IFERROR(IF(INDEX(INDIRECT("'"&amp;$B$2&amp;"月"&amp;"'!A:AZ"),14,4+1)="","",INDEX(INDIRECT("'"&amp;$B$2&amp;"月"&amp;"'!A:AZ"),14,4+1)),"")</f>
        <v/>
      </c>
      <c r="E20" s="57" t="str">
        <f ca="1">IFERROR(IF(INDEX(INDIRECT("'"&amp;$B$2&amp;"月"&amp;"'!A:AZ"),14,4+2)="","",INDEX(INDIRECT("'"&amp;$B$2&amp;"月"&amp;"'!A:AZ"),14,4+2)),"")</f>
        <v/>
      </c>
      <c r="F20" s="59" t="str">
        <f ca="1">IFERROR(IF(INDEX(INDIRECT("'"&amp;$B$2&amp;"月"&amp;"'!A:AZ"),14,4+3)="","",INDEX(INDIRECT("'"&amp;$B$2&amp;"月"&amp;"'!A:AZ"),14,4+3)),"")</f>
        <v/>
      </c>
      <c r="G20" s="57" t="str">
        <f ca="1">IFERROR(IF(INDEX(INDIRECT("'"&amp;$B$2&amp;"月"&amp;"'!A:AZ"),14,4+4)="","",INDEX(INDIRECT("'"&amp;$B$2&amp;"月"&amp;"'!A:AZ"),14,4+4)),"")</f>
        <v/>
      </c>
      <c r="H20" s="57"/>
    </row>
    <row r="21" spans="1:8" ht="13.5" customHeight="1">
      <c r="A21" s="57">
        <f>IF(DAY(DATE(対象年度,$B$2,12))&lt;&gt;12,"",12)</f>
        <v>12</v>
      </c>
      <c r="B21" s="57" t="str">
        <f>IF(DAY(DATE(対象年度,$B$2,12))&lt;&gt;12,"",CHOOSE(WEEKDAY(DATE(対象年度,$B$2,12),2),"月","火","水","木","金","土","日"))</f>
        <v>月</v>
      </c>
      <c r="C21" s="57" t="str">
        <f ca="1">IFERROR(IF(INDEX(INDIRECT("'"&amp;$B$2&amp;"月"&amp;"'!A:AZ"),15,4+0)="","",INDEX(INDIRECT("'"&amp;$B$2&amp;"月"&amp;"'!A:AZ"),15,4+0)),"")</f>
        <v/>
      </c>
      <c r="D21" s="58" t="str">
        <f ca="1">IFERROR(IF(INDEX(INDIRECT("'"&amp;$B$2&amp;"月"&amp;"'!A:AZ"),15,4+1)="","",INDEX(INDIRECT("'"&amp;$B$2&amp;"月"&amp;"'!A:AZ"),15,4+1)),"")</f>
        <v/>
      </c>
      <c r="E21" s="57" t="str">
        <f ca="1">IFERROR(IF(INDEX(INDIRECT("'"&amp;$B$2&amp;"月"&amp;"'!A:AZ"),15,4+2)="","",INDEX(INDIRECT("'"&amp;$B$2&amp;"月"&amp;"'!A:AZ"),15,4+2)),"")</f>
        <v/>
      </c>
      <c r="F21" s="59" t="str">
        <f ca="1">IFERROR(IF(INDEX(INDIRECT("'"&amp;$B$2&amp;"月"&amp;"'!A:AZ"),15,4+3)="","",INDEX(INDIRECT("'"&amp;$B$2&amp;"月"&amp;"'!A:AZ"),15,4+3)),"")</f>
        <v/>
      </c>
      <c r="G21" s="57" t="str">
        <f ca="1">IFERROR(IF(INDEX(INDIRECT("'"&amp;$B$2&amp;"月"&amp;"'!A:AZ"),15,4+4)="","",INDEX(INDIRECT("'"&amp;$B$2&amp;"月"&amp;"'!A:AZ"),15,4+4)),"")</f>
        <v/>
      </c>
      <c r="H21" s="57"/>
    </row>
    <row r="22" spans="1:8" ht="13.5" customHeight="1">
      <c r="A22" s="57">
        <f>IF(DAY(DATE(対象年度,$B$2,13))&lt;&gt;13,"",13)</f>
        <v>13</v>
      </c>
      <c r="B22" s="57" t="str">
        <f>IF(DAY(DATE(対象年度,$B$2,13))&lt;&gt;13,"",CHOOSE(WEEKDAY(DATE(対象年度,$B$2,13),2),"月","火","水","木","金","土","日"))</f>
        <v>火</v>
      </c>
      <c r="C22" s="57" t="str">
        <f ca="1">IFERROR(IF(INDEX(INDIRECT("'"&amp;$B$2&amp;"月"&amp;"'!A:AZ"),16,4+0)="","",INDEX(INDIRECT("'"&amp;$B$2&amp;"月"&amp;"'!A:AZ"),16,4+0)),"")</f>
        <v/>
      </c>
      <c r="D22" s="58" t="str">
        <f ca="1">IFERROR(IF(INDEX(INDIRECT("'"&amp;$B$2&amp;"月"&amp;"'!A:AZ"),16,4+1)="","",INDEX(INDIRECT("'"&amp;$B$2&amp;"月"&amp;"'!A:AZ"),16,4+1)),"")</f>
        <v/>
      </c>
      <c r="E22" s="57" t="str">
        <f ca="1">IFERROR(IF(INDEX(INDIRECT("'"&amp;$B$2&amp;"月"&amp;"'!A:AZ"),16,4+2)="","",INDEX(INDIRECT("'"&amp;$B$2&amp;"月"&amp;"'!A:AZ"),16,4+2)),"")</f>
        <v/>
      </c>
      <c r="F22" s="59" t="str">
        <f ca="1">IFERROR(IF(INDEX(INDIRECT("'"&amp;$B$2&amp;"月"&amp;"'!A:AZ"),16,4+3)="","",INDEX(INDIRECT("'"&amp;$B$2&amp;"月"&amp;"'!A:AZ"),16,4+3)),"")</f>
        <v/>
      </c>
      <c r="G22" s="57" t="str">
        <f ca="1">IFERROR(IF(INDEX(INDIRECT("'"&amp;$B$2&amp;"月"&amp;"'!A:AZ"),16,4+4)="","",INDEX(INDIRECT("'"&amp;$B$2&amp;"月"&amp;"'!A:AZ"),16,4+4)),"")</f>
        <v/>
      </c>
      <c r="H22" s="57"/>
    </row>
    <row r="23" spans="1:8" ht="13.5" customHeight="1">
      <c r="A23" s="57">
        <f>IF(DAY(DATE(対象年度,$B$2,14))&lt;&gt;14,"",14)</f>
        <v>14</v>
      </c>
      <c r="B23" s="57" t="str">
        <f>IF(DAY(DATE(対象年度,$B$2,14))&lt;&gt;14,"",CHOOSE(WEEKDAY(DATE(対象年度,$B$2,14),2),"月","火","水","木","金","土","日"))</f>
        <v>水</v>
      </c>
      <c r="C23" s="57" t="str">
        <f ca="1">IFERROR(IF(INDEX(INDIRECT("'"&amp;$B$2&amp;"月"&amp;"'!A:AZ"),17,4+0)="","",INDEX(INDIRECT("'"&amp;$B$2&amp;"月"&amp;"'!A:AZ"),17,4+0)),"")</f>
        <v/>
      </c>
      <c r="D23" s="58" t="str">
        <f ca="1">IFERROR(IF(INDEX(INDIRECT("'"&amp;$B$2&amp;"月"&amp;"'!A:AZ"),17,4+1)="","",INDEX(INDIRECT("'"&amp;$B$2&amp;"月"&amp;"'!A:AZ"),17,4+1)),"")</f>
        <v/>
      </c>
      <c r="E23" s="57" t="str">
        <f ca="1">IFERROR(IF(INDEX(INDIRECT("'"&amp;$B$2&amp;"月"&amp;"'!A:AZ"),17,4+2)="","",INDEX(INDIRECT("'"&amp;$B$2&amp;"月"&amp;"'!A:AZ"),17,4+2)),"")</f>
        <v/>
      </c>
      <c r="F23" s="59" t="str">
        <f ca="1">IFERROR(IF(INDEX(INDIRECT("'"&amp;$B$2&amp;"月"&amp;"'!A:AZ"),17,4+3)="","",INDEX(INDIRECT("'"&amp;$B$2&amp;"月"&amp;"'!A:AZ"),17,4+3)),"")</f>
        <v/>
      </c>
      <c r="G23" s="57" t="str">
        <f ca="1">IFERROR(IF(INDEX(INDIRECT("'"&amp;$B$2&amp;"月"&amp;"'!A:AZ"),17,4+4)="","",INDEX(INDIRECT("'"&amp;$B$2&amp;"月"&amp;"'!A:AZ"),17,4+4)),"")</f>
        <v/>
      </c>
      <c r="H23" s="57"/>
    </row>
    <row r="24" spans="1:8" ht="13.5" customHeight="1">
      <c r="A24" s="57">
        <f>IF(DAY(DATE(対象年度,$B$2,15))&lt;&gt;15,"",15)</f>
        <v>15</v>
      </c>
      <c r="B24" s="57" t="str">
        <f>IF(DAY(DATE(対象年度,$B$2,15))&lt;&gt;15,"",CHOOSE(WEEKDAY(DATE(対象年度,$B$2,15),2),"月","火","水","木","金","土","日"))</f>
        <v>木</v>
      </c>
      <c r="C24" s="57" t="str">
        <f ca="1">IFERROR(IF(INDEX(INDIRECT("'"&amp;$B$2&amp;"月"&amp;"'!A:AZ"),18,4+0)="","",INDEX(INDIRECT("'"&amp;$B$2&amp;"月"&amp;"'!A:AZ"),18,4+0)),"")</f>
        <v/>
      </c>
      <c r="D24" s="58" t="str">
        <f ca="1">IFERROR(IF(INDEX(INDIRECT("'"&amp;$B$2&amp;"月"&amp;"'!A:AZ"),18,4+1)="","",INDEX(INDIRECT("'"&amp;$B$2&amp;"月"&amp;"'!A:AZ"),18,4+1)),"")</f>
        <v/>
      </c>
      <c r="E24" s="57" t="str">
        <f ca="1">IFERROR(IF(INDEX(INDIRECT("'"&amp;$B$2&amp;"月"&amp;"'!A:AZ"),18,4+2)="","",INDEX(INDIRECT("'"&amp;$B$2&amp;"月"&amp;"'!A:AZ"),18,4+2)),"")</f>
        <v/>
      </c>
      <c r="F24" s="59" t="str">
        <f ca="1">IFERROR(IF(INDEX(INDIRECT("'"&amp;$B$2&amp;"月"&amp;"'!A:AZ"),18,4+3)="","",INDEX(INDIRECT("'"&amp;$B$2&amp;"月"&amp;"'!A:AZ"),18,4+3)),"")</f>
        <v/>
      </c>
      <c r="G24" s="57" t="str">
        <f ca="1">IFERROR(IF(INDEX(INDIRECT("'"&amp;$B$2&amp;"月"&amp;"'!A:AZ"),18,4+4)="","",INDEX(INDIRECT("'"&amp;$B$2&amp;"月"&amp;"'!A:AZ"),18,4+4)),"")</f>
        <v/>
      </c>
      <c r="H24" s="57"/>
    </row>
    <row r="25" spans="1:8" ht="13.5" customHeight="1">
      <c r="A25" s="57">
        <f>IF(DAY(DATE(対象年度,$B$2,16))&lt;&gt;16,"",16)</f>
        <v>16</v>
      </c>
      <c r="B25" s="57" t="str">
        <f>IF(DAY(DATE(対象年度,$B$2,16))&lt;&gt;16,"",CHOOSE(WEEKDAY(DATE(対象年度,$B$2,16),2),"月","火","水","木","金","土","日"))</f>
        <v>金</v>
      </c>
      <c r="C25" s="57" t="str">
        <f ca="1">IFERROR(IF(INDEX(INDIRECT("'"&amp;$B$2&amp;"月"&amp;"'!A:AZ"),19,4+0)="","",INDEX(INDIRECT("'"&amp;$B$2&amp;"月"&amp;"'!A:AZ"),19,4+0)),"")</f>
        <v/>
      </c>
      <c r="D25" s="58" t="str">
        <f ca="1">IFERROR(IF(INDEX(INDIRECT("'"&amp;$B$2&amp;"月"&amp;"'!A:AZ"),19,4+1)="","",INDEX(INDIRECT("'"&amp;$B$2&amp;"月"&amp;"'!A:AZ"),19,4+1)),"")</f>
        <v/>
      </c>
      <c r="E25" s="57" t="str">
        <f ca="1">IFERROR(IF(INDEX(INDIRECT("'"&amp;$B$2&amp;"月"&amp;"'!A:AZ"),19,4+2)="","",INDEX(INDIRECT("'"&amp;$B$2&amp;"月"&amp;"'!A:AZ"),19,4+2)),"")</f>
        <v/>
      </c>
      <c r="F25" s="59" t="str">
        <f ca="1">IFERROR(IF(INDEX(INDIRECT("'"&amp;$B$2&amp;"月"&amp;"'!A:AZ"),19,4+3)="","",INDEX(INDIRECT("'"&amp;$B$2&amp;"月"&amp;"'!A:AZ"),19,4+3)),"")</f>
        <v/>
      </c>
      <c r="G25" s="57" t="str">
        <f ca="1">IFERROR(IF(INDEX(INDIRECT("'"&amp;$B$2&amp;"月"&amp;"'!A:AZ"),19,4+4)="","",INDEX(INDIRECT("'"&amp;$B$2&amp;"月"&amp;"'!A:AZ"),19,4+4)),"")</f>
        <v/>
      </c>
      <c r="H25" s="57"/>
    </row>
    <row r="26" spans="1:8" ht="13.5" customHeight="1">
      <c r="A26" s="57">
        <f>IF(DAY(DATE(対象年度,$B$2,17))&lt;&gt;17,"",17)</f>
        <v>17</v>
      </c>
      <c r="B26" s="57" t="str">
        <f>IF(DAY(DATE(対象年度,$B$2,17))&lt;&gt;17,"",CHOOSE(WEEKDAY(DATE(対象年度,$B$2,17),2),"月","火","水","木","金","土","日"))</f>
        <v>土</v>
      </c>
      <c r="C26" s="57" t="str">
        <f ca="1">IFERROR(IF(INDEX(INDIRECT("'"&amp;$B$2&amp;"月"&amp;"'!A:AZ"),20,4+0)="","",INDEX(INDIRECT("'"&amp;$B$2&amp;"月"&amp;"'!A:AZ"),20,4+0)),"")</f>
        <v/>
      </c>
      <c r="D26" s="58" t="str">
        <f ca="1">IFERROR(IF(INDEX(INDIRECT("'"&amp;$B$2&amp;"月"&amp;"'!A:AZ"),20,4+1)="","",INDEX(INDIRECT("'"&amp;$B$2&amp;"月"&amp;"'!A:AZ"),20,4+1)),"")</f>
        <v/>
      </c>
      <c r="E26" s="57" t="str">
        <f ca="1">IFERROR(IF(INDEX(INDIRECT("'"&amp;$B$2&amp;"月"&amp;"'!A:AZ"),20,4+2)="","",INDEX(INDIRECT("'"&amp;$B$2&amp;"月"&amp;"'!A:AZ"),20,4+2)),"")</f>
        <v/>
      </c>
      <c r="F26" s="59" t="str">
        <f ca="1">IFERROR(IF(INDEX(INDIRECT("'"&amp;$B$2&amp;"月"&amp;"'!A:AZ"),20,4+3)="","",INDEX(INDIRECT("'"&amp;$B$2&amp;"月"&amp;"'!A:AZ"),20,4+3)),"")</f>
        <v/>
      </c>
      <c r="G26" s="57" t="str">
        <f ca="1">IFERROR(IF(INDEX(INDIRECT("'"&amp;$B$2&amp;"月"&amp;"'!A:AZ"),20,4+4)="","",INDEX(INDIRECT("'"&amp;$B$2&amp;"月"&amp;"'!A:AZ"),20,4+4)),"")</f>
        <v/>
      </c>
      <c r="H26" s="57"/>
    </row>
    <row r="27" spans="1:8" ht="13.5" customHeight="1">
      <c r="A27" s="57">
        <f>IF(DAY(DATE(対象年度,$B$2,18))&lt;&gt;18,"",18)</f>
        <v>18</v>
      </c>
      <c r="B27" s="57" t="str">
        <f>IF(DAY(DATE(対象年度,$B$2,18))&lt;&gt;18,"",CHOOSE(WEEKDAY(DATE(対象年度,$B$2,18),2),"月","火","水","木","金","土","日"))</f>
        <v>日</v>
      </c>
      <c r="C27" s="57" t="str">
        <f ca="1">IFERROR(IF(INDEX(INDIRECT("'"&amp;$B$2&amp;"月"&amp;"'!A:AZ"),21,4+0)="","",INDEX(INDIRECT("'"&amp;$B$2&amp;"月"&amp;"'!A:AZ"),21,4+0)),"")</f>
        <v/>
      </c>
      <c r="D27" s="58" t="str">
        <f ca="1">IFERROR(IF(INDEX(INDIRECT("'"&amp;$B$2&amp;"月"&amp;"'!A:AZ"),21,4+1)="","",INDEX(INDIRECT("'"&amp;$B$2&amp;"月"&amp;"'!A:AZ"),21,4+1)),"")</f>
        <v/>
      </c>
      <c r="E27" s="57" t="str">
        <f ca="1">IFERROR(IF(INDEX(INDIRECT("'"&amp;$B$2&amp;"月"&amp;"'!A:AZ"),21,4+2)="","",INDEX(INDIRECT("'"&amp;$B$2&amp;"月"&amp;"'!A:AZ"),21,4+2)),"")</f>
        <v/>
      </c>
      <c r="F27" s="59" t="str">
        <f ca="1">IFERROR(IF(INDEX(INDIRECT("'"&amp;$B$2&amp;"月"&amp;"'!A:AZ"),21,4+3)="","",INDEX(INDIRECT("'"&amp;$B$2&amp;"月"&amp;"'!A:AZ"),21,4+3)),"")</f>
        <v/>
      </c>
      <c r="G27" s="57" t="str">
        <f ca="1">IFERROR(IF(INDEX(INDIRECT("'"&amp;$B$2&amp;"月"&amp;"'!A:AZ"),21,4+4)="","",INDEX(INDIRECT("'"&amp;$B$2&amp;"月"&amp;"'!A:AZ"),21,4+4)),"")</f>
        <v/>
      </c>
      <c r="H27" s="57"/>
    </row>
    <row r="28" spans="1:8" ht="13.5" customHeight="1">
      <c r="A28" s="57">
        <f>IF(DAY(DATE(対象年度,$B$2,19))&lt;&gt;19,"",19)</f>
        <v>19</v>
      </c>
      <c r="B28" s="57" t="str">
        <f>IF(DAY(DATE(対象年度,$B$2,19))&lt;&gt;19,"",CHOOSE(WEEKDAY(DATE(対象年度,$B$2,19),2),"月","火","水","木","金","土","日"))</f>
        <v>月</v>
      </c>
      <c r="C28" s="57" t="str">
        <f ca="1">IFERROR(IF(INDEX(INDIRECT("'"&amp;$B$2&amp;"月"&amp;"'!A:AZ"),22,4+0)="","",INDEX(INDIRECT("'"&amp;$B$2&amp;"月"&amp;"'!A:AZ"),22,4+0)),"")</f>
        <v/>
      </c>
      <c r="D28" s="58" t="str">
        <f ca="1">IFERROR(IF(INDEX(INDIRECT("'"&amp;$B$2&amp;"月"&amp;"'!A:AZ"),22,4+1)="","",INDEX(INDIRECT("'"&amp;$B$2&amp;"月"&amp;"'!A:AZ"),22,4+1)),"")</f>
        <v/>
      </c>
      <c r="E28" s="57" t="str">
        <f ca="1">IFERROR(IF(INDEX(INDIRECT("'"&amp;$B$2&amp;"月"&amp;"'!A:AZ"),22,4+2)="","",INDEX(INDIRECT("'"&amp;$B$2&amp;"月"&amp;"'!A:AZ"),22,4+2)),"")</f>
        <v/>
      </c>
      <c r="F28" s="59" t="str">
        <f ca="1">IFERROR(IF(INDEX(INDIRECT("'"&amp;$B$2&amp;"月"&amp;"'!A:AZ"),22,4+3)="","",INDEX(INDIRECT("'"&amp;$B$2&amp;"月"&amp;"'!A:AZ"),22,4+3)),"")</f>
        <v/>
      </c>
      <c r="G28" s="57" t="str">
        <f ca="1">IFERROR(IF(INDEX(INDIRECT("'"&amp;$B$2&amp;"月"&amp;"'!A:AZ"),22,4+4)="","",INDEX(INDIRECT("'"&amp;$B$2&amp;"月"&amp;"'!A:AZ"),22,4+4)),"")</f>
        <v/>
      </c>
      <c r="H28" s="57"/>
    </row>
    <row r="29" spans="1:8" ht="13.5" customHeight="1">
      <c r="A29" s="57">
        <f>IF(DAY(DATE(対象年度,$B$2,20))&lt;&gt;20,"",20)</f>
        <v>20</v>
      </c>
      <c r="B29" s="57" t="str">
        <f>IF(DAY(DATE(対象年度,$B$2,20))&lt;&gt;20,"",CHOOSE(WEEKDAY(DATE(対象年度,$B$2,20),2),"月","火","水","木","金","土","日"))</f>
        <v>火</v>
      </c>
      <c r="C29" s="57" t="str">
        <f ca="1">IFERROR(IF(INDEX(INDIRECT("'"&amp;$B$2&amp;"月"&amp;"'!A:AZ"),23,4+0)="","",INDEX(INDIRECT("'"&amp;$B$2&amp;"月"&amp;"'!A:AZ"),23,4+0)),"")</f>
        <v/>
      </c>
      <c r="D29" s="58" t="str">
        <f ca="1">IFERROR(IF(INDEX(INDIRECT("'"&amp;$B$2&amp;"月"&amp;"'!A:AZ"),23,4+1)="","",INDEX(INDIRECT("'"&amp;$B$2&amp;"月"&amp;"'!A:AZ"),23,4+1)),"")</f>
        <v/>
      </c>
      <c r="E29" s="57" t="str">
        <f ca="1">IFERROR(IF(INDEX(INDIRECT("'"&amp;$B$2&amp;"月"&amp;"'!A:AZ"),23,4+2)="","",INDEX(INDIRECT("'"&amp;$B$2&amp;"月"&amp;"'!A:AZ"),23,4+2)),"")</f>
        <v/>
      </c>
      <c r="F29" s="59" t="str">
        <f ca="1">IFERROR(IF(INDEX(INDIRECT("'"&amp;$B$2&amp;"月"&amp;"'!A:AZ"),23,4+3)="","",INDEX(INDIRECT("'"&amp;$B$2&amp;"月"&amp;"'!A:AZ"),23,4+3)),"")</f>
        <v/>
      </c>
      <c r="G29" s="57" t="str">
        <f ca="1">IFERROR(IF(INDEX(INDIRECT("'"&amp;$B$2&amp;"月"&amp;"'!A:AZ"),23,4+4)="","",INDEX(INDIRECT("'"&amp;$B$2&amp;"月"&amp;"'!A:AZ"),23,4+4)),"")</f>
        <v/>
      </c>
      <c r="H29" s="57"/>
    </row>
    <row r="30" spans="1:8" ht="13.5" customHeight="1">
      <c r="A30" s="57">
        <f>IF(DAY(DATE(対象年度,$B$2,21))&lt;&gt;21,"",21)</f>
        <v>21</v>
      </c>
      <c r="B30" s="57" t="str">
        <f>IF(DAY(DATE(対象年度,$B$2,21))&lt;&gt;21,"",CHOOSE(WEEKDAY(DATE(対象年度,$B$2,21),2),"月","火","水","木","金","土","日"))</f>
        <v>水</v>
      </c>
      <c r="C30" s="57" t="str">
        <f ca="1">IFERROR(IF(INDEX(INDIRECT("'"&amp;$B$2&amp;"月"&amp;"'!A:AZ"),24,4+0)="","",INDEX(INDIRECT("'"&amp;$B$2&amp;"月"&amp;"'!A:AZ"),24,4+0)),"")</f>
        <v>事務所</v>
      </c>
      <c r="D30" s="58" t="str">
        <f ca="1">IFERROR(IF(INDEX(INDIRECT("'"&amp;$B$2&amp;"月"&amp;"'!A:AZ"),24,4+1)="","",INDEX(INDIRECT("'"&amp;$B$2&amp;"月"&amp;"'!A:AZ"),24,4+1)),"")</f>
        <v/>
      </c>
      <c r="E30" s="57" t="str">
        <f ca="1">IFERROR(IF(INDEX(INDIRECT("'"&amp;$B$2&amp;"月"&amp;"'!A:AZ"),24,4+2)="","",INDEX(INDIRECT("'"&amp;$B$2&amp;"月"&amp;"'!A:AZ"),24,4+2)),"")</f>
        <v>○</v>
      </c>
      <c r="F30" s="59" t="str">
        <f ca="1">IFERROR(IF(INDEX(INDIRECT("'"&amp;$B$2&amp;"月"&amp;"'!A:AZ"),24,4+3)="","",INDEX(INDIRECT("'"&amp;$B$2&amp;"月"&amp;"'!A:AZ"),24,4+3)),"")</f>
        <v/>
      </c>
      <c r="G30" s="57" t="str">
        <f ca="1">IFERROR(IF(INDEX(INDIRECT("'"&amp;$B$2&amp;"月"&amp;"'!A:AZ"),24,4+4)="","",INDEX(INDIRECT("'"&amp;$B$2&amp;"月"&amp;"'!A:AZ"),24,4+4)),"")</f>
        <v/>
      </c>
      <c r="H30" s="57"/>
    </row>
    <row r="31" spans="1:8" ht="13.5" customHeight="1">
      <c r="A31" s="57">
        <f>IF(DAY(DATE(対象年度,$B$2,22))&lt;&gt;22,"",22)</f>
        <v>22</v>
      </c>
      <c r="B31" s="57" t="str">
        <f>IF(DAY(DATE(対象年度,$B$2,22))&lt;&gt;22,"",CHOOSE(WEEKDAY(DATE(対象年度,$B$2,22),2),"月","火","水","木","金","土","日"))</f>
        <v>木</v>
      </c>
      <c r="C31" s="57" t="str">
        <f ca="1">IFERROR(IF(INDEX(INDIRECT("'"&amp;$B$2&amp;"月"&amp;"'!A:AZ"),25,4+0)="","",INDEX(INDIRECT("'"&amp;$B$2&amp;"月"&amp;"'!A:AZ"),25,4+0)),"")</f>
        <v>事務所</v>
      </c>
      <c r="D31" s="58" t="str">
        <f ca="1">IFERROR(IF(INDEX(INDIRECT("'"&amp;$B$2&amp;"月"&amp;"'!A:AZ"),25,4+1)="","",INDEX(INDIRECT("'"&amp;$B$2&amp;"月"&amp;"'!A:AZ"),25,4+1)),"")</f>
        <v/>
      </c>
      <c r="E31" s="57" t="str">
        <f ca="1">IFERROR(IF(INDEX(INDIRECT("'"&amp;$B$2&amp;"月"&amp;"'!A:AZ"),25,4+2)="","",INDEX(INDIRECT("'"&amp;$B$2&amp;"月"&amp;"'!A:AZ"),25,4+2)),"")</f>
        <v>○</v>
      </c>
      <c r="F31" s="59" t="str">
        <f ca="1">IFERROR(IF(INDEX(INDIRECT("'"&amp;$B$2&amp;"月"&amp;"'!A:AZ"),25,4+3)="","",INDEX(INDIRECT("'"&amp;$B$2&amp;"月"&amp;"'!A:AZ"),25,4+3)),"")</f>
        <v/>
      </c>
      <c r="G31" s="57" t="str">
        <f ca="1">IFERROR(IF(INDEX(INDIRECT("'"&amp;$B$2&amp;"月"&amp;"'!A:AZ"),25,4+4)="","",INDEX(INDIRECT("'"&amp;$B$2&amp;"月"&amp;"'!A:AZ"),25,4+4)),"")</f>
        <v/>
      </c>
      <c r="H31" s="57"/>
    </row>
    <row r="32" spans="1:8" ht="13.5" customHeight="1">
      <c r="A32" s="57">
        <f>IF(DAY(DATE(対象年度,$B$2,23))&lt;&gt;23,"",23)</f>
        <v>23</v>
      </c>
      <c r="B32" s="57" t="str">
        <f>IF(DAY(DATE(対象年度,$B$2,23))&lt;&gt;23,"",CHOOSE(WEEKDAY(DATE(対象年度,$B$2,23),2),"月","火","水","木","金","土","日"))</f>
        <v>金</v>
      </c>
      <c r="C32" s="57" t="str">
        <f ca="1">IFERROR(IF(INDEX(INDIRECT("'"&amp;$B$2&amp;"月"&amp;"'!A:AZ"),26,4+0)="","",INDEX(INDIRECT("'"&amp;$B$2&amp;"月"&amp;"'!A:AZ"),26,4+0)),"")</f>
        <v>事務所</v>
      </c>
      <c r="D32" s="58" t="str">
        <f ca="1">IFERROR(IF(INDEX(INDIRECT("'"&amp;$B$2&amp;"月"&amp;"'!A:AZ"),26,4+1)="","",INDEX(INDIRECT("'"&amp;$B$2&amp;"月"&amp;"'!A:AZ"),26,4+1)),"")</f>
        <v/>
      </c>
      <c r="E32" s="57" t="str">
        <f ca="1">IFERROR(IF(INDEX(INDIRECT("'"&amp;$B$2&amp;"月"&amp;"'!A:AZ"),26,4+2)="","",INDEX(INDIRECT("'"&amp;$B$2&amp;"月"&amp;"'!A:AZ"),26,4+2)),"")</f>
        <v>○</v>
      </c>
      <c r="F32" s="59" t="str">
        <f ca="1">IFERROR(IF(INDEX(INDIRECT("'"&amp;$B$2&amp;"月"&amp;"'!A:AZ"),26,4+3)="","",INDEX(INDIRECT("'"&amp;$B$2&amp;"月"&amp;"'!A:AZ"),26,4+3)),"")</f>
        <v/>
      </c>
      <c r="G32" s="57" t="str">
        <f ca="1">IFERROR(IF(INDEX(INDIRECT("'"&amp;$B$2&amp;"月"&amp;"'!A:AZ"),26,4+4)="","",INDEX(INDIRECT("'"&amp;$B$2&amp;"月"&amp;"'!A:AZ"),26,4+4)),"")</f>
        <v/>
      </c>
      <c r="H32" s="57"/>
    </row>
    <row r="33" spans="1:8" ht="13.5" customHeight="1">
      <c r="A33" s="57">
        <f>IF(DAY(DATE(対象年度,$B$2,24))&lt;&gt;24,"",24)</f>
        <v>24</v>
      </c>
      <c r="B33" s="57" t="str">
        <f>IF(DAY(DATE(対象年度,$B$2,24))&lt;&gt;24,"",CHOOSE(WEEKDAY(DATE(対象年度,$B$2,24),2),"月","火","水","木","金","土","日"))</f>
        <v>土</v>
      </c>
      <c r="C33" s="57" t="str">
        <f ca="1">IFERROR(IF(INDEX(INDIRECT("'"&amp;$B$2&amp;"月"&amp;"'!A:AZ"),27,4+0)="","",INDEX(INDIRECT("'"&amp;$B$2&amp;"月"&amp;"'!A:AZ"),27,4+0)),"")</f>
        <v/>
      </c>
      <c r="D33" s="58" t="str">
        <f ca="1">IFERROR(IF(INDEX(INDIRECT("'"&amp;$B$2&amp;"月"&amp;"'!A:AZ"),27,4+1)="","",INDEX(INDIRECT("'"&amp;$B$2&amp;"月"&amp;"'!A:AZ"),27,4+1)),"")</f>
        <v/>
      </c>
      <c r="E33" s="57" t="str">
        <f ca="1">IFERROR(IF(INDEX(INDIRECT("'"&amp;$B$2&amp;"月"&amp;"'!A:AZ"),27,4+2)="","",INDEX(INDIRECT("'"&amp;$B$2&amp;"月"&amp;"'!A:AZ"),27,4+2)),"")</f>
        <v/>
      </c>
      <c r="F33" s="59" t="str">
        <f ca="1">IFERROR(IF(INDEX(INDIRECT("'"&amp;$B$2&amp;"月"&amp;"'!A:AZ"),27,4+3)="","",INDEX(INDIRECT("'"&amp;$B$2&amp;"月"&amp;"'!A:AZ"),27,4+3)),"")</f>
        <v/>
      </c>
      <c r="G33" s="57" t="str">
        <f ca="1">IFERROR(IF(INDEX(INDIRECT("'"&amp;$B$2&amp;"月"&amp;"'!A:AZ"),27,4+4)="","",INDEX(INDIRECT("'"&amp;$B$2&amp;"月"&amp;"'!A:AZ"),27,4+4)),"")</f>
        <v/>
      </c>
      <c r="H33" s="57"/>
    </row>
    <row r="34" spans="1:8" ht="13.5" customHeight="1">
      <c r="A34" s="57">
        <f>IF(DAY(DATE(対象年度,$B$2,25))&lt;&gt;25,"",25)</f>
        <v>25</v>
      </c>
      <c r="B34" s="57" t="str">
        <f>IF(DAY(DATE(対象年度,$B$2,25))&lt;&gt;25,"",CHOOSE(WEEKDAY(DATE(対象年度,$B$2,25),2),"月","火","水","木","金","土","日"))</f>
        <v>日</v>
      </c>
      <c r="C34" s="57" t="str">
        <f ca="1">IFERROR(IF(INDEX(INDIRECT("'"&amp;$B$2&amp;"月"&amp;"'!A:AZ"),28,4+0)="","",INDEX(INDIRECT("'"&amp;$B$2&amp;"月"&amp;"'!A:AZ"),28,4+0)),"")</f>
        <v/>
      </c>
      <c r="D34" s="58" t="str">
        <f ca="1">IFERROR(IF(INDEX(INDIRECT("'"&amp;$B$2&amp;"月"&amp;"'!A:AZ"),28,4+1)="","",INDEX(INDIRECT("'"&amp;$B$2&amp;"月"&amp;"'!A:AZ"),28,4+1)),"")</f>
        <v/>
      </c>
      <c r="E34" s="57" t="str">
        <f ca="1">IFERROR(IF(INDEX(INDIRECT("'"&amp;$B$2&amp;"月"&amp;"'!A:AZ"),28,4+2)="","",INDEX(INDIRECT("'"&amp;$B$2&amp;"月"&amp;"'!A:AZ"),28,4+2)),"")</f>
        <v/>
      </c>
      <c r="F34" s="59" t="str">
        <f ca="1">IFERROR(IF(INDEX(INDIRECT("'"&amp;$B$2&amp;"月"&amp;"'!A:AZ"),28,4+3)="","",INDEX(INDIRECT("'"&amp;$B$2&amp;"月"&amp;"'!A:AZ"),28,4+3)),"")</f>
        <v/>
      </c>
      <c r="G34" s="57" t="str">
        <f ca="1">IFERROR(IF(INDEX(INDIRECT("'"&amp;$B$2&amp;"月"&amp;"'!A:AZ"),28,4+4)="","",INDEX(INDIRECT("'"&amp;$B$2&amp;"月"&amp;"'!A:AZ"),28,4+4)),"")</f>
        <v/>
      </c>
      <c r="H34" s="57"/>
    </row>
    <row r="35" spans="1:8" ht="13.5" customHeight="1">
      <c r="A35" s="57">
        <f>IF(DAY(DATE(対象年度,$B$2,26))&lt;&gt;26,"",26)</f>
        <v>26</v>
      </c>
      <c r="B35" s="57" t="str">
        <f>IF(DAY(DATE(対象年度,$B$2,26))&lt;&gt;26,"",CHOOSE(WEEKDAY(DATE(対象年度,$B$2,26),2),"月","火","水","木","金","土","日"))</f>
        <v>月</v>
      </c>
      <c r="C35" s="57" t="str">
        <f ca="1">IFERROR(IF(INDEX(INDIRECT("'"&amp;$B$2&amp;"月"&amp;"'!A:AZ"),29,4+0)="","",INDEX(INDIRECT("'"&amp;$B$2&amp;"月"&amp;"'!A:AZ"),29,4+0)),"")</f>
        <v>事務所</v>
      </c>
      <c r="D35" s="58" t="str">
        <f ca="1">IFERROR(IF(INDEX(INDIRECT("'"&amp;$B$2&amp;"月"&amp;"'!A:AZ"),29,4+1)="","",INDEX(INDIRECT("'"&amp;$B$2&amp;"月"&amp;"'!A:AZ"),29,4+1)),"")</f>
        <v/>
      </c>
      <c r="E35" s="57" t="str">
        <f ca="1">IFERROR(IF(INDEX(INDIRECT("'"&amp;$B$2&amp;"月"&amp;"'!A:AZ"),29,4+2)="","",INDEX(INDIRECT("'"&amp;$B$2&amp;"月"&amp;"'!A:AZ"),29,4+2)),"")</f>
        <v>○</v>
      </c>
      <c r="F35" s="59" t="str">
        <f ca="1">IFERROR(IF(INDEX(INDIRECT("'"&amp;$B$2&amp;"月"&amp;"'!A:AZ"),29,4+3)="","",INDEX(INDIRECT("'"&amp;$B$2&amp;"月"&amp;"'!A:AZ"),29,4+3)),"")</f>
        <v/>
      </c>
      <c r="G35" s="57" t="str">
        <f ca="1">IFERROR(IF(INDEX(INDIRECT("'"&amp;$B$2&amp;"月"&amp;"'!A:AZ"),29,4+4)="","",INDEX(INDIRECT("'"&amp;$B$2&amp;"月"&amp;"'!A:AZ"),29,4+4)),"")</f>
        <v/>
      </c>
      <c r="H35" s="57"/>
    </row>
    <row r="36" spans="1:8" ht="13.5" customHeight="1">
      <c r="A36" s="57">
        <f>IF(DAY(DATE(対象年度,$B$2,27))&lt;&gt;27,"",27)</f>
        <v>27</v>
      </c>
      <c r="B36" s="57" t="str">
        <f>IF(DAY(DATE(対象年度,$B$2,27))&lt;&gt;27,"",CHOOSE(WEEKDAY(DATE(対象年度,$B$2,27),2),"月","火","水","木","金","土","日"))</f>
        <v>火</v>
      </c>
      <c r="C36" s="57" t="str">
        <f ca="1">IFERROR(IF(INDEX(INDIRECT("'"&amp;$B$2&amp;"月"&amp;"'!A:AZ"),30,4+0)="","",INDEX(INDIRECT("'"&amp;$B$2&amp;"月"&amp;"'!A:AZ"),30,4+0)),"")</f>
        <v>事務所</v>
      </c>
      <c r="D36" s="58" t="str">
        <f ca="1">IFERROR(IF(INDEX(INDIRECT("'"&amp;$B$2&amp;"月"&amp;"'!A:AZ"),30,4+1)="","",INDEX(INDIRECT("'"&amp;$B$2&amp;"月"&amp;"'!A:AZ"),30,4+1)),"")</f>
        <v/>
      </c>
      <c r="E36" s="57" t="str">
        <f ca="1">IFERROR(IF(INDEX(INDIRECT("'"&amp;$B$2&amp;"月"&amp;"'!A:AZ"),30,4+2)="","",INDEX(INDIRECT("'"&amp;$B$2&amp;"月"&amp;"'!A:AZ"),30,4+2)),"")</f>
        <v>○</v>
      </c>
      <c r="F36" s="59" t="str">
        <f ca="1">IFERROR(IF(INDEX(INDIRECT("'"&amp;$B$2&amp;"月"&amp;"'!A:AZ"),30,4+3)="","",INDEX(INDIRECT("'"&amp;$B$2&amp;"月"&amp;"'!A:AZ"),30,4+3)),"")</f>
        <v/>
      </c>
      <c r="G36" s="57" t="str">
        <f ca="1">IFERROR(IF(INDEX(INDIRECT("'"&amp;$B$2&amp;"月"&amp;"'!A:AZ"),30,4+4)="","",INDEX(INDIRECT("'"&amp;$B$2&amp;"月"&amp;"'!A:AZ"),30,4+4)),"")</f>
        <v/>
      </c>
      <c r="H36" s="57"/>
    </row>
    <row r="37" spans="1:8" ht="13.5" customHeight="1">
      <c r="A37" s="57">
        <f>IF(DAY(DATE(対象年度,$B$2,28))&lt;&gt;28,"",28)</f>
        <v>28</v>
      </c>
      <c r="B37" s="57" t="str">
        <f>IF(DAY(DATE(対象年度,$B$2,28))&lt;&gt;28,"",CHOOSE(WEEKDAY(DATE(対象年度,$B$2,28),2),"月","火","水","木","金","土","日"))</f>
        <v>水</v>
      </c>
      <c r="C37" s="57" t="str">
        <f ca="1">IFERROR(IF(INDEX(INDIRECT("'"&amp;$B$2&amp;"月"&amp;"'!A:AZ"),31,4+0)="","",INDEX(INDIRECT("'"&amp;$B$2&amp;"月"&amp;"'!A:AZ"),31,4+0)),"")</f>
        <v>事務所</v>
      </c>
      <c r="D37" s="58" t="str">
        <f ca="1">IFERROR(IF(INDEX(INDIRECT("'"&amp;$B$2&amp;"月"&amp;"'!A:AZ"),31,4+1)="","",INDEX(INDIRECT("'"&amp;$B$2&amp;"月"&amp;"'!A:AZ"),31,4+1)),"")</f>
        <v/>
      </c>
      <c r="E37" s="57" t="str">
        <f ca="1">IFERROR(IF(INDEX(INDIRECT("'"&amp;$B$2&amp;"月"&amp;"'!A:AZ"),31,4+2)="","",INDEX(INDIRECT("'"&amp;$B$2&amp;"月"&amp;"'!A:AZ"),31,4+2)),"")</f>
        <v>○</v>
      </c>
      <c r="F37" s="59" t="str">
        <f ca="1">IFERROR(IF(INDEX(INDIRECT("'"&amp;$B$2&amp;"月"&amp;"'!A:AZ"),31,4+3)="","",INDEX(INDIRECT("'"&amp;$B$2&amp;"月"&amp;"'!A:AZ"),31,4+3)),"")</f>
        <v/>
      </c>
      <c r="G37" s="57" t="str">
        <f ca="1">IFERROR(IF(INDEX(INDIRECT("'"&amp;$B$2&amp;"月"&amp;"'!A:AZ"),31,4+4)="","",INDEX(INDIRECT("'"&amp;$B$2&amp;"月"&amp;"'!A:AZ"),31,4+4)),"")</f>
        <v/>
      </c>
      <c r="H37" s="57"/>
    </row>
    <row r="38" spans="1:8" ht="13.5" customHeight="1">
      <c r="A38" s="57">
        <f>IF(DAY(DATE(対象年度,$B$2,29))&lt;&gt;29,"",29)</f>
        <v>29</v>
      </c>
      <c r="B38" s="57" t="str">
        <f>IF(DAY(DATE(対象年度,$B$2,29))&lt;&gt;29,"",CHOOSE(WEEKDAY(DATE(対象年度,$B$2,29),2),"月","火","水","木","金","土","日"))</f>
        <v>木</v>
      </c>
      <c r="C38" s="57" t="str">
        <f ca="1">IFERROR(IF(INDEX(INDIRECT("'"&amp;$B$2&amp;"月"&amp;"'!A:AZ"),32,4+0)="","",INDEX(INDIRECT("'"&amp;$B$2&amp;"月"&amp;"'!A:AZ"),32,4+0)),"")</f>
        <v>事務所</v>
      </c>
      <c r="D38" s="58" t="str">
        <f ca="1">IFERROR(IF(INDEX(INDIRECT("'"&amp;$B$2&amp;"月"&amp;"'!A:AZ"),32,4+1)="","",INDEX(INDIRECT("'"&amp;$B$2&amp;"月"&amp;"'!A:AZ"),32,4+1)),"")</f>
        <v/>
      </c>
      <c r="E38" s="57" t="str">
        <f ca="1">IFERROR(IF(INDEX(INDIRECT("'"&amp;$B$2&amp;"月"&amp;"'!A:AZ"),32,4+2)="","",INDEX(INDIRECT("'"&amp;$B$2&amp;"月"&amp;"'!A:AZ"),32,4+2)),"")</f>
        <v>○</v>
      </c>
      <c r="F38" s="59" t="str">
        <f ca="1">IFERROR(IF(INDEX(INDIRECT("'"&amp;$B$2&amp;"月"&amp;"'!A:AZ"),32,4+3)="","",INDEX(INDIRECT("'"&amp;$B$2&amp;"月"&amp;"'!A:AZ"),32,4+3)),"")</f>
        <v/>
      </c>
      <c r="G38" s="57" t="str">
        <f ca="1">IFERROR(IF(INDEX(INDIRECT("'"&amp;$B$2&amp;"月"&amp;"'!A:AZ"),32,4+4)="","",INDEX(INDIRECT("'"&amp;$B$2&amp;"月"&amp;"'!A:AZ"),32,4+4)),"")</f>
        <v/>
      </c>
      <c r="H38" s="57"/>
    </row>
    <row r="39" spans="1:8" ht="13.5" customHeight="1">
      <c r="A39" s="57">
        <f>IF(DAY(DATE(対象年度,$B$2,30))&lt;&gt;30,"",30)</f>
        <v>30</v>
      </c>
      <c r="B39" s="57" t="str">
        <f>IF(DAY(DATE(対象年度,$B$2,30))&lt;&gt;30,"",CHOOSE(WEEKDAY(DATE(対象年度,$B$2,30),2),"月","火","水","木","金","土","日"))</f>
        <v>金</v>
      </c>
      <c r="C39" s="57" t="str">
        <f ca="1">IFERROR(IF(INDEX(INDIRECT("'"&amp;$B$2&amp;"月"&amp;"'!A:AZ"),33,4+0)="","",INDEX(INDIRECT("'"&amp;$B$2&amp;"月"&amp;"'!A:AZ"),33,4+0)),"")</f>
        <v>事務所</v>
      </c>
      <c r="D39" s="58" t="str">
        <f ca="1">IFERROR(IF(INDEX(INDIRECT("'"&amp;$B$2&amp;"月"&amp;"'!A:AZ"),33,4+1)="","",INDEX(INDIRECT("'"&amp;$B$2&amp;"月"&amp;"'!A:AZ"),33,4+1)),"")</f>
        <v/>
      </c>
      <c r="E39" s="57" t="str">
        <f ca="1">IFERROR(IF(INDEX(INDIRECT("'"&amp;$B$2&amp;"月"&amp;"'!A:AZ"),33,4+2)="","",INDEX(INDIRECT("'"&amp;$B$2&amp;"月"&amp;"'!A:AZ"),33,4+2)),"")</f>
        <v>○</v>
      </c>
      <c r="F39" s="59" t="str">
        <f ca="1">IFERROR(IF(INDEX(INDIRECT("'"&amp;$B$2&amp;"月"&amp;"'!A:AZ"),33,4+3)="","",INDEX(INDIRECT("'"&amp;$B$2&amp;"月"&amp;"'!A:AZ"),33,4+3)),"")</f>
        <v/>
      </c>
      <c r="G39" s="57" t="str">
        <f ca="1">IFERROR(IF(INDEX(INDIRECT("'"&amp;$B$2&amp;"月"&amp;"'!A:AZ"),33,4+4)="","",INDEX(INDIRECT("'"&amp;$B$2&amp;"月"&amp;"'!A:AZ"),33,4+4)),"")</f>
        <v/>
      </c>
      <c r="H39" s="57"/>
    </row>
    <row r="40" spans="1:8" ht="13.5" customHeight="1">
      <c r="A40" s="57">
        <f>IF(DAY(DATE(対象年度,$B$2,31))&lt;&gt;31,"",31)</f>
        <v>31</v>
      </c>
      <c r="B40" s="57" t="str">
        <f>IF(DAY(DATE(対象年度,$B$2,31))&lt;&gt;31,"",CHOOSE(WEEKDAY(DATE(対象年度,$B$2,31),2),"月","火","水","木","金","土","日"))</f>
        <v>土</v>
      </c>
      <c r="C40" s="57" t="str">
        <f ca="1">IFERROR(IF(INDEX(INDIRECT("'"&amp;$B$2&amp;"月"&amp;"'!A:AZ"),34,4+0)="","",INDEX(INDIRECT("'"&amp;$B$2&amp;"月"&amp;"'!A:AZ"),34,4+0)),"")</f>
        <v/>
      </c>
      <c r="D40" s="58" t="str">
        <f ca="1">IFERROR(IF(INDEX(INDIRECT("'"&amp;$B$2&amp;"月"&amp;"'!A:AZ"),34,4+1)="","",INDEX(INDIRECT("'"&amp;$B$2&amp;"月"&amp;"'!A:AZ"),34,4+1)),"")</f>
        <v/>
      </c>
      <c r="E40" s="57" t="str">
        <f ca="1">IFERROR(IF(INDEX(INDIRECT("'"&amp;$B$2&amp;"月"&amp;"'!A:AZ"),34,4+2)="","",INDEX(INDIRECT("'"&amp;$B$2&amp;"月"&amp;"'!A:AZ"),34,4+2)),"")</f>
        <v/>
      </c>
      <c r="F40" s="59" t="str">
        <f ca="1">IFERROR(IF(INDEX(INDIRECT("'"&amp;$B$2&amp;"月"&amp;"'!A:AZ"),34,4+3)="","",INDEX(INDIRECT("'"&amp;$B$2&amp;"月"&amp;"'!A:AZ"),34,4+3)),"")</f>
        <v/>
      </c>
      <c r="G40" s="57" t="str">
        <f ca="1">IFERROR(IF(INDEX(INDIRECT("'"&amp;$B$2&amp;"月"&amp;"'!A:AZ"),34,4+4)="","",INDEX(INDIRECT("'"&amp;$B$2&amp;"月"&amp;"'!A:AZ"),34,4+4)),"")</f>
        <v/>
      </c>
      <c r="H40" s="57"/>
    </row>
    <row r="41" spans="1:8" ht="21.75" customHeight="1">
      <c r="A41" s="112" t="s">
        <v>87</v>
      </c>
      <c r="B41" s="112"/>
      <c r="C41" s="61" t="s">
        <v>71</v>
      </c>
      <c r="D41" s="62">
        <f ca="1">IFERROR(INDEX(INDIRECT("'"&amp;$B$2&amp;"月"&amp;"'!A:AZ"),35,4),0)</f>
        <v>8</v>
      </c>
      <c r="E41" s="63" t="s">
        <v>72</v>
      </c>
      <c r="F41" s="64">
        <f ca="1">IFERROR(INDEX(INDIRECT("'"&amp;$B$2&amp;"月"&amp;"'!A:AZ"),36,4),0)</f>
        <v>0</v>
      </c>
      <c r="G41" s="61" t="s">
        <v>73</v>
      </c>
      <c r="H41" s="62">
        <f ca="1">IFERROR(INDEX(INDIRECT("'"&amp;$B$2&amp;"月"&amp;"'!A:AZ"),38,4),0)</f>
        <v>0</v>
      </c>
    </row>
    <row r="42" spans="1:8" ht="24" customHeight="1">
      <c r="A42" s="113"/>
      <c r="B42" s="113"/>
      <c r="C42" s="65" t="s">
        <v>76</v>
      </c>
      <c r="D42" s="66">
        <f ca="1">IFERROR(INDEX(INDIRECT("'"&amp;$B$2&amp;"月"&amp;"'!A:AZ"),37,4),0)</f>
        <v>8</v>
      </c>
      <c r="E42" s="67" t="s">
        <v>64</v>
      </c>
      <c r="F42" s="68">
        <f ca="1">IFERROR(INDEX(INDIRECT("'"&amp;$B$2&amp;"月"&amp;"'!A:AZ"),39,4),0)</f>
        <v>0</v>
      </c>
      <c r="G42" s="69" t="s">
        <v>65</v>
      </c>
      <c r="H42" s="70">
        <f ca="1">IFERROR(INDEX(INDIRECT("'"&amp;$B$2&amp;"月"&amp;"'!A:AZ"),40,4),0)</f>
        <v>0</v>
      </c>
    </row>
    <row r="44" spans="1:8" ht="27.75" customHeight="1">
      <c r="A44" s="105" t="s">
        <v>78</v>
      </c>
      <c r="B44" s="105"/>
      <c r="C44" s="105"/>
      <c r="D44" s="105"/>
      <c r="E44" s="105"/>
      <c r="F44" s="105"/>
      <c r="G44" s="105"/>
      <c r="H44" s="105"/>
    </row>
    <row r="45" spans="1:8" ht="18" customHeight="1">
      <c r="A45" s="114" t="s">
        <v>17</v>
      </c>
      <c r="B45" s="114"/>
      <c r="C45" s="114"/>
      <c r="D45" s="114"/>
      <c r="E45" s="114"/>
      <c r="F45" s="114"/>
      <c r="G45" s="114"/>
      <c r="H45" s="114"/>
    </row>
    <row r="46" spans="1:8" ht="27.75" customHeight="1">
      <c r="A46" s="49" t="s">
        <v>79</v>
      </c>
      <c r="B46" s="115" t="str">
        <f>対象年度&amp;"年 "&amp;$B$2&amp;"月"</f>
        <v>2026年 1月</v>
      </c>
      <c r="C46" s="115"/>
      <c r="D46" s="49" t="s">
        <v>80</v>
      </c>
      <c r="E46" s="116" t="str">
        <f>IFERROR(従業員マスタ!$C$5,"")</f>
        <v>配管　次郎</v>
      </c>
      <c r="F46" s="116"/>
      <c r="G46" s="116"/>
      <c r="H46" s="116"/>
    </row>
    <row r="47" spans="1:8" ht="19.5" customHeight="1">
      <c r="A47" s="73" t="s">
        <v>90</v>
      </c>
      <c r="B47" s="53" t="s">
        <v>91</v>
      </c>
      <c r="C47" s="120" t="s">
        <v>84</v>
      </c>
      <c r="D47" s="120"/>
      <c r="E47" s="120" t="s">
        <v>85</v>
      </c>
      <c r="F47" s="120"/>
      <c r="G47" s="117" t="s">
        <v>86</v>
      </c>
      <c r="H47" s="117"/>
    </row>
    <row r="48" spans="1:8" ht="43.5" customHeight="1">
      <c r="A48" s="74"/>
      <c r="B48" s="54"/>
      <c r="C48" s="111"/>
      <c r="D48" s="111"/>
      <c r="E48" s="111"/>
      <c r="F48" s="111"/>
      <c r="G48" s="111"/>
      <c r="H48" s="111"/>
    </row>
    <row r="49" spans="1:8" ht="19.5" customHeight="1">
      <c r="A49" s="55" t="s">
        <v>66</v>
      </c>
      <c r="B49" s="55" t="s">
        <v>67</v>
      </c>
      <c r="C49" s="55" t="s">
        <v>69</v>
      </c>
      <c r="D49" s="56" t="s">
        <v>70</v>
      </c>
      <c r="E49" s="55" t="s">
        <v>71</v>
      </c>
      <c r="F49" s="55" t="s">
        <v>72</v>
      </c>
      <c r="G49" s="55" t="s">
        <v>73</v>
      </c>
      <c r="H49" s="55" t="s">
        <v>57</v>
      </c>
    </row>
    <row r="50" spans="1:8" ht="13.5" customHeight="1">
      <c r="A50" s="57">
        <f>IF(DAY(DATE(対象年度,$B$2,1))&lt;&gt;1,"",1)</f>
        <v>1</v>
      </c>
      <c r="B50" s="57" t="str">
        <f>IF(DAY(DATE(対象年度,$B$2,1))&lt;&gt;1,"",CHOOSE(WEEKDAY(DATE(対象年度,$B$2,1),2),"月","火","水","木","金","土","日"))</f>
        <v>木</v>
      </c>
      <c r="C50" s="57" t="str">
        <f ca="1">IFERROR(IF(INDEX(INDIRECT("'"&amp;$B$2&amp;"月"&amp;"'!A:AZ"),4,9+0)="","",INDEX(INDIRECT("'"&amp;$B$2&amp;"月"&amp;"'!A:AZ"),4,9+0)),"")</f>
        <v/>
      </c>
      <c r="D50" s="58" t="str">
        <f ca="1">IFERROR(IF(INDEX(INDIRECT("'"&amp;$B$2&amp;"月"&amp;"'!A:AZ"),4,9+1)="","",INDEX(INDIRECT("'"&amp;$B$2&amp;"月"&amp;"'!A:AZ"),4,9+1)),"")</f>
        <v/>
      </c>
      <c r="E50" s="57" t="str">
        <f ca="1">IFERROR(IF(INDEX(INDIRECT("'"&amp;$B$2&amp;"月"&amp;"'!A:AZ"),4,9+2)="","",INDEX(INDIRECT("'"&amp;$B$2&amp;"月"&amp;"'!A:AZ"),4,9+2)),"")</f>
        <v/>
      </c>
      <c r="F50" s="59" t="str">
        <f ca="1">IFERROR(IF(INDEX(INDIRECT("'"&amp;$B$2&amp;"月"&amp;"'!A:AZ"),4,9+3)="","",INDEX(INDIRECT("'"&amp;$B$2&amp;"月"&amp;"'!A:AZ"),4,9+3)),"")</f>
        <v/>
      </c>
      <c r="G50" s="57" t="str">
        <f ca="1">IFERROR(IF(INDEX(INDIRECT("'"&amp;$B$2&amp;"月"&amp;"'!A:AZ"),4,9+4)="","",INDEX(INDIRECT("'"&amp;$B$2&amp;"月"&amp;"'!A:AZ"),4,9+4)),"")</f>
        <v/>
      </c>
      <c r="H50" s="57"/>
    </row>
    <row r="51" spans="1:8" ht="13.5" customHeight="1">
      <c r="A51" s="57">
        <f>IF(DAY(DATE(対象年度,$B$2,2))&lt;&gt;2,"",2)</f>
        <v>2</v>
      </c>
      <c r="B51" s="57" t="str">
        <f>IF(DAY(DATE(対象年度,$B$2,2))&lt;&gt;2,"",CHOOSE(WEEKDAY(DATE(対象年度,$B$2,2),2),"月","火","水","木","金","土","日"))</f>
        <v>金</v>
      </c>
      <c r="C51" s="57" t="str">
        <f ca="1">IFERROR(IF(INDEX(INDIRECT("'"&amp;$B$2&amp;"月"&amp;"'!A:AZ"),5,9+0)="","",INDEX(INDIRECT("'"&amp;$B$2&amp;"月"&amp;"'!A:AZ"),5,9+0)),"")</f>
        <v/>
      </c>
      <c r="D51" s="58" t="str">
        <f ca="1">IFERROR(IF(INDEX(INDIRECT("'"&amp;$B$2&amp;"月"&amp;"'!A:AZ"),5,9+1)="","",INDEX(INDIRECT("'"&amp;$B$2&amp;"月"&amp;"'!A:AZ"),5,9+1)),"")</f>
        <v/>
      </c>
      <c r="E51" s="57" t="str">
        <f ca="1">IFERROR(IF(INDEX(INDIRECT("'"&amp;$B$2&amp;"月"&amp;"'!A:AZ"),5,9+2)="","",INDEX(INDIRECT("'"&amp;$B$2&amp;"月"&amp;"'!A:AZ"),5,9+2)),"")</f>
        <v/>
      </c>
      <c r="F51" s="59" t="str">
        <f ca="1">IFERROR(IF(INDEX(INDIRECT("'"&amp;$B$2&amp;"月"&amp;"'!A:AZ"),5,9+3)="","",INDEX(INDIRECT("'"&amp;$B$2&amp;"月"&amp;"'!A:AZ"),5,9+3)),"")</f>
        <v/>
      </c>
      <c r="G51" s="57" t="str">
        <f ca="1">IFERROR(IF(INDEX(INDIRECT("'"&amp;$B$2&amp;"月"&amp;"'!A:AZ"),5,9+4)="","",INDEX(INDIRECT("'"&amp;$B$2&amp;"月"&amp;"'!A:AZ"),5,9+4)),"")</f>
        <v/>
      </c>
      <c r="H51" s="57"/>
    </row>
    <row r="52" spans="1:8" ht="13.5" customHeight="1">
      <c r="A52" s="57">
        <f>IF(DAY(DATE(対象年度,$B$2,3))&lt;&gt;3,"",3)</f>
        <v>3</v>
      </c>
      <c r="B52" s="57" t="str">
        <f>IF(DAY(DATE(対象年度,$B$2,3))&lt;&gt;3,"",CHOOSE(WEEKDAY(DATE(対象年度,$B$2,3),2),"月","火","水","木","金","土","日"))</f>
        <v>土</v>
      </c>
      <c r="C52" s="57" t="str">
        <f ca="1">IFERROR(IF(INDEX(INDIRECT("'"&amp;$B$2&amp;"月"&amp;"'!A:AZ"),6,9+0)="","",INDEX(INDIRECT("'"&amp;$B$2&amp;"月"&amp;"'!A:AZ"),6,9+0)),"")</f>
        <v/>
      </c>
      <c r="D52" s="58" t="str">
        <f ca="1">IFERROR(IF(INDEX(INDIRECT("'"&amp;$B$2&amp;"月"&amp;"'!A:AZ"),6,9+1)="","",INDEX(INDIRECT("'"&amp;$B$2&amp;"月"&amp;"'!A:AZ"),6,9+1)),"")</f>
        <v/>
      </c>
      <c r="E52" s="57" t="str">
        <f ca="1">IFERROR(IF(INDEX(INDIRECT("'"&amp;$B$2&amp;"月"&amp;"'!A:AZ"),6,9+2)="","",INDEX(INDIRECT("'"&amp;$B$2&amp;"月"&amp;"'!A:AZ"),6,9+2)),"")</f>
        <v/>
      </c>
      <c r="F52" s="59" t="str">
        <f ca="1">IFERROR(IF(INDEX(INDIRECT("'"&amp;$B$2&amp;"月"&amp;"'!A:AZ"),6,9+3)="","",INDEX(INDIRECT("'"&amp;$B$2&amp;"月"&amp;"'!A:AZ"),6,9+3)),"")</f>
        <v/>
      </c>
      <c r="G52" s="57" t="str">
        <f ca="1">IFERROR(IF(INDEX(INDIRECT("'"&amp;$B$2&amp;"月"&amp;"'!A:AZ"),6,9+4)="","",INDEX(INDIRECT("'"&amp;$B$2&amp;"月"&amp;"'!A:AZ"),6,9+4)),"")</f>
        <v/>
      </c>
      <c r="H52" s="57"/>
    </row>
    <row r="53" spans="1:8" ht="13.5" customHeight="1">
      <c r="A53" s="57">
        <f>IF(DAY(DATE(対象年度,$B$2,4))&lt;&gt;4,"",4)</f>
        <v>4</v>
      </c>
      <c r="B53" s="57" t="str">
        <f>IF(DAY(DATE(対象年度,$B$2,4))&lt;&gt;4,"",CHOOSE(WEEKDAY(DATE(対象年度,$B$2,4),2),"月","火","水","木","金","土","日"))</f>
        <v>日</v>
      </c>
      <c r="C53" s="57" t="str">
        <f ca="1">IFERROR(IF(INDEX(INDIRECT("'"&amp;$B$2&amp;"月"&amp;"'!A:AZ"),7,9+0)="","",INDEX(INDIRECT("'"&amp;$B$2&amp;"月"&amp;"'!A:AZ"),7,9+0)),"")</f>
        <v/>
      </c>
      <c r="D53" s="58" t="str">
        <f ca="1">IFERROR(IF(INDEX(INDIRECT("'"&amp;$B$2&amp;"月"&amp;"'!A:AZ"),7,9+1)="","",INDEX(INDIRECT("'"&amp;$B$2&amp;"月"&amp;"'!A:AZ"),7,9+1)),"")</f>
        <v/>
      </c>
      <c r="E53" s="57" t="str">
        <f ca="1">IFERROR(IF(INDEX(INDIRECT("'"&amp;$B$2&amp;"月"&amp;"'!A:AZ"),7,9+2)="","",INDEX(INDIRECT("'"&amp;$B$2&amp;"月"&amp;"'!A:AZ"),7,9+2)),"")</f>
        <v/>
      </c>
      <c r="F53" s="59" t="str">
        <f ca="1">IFERROR(IF(INDEX(INDIRECT("'"&amp;$B$2&amp;"月"&amp;"'!A:AZ"),7,9+3)="","",INDEX(INDIRECT("'"&amp;$B$2&amp;"月"&amp;"'!A:AZ"),7,9+3)),"")</f>
        <v/>
      </c>
      <c r="G53" s="57" t="str">
        <f ca="1">IFERROR(IF(INDEX(INDIRECT("'"&amp;$B$2&amp;"月"&amp;"'!A:AZ"),7,9+4)="","",INDEX(INDIRECT("'"&amp;$B$2&amp;"月"&amp;"'!A:AZ"),7,9+4)),"")</f>
        <v/>
      </c>
      <c r="H53" s="57"/>
    </row>
    <row r="54" spans="1:8" ht="13.5" customHeight="1">
      <c r="A54" s="57">
        <f>IF(DAY(DATE(対象年度,$B$2,5))&lt;&gt;5,"",5)</f>
        <v>5</v>
      </c>
      <c r="B54" s="57" t="str">
        <f>IF(DAY(DATE(対象年度,$B$2,5))&lt;&gt;5,"",CHOOSE(WEEKDAY(DATE(対象年度,$B$2,5),2),"月","火","水","木","金","土","日"))</f>
        <v>月</v>
      </c>
      <c r="C54" s="57" t="str">
        <f ca="1">IFERROR(IF(INDEX(INDIRECT("'"&amp;$B$2&amp;"月"&amp;"'!A:AZ"),8,9+0)="","",INDEX(INDIRECT("'"&amp;$B$2&amp;"月"&amp;"'!A:AZ"),8,9+0)),"")</f>
        <v/>
      </c>
      <c r="D54" s="58" t="str">
        <f ca="1">IFERROR(IF(INDEX(INDIRECT("'"&amp;$B$2&amp;"月"&amp;"'!A:AZ"),8,9+1)="","",INDEX(INDIRECT("'"&amp;$B$2&amp;"月"&amp;"'!A:AZ"),8,9+1)),"")</f>
        <v/>
      </c>
      <c r="E54" s="57" t="str">
        <f ca="1">IFERROR(IF(INDEX(INDIRECT("'"&amp;$B$2&amp;"月"&amp;"'!A:AZ"),8,9+2)="","",INDEX(INDIRECT("'"&amp;$B$2&amp;"月"&amp;"'!A:AZ"),8,9+2)),"")</f>
        <v/>
      </c>
      <c r="F54" s="59" t="str">
        <f ca="1">IFERROR(IF(INDEX(INDIRECT("'"&amp;$B$2&amp;"月"&amp;"'!A:AZ"),8,9+3)="","",INDEX(INDIRECT("'"&amp;$B$2&amp;"月"&amp;"'!A:AZ"),8,9+3)),"")</f>
        <v/>
      </c>
      <c r="G54" s="57" t="str">
        <f ca="1">IFERROR(IF(INDEX(INDIRECT("'"&amp;$B$2&amp;"月"&amp;"'!A:AZ"),8,9+4)="","",INDEX(INDIRECT("'"&amp;$B$2&amp;"月"&amp;"'!A:AZ"),8,9+4)),"")</f>
        <v/>
      </c>
      <c r="H54" s="57"/>
    </row>
    <row r="55" spans="1:8" ht="13.5" customHeight="1">
      <c r="A55" s="57">
        <f>IF(DAY(DATE(対象年度,$B$2,6))&lt;&gt;6,"",6)</f>
        <v>6</v>
      </c>
      <c r="B55" s="57" t="str">
        <f>IF(DAY(DATE(対象年度,$B$2,6))&lt;&gt;6,"",CHOOSE(WEEKDAY(DATE(対象年度,$B$2,6),2),"月","火","水","木","金","土","日"))</f>
        <v>火</v>
      </c>
      <c r="C55" s="57" t="str">
        <f ca="1">IFERROR(IF(INDEX(INDIRECT("'"&amp;$B$2&amp;"月"&amp;"'!A:AZ"),9,9+0)="","",INDEX(INDIRECT("'"&amp;$B$2&amp;"月"&amp;"'!A:AZ"),9,9+0)),"")</f>
        <v/>
      </c>
      <c r="D55" s="58" t="str">
        <f ca="1">IFERROR(IF(INDEX(INDIRECT("'"&amp;$B$2&amp;"月"&amp;"'!A:AZ"),9,9+1)="","",INDEX(INDIRECT("'"&amp;$B$2&amp;"月"&amp;"'!A:AZ"),9,9+1)),"")</f>
        <v/>
      </c>
      <c r="E55" s="57" t="str">
        <f ca="1">IFERROR(IF(INDEX(INDIRECT("'"&amp;$B$2&amp;"月"&amp;"'!A:AZ"),9,9+2)="","",INDEX(INDIRECT("'"&amp;$B$2&amp;"月"&amp;"'!A:AZ"),9,9+2)),"")</f>
        <v/>
      </c>
      <c r="F55" s="59" t="str">
        <f ca="1">IFERROR(IF(INDEX(INDIRECT("'"&amp;$B$2&amp;"月"&amp;"'!A:AZ"),9,9+3)="","",INDEX(INDIRECT("'"&amp;$B$2&amp;"月"&amp;"'!A:AZ"),9,9+3)),"")</f>
        <v/>
      </c>
      <c r="G55" s="57" t="str">
        <f ca="1">IFERROR(IF(INDEX(INDIRECT("'"&amp;$B$2&amp;"月"&amp;"'!A:AZ"),9,9+4)="","",INDEX(INDIRECT("'"&amp;$B$2&amp;"月"&amp;"'!A:AZ"),9,9+4)),"")</f>
        <v/>
      </c>
      <c r="H55" s="57"/>
    </row>
    <row r="56" spans="1:8" ht="13.5" customHeight="1">
      <c r="A56" s="57">
        <f>IF(DAY(DATE(対象年度,$B$2,7))&lt;&gt;7,"",7)</f>
        <v>7</v>
      </c>
      <c r="B56" s="57" t="str">
        <f>IF(DAY(DATE(対象年度,$B$2,7))&lt;&gt;7,"",CHOOSE(WEEKDAY(DATE(対象年度,$B$2,7),2),"月","火","水","木","金","土","日"))</f>
        <v>水</v>
      </c>
      <c r="C56" s="57" t="str">
        <f ca="1">IFERROR(IF(INDEX(INDIRECT("'"&amp;$B$2&amp;"月"&amp;"'!A:AZ"),10,9+0)="","",INDEX(INDIRECT("'"&amp;$B$2&amp;"月"&amp;"'!A:AZ"),10,9+0)),"")</f>
        <v/>
      </c>
      <c r="D56" s="58" t="str">
        <f ca="1">IFERROR(IF(INDEX(INDIRECT("'"&amp;$B$2&amp;"月"&amp;"'!A:AZ"),10,9+1)="","",INDEX(INDIRECT("'"&amp;$B$2&amp;"月"&amp;"'!A:AZ"),10,9+1)),"")</f>
        <v/>
      </c>
      <c r="E56" s="57" t="str">
        <f ca="1">IFERROR(IF(INDEX(INDIRECT("'"&amp;$B$2&amp;"月"&amp;"'!A:AZ"),10,9+2)="","",INDEX(INDIRECT("'"&amp;$B$2&amp;"月"&amp;"'!A:AZ"),10,9+2)),"")</f>
        <v/>
      </c>
      <c r="F56" s="59" t="str">
        <f ca="1">IFERROR(IF(INDEX(INDIRECT("'"&amp;$B$2&amp;"月"&amp;"'!A:AZ"),10,9+3)="","",INDEX(INDIRECT("'"&amp;$B$2&amp;"月"&amp;"'!A:AZ"),10,9+3)),"")</f>
        <v/>
      </c>
      <c r="G56" s="57" t="str">
        <f ca="1">IFERROR(IF(INDEX(INDIRECT("'"&amp;$B$2&amp;"月"&amp;"'!A:AZ"),10,9+4)="","",INDEX(INDIRECT("'"&amp;$B$2&amp;"月"&amp;"'!A:AZ"),10,9+4)),"")</f>
        <v/>
      </c>
      <c r="H56" s="57"/>
    </row>
    <row r="57" spans="1:8" ht="13.5" customHeight="1">
      <c r="A57" s="57">
        <f>IF(DAY(DATE(対象年度,$B$2,8))&lt;&gt;8,"",8)</f>
        <v>8</v>
      </c>
      <c r="B57" s="57" t="str">
        <f>IF(DAY(DATE(対象年度,$B$2,8))&lt;&gt;8,"",CHOOSE(WEEKDAY(DATE(対象年度,$B$2,8),2),"月","火","水","木","金","土","日"))</f>
        <v>木</v>
      </c>
      <c r="C57" s="57" t="str">
        <f ca="1">IFERROR(IF(INDEX(INDIRECT("'"&amp;$B$2&amp;"月"&amp;"'!A:AZ"),11,9+0)="","",INDEX(INDIRECT("'"&amp;$B$2&amp;"月"&amp;"'!A:AZ"),11,9+0)),"")</f>
        <v/>
      </c>
      <c r="D57" s="58" t="str">
        <f ca="1">IFERROR(IF(INDEX(INDIRECT("'"&amp;$B$2&amp;"月"&amp;"'!A:AZ"),11,9+1)="","",INDEX(INDIRECT("'"&amp;$B$2&amp;"月"&amp;"'!A:AZ"),11,9+1)),"")</f>
        <v/>
      </c>
      <c r="E57" s="57" t="str">
        <f ca="1">IFERROR(IF(INDEX(INDIRECT("'"&amp;$B$2&amp;"月"&amp;"'!A:AZ"),11,9+2)="","",INDEX(INDIRECT("'"&amp;$B$2&amp;"月"&amp;"'!A:AZ"),11,9+2)),"")</f>
        <v/>
      </c>
      <c r="F57" s="59" t="str">
        <f ca="1">IFERROR(IF(INDEX(INDIRECT("'"&amp;$B$2&amp;"月"&amp;"'!A:AZ"),11,9+3)="","",INDEX(INDIRECT("'"&amp;$B$2&amp;"月"&amp;"'!A:AZ"),11,9+3)),"")</f>
        <v/>
      </c>
      <c r="G57" s="57" t="str">
        <f ca="1">IFERROR(IF(INDEX(INDIRECT("'"&amp;$B$2&amp;"月"&amp;"'!A:AZ"),11,9+4)="","",INDEX(INDIRECT("'"&amp;$B$2&amp;"月"&amp;"'!A:AZ"),11,9+4)),"")</f>
        <v/>
      </c>
      <c r="H57" s="57"/>
    </row>
    <row r="58" spans="1:8" ht="13.5" customHeight="1">
      <c r="A58" s="57">
        <f>IF(DAY(DATE(対象年度,$B$2,9))&lt;&gt;9,"",9)</f>
        <v>9</v>
      </c>
      <c r="B58" s="57" t="str">
        <f>IF(DAY(DATE(対象年度,$B$2,9))&lt;&gt;9,"",CHOOSE(WEEKDAY(DATE(対象年度,$B$2,9),2),"月","火","水","木","金","土","日"))</f>
        <v>金</v>
      </c>
      <c r="C58" s="57" t="str">
        <f ca="1">IFERROR(IF(INDEX(INDIRECT("'"&amp;$B$2&amp;"月"&amp;"'!A:AZ"),12,9+0)="","",INDEX(INDIRECT("'"&amp;$B$2&amp;"月"&amp;"'!A:AZ"),12,9+0)),"")</f>
        <v/>
      </c>
      <c r="D58" s="58" t="str">
        <f ca="1">IFERROR(IF(INDEX(INDIRECT("'"&amp;$B$2&amp;"月"&amp;"'!A:AZ"),12,9+1)="","",INDEX(INDIRECT("'"&amp;$B$2&amp;"月"&amp;"'!A:AZ"),12,9+1)),"")</f>
        <v/>
      </c>
      <c r="E58" s="57" t="str">
        <f ca="1">IFERROR(IF(INDEX(INDIRECT("'"&amp;$B$2&amp;"月"&amp;"'!A:AZ"),12,9+2)="","",INDEX(INDIRECT("'"&amp;$B$2&amp;"月"&amp;"'!A:AZ"),12,9+2)),"")</f>
        <v/>
      </c>
      <c r="F58" s="59" t="str">
        <f ca="1">IFERROR(IF(INDEX(INDIRECT("'"&amp;$B$2&amp;"月"&amp;"'!A:AZ"),12,9+3)="","",INDEX(INDIRECT("'"&amp;$B$2&amp;"月"&amp;"'!A:AZ"),12,9+3)),"")</f>
        <v/>
      </c>
      <c r="G58" s="57" t="str">
        <f ca="1">IFERROR(IF(INDEX(INDIRECT("'"&amp;$B$2&amp;"月"&amp;"'!A:AZ"),12,9+4)="","",INDEX(INDIRECT("'"&amp;$B$2&amp;"月"&amp;"'!A:AZ"),12,9+4)),"")</f>
        <v/>
      </c>
      <c r="H58" s="57"/>
    </row>
    <row r="59" spans="1:8" ht="13.5" customHeight="1">
      <c r="A59" s="57">
        <f>IF(DAY(DATE(対象年度,$B$2,10))&lt;&gt;10,"",10)</f>
        <v>10</v>
      </c>
      <c r="B59" s="57" t="str">
        <f>IF(DAY(DATE(対象年度,$B$2,10))&lt;&gt;10,"",CHOOSE(WEEKDAY(DATE(対象年度,$B$2,10),2),"月","火","水","木","金","土","日"))</f>
        <v>土</v>
      </c>
      <c r="C59" s="57" t="str">
        <f ca="1">IFERROR(IF(INDEX(INDIRECT("'"&amp;$B$2&amp;"月"&amp;"'!A:AZ"),13,9+0)="","",INDEX(INDIRECT("'"&amp;$B$2&amp;"月"&amp;"'!A:AZ"),13,9+0)),"")</f>
        <v/>
      </c>
      <c r="D59" s="58" t="str">
        <f ca="1">IFERROR(IF(INDEX(INDIRECT("'"&amp;$B$2&amp;"月"&amp;"'!A:AZ"),13,9+1)="","",INDEX(INDIRECT("'"&amp;$B$2&amp;"月"&amp;"'!A:AZ"),13,9+1)),"")</f>
        <v/>
      </c>
      <c r="E59" s="57" t="str">
        <f ca="1">IFERROR(IF(INDEX(INDIRECT("'"&amp;$B$2&amp;"月"&amp;"'!A:AZ"),13,9+2)="","",INDEX(INDIRECT("'"&amp;$B$2&amp;"月"&amp;"'!A:AZ"),13,9+2)),"")</f>
        <v/>
      </c>
      <c r="F59" s="59" t="str">
        <f ca="1">IFERROR(IF(INDEX(INDIRECT("'"&amp;$B$2&amp;"月"&amp;"'!A:AZ"),13,9+3)="","",INDEX(INDIRECT("'"&amp;$B$2&amp;"月"&amp;"'!A:AZ"),13,9+3)),"")</f>
        <v/>
      </c>
      <c r="G59" s="57" t="str">
        <f ca="1">IFERROR(IF(INDEX(INDIRECT("'"&amp;$B$2&amp;"月"&amp;"'!A:AZ"),13,9+4)="","",INDEX(INDIRECT("'"&amp;$B$2&amp;"月"&amp;"'!A:AZ"),13,9+4)),"")</f>
        <v/>
      </c>
      <c r="H59" s="57"/>
    </row>
    <row r="60" spans="1:8" ht="13.5" customHeight="1">
      <c r="A60" s="57">
        <f>IF(DAY(DATE(対象年度,$B$2,11))&lt;&gt;11,"",11)</f>
        <v>11</v>
      </c>
      <c r="B60" s="57" t="str">
        <f>IF(DAY(DATE(対象年度,$B$2,11))&lt;&gt;11,"",CHOOSE(WEEKDAY(DATE(対象年度,$B$2,11),2),"月","火","水","木","金","土","日"))</f>
        <v>日</v>
      </c>
      <c r="C60" s="57" t="str">
        <f ca="1">IFERROR(IF(INDEX(INDIRECT("'"&amp;$B$2&amp;"月"&amp;"'!A:AZ"),14,9+0)="","",INDEX(INDIRECT("'"&amp;$B$2&amp;"月"&amp;"'!A:AZ"),14,9+0)),"")</f>
        <v/>
      </c>
      <c r="D60" s="58" t="str">
        <f ca="1">IFERROR(IF(INDEX(INDIRECT("'"&amp;$B$2&amp;"月"&amp;"'!A:AZ"),14,9+1)="","",INDEX(INDIRECT("'"&amp;$B$2&amp;"月"&amp;"'!A:AZ"),14,9+1)),"")</f>
        <v/>
      </c>
      <c r="E60" s="57" t="str">
        <f ca="1">IFERROR(IF(INDEX(INDIRECT("'"&amp;$B$2&amp;"月"&amp;"'!A:AZ"),14,9+2)="","",INDEX(INDIRECT("'"&amp;$B$2&amp;"月"&amp;"'!A:AZ"),14,9+2)),"")</f>
        <v/>
      </c>
      <c r="F60" s="59" t="str">
        <f ca="1">IFERROR(IF(INDEX(INDIRECT("'"&amp;$B$2&amp;"月"&amp;"'!A:AZ"),14,9+3)="","",INDEX(INDIRECT("'"&amp;$B$2&amp;"月"&amp;"'!A:AZ"),14,9+3)),"")</f>
        <v/>
      </c>
      <c r="G60" s="57" t="str">
        <f ca="1">IFERROR(IF(INDEX(INDIRECT("'"&amp;$B$2&amp;"月"&amp;"'!A:AZ"),14,9+4)="","",INDEX(INDIRECT("'"&amp;$B$2&amp;"月"&amp;"'!A:AZ"),14,9+4)),"")</f>
        <v/>
      </c>
      <c r="H60" s="57"/>
    </row>
    <row r="61" spans="1:8" ht="13.5" customHeight="1">
      <c r="A61" s="57">
        <f>IF(DAY(DATE(対象年度,$B$2,12))&lt;&gt;12,"",12)</f>
        <v>12</v>
      </c>
      <c r="B61" s="57" t="str">
        <f>IF(DAY(DATE(対象年度,$B$2,12))&lt;&gt;12,"",CHOOSE(WEEKDAY(DATE(対象年度,$B$2,12),2),"月","火","水","木","金","土","日"))</f>
        <v>月</v>
      </c>
      <c r="C61" s="57" t="str">
        <f ca="1">IFERROR(IF(INDEX(INDIRECT("'"&amp;$B$2&amp;"月"&amp;"'!A:AZ"),15,9+0)="","",INDEX(INDIRECT("'"&amp;$B$2&amp;"月"&amp;"'!A:AZ"),15,9+0)),"")</f>
        <v/>
      </c>
      <c r="D61" s="58" t="str">
        <f ca="1">IFERROR(IF(INDEX(INDIRECT("'"&amp;$B$2&amp;"月"&amp;"'!A:AZ"),15,9+1)="","",INDEX(INDIRECT("'"&amp;$B$2&amp;"月"&amp;"'!A:AZ"),15,9+1)),"")</f>
        <v/>
      </c>
      <c r="E61" s="57" t="str">
        <f ca="1">IFERROR(IF(INDEX(INDIRECT("'"&amp;$B$2&amp;"月"&amp;"'!A:AZ"),15,9+2)="","",INDEX(INDIRECT("'"&amp;$B$2&amp;"月"&amp;"'!A:AZ"),15,9+2)),"")</f>
        <v/>
      </c>
      <c r="F61" s="59" t="str">
        <f ca="1">IFERROR(IF(INDEX(INDIRECT("'"&amp;$B$2&amp;"月"&amp;"'!A:AZ"),15,9+3)="","",INDEX(INDIRECT("'"&amp;$B$2&amp;"月"&amp;"'!A:AZ"),15,9+3)),"")</f>
        <v/>
      </c>
      <c r="G61" s="57" t="str">
        <f ca="1">IFERROR(IF(INDEX(INDIRECT("'"&amp;$B$2&amp;"月"&amp;"'!A:AZ"),15,9+4)="","",INDEX(INDIRECT("'"&amp;$B$2&amp;"月"&amp;"'!A:AZ"),15,9+4)),"")</f>
        <v/>
      </c>
      <c r="H61" s="57"/>
    </row>
    <row r="62" spans="1:8" ht="13.5" customHeight="1">
      <c r="A62" s="57">
        <f>IF(DAY(DATE(対象年度,$B$2,13))&lt;&gt;13,"",13)</f>
        <v>13</v>
      </c>
      <c r="B62" s="57" t="str">
        <f>IF(DAY(DATE(対象年度,$B$2,13))&lt;&gt;13,"",CHOOSE(WEEKDAY(DATE(対象年度,$B$2,13),2),"月","火","水","木","金","土","日"))</f>
        <v>火</v>
      </c>
      <c r="C62" s="57" t="str">
        <f ca="1">IFERROR(IF(INDEX(INDIRECT("'"&amp;$B$2&amp;"月"&amp;"'!A:AZ"),16,9+0)="","",INDEX(INDIRECT("'"&amp;$B$2&amp;"月"&amp;"'!A:AZ"),16,9+0)),"")</f>
        <v/>
      </c>
      <c r="D62" s="58" t="str">
        <f ca="1">IFERROR(IF(INDEX(INDIRECT("'"&amp;$B$2&amp;"月"&amp;"'!A:AZ"),16,9+1)="","",INDEX(INDIRECT("'"&amp;$B$2&amp;"月"&amp;"'!A:AZ"),16,9+1)),"")</f>
        <v/>
      </c>
      <c r="E62" s="57" t="str">
        <f ca="1">IFERROR(IF(INDEX(INDIRECT("'"&amp;$B$2&amp;"月"&amp;"'!A:AZ"),16,9+2)="","",INDEX(INDIRECT("'"&amp;$B$2&amp;"月"&amp;"'!A:AZ"),16,9+2)),"")</f>
        <v/>
      </c>
      <c r="F62" s="59" t="str">
        <f ca="1">IFERROR(IF(INDEX(INDIRECT("'"&amp;$B$2&amp;"月"&amp;"'!A:AZ"),16,9+3)="","",INDEX(INDIRECT("'"&amp;$B$2&amp;"月"&amp;"'!A:AZ"),16,9+3)),"")</f>
        <v/>
      </c>
      <c r="G62" s="57" t="str">
        <f ca="1">IFERROR(IF(INDEX(INDIRECT("'"&amp;$B$2&amp;"月"&amp;"'!A:AZ"),16,9+4)="","",INDEX(INDIRECT("'"&amp;$B$2&amp;"月"&amp;"'!A:AZ"),16,9+4)),"")</f>
        <v/>
      </c>
      <c r="H62" s="57"/>
    </row>
    <row r="63" spans="1:8" ht="13.5" customHeight="1">
      <c r="A63" s="57">
        <f>IF(DAY(DATE(対象年度,$B$2,14))&lt;&gt;14,"",14)</f>
        <v>14</v>
      </c>
      <c r="B63" s="57" t="str">
        <f>IF(DAY(DATE(対象年度,$B$2,14))&lt;&gt;14,"",CHOOSE(WEEKDAY(DATE(対象年度,$B$2,14),2),"月","火","水","木","金","土","日"))</f>
        <v>水</v>
      </c>
      <c r="C63" s="57" t="str">
        <f ca="1">IFERROR(IF(INDEX(INDIRECT("'"&amp;$B$2&amp;"月"&amp;"'!A:AZ"),17,9+0)="","",INDEX(INDIRECT("'"&amp;$B$2&amp;"月"&amp;"'!A:AZ"),17,9+0)),"")</f>
        <v/>
      </c>
      <c r="D63" s="58" t="str">
        <f ca="1">IFERROR(IF(INDEX(INDIRECT("'"&amp;$B$2&amp;"月"&amp;"'!A:AZ"),17,9+1)="","",INDEX(INDIRECT("'"&amp;$B$2&amp;"月"&amp;"'!A:AZ"),17,9+1)),"")</f>
        <v/>
      </c>
      <c r="E63" s="57" t="str">
        <f ca="1">IFERROR(IF(INDEX(INDIRECT("'"&amp;$B$2&amp;"月"&amp;"'!A:AZ"),17,9+2)="","",INDEX(INDIRECT("'"&amp;$B$2&amp;"月"&amp;"'!A:AZ"),17,9+2)),"")</f>
        <v/>
      </c>
      <c r="F63" s="59" t="str">
        <f ca="1">IFERROR(IF(INDEX(INDIRECT("'"&amp;$B$2&amp;"月"&amp;"'!A:AZ"),17,9+3)="","",INDEX(INDIRECT("'"&amp;$B$2&amp;"月"&amp;"'!A:AZ"),17,9+3)),"")</f>
        <v/>
      </c>
      <c r="G63" s="57" t="str">
        <f ca="1">IFERROR(IF(INDEX(INDIRECT("'"&amp;$B$2&amp;"月"&amp;"'!A:AZ"),17,9+4)="","",INDEX(INDIRECT("'"&amp;$B$2&amp;"月"&amp;"'!A:AZ"),17,9+4)),"")</f>
        <v/>
      </c>
      <c r="H63" s="57"/>
    </row>
    <row r="64" spans="1:8" ht="13.5" customHeight="1">
      <c r="A64" s="57">
        <f>IF(DAY(DATE(対象年度,$B$2,15))&lt;&gt;15,"",15)</f>
        <v>15</v>
      </c>
      <c r="B64" s="57" t="str">
        <f>IF(DAY(DATE(対象年度,$B$2,15))&lt;&gt;15,"",CHOOSE(WEEKDAY(DATE(対象年度,$B$2,15),2),"月","火","水","木","金","土","日"))</f>
        <v>木</v>
      </c>
      <c r="C64" s="57" t="str">
        <f ca="1">IFERROR(IF(INDEX(INDIRECT("'"&amp;$B$2&amp;"月"&amp;"'!A:AZ"),18,9+0)="","",INDEX(INDIRECT("'"&amp;$B$2&amp;"月"&amp;"'!A:AZ"),18,9+0)),"")</f>
        <v/>
      </c>
      <c r="D64" s="58" t="str">
        <f ca="1">IFERROR(IF(INDEX(INDIRECT("'"&amp;$B$2&amp;"月"&amp;"'!A:AZ"),18,9+1)="","",INDEX(INDIRECT("'"&amp;$B$2&amp;"月"&amp;"'!A:AZ"),18,9+1)),"")</f>
        <v/>
      </c>
      <c r="E64" s="57" t="str">
        <f ca="1">IFERROR(IF(INDEX(INDIRECT("'"&amp;$B$2&amp;"月"&amp;"'!A:AZ"),18,9+2)="","",INDEX(INDIRECT("'"&amp;$B$2&amp;"月"&amp;"'!A:AZ"),18,9+2)),"")</f>
        <v/>
      </c>
      <c r="F64" s="59" t="str">
        <f ca="1">IFERROR(IF(INDEX(INDIRECT("'"&amp;$B$2&amp;"月"&amp;"'!A:AZ"),18,9+3)="","",INDEX(INDIRECT("'"&amp;$B$2&amp;"月"&amp;"'!A:AZ"),18,9+3)),"")</f>
        <v/>
      </c>
      <c r="G64" s="57" t="str">
        <f ca="1">IFERROR(IF(INDEX(INDIRECT("'"&amp;$B$2&amp;"月"&amp;"'!A:AZ"),18,9+4)="","",INDEX(INDIRECT("'"&amp;$B$2&amp;"月"&amp;"'!A:AZ"),18,9+4)),"")</f>
        <v/>
      </c>
      <c r="H64" s="57"/>
    </row>
    <row r="65" spans="1:8" ht="13.5" customHeight="1">
      <c r="A65" s="57">
        <f>IF(DAY(DATE(対象年度,$B$2,16))&lt;&gt;16,"",16)</f>
        <v>16</v>
      </c>
      <c r="B65" s="57" t="str">
        <f>IF(DAY(DATE(対象年度,$B$2,16))&lt;&gt;16,"",CHOOSE(WEEKDAY(DATE(対象年度,$B$2,16),2),"月","火","水","木","金","土","日"))</f>
        <v>金</v>
      </c>
      <c r="C65" s="57" t="str">
        <f ca="1">IFERROR(IF(INDEX(INDIRECT("'"&amp;$B$2&amp;"月"&amp;"'!A:AZ"),19,9+0)="","",INDEX(INDIRECT("'"&amp;$B$2&amp;"月"&amp;"'!A:AZ"),19,9+0)),"")</f>
        <v/>
      </c>
      <c r="D65" s="58" t="str">
        <f ca="1">IFERROR(IF(INDEX(INDIRECT("'"&amp;$B$2&amp;"月"&amp;"'!A:AZ"),19,9+1)="","",INDEX(INDIRECT("'"&amp;$B$2&amp;"月"&amp;"'!A:AZ"),19,9+1)),"")</f>
        <v/>
      </c>
      <c r="E65" s="57" t="str">
        <f ca="1">IFERROR(IF(INDEX(INDIRECT("'"&amp;$B$2&amp;"月"&amp;"'!A:AZ"),19,9+2)="","",INDEX(INDIRECT("'"&amp;$B$2&amp;"月"&amp;"'!A:AZ"),19,9+2)),"")</f>
        <v/>
      </c>
      <c r="F65" s="59" t="str">
        <f ca="1">IFERROR(IF(INDEX(INDIRECT("'"&amp;$B$2&amp;"月"&amp;"'!A:AZ"),19,9+3)="","",INDEX(INDIRECT("'"&amp;$B$2&amp;"月"&amp;"'!A:AZ"),19,9+3)),"")</f>
        <v/>
      </c>
      <c r="G65" s="57" t="str">
        <f ca="1">IFERROR(IF(INDEX(INDIRECT("'"&amp;$B$2&amp;"月"&amp;"'!A:AZ"),19,9+4)="","",INDEX(INDIRECT("'"&amp;$B$2&amp;"月"&amp;"'!A:AZ"),19,9+4)),"")</f>
        <v/>
      </c>
      <c r="H65" s="57"/>
    </row>
    <row r="66" spans="1:8" ht="13.5" customHeight="1">
      <c r="A66" s="57">
        <f>IF(DAY(DATE(対象年度,$B$2,17))&lt;&gt;17,"",17)</f>
        <v>17</v>
      </c>
      <c r="B66" s="57" t="str">
        <f>IF(DAY(DATE(対象年度,$B$2,17))&lt;&gt;17,"",CHOOSE(WEEKDAY(DATE(対象年度,$B$2,17),2),"月","火","水","木","金","土","日"))</f>
        <v>土</v>
      </c>
      <c r="C66" s="57" t="str">
        <f ca="1">IFERROR(IF(INDEX(INDIRECT("'"&amp;$B$2&amp;"月"&amp;"'!A:AZ"),20,9+0)="","",INDEX(INDIRECT("'"&amp;$B$2&amp;"月"&amp;"'!A:AZ"),20,9+0)),"")</f>
        <v/>
      </c>
      <c r="D66" s="58" t="str">
        <f ca="1">IFERROR(IF(INDEX(INDIRECT("'"&amp;$B$2&amp;"月"&amp;"'!A:AZ"),20,9+1)="","",INDEX(INDIRECT("'"&amp;$B$2&amp;"月"&amp;"'!A:AZ"),20,9+1)),"")</f>
        <v/>
      </c>
      <c r="E66" s="57" t="str">
        <f ca="1">IFERROR(IF(INDEX(INDIRECT("'"&amp;$B$2&amp;"月"&amp;"'!A:AZ"),20,9+2)="","",INDEX(INDIRECT("'"&amp;$B$2&amp;"月"&amp;"'!A:AZ"),20,9+2)),"")</f>
        <v/>
      </c>
      <c r="F66" s="59" t="str">
        <f ca="1">IFERROR(IF(INDEX(INDIRECT("'"&amp;$B$2&amp;"月"&amp;"'!A:AZ"),20,9+3)="","",INDEX(INDIRECT("'"&amp;$B$2&amp;"月"&amp;"'!A:AZ"),20,9+3)),"")</f>
        <v/>
      </c>
      <c r="G66" s="57" t="str">
        <f ca="1">IFERROR(IF(INDEX(INDIRECT("'"&amp;$B$2&amp;"月"&amp;"'!A:AZ"),20,9+4)="","",INDEX(INDIRECT("'"&amp;$B$2&amp;"月"&amp;"'!A:AZ"),20,9+4)),"")</f>
        <v/>
      </c>
      <c r="H66" s="57"/>
    </row>
    <row r="67" spans="1:8" ht="13.5" customHeight="1">
      <c r="A67" s="57">
        <f>IF(DAY(DATE(対象年度,$B$2,18))&lt;&gt;18,"",18)</f>
        <v>18</v>
      </c>
      <c r="B67" s="57" t="str">
        <f>IF(DAY(DATE(対象年度,$B$2,18))&lt;&gt;18,"",CHOOSE(WEEKDAY(DATE(対象年度,$B$2,18),2),"月","火","水","木","金","土","日"))</f>
        <v>日</v>
      </c>
      <c r="C67" s="57" t="str">
        <f ca="1">IFERROR(IF(INDEX(INDIRECT("'"&amp;$B$2&amp;"月"&amp;"'!A:AZ"),21,9+0)="","",INDEX(INDIRECT("'"&amp;$B$2&amp;"月"&amp;"'!A:AZ"),21,9+0)),"")</f>
        <v/>
      </c>
      <c r="D67" s="58" t="str">
        <f ca="1">IFERROR(IF(INDEX(INDIRECT("'"&amp;$B$2&amp;"月"&amp;"'!A:AZ"),21,9+1)="","",INDEX(INDIRECT("'"&amp;$B$2&amp;"月"&amp;"'!A:AZ"),21,9+1)),"")</f>
        <v/>
      </c>
      <c r="E67" s="57" t="str">
        <f ca="1">IFERROR(IF(INDEX(INDIRECT("'"&amp;$B$2&amp;"月"&amp;"'!A:AZ"),21,9+2)="","",INDEX(INDIRECT("'"&amp;$B$2&amp;"月"&amp;"'!A:AZ"),21,9+2)),"")</f>
        <v/>
      </c>
      <c r="F67" s="59" t="str">
        <f ca="1">IFERROR(IF(INDEX(INDIRECT("'"&amp;$B$2&amp;"月"&amp;"'!A:AZ"),21,9+3)="","",INDEX(INDIRECT("'"&amp;$B$2&amp;"月"&amp;"'!A:AZ"),21,9+3)),"")</f>
        <v/>
      </c>
      <c r="G67" s="57" t="str">
        <f ca="1">IFERROR(IF(INDEX(INDIRECT("'"&amp;$B$2&amp;"月"&amp;"'!A:AZ"),21,9+4)="","",INDEX(INDIRECT("'"&amp;$B$2&amp;"月"&amp;"'!A:AZ"),21,9+4)),"")</f>
        <v/>
      </c>
      <c r="H67" s="57"/>
    </row>
    <row r="68" spans="1:8" ht="13.5" customHeight="1">
      <c r="A68" s="57">
        <f>IF(DAY(DATE(対象年度,$B$2,19))&lt;&gt;19,"",19)</f>
        <v>19</v>
      </c>
      <c r="B68" s="57" t="str">
        <f>IF(DAY(DATE(対象年度,$B$2,19))&lt;&gt;19,"",CHOOSE(WEEKDAY(DATE(対象年度,$B$2,19),2),"月","火","水","木","金","土","日"))</f>
        <v>月</v>
      </c>
      <c r="C68" s="57" t="str">
        <f ca="1">IFERROR(IF(INDEX(INDIRECT("'"&amp;$B$2&amp;"月"&amp;"'!A:AZ"),22,9+0)="","",INDEX(INDIRECT("'"&amp;$B$2&amp;"月"&amp;"'!A:AZ"),22,9+0)),"")</f>
        <v/>
      </c>
      <c r="D68" s="58" t="str">
        <f ca="1">IFERROR(IF(INDEX(INDIRECT("'"&amp;$B$2&amp;"月"&amp;"'!A:AZ"),22,9+1)="","",INDEX(INDIRECT("'"&amp;$B$2&amp;"月"&amp;"'!A:AZ"),22,9+1)),"")</f>
        <v/>
      </c>
      <c r="E68" s="57" t="str">
        <f ca="1">IFERROR(IF(INDEX(INDIRECT("'"&amp;$B$2&amp;"月"&amp;"'!A:AZ"),22,9+2)="","",INDEX(INDIRECT("'"&amp;$B$2&amp;"月"&amp;"'!A:AZ"),22,9+2)),"")</f>
        <v/>
      </c>
      <c r="F68" s="59" t="str">
        <f ca="1">IFERROR(IF(INDEX(INDIRECT("'"&amp;$B$2&amp;"月"&amp;"'!A:AZ"),22,9+3)="","",INDEX(INDIRECT("'"&amp;$B$2&amp;"月"&amp;"'!A:AZ"),22,9+3)),"")</f>
        <v/>
      </c>
      <c r="G68" s="57" t="str">
        <f ca="1">IFERROR(IF(INDEX(INDIRECT("'"&amp;$B$2&amp;"月"&amp;"'!A:AZ"),22,9+4)="","",INDEX(INDIRECT("'"&amp;$B$2&amp;"月"&amp;"'!A:AZ"),22,9+4)),"")</f>
        <v/>
      </c>
      <c r="H68" s="57"/>
    </row>
    <row r="69" spans="1:8" ht="13.5" customHeight="1">
      <c r="A69" s="57">
        <f>IF(DAY(DATE(対象年度,$B$2,20))&lt;&gt;20,"",20)</f>
        <v>20</v>
      </c>
      <c r="B69" s="57" t="str">
        <f>IF(DAY(DATE(対象年度,$B$2,20))&lt;&gt;20,"",CHOOSE(WEEKDAY(DATE(対象年度,$B$2,20),2),"月","火","水","木","金","土","日"))</f>
        <v>火</v>
      </c>
      <c r="C69" s="57" t="str">
        <f ca="1">IFERROR(IF(INDEX(INDIRECT("'"&amp;$B$2&amp;"月"&amp;"'!A:AZ"),23,9+0)="","",INDEX(INDIRECT("'"&amp;$B$2&amp;"月"&amp;"'!A:AZ"),23,9+0)),"")</f>
        <v/>
      </c>
      <c r="D69" s="58" t="str">
        <f ca="1">IFERROR(IF(INDEX(INDIRECT("'"&amp;$B$2&amp;"月"&amp;"'!A:AZ"),23,9+1)="","",INDEX(INDIRECT("'"&amp;$B$2&amp;"月"&amp;"'!A:AZ"),23,9+1)),"")</f>
        <v/>
      </c>
      <c r="E69" s="57" t="str">
        <f ca="1">IFERROR(IF(INDEX(INDIRECT("'"&amp;$B$2&amp;"月"&amp;"'!A:AZ"),23,9+2)="","",INDEX(INDIRECT("'"&amp;$B$2&amp;"月"&amp;"'!A:AZ"),23,9+2)),"")</f>
        <v/>
      </c>
      <c r="F69" s="59" t="str">
        <f ca="1">IFERROR(IF(INDEX(INDIRECT("'"&amp;$B$2&amp;"月"&amp;"'!A:AZ"),23,9+3)="","",INDEX(INDIRECT("'"&amp;$B$2&amp;"月"&amp;"'!A:AZ"),23,9+3)),"")</f>
        <v/>
      </c>
      <c r="G69" s="57" t="str">
        <f ca="1">IFERROR(IF(INDEX(INDIRECT("'"&amp;$B$2&amp;"月"&amp;"'!A:AZ"),23,9+4)="","",INDEX(INDIRECT("'"&amp;$B$2&amp;"月"&amp;"'!A:AZ"),23,9+4)),"")</f>
        <v/>
      </c>
      <c r="H69" s="57"/>
    </row>
    <row r="70" spans="1:8" ht="13.5" customHeight="1">
      <c r="A70" s="57">
        <f>IF(DAY(DATE(対象年度,$B$2,21))&lt;&gt;21,"",21)</f>
        <v>21</v>
      </c>
      <c r="B70" s="57" t="str">
        <f>IF(DAY(DATE(対象年度,$B$2,21))&lt;&gt;21,"",CHOOSE(WEEKDAY(DATE(対象年度,$B$2,21),2),"月","火","水","木","金","土","日"))</f>
        <v>水</v>
      </c>
      <c r="C70" s="57" t="str">
        <f ca="1">IFERROR(IF(INDEX(INDIRECT("'"&amp;$B$2&amp;"月"&amp;"'!A:AZ"),24,9+0)="","",INDEX(INDIRECT("'"&amp;$B$2&amp;"月"&amp;"'!A:AZ"),24,9+0)),"")</f>
        <v>新宿</v>
      </c>
      <c r="D70" s="58" t="str">
        <f ca="1">IFERROR(IF(INDEX(INDIRECT("'"&amp;$B$2&amp;"月"&amp;"'!A:AZ"),24,9+1)="","",INDEX(INDIRECT("'"&amp;$B$2&amp;"月"&amp;"'!A:AZ"),24,9+1)),"")</f>
        <v/>
      </c>
      <c r="E70" s="57" t="str">
        <f ca="1">IFERROR(IF(INDEX(INDIRECT("'"&amp;$B$2&amp;"月"&amp;"'!A:AZ"),24,9+2)="","",INDEX(INDIRECT("'"&amp;$B$2&amp;"月"&amp;"'!A:AZ"),24,9+2)),"")</f>
        <v>○</v>
      </c>
      <c r="F70" s="59" t="str">
        <f ca="1">IFERROR(IF(INDEX(INDIRECT("'"&amp;$B$2&amp;"月"&amp;"'!A:AZ"),24,9+3)="","",INDEX(INDIRECT("'"&amp;$B$2&amp;"月"&amp;"'!A:AZ"),24,9+3)),"")</f>
        <v/>
      </c>
      <c r="G70" s="57" t="str">
        <f ca="1">IFERROR(IF(INDEX(INDIRECT("'"&amp;$B$2&amp;"月"&amp;"'!A:AZ"),24,9+4)="","",INDEX(INDIRECT("'"&amp;$B$2&amp;"月"&amp;"'!A:AZ"),24,9+4)),"")</f>
        <v/>
      </c>
      <c r="H70" s="57"/>
    </row>
    <row r="71" spans="1:8" ht="13.5" customHeight="1">
      <c r="A71" s="57">
        <f>IF(DAY(DATE(対象年度,$B$2,22))&lt;&gt;22,"",22)</f>
        <v>22</v>
      </c>
      <c r="B71" s="57" t="str">
        <f>IF(DAY(DATE(対象年度,$B$2,22))&lt;&gt;22,"",CHOOSE(WEEKDAY(DATE(対象年度,$B$2,22),2),"月","火","水","木","金","土","日"))</f>
        <v>木</v>
      </c>
      <c r="C71" s="57" t="str">
        <f ca="1">IFERROR(IF(INDEX(INDIRECT("'"&amp;$B$2&amp;"月"&amp;"'!A:AZ"),25,9+0)="","",INDEX(INDIRECT("'"&amp;$B$2&amp;"月"&amp;"'!A:AZ"),25,9+0)),"")</f>
        <v>新宿</v>
      </c>
      <c r="D71" s="58" t="str">
        <f ca="1">IFERROR(IF(INDEX(INDIRECT("'"&amp;$B$2&amp;"月"&amp;"'!A:AZ"),25,9+1)="","",INDEX(INDIRECT("'"&amp;$B$2&amp;"月"&amp;"'!A:AZ"),25,9+1)),"")</f>
        <v/>
      </c>
      <c r="E71" s="57" t="str">
        <f ca="1">IFERROR(IF(INDEX(INDIRECT("'"&amp;$B$2&amp;"月"&amp;"'!A:AZ"),25,9+2)="","",INDEX(INDIRECT("'"&amp;$B$2&amp;"月"&amp;"'!A:AZ"),25,9+2)),"")</f>
        <v>○</v>
      </c>
      <c r="F71" s="59" t="str">
        <f ca="1">IFERROR(IF(INDEX(INDIRECT("'"&amp;$B$2&amp;"月"&amp;"'!A:AZ"),25,9+3)="","",INDEX(INDIRECT("'"&amp;$B$2&amp;"月"&amp;"'!A:AZ"),25,9+3)),"")</f>
        <v/>
      </c>
      <c r="G71" s="57" t="str">
        <f ca="1">IFERROR(IF(INDEX(INDIRECT("'"&amp;$B$2&amp;"月"&amp;"'!A:AZ"),25,9+4)="","",INDEX(INDIRECT("'"&amp;$B$2&amp;"月"&amp;"'!A:AZ"),25,9+4)),"")</f>
        <v/>
      </c>
      <c r="H71" s="57"/>
    </row>
    <row r="72" spans="1:8" ht="13.5" customHeight="1">
      <c r="A72" s="57">
        <f>IF(DAY(DATE(対象年度,$B$2,23))&lt;&gt;23,"",23)</f>
        <v>23</v>
      </c>
      <c r="B72" s="57" t="str">
        <f>IF(DAY(DATE(対象年度,$B$2,23))&lt;&gt;23,"",CHOOSE(WEEKDAY(DATE(対象年度,$B$2,23),2),"月","火","水","木","金","土","日"))</f>
        <v>金</v>
      </c>
      <c r="C72" s="57" t="str">
        <f ca="1">IFERROR(IF(INDEX(INDIRECT("'"&amp;$B$2&amp;"月"&amp;"'!A:AZ"),26,9+0)="","",INDEX(INDIRECT("'"&amp;$B$2&amp;"月"&amp;"'!A:AZ"),26,9+0)),"")</f>
        <v>新宿</v>
      </c>
      <c r="D72" s="58" t="str">
        <f ca="1">IFERROR(IF(INDEX(INDIRECT("'"&amp;$B$2&amp;"月"&amp;"'!A:AZ"),26,9+1)="","",INDEX(INDIRECT("'"&amp;$B$2&amp;"月"&amp;"'!A:AZ"),26,9+1)),"")</f>
        <v/>
      </c>
      <c r="E72" s="57" t="str">
        <f ca="1">IFERROR(IF(INDEX(INDIRECT("'"&amp;$B$2&amp;"月"&amp;"'!A:AZ"),26,9+2)="","",INDEX(INDIRECT("'"&amp;$B$2&amp;"月"&amp;"'!A:AZ"),26,9+2)),"")</f>
        <v>○</v>
      </c>
      <c r="F72" s="59" t="str">
        <f ca="1">IFERROR(IF(INDEX(INDIRECT("'"&amp;$B$2&amp;"月"&amp;"'!A:AZ"),26,9+3)="","",INDEX(INDIRECT("'"&amp;$B$2&amp;"月"&amp;"'!A:AZ"),26,9+3)),"")</f>
        <v/>
      </c>
      <c r="G72" s="57" t="str">
        <f ca="1">IFERROR(IF(INDEX(INDIRECT("'"&amp;$B$2&amp;"月"&amp;"'!A:AZ"),26,9+4)="","",INDEX(INDIRECT("'"&amp;$B$2&amp;"月"&amp;"'!A:AZ"),26,9+4)),"")</f>
        <v/>
      </c>
      <c r="H72" s="57"/>
    </row>
    <row r="73" spans="1:8" ht="13.5" customHeight="1">
      <c r="A73" s="57">
        <f>IF(DAY(DATE(対象年度,$B$2,24))&lt;&gt;24,"",24)</f>
        <v>24</v>
      </c>
      <c r="B73" s="57" t="str">
        <f>IF(DAY(DATE(対象年度,$B$2,24))&lt;&gt;24,"",CHOOSE(WEEKDAY(DATE(対象年度,$B$2,24),2),"月","火","水","木","金","土","日"))</f>
        <v>土</v>
      </c>
      <c r="C73" s="57" t="str">
        <f ca="1">IFERROR(IF(INDEX(INDIRECT("'"&amp;$B$2&amp;"月"&amp;"'!A:AZ"),27,9+0)="","",INDEX(INDIRECT("'"&amp;$B$2&amp;"月"&amp;"'!A:AZ"),27,9+0)),"")</f>
        <v>新宿</v>
      </c>
      <c r="D73" s="58" t="str">
        <f ca="1">IFERROR(IF(INDEX(INDIRECT("'"&amp;$B$2&amp;"月"&amp;"'!A:AZ"),27,9+1)="","",INDEX(INDIRECT("'"&amp;$B$2&amp;"月"&amp;"'!A:AZ"),27,9+1)),"")</f>
        <v/>
      </c>
      <c r="E73" s="57" t="str">
        <f ca="1">IFERROR(IF(INDEX(INDIRECT("'"&amp;$B$2&amp;"月"&amp;"'!A:AZ"),27,9+2)="","",INDEX(INDIRECT("'"&amp;$B$2&amp;"月"&amp;"'!A:AZ"),27,9+2)),"")</f>
        <v>○</v>
      </c>
      <c r="F73" s="59" t="str">
        <f ca="1">IFERROR(IF(INDEX(INDIRECT("'"&amp;$B$2&amp;"月"&amp;"'!A:AZ"),27,9+3)="","",INDEX(INDIRECT("'"&amp;$B$2&amp;"月"&amp;"'!A:AZ"),27,9+3)),"")</f>
        <v/>
      </c>
      <c r="G73" s="57" t="str">
        <f ca="1">IFERROR(IF(INDEX(INDIRECT("'"&amp;$B$2&amp;"月"&amp;"'!A:AZ"),27,9+4)="","",INDEX(INDIRECT("'"&amp;$B$2&amp;"月"&amp;"'!A:AZ"),27,9+4)),"")</f>
        <v/>
      </c>
      <c r="H73" s="57"/>
    </row>
    <row r="74" spans="1:8" ht="13.5" customHeight="1">
      <c r="A74" s="57">
        <f>IF(DAY(DATE(対象年度,$B$2,25))&lt;&gt;25,"",25)</f>
        <v>25</v>
      </c>
      <c r="B74" s="57" t="str">
        <f>IF(DAY(DATE(対象年度,$B$2,25))&lt;&gt;25,"",CHOOSE(WEEKDAY(DATE(対象年度,$B$2,25),2),"月","火","水","木","金","土","日"))</f>
        <v>日</v>
      </c>
      <c r="C74" s="57" t="str">
        <f ca="1">IFERROR(IF(INDEX(INDIRECT("'"&amp;$B$2&amp;"月"&amp;"'!A:AZ"),28,9+0)="","",INDEX(INDIRECT("'"&amp;$B$2&amp;"月"&amp;"'!A:AZ"),28,9+0)),"")</f>
        <v/>
      </c>
      <c r="D74" s="58" t="str">
        <f ca="1">IFERROR(IF(INDEX(INDIRECT("'"&amp;$B$2&amp;"月"&amp;"'!A:AZ"),28,9+1)="","",INDEX(INDIRECT("'"&amp;$B$2&amp;"月"&amp;"'!A:AZ"),28,9+1)),"")</f>
        <v/>
      </c>
      <c r="E74" s="57" t="str">
        <f ca="1">IFERROR(IF(INDEX(INDIRECT("'"&amp;$B$2&amp;"月"&amp;"'!A:AZ"),28,9+2)="","",INDEX(INDIRECT("'"&amp;$B$2&amp;"月"&amp;"'!A:AZ"),28,9+2)),"")</f>
        <v/>
      </c>
      <c r="F74" s="59" t="str">
        <f ca="1">IFERROR(IF(INDEX(INDIRECT("'"&amp;$B$2&amp;"月"&amp;"'!A:AZ"),28,9+3)="","",INDEX(INDIRECT("'"&amp;$B$2&amp;"月"&amp;"'!A:AZ"),28,9+3)),"")</f>
        <v/>
      </c>
      <c r="G74" s="57" t="str">
        <f ca="1">IFERROR(IF(INDEX(INDIRECT("'"&amp;$B$2&amp;"月"&amp;"'!A:AZ"),28,9+4)="","",INDEX(INDIRECT("'"&amp;$B$2&amp;"月"&amp;"'!A:AZ"),28,9+4)),"")</f>
        <v/>
      </c>
      <c r="H74" s="57"/>
    </row>
    <row r="75" spans="1:8" ht="13.5" customHeight="1">
      <c r="A75" s="57">
        <f>IF(DAY(DATE(対象年度,$B$2,26))&lt;&gt;26,"",26)</f>
        <v>26</v>
      </c>
      <c r="B75" s="57" t="str">
        <f>IF(DAY(DATE(対象年度,$B$2,26))&lt;&gt;26,"",CHOOSE(WEEKDAY(DATE(対象年度,$B$2,26),2),"月","火","水","木","金","土","日"))</f>
        <v>月</v>
      </c>
      <c r="C75" s="57" t="str">
        <f ca="1">IFERROR(IF(INDEX(INDIRECT("'"&amp;$B$2&amp;"月"&amp;"'!A:AZ"),29,9+0)="","",INDEX(INDIRECT("'"&amp;$B$2&amp;"月"&amp;"'!A:AZ"),29,9+0)),"")</f>
        <v>有給</v>
      </c>
      <c r="D75" s="58" t="str">
        <f ca="1">IFERROR(IF(INDEX(INDIRECT("'"&amp;$B$2&amp;"月"&amp;"'!A:AZ"),29,9+1)="","",INDEX(INDIRECT("'"&amp;$B$2&amp;"月"&amp;"'!A:AZ"),29,9+1)),"")</f>
        <v/>
      </c>
      <c r="E75" s="57" t="str">
        <f ca="1">IFERROR(IF(INDEX(INDIRECT("'"&amp;$B$2&amp;"月"&amp;"'!A:AZ"),29,9+2)="","",INDEX(INDIRECT("'"&amp;$B$2&amp;"月"&amp;"'!A:AZ"),29,9+2)),"")</f>
        <v>○</v>
      </c>
      <c r="F75" s="59" t="str">
        <f ca="1">IFERROR(IF(INDEX(INDIRECT("'"&amp;$B$2&amp;"月"&amp;"'!A:AZ"),29,9+3)="","",INDEX(INDIRECT("'"&amp;$B$2&amp;"月"&amp;"'!A:AZ"),29,9+3)),"")</f>
        <v/>
      </c>
      <c r="G75" s="57" t="str">
        <f ca="1">IFERROR(IF(INDEX(INDIRECT("'"&amp;$B$2&amp;"月"&amp;"'!A:AZ"),29,9+4)="","",INDEX(INDIRECT("'"&amp;$B$2&amp;"月"&amp;"'!A:AZ"),29,9+4)),"")</f>
        <v/>
      </c>
      <c r="H75" s="57"/>
    </row>
    <row r="76" spans="1:8" ht="13.5" customHeight="1">
      <c r="A76" s="57">
        <f>IF(DAY(DATE(対象年度,$B$2,27))&lt;&gt;27,"",27)</f>
        <v>27</v>
      </c>
      <c r="B76" s="57" t="str">
        <f>IF(DAY(DATE(対象年度,$B$2,27))&lt;&gt;27,"",CHOOSE(WEEKDAY(DATE(対象年度,$B$2,27),2),"月","火","水","木","金","土","日"))</f>
        <v>火</v>
      </c>
      <c r="C76" s="57" t="str">
        <f ca="1">IFERROR(IF(INDEX(INDIRECT("'"&amp;$B$2&amp;"月"&amp;"'!A:AZ"),30,9+0)="","",INDEX(INDIRECT("'"&amp;$B$2&amp;"月"&amp;"'!A:AZ"),30,9+0)),"")</f>
        <v>新宿</v>
      </c>
      <c r="D76" s="58" t="str">
        <f ca="1">IFERROR(IF(INDEX(INDIRECT("'"&amp;$B$2&amp;"月"&amp;"'!A:AZ"),30,9+1)="","",INDEX(INDIRECT("'"&amp;$B$2&amp;"月"&amp;"'!A:AZ"),30,9+1)),"")</f>
        <v/>
      </c>
      <c r="E76" s="57" t="str">
        <f ca="1">IFERROR(IF(INDEX(INDIRECT("'"&amp;$B$2&amp;"月"&amp;"'!A:AZ"),30,9+2)="","",INDEX(INDIRECT("'"&amp;$B$2&amp;"月"&amp;"'!A:AZ"),30,9+2)),"")</f>
        <v>○</v>
      </c>
      <c r="F76" s="59" t="str">
        <f ca="1">IFERROR(IF(INDEX(INDIRECT("'"&amp;$B$2&amp;"月"&amp;"'!A:AZ"),30,9+3)="","",INDEX(INDIRECT("'"&amp;$B$2&amp;"月"&amp;"'!A:AZ"),30,9+3)),"")</f>
        <v/>
      </c>
      <c r="G76" s="57" t="str">
        <f ca="1">IFERROR(IF(INDEX(INDIRECT("'"&amp;$B$2&amp;"月"&amp;"'!A:AZ"),30,9+4)="","",INDEX(INDIRECT("'"&amp;$B$2&amp;"月"&amp;"'!A:AZ"),30,9+4)),"")</f>
        <v/>
      </c>
      <c r="H76" s="57"/>
    </row>
    <row r="77" spans="1:8" ht="13.5" customHeight="1">
      <c r="A77" s="57">
        <f>IF(DAY(DATE(対象年度,$B$2,28))&lt;&gt;28,"",28)</f>
        <v>28</v>
      </c>
      <c r="B77" s="57" t="str">
        <f>IF(DAY(DATE(対象年度,$B$2,28))&lt;&gt;28,"",CHOOSE(WEEKDAY(DATE(対象年度,$B$2,28),2),"月","火","水","木","金","土","日"))</f>
        <v>水</v>
      </c>
      <c r="C77" s="57" t="str">
        <f ca="1">IFERROR(IF(INDEX(INDIRECT("'"&amp;$B$2&amp;"月"&amp;"'!A:AZ"),31,9+0)="","",INDEX(INDIRECT("'"&amp;$B$2&amp;"月"&amp;"'!A:AZ"),31,9+0)),"")</f>
        <v>新宿</v>
      </c>
      <c r="D77" s="58" t="str">
        <f ca="1">IFERROR(IF(INDEX(INDIRECT("'"&amp;$B$2&amp;"月"&amp;"'!A:AZ"),31,9+1)="","",INDEX(INDIRECT("'"&amp;$B$2&amp;"月"&amp;"'!A:AZ"),31,9+1)),"")</f>
        <v/>
      </c>
      <c r="E77" s="57" t="str">
        <f ca="1">IFERROR(IF(INDEX(INDIRECT("'"&amp;$B$2&amp;"月"&amp;"'!A:AZ"),31,9+2)="","",INDEX(INDIRECT("'"&amp;$B$2&amp;"月"&amp;"'!A:AZ"),31,9+2)),"")</f>
        <v>○</v>
      </c>
      <c r="F77" s="59" t="str">
        <f ca="1">IFERROR(IF(INDEX(INDIRECT("'"&amp;$B$2&amp;"月"&amp;"'!A:AZ"),31,9+3)="","",INDEX(INDIRECT("'"&amp;$B$2&amp;"月"&amp;"'!A:AZ"),31,9+3)),"")</f>
        <v/>
      </c>
      <c r="G77" s="57" t="str">
        <f ca="1">IFERROR(IF(INDEX(INDIRECT("'"&amp;$B$2&amp;"月"&amp;"'!A:AZ"),31,9+4)="","",INDEX(INDIRECT("'"&amp;$B$2&amp;"月"&amp;"'!A:AZ"),31,9+4)),"")</f>
        <v/>
      </c>
      <c r="H77" s="57"/>
    </row>
    <row r="78" spans="1:8" ht="13.5" customHeight="1">
      <c r="A78" s="57">
        <f>IF(DAY(DATE(対象年度,$B$2,29))&lt;&gt;29,"",29)</f>
        <v>29</v>
      </c>
      <c r="B78" s="57" t="str">
        <f>IF(DAY(DATE(対象年度,$B$2,29))&lt;&gt;29,"",CHOOSE(WEEKDAY(DATE(対象年度,$B$2,29),2),"月","火","水","木","金","土","日"))</f>
        <v>木</v>
      </c>
      <c r="C78" s="57" t="str">
        <f ca="1">IFERROR(IF(INDEX(INDIRECT("'"&amp;$B$2&amp;"月"&amp;"'!A:AZ"),32,9+0)="","",INDEX(INDIRECT("'"&amp;$B$2&amp;"月"&amp;"'!A:AZ"),32,9+0)),"")</f>
        <v>新宿</v>
      </c>
      <c r="D78" s="58" t="str">
        <f ca="1">IFERROR(IF(INDEX(INDIRECT("'"&amp;$B$2&amp;"月"&amp;"'!A:AZ"),32,9+1)="","",INDEX(INDIRECT("'"&amp;$B$2&amp;"月"&amp;"'!A:AZ"),32,9+1)),"")</f>
        <v/>
      </c>
      <c r="E78" s="57" t="str">
        <f ca="1">IFERROR(IF(INDEX(INDIRECT("'"&amp;$B$2&amp;"月"&amp;"'!A:AZ"),32,9+2)="","",INDEX(INDIRECT("'"&amp;$B$2&amp;"月"&amp;"'!A:AZ"),32,9+2)),"")</f>
        <v>○</v>
      </c>
      <c r="F78" s="59" t="str">
        <f ca="1">IFERROR(IF(INDEX(INDIRECT("'"&amp;$B$2&amp;"月"&amp;"'!A:AZ"),32,9+3)="","",INDEX(INDIRECT("'"&amp;$B$2&amp;"月"&amp;"'!A:AZ"),32,9+3)),"")</f>
        <v/>
      </c>
      <c r="G78" s="57" t="str">
        <f ca="1">IFERROR(IF(INDEX(INDIRECT("'"&amp;$B$2&amp;"月"&amp;"'!A:AZ"),32,9+4)="","",INDEX(INDIRECT("'"&amp;$B$2&amp;"月"&amp;"'!A:AZ"),32,9+4)),"")</f>
        <v/>
      </c>
      <c r="H78" s="57"/>
    </row>
    <row r="79" spans="1:8" ht="13.5" customHeight="1">
      <c r="A79" s="57">
        <f>IF(DAY(DATE(対象年度,$B$2,30))&lt;&gt;30,"",30)</f>
        <v>30</v>
      </c>
      <c r="B79" s="57" t="str">
        <f>IF(DAY(DATE(対象年度,$B$2,30))&lt;&gt;30,"",CHOOSE(WEEKDAY(DATE(対象年度,$B$2,30),2),"月","火","水","木","金","土","日"))</f>
        <v>金</v>
      </c>
      <c r="C79" s="57" t="str">
        <f ca="1">IFERROR(IF(INDEX(INDIRECT("'"&amp;$B$2&amp;"月"&amp;"'!A:AZ"),33,9+0)="","",INDEX(INDIRECT("'"&amp;$B$2&amp;"月"&amp;"'!A:AZ"),33,9+0)),"")</f>
        <v>新宿</v>
      </c>
      <c r="D79" s="58" t="str">
        <f ca="1">IFERROR(IF(INDEX(INDIRECT("'"&amp;$B$2&amp;"月"&amp;"'!A:AZ"),33,9+1)="","",INDEX(INDIRECT("'"&amp;$B$2&amp;"月"&amp;"'!A:AZ"),33,9+1)),"")</f>
        <v/>
      </c>
      <c r="E79" s="57" t="str">
        <f ca="1">IFERROR(IF(INDEX(INDIRECT("'"&amp;$B$2&amp;"月"&amp;"'!A:AZ"),33,9+2)="","",INDEX(INDIRECT("'"&amp;$B$2&amp;"月"&amp;"'!A:AZ"),33,9+2)),"")</f>
        <v>○</v>
      </c>
      <c r="F79" s="59" t="str">
        <f ca="1">IFERROR(IF(INDEX(INDIRECT("'"&amp;$B$2&amp;"月"&amp;"'!A:AZ"),33,9+3)="","",INDEX(INDIRECT("'"&amp;$B$2&amp;"月"&amp;"'!A:AZ"),33,9+3)),"")</f>
        <v/>
      </c>
      <c r="G79" s="57" t="str">
        <f ca="1">IFERROR(IF(INDEX(INDIRECT("'"&amp;$B$2&amp;"月"&amp;"'!A:AZ"),33,9+4)="","",INDEX(INDIRECT("'"&amp;$B$2&amp;"月"&amp;"'!A:AZ"),33,9+4)),"")</f>
        <v/>
      </c>
      <c r="H79" s="57"/>
    </row>
    <row r="80" spans="1:8" ht="13.5" customHeight="1">
      <c r="A80" s="57">
        <f>IF(DAY(DATE(対象年度,$B$2,31))&lt;&gt;31,"",31)</f>
        <v>31</v>
      </c>
      <c r="B80" s="57" t="str">
        <f>IF(DAY(DATE(対象年度,$B$2,31))&lt;&gt;31,"",CHOOSE(WEEKDAY(DATE(対象年度,$B$2,31),2),"月","火","水","木","金","土","日"))</f>
        <v>土</v>
      </c>
      <c r="C80" s="57" t="str">
        <f ca="1">IFERROR(IF(INDEX(INDIRECT("'"&amp;$B$2&amp;"月"&amp;"'!A:AZ"),34,9+0)="","",INDEX(INDIRECT("'"&amp;$B$2&amp;"月"&amp;"'!A:AZ"),34,9+0)),"")</f>
        <v>渋谷</v>
      </c>
      <c r="D80" s="58" t="str">
        <f ca="1">IFERROR(IF(INDEX(INDIRECT("'"&amp;$B$2&amp;"月"&amp;"'!A:AZ"),34,9+1)="","",INDEX(INDIRECT("'"&amp;$B$2&amp;"月"&amp;"'!A:AZ"),34,9+1)),"")</f>
        <v/>
      </c>
      <c r="E80" s="57" t="str">
        <f ca="1">IFERROR(IF(INDEX(INDIRECT("'"&amp;$B$2&amp;"月"&amp;"'!A:AZ"),34,9+2)="","",INDEX(INDIRECT("'"&amp;$B$2&amp;"月"&amp;"'!A:AZ"),34,9+2)),"")</f>
        <v>○</v>
      </c>
      <c r="F80" s="59" t="str">
        <f ca="1">IFERROR(IF(INDEX(INDIRECT("'"&amp;$B$2&amp;"月"&amp;"'!A:AZ"),34,9+3)="","",INDEX(INDIRECT("'"&amp;$B$2&amp;"月"&amp;"'!A:AZ"),34,9+3)),"")</f>
        <v/>
      </c>
      <c r="G80" s="57" t="str">
        <f ca="1">IFERROR(IF(INDEX(INDIRECT("'"&amp;$B$2&amp;"月"&amp;"'!A:AZ"),34,9+4)="","",INDEX(INDIRECT("'"&amp;$B$2&amp;"月"&amp;"'!A:AZ"),34,9+4)),"")</f>
        <v/>
      </c>
      <c r="H80" s="57"/>
    </row>
    <row r="81" spans="1:8" ht="21.75" customHeight="1">
      <c r="A81" s="112" t="s">
        <v>87</v>
      </c>
      <c r="B81" s="112"/>
      <c r="C81" s="61" t="s">
        <v>71</v>
      </c>
      <c r="D81" s="62">
        <f ca="1">IFERROR(INDEX(INDIRECT("'"&amp;$B$2&amp;"月"&amp;"'!A:AZ"),35,9),0)</f>
        <v>10</v>
      </c>
      <c r="E81" s="63" t="s">
        <v>72</v>
      </c>
      <c r="F81" s="64">
        <f ca="1">IFERROR(INDEX(INDIRECT("'"&amp;$B$2&amp;"月"&amp;"'!A:AZ"),36,9),0)</f>
        <v>0</v>
      </c>
      <c r="G81" s="61" t="s">
        <v>73</v>
      </c>
      <c r="H81" s="62">
        <f ca="1">IFERROR(INDEX(INDIRECT("'"&amp;$B$2&amp;"月"&amp;"'!A:AZ"),38,9),0)</f>
        <v>0</v>
      </c>
    </row>
    <row r="82" spans="1:8" ht="24" customHeight="1">
      <c r="A82" s="113"/>
      <c r="B82" s="113"/>
      <c r="C82" s="65" t="s">
        <v>76</v>
      </c>
      <c r="D82" s="66">
        <f ca="1">IFERROR(INDEX(INDIRECT("'"&amp;$B$2&amp;"月"&amp;"'!A:AZ"),37,9),0)</f>
        <v>10</v>
      </c>
      <c r="E82" s="67" t="s">
        <v>64</v>
      </c>
      <c r="F82" s="68">
        <f ca="1">IFERROR(INDEX(INDIRECT("'"&amp;$B$2&amp;"月"&amp;"'!A:AZ"),39,9),0)</f>
        <v>1</v>
      </c>
      <c r="G82" s="69" t="s">
        <v>65</v>
      </c>
      <c r="H82" s="70">
        <f ca="1">IFERROR(INDEX(INDIRECT("'"&amp;$B$2&amp;"月"&amp;"'!A:AZ"),40,9),0)</f>
        <v>0</v>
      </c>
    </row>
    <row r="84" spans="1:8" ht="27.75" customHeight="1">
      <c r="A84" s="105" t="s">
        <v>78</v>
      </c>
      <c r="B84" s="105"/>
      <c r="C84" s="105"/>
      <c r="D84" s="105"/>
      <c r="E84" s="105"/>
      <c r="F84" s="105"/>
      <c r="G84" s="105"/>
      <c r="H84" s="105"/>
    </row>
    <row r="85" spans="1:8" ht="18" customHeight="1">
      <c r="A85" s="114" t="s">
        <v>17</v>
      </c>
      <c r="B85" s="114"/>
      <c r="C85" s="114"/>
      <c r="D85" s="114"/>
      <c r="E85" s="114"/>
      <c r="F85" s="114"/>
      <c r="G85" s="114"/>
      <c r="H85" s="114"/>
    </row>
    <row r="86" spans="1:8" ht="27.75" customHeight="1">
      <c r="A86" s="49" t="s">
        <v>79</v>
      </c>
      <c r="B86" s="115" t="str">
        <f>対象年度&amp;"年 "&amp;$B$2&amp;"月"</f>
        <v>2026年 1月</v>
      </c>
      <c r="C86" s="115"/>
      <c r="D86" s="49" t="s">
        <v>80</v>
      </c>
      <c r="E86" s="116" t="str">
        <f>IFERROR(従業員マスタ!$C$6,"")</f>
        <v>設備　一郎</v>
      </c>
      <c r="F86" s="116"/>
      <c r="G86" s="116"/>
      <c r="H86" s="116"/>
    </row>
    <row r="87" spans="1:8" ht="19.5" customHeight="1">
      <c r="A87" s="73" t="s">
        <v>90</v>
      </c>
      <c r="B87" s="53" t="s">
        <v>91</v>
      </c>
      <c r="C87" s="120" t="s">
        <v>84</v>
      </c>
      <c r="D87" s="120"/>
      <c r="E87" s="120" t="s">
        <v>85</v>
      </c>
      <c r="F87" s="120"/>
      <c r="G87" s="117" t="s">
        <v>86</v>
      </c>
      <c r="H87" s="117"/>
    </row>
    <row r="88" spans="1:8" ht="43.5" customHeight="1">
      <c r="A88" s="74"/>
      <c r="B88" s="54"/>
      <c r="C88" s="111"/>
      <c r="D88" s="111"/>
      <c r="E88" s="111"/>
      <c r="F88" s="111"/>
      <c r="G88" s="111"/>
      <c r="H88" s="111"/>
    </row>
    <row r="89" spans="1:8" ht="19.5" customHeight="1">
      <c r="A89" s="55" t="s">
        <v>66</v>
      </c>
      <c r="B89" s="55" t="s">
        <v>67</v>
      </c>
      <c r="C89" s="55" t="s">
        <v>69</v>
      </c>
      <c r="D89" s="56" t="s">
        <v>70</v>
      </c>
      <c r="E89" s="55" t="s">
        <v>71</v>
      </c>
      <c r="F89" s="55" t="s">
        <v>72</v>
      </c>
      <c r="G89" s="55" t="s">
        <v>73</v>
      </c>
      <c r="H89" s="55" t="s">
        <v>57</v>
      </c>
    </row>
    <row r="90" spans="1:8" ht="13.5" customHeight="1">
      <c r="A90" s="57">
        <f>IF(DAY(DATE(対象年度,$B$2,1))&lt;&gt;1,"",1)</f>
        <v>1</v>
      </c>
      <c r="B90" s="57" t="str">
        <f>IF(DAY(DATE(対象年度,$B$2,1))&lt;&gt;1,"",CHOOSE(WEEKDAY(DATE(対象年度,$B$2,1),2),"月","火","水","木","金","土","日"))</f>
        <v>木</v>
      </c>
      <c r="C90" s="57" t="str">
        <f ca="1">IFERROR(IF(INDEX(INDIRECT("'"&amp;$B$2&amp;"月"&amp;"'!A:AZ"),4,14+0)="","",INDEX(INDIRECT("'"&amp;$B$2&amp;"月"&amp;"'!A:AZ"),4,14+0)),"")</f>
        <v/>
      </c>
      <c r="D90" s="58" t="str">
        <f ca="1">IFERROR(IF(INDEX(INDIRECT("'"&amp;$B$2&amp;"月"&amp;"'!A:AZ"),4,14+1)="","",INDEX(INDIRECT("'"&amp;$B$2&amp;"月"&amp;"'!A:AZ"),4,14+1)),"")</f>
        <v/>
      </c>
      <c r="E90" s="57" t="str">
        <f ca="1">IFERROR(IF(INDEX(INDIRECT("'"&amp;$B$2&amp;"月"&amp;"'!A:AZ"),4,14+2)="","",INDEX(INDIRECT("'"&amp;$B$2&amp;"月"&amp;"'!A:AZ"),4,14+2)),"")</f>
        <v/>
      </c>
      <c r="F90" s="59" t="str">
        <f ca="1">IFERROR(IF(INDEX(INDIRECT("'"&amp;$B$2&amp;"月"&amp;"'!A:AZ"),4,14+3)="","",INDEX(INDIRECT("'"&amp;$B$2&amp;"月"&amp;"'!A:AZ"),4,14+3)),"")</f>
        <v/>
      </c>
      <c r="G90" s="57" t="str">
        <f ca="1">IFERROR(IF(INDEX(INDIRECT("'"&amp;$B$2&amp;"月"&amp;"'!A:AZ"),4,14+4)="","",INDEX(INDIRECT("'"&amp;$B$2&amp;"月"&amp;"'!A:AZ"),4,14+4)),"")</f>
        <v/>
      </c>
      <c r="H90" s="57"/>
    </row>
    <row r="91" spans="1:8" ht="13.5" customHeight="1">
      <c r="A91" s="57">
        <f>IF(DAY(DATE(対象年度,$B$2,2))&lt;&gt;2,"",2)</f>
        <v>2</v>
      </c>
      <c r="B91" s="57" t="str">
        <f>IF(DAY(DATE(対象年度,$B$2,2))&lt;&gt;2,"",CHOOSE(WEEKDAY(DATE(対象年度,$B$2,2),2),"月","火","水","木","金","土","日"))</f>
        <v>金</v>
      </c>
      <c r="C91" s="57" t="str">
        <f ca="1">IFERROR(IF(INDEX(INDIRECT("'"&amp;$B$2&amp;"月"&amp;"'!A:AZ"),5,14+0)="","",INDEX(INDIRECT("'"&amp;$B$2&amp;"月"&amp;"'!A:AZ"),5,14+0)),"")</f>
        <v/>
      </c>
      <c r="D91" s="58" t="str">
        <f ca="1">IFERROR(IF(INDEX(INDIRECT("'"&amp;$B$2&amp;"月"&amp;"'!A:AZ"),5,14+1)="","",INDEX(INDIRECT("'"&amp;$B$2&amp;"月"&amp;"'!A:AZ"),5,14+1)),"")</f>
        <v/>
      </c>
      <c r="E91" s="57" t="str">
        <f ca="1">IFERROR(IF(INDEX(INDIRECT("'"&amp;$B$2&amp;"月"&amp;"'!A:AZ"),5,14+2)="","",INDEX(INDIRECT("'"&amp;$B$2&amp;"月"&amp;"'!A:AZ"),5,14+2)),"")</f>
        <v/>
      </c>
      <c r="F91" s="59" t="str">
        <f ca="1">IFERROR(IF(INDEX(INDIRECT("'"&amp;$B$2&amp;"月"&amp;"'!A:AZ"),5,14+3)="","",INDEX(INDIRECT("'"&amp;$B$2&amp;"月"&amp;"'!A:AZ"),5,14+3)),"")</f>
        <v/>
      </c>
      <c r="G91" s="57" t="str">
        <f ca="1">IFERROR(IF(INDEX(INDIRECT("'"&amp;$B$2&amp;"月"&amp;"'!A:AZ"),5,14+4)="","",INDEX(INDIRECT("'"&amp;$B$2&amp;"月"&amp;"'!A:AZ"),5,14+4)),"")</f>
        <v/>
      </c>
      <c r="H91" s="57"/>
    </row>
    <row r="92" spans="1:8" ht="13.5" customHeight="1">
      <c r="A92" s="57">
        <f>IF(DAY(DATE(対象年度,$B$2,3))&lt;&gt;3,"",3)</f>
        <v>3</v>
      </c>
      <c r="B92" s="57" t="str">
        <f>IF(DAY(DATE(対象年度,$B$2,3))&lt;&gt;3,"",CHOOSE(WEEKDAY(DATE(対象年度,$B$2,3),2),"月","火","水","木","金","土","日"))</f>
        <v>土</v>
      </c>
      <c r="C92" s="57" t="str">
        <f ca="1">IFERROR(IF(INDEX(INDIRECT("'"&amp;$B$2&amp;"月"&amp;"'!A:AZ"),6,14+0)="","",INDEX(INDIRECT("'"&amp;$B$2&amp;"月"&amp;"'!A:AZ"),6,14+0)),"")</f>
        <v/>
      </c>
      <c r="D92" s="58" t="str">
        <f ca="1">IFERROR(IF(INDEX(INDIRECT("'"&amp;$B$2&amp;"月"&amp;"'!A:AZ"),6,14+1)="","",INDEX(INDIRECT("'"&amp;$B$2&amp;"月"&amp;"'!A:AZ"),6,14+1)),"")</f>
        <v/>
      </c>
      <c r="E92" s="57" t="str">
        <f ca="1">IFERROR(IF(INDEX(INDIRECT("'"&amp;$B$2&amp;"月"&amp;"'!A:AZ"),6,14+2)="","",INDEX(INDIRECT("'"&amp;$B$2&amp;"月"&amp;"'!A:AZ"),6,14+2)),"")</f>
        <v/>
      </c>
      <c r="F92" s="59" t="str">
        <f ca="1">IFERROR(IF(INDEX(INDIRECT("'"&amp;$B$2&amp;"月"&amp;"'!A:AZ"),6,14+3)="","",INDEX(INDIRECT("'"&amp;$B$2&amp;"月"&amp;"'!A:AZ"),6,14+3)),"")</f>
        <v/>
      </c>
      <c r="G92" s="57" t="str">
        <f ca="1">IFERROR(IF(INDEX(INDIRECT("'"&amp;$B$2&amp;"月"&amp;"'!A:AZ"),6,14+4)="","",INDEX(INDIRECT("'"&amp;$B$2&amp;"月"&amp;"'!A:AZ"),6,14+4)),"")</f>
        <v/>
      </c>
      <c r="H92" s="57"/>
    </row>
    <row r="93" spans="1:8" ht="13.5" customHeight="1">
      <c r="A93" s="57">
        <f>IF(DAY(DATE(対象年度,$B$2,4))&lt;&gt;4,"",4)</f>
        <v>4</v>
      </c>
      <c r="B93" s="57" t="str">
        <f>IF(DAY(DATE(対象年度,$B$2,4))&lt;&gt;4,"",CHOOSE(WEEKDAY(DATE(対象年度,$B$2,4),2),"月","火","水","木","金","土","日"))</f>
        <v>日</v>
      </c>
      <c r="C93" s="57" t="str">
        <f ca="1">IFERROR(IF(INDEX(INDIRECT("'"&amp;$B$2&amp;"月"&amp;"'!A:AZ"),7,14+0)="","",INDEX(INDIRECT("'"&amp;$B$2&amp;"月"&amp;"'!A:AZ"),7,14+0)),"")</f>
        <v/>
      </c>
      <c r="D93" s="58" t="str">
        <f ca="1">IFERROR(IF(INDEX(INDIRECT("'"&amp;$B$2&amp;"月"&amp;"'!A:AZ"),7,14+1)="","",INDEX(INDIRECT("'"&amp;$B$2&amp;"月"&amp;"'!A:AZ"),7,14+1)),"")</f>
        <v/>
      </c>
      <c r="E93" s="57" t="str">
        <f ca="1">IFERROR(IF(INDEX(INDIRECT("'"&amp;$B$2&amp;"月"&amp;"'!A:AZ"),7,14+2)="","",INDEX(INDIRECT("'"&amp;$B$2&amp;"月"&amp;"'!A:AZ"),7,14+2)),"")</f>
        <v/>
      </c>
      <c r="F93" s="59" t="str">
        <f ca="1">IFERROR(IF(INDEX(INDIRECT("'"&amp;$B$2&amp;"月"&amp;"'!A:AZ"),7,14+3)="","",INDEX(INDIRECT("'"&amp;$B$2&amp;"月"&amp;"'!A:AZ"),7,14+3)),"")</f>
        <v/>
      </c>
      <c r="G93" s="57" t="str">
        <f ca="1">IFERROR(IF(INDEX(INDIRECT("'"&amp;$B$2&amp;"月"&amp;"'!A:AZ"),7,14+4)="","",INDEX(INDIRECT("'"&amp;$B$2&amp;"月"&amp;"'!A:AZ"),7,14+4)),"")</f>
        <v/>
      </c>
      <c r="H93" s="57"/>
    </row>
    <row r="94" spans="1:8" ht="13.5" customHeight="1">
      <c r="A94" s="57">
        <f>IF(DAY(DATE(対象年度,$B$2,5))&lt;&gt;5,"",5)</f>
        <v>5</v>
      </c>
      <c r="B94" s="57" t="str">
        <f>IF(DAY(DATE(対象年度,$B$2,5))&lt;&gt;5,"",CHOOSE(WEEKDAY(DATE(対象年度,$B$2,5),2),"月","火","水","木","金","土","日"))</f>
        <v>月</v>
      </c>
      <c r="C94" s="57" t="str">
        <f ca="1">IFERROR(IF(INDEX(INDIRECT("'"&amp;$B$2&amp;"月"&amp;"'!A:AZ"),8,14+0)="","",INDEX(INDIRECT("'"&amp;$B$2&amp;"月"&amp;"'!A:AZ"),8,14+0)),"")</f>
        <v/>
      </c>
      <c r="D94" s="58" t="str">
        <f ca="1">IFERROR(IF(INDEX(INDIRECT("'"&amp;$B$2&amp;"月"&amp;"'!A:AZ"),8,14+1)="","",INDEX(INDIRECT("'"&amp;$B$2&amp;"月"&amp;"'!A:AZ"),8,14+1)),"")</f>
        <v/>
      </c>
      <c r="E94" s="57" t="str">
        <f ca="1">IFERROR(IF(INDEX(INDIRECT("'"&amp;$B$2&amp;"月"&amp;"'!A:AZ"),8,14+2)="","",INDEX(INDIRECT("'"&amp;$B$2&amp;"月"&amp;"'!A:AZ"),8,14+2)),"")</f>
        <v/>
      </c>
      <c r="F94" s="59" t="str">
        <f ca="1">IFERROR(IF(INDEX(INDIRECT("'"&amp;$B$2&amp;"月"&amp;"'!A:AZ"),8,14+3)="","",INDEX(INDIRECT("'"&amp;$B$2&amp;"月"&amp;"'!A:AZ"),8,14+3)),"")</f>
        <v/>
      </c>
      <c r="G94" s="57" t="str">
        <f ca="1">IFERROR(IF(INDEX(INDIRECT("'"&amp;$B$2&amp;"月"&amp;"'!A:AZ"),8,14+4)="","",INDEX(INDIRECT("'"&amp;$B$2&amp;"月"&amp;"'!A:AZ"),8,14+4)),"")</f>
        <v/>
      </c>
      <c r="H94" s="57"/>
    </row>
    <row r="95" spans="1:8" ht="13.5" customHeight="1">
      <c r="A95" s="57">
        <f>IF(DAY(DATE(対象年度,$B$2,6))&lt;&gt;6,"",6)</f>
        <v>6</v>
      </c>
      <c r="B95" s="57" t="str">
        <f>IF(DAY(DATE(対象年度,$B$2,6))&lt;&gt;6,"",CHOOSE(WEEKDAY(DATE(対象年度,$B$2,6),2),"月","火","水","木","金","土","日"))</f>
        <v>火</v>
      </c>
      <c r="C95" s="57" t="str">
        <f ca="1">IFERROR(IF(INDEX(INDIRECT("'"&amp;$B$2&amp;"月"&amp;"'!A:AZ"),9,14+0)="","",INDEX(INDIRECT("'"&amp;$B$2&amp;"月"&amp;"'!A:AZ"),9,14+0)),"")</f>
        <v/>
      </c>
      <c r="D95" s="58" t="str">
        <f ca="1">IFERROR(IF(INDEX(INDIRECT("'"&amp;$B$2&amp;"月"&amp;"'!A:AZ"),9,14+1)="","",INDEX(INDIRECT("'"&amp;$B$2&amp;"月"&amp;"'!A:AZ"),9,14+1)),"")</f>
        <v/>
      </c>
      <c r="E95" s="57" t="str">
        <f ca="1">IFERROR(IF(INDEX(INDIRECT("'"&amp;$B$2&amp;"月"&amp;"'!A:AZ"),9,14+2)="","",INDEX(INDIRECT("'"&amp;$B$2&amp;"月"&amp;"'!A:AZ"),9,14+2)),"")</f>
        <v/>
      </c>
      <c r="F95" s="59" t="str">
        <f ca="1">IFERROR(IF(INDEX(INDIRECT("'"&amp;$B$2&amp;"月"&amp;"'!A:AZ"),9,14+3)="","",INDEX(INDIRECT("'"&amp;$B$2&amp;"月"&amp;"'!A:AZ"),9,14+3)),"")</f>
        <v/>
      </c>
      <c r="G95" s="57" t="str">
        <f ca="1">IFERROR(IF(INDEX(INDIRECT("'"&amp;$B$2&amp;"月"&amp;"'!A:AZ"),9,14+4)="","",INDEX(INDIRECT("'"&amp;$B$2&amp;"月"&amp;"'!A:AZ"),9,14+4)),"")</f>
        <v/>
      </c>
      <c r="H95" s="57"/>
    </row>
    <row r="96" spans="1:8" ht="13.5" customHeight="1">
      <c r="A96" s="57">
        <f>IF(DAY(DATE(対象年度,$B$2,7))&lt;&gt;7,"",7)</f>
        <v>7</v>
      </c>
      <c r="B96" s="57" t="str">
        <f>IF(DAY(DATE(対象年度,$B$2,7))&lt;&gt;7,"",CHOOSE(WEEKDAY(DATE(対象年度,$B$2,7),2),"月","火","水","木","金","土","日"))</f>
        <v>水</v>
      </c>
      <c r="C96" s="57" t="str">
        <f ca="1">IFERROR(IF(INDEX(INDIRECT("'"&amp;$B$2&amp;"月"&amp;"'!A:AZ"),10,14+0)="","",INDEX(INDIRECT("'"&amp;$B$2&amp;"月"&amp;"'!A:AZ"),10,14+0)),"")</f>
        <v/>
      </c>
      <c r="D96" s="58" t="str">
        <f ca="1">IFERROR(IF(INDEX(INDIRECT("'"&amp;$B$2&amp;"月"&amp;"'!A:AZ"),10,14+1)="","",INDEX(INDIRECT("'"&amp;$B$2&amp;"月"&amp;"'!A:AZ"),10,14+1)),"")</f>
        <v/>
      </c>
      <c r="E96" s="57" t="str">
        <f ca="1">IFERROR(IF(INDEX(INDIRECT("'"&amp;$B$2&amp;"月"&amp;"'!A:AZ"),10,14+2)="","",INDEX(INDIRECT("'"&amp;$B$2&amp;"月"&amp;"'!A:AZ"),10,14+2)),"")</f>
        <v/>
      </c>
      <c r="F96" s="59" t="str">
        <f ca="1">IFERROR(IF(INDEX(INDIRECT("'"&amp;$B$2&amp;"月"&amp;"'!A:AZ"),10,14+3)="","",INDEX(INDIRECT("'"&amp;$B$2&amp;"月"&amp;"'!A:AZ"),10,14+3)),"")</f>
        <v/>
      </c>
      <c r="G96" s="57" t="str">
        <f ca="1">IFERROR(IF(INDEX(INDIRECT("'"&amp;$B$2&amp;"月"&amp;"'!A:AZ"),10,14+4)="","",INDEX(INDIRECT("'"&amp;$B$2&amp;"月"&amp;"'!A:AZ"),10,14+4)),"")</f>
        <v/>
      </c>
      <c r="H96" s="57"/>
    </row>
    <row r="97" spans="1:8" ht="13.5" customHeight="1">
      <c r="A97" s="57">
        <f>IF(DAY(DATE(対象年度,$B$2,8))&lt;&gt;8,"",8)</f>
        <v>8</v>
      </c>
      <c r="B97" s="57" t="str">
        <f>IF(DAY(DATE(対象年度,$B$2,8))&lt;&gt;8,"",CHOOSE(WEEKDAY(DATE(対象年度,$B$2,8),2),"月","火","水","木","金","土","日"))</f>
        <v>木</v>
      </c>
      <c r="C97" s="57" t="str">
        <f ca="1">IFERROR(IF(INDEX(INDIRECT("'"&amp;$B$2&amp;"月"&amp;"'!A:AZ"),11,14+0)="","",INDEX(INDIRECT("'"&amp;$B$2&amp;"月"&amp;"'!A:AZ"),11,14+0)),"")</f>
        <v/>
      </c>
      <c r="D97" s="58" t="str">
        <f ca="1">IFERROR(IF(INDEX(INDIRECT("'"&amp;$B$2&amp;"月"&amp;"'!A:AZ"),11,14+1)="","",INDEX(INDIRECT("'"&amp;$B$2&amp;"月"&amp;"'!A:AZ"),11,14+1)),"")</f>
        <v/>
      </c>
      <c r="E97" s="57" t="str">
        <f ca="1">IFERROR(IF(INDEX(INDIRECT("'"&amp;$B$2&amp;"月"&amp;"'!A:AZ"),11,14+2)="","",INDEX(INDIRECT("'"&amp;$B$2&amp;"月"&amp;"'!A:AZ"),11,14+2)),"")</f>
        <v/>
      </c>
      <c r="F97" s="59" t="str">
        <f ca="1">IFERROR(IF(INDEX(INDIRECT("'"&amp;$B$2&amp;"月"&amp;"'!A:AZ"),11,14+3)="","",INDEX(INDIRECT("'"&amp;$B$2&amp;"月"&amp;"'!A:AZ"),11,14+3)),"")</f>
        <v/>
      </c>
      <c r="G97" s="57" t="str">
        <f ca="1">IFERROR(IF(INDEX(INDIRECT("'"&amp;$B$2&amp;"月"&amp;"'!A:AZ"),11,14+4)="","",INDEX(INDIRECT("'"&amp;$B$2&amp;"月"&amp;"'!A:AZ"),11,14+4)),"")</f>
        <v/>
      </c>
      <c r="H97" s="57"/>
    </row>
    <row r="98" spans="1:8" ht="13.5" customHeight="1">
      <c r="A98" s="57">
        <f>IF(DAY(DATE(対象年度,$B$2,9))&lt;&gt;9,"",9)</f>
        <v>9</v>
      </c>
      <c r="B98" s="57" t="str">
        <f>IF(DAY(DATE(対象年度,$B$2,9))&lt;&gt;9,"",CHOOSE(WEEKDAY(DATE(対象年度,$B$2,9),2),"月","火","水","木","金","土","日"))</f>
        <v>金</v>
      </c>
      <c r="C98" s="57" t="str">
        <f ca="1">IFERROR(IF(INDEX(INDIRECT("'"&amp;$B$2&amp;"月"&amp;"'!A:AZ"),12,14+0)="","",INDEX(INDIRECT("'"&amp;$B$2&amp;"月"&amp;"'!A:AZ"),12,14+0)),"")</f>
        <v/>
      </c>
      <c r="D98" s="58" t="str">
        <f ca="1">IFERROR(IF(INDEX(INDIRECT("'"&amp;$B$2&amp;"月"&amp;"'!A:AZ"),12,14+1)="","",INDEX(INDIRECT("'"&amp;$B$2&amp;"月"&amp;"'!A:AZ"),12,14+1)),"")</f>
        <v/>
      </c>
      <c r="E98" s="57" t="str">
        <f ca="1">IFERROR(IF(INDEX(INDIRECT("'"&amp;$B$2&amp;"月"&amp;"'!A:AZ"),12,14+2)="","",INDEX(INDIRECT("'"&amp;$B$2&amp;"月"&amp;"'!A:AZ"),12,14+2)),"")</f>
        <v/>
      </c>
      <c r="F98" s="59" t="str">
        <f ca="1">IFERROR(IF(INDEX(INDIRECT("'"&amp;$B$2&amp;"月"&amp;"'!A:AZ"),12,14+3)="","",INDEX(INDIRECT("'"&amp;$B$2&amp;"月"&amp;"'!A:AZ"),12,14+3)),"")</f>
        <v/>
      </c>
      <c r="G98" s="57" t="str">
        <f ca="1">IFERROR(IF(INDEX(INDIRECT("'"&amp;$B$2&amp;"月"&amp;"'!A:AZ"),12,14+4)="","",INDEX(INDIRECT("'"&amp;$B$2&amp;"月"&amp;"'!A:AZ"),12,14+4)),"")</f>
        <v/>
      </c>
      <c r="H98" s="57"/>
    </row>
    <row r="99" spans="1:8" ht="13.5" customHeight="1">
      <c r="A99" s="57">
        <f>IF(DAY(DATE(対象年度,$B$2,10))&lt;&gt;10,"",10)</f>
        <v>10</v>
      </c>
      <c r="B99" s="57" t="str">
        <f>IF(DAY(DATE(対象年度,$B$2,10))&lt;&gt;10,"",CHOOSE(WEEKDAY(DATE(対象年度,$B$2,10),2),"月","火","水","木","金","土","日"))</f>
        <v>土</v>
      </c>
      <c r="C99" s="57" t="str">
        <f ca="1">IFERROR(IF(INDEX(INDIRECT("'"&amp;$B$2&amp;"月"&amp;"'!A:AZ"),13,14+0)="","",INDEX(INDIRECT("'"&amp;$B$2&amp;"月"&amp;"'!A:AZ"),13,14+0)),"")</f>
        <v/>
      </c>
      <c r="D99" s="58" t="str">
        <f ca="1">IFERROR(IF(INDEX(INDIRECT("'"&amp;$B$2&amp;"月"&amp;"'!A:AZ"),13,14+1)="","",INDEX(INDIRECT("'"&amp;$B$2&amp;"月"&amp;"'!A:AZ"),13,14+1)),"")</f>
        <v/>
      </c>
      <c r="E99" s="57" t="str">
        <f ca="1">IFERROR(IF(INDEX(INDIRECT("'"&amp;$B$2&amp;"月"&amp;"'!A:AZ"),13,14+2)="","",INDEX(INDIRECT("'"&amp;$B$2&amp;"月"&amp;"'!A:AZ"),13,14+2)),"")</f>
        <v/>
      </c>
      <c r="F99" s="59" t="str">
        <f ca="1">IFERROR(IF(INDEX(INDIRECT("'"&amp;$B$2&amp;"月"&amp;"'!A:AZ"),13,14+3)="","",INDEX(INDIRECT("'"&amp;$B$2&amp;"月"&amp;"'!A:AZ"),13,14+3)),"")</f>
        <v/>
      </c>
      <c r="G99" s="57" t="str">
        <f ca="1">IFERROR(IF(INDEX(INDIRECT("'"&amp;$B$2&amp;"月"&amp;"'!A:AZ"),13,14+4)="","",INDEX(INDIRECT("'"&amp;$B$2&amp;"月"&amp;"'!A:AZ"),13,14+4)),"")</f>
        <v/>
      </c>
      <c r="H99" s="57"/>
    </row>
    <row r="100" spans="1:8" ht="13.5" customHeight="1">
      <c r="A100" s="57">
        <f>IF(DAY(DATE(対象年度,$B$2,11))&lt;&gt;11,"",11)</f>
        <v>11</v>
      </c>
      <c r="B100" s="57" t="str">
        <f>IF(DAY(DATE(対象年度,$B$2,11))&lt;&gt;11,"",CHOOSE(WEEKDAY(DATE(対象年度,$B$2,11),2),"月","火","水","木","金","土","日"))</f>
        <v>日</v>
      </c>
      <c r="C100" s="57" t="str">
        <f ca="1">IFERROR(IF(INDEX(INDIRECT("'"&amp;$B$2&amp;"月"&amp;"'!A:AZ"),14,14+0)="","",INDEX(INDIRECT("'"&amp;$B$2&amp;"月"&amp;"'!A:AZ"),14,14+0)),"")</f>
        <v/>
      </c>
      <c r="D100" s="58" t="str">
        <f ca="1">IFERROR(IF(INDEX(INDIRECT("'"&amp;$B$2&amp;"月"&amp;"'!A:AZ"),14,14+1)="","",INDEX(INDIRECT("'"&amp;$B$2&amp;"月"&amp;"'!A:AZ"),14,14+1)),"")</f>
        <v/>
      </c>
      <c r="E100" s="57" t="str">
        <f ca="1">IFERROR(IF(INDEX(INDIRECT("'"&amp;$B$2&amp;"月"&amp;"'!A:AZ"),14,14+2)="","",INDEX(INDIRECT("'"&amp;$B$2&amp;"月"&amp;"'!A:AZ"),14,14+2)),"")</f>
        <v/>
      </c>
      <c r="F100" s="59" t="str">
        <f ca="1">IFERROR(IF(INDEX(INDIRECT("'"&amp;$B$2&amp;"月"&amp;"'!A:AZ"),14,14+3)="","",INDEX(INDIRECT("'"&amp;$B$2&amp;"月"&amp;"'!A:AZ"),14,14+3)),"")</f>
        <v/>
      </c>
      <c r="G100" s="57" t="str">
        <f ca="1">IFERROR(IF(INDEX(INDIRECT("'"&amp;$B$2&amp;"月"&amp;"'!A:AZ"),14,14+4)="","",INDEX(INDIRECT("'"&amp;$B$2&amp;"月"&amp;"'!A:AZ"),14,14+4)),"")</f>
        <v/>
      </c>
      <c r="H100" s="57"/>
    </row>
    <row r="101" spans="1:8" ht="13.5" customHeight="1">
      <c r="A101" s="57">
        <f>IF(DAY(DATE(対象年度,$B$2,12))&lt;&gt;12,"",12)</f>
        <v>12</v>
      </c>
      <c r="B101" s="57" t="str">
        <f>IF(DAY(DATE(対象年度,$B$2,12))&lt;&gt;12,"",CHOOSE(WEEKDAY(DATE(対象年度,$B$2,12),2),"月","火","水","木","金","土","日"))</f>
        <v>月</v>
      </c>
      <c r="C101" s="57" t="str">
        <f ca="1">IFERROR(IF(INDEX(INDIRECT("'"&amp;$B$2&amp;"月"&amp;"'!A:AZ"),15,14+0)="","",INDEX(INDIRECT("'"&amp;$B$2&amp;"月"&amp;"'!A:AZ"),15,14+0)),"")</f>
        <v/>
      </c>
      <c r="D101" s="58" t="str">
        <f ca="1">IFERROR(IF(INDEX(INDIRECT("'"&amp;$B$2&amp;"月"&amp;"'!A:AZ"),15,14+1)="","",INDEX(INDIRECT("'"&amp;$B$2&amp;"月"&amp;"'!A:AZ"),15,14+1)),"")</f>
        <v/>
      </c>
      <c r="E101" s="57" t="str">
        <f ca="1">IFERROR(IF(INDEX(INDIRECT("'"&amp;$B$2&amp;"月"&amp;"'!A:AZ"),15,14+2)="","",INDEX(INDIRECT("'"&amp;$B$2&amp;"月"&amp;"'!A:AZ"),15,14+2)),"")</f>
        <v/>
      </c>
      <c r="F101" s="59" t="str">
        <f ca="1">IFERROR(IF(INDEX(INDIRECT("'"&amp;$B$2&amp;"月"&amp;"'!A:AZ"),15,14+3)="","",INDEX(INDIRECT("'"&amp;$B$2&amp;"月"&amp;"'!A:AZ"),15,14+3)),"")</f>
        <v/>
      </c>
      <c r="G101" s="57" t="str">
        <f ca="1">IFERROR(IF(INDEX(INDIRECT("'"&amp;$B$2&amp;"月"&amp;"'!A:AZ"),15,14+4)="","",INDEX(INDIRECT("'"&amp;$B$2&amp;"月"&amp;"'!A:AZ"),15,14+4)),"")</f>
        <v/>
      </c>
      <c r="H101" s="57"/>
    </row>
    <row r="102" spans="1:8" ht="13.5" customHeight="1">
      <c r="A102" s="57">
        <f>IF(DAY(DATE(対象年度,$B$2,13))&lt;&gt;13,"",13)</f>
        <v>13</v>
      </c>
      <c r="B102" s="57" t="str">
        <f>IF(DAY(DATE(対象年度,$B$2,13))&lt;&gt;13,"",CHOOSE(WEEKDAY(DATE(対象年度,$B$2,13),2),"月","火","水","木","金","土","日"))</f>
        <v>火</v>
      </c>
      <c r="C102" s="57" t="str">
        <f ca="1">IFERROR(IF(INDEX(INDIRECT("'"&amp;$B$2&amp;"月"&amp;"'!A:AZ"),16,14+0)="","",INDEX(INDIRECT("'"&amp;$B$2&amp;"月"&amp;"'!A:AZ"),16,14+0)),"")</f>
        <v/>
      </c>
      <c r="D102" s="58" t="str">
        <f ca="1">IFERROR(IF(INDEX(INDIRECT("'"&amp;$B$2&amp;"月"&amp;"'!A:AZ"),16,14+1)="","",INDEX(INDIRECT("'"&amp;$B$2&amp;"月"&amp;"'!A:AZ"),16,14+1)),"")</f>
        <v/>
      </c>
      <c r="E102" s="57" t="str">
        <f ca="1">IFERROR(IF(INDEX(INDIRECT("'"&amp;$B$2&amp;"月"&amp;"'!A:AZ"),16,14+2)="","",INDEX(INDIRECT("'"&amp;$B$2&amp;"月"&amp;"'!A:AZ"),16,14+2)),"")</f>
        <v/>
      </c>
      <c r="F102" s="59" t="str">
        <f ca="1">IFERROR(IF(INDEX(INDIRECT("'"&amp;$B$2&amp;"月"&amp;"'!A:AZ"),16,14+3)="","",INDEX(INDIRECT("'"&amp;$B$2&amp;"月"&amp;"'!A:AZ"),16,14+3)),"")</f>
        <v/>
      </c>
      <c r="G102" s="57" t="str">
        <f ca="1">IFERROR(IF(INDEX(INDIRECT("'"&amp;$B$2&amp;"月"&amp;"'!A:AZ"),16,14+4)="","",INDEX(INDIRECT("'"&amp;$B$2&amp;"月"&amp;"'!A:AZ"),16,14+4)),"")</f>
        <v/>
      </c>
      <c r="H102" s="57"/>
    </row>
    <row r="103" spans="1:8" ht="13.5" customHeight="1">
      <c r="A103" s="57">
        <f>IF(DAY(DATE(対象年度,$B$2,14))&lt;&gt;14,"",14)</f>
        <v>14</v>
      </c>
      <c r="B103" s="57" t="str">
        <f>IF(DAY(DATE(対象年度,$B$2,14))&lt;&gt;14,"",CHOOSE(WEEKDAY(DATE(対象年度,$B$2,14),2),"月","火","水","木","金","土","日"))</f>
        <v>水</v>
      </c>
      <c r="C103" s="57" t="str">
        <f ca="1">IFERROR(IF(INDEX(INDIRECT("'"&amp;$B$2&amp;"月"&amp;"'!A:AZ"),17,14+0)="","",INDEX(INDIRECT("'"&amp;$B$2&amp;"月"&amp;"'!A:AZ"),17,14+0)),"")</f>
        <v/>
      </c>
      <c r="D103" s="58" t="str">
        <f ca="1">IFERROR(IF(INDEX(INDIRECT("'"&amp;$B$2&amp;"月"&amp;"'!A:AZ"),17,14+1)="","",INDEX(INDIRECT("'"&amp;$B$2&amp;"月"&amp;"'!A:AZ"),17,14+1)),"")</f>
        <v/>
      </c>
      <c r="E103" s="57" t="str">
        <f ca="1">IFERROR(IF(INDEX(INDIRECT("'"&amp;$B$2&amp;"月"&amp;"'!A:AZ"),17,14+2)="","",INDEX(INDIRECT("'"&amp;$B$2&amp;"月"&amp;"'!A:AZ"),17,14+2)),"")</f>
        <v/>
      </c>
      <c r="F103" s="59" t="str">
        <f ca="1">IFERROR(IF(INDEX(INDIRECT("'"&amp;$B$2&amp;"月"&amp;"'!A:AZ"),17,14+3)="","",INDEX(INDIRECT("'"&amp;$B$2&amp;"月"&amp;"'!A:AZ"),17,14+3)),"")</f>
        <v/>
      </c>
      <c r="G103" s="57" t="str">
        <f ca="1">IFERROR(IF(INDEX(INDIRECT("'"&amp;$B$2&amp;"月"&amp;"'!A:AZ"),17,14+4)="","",INDEX(INDIRECT("'"&amp;$B$2&amp;"月"&amp;"'!A:AZ"),17,14+4)),"")</f>
        <v/>
      </c>
      <c r="H103" s="57"/>
    </row>
    <row r="104" spans="1:8" ht="13.5" customHeight="1">
      <c r="A104" s="57">
        <f>IF(DAY(DATE(対象年度,$B$2,15))&lt;&gt;15,"",15)</f>
        <v>15</v>
      </c>
      <c r="B104" s="57" t="str">
        <f>IF(DAY(DATE(対象年度,$B$2,15))&lt;&gt;15,"",CHOOSE(WEEKDAY(DATE(対象年度,$B$2,15),2),"月","火","水","木","金","土","日"))</f>
        <v>木</v>
      </c>
      <c r="C104" s="57" t="str">
        <f ca="1">IFERROR(IF(INDEX(INDIRECT("'"&amp;$B$2&amp;"月"&amp;"'!A:AZ"),18,14+0)="","",INDEX(INDIRECT("'"&amp;$B$2&amp;"月"&amp;"'!A:AZ"),18,14+0)),"")</f>
        <v/>
      </c>
      <c r="D104" s="58" t="str">
        <f ca="1">IFERROR(IF(INDEX(INDIRECT("'"&amp;$B$2&amp;"月"&amp;"'!A:AZ"),18,14+1)="","",INDEX(INDIRECT("'"&amp;$B$2&amp;"月"&amp;"'!A:AZ"),18,14+1)),"")</f>
        <v/>
      </c>
      <c r="E104" s="57" t="str">
        <f ca="1">IFERROR(IF(INDEX(INDIRECT("'"&amp;$B$2&amp;"月"&amp;"'!A:AZ"),18,14+2)="","",INDEX(INDIRECT("'"&amp;$B$2&amp;"月"&amp;"'!A:AZ"),18,14+2)),"")</f>
        <v/>
      </c>
      <c r="F104" s="59" t="str">
        <f ca="1">IFERROR(IF(INDEX(INDIRECT("'"&amp;$B$2&amp;"月"&amp;"'!A:AZ"),18,14+3)="","",INDEX(INDIRECT("'"&amp;$B$2&amp;"月"&amp;"'!A:AZ"),18,14+3)),"")</f>
        <v/>
      </c>
      <c r="G104" s="57" t="str">
        <f ca="1">IFERROR(IF(INDEX(INDIRECT("'"&amp;$B$2&amp;"月"&amp;"'!A:AZ"),18,14+4)="","",INDEX(INDIRECT("'"&amp;$B$2&amp;"月"&amp;"'!A:AZ"),18,14+4)),"")</f>
        <v/>
      </c>
      <c r="H104" s="57"/>
    </row>
    <row r="105" spans="1:8" ht="13.5" customHeight="1">
      <c r="A105" s="57">
        <f>IF(DAY(DATE(対象年度,$B$2,16))&lt;&gt;16,"",16)</f>
        <v>16</v>
      </c>
      <c r="B105" s="57" t="str">
        <f>IF(DAY(DATE(対象年度,$B$2,16))&lt;&gt;16,"",CHOOSE(WEEKDAY(DATE(対象年度,$B$2,16),2),"月","火","水","木","金","土","日"))</f>
        <v>金</v>
      </c>
      <c r="C105" s="57" t="str">
        <f ca="1">IFERROR(IF(INDEX(INDIRECT("'"&amp;$B$2&amp;"月"&amp;"'!A:AZ"),19,14+0)="","",INDEX(INDIRECT("'"&amp;$B$2&amp;"月"&amp;"'!A:AZ"),19,14+0)),"")</f>
        <v/>
      </c>
      <c r="D105" s="58" t="str">
        <f ca="1">IFERROR(IF(INDEX(INDIRECT("'"&amp;$B$2&amp;"月"&amp;"'!A:AZ"),19,14+1)="","",INDEX(INDIRECT("'"&amp;$B$2&amp;"月"&amp;"'!A:AZ"),19,14+1)),"")</f>
        <v/>
      </c>
      <c r="E105" s="57" t="str">
        <f ca="1">IFERROR(IF(INDEX(INDIRECT("'"&amp;$B$2&amp;"月"&amp;"'!A:AZ"),19,14+2)="","",INDEX(INDIRECT("'"&amp;$B$2&amp;"月"&amp;"'!A:AZ"),19,14+2)),"")</f>
        <v/>
      </c>
      <c r="F105" s="59" t="str">
        <f ca="1">IFERROR(IF(INDEX(INDIRECT("'"&amp;$B$2&amp;"月"&amp;"'!A:AZ"),19,14+3)="","",INDEX(INDIRECT("'"&amp;$B$2&amp;"月"&amp;"'!A:AZ"),19,14+3)),"")</f>
        <v/>
      </c>
      <c r="G105" s="57" t="str">
        <f ca="1">IFERROR(IF(INDEX(INDIRECT("'"&amp;$B$2&amp;"月"&amp;"'!A:AZ"),19,14+4)="","",INDEX(INDIRECT("'"&amp;$B$2&amp;"月"&amp;"'!A:AZ"),19,14+4)),"")</f>
        <v/>
      </c>
      <c r="H105" s="57"/>
    </row>
    <row r="106" spans="1:8" ht="13.5" customHeight="1">
      <c r="A106" s="57">
        <f>IF(DAY(DATE(対象年度,$B$2,17))&lt;&gt;17,"",17)</f>
        <v>17</v>
      </c>
      <c r="B106" s="57" t="str">
        <f>IF(DAY(DATE(対象年度,$B$2,17))&lt;&gt;17,"",CHOOSE(WEEKDAY(DATE(対象年度,$B$2,17),2),"月","火","水","木","金","土","日"))</f>
        <v>土</v>
      </c>
      <c r="C106" s="57" t="str">
        <f ca="1">IFERROR(IF(INDEX(INDIRECT("'"&amp;$B$2&amp;"月"&amp;"'!A:AZ"),20,14+0)="","",INDEX(INDIRECT("'"&amp;$B$2&amp;"月"&amp;"'!A:AZ"),20,14+0)),"")</f>
        <v/>
      </c>
      <c r="D106" s="58" t="str">
        <f ca="1">IFERROR(IF(INDEX(INDIRECT("'"&amp;$B$2&amp;"月"&amp;"'!A:AZ"),20,14+1)="","",INDEX(INDIRECT("'"&amp;$B$2&amp;"月"&amp;"'!A:AZ"),20,14+1)),"")</f>
        <v/>
      </c>
      <c r="E106" s="57" t="str">
        <f ca="1">IFERROR(IF(INDEX(INDIRECT("'"&amp;$B$2&amp;"月"&amp;"'!A:AZ"),20,14+2)="","",INDEX(INDIRECT("'"&amp;$B$2&amp;"月"&amp;"'!A:AZ"),20,14+2)),"")</f>
        <v/>
      </c>
      <c r="F106" s="59" t="str">
        <f ca="1">IFERROR(IF(INDEX(INDIRECT("'"&amp;$B$2&amp;"月"&amp;"'!A:AZ"),20,14+3)="","",INDEX(INDIRECT("'"&amp;$B$2&amp;"月"&amp;"'!A:AZ"),20,14+3)),"")</f>
        <v/>
      </c>
      <c r="G106" s="57" t="str">
        <f ca="1">IFERROR(IF(INDEX(INDIRECT("'"&amp;$B$2&amp;"月"&amp;"'!A:AZ"),20,14+4)="","",INDEX(INDIRECT("'"&amp;$B$2&amp;"月"&amp;"'!A:AZ"),20,14+4)),"")</f>
        <v/>
      </c>
      <c r="H106" s="57"/>
    </row>
    <row r="107" spans="1:8" ht="13.5" customHeight="1">
      <c r="A107" s="57">
        <f>IF(DAY(DATE(対象年度,$B$2,18))&lt;&gt;18,"",18)</f>
        <v>18</v>
      </c>
      <c r="B107" s="57" t="str">
        <f>IF(DAY(DATE(対象年度,$B$2,18))&lt;&gt;18,"",CHOOSE(WEEKDAY(DATE(対象年度,$B$2,18),2),"月","火","水","木","金","土","日"))</f>
        <v>日</v>
      </c>
      <c r="C107" s="57" t="str">
        <f ca="1">IFERROR(IF(INDEX(INDIRECT("'"&amp;$B$2&amp;"月"&amp;"'!A:AZ"),21,14+0)="","",INDEX(INDIRECT("'"&amp;$B$2&amp;"月"&amp;"'!A:AZ"),21,14+0)),"")</f>
        <v/>
      </c>
      <c r="D107" s="58" t="str">
        <f ca="1">IFERROR(IF(INDEX(INDIRECT("'"&amp;$B$2&amp;"月"&amp;"'!A:AZ"),21,14+1)="","",INDEX(INDIRECT("'"&amp;$B$2&amp;"月"&amp;"'!A:AZ"),21,14+1)),"")</f>
        <v/>
      </c>
      <c r="E107" s="57" t="str">
        <f ca="1">IFERROR(IF(INDEX(INDIRECT("'"&amp;$B$2&amp;"月"&amp;"'!A:AZ"),21,14+2)="","",INDEX(INDIRECT("'"&amp;$B$2&amp;"月"&amp;"'!A:AZ"),21,14+2)),"")</f>
        <v/>
      </c>
      <c r="F107" s="59" t="str">
        <f ca="1">IFERROR(IF(INDEX(INDIRECT("'"&amp;$B$2&amp;"月"&amp;"'!A:AZ"),21,14+3)="","",INDEX(INDIRECT("'"&amp;$B$2&amp;"月"&amp;"'!A:AZ"),21,14+3)),"")</f>
        <v/>
      </c>
      <c r="G107" s="57" t="str">
        <f ca="1">IFERROR(IF(INDEX(INDIRECT("'"&amp;$B$2&amp;"月"&amp;"'!A:AZ"),21,14+4)="","",INDEX(INDIRECT("'"&amp;$B$2&amp;"月"&amp;"'!A:AZ"),21,14+4)),"")</f>
        <v/>
      </c>
      <c r="H107" s="57"/>
    </row>
    <row r="108" spans="1:8" ht="13.5" customHeight="1">
      <c r="A108" s="57">
        <f>IF(DAY(DATE(対象年度,$B$2,19))&lt;&gt;19,"",19)</f>
        <v>19</v>
      </c>
      <c r="B108" s="57" t="str">
        <f>IF(DAY(DATE(対象年度,$B$2,19))&lt;&gt;19,"",CHOOSE(WEEKDAY(DATE(対象年度,$B$2,19),2),"月","火","水","木","金","土","日"))</f>
        <v>月</v>
      </c>
      <c r="C108" s="57" t="str">
        <f ca="1">IFERROR(IF(INDEX(INDIRECT("'"&amp;$B$2&amp;"月"&amp;"'!A:AZ"),22,14+0)="","",INDEX(INDIRECT("'"&amp;$B$2&amp;"月"&amp;"'!A:AZ"),22,14+0)),"")</f>
        <v/>
      </c>
      <c r="D108" s="58" t="str">
        <f ca="1">IFERROR(IF(INDEX(INDIRECT("'"&amp;$B$2&amp;"月"&amp;"'!A:AZ"),22,14+1)="","",INDEX(INDIRECT("'"&amp;$B$2&amp;"月"&amp;"'!A:AZ"),22,14+1)),"")</f>
        <v/>
      </c>
      <c r="E108" s="57" t="str">
        <f ca="1">IFERROR(IF(INDEX(INDIRECT("'"&amp;$B$2&amp;"月"&amp;"'!A:AZ"),22,14+2)="","",INDEX(INDIRECT("'"&amp;$B$2&amp;"月"&amp;"'!A:AZ"),22,14+2)),"")</f>
        <v/>
      </c>
      <c r="F108" s="59" t="str">
        <f ca="1">IFERROR(IF(INDEX(INDIRECT("'"&amp;$B$2&amp;"月"&amp;"'!A:AZ"),22,14+3)="","",INDEX(INDIRECT("'"&amp;$B$2&amp;"月"&amp;"'!A:AZ"),22,14+3)),"")</f>
        <v/>
      </c>
      <c r="G108" s="57" t="str">
        <f ca="1">IFERROR(IF(INDEX(INDIRECT("'"&amp;$B$2&amp;"月"&amp;"'!A:AZ"),22,14+4)="","",INDEX(INDIRECT("'"&amp;$B$2&amp;"月"&amp;"'!A:AZ"),22,14+4)),"")</f>
        <v/>
      </c>
      <c r="H108" s="57"/>
    </row>
    <row r="109" spans="1:8" ht="13.5" customHeight="1">
      <c r="A109" s="57">
        <f>IF(DAY(DATE(対象年度,$B$2,20))&lt;&gt;20,"",20)</f>
        <v>20</v>
      </c>
      <c r="B109" s="57" t="str">
        <f>IF(DAY(DATE(対象年度,$B$2,20))&lt;&gt;20,"",CHOOSE(WEEKDAY(DATE(対象年度,$B$2,20),2),"月","火","水","木","金","土","日"))</f>
        <v>火</v>
      </c>
      <c r="C109" s="57" t="str">
        <f ca="1">IFERROR(IF(INDEX(INDIRECT("'"&amp;$B$2&amp;"月"&amp;"'!A:AZ"),23,14+0)="","",INDEX(INDIRECT("'"&amp;$B$2&amp;"月"&amp;"'!A:AZ"),23,14+0)),"")</f>
        <v/>
      </c>
      <c r="D109" s="58" t="str">
        <f ca="1">IFERROR(IF(INDEX(INDIRECT("'"&amp;$B$2&amp;"月"&amp;"'!A:AZ"),23,14+1)="","",INDEX(INDIRECT("'"&amp;$B$2&amp;"月"&amp;"'!A:AZ"),23,14+1)),"")</f>
        <v/>
      </c>
      <c r="E109" s="57" t="str">
        <f ca="1">IFERROR(IF(INDEX(INDIRECT("'"&amp;$B$2&amp;"月"&amp;"'!A:AZ"),23,14+2)="","",INDEX(INDIRECT("'"&amp;$B$2&amp;"月"&amp;"'!A:AZ"),23,14+2)),"")</f>
        <v/>
      </c>
      <c r="F109" s="59" t="str">
        <f ca="1">IFERROR(IF(INDEX(INDIRECT("'"&amp;$B$2&amp;"月"&amp;"'!A:AZ"),23,14+3)="","",INDEX(INDIRECT("'"&amp;$B$2&amp;"月"&amp;"'!A:AZ"),23,14+3)),"")</f>
        <v/>
      </c>
      <c r="G109" s="57" t="str">
        <f ca="1">IFERROR(IF(INDEX(INDIRECT("'"&amp;$B$2&amp;"月"&amp;"'!A:AZ"),23,14+4)="","",INDEX(INDIRECT("'"&amp;$B$2&amp;"月"&amp;"'!A:AZ"),23,14+4)),"")</f>
        <v/>
      </c>
      <c r="H109" s="57"/>
    </row>
    <row r="110" spans="1:8" ht="13.5" customHeight="1">
      <c r="A110" s="57">
        <f>IF(DAY(DATE(対象年度,$B$2,21))&lt;&gt;21,"",21)</f>
        <v>21</v>
      </c>
      <c r="B110" s="57" t="str">
        <f>IF(DAY(DATE(対象年度,$B$2,21))&lt;&gt;21,"",CHOOSE(WEEKDAY(DATE(対象年度,$B$2,21),2),"月","火","水","木","金","土","日"))</f>
        <v>水</v>
      </c>
      <c r="C110" s="57" t="str">
        <f ca="1">IFERROR(IF(INDEX(INDIRECT("'"&amp;$B$2&amp;"月"&amp;"'!A:AZ"),24,14+0)="","",INDEX(INDIRECT("'"&amp;$B$2&amp;"月"&amp;"'!A:AZ"),24,14+0)),"")</f>
        <v>新宿</v>
      </c>
      <c r="D110" s="58" t="str">
        <f ca="1">IFERROR(IF(INDEX(INDIRECT("'"&amp;$B$2&amp;"月"&amp;"'!A:AZ"),24,14+1)="","",INDEX(INDIRECT("'"&amp;$B$2&amp;"月"&amp;"'!A:AZ"),24,14+1)),"")</f>
        <v/>
      </c>
      <c r="E110" s="57" t="str">
        <f ca="1">IFERROR(IF(INDEX(INDIRECT("'"&amp;$B$2&amp;"月"&amp;"'!A:AZ"),24,14+2)="","",INDEX(INDIRECT("'"&amp;$B$2&amp;"月"&amp;"'!A:AZ"),24,14+2)),"")</f>
        <v>○</v>
      </c>
      <c r="F110" s="59" t="str">
        <f ca="1">IFERROR(IF(INDEX(INDIRECT("'"&amp;$B$2&amp;"月"&amp;"'!A:AZ"),24,14+3)="","",INDEX(INDIRECT("'"&amp;$B$2&amp;"月"&amp;"'!A:AZ"),24,14+3)),"")</f>
        <v/>
      </c>
      <c r="G110" s="57" t="str">
        <f ca="1">IFERROR(IF(INDEX(INDIRECT("'"&amp;$B$2&amp;"月"&amp;"'!A:AZ"),24,14+4)="","",INDEX(INDIRECT("'"&amp;$B$2&amp;"月"&amp;"'!A:AZ"),24,14+4)),"")</f>
        <v/>
      </c>
      <c r="H110" s="57"/>
    </row>
    <row r="111" spans="1:8" ht="13.5" customHeight="1">
      <c r="A111" s="57">
        <f>IF(DAY(DATE(対象年度,$B$2,22))&lt;&gt;22,"",22)</f>
        <v>22</v>
      </c>
      <c r="B111" s="57" t="str">
        <f>IF(DAY(DATE(対象年度,$B$2,22))&lt;&gt;22,"",CHOOSE(WEEKDAY(DATE(対象年度,$B$2,22),2),"月","火","水","木","金","土","日"))</f>
        <v>木</v>
      </c>
      <c r="C111" s="57" t="str">
        <f ca="1">IFERROR(IF(INDEX(INDIRECT("'"&amp;$B$2&amp;"月"&amp;"'!A:AZ"),25,14+0)="","",INDEX(INDIRECT("'"&amp;$B$2&amp;"月"&amp;"'!A:AZ"),25,14+0)),"")</f>
        <v>新宿</v>
      </c>
      <c r="D111" s="58" t="str">
        <f ca="1">IFERROR(IF(INDEX(INDIRECT("'"&amp;$B$2&amp;"月"&amp;"'!A:AZ"),25,14+1)="","",INDEX(INDIRECT("'"&amp;$B$2&amp;"月"&amp;"'!A:AZ"),25,14+1)),"")</f>
        <v/>
      </c>
      <c r="E111" s="57" t="str">
        <f ca="1">IFERROR(IF(INDEX(INDIRECT("'"&amp;$B$2&amp;"月"&amp;"'!A:AZ"),25,14+2)="","",INDEX(INDIRECT("'"&amp;$B$2&amp;"月"&amp;"'!A:AZ"),25,14+2)),"")</f>
        <v>○</v>
      </c>
      <c r="F111" s="59" t="str">
        <f ca="1">IFERROR(IF(INDEX(INDIRECT("'"&amp;$B$2&amp;"月"&amp;"'!A:AZ"),25,14+3)="","",INDEX(INDIRECT("'"&amp;$B$2&amp;"月"&amp;"'!A:AZ"),25,14+3)),"")</f>
        <v/>
      </c>
      <c r="G111" s="57" t="str">
        <f ca="1">IFERROR(IF(INDEX(INDIRECT("'"&amp;$B$2&amp;"月"&amp;"'!A:AZ"),25,14+4)="","",INDEX(INDIRECT("'"&amp;$B$2&amp;"月"&amp;"'!A:AZ"),25,14+4)),"")</f>
        <v/>
      </c>
      <c r="H111" s="57"/>
    </row>
    <row r="112" spans="1:8" ht="13.5" customHeight="1">
      <c r="A112" s="57">
        <f>IF(DAY(DATE(対象年度,$B$2,23))&lt;&gt;23,"",23)</f>
        <v>23</v>
      </c>
      <c r="B112" s="57" t="str">
        <f>IF(DAY(DATE(対象年度,$B$2,23))&lt;&gt;23,"",CHOOSE(WEEKDAY(DATE(対象年度,$B$2,23),2),"月","火","水","木","金","土","日"))</f>
        <v>金</v>
      </c>
      <c r="C112" s="57" t="str">
        <f ca="1">IFERROR(IF(INDEX(INDIRECT("'"&amp;$B$2&amp;"月"&amp;"'!A:AZ"),26,14+0)="","",INDEX(INDIRECT("'"&amp;$B$2&amp;"月"&amp;"'!A:AZ"),26,14+0)),"")</f>
        <v>新宿</v>
      </c>
      <c r="D112" s="58" t="str">
        <f ca="1">IFERROR(IF(INDEX(INDIRECT("'"&amp;$B$2&amp;"月"&amp;"'!A:AZ"),26,14+1)="","",INDEX(INDIRECT("'"&amp;$B$2&amp;"月"&amp;"'!A:AZ"),26,14+1)),"")</f>
        <v/>
      </c>
      <c r="E112" s="57" t="str">
        <f ca="1">IFERROR(IF(INDEX(INDIRECT("'"&amp;$B$2&amp;"月"&amp;"'!A:AZ"),26,14+2)="","",INDEX(INDIRECT("'"&amp;$B$2&amp;"月"&amp;"'!A:AZ"),26,14+2)),"")</f>
        <v>○</v>
      </c>
      <c r="F112" s="59" t="str">
        <f ca="1">IFERROR(IF(INDEX(INDIRECT("'"&amp;$B$2&amp;"月"&amp;"'!A:AZ"),26,14+3)="","",INDEX(INDIRECT("'"&amp;$B$2&amp;"月"&amp;"'!A:AZ"),26,14+3)),"")</f>
        <v/>
      </c>
      <c r="G112" s="57" t="str">
        <f ca="1">IFERROR(IF(INDEX(INDIRECT("'"&amp;$B$2&amp;"月"&amp;"'!A:AZ"),26,14+4)="","",INDEX(INDIRECT("'"&amp;$B$2&amp;"月"&amp;"'!A:AZ"),26,14+4)),"")</f>
        <v/>
      </c>
      <c r="H112" s="57"/>
    </row>
    <row r="113" spans="1:8" ht="13.5" customHeight="1">
      <c r="A113" s="57">
        <f>IF(DAY(DATE(対象年度,$B$2,24))&lt;&gt;24,"",24)</f>
        <v>24</v>
      </c>
      <c r="B113" s="57" t="str">
        <f>IF(DAY(DATE(対象年度,$B$2,24))&lt;&gt;24,"",CHOOSE(WEEKDAY(DATE(対象年度,$B$2,24),2),"月","火","水","木","金","土","日"))</f>
        <v>土</v>
      </c>
      <c r="C113" s="57" t="str">
        <f ca="1">IFERROR(IF(INDEX(INDIRECT("'"&amp;$B$2&amp;"月"&amp;"'!A:AZ"),27,14+0)="","",INDEX(INDIRECT("'"&amp;$B$2&amp;"月"&amp;"'!A:AZ"),27,14+0)),"")</f>
        <v>新宿</v>
      </c>
      <c r="D113" s="58" t="str">
        <f ca="1">IFERROR(IF(INDEX(INDIRECT("'"&amp;$B$2&amp;"月"&amp;"'!A:AZ"),27,14+1)="","",INDEX(INDIRECT("'"&amp;$B$2&amp;"月"&amp;"'!A:AZ"),27,14+1)),"")</f>
        <v/>
      </c>
      <c r="E113" s="57" t="str">
        <f ca="1">IFERROR(IF(INDEX(INDIRECT("'"&amp;$B$2&amp;"月"&amp;"'!A:AZ"),27,14+2)="","",INDEX(INDIRECT("'"&amp;$B$2&amp;"月"&amp;"'!A:AZ"),27,14+2)),"")</f>
        <v>○</v>
      </c>
      <c r="F113" s="59" t="str">
        <f ca="1">IFERROR(IF(INDEX(INDIRECT("'"&amp;$B$2&amp;"月"&amp;"'!A:AZ"),27,14+3)="","",INDEX(INDIRECT("'"&amp;$B$2&amp;"月"&amp;"'!A:AZ"),27,14+3)),"")</f>
        <v/>
      </c>
      <c r="G113" s="57" t="str">
        <f ca="1">IFERROR(IF(INDEX(INDIRECT("'"&amp;$B$2&amp;"月"&amp;"'!A:AZ"),27,14+4)="","",INDEX(INDIRECT("'"&amp;$B$2&amp;"月"&amp;"'!A:AZ"),27,14+4)),"")</f>
        <v/>
      </c>
      <c r="H113" s="57"/>
    </row>
    <row r="114" spans="1:8" ht="13.5" customHeight="1">
      <c r="A114" s="57">
        <f>IF(DAY(DATE(対象年度,$B$2,25))&lt;&gt;25,"",25)</f>
        <v>25</v>
      </c>
      <c r="B114" s="57" t="str">
        <f>IF(DAY(DATE(対象年度,$B$2,25))&lt;&gt;25,"",CHOOSE(WEEKDAY(DATE(対象年度,$B$2,25),2),"月","火","水","木","金","土","日"))</f>
        <v>日</v>
      </c>
      <c r="C114" s="57" t="str">
        <f ca="1">IFERROR(IF(INDEX(INDIRECT("'"&amp;$B$2&amp;"月"&amp;"'!A:AZ"),28,14+0)="","",INDEX(INDIRECT("'"&amp;$B$2&amp;"月"&amp;"'!A:AZ"),28,14+0)),"")</f>
        <v/>
      </c>
      <c r="D114" s="58" t="str">
        <f ca="1">IFERROR(IF(INDEX(INDIRECT("'"&amp;$B$2&amp;"月"&amp;"'!A:AZ"),28,14+1)="","",INDEX(INDIRECT("'"&amp;$B$2&amp;"月"&amp;"'!A:AZ"),28,14+1)),"")</f>
        <v/>
      </c>
      <c r="E114" s="57" t="str">
        <f ca="1">IFERROR(IF(INDEX(INDIRECT("'"&amp;$B$2&amp;"月"&amp;"'!A:AZ"),28,14+2)="","",INDEX(INDIRECT("'"&amp;$B$2&amp;"月"&amp;"'!A:AZ"),28,14+2)),"")</f>
        <v/>
      </c>
      <c r="F114" s="59" t="str">
        <f ca="1">IFERROR(IF(INDEX(INDIRECT("'"&amp;$B$2&amp;"月"&amp;"'!A:AZ"),28,14+3)="","",INDEX(INDIRECT("'"&amp;$B$2&amp;"月"&amp;"'!A:AZ"),28,14+3)),"")</f>
        <v/>
      </c>
      <c r="G114" s="57" t="str">
        <f ca="1">IFERROR(IF(INDEX(INDIRECT("'"&amp;$B$2&amp;"月"&amp;"'!A:AZ"),28,14+4)="","",INDEX(INDIRECT("'"&amp;$B$2&amp;"月"&amp;"'!A:AZ"),28,14+4)),"")</f>
        <v/>
      </c>
      <c r="H114" s="57"/>
    </row>
    <row r="115" spans="1:8" ht="13.5" customHeight="1">
      <c r="A115" s="57">
        <f>IF(DAY(DATE(対象年度,$B$2,26))&lt;&gt;26,"",26)</f>
        <v>26</v>
      </c>
      <c r="B115" s="57" t="str">
        <f>IF(DAY(DATE(対象年度,$B$2,26))&lt;&gt;26,"",CHOOSE(WEEKDAY(DATE(対象年度,$B$2,26),2),"月","火","水","木","金","土","日"))</f>
        <v>月</v>
      </c>
      <c r="C115" s="57" t="str">
        <f ca="1">IFERROR(IF(INDEX(INDIRECT("'"&amp;$B$2&amp;"月"&amp;"'!A:AZ"),29,14+0)="","",INDEX(INDIRECT("'"&amp;$B$2&amp;"月"&amp;"'!A:AZ"),29,14+0)),"")</f>
        <v>新宿</v>
      </c>
      <c r="D115" s="58" t="str">
        <f ca="1">IFERROR(IF(INDEX(INDIRECT("'"&amp;$B$2&amp;"月"&amp;"'!A:AZ"),29,14+1)="","",INDEX(INDIRECT("'"&amp;$B$2&amp;"月"&amp;"'!A:AZ"),29,14+1)),"")</f>
        <v/>
      </c>
      <c r="E115" s="57" t="str">
        <f ca="1">IFERROR(IF(INDEX(INDIRECT("'"&amp;$B$2&amp;"月"&amp;"'!A:AZ"),29,14+2)="","",INDEX(INDIRECT("'"&amp;$B$2&amp;"月"&amp;"'!A:AZ"),29,14+2)),"")</f>
        <v>○</v>
      </c>
      <c r="F115" s="59" t="str">
        <f ca="1">IFERROR(IF(INDEX(INDIRECT("'"&amp;$B$2&amp;"月"&amp;"'!A:AZ"),29,14+3)="","",INDEX(INDIRECT("'"&amp;$B$2&amp;"月"&amp;"'!A:AZ"),29,14+3)),"")</f>
        <v/>
      </c>
      <c r="G115" s="57" t="str">
        <f ca="1">IFERROR(IF(INDEX(INDIRECT("'"&amp;$B$2&amp;"月"&amp;"'!A:AZ"),29,14+4)="","",INDEX(INDIRECT("'"&amp;$B$2&amp;"月"&amp;"'!A:AZ"),29,14+4)),"")</f>
        <v/>
      </c>
      <c r="H115" s="57"/>
    </row>
    <row r="116" spans="1:8" ht="13.5" customHeight="1">
      <c r="A116" s="57">
        <f>IF(DAY(DATE(対象年度,$B$2,27))&lt;&gt;27,"",27)</f>
        <v>27</v>
      </c>
      <c r="B116" s="57" t="str">
        <f>IF(DAY(DATE(対象年度,$B$2,27))&lt;&gt;27,"",CHOOSE(WEEKDAY(DATE(対象年度,$B$2,27),2),"月","火","水","木","金","土","日"))</f>
        <v>火</v>
      </c>
      <c r="C116" s="57" t="str">
        <f ca="1">IFERROR(IF(INDEX(INDIRECT("'"&amp;$B$2&amp;"月"&amp;"'!A:AZ"),30,14+0)="","",INDEX(INDIRECT("'"&amp;$B$2&amp;"月"&amp;"'!A:AZ"),30,14+0)),"")</f>
        <v>新宿</v>
      </c>
      <c r="D116" s="58" t="str">
        <f ca="1">IFERROR(IF(INDEX(INDIRECT("'"&amp;$B$2&amp;"月"&amp;"'!A:AZ"),30,14+1)="","",INDEX(INDIRECT("'"&amp;$B$2&amp;"月"&amp;"'!A:AZ"),30,14+1)),"")</f>
        <v/>
      </c>
      <c r="E116" s="57" t="str">
        <f ca="1">IFERROR(IF(INDEX(INDIRECT("'"&amp;$B$2&amp;"月"&amp;"'!A:AZ"),30,14+2)="","",INDEX(INDIRECT("'"&amp;$B$2&amp;"月"&amp;"'!A:AZ"),30,14+2)),"")</f>
        <v>○</v>
      </c>
      <c r="F116" s="59" t="str">
        <f ca="1">IFERROR(IF(INDEX(INDIRECT("'"&amp;$B$2&amp;"月"&amp;"'!A:AZ"),30,14+3)="","",INDEX(INDIRECT("'"&amp;$B$2&amp;"月"&amp;"'!A:AZ"),30,14+3)),"")</f>
        <v/>
      </c>
      <c r="G116" s="57" t="str">
        <f ca="1">IFERROR(IF(INDEX(INDIRECT("'"&amp;$B$2&amp;"月"&amp;"'!A:AZ"),30,14+4)="","",INDEX(INDIRECT("'"&amp;$B$2&amp;"月"&amp;"'!A:AZ"),30,14+4)),"")</f>
        <v/>
      </c>
      <c r="H116" s="57"/>
    </row>
    <row r="117" spans="1:8" ht="13.5" customHeight="1">
      <c r="A117" s="57">
        <f>IF(DAY(DATE(対象年度,$B$2,28))&lt;&gt;28,"",28)</f>
        <v>28</v>
      </c>
      <c r="B117" s="57" t="str">
        <f>IF(DAY(DATE(対象年度,$B$2,28))&lt;&gt;28,"",CHOOSE(WEEKDAY(DATE(対象年度,$B$2,28),2),"月","火","水","木","金","土","日"))</f>
        <v>水</v>
      </c>
      <c r="C117" s="57" t="str">
        <f ca="1">IFERROR(IF(INDEX(INDIRECT("'"&amp;$B$2&amp;"月"&amp;"'!A:AZ"),31,14+0)="","",INDEX(INDIRECT("'"&amp;$B$2&amp;"月"&amp;"'!A:AZ"),31,14+0)),"")</f>
        <v>新宿</v>
      </c>
      <c r="D117" s="58" t="str">
        <f ca="1">IFERROR(IF(INDEX(INDIRECT("'"&amp;$B$2&amp;"月"&amp;"'!A:AZ"),31,14+1)="","",INDEX(INDIRECT("'"&amp;$B$2&amp;"月"&amp;"'!A:AZ"),31,14+1)),"")</f>
        <v/>
      </c>
      <c r="E117" s="57" t="str">
        <f ca="1">IFERROR(IF(INDEX(INDIRECT("'"&amp;$B$2&amp;"月"&amp;"'!A:AZ"),31,14+2)="","",INDEX(INDIRECT("'"&amp;$B$2&amp;"月"&amp;"'!A:AZ"),31,14+2)),"")</f>
        <v>○</v>
      </c>
      <c r="F117" s="59" t="str">
        <f ca="1">IFERROR(IF(INDEX(INDIRECT("'"&amp;$B$2&amp;"月"&amp;"'!A:AZ"),31,14+3)="","",INDEX(INDIRECT("'"&amp;$B$2&amp;"月"&amp;"'!A:AZ"),31,14+3)),"")</f>
        <v/>
      </c>
      <c r="G117" s="57" t="str">
        <f ca="1">IFERROR(IF(INDEX(INDIRECT("'"&amp;$B$2&amp;"月"&amp;"'!A:AZ"),31,14+4)="","",INDEX(INDIRECT("'"&amp;$B$2&amp;"月"&amp;"'!A:AZ"),31,14+4)),"")</f>
        <v/>
      </c>
      <c r="H117" s="57"/>
    </row>
    <row r="118" spans="1:8" ht="13.5" customHeight="1">
      <c r="A118" s="57">
        <f>IF(DAY(DATE(対象年度,$B$2,29))&lt;&gt;29,"",29)</f>
        <v>29</v>
      </c>
      <c r="B118" s="57" t="str">
        <f>IF(DAY(DATE(対象年度,$B$2,29))&lt;&gt;29,"",CHOOSE(WEEKDAY(DATE(対象年度,$B$2,29),2),"月","火","水","木","金","土","日"))</f>
        <v>木</v>
      </c>
      <c r="C118" s="57" t="str">
        <f ca="1">IFERROR(IF(INDEX(INDIRECT("'"&amp;$B$2&amp;"月"&amp;"'!A:AZ"),32,14+0)="","",INDEX(INDIRECT("'"&amp;$B$2&amp;"月"&amp;"'!A:AZ"),32,14+0)),"")</f>
        <v>新宿</v>
      </c>
      <c r="D118" s="58" t="str">
        <f ca="1">IFERROR(IF(INDEX(INDIRECT("'"&amp;$B$2&amp;"月"&amp;"'!A:AZ"),32,14+1)="","",INDEX(INDIRECT("'"&amp;$B$2&amp;"月"&amp;"'!A:AZ"),32,14+1)),"")</f>
        <v/>
      </c>
      <c r="E118" s="57" t="str">
        <f ca="1">IFERROR(IF(INDEX(INDIRECT("'"&amp;$B$2&amp;"月"&amp;"'!A:AZ"),32,14+2)="","",INDEX(INDIRECT("'"&amp;$B$2&amp;"月"&amp;"'!A:AZ"),32,14+2)),"")</f>
        <v>○</v>
      </c>
      <c r="F118" s="59" t="str">
        <f ca="1">IFERROR(IF(INDEX(INDIRECT("'"&amp;$B$2&amp;"月"&amp;"'!A:AZ"),32,14+3)="","",INDEX(INDIRECT("'"&amp;$B$2&amp;"月"&amp;"'!A:AZ"),32,14+3)),"")</f>
        <v/>
      </c>
      <c r="G118" s="57" t="str">
        <f ca="1">IFERROR(IF(INDEX(INDIRECT("'"&amp;$B$2&amp;"月"&amp;"'!A:AZ"),32,14+4)="","",INDEX(INDIRECT("'"&amp;$B$2&amp;"月"&amp;"'!A:AZ"),32,14+4)),"")</f>
        <v/>
      </c>
      <c r="H118" s="57"/>
    </row>
    <row r="119" spans="1:8" ht="13.5" customHeight="1">
      <c r="A119" s="57">
        <f>IF(DAY(DATE(対象年度,$B$2,30))&lt;&gt;30,"",30)</f>
        <v>30</v>
      </c>
      <c r="B119" s="57" t="str">
        <f>IF(DAY(DATE(対象年度,$B$2,30))&lt;&gt;30,"",CHOOSE(WEEKDAY(DATE(対象年度,$B$2,30),2),"月","火","水","木","金","土","日"))</f>
        <v>金</v>
      </c>
      <c r="C119" s="57" t="str">
        <f ca="1">IFERROR(IF(INDEX(INDIRECT("'"&amp;$B$2&amp;"月"&amp;"'!A:AZ"),33,14+0)="","",INDEX(INDIRECT("'"&amp;$B$2&amp;"月"&amp;"'!A:AZ"),33,14+0)),"")</f>
        <v>新宿</v>
      </c>
      <c r="D119" s="58" t="str">
        <f ca="1">IFERROR(IF(INDEX(INDIRECT("'"&amp;$B$2&amp;"月"&amp;"'!A:AZ"),33,14+1)="","",INDEX(INDIRECT("'"&amp;$B$2&amp;"月"&amp;"'!A:AZ"),33,14+1)),"")</f>
        <v/>
      </c>
      <c r="E119" s="57" t="str">
        <f ca="1">IFERROR(IF(INDEX(INDIRECT("'"&amp;$B$2&amp;"月"&amp;"'!A:AZ"),33,14+2)="","",INDEX(INDIRECT("'"&amp;$B$2&amp;"月"&amp;"'!A:AZ"),33,14+2)),"")</f>
        <v>○</v>
      </c>
      <c r="F119" s="59" t="str">
        <f ca="1">IFERROR(IF(INDEX(INDIRECT("'"&amp;$B$2&amp;"月"&amp;"'!A:AZ"),33,14+3)="","",INDEX(INDIRECT("'"&amp;$B$2&amp;"月"&amp;"'!A:AZ"),33,14+3)),"")</f>
        <v/>
      </c>
      <c r="G119" s="57" t="str">
        <f ca="1">IFERROR(IF(INDEX(INDIRECT("'"&amp;$B$2&amp;"月"&amp;"'!A:AZ"),33,14+4)="","",INDEX(INDIRECT("'"&amp;$B$2&amp;"月"&amp;"'!A:AZ"),33,14+4)),"")</f>
        <v/>
      </c>
      <c r="H119" s="57"/>
    </row>
    <row r="120" spans="1:8" ht="13.5" customHeight="1">
      <c r="A120" s="57">
        <f>IF(DAY(DATE(対象年度,$B$2,31))&lt;&gt;31,"",31)</f>
        <v>31</v>
      </c>
      <c r="B120" s="57" t="str">
        <f>IF(DAY(DATE(対象年度,$B$2,31))&lt;&gt;31,"",CHOOSE(WEEKDAY(DATE(対象年度,$B$2,31),2),"月","火","水","木","金","土","日"))</f>
        <v>土</v>
      </c>
      <c r="C120" s="57" t="str">
        <f ca="1">IFERROR(IF(INDEX(INDIRECT("'"&amp;$B$2&amp;"月"&amp;"'!A:AZ"),34,14+0)="","",INDEX(INDIRECT("'"&amp;$B$2&amp;"月"&amp;"'!A:AZ"),34,14+0)),"")</f>
        <v>新宿</v>
      </c>
      <c r="D120" s="58" t="str">
        <f ca="1">IFERROR(IF(INDEX(INDIRECT("'"&amp;$B$2&amp;"月"&amp;"'!A:AZ"),34,14+1)="","",INDEX(INDIRECT("'"&amp;$B$2&amp;"月"&amp;"'!A:AZ"),34,14+1)),"")</f>
        <v/>
      </c>
      <c r="E120" s="57" t="str">
        <f ca="1">IFERROR(IF(INDEX(INDIRECT("'"&amp;$B$2&amp;"月"&amp;"'!A:AZ"),34,14+2)="","",INDEX(INDIRECT("'"&amp;$B$2&amp;"月"&amp;"'!A:AZ"),34,14+2)),"")</f>
        <v>○</v>
      </c>
      <c r="F120" s="59" t="str">
        <f ca="1">IFERROR(IF(INDEX(INDIRECT("'"&amp;$B$2&amp;"月"&amp;"'!A:AZ"),34,14+3)="","",INDEX(INDIRECT("'"&amp;$B$2&amp;"月"&amp;"'!A:AZ"),34,14+3)),"")</f>
        <v/>
      </c>
      <c r="G120" s="57" t="str">
        <f ca="1">IFERROR(IF(INDEX(INDIRECT("'"&amp;$B$2&amp;"月"&amp;"'!A:AZ"),34,14+4)="","",INDEX(INDIRECT("'"&amp;$B$2&amp;"月"&amp;"'!A:AZ"),34,14+4)),"")</f>
        <v/>
      </c>
      <c r="H120" s="57"/>
    </row>
    <row r="121" spans="1:8" ht="21.75" customHeight="1">
      <c r="A121" s="112" t="s">
        <v>87</v>
      </c>
      <c r="B121" s="112"/>
      <c r="C121" s="61" t="s">
        <v>71</v>
      </c>
      <c r="D121" s="62">
        <f ca="1">IFERROR(INDEX(INDIRECT("'"&amp;$B$2&amp;"月"&amp;"'!A:AZ"),35,14),0)</f>
        <v>10</v>
      </c>
      <c r="E121" s="63" t="s">
        <v>72</v>
      </c>
      <c r="F121" s="64">
        <f ca="1">IFERROR(INDEX(INDIRECT("'"&amp;$B$2&amp;"月"&amp;"'!A:AZ"),36,14),0)</f>
        <v>0</v>
      </c>
      <c r="G121" s="61" t="s">
        <v>73</v>
      </c>
      <c r="H121" s="62">
        <f ca="1">IFERROR(INDEX(INDIRECT("'"&amp;$B$2&amp;"月"&amp;"'!A:AZ"),38,14),0)</f>
        <v>0</v>
      </c>
    </row>
    <row r="122" spans="1:8" ht="24" customHeight="1">
      <c r="A122" s="113"/>
      <c r="B122" s="113"/>
      <c r="C122" s="65" t="s">
        <v>76</v>
      </c>
      <c r="D122" s="66">
        <f ca="1">IFERROR(INDEX(INDIRECT("'"&amp;$B$2&amp;"月"&amp;"'!A:AZ"),37,14),0)</f>
        <v>10</v>
      </c>
      <c r="E122" s="67" t="s">
        <v>64</v>
      </c>
      <c r="F122" s="68">
        <f ca="1">IFERROR(INDEX(INDIRECT("'"&amp;$B$2&amp;"月"&amp;"'!A:AZ"),39,14),0)</f>
        <v>0</v>
      </c>
      <c r="G122" s="69" t="s">
        <v>65</v>
      </c>
      <c r="H122" s="70">
        <f ca="1">IFERROR(INDEX(INDIRECT("'"&amp;$B$2&amp;"月"&amp;"'!A:AZ"),40,14),0)</f>
        <v>0</v>
      </c>
    </row>
    <row r="124" spans="1:8" ht="27.75" customHeight="1">
      <c r="A124" s="105" t="s">
        <v>78</v>
      </c>
      <c r="B124" s="105"/>
      <c r="C124" s="105"/>
      <c r="D124" s="105"/>
      <c r="E124" s="105"/>
      <c r="F124" s="105"/>
      <c r="G124" s="105"/>
      <c r="H124" s="105"/>
    </row>
    <row r="125" spans="1:8" ht="18" customHeight="1">
      <c r="A125" s="114" t="s">
        <v>17</v>
      </c>
      <c r="B125" s="114"/>
      <c r="C125" s="114"/>
      <c r="D125" s="114"/>
      <c r="E125" s="114"/>
      <c r="F125" s="114"/>
      <c r="G125" s="114"/>
      <c r="H125" s="114"/>
    </row>
    <row r="126" spans="1:8" ht="27.75" customHeight="1">
      <c r="A126" s="49" t="s">
        <v>79</v>
      </c>
      <c r="B126" s="115" t="str">
        <f>対象年度&amp;"年 "&amp;$B$2&amp;"月"</f>
        <v>2026年 1月</v>
      </c>
      <c r="C126" s="115"/>
      <c r="D126" s="49" t="s">
        <v>80</v>
      </c>
      <c r="E126" s="116" t="str">
        <f>IFERROR(従業員マスタ!$C$7,"")</f>
        <v>土木　三郎</v>
      </c>
      <c r="F126" s="116"/>
      <c r="G126" s="116"/>
      <c r="H126" s="116"/>
    </row>
    <row r="127" spans="1:8" ht="19.5" customHeight="1">
      <c r="A127" s="73" t="s">
        <v>90</v>
      </c>
      <c r="B127" s="53" t="s">
        <v>91</v>
      </c>
      <c r="C127" s="120" t="s">
        <v>84</v>
      </c>
      <c r="D127" s="120"/>
      <c r="E127" s="120" t="s">
        <v>85</v>
      </c>
      <c r="F127" s="120"/>
      <c r="G127" s="117" t="s">
        <v>86</v>
      </c>
      <c r="H127" s="117"/>
    </row>
    <row r="128" spans="1:8" ht="43.5" customHeight="1">
      <c r="A128" s="74"/>
      <c r="B128" s="54"/>
      <c r="C128" s="111"/>
      <c r="D128" s="111"/>
      <c r="E128" s="111"/>
      <c r="F128" s="111"/>
      <c r="G128" s="111"/>
      <c r="H128" s="111"/>
    </row>
    <row r="129" spans="1:8" ht="19.5" customHeight="1">
      <c r="A129" s="55" t="s">
        <v>66</v>
      </c>
      <c r="B129" s="55" t="s">
        <v>67</v>
      </c>
      <c r="C129" s="55" t="s">
        <v>69</v>
      </c>
      <c r="D129" s="56" t="s">
        <v>70</v>
      </c>
      <c r="E129" s="55" t="s">
        <v>71</v>
      </c>
      <c r="F129" s="55" t="s">
        <v>72</v>
      </c>
      <c r="G129" s="55" t="s">
        <v>73</v>
      </c>
      <c r="H129" s="55" t="s">
        <v>57</v>
      </c>
    </row>
    <row r="130" spans="1:8" ht="13.5" customHeight="1">
      <c r="A130" s="57">
        <f>IF(DAY(DATE(対象年度,$B$2,1))&lt;&gt;1,"",1)</f>
        <v>1</v>
      </c>
      <c r="B130" s="57" t="str">
        <f>IF(DAY(DATE(対象年度,$B$2,1))&lt;&gt;1,"",CHOOSE(WEEKDAY(DATE(対象年度,$B$2,1),2),"月","火","水","木","金","土","日"))</f>
        <v>木</v>
      </c>
      <c r="C130" s="57" t="str">
        <f ca="1">IFERROR(IF(INDEX(INDIRECT("'"&amp;$B$2&amp;"月"&amp;"'!A:AZ"),4,19+0)="","",INDEX(INDIRECT("'"&amp;$B$2&amp;"月"&amp;"'!A:AZ"),4,19+0)),"")</f>
        <v/>
      </c>
      <c r="D130" s="58" t="str">
        <f ca="1">IFERROR(IF(INDEX(INDIRECT("'"&amp;$B$2&amp;"月"&amp;"'!A:AZ"),4,19+1)="","",INDEX(INDIRECT("'"&amp;$B$2&amp;"月"&amp;"'!A:AZ"),4,19+1)),"")</f>
        <v/>
      </c>
      <c r="E130" s="57" t="str">
        <f ca="1">IFERROR(IF(INDEX(INDIRECT("'"&amp;$B$2&amp;"月"&amp;"'!A:AZ"),4,19+2)="","",INDEX(INDIRECT("'"&amp;$B$2&amp;"月"&amp;"'!A:AZ"),4,19+2)),"")</f>
        <v/>
      </c>
      <c r="F130" s="59" t="str">
        <f ca="1">IFERROR(IF(INDEX(INDIRECT("'"&amp;$B$2&amp;"月"&amp;"'!A:AZ"),4,19+3)="","",INDEX(INDIRECT("'"&amp;$B$2&amp;"月"&amp;"'!A:AZ"),4,19+3)),"")</f>
        <v/>
      </c>
      <c r="G130" s="57" t="str">
        <f ca="1">IFERROR(IF(INDEX(INDIRECT("'"&amp;$B$2&amp;"月"&amp;"'!A:AZ"),4,19+4)="","",INDEX(INDIRECT("'"&amp;$B$2&amp;"月"&amp;"'!A:AZ"),4,19+4)),"")</f>
        <v/>
      </c>
      <c r="H130" s="57"/>
    </row>
    <row r="131" spans="1:8" ht="13.5" customHeight="1">
      <c r="A131" s="57">
        <f>IF(DAY(DATE(対象年度,$B$2,2))&lt;&gt;2,"",2)</f>
        <v>2</v>
      </c>
      <c r="B131" s="57" t="str">
        <f>IF(DAY(DATE(対象年度,$B$2,2))&lt;&gt;2,"",CHOOSE(WEEKDAY(DATE(対象年度,$B$2,2),2),"月","火","水","木","金","土","日"))</f>
        <v>金</v>
      </c>
      <c r="C131" s="57" t="str">
        <f ca="1">IFERROR(IF(INDEX(INDIRECT("'"&amp;$B$2&amp;"月"&amp;"'!A:AZ"),5,19+0)="","",INDEX(INDIRECT("'"&amp;$B$2&amp;"月"&amp;"'!A:AZ"),5,19+0)),"")</f>
        <v/>
      </c>
      <c r="D131" s="58" t="str">
        <f ca="1">IFERROR(IF(INDEX(INDIRECT("'"&amp;$B$2&amp;"月"&amp;"'!A:AZ"),5,19+1)="","",INDEX(INDIRECT("'"&amp;$B$2&amp;"月"&amp;"'!A:AZ"),5,19+1)),"")</f>
        <v/>
      </c>
      <c r="E131" s="57" t="str">
        <f ca="1">IFERROR(IF(INDEX(INDIRECT("'"&amp;$B$2&amp;"月"&amp;"'!A:AZ"),5,19+2)="","",INDEX(INDIRECT("'"&amp;$B$2&amp;"月"&amp;"'!A:AZ"),5,19+2)),"")</f>
        <v/>
      </c>
      <c r="F131" s="59" t="str">
        <f ca="1">IFERROR(IF(INDEX(INDIRECT("'"&amp;$B$2&amp;"月"&amp;"'!A:AZ"),5,19+3)="","",INDEX(INDIRECT("'"&amp;$B$2&amp;"月"&amp;"'!A:AZ"),5,19+3)),"")</f>
        <v/>
      </c>
      <c r="G131" s="57" t="str">
        <f ca="1">IFERROR(IF(INDEX(INDIRECT("'"&amp;$B$2&amp;"月"&amp;"'!A:AZ"),5,19+4)="","",INDEX(INDIRECT("'"&amp;$B$2&amp;"月"&amp;"'!A:AZ"),5,19+4)),"")</f>
        <v/>
      </c>
      <c r="H131" s="57"/>
    </row>
    <row r="132" spans="1:8" ht="13.5" customHeight="1">
      <c r="A132" s="57">
        <f>IF(DAY(DATE(対象年度,$B$2,3))&lt;&gt;3,"",3)</f>
        <v>3</v>
      </c>
      <c r="B132" s="57" t="str">
        <f>IF(DAY(DATE(対象年度,$B$2,3))&lt;&gt;3,"",CHOOSE(WEEKDAY(DATE(対象年度,$B$2,3),2),"月","火","水","木","金","土","日"))</f>
        <v>土</v>
      </c>
      <c r="C132" s="57" t="str">
        <f ca="1">IFERROR(IF(INDEX(INDIRECT("'"&amp;$B$2&amp;"月"&amp;"'!A:AZ"),6,19+0)="","",INDEX(INDIRECT("'"&amp;$B$2&amp;"月"&amp;"'!A:AZ"),6,19+0)),"")</f>
        <v/>
      </c>
      <c r="D132" s="58" t="str">
        <f ca="1">IFERROR(IF(INDEX(INDIRECT("'"&amp;$B$2&amp;"月"&amp;"'!A:AZ"),6,19+1)="","",INDEX(INDIRECT("'"&amp;$B$2&amp;"月"&amp;"'!A:AZ"),6,19+1)),"")</f>
        <v/>
      </c>
      <c r="E132" s="57" t="str">
        <f ca="1">IFERROR(IF(INDEX(INDIRECT("'"&amp;$B$2&amp;"月"&amp;"'!A:AZ"),6,19+2)="","",INDEX(INDIRECT("'"&amp;$B$2&amp;"月"&amp;"'!A:AZ"),6,19+2)),"")</f>
        <v/>
      </c>
      <c r="F132" s="59" t="str">
        <f ca="1">IFERROR(IF(INDEX(INDIRECT("'"&amp;$B$2&amp;"月"&amp;"'!A:AZ"),6,19+3)="","",INDEX(INDIRECT("'"&amp;$B$2&amp;"月"&amp;"'!A:AZ"),6,19+3)),"")</f>
        <v/>
      </c>
      <c r="G132" s="57" t="str">
        <f ca="1">IFERROR(IF(INDEX(INDIRECT("'"&amp;$B$2&amp;"月"&amp;"'!A:AZ"),6,19+4)="","",INDEX(INDIRECT("'"&amp;$B$2&amp;"月"&amp;"'!A:AZ"),6,19+4)),"")</f>
        <v/>
      </c>
      <c r="H132" s="57"/>
    </row>
    <row r="133" spans="1:8" ht="13.5" customHeight="1">
      <c r="A133" s="57">
        <f>IF(DAY(DATE(対象年度,$B$2,4))&lt;&gt;4,"",4)</f>
        <v>4</v>
      </c>
      <c r="B133" s="57" t="str">
        <f>IF(DAY(DATE(対象年度,$B$2,4))&lt;&gt;4,"",CHOOSE(WEEKDAY(DATE(対象年度,$B$2,4),2),"月","火","水","木","金","土","日"))</f>
        <v>日</v>
      </c>
      <c r="C133" s="57" t="str">
        <f ca="1">IFERROR(IF(INDEX(INDIRECT("'"&amp;$B$2&amp;"月"&amp;"'!A:AZ"),7,19+0)="","",INDEX(INDIRECT("'"&amp;$B$2&amp;"月"&amp;"'!A:AZ"),7,19+0)),"")</f>
        <v/>
      </c>
      <c r="D133" s="58" t="str">
        <f ca="1">IFERROR(IF(INDEX(INDIRECT("'"&amp;$B$2&amp;"月"&amp;"'!A:AZ"),7,19+1)="","",INDEX(INDIRECT("'"&amp;$B$2&amp;"月"&amp;"'!A:AZ"),7,19+1)),"")</f>
        <v/>
      </c>
      <c r="E133" s="57" t="str">
        <f ca="1">IFERROR(IF(INDEX(INDIRECT("'"&amp;$B$2&amp;"月"&amp;"'!A:AZ"),7,19+2)="","",INDEX(INDIRECT("'"&amp;$B$2&amp;"月"&amp;"'!A:AZ"),7,19+2)),"")</f>
        <v/>
      </c>
      <c r="F133" s="59" t="str">
        <f ca="1">IFERROR(IF(INDEX(INDIRECT("'"&amp;$B$2&amp;"月"&amp;"'!A:AZ"),7,19+3)="","",INDEX(INDIRECT("'"&amp;$B$2&amp;"月"&amp;"'!A:AZ"),7,19+3)),"")</f>
        <v/>
      </c>
      <c r="G133" s="57" t="str">
        <f ca="1">IFERROR(IF(INDEX(INDIRECT("'"&amp;$B$2&amp;"月"&amp;"'!A:AZ"),7,19+4)="","",INDEX(INDIRECT("'"&amp;$B$2&amp;"月"&amp;"'!A:AZ"),7,19+4)),"")</f>
        <v/>
      </c>
      <c r="H133" s="57"/>
    </row>
    <row r="134" spans="1:8" ht="13.5" customHeight="1">
      <c r="A134" s="57">
        <f>IF(DAY(DATE(対象年度,$B$2,5))&lt;&gt;5,"",5)</f>
        <v>5</v>
      </c>
      <c r="B134" s="57" t="str">
        <f>IF(DAY(DATE(対象年度,$B$2,5))&lt;&gt;5,"",CHOOSE(WEEKDAY(DATE(対象年度,$B$2,5),2),"月","火","水","木","金","土","日"))</f>
        <v>月</v>
      </c>
      <c r="C134" s="57" t="str">
        <f ca="1">IFERROR(IF(INDEX(INDIRECT("'"&amp;$B$2&amp;"月"&amp;"'!A:AZ"),8,19+0)="","",INDEX(INDIRECT("'"&amp;$B$2&amp;"月"&amp;"'!A:AZ"),8,19+0)),"")</f>
        <v/>
      </c>
      <c r="D134" s="58" t="str">
        <f ca="1">IFERROR(IF(INDEX(INDIRECT("'"&amp;$B$2&amp;"月"&amp;"'!A:AZ"),8,19+1)="","",INDEX(INDIRECT("'"&amp;$B$2&amp;"月"&amp;"'!A:AZ"),8,19+1)),"")</f>
        <v/>
      </c>
      <c r="E134" s="57" t="str">
        <f ca="1">IFERROR(IF(INDEX(INDIRECT("'"&amp;$B$2&amp;"月"&amp;"'!A:AZ"),8,19+2)="","",INDEX(INDIRECT("'"&amp;$B$2&amp;"月"&amp;"'!A:AZ"),8,19+2)),"")</f>
        <v/>
      </c>
      <c r="F134" s="59" t="str">
        <f ca="1">IFERROR(IF(INDEX(INDIRECT("'"&amp;$B$2&amp;"月"&amp;"'!A:AZ"),8,19+3)="","",INDEX(INDIRECT("'"&amp;$B$2&amp;"月"&amp;"'!A:AZ"),8,19+3)),"")</f>
        <v/>
      </c>
      <c r="G134" s="57" t="str">
        <f ca="1">IFERROR(IF(INDEX(INDIRECT("'"&amp;$B$2&amp;"月"&amp;"'!A:AZ"),8,19+4)="","",INDEX(INDIRECT("'"&amp;$B$2&amp;"月"&amp;"'!A:AZ"),8,19+4)),"")</f>
        <v/>
      </c>
      <c r="H134" s="57"/>
    </row>
    <row r="135" spans="1:8" ht="13.5" customHeight="1">
      <c r="A135" s="57">
        <f>IF(DAY(DATE(対象年度,$B$2,6))&lt;&gt;6,"",6)</f>
        <v>6</v>
      </c>
      <c r="B135" s="57" t="str">
        <f>IF(DAY(DATE(対象年度,$B$2,6))&lt;&gt;6,"",CHOOSE(WEEKDAY(DATE(対象年度,$B$2,6),2),"月","火","水","木","金","土","日"))</f>
        <v>火</v>
      </c>
      <c r="C135" s="57" t="str">
        <f ca="1">IFERROR(IF(INDEX(INDIRECT("'"&amp;$B$2&amp;"月"&amp;"'!A:AZ"),9,19+0)="","",INDEX(INDIRECT("'"&amp;$B$2&amp;"月"&amp;"'!A:AZ"),9,19+0)),"")</f>
        <v/>
      </c>
      <c r="D135" s="58" t="str">
        <f ca="1">IFERROR(IF(INDEX(INDIRECT("'"&amp;$B$2&amp;"月"&amp;"'!A:AZ"),9,19+1)="","",INDEX(INDIRECT("'"&amp;$B$2&amp;"月"&amp;"'!A:AZ"),9,19+1)),"")</f>
        <v/>
      </c>
      <c r="E135" s="57" t="str">
        <f ca="1">IFERROR(IF(INDEX(INDIRECT("'"&amp;$B$2&amp;"月"&amp;"'!A:AZ"),9,19+2)="","",INDEX(INDIRECT("'"&amp;$B$2&amp;"月"&amp;"'!A:AZ"),9,19+2)),"")</f>
        <v/>
      </c>
      <c r="F135" s="59" t="str">
        <f ca="1">IFERROR(IF(INDEX(INDIRECT("'"&amp;$B$2&amp;"月"&amp;"'!A:AZ"),9,19+3)="","",INDEX(INDIRECT("'"&amp;$B$2&amp;"月"&amp;"'!A:AZ"),9,19+3)),"")</f>
        <v/>
      </c>
      <c r="G135" s="57" t="str">
        <f ca="1">IFERROR(IF(INDEX(INDIRECT("'"&amp;$B$2&amp;"月"&amp;"'!A:AZ"),9,19+4)="","",INDEX(INDIRECT("'"&amp;$B$2&amp;"月"&amp;"'!A:AZ"),9,19+4)),"")</f>
        <v/>
      </c>
      <c r="H135" s="57"/>
    </row>
    <row r="136" spans="1:8" ht="13.5" customHeight="1">
      <c r="A136" s="57">
        <f>IF(DAY(DATE(対象年度,$B$2,7))&lt;&gt;7,"",7)</f>
        <v>7</v>
      </c>
      <c r="B136" s="57" t="str">
        <f>IF(DAY(DATE(対象年度,$B$2,7))&lt;&gt;7,"",CHOOSE(WEEKDAY(DATE(対象年度,$B$2,7),2),"月","火","水","木","金","土","日"))</f>
        <v>水</v>
      </c>
      <c r="C136" s="57" t="str">
        <f ca="1">IFERROR(IF(INDEX(INDIRECT("'"&amp;$B$2&amp;"月"&amp;"'!A:AZ"),10,19+0)="","",INDEX(INDIRECT("'"&amp;$B$2&amp;"月"&amp;"'!A:AZ"),10,19+0)),"")</f>
        <v/>
      </c>
      <c r="D136" s="58" t="str">
        <f ca="1">IFERROR(IF(INDEX(INDIRECT("'"&amp;$B$2&amp;"月"&amp;"'!A:AZ"),10,19+1)="","",INDEX(INDIRECT("'"&amp;$B$2&amp;"月"&amp;"'!A:AZ"),10,19+1)),"")</f>
        <v/>
      </c>
      <c r="E136" s="57" t="str">
        <f ca="1">IFERROR(IF(INDEX(INDIRECT("'"&amp;$B$2&amp;"月"&amp;"'!A:AZ"),10,19+2)="","",INDEX(INDIRECT("'"&amp;$B$2&amp;"月"&amp;"'!A:AZ"),10,19+2)),"")</f>
        <v/>
      </c>
      <c r="F136" s="59" t="str">
        <f ca="1">IFERROR(IF(INDEX(INDIRECT("'"&amp;$B$2&amp;"月"&amp;"'!A:AZ"),10,19+3)="","",INDEX(INDIRECT("'"&amp;$B$2&amp;"月"&amp;"'!A:AZ"),10,19+3)),"")</f>
        <v/>
      </c>
      <c r="G136" s="57" t="str">
        <f ca="1">IFERROR(IF(INDEX(INDIRECT("'"&amp;$B$2&amp;"月"&amp;"'!A:AZ"),10,19+4)="","",INDEX(INDIRECT("'"&amp;$B$2&amp;"月"&amp;"'!A:AZ"),10,19+4)),"")</f>
        <v/>
      </c>
      <c r="H136" s="57"/>
    </row>
    <row r="137" spans="1:8" ht="13.5" customHeight="1">
      <c r="A137" s="57">
        <f>IF(DAY(DATE(対象年度,$B$2,8))&lt;&gt;8,"",8)</f>
        <v>8</v>
      </c>
      <c r="B137" s="57" t="str">
        <f>IF(DAY(DATE(対象年度,$B$2,8))&lt;&gt;8,"",CHOOSE(WEEKDAY(DATE(対象年度,$B$2,8),2),"月","火","水","木","金","土","日"))</f>
        <v>木</v>
      </c>
      <c r="C137" s="57" t="str">
        <f ca="1">IFERROR(IF(INDEX(INDIRECT("'"&amp;$B$2&amp;"月"&amp;"'!A:AZ"),11,19+0)="","",INDEX(INDIRECT("'"&amp;$B$2&amp;"月"&amp;"'!A:AZ"),11,19+0)),"")</f>
        <v/>
      </c>
      <c r="D137" s="58" t="str">
        <f ca="1">IFERROR(IF(INDEX(INDIRECT("'"&amp;$B$2&amp;"月"&amp;"'!A:AZ"),11,19+1)="","",INDEX(INDIRECT("'"&amp;$B$2&amp;"月"&amp;"'!A:AZ"),11,19+1)),"")</f>
        <v/>
      </c>
      <c r="E137" s="57" t="str">
        <f ca="1">IFERROR(IF(INDEX(INDIRECT("'"&amp;$B$2&amp;"月"&amp;"'!A:AZ"),11,19+2)="","",INDEX(INDIRECT("'"&amp;$B$2&amp;"月"&amp;"'!A:AZ"),11,19+2)),"")</f>
        <v/>
      </c>
      <c r="F137" s="59" t="str">
        <f ca="1">IFERROR(IF(INDEX(INDIRECT("'"&amp;$B$2&amp;"月"&amp;"'!A:AZ"),11,19+3)="","",INDEX(INDIRECT("'"&amp;$B$2&amp;"月"&amp;"'!A:AZ"),11,19+3)),"")</f>
        <v/>
      </c>
      <c r="G137" s="57" t="str">
        <f ca="1">IFERROR(IF(INDEX(INDIRECT("'"&amp;$B$2&amp;"月"&amp;"'!A:AZ"),11,19+4)="","",INDEX(INDIRECT("'"&amp;$B$2&amp;"月"&amp;"'!A:AZ"),11,19+4)),"")</f>
        <v/>
      </c>
      <c r="H137" s="57"/>
    </row>
    <row r="138" spans="1:8" ht="13.5" customHeight="1">
      <c r="A138" s="57">
        <f>IF(DAY(DATE(対象年度,$B$2,9))&lt;&gt;9,"",9)</f>
        <v>9</v>
      </c>
      <c r="B138" s="57" t="str">
        <f>IF(DAY(DATE(対象年度,$B$2,9))&lt;&gt;9,"",CHOOSE(WEEKDAY(DATE(対象年度,$B$2,9),2),"月","火","水","木","金","土","日"))</f>
        <v>金</v>
      </c>
      <c r="C138" s="57" t="str">
        <f ca="1">IFERROR(IF(INDEX(INDIRECT("'"&amp;$B$2&amp;"月"&amp;"'!A:AZ"),12,19+0)="","",INDEX(INDIRECT("'"&amp;$B$2&amp;"月"&amp;"'!A:AZ"),12,19+0)),"")</f>
        <v/>
      </c>
      <c r="D138" s="58" t="str">
        <f ca="1">IFERROR(IF(INDEX(INDIRECT("'"&amp;$B$2&amp;"月"&amp;"'!A:AZ"),12,19+1)="","",INDEX(INDIRECT("'"&amp;$B$2&amp;"月"&amp;"'!A:AZ"),12,19+1)),"")</f>
        <v/>
      </c>
      <c r="E138" s="57" t="str">
        <f ca="1">IFERROR(IF(INDEX(INDIRECT("'"&amp;$B$2&amp;"月"&amp;"'!A:AZ"),12,19+2)="","",INDEX(INDIRECT("'"&amp;$B$2&amp;"月"&amp;"'!A:AZ"),12,19+2)),"")</f>
        <v/>
      </c>
      <c r="F138" s="59" t="str">
        <f ca="1">IFERROR(IF(INDEX(INDIRECT("'"&amp;$B$2&amp;"月"&amp;"'!A:AZ"),12,19+3)="","",INDEX(INDIRECT("'"&amp;$B$2&amp;"月"&amp;"'!A:AZ"),12,19+3)),"")</f>
        <v/>
      </c>
      <c r="G138" s="57" t="str">
        <f ca="1">IFERROR(IF(INDEX(INDIRECT("'"&amp;$B$2&amp;"月"&amp;"'!A:AZ"),12,19+4)="","",INDEX(INDIRECT("'"&amp;$B$2&amp;"月"&amp;"'!A:AZ"),12,19+4)),"")</f>
        <v/>
      </c>
      <c r="H138" s="57"/>
    </row>
    <row r="139" spans="1:8" ht="13.5" customHeight="1">
      <c r="A139" s="57">
        <f>IF(DAY(DATE(対象年度,$B$2,10))&lt;&gt;10,"",10)</f>
        <v>10</v>
      </c>
      <c r="B139" s="57" t="str">
        <f>IF(DAY(DATE(対象年度,$B$2,10))&lt;&gt;10,"",CHOOSE(WEEKDAY(DATE(対象年度,$B$2,10),2),"月","火","水","木","金","土","日"))</f>
        <v>土</v>
      </c>
      <c r="C139" s="57" t="str">
        <f ca="1">IFERROR(IF(INDEX(INDIRECT("'"&amp;$B$2&amp;"月"&amp;"'!A:AZ"),13,19+0)="","",INDEX(INDIRECT("'"&amp;$B$2&amp;"月"&amp;"'!A:AZ"),13,19+0)),"")</f>
        <v/>
      </c>
      <c r="D139" s="58" t="str">
        <f ca="1">IFERROR(IF(INDEX(INDIRECT("'"&amp;$B$2&amp;"月"&amp;"'!A:AZ"),13,19+1)="","",INDEX(INDIRECT("'"&amp;$B$2&amp;"月"&amp;"'!A:AZ"),13,19+1)),"")</f>
        <v/>
      </c>
      <c r="E139" s="57" t="str">
        <f ca="1">IFERROR(IF(INDEX(INDIRECT("'"&amp;$B$2&amp;"月"&amp;"'!A:AZ"),13,19+2)="","",INDEX(INDIRECT("'"&amp;$B$2&amp;"月"&amp;"'!A:AZ"),13,19+2)),"")</f>
        <v/>
      </c>
      <c r="F139" s="59" t="str">
        <f ca="1">IFERROR(IF(INDEX(INDIRECT("'"&amp;$B$2&amp;"月"&amp;"'!A:AZ"),13,19+3)="","",INDEX(INDIRECT("'"&amp;$B$2&amp;"月"&amp;"'!A:AZ"),13,19+3)),"")</f>
        <v/>
      </c>
      <c r="G139" s="57" t="str">
        <f ca="1">IFERROR(IF(INDEX(INDIRECT("'"&amp;$B$2&amp;"月"&amp;"'!A:AZ"),13,19+4)="","",INDEX(INDIRECT("'"&amp;$B$2&amp;"月"&amp;"'!A:AZ"),13,19+4)),"")</f>
        <v/>
      </c>
      <c r="H139" s="57"/>
    </row>
    <row r="140" spans="1:8" ht="13.5" customHeight="1">
      <c r="A140" s="57">
        <f>IF(DAY(DATE(対象年度,$B$2,11))&lt;&gt;11,"",11)</f>
        <v>11</v>
      </c>
      <c r="B140" s="57" t="str">
        <f>IF(DAY(DATE(対象年度,$B$2,11))&lt;&gt;11,"",CHOOSE(WEEKDAY(DATE(対象年度,$B$2,11),2),"月","火","水","木","金","土","日"))</f>
        <v>日</v>
      </c>
      <c r="C140" s="57" t="str">
        <f ca="1">IFERROR(IF(INDEX(INDIRECT("'"&amp;$B$2&amp;"月"&amp;"'!A:AZ"),14,19+0)="","",INDEX(INDIRECT("'"&amp;$B$2&amp;"月"&amp;"'!A:AZ"),14,19+0)),"")</f>
        <v/>
      </c>
      <c r="D140" s="58" t="str">
        <f ca="1">IFERROR(IF(INDEX(INDIRECT("'"&amp;$B$2&amp;"月"&amp;"'!A:AZ"),14,19+1)="","",INDEX(INDIRECT("'"&amp;$B$2&amp;"月"&amp;"'!A:AZ"),14,19+1)),"")</f>
        <v/>
      </c>
      <c r="E140" s="57" t="str">
        <f ca="1">IFERROR(IF(INDEX(INDIRECT("'"&amp;$B$2&amp;"月"&amp;"'!A:AZ"),14,19+2)="","",INDEX(INDIRECT("'"&amp;$B$2&amp;"月"&amp;"'!A:AZ"),14,19+2)),"")</f>
        <v/>
      </c>
      <c r="F140" s="59" t="str">
        <f ca="1">IFERROR(IF(INDEX(INDIRECT("'"&amp;$B$2&amp;"月"&amp;"'!A:AZ"),14,19+3)="","",INDEX(INDIRECT("'"&amp;$B$2&amp;"月"&amp;"'!A:AZ"),14,19+3)),"")</f>
        <v/>
      </c>
      <c r="G140" s="57" t="str">
        <f ca="1">IFERROR(IF(INDEX(INDIRECT("'"&amp;$B$2&amp;"月"&amp;"'!A:AZ"),14,19+4)="","",INDEX(INDIRECT("'"&amp;$B$2&amp;"月"&amp;"'!A:AZ"),14,19+4)),"")</f>
        <v/>
      </c>
      <c r="H140" s="57"/>
    </row>
    <row r="141" spans="1:8" ht="13.5" customHeight="1">
      <c r="A141" s="57">
        <f>IF(DAY(DATE(対象年度,$B$2,12))&lt;&gt;12,"",12)</f>
        <v>12</v>
      </c>
      <c r="B141" s="57" t="str">
        <f>IF(DAY(DATE(対象年度,$B$2,12))&lt;&gt;12,"",CHOOSE(WEEKDAY(DATE(対象年度,$B$2,12),2),"月","火","水","木","金","土","日"))</f>
        <v>月</v>
      </c>
      <c r="C141" s="57" t="str">
        <f ca="1">IFERROR(IF(INDEX(INDIRECT("'"&amp;$B$2&amp;"月"&amp;"'!A:AZ"),15,19+0)="","",INDEX(INDIRECT("'"&amp;$B$2&amp;"月"&amp;"'!A:AZ"),15,19+0)),"")</f>
        <v/>
      </c>
      <c r="D141" s="58" t="str">
        <f ca="1">IFERROR(IF(INDEX(INDIRECT("'"&amp;$B$2&amp;"月"&amp;"'!A:AZ"),15,19+1)="","",INDEX(INDIRECT("'"&amp;$B$2&amp;"月"&amp;"'!A:AZ"),15,19+1)),"")</f>
        <v/>
      </c>
      <c r="E141" s="57" t="str">
        <f ca="1">IFERROR(IF(INDEX(INDIRECT("'"&amp;$B$2&amp;"月"&amp;"'!A:AZ"),15,19+2)="","",INDEX(INDIRECT("'"&amp;$B$2&amp;"月"&amp;"'!A:AZ"),15,19+2)),"")</f>
        <v/>
      </c>
      <c r="F141" s="59" t="str">
        <f ca="1">IFERROR(IF(INDEX(INDIRECT("'"&amp;$B$2&amp;"月"&amp;"'!A:AZ"),15,19+3)="","",INDEX(INDIRECT("'"&amp;$B$2&amp;"月"&amp;"'!A:AZ"),15,19+3)),"")</f>
        <v/>
      </c>
      <c r="G141" s="57" t="str">
        <f ca="1">IFERROR(IF(INDEX(INDIRECT("'"&amp;$B$2&amp;"月"&amp;"'!A:AZ"),15,19+4)="","",INDEX(INDIRECT("'"&amp;$B$2&amp;"月"&amp;"'!A:AZ"),15,19+4)),"")</f>
        <v/>
      </c>
      <c r="H141" s="57"/>
    </row>
    <row r="142" spans="1:8" ht="13.5" customHeight="1">
      <c r="A142" s="57">
        <f>IF(DAY(DATE(対象年度,$B$2,13))&lt;&gt;13,"",13)</f>
        <v>13</v>
      </c>
      <c r="B142" s="57" t="str">
        <f>IF(DAY(DATE(対象年度,$B$2,13))&lt;&gt;13,"",CHOOSE(WEEKDAY(DATE(対象年度,$B$2,13),2),"月","火","水","木","金","土","日"))</f>
        <v>火</v>
      </c>
      <c r="C142" s="57" t="str">
        <f ca="1">IFERROR(IF(INDEX(INDIRECT("'"&amp;$B$2&amp;"月"&amp;"'!A:AZ"),16,19+0)="","",INDEX(INDIRECT("'"&amp;$B$2&amp;"月"&amp;"'!A:AZ"),16,19+0)),"")</f>
        <v/>
      </c>
      <c r="D142" s="58" t="str">
        <f ca="1">IFERROR(IF(INDEX(INDIRECT("'"&amp;$B$2&amp;"月"&amp;"'!A:AZ"),16,19+1)="","",INDEX(INDIRECT("'"&amp;$B$2&amp;"月"&amp;"'!A:AZ"),16,19+1)),"")</f>
        <v/>
      </c>
      <c r="E142" s="57" t="str">
        <f ca="1">IFERROR(IF(INDEX(INDIRECT("'"&amp;$B$2&amp;"月"&amp;"'!A:AZ"),16,19+2)="","",INDEX(INDIRECT("'"&amp;$B$2&amp;"月"&amp;"'!A:AZ"),16,19+2)),"")</f>
        <v/>
      </c>
      <c r="F142" s="59" t="str">
        <f ca="1">IFERROR(IF(INDEX(INDIRECT("'"&amp;$B$2&amp;"月"&amp;"'!A:AZ"),16,19+3)="","",INDEX(INDIRECT("'"&amp;$B$2&amp;"月"&amp;"'!A:AZ"),16,19+3)),"")</f>
        <v/>
      </c>
      <c r="G142" s="57" t="str">
        <f ca="1">IFERROR(IF(INDEX(INDIRECT("'"&amp;$B$2&amp;"月"&amp;"'!A:AZ"),16,19+4)="","",INDEX(INDIRECT("'"&amp;$B$2&amp;"月"&amp;"'!A:AZ"),16,19+4)),"")</f>
        <v/>
      </c>
      <c r="H142" s="57"/>
    </row>
    <row r="143" spans="1:8" ht="13.5" customHeight="1">
      <c r="A143" s="57">
        <f>IF(DAY(DATE(対象年度,$B$2,14))&lt;&gt;14,"",14)</f>
        <v>14</v>
      </c>
      <c r="B143" s="57" t="str">
        <f>IF(DAY(DATE(対象年度,$B$2,14))&lt;&gt;14,"",CHOOSE(WEEKDAY(DATE(対象年度,$B$2,14),2),"月","火","水","木","金","土","日"))</f>
        <v>水</v>
      </c>
      <c r="C143" s="57" t="str">
        <f ca="1">IFERROR(IF(INDEX(INDIRECT("'"&amp;$B$2&amp;"月"&amp;"'!A:AZ"),17,19+0)="","",INDEX(INDIRECT("'"&amp;$B$2&amp;"月"&amp;"'!A:AZ"),17,19+0)),"")</f>
        <v/>
      </c>
      <c r="D143" s="58" t="str">
        <f ca="1">IFERROR(IF(INDEX(INDIRECT("'"&amp;$B$2&amp;"月"&amp;"'!A:AZ"),17,19+1)="","",INDEX(INDIRECT("'"&amp;$B$2&amp;"月"&amp;"'!A:AZ"),17,19+1)),"")</f>
        <v/>
      </c>
      <c r="E143" s="57" t="str">
        <f ca="1">IFERROR(IF(INDEX(INDIRECT("'"&amp;$B$2&amp;"月"&amp;"'!A:AZ"),17,19+2)="","",INDEX(INDIRECT("'"&amp;$B$2&amp;"月"&amp;"'!A:AZ"),17,19+2)),"")</f>
        <v/>
      </c>
      <c r="F143" s="59" t="str">
        <f ca="1">IFERROR(IF(INDEX(INDIRECT("'"&amp;$B$2&amp;"月"&amp;"'!A:AZ"),17,19+3)="","",INDEX(INDIRECT("'"&amp;$B$2&amp;"月"&amp;"'!A:AZ"),17,19+3)),"")</f>
        <v/>
      </c>
      <c r="G143" s="57" t="str">
        <f ca="1">IFERROR(IF(INDEX(INDIRECT("'"&amp;$B$2&amp;"月"&amp;"'!A:AZ"),17,19+4)="","",INDEX(INDIRECT("'"&amp;$B$2&amp;"月"&amp;"'!A:AZ"),17,19+4)),"")</f>
        <v/>
      </c>
      <c r="H143" s="57"/>
    </row>
    <row r="144" spans="1:8" ht="13.5" customHeight="1">
      <c r="A144" s="57">
        <f>IF(DAY(DATE(対象年度,$B$2,15))&lt;&gt;15,"",15)</f>
        <v>15</v>
      </c>
      <c r="B144" s="57" t="str">
        <f>IF(DAY(DATE(対象年度,$B$2,15))&lt;&gt;15,"",CHOOSE(WEEKDAY(DATE(対象年度,$B$2,15),2),"月","火","水","木","金","土","日"))</f>
        <v>木</v>
      </c>
      <c r="C144" s="57" t="str">
        <f ca="1">IFERROR(IF(INDEX(INDIRECT("'"&amp;$B$2&amp;"月"&amp;"'!A:AZ"),18,19+0)="","",INDEX(INDIRECT("'"&amp;$B$2&amp;"月"&amp;"'!A:AZ"),18,19+0)),"")</f>
        <v/>
      </c>
      <c r="D144" s="58" t="str">
        <f ca="1">IFERROR(IF(INDEX(INDIRECT("'"&amp;$B$2&amp;"月"&amp;"'!A:AZ"),18,19+1)="","",INDEX(INDIRECT("'"&amp;$B$2&amp;"月"&amp;"'!A:AZ"),18,19+1)),"")</f>
        <v/>
      </c>
      <c r="E144" s="57" t="str">
        <f ca="1">IFERROR(IF(INDEX(INDIRECT("'"&amp;$B$2&amp;"月"&amp;"'!A:AZ"),18,19+2)="","",INDEX(INDIRECT("'"&amp;$B$2&amp;"月"&amp;"'!A:AZ"),18,19+2)),"")</f>
        <v/>
      </c>
      <c r="F144" s="59" t="str">
        <f ca="1">IFERROR(IF(INDEX(INDIRECT("'"&amp;$B$2&amp;"月"&amp;"'!A:AZ"),18,19+3)="","",INDEX(INDIRECT("'"&amp;$B$2&amp;"月"&amp;"'!A:AZ"),18,19+3)),"")</f>
        <v/>
      </c>
      <c r="G144" s="57" t="str">
        <f ca="1">IFERROR(IF(INDEX(INDIRECT("'"&amp;$B$2&amp;"月"&amp;"'!A:AZ"),18,19+4)="","",INDEX(INDIRECT("'"&amp;$B$2&amp;"月"&amp;"'!A:AZ"),18,19+4)),"")</f>
        <v/>
      </c>
      <c r="H144" s="57"/>
    </row>
    <row r="145" spans="1:8" ht="13.5" customHeight="1">
      <c r="A145" s="57">
        <f>IF(DAY(DATE(対象年度,$B$2,16))&lt;&gt;16,"",16)</f>
        <v>16</v>
      </c>
      <c r="B145" s="57" t="str">
        <f>IF(DAY(DATE(対象年度,$B$2,16))&lt;&gt;16,"",CHOOSE(WEEKDAY(DATE(対象年度,$B$2,16),2),"月","火","水","木","金","土","日"))</f>
        <v>金</v>
      </c>
      <c r="C145" s="57" t="str">
        <f ca="1">IFERROR(IF(INDEX(INDIRECT("'"&amp;$B$2&amp;"月"&amp;"'!A:AZ"),19,19+0)="","",INDEX(INDIRECT("'"&amp;$B$2&amp;"月"&amp;"'!A:AZ"),19,19+0)),"")</f>
        <v/>
      </c>
      <c r="D145" s="58" t="str">
        <f ca="1">IFERROR(IF(INDEX(INDIRECT("'"&amp;$B$2&amp;"月"&amp;"'!A:AZ"),19,19+1)="","",INDEX(INDIRECT("'"&amp;$B$2&amp;"月"&amp;"'!A:AZ"),19,19+1)),"")</f>
        <v/>
      </c>
      <c r="E145" s="57" t="str">
        <f ca="1">IFERROR(IF(INDEX(INDIRECT("'"&amp;$B$2&amp;"月"&amp;"'!A:AZ"),19,19+2)="","",INDEX(INDIRECT("'"&amp;$B$2&amp;"月"&amp;"'!A:AZ"),19,19+2)),"")</f>
        <v/>
      </c>
      <c r="F145" s="59" t="str">
        <f ca="1">IFERROR(IF(INDEX(INDIRECT("'"&amp;$B$2&amp;"月"&amp;"'!A:AZ"),19,19+3)="","",INDEX(INDIRECT("'"&amp;$B$2&amp;"月"&amp;"'!A:AZ"),19,19+3)),"")</f>
        <v/>
      </c>
      <c r="G145" s="57" t="str">
        <f ca="1">IFERROR(IF(INDEX(INDIRECT("'"&amp;$B$2&amp;"月"&amp;"'!A:AZ"),19,19+4)="","",INDEX(INDIRECT("'"&amp;$B$2&amp;"月"&amp;"'!A:AZ"),19,19+4)),"")</f>
        <v/>
      </c>
      <c r="H145" s="57"/>
    </row>
    <row r="146" spans="1:8" ht="13.5" customHeight="1">
      <c r="A146" s="57">
        <f>IF(DAY(DATE(対象年度,$B$2,17))&lt;&gt;17,"",17)</f>
        <v>17</v>
      </c>
      <c r="B146" s="57" t="str">
        <f>IF(DAY(DATE(対象年度,$B$2,17))&lt;&gt;17,"",CHOOSE(WEEKDAY(DATE(対象年度,$B$2,17),2),"月","火","水","木","金","土","日"))</f>
        <v>土</v>
      </c>
      <c r="C146" s="57" t="str">
        <f ca="1">IFERROR(IF(INDEX(INDIRECT("'"&amp;$B$2&amp;"月"&amp;"'!A:AZ"),20,19+0)="","",INDEX(INDIRECT("'"&amp;$B$2&amp;"月"&amp;"'!A:AZ"),20,19+0)),"")</f>
        <v/>
      </c>
      <c r="D146" s="58" t="str">
        <f ca="1">IFERROR(IF(INDEX(INDIRECT("'"&amp;$B$2&amp;"月"&amp;"'!A:AZ"),20,19+1)="","",INDEX(INDIRECT("'"&amp;$B$2&amp;"月"&amp;"'!A:AZ"),20,19+1)),"")</f>
        <v/>
      </c>
      <c r="E146" s="57" t="str">
        <f ca="1">IFERROR(IF(INDEX(INDIRECT("'"&amp;$B$2&amp;"月"&amp;"'!A:AZ"),20,19+2)="","",INDEX(INDIRECT("'"&amp;$B$2&amp;"月"&amp;"'!A:AZ"),20,19+2)),"")</f>
        <v/>
      </c>
      <c r="F146" s="59" t="str">
        <f ca="1">IFERROR(IF(INDEX(INDIRECT("'"&amp;$B$2&amp;"月"&amp;"'!A:AZ"),20,19+3)="","",INDEX(INDIRECT("'"&amp;$B$2&amp;"月"&amp;"'!A:AZ"),20,19+3)),"")</f>
        <v/>
      </c>
      <c r="G146" s="57" t="str">
        <f ca="1">IFERROR(IF(INDEX(INDIRECT("'"&amp;$B$2&amp;"月"&amp;"'!A:AZ"),20,19+4)="","",INDEX(INDIRECT("'"&amp;$B$2&amp;"月"&amp;"'!A:AZ"),20,19+4)),"")</f>
        <v/>
      </c>
      <c r="H146" s="57"/>
    </row>
    <row r="147" spans="1:8" ht="13.5" customHeight="1">
      <c r="A147" s="57">
        <f>IF(DAY(DATE(対象年度,$B$2,18))&lt;&gt;18,"",18)</f>
        <v>18</v>
      </c>
      <c r="B147" s="57" t="str">
        <f>IF(DAY(DATE(対象年度,$B$2,18))&lt;&gt;18,"",CHOOSE(WEEKDAY(DATE(対象年度,$B$2,18),2),"月","火","水","木","金","土","日"))</f>
        <v>日</v>
      </c>
      <c r="C147" s="57" t="str">
        <f ca="1">IFERROR(IF(INDEX(INDIRECT("'"&amp;$B$2&amp;"月"&amp;"'!A:AZ"),21,19+0)="","",INDEX(INDIRECT("'"&amp;$B$2&amp;"月"&amp;"'!A:AZ"),21,19+0)),"")</f>
        <v/>
      </c>
      <c r="D147" s="58" t="str">
        <f ca="1">IFERROR(IF(INDEX(INDIRECT("'"&amp;$B$2&amp;"月"&amp;"'!A:AZ"),21,19+1)="","",INDEX(INDIRECT("'"&amp;$B$2&amp;"月"&amp;"'!A:AZ"),21,19+1)),"")</f>
        <v/>
      </c>
      <c r="E147" s="57" t="str">
        <f ca="1">IFERROR(IF(INDEX(INDIRECT("'"&amp;$B$2&amp;"月"&amp;"'!A:AZ"),21,19+2)="","",INDEX(INDIRECT("'"&amp;$B$2&amp;"月"&amp;"'!A:AZ"),21,19+2)),"")</f>
        <v/>
      </c>
      <c r="F147" s="59" t="str">
        <f ca="1">IFERROR(IF(INDEX(INDIRECT("'"&amp;$B$2&amp;"月"&amp;"'!A:AZ"),21,19+3)="","",INDEX(INDIRECT("'"&amp;$B$2&amp;"月"&amp;"'!A:AZ"),21,19+3)),"")</f>
        <v/>
      </c>
      <c r="G147" s="57" t="str">
        <f ca="1">IFERROR(IF(INDEX(INDIRECT("'"&amp;$B$2&amp;"月"&amp;"'!A:AZ"),21,19+4)="","",INDEX(INDIRECT("'"&amp;$B$2&amp;"月"&amp;"'!A:AZ"),21,19+4)),"")</f>
        <v/>
      </c>
      <c r="H147" s="57"/>
    </row>
    <row r="148" spans="1:8" ht="13.5" customHeight="1">
      <c r="A148" s="57">
        <f>IF(DAY(DATE(対象年度,$B$2,19))&lt;&gt;19,"",19)</f>
        <v>19</v>
      </c>
      <c r="B148" s="57" t="str">
        <f>IF(DAY(DATE(対象年度,$B$2,19))&lt;&gt;19,"",CHOOSE(WEEKDAY(DATE(対象年度,$B$2,19),2),"月","火","水","木","金","土","日"))</f>
        <v>月</v>
      </c>
      <c r="C148" s="57" t="str">
        <f ca="1">IFERROR(IF(INDEX(INDIRECT("'"&amp;$B$2&amp;"月"&amp;"'!A:AZ"),22,19+0)="","",INDEX(INDIRECT("'"&amp;$B$2&amp;"月"&amp;"'!A:AZ"),22,19+0)),"")</f>
        <v/>
      </c>
      <c r="D148" s="58" t="str">
        <f ca="1">IFERROR(IF(INDEX(INDIRECT("'"&amp;$B$2&amp;"月"&amp;"'!A:AZ"),22,19+1)="","",INDEX(INDIRECT("'"&amp;$B$2&amp;"月"&amp;"'!A:AZ"),22,19+1)),"")</f>
        <v/>
      </c>
      <c r="E148" s="57" t="str">
        <f ca="1">IFERROR(IF(INDEX(INDIRECT("'"&amp;$B$2&amp;"月"&amp;"'!A:AZ"),22,19+2)="","",INDEX(INDIRECT("'"&amp;$B$2&amp;"月"&amp;"'!A:AZ"),22,19+2)),"")</f>
        <v/>
      </c>
      <c r="F148" s="59" t="str">
        <f ca="1">IFERROR(IF(INDEX(INDIRECT("'"&amp;$B$2&amp;"月"&amp;"'!A:AZ"),22,19+3)="","",INDEX(INDIRECT("'"&amp;$B$2&amp;"月"&amp;"'!A:AZ"),22,19+3)),"")</f>
        <v/>
      </c>
      <c r="G148" s="57" t="str">
        <f ca="1">IFERROR(IF(INDEX(INDIRECT("'"&amp;$B$2&amp;"月"&amp;"'!A:AZ"),22,19+4)="","",INDEX(INDIRECT("'"&amp;$B$2&amp;"月"&amp;"'!A:AZ"),22,19+4)),"")</f>
        <v/>
      </c>
      <c r="H148" s="57"/>
    </row>
    <row r="149" spans="1:8" ht="13.5" customHeight="1">
      <c r="A149" s="57">
        <f>IF(DAY(DATE(対象年度,$B$2,20))&lt;&gt;20,"",20)</f>
        <v>20</v>
      </c>
      <c r="B149" s="57" t="str">
        <f>IF(DAY(DATE(対象年度,$B$2,20))&lt;&gt;20,"",CHOOSE(WEEKDAY(DATE(対象年度,$B$2,20),2),"月","火","水","木","金","土","日"))</f>
        <v>火</v>
      </c>
      <c r="C149" s="57" t="str">
        <f ca="1">IFERROR(IF(INDEX(INDIRECT("'"&amp;$B$2&amp;"月"&amp;"'!A:AZ"),23,19+0)="","",INDEX(INDIRECT("'"&amp;$B$2&amp;"月"&amp;"'!A:AZ"),23,19+0)),"")</f>
        <v/>
      </c>
      <c r="D149" s="58" t="str">
        <f ca="1">IFERROR(IF(INDEX(INDIRECT("'"&amp;$B$2&amp;"月"&amp;"'!A:AZ"),23,19+1)="","",INDEX(INDIRECT("'"&amp;$B$2&amp;"月"&amp;"'!A:AZ"),23,19+1)),"")</f>
        <v/>
      </c>
      <c r="E149" s="57" t="str">
        <f ca="1">IFERROR(IF(INDEX(INDIRECT("'"&amp;$B$2&amp;"月"&amp;"'!A:AZ"),23,19+2)="","",INDEX(INDIRECT("'"&amp;$B$2&amp;"月"&amp;"'!A:AZ"),23,19+2)),"")</f>
        <v/>
      </c>
      <c r="F149" s="59" t="str">
        <f ca="1">IFERROR(IF(INDEX(INDIRECT("'"&amp;$B$2&amp;"月"&amp;"'!A:AZ"),23,19+3)="","",INDEX(INDIRECT("'"&amp;$B$2&amp;"月"&amp;"'!A:AZ"),23,19+3)),"")</f>
        <v/>
      </c>
      <c r="G149" s="57" t="str">
        <f ca="1">IFERROR(IF(INDEX(INDIRECT("'"&amp;$B$2&amp;"月"&amp;"'!A:AZ"),23,19+4)="","",INDEX(INDIRECT("'"&amp;$B$2&amp;"月"&amp;"'!A:AZ"),23,19+4)),"")</f>
        <v/>
      </c>
      <c r="H149" s="57"/>
    </row>
    <row r="150" spans="1:8" ht="13.5" customHeight="1">
      <c r="A150" s="57">
        <f>IF(DAY(DATE(対象年度,$B$2,21))&lt;&gt;21,"",21)</f>
        <v>21</v>
      </c>
      <c r="B150" s="57" t="str">
        <f>IF(DAY(DATE(対象年度,$B$2,21))&lt;&gt;21,"",CHOOSE(WEEKDAY(DATE(対象年度,$B$2,21),2),"月","火","水","木","金","土","日"))</f>
        <v>水</v>
      </c>
      <c r="C150" s="57" t="str">
        <f ca="1">IFERROR(IF(INDEX(INDIRECT("'"&amp;$B$2&amp;"月"&amp;"'!A:AZ"),24,19+0)="","",INDEX(INDIRECT("'"&amp;$B$2&amp;"月"&amp;"'!A:AZ"),24,19+0)),"")</f>
        <v>新宿</v>
      </c>
      <c r="D150" s="58" t="str">
        <f ca="1">IFERROR(IF(INDEX(INDIRECT("'"&amp;$B$2&amp;"月"&amp;"'!A:AZ"),24,19+1)="","",INDEX(INDIRECT("'"&amp;$B$2&amp;"月"&amp;"'!A:AZ"),24,19+1)),"")</f>
        <v/>
      </c>
      <c r="E150" s="57" t="str">
        <f ca="1">IFERROR(IF(INDEX(INDIRECT("'"&amp;$B$2&amp;"月"&amp;"'!A:AZ"),24,19+2)="","",INDEX(INDIRECT("'"&amp;$B$2&amp;"月"&amp;"'!A:AZ"),24,19+2)),"")</f>
        <v>○</v>
      </c>
      <c r="F150" s="59" t="str">
        <f ca="1">IFERROR(IF(INDEX(INDIRECT("'"&amp;$B$2&amp;"月"&amp;"'!A:AZ"),24,19+3)="","",INDEX(INDIRECT("'"&amp;$B$2&amp;"月"&amp;"'!A:AZ"),24,19+3)),"")</f>
        <v/>
      </c>
      <c r="G150" s="57" t="str">
        <f ca="1">IFERROR(IF(INDEX(INDIRECT("'"&amp;$B$2&amp;"月"&amp;"'!A:AZ"),24,19+4)="","",INDEX(INDIRECT("'"&amp;$B$2&amp;"月"&amp;"'!A:AZ"),24,19+4)),"")</f>
        <v/>
      </c>
      <c r="H150" s="57"/>
    </row>
    <row r="151" spans="1:8" ht="13.5" customHeight="1">
      <c r="A151" s="57">
        <f>IF(DAY(DATE(対象年度,$B$2,22))&lt;&gt;22,"",22)</f>
        <v>22</v>
      </c>
      <c r="B151" s="57" t="str">
        <f>IF(DAY(DATE(対象年度,$B$2,22))&lt;&gt;22,"",CHOOSE(WEEKDAY(DATE(対象年度,$B$2,22),2),"月","火","水","木","金","土","日"))</f>
        <v>木</v>
      </c>
      <c r="C151" s="57" t="str">
        <f ca="1">IFERROR(IF(INDEX(INDIRECT("'"&amp;$B$2&amp;"月"&amp;"'!A:AZ"),25,19+0)="","",INDEX(INDIRECT("'"&amp;$B$2&amp;"月"&amp;"'!A:AZ"),25,19+0)),"")</f>
        <v>新宿</v>
      </c>
      <c r="D151" s="58" t="str">
        <f ca="1">IFERROR(IF(INDEX(INDIRECT("'"&amp;$B$2&amp;"月"&amp;"'!A:AZ"),25,19+1)="","",INDEX(INDIRECT("'"&amp;$B$2&amp;"月"&amp;"'!A:AZ"),25,19+1)),"")</f>
        <v/>
      </c>
      <c r="E151" s="57" t="str">
        <f ca="1">IFERROR(IF(INDEX(INDIRECT("'"&amp;$B$2&amp;"月"&amp;"'!A:AZ"),25,19+2)="","",INDEX(INDIRECT("'"&amp;$B$2&amp;"月"&amp;"'!A:AZ"),25,19+2)),"")</f>
        <v>○</v>
      </c>
      <c r="F151" s="59" t="str">
        <f ca="1">IFERROR(IF(INDEX(INDIRECT("'"&amp;$B$2&amp;"月"&amp;"'!A:AZ"),25,19+3)="","",INDEX(INDIRECT("'"&amp;$B$2&amp;"月"&amp;"'!A:AZ"),25,19+3)),"")</f>
        <v/>
      </c>
      <c r="G151" s="57" t="str">
        <f ca="1">IFERROR(IF(INDEX(INDIRECT("'"&amp;$B$2&amp;"月"&amp;"'!A:AZ"),25,19+4)="","",INDEX(INDIRECT("'"&amp;$B$2&amp;"月"&amp;"'!A:AZ"),25,19+4)),"")</f>
        <v/>
      </c>
      <c r="H151" s="57"/>
    </row>
    <row r="152" spans="1:8" ht="13.5" customHeight="1">
      <c r="A152" s="57">
        <f>IF(DAY(DATE(対象年度,$B$2,23))&lt;&gt;23,"",23)</f>
        <v>23</v>
      </c>
      <c r="B152" s="57" t="str">
        <f>IF(DAY(DATE(対象年度,$B$2,23))&lt;&gt;23,"",CHOOSE(WEEKDAY(DATE(対象年度,$B$2,23),2),"月","火","水","木","金","土","日"))</f>
        <v>金</v>
      </c>
      <c r="C152" s="57" t="str">
        <f ca="1">IFERROR(IF(INDEX(INDIRECT("'"&amp;$B$2&amp;"月"&amp;"'!A:AZ"),26,19+0)="","",INDEX(INDIRECT("'"&amp;$B$2&amp;"月"&amp;"'!A:AZ"),26,19+0)),"")</f>
        <v>新宿</v>
      </c>
      <c r="D152" s="58" t="str">
        <f ca="1">IFERROR(IF(INDEX(INDIRECT("'"&amp;$B$2&amp;"月"&amp;"'!A:AZ"),26,19+1)="","",INDEX(INDIRECT("'"&amp;$B$2&amp;"月"&amp;"'!A:AZ"),26,19+1)),"")</f>
        <v/>
      </c>
      <c r="E152" s="57" t="str">
        <f ca="1">IFERROR(IF(INDEX(INDIRECT("'"&amp;$B$2&amp;"月"&amp;"'!A:AZ"),26,19+2)="","",INDEX(INDIRECT("'"&amp;$B$2&amp;"月"&amp;"'!A:AZ"),26,19+2)),"")</f>
        <v>○</v>
      </c>
      <c r="F152" s="59" t="str">
        <f ca="1">IFERROR(IF(INDEX(INDIRECT("'"&amp;$B$2&amp;"月"&amp;"'!A:AZ"),26,19+3)="","",INDEX(INDIRECT("'"&amp;$B$2&amp;"月"&amp;"'!A:AZ"),26,19+3)),"")</f>
        <v/>
      </c>
      <c r="G152" s="57" t="str">
        <f ca="1">IFERROR(IF(INDEX(INDIRECT("'"&amp;$B$2&amp;"月"&amp;"'!A:AZ"),26,19+4)="","",INDEX(INDIRECT("'"&amp;$B$2&amp;"月"&amp;"'!A:AZ"),26,19+4)),"")</f>
        <v/>
      </c>
      <c r="H152" s="57"/>
    </row>
    <row r="153" spans="1:8" ht="13.5" customHeight="1">
      <c r="A153" s="57">
        <f>IF(DAY(DATE(対象年度,$B$2,24))&lt;&gt;24,"",24)</f>
        <v>24</v>
      </c>
      <c r="B153" s="57" t="str">
        <f>IF(DAY(DATE(対象年度,$B$2,24))&lt;&gt;24,"",CHOOSE(WEEKDAY(DATE(対象年度,$B$2,24),2),"月","火","水","木","金","土","日"))</f>
        <v>土</v>
      </c>
      <c r="C153" s="57" t="str">
        <f ca="1">IFERROR(IF(INDEX(INDIRECT("'"&amp;$B$2&amp;"月"&amp;"'!A:AZ"),27,19+0)="","",INDEX(INDIRECT("'"&amp;$B$2&amp;"月"&amp;"'!A:AZ"),27,19+0)),"")</f>
        <v>新宿</v>
      </c>
      <c r="D153" s="58" t="str">
        <f ca="1">IFERROR(IF(INDEX(INDIRECT("'"&amp;$B$2&amp;"月"&amp;"'!A:AZ"),27,19+1)="","",INDEX(INDIRECT("'"&amp;$B$2&amp;"月"&amp;"'!A:AZ"),27,19+1)),"")</f>
        <v/>
      </c>
      <c r="E153" s="57" t="str">
        <f ca="1">IFERROR(IF(INDEX(INDIRECT("'"&amp;$B$2&amp;"月"&amp;"'!A:AZ"),27,19+2)="","",INDEX(INDIRECT("'"&amp;$B$2&amp;"月"&amp;"'!A:AZ"),27,19+2)),"")</f>
        <v>○</v>
      </c>
      <c r="F153" s="59" t="str">
        <f ca="1">IFERROR(IF(INDEX(INDIRECT("'"&amp;$B$2&amp;"月"&amp;"'!A:AZ"),27,19+3)="","",INDEX(INDIRECT("'"&amp;$B$2&amp;"月"&amp;"'!A:AZ"),27,19+3)),"")</f>
        <v/>
      </c>
      <c r="G153" s="57" t="str">
        <f ca="1">IFERROR(IF(INDEX(INDIRECT("'"&amp;$B$2&amp;"月"&amp;"'!A:AZ"),27,19+4)="","",INDEX(INDIRECT("'"&amp;$B$2&amp;"月"&amp;"'!A:AZ"),27,19+4)),"")</f>
        <v/>
      </c>
      <c r="H153" s="57"/>
    </row>
    <row r="154" spans="1:8" ht="13.5" customHeight="1">
      <c r="A154" s="57">
        <f>IF(DAY(DATE(対象年度,$B$2,25))&lt;&gt;25,"",25)</f>
        <v>25</v>
      </c>
      <c r="B154" s="57" t="str">
        <f>IF(DAY(DATE(対象年度,$B$2,25))&lt;&gt;25,"",CHOOSE(WEEKDAY(DATE(対象年度,$B$2,25),2),"月","火","水","木","金","土","日"))</f>
        <v>日</v>
      </c>
      <c r="C154" s="57" t="str">
        <f ca="1">IFERROR(IF(INDEX(INDIRECT("'"&amp;$B$2&amp;"月"&amp;"'!A:AZ"),28,19+0)="","",INDEX(INDIRECT("'"&amp;$B$2&amp;"月"&amp;"'!A:AZ"),28,19+0)),"")</f>
        <v/>
      </c>
      <c r="D154" s="58" t="str">
        <f ca="1">IFERROR(IF(INDEX(INDIRECT("'"&amp;$B$2&amp;"月"&amp;"'!A:AZ"),28,19+1)="","",INDEX(INDIRECT("'"&amp;$B$2&amp;"月"&amp;"'!A:AZ"),28,19+1)),"")</f>
        <v/>
      </c>
      <c r="E154" s="57" t="str">
        <f ca="1">IFERROR(IF(INDEX(INDIRECT("'"&amp;$B$2&amp;"月"&amp;"'!A:AZ"),28,19+2)="","",INDEX(INDIRECT("'"&amp;$B$2&amp;"月"&amp;"'!A:AZ"),28,19+2)),"")</f>
        <v/>
      </c>
      <c r="F154" s="59" t="str">
        <f ca="1">IFERROR(IF(INDEX(INDIRECT("'"&amp;$B$2&amp;"月"&amp;"'!A:AZ"),28,19+3)="","",INDEX(INDIRECT("'"&amp;$B$2&amp;"月"&amp;"'!A:AZ"),28,19+3)),"")</f>
        <v/>
      </c>
      <c r="G154" s="57" t="str">
        <f ca="1">IFERROR(IF(INDEX(INDIRECT("'"&amp;$B$2&amp;"月"&amp;"'!A:AZ"),28,19+4)="","",INDEX(INDIRECT("'"&amp;$B$2&amp;"月"&amp;"'!A:AZ"),28,19+4)),"")</f>
        <v/>
      </c>
      <c r="H154" s="57"/>
    </row>
    <row r="155" spans="1:8" ht="13.5" customHeight="1">
      <c r="A155" s="57">
        <f>IF(DAY(DATE(対象年度,$B$2,26))&lt;&gt;26,"",26)</f>
        <v>26</v>
      </c>
      <c r="B155" s="57" t="str">
        <f>IF(DAY(DATE(対象年度,$B$2,26))&lt;&gt;26,"",CHOOSE(WEEKDAY(DATE(対象年度,$B$2,26),2),"月","火","水","木","金","土","日"))</f>
        <v>月</v>
      </c>
      <c r="C155" s="57" t="str">
        <f ca="1">IFERROR(IF(INDEX(INDIRECT("'"&amp;$B$2&amp;"月"&amp;"'!A:AZ"),29,19+0)="","",INDEX(INDIRECT("'"&amp;$B$2&amp;"月"&amp;"'!A:AZ"),29,19+0)),"")</f>
        <v>新宿</v>
      </c>
      <c r="D155" s="58" t="str">
        <f ca="1">IFERROR(IF(INDEX(INDIRECT("'"&amp;$B$2&amp;"月"&amp;"'!A:AZ"),29,19+1)="","",INDEX(INDIRECT("'"&amp;$B$2&amp;"月"&amp;"'!A:AZ"),29,19+1)),"")</f>
        <v/>
      </c>
      <c r="E155" s="57" t="str">
        <f ca="1">IFERROR(IF(INDEX(INDIRECT("'"&amp;$B$2&amp;"月"&amp;"'!A:AZ"),29,19+2)="","",INDEX(INDIRECT("'"&amp;$B$2&amp;"月"&amp;"'!A:AZ"),29,19+2)),"")</f>
        <v>○</v>
      </c>
      <c r="F155" s="59" t="str">
        <f ca="1">IFERROR(IF(INDEX(INDIRECT("'"&amp;$B$2&amp;"月"&amp;"'!A:AZ"),29,19+3)="","",INDEX(INDIRECT("'"&amp;$B$2&amp;"月"&amp;"'!A:AZ"),29,19+3)),"")</f>
        <v/>
      </c>
      <c r="G155" s="57" t="str">
        <f ca="1">IFERROR(IF(INDEX(INDIRECT("'"&amp;$B$2&amp;"月"&amp;"'!A:AZ"),29,19+4)="","",INDEX(INDIRECT("'"&amp;$B$2&amp;"月"&amp;"'!A:AZ"),29,19+4)),"")</f>
        <v/>
      </c>
      <c r="H155" s="57"/>
    </row>
    <row r="156" spans="1:8" ht="13.5" customHeight="1">
      <c r="A156" s="57">
        <f>IF(DAY(DATE(対象年度,$B$2,27))&lt;&gt;27,"",27)</f>
        <v>27</v>
      </c>
      <c r="B156" s="57" t="str">
        <f>IF(DAY(DATE(対象年度,$B$2,27))&lt;&gt;27,"",CHOOSE(WEEKDAY(DATE(対象年度,$B$2,27),2),"月","火","水","木","金","土","日"))</f>
        <v>火</v>
      </c>
      <c r="C156" s="57" t="str">
        <f ca="1">IFERROR(IF(INDEX(INDIRECT("'"&amp;$B$2&amp;"月"&amp;"'!A:AZ"),30,19+0)="","",INDEX(INDIRECT("'"&amp;$B$2&amp;"月"&amp;"'!A:AZ"),30,19+0)),"")</f>
        <v>新宿</v>
      </c>
      <c r="D156" s="58" t="str">
        <f ca="1">IFERROR(IF(INDEX(INDIRECT("'"&amp;$B$2&amp;"月"&amp;"'!A:AZ"),30,19+1)="","",INDEX(INDIRECT("'"&amp;$B$2&amp;"月"&amp;"'!A:AZ"),30,19+1)),"")</f>
        <v/>
      </c>
      <c r="E156" s="57" t="str">
        <f ca="1">IFERROR(IF(INDEX(INDIRECT("'"&amp;$B$2&amp;"月"&amp;"'!A:AZ"),30,19+2)="","",INDEX(INDIRECT("'"&amp;$B$2&amp;"月"&amp;"'!A:AZ"),30,19+2)),"")</f>
        <v>○</v>
      </c>
      <c r="F156" s="59" t="str">
        <f ca="1">IFERROR(IF(INDEX(INDIRECT("'"&amp;$B$2&amp;"月"&amp;"'!A:AZ"),30,19+3)="","",INDEX(INDIRECT("'"&amp;$B$2&amp;"月"&amp;"'!A:AZ"),30,19+3)),"")</f>
        <v/>
      </c>
      <c r="G156" s="57" t="str">
        <f ca="1">IFERROR(IF(INDEX(INDIRECT("'"&amp;$B$2&amp;"月"&amp;"'!A:AZ"),30,19+4)="","",INDEX(INDIRECT("'"&amp;$B$2&amp;"月"&amp;"'!A:AZ"),30,19+4)),"")</f>
        <v/>
      </c>
      <c r="H156" s="57"/>
    </row>
    <row r="157" spans="1:8" ht="13.5" customHeight="1">
      <c r="A157" s="57">
        <f>IF(DAY(DATE(対象年度,$B$2,28))&lt;&gt;28,"",28)</f>
        <v>28</v>
      </c>
      <c r="B157" s="57" t="str">
        <f>IF(DAY(DATE(対象年度,$B$2,28))&lt;&gt;28,"",CHOOSE(WEEKDAY(DATE(対象年度,$B$2,28),2),"月","火","水","木","金","土","日"))</f>
        <v>水</v>
      </c>
      <c r="C157" s="57" t="str">
        <f ca="1">IFERROR(IF(INDEX(INDIRECT("'"&amp;$B$2&amp;"月"&amp;"'!A:AZ"),31,19+0)="","",INDEX(INDIRECT("'"&amp;$B$2&amp;"月"&amp;"'!A:AZ"),31,19+0)),"")</f>
        <v>新宿</v>
      </c>
      <c r="D157" s="58" t="str">
        <f ca="1">IFERROR(IF(INDEX(INDIRECT("'"&amp;$B$2&amp;"月"&amp;"'!A:AZ"),31,19+1)="","",INDEX(INDIRECT("'"&amp;$B$2&amp;"月"&amp;"'!A:AZ"),31,19+1)),"")</f>
        <v/>
      </c>
      <c r="E157" s="57" t="str">
        <f ca="1">IFERROR(IF(INDEX(INDIRECT("'"&amp;$B$2&amp;"月"&amp;"'!A:AZ"),31,19+2)="","",INDEX(INDIRECT("'"&amp;$B$2&amp;"月"&amp;"'!A:AZ"),31,19+2)),"")</f>
        <v>○</v>
      </c>
      <c r="F157" s="59" t="str">
        <f ca="1">IFERROR(IF(INDEX(INDIRECT("'"&amp;$B$2&amp;"月"&amp;"'!A:AZ"),31,19+3)="","",INDEX(INDIRECT("'"&amp;$B$2&amp;"月"&amp;"'!A:AZ"),31,19+3)),"")</f>
        <v/>
      </c>
      <c r="G157" s="57" t="str">
        <f ca="1">IFERROR(IF(INDEX(INDIRECT("'"&amp;$B$2&amp;"月"&amp;"'!A:AZ"),31,19+4)="","",INDEX(INDIRECT("'"&amp;$B$2&amp;"月"&amp;"'!A:AZ"),31,19+4)),"")</f>
        <v/>
      </c>
      <c r="H157" s="57"/>
    </row>
    <row r="158" spans="1:8" ht="13.5" customHeight="1">
      <c r="A158" s="57">
        <f>IF(DAY(DATE(対象年度,$B$2,29))&lt;&gt;29,"",29)</f>
        <v>29</v>
      </c>
      <c r="B158" s="57" t="str">
        <f>IF(DAY(DATE(対象年度,$B$2,29))&lt;&gt;29,"",CHOOSE(WEEKDAY(DATE(対象年度,$B$2,29),2),"月","火","水","木","金","土","日"))</f>
        <v>木</v>
      </c>
      <c r="C158" s="57" t="str">
        <f ca="1">IFERROR(IF(INDEX(INDIRECT("'"&amp;$B$2&amp;"月"&amp;"'!A:AZ"),32,19+0)="","",INDEX(INDIRECT("'"&amp;$B$2&amp;"月"&amp;"'!A:AZ"),32,19+0)),"")</f>
        <v>新宿</v>
      </c>
      <c r="D158" s="58" t="str">
        <f ca="1">IFERROR(IF(INDEX(INDIRECT("'"&amp;$B$2&amp;"月"&amp;"'!A:AZ"),32,19+1)="","",INDEX(INDIRECT("'"&amp;$B$2&amp;"月"&amp;"'!A:AZ"),32,19+1)),"")</f>
        <v/>
      </c>
      <c r="E158" s="57" t="str">
        <f ca="1">IFERROR(IF(INDEX(INDIRECT("'"&amp;$B$2&amp;"月"&amp;"'!A:AZ"),32,19+2)="","",INDEX(INDIRECT("'"&amp;$B$2&amp;"月"&amp;"'!A:AZ"),32,19+2)),"")</f>
        <v>○</v>
      </c>
      <c r="F158" s="59" t="str">
        <f ca="1">IFERROR(IF(INDEX(INDIRECT("'"&amp;$B$2&amp;"月"&amp;"'!A:AZ"),32,19+3)="","",INDEX(INDIRECT("'"&amp;$B$2&amp;"月"&amp;"'!A:AZ"),32,19+3)),"")</f>
        <v/>
      </c>
      <c r="G158" s="57" t="str">
        <f ca="1">IFERROR(IF(INDEX(INDIRECT("'"&amp;$B$2&amp;"月"&amp;"'!A:AZ"),32,19+4)="","",INDEX(INDIRECT("'"&amp;$B$2&amp;"月"&amp;"'!A:AZ"),32,19+4)),"")</f>
        <v/>
      </c>
      <c r="H158" s="57"/>
    </row>
    <row r="159" spans="1:8" ht="13.5" customHeight="1">
      <c r="A159" s="57">
        <f>IF(DAY(DATE(対象年度,$B$2,30))&lt;&gt;30,"",30)</f>
        <v>30</v>
      </c>
      <c r="B159" s="57" t="str">
        <f>IF(DAY(DATE(対象年度,$B$2,30))&lt;&gt;30,"",CHOOSE(WEEKDAY(DATE(対象年度,$B$2,30),2),"月","火","水","木","金","土","日"))</f>
        <v>金</v>
      </c>
      <c r="C159" s="57" t="str">
        <f ca="1">IFERROR(IF(INDEX(INDIRECT("'"&amp;$B$2&amp;"月"&amp;"'!A:AZ"),33,19+0)="","",INDEX(INDIRECT("'"&amp;$B$2&amp;"月"&amp;"'!A:AZ"),33,19+0)),"")</f>
        <v>新宿</v>
      </c>
      <c r="D159" s="58" t="str">
        <f ca="1">IFERROR(IF(INDEX(INDIRECT("'"&amp;$B$2&amp;"月"&amp;"'!A:AZ"),33,19+1)="","",INDEX(INDIRECT("'"&amp;$B$2&amp;"月"&amp;"'!A:AZ"),33,19+1)),"")</f>
        <v/>
      </c>
      <c r="E159" s="57" t="str">
        <f ca="1">IFERROR(IF(INDEX(INDIRECT("'"&amp;$B$2&amp;"月"&amp;"'!A:AZ"),33,19+2)="","",INDEX(INDIRECT("'"&amp;$B$2&amp;"月"&amp;"'!A:AZ"),33,19+2)),"")</f>
        <v>○</v>
      </c>
      <c r="F159" s="59" t="str">
        <f ca="1">IFERROR(IF(INDEX(INDIRECT("'"&amp;$B$2&amp;"月"&amp;"'!A:AZ"),33,19+3)="","",INDEX(INDIRECT("'"&amp;$B$2&amp;"月"&amp;"'!A:AZ"),33,19+3)),"")</f>
        <v/>
      </c>
      <c r="G159" s="57" t="str">
        <f ca="1">IFERROR(IF(INDEX(INDIRECT("'"&amp;$B$2&amp;"月"&amp;"'!A:AZ"),33,19+4)="","",INDEX(INDIRECT("'"&amp;$B$2&amp;"月"&amp;"'!A:AZ"),33,19+4)),"")</f>
        <v/>
      </c>
      <c r="H159" s="57"/>
    </row>
    <row r="160" spans="1:8" ht="13.5" customHeight="1">
      <c r="A160" s="57">
        <f>IF(DAY(DATE(対象年度,$B$2,31))&lt;&gt;31,"",31)</f>
        <v>31</v>
      </c>
      <c r="B160" s="57" t="str">
        <f>IF(DAY(DATE(対象年度,$B$2,31))&lt;&gt;31,"",CHOOSE(WEEKDAY(DATE(対象年度,$B$2,31),2),"月","火","水","木","金","土","日"))</f>
        <v>土</v>
      </c>
      <c r="C160" s="57" t="str">
        <f ca="1">IFERROR(IF(INDEX(INDIRECT("'"&amp;$B$2&amp;"月"&amp;"'!A:AZ"),34,19+0)="","",INDEX(INDIRECT("'"&amp;$B$2&amp;"月"&amp;"'!A:AZ"),34,19+0)),"")</f>
        <v>新宿</v>
      </c>
      <c r="D160" s="58" t="str">
        <f ca="1">IFERROR(IF(INDEX(INDIRECT("'"&amp;$B$2&amp;"月"&amp;"'!A:AZ"),34,19+1)="","",INDEX(INDIRECT("'"&amp;$B$2&amp;"月"&amp;"'!A:AZ"),34,19+1)),"")</f>
        <v/>
      </c>
      <c r="E160" s="57" t="str">
        <f ca="1">IFERROR(IF(INDEX(INDIRECT("'"&amp;$B$2&amp;"月"&amp;"'!A:AZ"),34,19+2)="","",INDEX(INDIRECT("'"&amp;$B$2&amp;"月"&amp;"'!A:AZ"),34,19+2)),"")</f>
        <v>○</v>
      </c>
      <c r="F160" s="59" t="str">
        <f ca="1">IFERROR(IF(INDEX(INDIRECT("'"&amp;$B$2&amp;"月"&amp;"'!A:AZ"),34,19+3)="","",INDEX(INDIRECT("'"&amp;$B$2&amp;"月"&amp;"'!A:AZ"),34,19+3)),"")</f>
        <v/>
      </c>
      <c r="G160" s="57" t="str">
        <f ca="1">IFERROR(IF(INDEX(INDIRECT("'"&amp;$B$2&amp;"月"&amp;"'!A:AZ"),34,19+4)="","",INDEX(INDIRECT("'"&amp;$B$2&amp;"月"&amp;"'!A:AZ"),34,19+4)),"")</f>
        <v/>
      </c>
      <c r="H160" s="57"/>
    </row>
    <row r="161" spans="1:8" ht="21.75" customHeight="1">
      <c r="A161" s="112" t="s">
        <v>87</v>
      </c>
      <c r="B161" s="112"/>
      <c r="C161" s="61" t="s">
        <v>71</v>
      </c>
      <c r="D161" s="62">
        <f ca="1">IFERROR(INDEX(INDIRECT("'"&amp;$B$2&amp;"月"&amp;"'!A:AZ"),35,19),0)</f>
        <v>10</v>
      </c>
      <c r="E161" s="63" t="s">
        <v>72</v>
      </c>
      <c r="F161" s="64">
        <f ca="1">IFERROR(INDEX(INDIRECT("'"&amp;$B$2&amp;"月"&amp;"'!A:AZ"),36,19),0)</f>
        <v>0</v>
      </c>
      <c r="G161" s="61" t="s">
        <v>73</v>
      </c>
      <c r="H161" s="62">
        <f ca="1">IFERROR(INDEX(INDIRECT("'"&amp;$B$2&amp;"月"&amp;"'!A:AZ"),38,19),0)</f>
        <v>0</v>
      </c>
    </row>
    <row r="162" spans="1:8" ht="24" customHeight="1">
      <c r="A162" s="113"/>
      <c r="B162" s="113"/>
      <c r="C162" s="65" t="s">
        <v>76</v>
      </c>
      <c r="D162" s="66">
        <f ca="1">IFERROR(INDEX(INDIRECT("'"&amp;$B$2&amp;"月"&amp;"'!A:AZ"),37,19),0)</f>
        <v>10</v>
      </c>
      <c r="E162" s="67" t="s">
        <v>64</v>
      </c>
      <c r="F162" s="68">
        <f ca="1">IFERROR(INDEX(INDIRECT("'"&amp;$B$2&amp;"月"&amp;"'!A:AZ"),39,19),0)</f>
        <v>0</v>
      </c>
      <c r="G162" s="69" t="s">
        <v>65</v>
      </c>
      <c r="H162" s="70">
        <f ca="1">IFERROR(INDEX(INDIRECT("'"&amp;$B$2&amp;"月"&amp;"'!A:AZ"),40,19),0)</f>
        <v>0</v>
      </c>
    </row>
    <row r="164" spans="1:8" ht="27.75" customHeight="1">
      <c r="A164" s="105" t="s">
        <v>78</v>
      </c>
      <c r="B164" s="105"/>
      <c r="C164" s="105"/>
      <c r="D164" s="105"/>
      <c r="E164" s="105"/>
      <c r="F164" s="105"/>
      <c r="G164" s="105"/>
      <c r="H164" s="105"/>
    </row>
    <row r="165" spans="1:8" ht="18" customHeight="1">
      <c r="A165" s="114" t="s">
        <v>17</v>
      </c>
      <c r="B165" s="114"/>
      <c r="C165" s="114"/>
      <c r="D165" s="114"/>
      <c r="E165" s="114"/>
      <c r="F165" s="114"/>
      <c r="G165" s="114"/>
      <c r="H165" s="114"/>
    </row>
    <row r="166" spans="1:8" ht="27.75" customHeight="1">
      <c r="A166" s="49" t="s">
        <v>79</v>
      </c>
      <c r="B166" s="115" t="str">
        <f>対象年度&amp;"年 "&amp;$B$2&amp;"月"</f>
        <v>2026年 1月</v>
      </c>
      <c r="C166" s="115"/>
      <c r="D166" s="49" t="s">
        <v>80</v>
      </c>
      <c r="E166" s="116" t="str">
        <f>IFERROR(従業員マスタ!$C$8,"")</f>
        <v>塗装　史郎</v>
      </c>
      <c r="F166" s="116"/>
      <c r="G166" s="116"/>
      <c r="H166" s="116"/>
    </row>
    <row r="167" spans="1:8" ht="19.5" customHeight="1">
      <c r="A167" s="73" t="s">
        <v>90</v>
      </c>
      <c r="B167" s="53" t="s">
        <v>91</v>
      </c>
      <c r="C167" s="120" t="s">
        <v>84</v>
      </c>
      <c r="D167" s="120"/>
      <c r="E167" s="120" t="s">
        <v>85</v>
      </c>
      <c r="F167" s="120"/>
      <c r="G167" s="117" t="s">
        <v>86</v>
      </c>
      <c r="H167" s="117"/>
    </row>
    <row r="168" spans="1:8" ht="43.5" customHeight="1">
      <c r="A168" s="74"/>
      <c r="B168" s="54"/>
      <c r="C168" s="111"/>
      <c r="D168" s="111"/>
      <c r="E168" s="111"/>
      <c r="F168" s="111"/>
      <c r="G168" s="111"/>
      <c r="H168" s="111"/>
    </row>
    <row r="169" spans="1:8" ht="19.5" customHeight="1">
      <c r="A169" s="55" t="s">
        <v>66</v>
      </c>
      <c r="B169" s="55" t="s">
        <v>67</v>
      </c>
      <c r="C169" s="55" t="s">
        <v>69</v>
      </c>
      <c r="D169" s="56" t="s">
        <v>70</v>
      </c>
      <c r="E169" s="55" t="s">
        <v>71</v>
      </c>
      <c r="F169" s="55" t="s">
        <v>72</v>
      </c>
      <c r="G169" s="55" t="s">
        <v>73</v>
      </c>
      <c r="H169" s="55" t="s">
        <v>57</v>
      </c>
    </row>
    <row r="170" spans="1:8" ht="13.5" customHeight="1">
      <c r="A170" s="57">
        <f>IF(DAY(DATE(対象年度,$B$2,1))&lt;&gt;1,"",1)</f>
        <v>1</v>
      </c>
      <c r="B170" s="57" t="str">
        <f>IF(DAY(DATE(対象年度,$B$2,1))&lt;&gt;1,"",CHOOSE(WEEKDAY(DATE(対象年度,$B$2,1),2),"月","火","水","木","金","土","日"))</f>
        <v>木</v>
      </c>
      <c r="C170" s="57" t="str">
        <f ca="1">IFERROR(IF(INDEX(INDIRECT("'"&amp;$B$2&amp;"月"&amp;"'!A:AZ"),4,24+0)="","",INDEX(INDIRECT("'"&amp;$B$2&amp;"月"&amp;"'!A:AZ"),4,24+0)),"")</f>
        <v/>
      </c>
      <c r="D170" s="58" t="str">
        <f ca="1">IFERROR(IF(INDEX(INDIRECT("'"&amp;$B$2&amp;"月"&amp;"'!A:AZ"),4,24+1)="","",INDEX(INDIRECT("'"&amp;$B$2&amp;"月"&amp;"'!A:AZ"),4,24+1)),"")</f>
        <v/>
      </c>
      <c r="E170" s="57" t="str">
        <f ca="1">IFERROR(IF(INDEX(INDIRECT("'"&amp;$B$2&amp;"月"&amp;"'!A:AZ"),4,24+2)="","",INDEX(INDIRECT("'"&amp;$B$2&amp;"月"&amp;"'!A:AZ"),4,24+2)),"")</f>
        <v/>
      </c>
      <c r="F170" s="59" t="str">
        <f ca="1">IFERROR(IF(INDEX(INDIRECT("'"&amp;$B$2&amp;"月"&amp;"'!A:AZ"),4,24+3)="","",INDEX(INDIRECT("'"&amp;$B$2&amp;"月"&amp;"'!A:AZ"),4,24+3)),"")</f>
        <v/>
      </c>
      <c r="G170" s="57" t="str">
        <f ca="1">IFERROR(IF(INDEX(INDIRECT("'"&amp;$B$2&amp;"月"&amp;"'!A:AZ"),4,24+4)="","",INDEX(INDIRECT("'"&amp;$B$2&amp;"月"&amp;"'!A:AZ"),4,24+4)),"")</f>
        <v/>
      </c>
      <c r="H170" s="57"/>
    </row>
    <row r="171" spans="1:8" ht="13.5" customHeight="1">
      <c r="A171" s="57">
        <f>IF(DAY(DATE(対象年度,$B$2,2))&lt;&gt;2,"",2)</f>
        <v>2</v>
      </c>
      <c r="B171" s="57" t="str">
        <f>IF(DAY(DATE(対象年度,$B$2,2))&lt;&gt;2,"",CHOOSE(WEEKDAY(DATE(対象年度,$B$2,2),2),"月","火","水","木","金","土","日"))</f>
        <v>金</v>
      </c>
      <c r="C171" s="57" t="str">
        <f ca="1">IFERROR(IF(INDEX(INDIRECT("'"&amp;$B$2&amp;"月"&amp;"'!A:AZ"),5,24+0)="","",INDEX(INDIRECT("'"&amp;$B$2&amp;"月"&amp;"'!A:AZ"),5,24+0)),"")</f>
        <v/>
      </c>
      <c r="D171" s="58" t="str">
        <f ca="1">IFERROR(IF(INDEX(INDIRECT("'"&amp;$B$2&amp;"月"&amp;"'!A:AZ"),5,24+1)="","",INDEX(INDIRECT("'"&amp;$B$2&amp;"月"&amp;"'!A:AZ"),5,24+1)),"")</f>
        <v/>
      </c>
      <c r="E171" s="57" t="str">
        <f ca="1">IFERROR(IF(INDEX(INDIRECT("'"&amp;$B$2&amp;"月"&amp;"'!A:AZ"),5,24+2)="","",INDEX(INDIRECT("'"&amp;$B$2&amp;"月"&amp;"'!A:AZ"),5,24+2)),"")</f>
        <v/>
      </c>
      <c r="F171" s="59" t="str">
        <f ca="1">IFERROR(IF(INDEX(INDIRECT("'"&amp;$B$2&amp;"月"&amp;"'!A:AZ"),5,24+3)="","",INDEX(INDIRECT("'"&amp;$B$2&amp;"月"&amp;"'!A:AZ"),5,24+3)),"")</f>
        <v/>
      </c>
      <c r="G171" s="57" t="str">
        <f ca="1">IFERROR(IF(INDEX(INDIRECT("'"&amp;$B$2&amp;"月"&amp;"'!A:AZ"),5,24+4)="","",INDEX(INDIRECT("'"&amp;$B$2&amp;"月"&amp;"'!A:AZ"),5,24+4)),"")</f>
        <v/>
      </c>
      <c r="H171" s="57"/>
    </row>
    <row r="172" spans="1:8" ht="13.5" customHeight="1">
      <c r="A172" s="57">
        <f>IF(DAY(DATE(対象年度,$B$2,3))&lt;&gt;3,"",3)</f>
        <v>3</v>
      </c>
      <c r="B172" s="57" t="str">
        <f>IF(DAY(DATE(対象年度,$B$2,3))&lt;&gt;3,"",CHOOSE(WEEKDAY(DATE(対象年度,$B$2,3),2),"月","火","水","木","金","土","日"))</f>
        <v>土</v>
      </c>
      <c r="C172" s="57" t="str">
        <f ca="1">IFERROR(IF(INDEX(INDIRECT("'"&amp;$B$2&amp;"月"&amp;"'!A:AZ"),6,24+0)="","",INDEX(INDIRECT("'"&amp;$B$2&amp;"月"&amp;"'!A:AZ"),6,24+0)),"")</f>
        <v/>
      </c>
      <c r="D172" s="58" t="str">
        <f ca="1">IFERROR(IF(INDEX(INDIRECT("'"&amp;$B$2&amp;"月"&amp;"'!A:AZ"),6,24+1)="","",INDEX(INDIRECT("'"&amp;$B$2&amp;"月"&amp;"'!A:AZ"),6,24+1)),"")</f>
        <v/>
      </c>
      <c r="E172" s="57" t="str">
        <f ca="1">IFERROR(IF(INDEX(INDIRECT("'"&amp;$B$2&amp;"月"&amp;"'!A:AZ"),6,24+2)="","",INDEX(INDIRECT("'"&amp;$B$2&amp;"月"&amp;"'!A:AZ"),6,24+2)),"")</f>
        <v/>
      </c>
      <c r="F172" s="59" t="str">
        <f ca="1">IFERROR(IF(INDEX(INDIRECT("'"&amp;$B$2&amp;"月"&amp;"'!A:AZ"),6,24+3)="","",INDEX(INDIRECT("'"&amp;$B$2&amp;"月"&amp;"'!A:AZ"),6,24+3)),"")</f>
        <v/>
      </c>
      <c r="G172" s="57" t="str">
        <f ca="1">IFERROR(IF(INDEX(INDIRECT("'"&amp;$B$2&amp;"月"&amp;"'!A:AZ"),6,24+4)="","",INDEX(INDIRECT("'"&amp;$B$2&amp;"月"&amp;"'!A:AZ"),6,24+4)),"")</f>
        <v/>
      </c>
      <c r="H172" s="57"/>
    </row>
    <row r="173" spans="1:8" ht="13.5" customHeight="1">
      <c r="A173" s="57">
        <f>IF(DAY(DATE(対象年度,$B$2,4))&lt;&gt;4,"",4)</f>
        <v>4</v>
      </c>
      <c r="B173" s="57" t="str">
        <f>IF(DAY(DATE(対象年度,$B$2,4))&lt;&gt;4,"",CHOOSE(WEEKDAY(DATE(対象年度,$B$2,4),2),"月","火","水","木","金","土","日"))</f>
        <v>日</v>
      </c>
      <c r="C173" s="57" t="str">
        <f ca="1">IFERROR(IF(INDEX(INDIRECT("'"&amp;$B$2&amp;"月"&amp;"'!A:AZ"),7,24+0)="","",INDEX(INDIRECT("'"&amp;$B$2&amp;"月"&amp;"'!A:AZ"),7,24+0)),"")</f>
        <v/>
      </c>
      <c r="D173" s="58" t="str">
        <f ca="1">IFERROR(IF(INDEX(INDIRECT("'"&amp;$B$2&amp;"月"&amp;"'!A:AZ"),7,24+1)="","",INDEX(INDIRECT("'"&amp;$B$2&amp;"月"&amp;"'!A:AZ"),7,24+1)),"")</f>
        <v/>
      </c>
      <c r="E173" s="57" t="str">
        <f ca="1">IFERROR(IF(INDEX(INDIRECT("'"&amp;$B$2&amp;"月"&amp;"'!A:AZ"),7,24+2)="","",INDEX(INDIRECT("'"&amp;$B$2&amp;"月"&amp;"'!A:AZ"),7,24+2)),"")</f>
        <v/>
      </c>
      <c r="F173" s="59" t="str">
        <f ca="1">IFERROR(IF(INDEX(INDIRECT("'"&amp;$B$2&amp;"月"&amp;"'!A:AZ"),7,24+3)="","",INDEX(INDIRECT("'"&amp;$B$2&amp;"月"&amp;"'!A:AZ"),7,24+3)),"")</f>
        <v/>
      </c>
      <c r="G173" s="57" t="str">
        <f ca="1">IFERROR(IF(INDEX(INDIRECT("'"&amp;$B$2&amp;"月"&amp;"'!A:AZ"),7,24+4)="","",INDEX(INDIRECT("'"&amp;$B$2&amp;"月"&amp;"'!A:AZ"),7,24+4)),"")</f>
        <v/>
      </c>
      <c r="H173" s="57"/>
    </row>
    <row r="174" spans="1:8" ht="13.5" customHeight="1">
      <c r="A174" s="57">
        <f>IF(DAY(DATE(対象年度,$B$2,5))&lt;&gt;5,"",5)</f>
        <v>5</v>
      </c>
      <c r="B174" s="57" t="str">
        <f>IF(DAY(DATE(対象年度,$B$2,5))&lt;&gt;5,"",CHOOSE(WEEKDAY(DATE(対象年度,$B$2,5),2),"月","火","水","木","金","土","日"))</f>
        <v>月</v>
      </c>
      <c r="C174" s="57" t="str">
        <f ca="1">IFERROR(IF(INDEX(INDIRECT("'"&amp;$B$2&amp;"月"&amp;"'!A:AZ"),8,24+0)="","",INDEX(INDIRECT("'"&amp;$B$2&amp;"月"&amp;"'!A:AZ"),8,24+0)),"")</f>
        <v/>
      </c>
      <c r="D174" s="58" t="str">
        <f ca="1">IFERROR(IF(INDEX(INDIRECT("'"&amp;$B$2&amp;"月"&amp;"'!A:AZ"),8,24+1)="","",INDEX(INDIRECT("'"&amp;$B$2&amp;"月"&amp;"'!A:AZ"),8,24+1)),"")</f>
        <v/>
      </c>
      <c r="E174" s="57" t="str">
        <f ca="1">IFERROR(IF(INDEX(INDIRECT("'"&amp;$B$2&amp;"月"&amp;"'!A:AZ"),8,24+2)="","",INDEX(INDIRECT("'"&amp;$B$2&amp;"月"&amp;"'!A:AZ"),8,24+2)),"")</f>
        <v/>
      </c>
      <c r="F174" s="59" t="str">
        <f ca="1">IFERROR(IF(INDEX(INDIRECT("'"&amp;$B$2&amp;"月"&amp;"'!A:AZ"),8,24+3)="","",INDEX(INDIRECT("'"&amp;$B$2&amp;"月"&amp;"'!A:AZ"),8,24+3)),"")</f>
        <v/>
      </c>
      <c r="G174" s="57" t="str">
        <f ca="1">IFERROR(IF(INDEX(INDIRECT("'"&amp;$B$2&amp;"月"&amp;"'!A:AZ"),8,24+4)="","",INDEX(INDIRECT("'"&amp;$B$2&amp;"月"&amp;"'!A:AZ"),8,24+4)),"")</f>
        <v/>
      </c>
      <c r="H174" s="57"/>
    </row>
    <row r="175" spans="1:8" ht="13.5" customHeight="1">
      <c r="A175" s="57">
        <f>IF(DAY(DATE(対象年度,$B$2,6))&lt;&gt;6,"",6)</f>
        <v>6</v>
      </c>
      <c r="B175" s="57" t="str">
        <f>IF(DAY(DATE(対象年度,$B$2,6))&lt;&gt;6,"",CHOOSE(WEEKDAY(DATE(対象年度,$B$2,6),2),"月","火","水","木","金","土","日"))</f>
        <v>火</v>
      </c>
      <c r="C175" s="57" t="str">
        <f ca="1">IFERROR(IF(INDEX(INDIRECT("'"&amp;$B$2&amp;"月"&amp;"'!A:AZ"),9,24+0)="","",INDEX(INDIRECT("'"&amp;$B$2&amp;"月"&amp;"'!A:AZ"),9,24+0)),"")</f>
        <v/>
      </c>
      <c r="D175" s="58" t="str">
        <f ca="1">IFERROR(IF(INDEX(INDIRECT("'"&amp;$B$2&amp;"月"&amp;"'!A:AZ"),9,24+1)="","",INDEX(INDIRECT("'"&amp;$B$2&amp;"月"&amp;"'!A:AZ"),9,24+1)),"")</f>
        <v/>
      </c>
      <c r="E175" s="57" t="str">
        <f ca="1">IFERROR(IF(INDEX(INDIRECT("'"&amp;$B$2&amp;"月"&amp;"'!A:AZ"),9,24+2)="","",INDEX(INDIRECT("'"&amp;$B$2&amp;"月"&amp;"'!A:AZ"),9,24+2)),"")</f>
        <v/>
      </c>
      <c r="F175" s="59" t="str">
        <f ca="1">IFERROR(IF(INDEX(INDIRECT("'"&amp;$B$2&amp;"月"&amp;"'!A:AZ"),9,24+3)="","",INDEX(INDIRECT("'"&amp;$B$2&amp;"月"&amp;"'!A:AZ"),9,24+3)),"")</f>
        <v/>
      </c>
      <c r="G175" s="57" t="str">
        <f ca="1">IFERROR(IF(INDEX(INDIRECT("'"&amp;$B$2&amp;"月"&amp;"'!A:AZ"),9,24+4)="","",INDEX(INDIRECT("'"&amp;$B$2&amp;"月"&amp;"'!A:AZ"),9,24+4)),"")</f>
        <v/>
      </c>
      <c r="H175" s="57"/>
    </row>
    <row r="176" spans="1:8" ht="13.5" customHeight="1">
      <c r="A176" s="57">
        <f>IF(DAY(DATE(対象年度,$B$2,7))&lt;&gt;7,"",7)</f>
        <v>7</v>
      </c>
      <c r="B176" s="57" t="str">
        <f>IF(DAY(DATE(対象年度,$B$2,7))&lt;&gt;7,"",CHOOSE(WEEKDAY(DATE(対象年度,$B$2,7),2),"月","火","水","木","金","土","日"))</f>
        <v>水</v>
      </c>
      <c r="C176" s="57" t="str">
        <f ca="1">IFERROR(IF(INDEX(INDIRECT("'"&amp;$B$2&amp;"月"&amp;"'!A:AZ"),10,24+0)="","",INDEX(INDIRECT("'"&amp;$B$2&amp;"月"&amp;"'!A:AZ"),10,24+0)),"")</f>
        <v/>
      </c>
      <c r="D176" s="58" t="str">
        <f ca="1">IFERROR(IF(INDEX(INDIRECT("'"&amp;$B$2&amp;"月"&amp;"'!A:AZ"),10,24+1)="","",INDEX(INDIRECT("'"&amp;$B$2&amp;"月"&amp;"'!A:AZ"),10,24+1)),"")</f>
        <v/>
      </c>
      <c r="E176" s="57" t="str">
        <f ca="1">IFERROR(IF(INDEX(INDIRECT("'"&amp;$B$2&amp;"月"&amp;"'!A:AZ"),10,24+2)="","",INDEX(INDIRECT("'"&amp;$B$2&amp;"月"&amp;"'!A:AZ"),10,24+2)),"")</f>
        <v/>
      </c>
      <c r="F176" s="59" t="str">
        <f ca="1">IFERROR(IF(INDEX(INDIRECT("'"&amp;$B$2&amp;"月"&amp;"'!A:AZ"),10,24+3)="","",INDEX(INDIRECT("'"&amp;$B$2&amp;"月"&amp;"'!A:AZ"),10,24+3)),"")</f>
        <v/>
      </c>
      <c r="G176" s="57" t="str">
        <f ca="1">IFERROR(IF(INDEX(INDIRECT("'"&amp;$B$2&amp;"月"&amp;"'!A:AZ"),10,24+4)="","",INDEX(INDIRECT("'"&amp;$B$2&amp;"月"&amp;"'!A:AZ"),10,24+4)),"")</f>
        <v/>
      </c>
      <c r="H176" s="57"/>
    </row>
    <row r="177" spans="1:8" ht="13.5" customHeight="1">
      <c r="A177" s="57">
        <f>IF(DAY(DATE(対象年度,$B$2,8))&lt;&gt;8,"",8)</f>
        <v>8</v>
      </c>
      <c r="B177" s="57" t="str">
        <f>IF(DAY(DATE(対象年度,$B$2,8))&lt;&gt;8,"",CHOOSE(WEEKDAY(DATE(対象年度,$B$2,8),2),"月","火","水","木","金","土","日"))</f>
        <v>木</v>
      </c>
      <c r="C177" s="57" t="str">
        <f ca="1">IFERROR(IF(INDEX(INDIRECT("'"&amp;$B$2&amp;"月"&amp;"'!A:AZ"),11,24+0)="","",INDEX(INDIRECT("'"&amp;$B$2&amp;"月"&amp;"'!A:AZ"),11,24+0)),"")</f>
        <v/>
      </c>
      <c r="D177" s="58" t="str">
        <f ca="1">IFERROR(IF(INDEX(INDIRECT("'"&amp;$B$2&amp;"月"&amp;"'!A:AZ"),11,24+1)="","",INDEX(INDIRECT("'"&amp;$B$2&amp;"月"&amp;"'!A:AZ"),11,24+1)),"")</f>
        <v/>
      </c>
      <c r="E177" s="57" t="str">
        <f ca="1">IFERROR(IF(INDEX(INDIRECT("'"&amp;$B$2&amp;"月"&amp;"'!A:AZ"),11,24+2)="","",INDEX(INDIRECT("'"&amp;$B$2&amp;"月"&amp;"'!A:AZ"),11,24+2)),"")</f>
        <v/>
      </c>
      <c r="F177" s="59" t="str">
        <f ca="1">IFERROR(IF(INDEX(INDIRECT("'"&amp;$B$2&amp;"月"&amp;"'!A:AZ"),11,24+3)="","",INDEX(INDIRECT("'"&amp;$B$2&amp;"月"&amp;"'!A:AZ"),11,24+3)),"")</f>
        <v/>
      </c>
      <c r="G177" s="57" t="str">
        <f ca="1">IFERROR(IF(INDEX(INDIRECT("'"&amp;$B$2&amp;"月"&amp;"'!A:AZ"),11,24+4)="","",INDEX(INDIRECT("'"&amp;$B$2&amp;"月"&amp;"'!A:AZ"),11,24+4)),"")</f>
        <v/>
      </c>
      <c r="H177" s="57"/>
    </row>
    <row r="178" spans="1:8" ht="13.5" customHeight="1">
      <c r="A178" s="57">
        <f>IF(DAY(DATE(対象年度,$B$2,9))&lt;&gt;9,"",9)</f>
        <v>9</v>
      </c>
      <c r="B178" s="57" t="str">
        <f>IF(DAY(DATE(対象年度,$B$2,9))&lt;&gt;9,"",CHOOSE(WEEKDAY(DATE(対象年度,$B$2,9),2),"月","火","水","木","金","土","日"))</f>
        <v>金</v>
      </c>
      <c r="C178" s="57" t="str">
        <f ca="1">IFERROR(IF(INDEX(INDIRECT("'"&amp;$B$2&amp;"月"&amp;"'!A:AZ"),12,24+0)="","",INDEX(INDIRECT("'"&amp;$B$2&amp;"月"&amp;"'!A:AZ"),12,24+0)),"")</f>
        <v/>
      </c>
      <c r="D178" s="58" t="str">
        <f ca="1">IFERROR(IF(INDEX(INDIRECT("'"&amp;$B$2&amp;"月"&amp;"'!A:AZ"),12,24+1)="","",INDEX(INDIRECT("'"&amp;$B$2&amp;"月"&amp;"'!A:AZ"),12,24+1)),"")</f>
        <v/>
      </c>
      <c r="E178" s="57" t="str">
        <f ca="1">IFERROR(IF(INDEX(INDIRECT("'"&amp;$B$2&amp;"月"&amp;"'!A:AZ"),12,24+2)="","",INDEX(INDIRECT("'"&amp;$B$2&amp;"月"&amp;"'!A:AZ"),12,24+2)),"")</f>
        <v/>
      </c>
      <c r="F178" s="59" t="str">
        <f ca="1">IFERROR(IF(INDEX(INDIRECT("'"&amp;$B$2&amp;"月"&amp;"'!A:AZ"),12,24+3)="","",INDEX(INDIRECT("'"&amp;$B$2&amp;"月"&amp;"'!A:AZ"),12,24+3)),"")</f>
        <v/>
      </c>
      <c r="G178" s="57" t="str">
        <f ca="1">IFERROR(IF(INDEX(INDIRECT("'"&amp;$B$2&amp;"月"&amp;"'!A:AZ"),12,24+4)="","",INDEX(INDIRECT("'"&amp;$B$2&amp;"月"&amp;"'!A:AZ"),12,24+4)),"")</f>
        <v/>
      </c>
      <c r="H178" s="57"/>
    </row>
    <row r="179" spans="1:8" ht="13.5" customHeight="1">
      <c r="A179" s="57">
        <f>IF(DAY(DATE(対象年度,$B$2,10))&lt;&gt;10,"",10)</f>
        <v>10</v>
      </c>
      <c r="B179" s="57" t="str">
        <f>IF(DAY(DATE(対象年度,$B$2,10))&lt;&gt;10,"",CHOOSE(WEEKDAY(DATE(対象年度,$B$2,10),2),"月","火","水","木","金","土","日"))</f>
        <v>土</v>
      </c>
      <c r="C179" s="57" t="str">
        <f ca="1">IFERROR(IF(INDEX(INDIRECT("'"&amp;$B$2&amp;"月"&amp;"'!A:AZ"),13,24+0)="","",INDEX(INDIRECT("'"&amp;$B$2&amp;"月"&amp;"'!A:AZ"),13,24+0)),"")</f>
        <v/>
      </c>
      <c r="D179" s="58" t="str">
        <f ca="1">IFERROR(IF(INDEX(INDIRECT("'"&amp;$B$2&amp;"月"&amp;"'!A:AZ"),13,24+1)="","",INDEX(INDIRECT("'"&amp;$B$2&amp;"月"&amp;"'!A:AZ"),13,24+1)),"")</f>
        <v/>
      </c>
      <c r="E179" s="57" t="str">
        <f ca="1">IFERROR(IF(INDEX(INDIRECT("'"&amp;$B$2&amp;"月"&amp;"'!A:AZ"),13,24+2)="","",INDEX(INDIRECT("'"&amp;$B$2&amp;"月"&amp;"'!A:AZ"),13,24+2)),"")</f>
        <v/>
      </c>
      <c r="F179" s="59" t="str">
        <f ca="1">IFERROR(IF(INDEX(INDIRECT("'"&amp;$B$2&amp;"月"&amp;"'!A:AZ"),13,24+3)="","",INDEX(INDIRECT("'"&amp;$B$2&amp;"月"&amp;"'!A:AZ"),13,24+3)),"")</f>
        <v/>
      </c>
      <c r="G179" s="57" t="str">
        <f ca="1">IFERROR(IF(INDEX(INDIRECT("'"&amp;$B$2&amp;"月"&amp;"'!A:AZ"),13,24+4)="","",INDEX(INDIRECT("'"&amp;$B$2&amp;"月"&amp;"'!A:AZ"),13,24+4)),"")</f>
        <v/>
      </c>
      <c r="H179" s="57"/>
    </row>
    <row r="180" spans="1:8" ht="13.5" customHeight="1">
      <c r="A180" s="57">
        <f>IF(DAY(DATE(対象年度,$B$2,11))&lt;&gt;11,"",11)</f>
        <v>11</v>
      </c>
      <c r="B180" s="57" t="str">
        <f>IF(DAY(DATE(対象年度,$B$2,11))&lt;&gt;11,"",CHOOSE(WEEKDAY(DATE(対象年度,$B$2,11),2),"月","火","水","木","金","土","日"))</f>
        <v>日</v>
      </c>
      <c r="C180" s="57" t="str">
        <f ca="1">IFERROR(IF(INDEX(INDIRECT("'"&amp;$B$2&amp;"月"&amp;"'!A:AZ"),14,24+0)="","",INDEX(INDIRECT("'"&amp;$B$2&amp;"月"&amp;"'!A:AZ"),14,24+0)),"")</f>
        <v/>
      </c>
      <c r="D180" s="58" t="str">
        <f ca="1">IFERROR(IF(INDEX(INDIRECT("'"&amp;$B$2&amp;"月"&amp;"'!A:AZ"),14,24+1)="","",INDEX(INDIRECT("'"&amp;$B$2&amp;"月"&amp;"'!A:AZ"),14,24+1)),"")</f>
        <v/>
      </c>
      <c r="E180" s="57" t="str">
        <f ca="1">IFERROR(IF(INDEX(INDIRECT("'"&amp;$B$2&amp;"月"&amp;"'!A:AZ"),14,24+2)="","",INDEX(INDIRECT("'"&amp;$B$2&amp;"月"&amp;"'!A:AZ"),14,24+2)),"")</f>
        <v/>
      </c>
      <c r="F180" s="59" t="str">
        <f ca="1">IFERROR(IF(INDEX(INDIRECT("'"&amp;$B$2&amp;"月"&amp;"'!A:AZ"),14,24+3)="","",INDEX(INDIRECT("'"&amp;$B$2&amp;"月"&amp;"'!A:AZ"),14,24+3)),"")</f>
        <v/>
      </c>
      <c r="G180" s="57" t="str">
        <f ca="1">IFERROR(IF(INDEX(INDIRECT("'"&amp;$B$2&amp;"月"&amp;"'!A:AZ"),14,24+4)="","",INDEX(INDIRECT("'"&amp;$B$2&amp;"月"&amp;"'!A:AZ"),14,24+4)),"")</f>
        <v/>
      </c>
      <c r="H180" s="57"/>
    </row>
    <row r="181" spans="1:8" ht="13.5" customHeight="1">
      <c r="A181" s="57">
        <f>IF(DAY(DATE(対象年度,$B$2,12))&lt;&gt;12,"",12)</f>
        <v>12</v>
      </c>
      <c r="B181" s="57" t="str">
        <f>IF(DAY(DATE(対象年度,$B$2,12))&lt;&gt;12,"",CHOOSE(WEEKDAY(DATE(対象年度,$B$2,12),2),"月","火","水","木","金","土","日"))</f>
        <v>月</v>
      </c>
      <c r="C181" s="57" t="str">
        <f ca="1">IFERROR(IF(INDEX(INDIRECT("'"&amp;$B$2&amp;"月"&amp;"'!A:AZ"),15,24+0)="","",INDEX(INDIRECT("'"&amp;$B$2&amp;"月"&amp;"'!A:AZ"),15,24+0)),"")</f>
        <v/>
      </c>
      <c r="D181" s="58" t="str">
        <f ca="1">IFERROR(IF(INDEX(INDIRECT("'"&amp;$B$2&amp;"月"&amp;"'!A:AZ"),15,24+1)="","",INDEX(INDIRECT("'"&amp;$B$2&amp;"月"&amp;"'!A:AZ"),15,24+1)),"")</f>
        <v/>
      </c>
      <c r="E181" s="57" t="str">
        <f ca="1">IFERROR(IF(INDEX(INDIRECT("'"&amp;$B$2&amp;"月"&amp;"'!A:AZ"),15,24+2)="","",INDEX(INDIRECT("'"&amp;$B$2&amp;"月"&amp;"'!A:AZ"),15,24+2)),"")</f>
        <v/>
      </c>
      <c r="F181" s="59" t="str">
        <f ca="1">IFERROR(IF(INDEX(INDIRECT("'"&amp;$B$2&amp;"月"&amp;"'!A:AZ"),15,24+3)="","",INDEX(INDIRECT("'"&amp;$B$2&amp;"月"&amp;"'!A:AZ"),15,24+3)),"")</f>
        <v/>
      </c>
      <c r="G181" s="57" t="str">
        <f ca="1">IFERROR(IF(INDEX(INDIRECT("'"&amp;$B$2&amp;"月"&amp;"'!A:AZ"),15,24+4)="","",INDEX(INDIRECT("'"&amp;$B$2&amp;"月"&amp;"'!A:AZ"),15,24+4)),"")</f>
        <v/>
      </c>
      <c r="H181" s="57"/>
    </row>
    <row r="182" spans="1:8" ht="13.5" customHeight="1">
      <c r="A182" s="57">
        <f>IF(DAY(DATE(対象年度,$B$2,13))&lt;&gt;13,"",13)</f>
        <v>13</v>
      </c>
      <c r="B182" s="57" t="str">
        <f>IF(DAY(DATE(対象年度,$B$2,13))&lt;&gt;13,"",CHOOSE(WEEKDAY(DATE(対象年度,$B$2,13),2),"月","火","水","木","金","土","日"))</f>
        <v>火</v>
      </c>
      <c r="C182" s="57" t="str">
        <f ca="1">IFERROR(IF(INDEX(INDIRECT("'"&amp;$B$2&amp;"月"&amp;"'!A:AZ"),16,24+0)="","",INDEX(INDIRECT("'"&amp;$B$2&amp;"月"&amp;"'!A:AZ"),16,24+0)),"")</f>
        <v/>
      </c>
      <c r="D182" s="58" t="str">
        <f ca="1">IFERROR(IF(INDEX(INDIRECT("'"&amp;$B$2&amp;"月"&amp;"'!A:AZ"),16,24+1)="","",INDEX(INDIRECT("'"&amp;$B$2&amp;"月"&amp;"'!A:AZ"),16,24+1)),"")</f>
        <v/>
      </c>
      <c r="E182" s="57" t="str">
        <f ca="1">IFERROR(IF(INDEX(INDIRECT("'"&amp;$B$2&amp;"月"&amp;"'!A:AZ"),16,24+2)="","",INDEX(INDIRECT("'"&amp;$B$2&amp;"月"&amp;"'!A:AZ"),16,24+2)),"")</f>
        <v/>
      </c>
      <c r="F182" s="59" t="str">
        <f ca="1">IFERROR(IF(INDEX(INDIRECT("'"&amp;$B$2&amp;"月"&amp;"'!A:AZ"),16,24+3)="","",INDEX(INDIRECT("'"&amp;$B$2&amp;"月"&amp;"'!A:AZ"),16,24+3)),"")</f>
        <v/>
      </c>
      <c r="G182" s="57" t="str">
        <f ca="1">IFERROR(IF(INDEX(INDIRECT("'"&amp;$B$2&amp;"月"&amp;"'!A:AZ"),16,24+4)="","",INDEX(INDIRECT("'"&amp;$B$2&amp;"月"&amp;"'!A:AZ"),16,24+4)),"")</f>
        <v/>
      </c>
      <c r="H182" s="57"/>
    </row>
    <row r="183" spans="1:8" ht="13.5" customHeight="1">
      <c r="A183" s="57">
        <f>IF(DAY(DATE(対象年度,$B$2,14))&lt;&gt;14,"",14)</f>
        <v>14</v>
      </c>
      <c r="B183" s="57" t="str">
        <f>IF(DAY(DATE(対象年度,$B$2,14))&lt;&gt;14,"",CHOOSE(WEEKDAY(DATE(対象年度,$B$2,14),2),"月","火","水","木","金","土","日"))</f>
        <v>水</v>
      </c>
      <c r="C183" s="57" t="str">
        <f ca="1">IFERROR(IF(INDEX(INDIRECT("'"&amp;$B$2&amp;"月"&amp;"'!A:AZ"),17,24+0)="","",INDEX(INDIRECT("'"&amp;$B$2&amp;"月"&amp;"'!A:AZ"),17,24+0)),"")</f>
        <v/>
      </c>
      <c r="D183" s="58" t="str">
        <f ca="1">IFERROR(IF(INDEX(INDIRECT("'"&amp;$B$2&amp;"月"&amp;"'!A:AZ"),17,24+1)="","",INDEX(INDIRECT("'"&amp;$B$2&amp;"月"&amp;"'!A:AZ"),17,24+1)),"")</f>
        <v/>
      </c>
      <c r="E183" s="57" t="str">
        <f ca="1">IFERROR(IF(INDEX(INDIRECT("'"&amp;$B$2&amp;"月"&amp;"'!A:AZ"),17,24+2)="","",INDEX(INDIRECT("'"&amp;$B$2&amp;"月"&amp;"'!A:AZ"),17,24+2)),"")</f>
        <v/>
      </c>
      <c r="F183" s="59" t="str">
        <f ca="1">IFERROR(IF(INDEX(INDIRECT("'"&amp;$B$2&amp;"月"&amp;"'!A:AZ"),17,24+3)="","",INDEX(INDIRECT("'"&amp;$B$2&amp;"月"&amp;"'!A:AZ"),17,24+3)),"")</f>
        <v/>
      </c>
      <c r="G183" s="57" t="str">
        <f ca="1">IFERROR(IF(INDEX(INDIRECT("'"&amp;$B$2&amp;"月"&amp;"'!A:AZ"),17,24+4)="","",INDEX(INDIRECT("'"&amp;$B$2&amp;"月"&amp;"'!A:AZ"),17,24+4)),"")</f>
        <v/>
      </c>
      <c r="H183" s="57"/>
    </row>
    <row r="184" spans="1:8" ht="13.5" customHeight="1">
      <c r="A184" s="57">
        <f>IF(DAY(DATE(対象年度,$B$2,15))&lt;&gt;15,"",15)</f>
        <v>15</v>
      </c>
      <c r="B184" s="57" t="str">
        <f>IF(DAY(DATE(対象年度,$B$2,15))&lt;&gt;15,"",CHOOSE(WEEKDAY(DATE(対象年度,$B$2,15),2),"月","火","水","木","金","土","日"))</f>
        <v>木</v>
      </c>
      <c r="C184" s="57" t="str">
        <f ca="1">IFERROR(IF(INDEX(INDIRECT("'"&amp;$B$2&amp;"月"&amp;"'!A:AZ"),18,24+0)="","",INDEX(INDIRECT("'"&amp;$B$2&amp;"月"&amp;"'!A:AZ"),18,24+0)),"")</f>
        <v/>
      </c>
      <c r="D184" s="58" t="str">
        <f ca="1">IFERROR(IF(INDEX(INDIRECT("'"&amp;$B$2&amp;"月"&amp;"'!A:AZ"),18,24+1)="","",INDEX(INDIRECT("'"&amp;$B$2&amp;"月"&amp;"'!A:AZ"),18,24+1)),"")</f>
        <v/>
      </c>
      <c r="E184" s="57" t="str">
        <f ca="1">IFERROR(IF(INDEX(INDIRECT("'"&amp;$B$2&amp;"月"&amp;"'!A:AZ"),18,24+2)="","",INDEX(INDIRECT("'"&amp;$B$2&amp;"月"&amp;"'!A:AZ"),18,24+2)),"")</f>
        <v/>
      </c>
      <c r="F184" s="59" t="str">
        <f ca="1">IFERROR(IF(INDEX(INDIRECT("'"&amp;$B$2&amp;"月"&amp;"'!A:AZ"),18,24+3)="","",INDEX(INDIRECT("'"&amp;$B$2&amp;"月"&amp;"'!A:AZ"),18,24+3)),"")</f>
        <v/>
      </c>
      <c r="G184" s="57" t="str">
        <f ca="1">IFERROR(IF(INDEX(INDIRECT("'"&amp;$B$2&amp;"月"&amp;"'!A:AZ"),18,24+4)="","",INDEX(INDIRECT("'"&amp;$B$2&amp;"月"&amp;"'!A:AZ"),18,24+4)),"")</f>
        <v/>
      </c>
      <c r="H184" s="57"/>
    </row>
    <row r="185" spans="1:8" ht="13.5" customHeight="1">
      <c r="A185" s="57">
        <f>IF(DAY(DATE(対象年度,$B$2,16))&lt;&gt;16,"",16)</f>
        <v>16</v>
      </c>
      <c r="B185" s="57" t="str">
        <f>IF(DAY(DATE(対象年度,$B$2,16))&lt;&gt;16,"",CHOOSE(WEEKDAY(DATE(対象年度,$B$2,16),2),"月","火","水","木","金","土","日"))</f>
        <v>金</v>
      </c>
      <c r="C185" s="57" t="str">
        <f ca="1">IFERROR(IF(INDEX(INDIRECT("'"&amp;$B$2&amp;"月"&amp;"'!A:AZ"),19,24+0)="","",INDEX(INDIRECT("'"&amp;$B$2&amp;"月"&amp;"'!A:AZ"),19,24+0)),"")</f>
        <v/>
      </c>
      <c r="D185" s="58" t="str">
        <f ca="1">IFERROR(IF(INDEX(INDIRECT("'"&amp;$B$2&amp;"月"&amp;"'!A:AZ"),19,24+1)="","",INDEX(INDIRECT("'"&amp;$B$2&amp;"月"&amp;"'!A:AZ"),19,24+1)),"")</f>
        <v/>
      </c>
      <c r="E185" s="57" t="str">
        <f ca="1">IFERROR(IF(INDEX(INDIRECT("'"&amp;$B$2&amp;"月"&amp;"'!A:AZ"),19,24+2)="","",INDEX(INDIRECT("'"&amp;$B$2&amp;"月"&amp;"'!A:AZ"),19,24+2)),"")</f>
        <v/>
      </c>
      <c r="F185" s="59" t="str">
        <f ca="1">IFERROR(IF(INDEX(INDIRECT("'"&amp;$B$2&amp;"月"&amp;"'!A:AZ"),19,24+3)="","",INDEX(INDIRECT("'"&amp;$B$2&amp;"月"&amp;"'!A:AZ"),19,24+3)),"")</f>
        <v/>
      </c>
      <c r="G185" s="57" t="str">
        <f ca="1">IFERROR(IF(INDEX(INDIRECT("'"&amp;$B$2&amp;"月"&amp;"'!A:AZ"),19,24+4)="","",INDEX(INDIRECT("'"&amp;$B$2&amp;"月"&amp;"'!A:AZ"),19,24+4)),"")</f>
        <v/>
      </c>
      <c r="H185" s="57"/>
    </row>
    <row r="186" spans="1:8" ht="13.5" customHeight="1">
      <c r="A186" s="57">
        <f>IF(DAY(DATE(対象年度,$B$2,17))&lt;&gt;17,"",17)</f>
        <v>17</v>
      </c>
      <c r="B186" s="57" t="str">
        <f>IF(DAY(DATE(対象年度,$B$2,17))&lt;&gt;17,"",CHOOSE(WEEKDAY(DATE(対象年度,$B$2,17),2),"月","火","水","木","金","土","日"))</f>
        <v>土</v>
      </c>
      <c r="C186" s="57" t="str">
        <f ca="1">IFERROR(IF(INDEX(INDIRECT("'"&amp;$B$2&amp;"月"&amp;"'!A:AZ"),20,24+0)="","",INDEX(INDIRECT("'"&amp;$B$2&amp;"月"&amp;"'!A:AZ"),20,24+0)),"")</f>
        <v/>
      </c>
      <c r="D186" s="58" t="str">
        <f ca="1">IFERROR(IF(INDEX(INDIRECT("'"&amp;$B$2&amp;"月"&amp;"'!A:AZ"),20,24+1)="","",INDEX(INDIRECT("'"&amp;$B$2&amp;"月"&amp;"'!A:AZ"),20,24+1)),"")</f>
        <v/>
      </c>
      <c r="E186" s="57" t="str">
        <f ca="1">IFERROR(IF(INDEX(INDIRECT("'"&amp;$B$2&amp;"月"&amp;"'!A:AZ"),20,24+2)="","",INDEX(INDIRECT("'"&amp;$B$2&amp;"月"&amp;"'!A:AZ"),20,24+2)),"")</f>
        <v/>
      </c>
      <c r="F186" s="59" t="str">
        <f ca="1">IFERROR(IF(INDEX(INDIRECT("'"&amp;$B$2&amp;"月"&amp;"'!A:AZ"),20,24+3)="","",INDEX(INDIRECT("'"&amp;$B$2&amp;"月"&amp;"'!A:AZ"),20,24+3)),"")</f>
        <v/>
      </c>
      <c r="G186" s="57" t="str">
        <f ca="1">IFERROR(IF(INDEX(INDIRECT("'"&amp;$B$2&amp;"月"&amp;"'!A:AZ"),20,24+4)="","",INDEX(INDIRECT("'"&amp;$B$2&amp;"月"&amp;"'!A:AZ"),20,24+4)),"")</f>
        <v/>
      </c>
      <c r="H186" s="57"/>
    </row>
    <row r="187" spans="1:8" ht="13.5" customHeight="1">
      <c r="A187" s="57">
        <f>IF(DAY(DATE(対象年度,$B$2,18))&lt;&gt;18,"",18)</f>
        <v>18</v>
      </c>
      <c r="B187" s="57" t="str">
        <f>IF(DAY(DATE(対象年度,$B$2,18))&lt;&gt;18,"",CHOOSE(WEEKDAY(DATE(対象年度,$B$2,18),2),"月","火","水","木","金","土","日"))</f>
        <v>日</v>
      </c>
      <c r="C187" s="57" t="str">
        <f ca="1">IFERROR(IF(INDEX(INDIRECT("'"&amp;$B$2&amp;"月"&amp;"'!A:AZ"),21,24+0)="","",INDEX(INDIRECT("'"&amp;$B$2&amp;"月"&amp;"'!A:AZ"),21,24+0)),"")</f>
        <v/>
      </c>
      <c r="D187" s="58" t="str">
        <f ca="1">IFERROR(IF(INDEX(INDIRECT("'"&amp;$B$2&amp;"月"&amp;"'!A:AZ"),21,24+1)="","",INDEX(INDIRECT("'"&amp;$B$2&amp;"月"&amp;"'!A:AZ"),21,24+1)),"")</f>
        <v/>
      </c>
      <c r="E187" s="57" t="str">
        <f ca="1">IFERROR(IF(INDEX(INDIRECT("'"&amp;$B$2&amp;"月"&amp;"'!A:AZ"),21,24+2)="","",INDEX(INDIRECT("'"&amp;$B$2&amp;"月"&amp;"'!A:AZ"),21,24+2)),"")</f>
        <v/>
      </c>
      <c r="F187" s="59" t="str">
        <f ca="1">IFERROR(IF(INDEX(INDIRECT("'"&amp;$B$2&amp;"月"&amp;"'!A:AZ"),21,24+3)="","",INDEX(INDIRECT("'"&amp;$B$2&amp;"月"&amp;"'!A:AZ"),21,24+3)),"")</f>
        <v/>
      </c>
      <c r="G187" s="57" t="str">
        <f ca="1">IFERROR(IF(INDEX(INDIRECT("'"&amp;$B$2&amp;"月"&amp;"'!A:AZ"),21,24+4)="","",INDEX(INDIRECT("'"&amp;$B$2&amp;"月"&amp;"'!A:AZ"),21,24+4)),"")</f>
        <v/>
      </c>
      <c r="H187" s="57"/>
    </row>
    <row r="188" spans="1:8" ht="13.5" customHeight="1">
      <c r="A188" s="57">
        <f>IF(DAY(DATE(対象年度,$B$2,19))&lt;&gt;19,"",19)</f>
        <v>19</v>
      </c>
      <c r="B188" s="57" t="str">
        <f>IF(DAY(DATE(対象年度,$B$2,19))&lt;&gt;19,"",CHOOSE(WEEKDAY(DATE(対象年度,$B$2,19),2),"月","火","水","木","金","土","日"))</f>
        <v>月</v>
      </c>
      <c r="C188" s="57" t="str">
        <f ca="1">IFERROR(IF(INDEX(INDIRECT("'"&amp;$B$2&amp;"月"&amp;"'!A:AZ"),22,24+0)="","",INDEX(INDIRECT("'"&amp;$B$2&amp;"月"&amp;"'!A:AZ"),22,24+0)),"")</f>
        <v/>
      </c>
      <c r="D188" s="58" t="str">
        <f ca="1">IFERROR(IF(INDEX(INDIRECT("'"&amp;$B$2&amp;"月"&amp;"'!A:AZ"),22,24+1)="","",INDEX(INDIRECT("'"&amp;$B$2&amp;"月"&amp;"'!A:AZ"),22,24+1)),"")</f>
        <v/>
      </c>
      <c r="E188" s="57" t="str">
        <f ca="1">IFERROR(IF(INDEX(INDIRECT("'"&amp;$B$2&amp;"月"&amp;"'!A:AZ"),22,24+2)="","",INDEX(INDIRECT("'"&amp;$B$2&amp;"月"&amp;"'!A:AZ"),22,24+2)),"")</f>
        <v/>
      </c>
      <c r="F188" s="59" t="str">
        <f ca="1">IFERROR(IF(INDEX(INDIRECT("'"&amp;$B$2&amp;"月"&amp;"'!A:AZ"),22,24+3)="","",INDEX(INDIRECT("'"&amp;$B$2&amp;"月"&amp;"'!A:AZ"),22,24+3)),"")</f>
        <v/>
      </c>
      <c r="G188" s="57" t="str">
        <f ca="1">IFERROR(IF(INDEX(INDIRECT("'"&amp;$B$2&amp;"月"&amp;"'!A:AZ"),22,24+4)="","",INDEX(INDIRECT("'"&amp;$B$2&amp;"月"&amp;"'!A:AZ"),22,24+4)),"")</f>
        <v/>
      </c>
      <c r="H188" s="57"/>
    </row>
    <row r="189" spans="1:8" ht="13.5" customHeight="1">
      <c r="A189" s="57">
        <f>IF(DAY(DATE(対象年度,$B$2,20))&lt;&gt;20,"",20)</f>
        <v>20</v>
      </c>
      <c r="B189" s="57" t="str">
        <f>IF(DAY(DATE(対象年度,$B$2,20))&lt;&gt;20,"",CHOOSE(WEEKDAY(DATE(対象年度,$B$2,20),2),"月","火","水","木","金","土","日"))</f>
        <v>火</v>
      </c>
      <c r="C189" s="57" t="str">
        <f ca="1">IFERROR(IF(INDEX(INDIRECT("'"&amp;$B$2&amp;"月"&amp;"'!A:AZ"),23,24+0)="","",INDEX(INDIRECT("'"&amp;$B$2&amp;"月"&amp;"'!A:AZ"),23,24+0)),"")</f>
        <v/>
      </c>
      <c r="D189" s="58" t="str">
        <f ca="1">IFERROR(IF(INDEX(INDIRECT("'"&amp;$B$2&amp;"月"&amp;"'!A:AZ"),23,24+1)="","",INDEX(INDIRECT("'"&amp;$B$2&amp;"月"&amp;"'!A:AZ"),23,24+1)),"")</f>
        <v/>
      </c>
      <c r="E189" s="57" t="str">
        <f ca="1">IFERROR(IF(INDEX(INDIRECT("'"&amp;$B$2&amp;"月"&amp;"'!A:AZ"),23,24+2)="","",INDEX(INDIRECT("'"&amp;$B$2&amp;"月"&amp;"'!A:AZ"),23,24+2)),"")</f>
        <v/>
      </c>
      <c r="F189" s="59" t="str">
        <f ca="1">IFERROR(IF(INDEX(INDIRECT("'"&amp;$B$2&amp;"月"&amp;"'!A:AZ"),23,24+3)="","",INDEX(INDIRECT("'"&amp;$B$2&amp;"月"&amp;"'!A:AZ"),23,24+3)),"")</f>
        <v/>
      </c>
      <c r="G189" s="57" t="str">
        <f ca="1">IFERROR(IF(INDEX(INDIRECT("'"&amp;$B$2&amp;"月"&amp;"'!A:AZ"),23,24+4)="","",INDEX(INDIRECT("'"&amp;$B$2&amp;"月"&amp;"'!A:AZ"),23,24+4)),"")</f>
        <v/>
      </c>
      <c r="H189" s="57"/>
    </row>
    <row r="190" spans="1:8" ht="13.5" customHeight="1">
      <c r="A190" s="57">
        <f>IF(DAY(DATE(対象年度,$B$2,21))&lt;&gt;21,"",21)</f>
        <v>21</v>
      </c>
      <c r="B190" s="57" t="str">
        <f>IF(DAY(DATE(対象年度,$B$2,21))&lt;&gt;21,"",CHOOSE(WEEKDAY(DATE(対象年度,$B$2,21),2),"月","火","水","木","金","土","日"))</f>
        <v>水</v>
      </c>
      <c r="C190" s="57" t="str">
        <f ca="1">IFERROR(IF(INDEX(INDIRECT("'"&amp;$B$2&amp;"月"&amp;"'!A:AZ"),24,24+0)="","",INDEX(INDIRECT("'"&amp;$B$2&amp;"月"&amp;"'!A:AZ"),24,24+0)),"")</f>
        <v>新宿</v>
      </c>
      <c r="D190" s="58" t="str">
        <f ca="1">IFERROR(IF(INDEX(INDIRECT("'"&amp;$B$2&amp;"月"&amp;"'!A:AZ"),24,24+1)="","",INDEX(INDIRECT("'"&amp;$B$2&amp;"月"&amp;"'!A:AZ"),24,24+1)),"")</f>
        <v/>
      </c>
      <c r="E190" s="57" t="str">
        <f ca="1">IFERROR(IF(INDEX(INDIRECT("'"&amp;$B$2&amp;"月"&amp;"'!A:AZ"),24,24+2)="","",INDEX(INDIRECT("'"&amp;$B$2&amp;"月"&amp;"'!A:AZ"),24,24+2)),"")</f>
        <v>○</v>
      </c>
      <c r="F190" s="59" t="str">
        <f ca="1">IFERROR(IF(INDEX(INDIRECT("'"&amp;$B$2&amp;"月"&amp;"'!A:AZ"),24,24+3)="","",INDEX(INDIRECT("'"&amp;$B$2&amp;"月"&amp;"'!A:AZ"),24,24+3)),"")</f>
        <v/>
      </c>
      <c r="G190" s="57" t="str">
        <f ca="1">IFERROR(IF(INDEX(INDIRECT("'"&amp;$B$2&amp;"月"&amp;"'!A:AZ"),24,24+4)="","",INDEX(INDIRECT("'"&amp;$B$2&amp;"月"&amp;"'!A:AZ"),24,24+4)),"")</f>
        <v/>
      </c>
      <c r="H190" s="57"/>
    </row>
    <row r="191" spans="1:8" ht="13.5" customHeight="1">
      <c r="A191" s="57">
        <f>IF(DAY(DATE(対象年度,$B$2,22))&lt;&gt;22,"",22)</f>
        <v>22</v>
      </c>
      <c r="B191" s="57" t="str">
        <f>IF(DAY(DATE(対象年度,$B$2,22))&lt;&gt;22,"",CHOOSE(WEEKDAY(DATE(対象年度,$B$2,22),2),"月","火","水","木","金","土","日"))</f>
        <v>木</v>
      </c>
      <c r="C191" s="57" t="str">
        <f ca="1">IFERROR(IF(INDEX(INDIRECT("'"&amp;$B$2&amp;"月"&amp;"'!A:AZ"),25,24+0)="","",INDEX(INDIRECT("'"&amp;$B$2&amp;"月"&amp;"'!A:AZ"),25,24+0)),"")</f>
        <v>新宿</v>
      </c>
      <c r="D191" s="58" t="str">
        <f ca="1">IFERROR(IF(INDEX(INDIRECT("'"&amp;$B$2&amp;"月"&amp;"'!A:AZ"),25,24+1)="","",INDEX(INDIRECT("'"&amp;$B$2&amp;"月"&amp;"'!A:AZ"),25,24+1)),"")</f>
        <v/>
      </c>
      <c r="E191" s="57" t="str">
        <f ca="1">IFERROR(IF(INDEX(INDIRECT("'"&amp;$B$2&amp;"月"&amp;"'!A:AZ"),25,24+2)="","",INDEX(INDIRECT("'"&amp;$B$2&amp;"月"&amp;"'!A:AZ"),25,24+2)),"")</f>
        <v>○</v>
      </c>
      <c r="F191" s="59" t="str">
        <f ca="1">IFERROR(IF(INDEX(INDIRECT("'"&amp;$B$2&amp;"月"&amp;"'!A:AZ"),25,24+3)="","",INDEX(INDIRECT("'"&amp;$B$2&amp;"月"&amp;"'!A:AZ"),25,24+3)),"")</f>
        <v/>
      </c>
      <c r="G191" s="57" t="str">
        <f ca="1">IFERROR(IF(INDEX(INDIRECT("'"&amp;$B$2&amp;"月"&amp;"'!A:AZ"),25,24+4)="","",INDEX(INDIRECT("'"&amp;$B$2&amp;"月"&amp;"'!A:AZ"),25,24+4)),"")</f>
        <v/>
      </c>
      <c r="H191" s="57"/>
    </row>
    <row r="192" spans="1:8" ht="13.5" customHeight="1">
      <c r="A192" s="57">
        <f>IF(DAY(DATE(対象年度,$B$2,23))&lt;&gt;23,"",23)</f>
        <v>23</v>
      </c>
      <c r="B192" s="57" t="str">
        <f>IF(DAY(DATE(対象年度,$B$2,23))&lt;&gt;23,"",CHOOSE(WEEKDAY(DATE(対象年度,$B$2,23),2),"月","火","水","木","金","土","日"))</f>
        <v>金</v>
      </c>
      <c r="C192" s="57" t="str">
        <f ca="1">IFERROR(IF(INDEX(INDIRECT("'"&amp;$B$2&amp;"月"&amp;"'!A:AZ"),26,24+0)="","",INDEX(INDIRECT("'"&amp;$B$2&amp;"月"&amp;"'!A:AZ"),26,24+0)),"")</f>
        <v>新宿</v>
      </c>
      <c r="D192" s="58" t="str">
        <f ca="1">IFERROR(IF(INDEX(INDIRECT("'"&amp;$B$2&amp;"月"&amp;"'!A:AZ"),26,24+1)="","",INDEX(INDIRECT("'"&amp;$B$2&amp;"月"&amp;"'!A:AZ"),26,24+1)),"")</f>
        <v/>
      </c>
      <c r="E192" s="57" t="str">
        <f ca="1">IFERROR(IF(INDEX(INDIRECT("'"&amp;$B$2&amp;"月"&amp;"'!A:AZ"),26,24+2)="","",INDEX(INDIRECT("'"&amp;$B$2&amp;"月"&amp;"'!A:AZ"),26,24+2)),"")</f>
        <v>○</v>
      </c>
      <c r="F192" s="59" t="str">
        <f ca="1">IFERROR(IF(INDEX(INDIRECT("'"&amp;$B$2&amp;"月"&amp;"'!A:AZ"),26,24+3)="","",INDEX(INDIRECT("'"&amp;$B$2&amp;"月"&amp;"'!A:AZ"),26,24+3)),"")</f>
        <v/>
      </c>
      <c r="G192" s="57" t="str">
        <f ca="1">IFERROR(IF(INDEX(INDIRECT("'"&amp;$B$2&amp;"月"&amp;"'!A:AZ"),26,24+4)="","",INDEX(INDIRECT("'"&amp;$B$2&amp;"月"&amp;"'!A:AZ"),26,24+4)),"")</f>
        <v/>
      </c>
      <c r="H192" s="57"/>
    </row>
    <row r="193" spans="1:8" ht="13.5" customHeight="1">
      <c r="A193" s="57">
        <f>IF(DAY(DATE(対象年度,$B$2,24))&lt;&gt;24,"",24)</f>
        <v>24</v>
      </c>
      <c r="B193" s="57" t="str">
        <f>IF(DAY(DATE(対象年度,$B$2,24))&lt;&gt;24,"",CHOOSE(WEEKDAY(DATE(対象年度,$B$2,24),2),"月","火","水","木","金","土","日"))</f>
        <v>土</v>
      </c>
      <c r="C193" s="57" t="str">
        <f ca="1">IFERROR(IF(INDEX(INDIRECT("'"&amp;$B$2&amp;"月"&amp;"'!A:AZ"),27,24+0)="","",INDEX(INDIRECT("'"&amp;$B$2&amp;"月"&amp;"'!A:AZ"),27,24+0)),"")</f>
        <v>新宿</v>
      </c>
      <c r="D193" s="58" t="str">
        <f ca="1">IFERROR(IF(INDEX(INDIRECT("'"&amp;$B$2&amp;"月"&amp;"'!A:AZ"),27,24+1)="","",INDEX(INDIRECT("'"&amp;$B$2&amp;"月"&amp;"'!A:AZ"),27,24+1)),"")</f>
        <v/>
      </c>
      <c r="E193" s="57" t="str">
        <f ca="1">IFERROR(IF(INDEX(INDIRECT("'"&amp;$B$2&amp;"月"&amp;"'!A:AZ"),27,24+2)="","",INDEX(INDIRECT("'"&amp;$B$2&amp;"月"&amp;"'!A:AZ"),27,24+2)),"")</f>
        <v>○</v>
      </c>
      <c r="F193" s="59" t="str">
        <f ca="1">IFERROR(IF(INDEX(INDIRECT("'"&amp;$B$2&amp;"月"&amp;"'!A:AZ"),27,24+3)="","",INDEX(INDIRECT("'"&amp;$B$2&amp;"月"&amp;"'!A:AZ"),27,24+3)),"")</f>
        <v/>
      </c>
      <c r="G193" s="57" t="str">
        <f ca="1">IFERROR(IF(INDEX(INDIRECT("'"&amp;$B$2&amp;"月"&amp;"'!A:AZ"),27,24+4)="","",INDEX(INDIRECT("'"&amp;$B$2&amp;"月"&amp;"'!A:AZ"),27,24+4)),"")</f>
        <v/>
      </c>
      <c r="H193" s="57"/>
    </row>
    <row r="194" spans="1:8" ht="13.5" customHeight="1">
      <c r="A194" s="57">
        <f>IF(DAY(DATE(対象年度,$B$2,25))&lt;&gt;25,"",25)</f>
        <v>25</v>
      </c>
      <c r="B194" s="57" t="str">
        <f>IF(DAY(DATE(対象年度,$B$2,25))&lt;&gt;25,"",CHOOSE(WEEKDAY(DATE(対象年度,$B$2,25),2),"月","火","水","木","金","土","日"))</f>
        <v>日</v>
      </c>
      <c r="C194" s="57" t="str">
        <f ca="1">IFERROR(IF(INDEX(INDIRECT("'"&amp;$B$2&amp;"月"&amp;"'!A:AZ"),28,24+0)="","",INDEX(INDIRECT("'"&amp;$B$2&amp;"月"&amp;"'!A:AZ"),28,24+0)),"")</f>
        <v/>
      </c>
      <c r="D194" s="58" t="str">
        <f ca="1">IFERROR(IF(INDEX(INDIRECT("'"&amp;$B$2&amp;"月"&amp;"'!A:AZ"),28,24+1)="","",INDEX(INDIRECT("'"&amp;$B$2&amp;"月"&amp;"'!A:AZ"),28,24+1)),"")</f>
        <v/>
      </c>
      <c r="E194" s="57" t="str">
        <f ca="1">IFERROR(IF(INDEX(INDIRECT("'"&amp;$B$2&amp;"月"&amp;"'!A:AZ"),28,24+2)="","",INDEX(INDIRECT("'"&amp;$B$2&amp;"月"&amp;"'!A:AZ"),28,24+2)),"")</f>
        <v/>
      </c>
      <c r="F194" s="59" t="str">
        <f ca="1">IFERROR(IF(INDEX(INDIRECT("'"&amp;$B$2&amp;"月"&amp;"'!A:AZ"),28,24+3)="","",INDEX(INDIRECT("'"&amp;$B$2&amp;"月"&amp;"'!A:AZ"),28,24+3)),"")</f>
        <v/>
      </c>
      <c r="G194" s="57" t="str">
        <f ca="1">IFERROR(IF(INDEX(INDIRECT("'"&amp;$B$2&amp;"月"&amp;"'!A:AZ"),28,24+4)="","",INDEX(INDIRECT("'"&amp;$B$2&amp;"月"&amp;"'!A:AZ"),28,24+4)),"")</f>
        <v/>
      </c>
      <c r="H194" s="57"/>
    </row>
    <row r="195" spans="1:8" ht="13.5" customHeight="1">
      <c r="A195" s="57">
        <f>IF(DAY(DATE(対象年度,$B$2,26))&lt;&gt;26,"",26)</f>
        <v>26</v>
      </c>
      <c r="B195" s="57" t="str">
        <f>IF(DAY(DATE(対象年度,$B$2,26))&lt;&gt;26,"",CHOOSE(WEEKDAY(DATE(対象年度,$B$2,26),2),"月","火","水","木","金","土","日"))</f>
        <v>月</v>
      </c>
      <c r="C195" s="57" t="str">
        <f ca="1">IFERROR(IF(INDEX(INDIRECT("'"&amp;$B$2&amp;"月"&amp;"'!A:AZ"),29,24+0)="","",INDEX(INDIRECT("'"&amp;$B$2&amp;"月"&amp;"'!A:AZ"),29,24+0)),"")</f>
        <v>新宿</v>
      </c>
      <c r="D195" s="58" t="str">
        <f ca="1">IFERROR(IF(INDEX(INDIRECT("'"&amp;$B$2&amp;"月"&amp;"'!A:AZ"),29,24+1)="","",INDEX(INDIRECT("'"&amp;$B$2&amp;"月"&amp;"'!A:AZ"),29,24+1)),"")</f>
        <v/>
      </c>
      <c r="E195" s="57" t="str">
        <f ca="1">IFERROR(IF(INDEX(INDIRECT("'"&amp;$B$2&amp;"月"&amp;"'!A:AZ"),29,24+2)="","",INDEX(INDIRECT("'"&amp;$B$2&amp;"月"&amp;"'!A:AZ"),29,24+2)),"")</f>
        <v>○</v>
      </c>
      <c r="F195" s="59" t="str">
        <f ca="1">IFERROR(IF(INDEX(INDIRECT("'"&amp;$B$2&amp;"月"&amp;"'!A:AZ"),29,24+3)="","",INDEX(INDIRECT("'"&amp;$B$2&amp;"月"&amp;"'!A:AZ"),29,24+3)),"")</f>
        <v/>
      </c>
      <c r="G195" s="57" t="str">
        <f ca="1">IFERROR(IF(INDEX(INDIRECT("'"&amp;$B$2&amp;"月"&amp;"'!A:AZ"),29,24+4)="","",INDEX(INDIRECT("'"&amp;$B$2&amp;"月"&amp;"'!A:AZ"),29,24+4)),"")</f>
        <v/>
      </c>
      <c r="H195" s="57"/>
    </row>
    <row r="196" spans="1:8" ht="13.5" customHeight="1">
      <c r="A196" s="57">
        <f>IF(DAY(DATE(対象年度,$B$2,27))&lt;&gt;27,"",27)</f>
        <v>27</v>
      </c>
      <c r="B196" s="57" t="str">
        <f>IF(DAY(DATE(対象年度,$B$2,27))&lt;&gt;27,"",CHOOSE(WEEKDAY(DATE(対象年度,$B$2,27),2),"月","火","水","木","金","土","日"))</f>
        <v>火</v>
      </c>
      <c r="C196" s="57" t="str">
        <f ca="1">IFERROR(IF(INDEX(INDIRECT("'"&amp;$B$2&amp;"月"&amp;"'!A:AZ"),30,24+0)="","",INDEX(INDIRECT("'"&amp;$B$2&amp;"月"&amp;"'!A:AZ"),30,24+0)),"")</f>
        <v>新宿</v>
      </c>
      <c r="D196" s="58" t="str">
        <f ca="1">IFERROR(IF(INDEX(INDIRECT("'"&amp;$B$2&amp;"月"&amp;"'!A:AZ"),30,24+1)="","",INDEX(INDIRECT("'"&amp;$B$2&amp;"月"&amp;"'!A:AZ"),30,24+1)),"")</f>
        <v/>
      </c>
      <c r="E196" s="57" t="str">
        <f ca="1">IFERROR(IF(INDEX(INDIRECT("'"&amp;$B$2&amp;"月"&amp;"'!A:AZ"),30,24+2)="","",INDEX(INDIRECT("'"&amp;$B$2&amp;"月"&amp;"'!A:AZ"),30,24+2)),"")</f>
        <v>○</v>
      </c>
      <c r="F196" s="59" t="str">
        <f ca="1">IFERROR(IF(INDEX(INDIRECT("'"&amp;$B$2&amp;"月"&amp;"'!A:AZ"),30,24+3)="","",INDEX(INDIRECT("'"&amp;$B$2&amp;"月"&amp;"'!A:AZ"),30,24+3)),"")</f>
        <v/>
      </c>
      <c r="G196" s="57" t="str">
        <f ca="1">IFERROR(IF(INDEX(INDIRECT("'"&amp;$B$2&amp;"月"&amp;"'!A:AZ"),30,24+4)="","",INDEX(INDIRECT("'"&amp;$B$2&amp;"月"&amp;"'!A:AZ"),30,24+4)),"")</f>
        <v/>
      </c>
      <c r="H196" s="57"/>
    </row>
    <row r="197" spans="1:8" ht="13.5" customHeight="1">
      <c r="A197" s="57">
        <f>IF(DAY(DATE(対象年度,$B$2,28))&lt;&gt;28,"",28)</f>
        <v>28</v>
      </c>
      <c r="B197" s="57" t="str">
        <f>IF(DAY(DATE(対象年度,$B$2,28))&lt;&gt;28,"",CHOOSE(WEEKDAY(DATE(対象年度,$B$2,28),2),"月","火","水","木","金","土","日"))</f>
        <v>水</v>
      </c>
      <c r="C197" s="57" t="str">
        <f ca="1">IFERROR(IF(INDEX(INDIRECT("'"&amp;$B$2&amp;"月"&amp;"'!A:AZ"),31,24+0)="","",INDEX(INDIRECT("'"&amp;$B$2&amp;"月"&amp;"'!A:AZ"),31,24+0)),"")</f>
        <v>新宿</v>
      </c>
      <c r="D197" s="58" t="str">
        <f ca="1">IFERROR(IF(INDEX(INDIRECT("'"&amp;$B$2&amp;"月"&amp;"'!A:AZ"),31,24+1)="","",INDEX(INDIRECT("'"&amp;$B$2&amp;"月"&amp;"'!A:AZ"),31,24+1)),"")</f>
        <v/>
      </c>
      <c r="E197" s="57" t="str">
        <f ca="1">IFERROR(IF(INDEX(INDIRECT("'"&amp;$B$2&amp;"月"&amp;"'!A:AZ"),31,24+2)="","",INDEX(INDIRECT("'"&amp;$B$2&amp;"月"&amp;"'!A:AZ"),31,24+2)),"")</f>
        <v>○</v>
      </c>
      <c r="F197" s="59" t="str">
        <f ca="1">IFERROR(IF(INDEX(INDIRECT("'"&amp;$B$2&amp;"月"&amp;"'!A:AZ"),31,24+3)="","",INDEX(INDIRECT("'"&amp;$B$2&amp;"月"&amp;"'!A:AZ"),31,24+3)),"")</f>
        <v/>
      </c>
      <c r="G197" s="57" t="str">
        <f ca="1">IFERROR(IF(INDEX(INDIRECT("'"&amp;$B$2&amp;"月"&amp;"'!A:AZ"),31,24+4)="","",INDEX(INDIRECT("'"&amp;$B$2&amp;"月"&amp;"'!A:AZ"),31,24+4)),"")</f>
        <v/>
      </c>
      <c r="H197" s="57"/>
    </row>
    <row r="198" spans="1:8" ht="13.5" customHeight="1">
      <c r="A198" s="57">
        <f>IF(DAY(DATE(対象年度,$B$2,29))&lt;&gt;29,"",29)</f>
        <v>29</v>
      </c>
      <c r="B198" s="57" t="str">
        <f>IF(DAY(DATE(対象年度,$B$2,29))&lt;&gt;29,"",CHOOSE(WEEKDAY(DATE(対象年度,$B$2,29),2),"月","火","水","木","金","土","日"))</f>
        <v>木</v>
      </c>
      <c r="C198" s="57" t="str">
        <f ca="1">IFERROR(IF(INDEX(INDIRECT("'"&amp;$B$2&amp;"月"&amp;"'!A:AZ"),32,24+0)="","",INDEX(INDIRECT("'"&amp;$B$2&amp;"月"&amp;"'!A:AZ"),32,24+0)),"")</f>
        <v>新宿</v>
      </c>
      <c r="D198" s="58" t="str">
        <f ca="1">IFERROR(IF(INDEX(INDIRECT("'"&amp;$B$2&amp;"月"&amp;"'!A:AZ"),32,24+1)="","",INDEX(INDIRECT("'"&amp;$B$2&amp;"月"&amp;"'!A:AZ"),32,24+1)),"")</f>
        <v/>
      </c>
      <c r="E198" s="57" t="str">
        <f ca="1">IFERROR(IF(INDEX(INDIRECT("'"&amp;$B$2&amp;"月"&amp;"'!A:AZ"),32,24+2)="","",INDEX(INDIRECT("'"&amp;$B$2&amp;"月"&amp;"'!A:AZ"),32,24+2)),"")</f>
        <v>○</v>
      </c>
      <c r="F198" s="59" t="str">
        <f ca="1">IFERROR(IF(INDEX(INDIRECT("'"&amp;$B$2&amp;"月"&amp;"'!A:AZ"),32,24+3)="","",INDEX(INDIRECT("'"&amp;$B$2&amp;"月"&amp;"'!A:AZ"),32,24+3)),"")</f>
        <v/>
      </c>
      <c r="G198" s="57" t="str">
        <f ca="1">IFERROR(IF(INDEX(INDIRECT("'"&amp;$B$2&amp;"月"&amp;"'!A:AZ"),32,24+4)="","",INDEX(INDIRECT("'"&amp;$B$2&amp;"月"&amp;"'!A:AZ"),32,24+4)),"")</f>
        <v/>
      </c>
      <c r="H198" s="57"/>
    </row>
    <row r="199" spans="1:8" ht="13.5" customHeight="1">
      <c r="A199" s="57">
        <f>IF(DAY(DATE(対象年度,$B$2,30))&lt;&gt;30,"",30)</f>
        <v>30</v>
      </c>
      <c r="B199" s="57" t="str">
        <f>IF(DAY(DATE(対象年度,$B$2,30))&lt;&gt;30,"",CHOOSE(WEEKDAY(DATE(対象年度,$B$2,30),2),"月","火","水","木","金","土","日"))</f>
        <v>金</v>
      </c>
      <c r="C199" s="57" t="str">
        <f ca="1">IFERROR(IF(INDEX(INDIRECT("'"&amp;$B$2&amp;"月"&amp;"'!A:AZ"),33,24+0)="","",INDEX(INDIRECT("'"&amp;$B$2&amp;"月"&amp;"'!A:AZ"),33,24+0)),"")</f>
        <v>新宿</v>
      </c>
      <c r="D199" s="58" t="str">
        <f ca="1">IFERROR(IF(INDEX(INDIRECT("'"&amp;$B$2&amp;"月"&amp;"'!A:AZ"),33,24+1)="","",INDEX(INDIRECT("'"&amp;$B$2&amp;"月"&amp;"'!A:AZ"),33,24+1)),"")</f>
        <v/>
      </c>
      <c r="E199" s="57" t="str">
        <f ca="1">IFERROR(IF(INDEX(INDIRECT("'"&amp;$B$2&amp;"月"&amp;"'!A:AZ"),33,24+2)="","",INDEX(INDIRECT("'"&amp;$B$2&amp;"月"&amp;"'!A:AZ"),33,24+2)),"")</f>
        <v>○</v>
      </c>
      <c r="F199" s="59" t="str">
        <f ca="1">IFERROR(IF(INDEX(INDIRECT("'"&amp;$B$2&amp;"月"&amp;"'!A:AZ"),33,24+3)="","",INDEX(INDIRECT("'"&amp;$B$2&amp;"月"&amp;"'!A:AZ"),33,24+3)),"")</f>
        <v/>
      </c>
      <c r="G199" s="57" t="str">
        <f ca="1">IFERROR(IF(INDEX(INDIRECT("'"&amp;$B$2&amp;"月"&amp;"'!A:AZ"),33,24+4)="","",INDEX(INDIRECT("'"&amp;$B$2&amp;"月"&amp;"'!A:AZ"),33,24+4)),"")</f>
        <v/>
      </c>
      <c r="H199" s="57"/>
    </row>
    <row r="200" spans="1:8" ht="13.5" customHeight="1">
      <c r="A200" s="57">
        <f>IF(DAY(DATE(対象年度,$B$2,31))&lt;&gt;31,"",31)</f>
        <v>31</v>
      </c>
      <c r="B200" s="57" t="str">
        <f>IF(DAY(DATE(対象年度,$B$2,31))&lt;&gt;31,"",CHOOSE(WEEKDAY(DATE(対象年度,$B$2,31),2),"月","火","水","木","金","土","日"))</f>
        <v>土</v>
      </c>
      <c r="C200" s="57" t="str">
        <f ca="1">IFERROR(IF(INDEX(INDIRECT("'"&amp;$B$2&amp;"月"&amp;"'!A:AZ"),34,24+0)="","",INDEX(INDIRECT("'"&amp;$B$2&amp;"月"&amp;"'!A:AZ"),34,24+0)),"")</f>
        <v>新宿</v>
      </c>
      <c r="D200" s="58" t="str">
        <f ca="1">IFERROR(IF(INDEX(INDIRECT("'"&amp;$B$2&amp;"月"&amp;"'!A:AZ"),34,24+1)="","",INDEX(INDIRECT("'"&amp;$B$2&amp;"月"&amp;"'!A:AZ"),34,24+1)),"")</f>
        <v/>
      </c>
      <c r="E200" s="57" t="str">
        <f ca="1">IFERROR(IF(INDEX(INDIRECT("'"&amp;$B$2&amp;"月"&amp;"'!A:AZ"),34,24+2)="","",INDEX(INDIRECT("'"&amp;$B$2&amp;"月"&amp;"'!A:AZ"),34,24+2)),"")</f>
        <v>○</v>
      </c>
      <c r="F200" s="59" t="str">
        <f ca="1">IFERROR(IF(INDEX(INDIRECT("'"&amp;$B$2&amp;"月"&amp;"'!A:AZ"),34,24+3)="","",INDEX(INDIRECT("'"&amp;$B$2&amp;"月"&amp;"'!A:AZ"),34,24+3)),"")</f>
        <v/>
      </c>
      <c r="G200" s="57" t="str">
        <f ca="1">IFERROR(IF(INDEX(INDIRECT("'"&amp;$B$2&amp;"月"&amp;"'!A:AZ"),34,24+4)="","",INDEX(INDIRECT("'"&amp;$B$2&amp;"月"&amp;"'!A:AZ"),34,24+4)),"")</f>
        <v/>
      </c>
      <c r="H200" s="57"/>
    </row>
    <row r="201" spans="1:8" ht="21.75" customHeight="1">
      <c r="A201" s="112" t="s">
        <v>87</v>
      </c>
      <c r="B201" s="112"/>
      <c r="C201" s="61" t="s">
        <v>71</v>
      </c>
      <c r="D201" s="62">
        <f ca="1">IFERROR(INDEX(INDIRECT("'"&amp;$B$2&amp;"月"&amp;"'!A:AZ"),35,24),0)</f>
        <v>10</v>
      </c>
      <c r="E201" s="63" t="s">
        <v>72</v>
      </c>
      <c r="F201" s="64">
        <f ca="1">IFERROR(INDEX(INDIRECT("'"&amp;$B$2&amp;"月"&amp;"'!A:AZ"),36,24),0)</f>
        <v>0</v>
      </c>
      <c r="G201" s="61" t="s">
        <v>73</v>
      </c>
      <c r="H201" s="62">
        <f ca="1">IFERROR(INDEX(INDIRECT("'"&amp;$B$2&amp;"月"&amp;"'!A:AZ"),38,24),0)</f>
        <v>0</v>
      </c>
    </row>
    <row r="202" spans="1:8" ht="24" customHeight="1">
      <c r="A202" s="113"/>
      <c r="B202" s="113"/>
      <c r="C202" s="65" t="s">
        <v>76</v>
      </c>
      <c r="D202" s="66">
        <f ca="1">IFERROR(INDEX(INDIRECT("'"&amp;$B$2&amp;"月"&amp;"'!A:AZ"),37,24),0)</f>
        <v>10</v>
      </c>
      <c r="E202" s="67" t="s">
        <v>64</v>
      </c>
      <c r="F202" s="68">
        <f ca="1">IFERROR(INDEX(INDIRECT("'"&amp;$B$2&amp;"月"&amp;"'!A:AZ"),39,24),0)</f>
        <v>0</v>
      </c>
      <c r="G202" s="69" t="s">
        <v>65</v>
      </c>
      <c r="H202" s="70">
        <f ca="1">IFERROR(INDEX(INDIRECT("'"&amp;$B$2&amp;"月"&amp;"'!A:AZ"),40,24),0)</f>
        <v>0</v>
      </c>
    </row>
    <row r="204" spans="1:8" ht="27.75" customHeight="1">
      <c r="A204" s="105" t="s">
        <v>78</v>
      </c>
      <c r="B204" s="105"/>
      <c r="C204" s="105"/>
      <c r="D204" s="105"/>
      <c r="E204" s="105"/>
      <c r="F204" s="105"/>
      <c r="G204" s="105"/>
      <c r="H204" s="105"/>
    </row>
    <row r="205" spans="1:8" ht="18" customHeight="1">
      <c r="A205" s="114" t="s">
        <v>17</v>
      </c>
      <c r="B205" s="114"/>
      <c r="C205" s="114"/>
      <c r="D205" s="114"/>
      <c r="E205" s="114"/>
      <c r="F205" s="114"/>
      <c r="G205" s="114"/>
      <c r="H205" s="114"/>
    </row>
    <row r="206" spans="1:8" ht="27.75" customHeight="1">
      <c r="A206" s="49" t="s">
        <v>79</v>
      </c>
      <c r="B206" s="115" t="str">
        <f>対象年度&amp;"年 "&amp;$B$2&amp;"月"</f>
        <v>2026年 1月</v>
      </c>
      <c r="C206" s="115"/>
      <c r="D206" s="49" t="s">
        <v>80</v>
      </c>
      <c r="E206" s="116" t="str">
        <f>IFERROR(従業員マスタ!$C$9,"")</f>
        <v>電工　五郎</v>
      </c>
      <c r="F206" s="116"/>
      <c r="G206" s="116"/>
      <c r="H206" s="116"/>
    </row>
    <row r="207" spans="1:8" ht="19.5" customHeight="1">
      <c r="A207" s="73" t="s">
        <v>90</v>
      </c>
      <c r="B207" s="53" t="s">
        <v>91</v>
      </c>
      <c r="C207" s="120" t="s">
        <v>84</v>
      </c>
      <c r="D207" s="120"/>
      <c r="E207" s="120" t="s">
        <v>85</v>
      </c>
      <c r="F207" s="120"/>
      <c r="G207" s="117" t="s">
        <v>86</v>
      </c>
      <c r="H207" s="117"/>
    </row>
    <row r="208" spans="1:8" ht="43.5" customHeight="1">
      <c r="A208" s="74"/>
      <c r="B208" s="54"/>
      <c r="C208" s="111"/>
      <c r="D208" s="111"/>
      <c r="E208" s="111"/>
      <c r="F208" s="111"/>
      <c r="G208" s="111"/>
      <c r="H208" s="111"/>
    </row>
    <row r="209" spans="1:8" ht="19.5" customHeight="1">
      <c r="A209" s="55" t="s">
        <v>66</v>
      </c>
      <c r="B209" s="55" t="s">
        <v>67</v>
      </c>
      <c r="C209" s="55" t="s">
        <v>69</v>
      </c>
      <c r="D209" s="56" t="s">
        <v>70</v>
      </c>
      <c r="E209" s="55" t="s">
        <v>71</v>
      </c>
      <c r="F209" s="55" t="s">
        <v>72</v>
      </c>
      <c r="G209" s="55" t="s">
        <v>73</v>
      </c>
      <c r="H209" s="55" t="s">
        <v>57</v>
      </c>
    </row>
    <row r="210" spans="1:8" ht="13.5" customHeight="1">
      <c r="A210" s="57">
        <f>IF(DAY(DATE(対象年度,$B$2,1))&lt;&gt;1,"",1)</f>
        <v>1</v>
      </c>
      <c r="B210" s="57" t="str">
        <f>IF(DAY(DATE(対象年度,$B$2,1))&lt;&gt;1,"",CHOOSE(WEEKDAY(DATE(対象年度,$B$2,1),2),"月","火","水","木","金","土","日"))</f>
        <v>木</v>
      </c>
      <c r="C210" s="57" t="str">
        <f ca="1">IFERROR(IF(INDEX(INDIRECT("'"&amp;$B$2&amp;"月"&amp;"'!A:AZ"),4,29+0)="","",INDEX(INDIRECT("'"&amp;$B$2&amp;"月"&amp;"'!A:AZ"),4,29+0)),"")</f>
        <v/>
      </c>
      <c r="D210" s="58" t="str">
        <f ca="1">IFERROR(IF(INDEX(INDIRECT("'"&amp;$B$2&amp;"月"&amp;"'!A:AZ"),4,29+1)="","",INDEX(INDIRECT("'"&amp;$B$2&amp;"月"&amp;"'!A:AZ"),4,29+1)),"")</f>
        <v/>
      </c>
      <c r="E210" s="57" t="str">
        <f ca="1">IFERROR(IF(INDEX(INDIRECT("'"&amp;$B$2&amp;"月"&amp;"'!A:AZ"),4,29+2)="","",INDEX(INDIRECT("'"&amp;$B$2&amp;"月"&amp;"'!A:AZ"),4,29+2)),"")</f>
        <v/>
      </c>
      <c r="F210" s="59" t="str">
        <f ca="1">IFERROR(IF(INDEX(INDIRECT("'"&amp;$B$2&amp;"月"&amp;"'!A:AZ"),4,29+3)="","",INDEX(INDIRECT("'"&amp;$B$2&amp;"月"&amp;"'!A:AZ"),4,29+3)),"")</f>
        <v/>
      </c>
      <c r="G210" s="57" t="str">
        <f ca="1">IFERROR(IF(INDEX(INDIRECT("'"&amp;$B$2&amp;"月"&amp;"'!A:AZ"),4,29+4)="","",INDEX(INDIRECT("'"&amp;$B$2&amp;"月"&amp;"'!A:AZ"),4,29+4)),"")</f>
        <v/>
      </c>
      <c r="H210" s="57"/>
    </row>
    <row r="211" spans="1:8" ht="13.5" customHeight="1">
      <c r="A211" s="57">
        <f>IF(DAY(DATE(対象年度,$B$2,2))&lt;&gt;2,"",2)</f>
        <v>2</v>
      </c>
      <c r="B211" s="57" t="str">
        <f>IF(DAY(DATE(対象年度,$B$2,2))&lt;&gt;2,"",CHOOSE(WEEKDAY(DATE(対象年度,$B$2,2),2),"月","火","水","木","金","土","日"))</f>
        <v>金</v>
      </c>
      <c r="C211" s="57" t="str">
        <f ca="1">IFERROR(IF(INDEX(INDIRECT("'"&amp;$B$2&amp;"月"&amp;"'!A:AZ"),5,29+0)="","",INDEX(INDIRECT("'"&amp;$B$2&amp;"月"&amp;"'!A:AZ"),5,29+0)),"")</f>
        <v/>
      </c>
      <c r="D211" s="58" t="str">
        <f ca="1">IFERROR(IF(INDEX(INDIRECT("'"&amp;$B$2&amp;"月"&amp;"'!A:AZ"),5,29+1)="","",INDEX(INDIRECT("'"&amp;$B$2&amp;"月"&amp;"'!A:AZ"),5,29+1)),"")</f>
        <v/>
      </c>
      <c r="E211" s="57" t="str">
        <f ca="1">IFERROR(IF(INDEX(INDIRECT("'"&amp;$B$2&amp;"月"&amp;"'!A:AZ"),5,29+2)="","",INDEX(INDIRECT("'"&amp;$B$2&amp;"月"&amp;"'!A:AZ"),5,29+2)),"")</f>
        <v/>
      </c>
      <c r="F211" s="59" t="str">
        <f ca="1">IFERROR(IF(INDEX(INDIRECT("'"&amp;$B$2&amp;"月"&amp;"'!A:AZ"),5,29+3)="","",INDEX(INDIRECT("'"&amp;$B$2&amp;"月"&amp;"'!A:AZ"),5,29+3)),"")</f>
        <v/>
      </c>
      <c r="G211" s="57" t="str">
        <f ca="1">IFERROR(IF(INDEX(INDIRECT("'"&amp;$B$2&amp;"月"&amp;"'!A:AZ"),5,29+4)="","",INDEX(INDIRECT("'"&amp;$B$2&amp;"月"&amp;"'!A:AZ"),5,29+4)),"")</f>
        <v/>
      </c>
      <c r="H211" s="57"/>
    </row>
    <row r="212" spans="1:8" ht="13.5" customHeight="1">
      <c r="A212" s="57">
        <f>IF(DAY(DATE(対象年度,$B$2,3))&lt;&gt;3,"",3)</f>
        <v>3</v>
      </c>
      <c r="B212" s="57" t="str">
        <f>IF(DAY(DATE(対象年度,$B$2,3))&lt;&gt;3,"",CHOOSE(WEEKDAY(DATE(対象年度,$B$2,3),2),"月","火","水","木","金","土","日"))</f>
        <v>土</v>
      </c>
      <c r="C212" s="57" t="str">
        <f ca="1">IFERROR(IF(INDEX(INDIRECT("'"&amp;$B$2&amp;"月"&amp;"'!A:AZ"),6,29+0)="","",INDEX(INDIRECT("'"&amp;$B$2&amp;"月"&amp;"'!A:AZ"),6,29+0)),"")</f>
        <v/>
      </c>
      <c r="D212" s="58" t="str">
        <f ca="1">IFERROR(IF(INDEX(INDIRECT("'"&amp;$B$2&amp;"月"&amp;"'!A:AZ"),6,29+1)="","",INDEX(INDIRECT("'"&amp;$B$2&amp;"月"&amp;"'!A:AZ"),6,29+1)),"")</f>
        <v/>
      </c>
      <c r="E212" s="57" t="str">
        <f ca="1">IFERROR(IF(INDEX(INDIRECT("'"&amp;$B$2&amp;"月"&amp;"'!A:AZ"),6,29+2)="","",INDEX(INDIRECT("'"&amp;$B$2&amp;"月"&amp;"'!A:AZ"),6,29+2)),"")</f>
        <v/>
      </c>
      <c r="F212" s="59" t="str">
        <f ca="1">IFERROR(IF(INDEX(INDIRECT("'"&amp;$B$2&amp;"月"&amp;"'!A:AZ"),6,29+3)="","",INDEX(INDIRECT("'"&amp;$B$2&amp;"月"&amp;"'!A:AZ"),6,29+3)),"")</f>
        <v/>
      </c>
      <c r="G212" s="57" t="str">
        <f ca="1">IFERROR(IF(INDEX(INDIRECT("'"&amp;$B$2&amp;"月"&amp;"'!A:AZ"),6,29+4)="","",INDEX(INDIRECT("'"&amp;$B$2&amp;"月"&amp;"'!A:AZ"),6,29+4)),"")</f>
        <v/>
      </c>
      <c r="H212" s="57"/>
    </row>
    <row r="213" spans="1:8" ht="13.5" customHeight="1">
      <c r="A213" s="57">
        <f>IF(DAY(DATE(対象年度,$B$2,4))&lt;&gt;4,"",4)</f>
        <v>4</v>
      </c>
      <c r="B213" s="57" t="str">
        <f>IF(DAY(DATE(対象年度,$B$2,4))&lt;&gt;4,"",CHOOSE(WEEKDAY(DATE(対象年度,$B$2,4),2),"月","火","水","木","金","土","日"))</f>
        <v>日</v>
      </c>
      <c r="C213" s="57" t="str">
        <f ca="1">IFERROR(IF(INDEX(INDIRECT("'"&amp;$B$2&amp;"月"&amp;"'!A:AZ"),7,29+0)="","",INDEX(INDIRECT("'"&amp;$B$2&amp;"月"&amp;"'!A:AZ"),7,29+0)),"")</f>
        <v/>
      </c>
      <c r="D213" s="58" t="str">
        <f ca="1">IFERROR(IF(INDEX(INDIRECT("'"&amp;$B$2&amp;"月"&amp;"'!A:AZ"),7,29+1)="","",INDEX(INDIRECT("'"&amp;$B$2&amp;"月"&amp;"'!A:AZ"),7,29+1)),"")</f>
        <v/>
      </c>
      <c r="E213" s="57" t="str">
        <f ca="1">IFERROR(IF(INDEX(INDIRECT("'"&amp;$B$2&amp;"月"&amp;"'!A:AZ"),7,29+2)="","",INDEX(INDIRECT("'"&amp;$B$2&amp;"月"&amp;"'!A:AZ"),7,29+2)),"")</f>
        <v/>
      </c>
      <c r="F213" s="59" t="str">
        <f ca="1">IFERROR(IF(INDEX(INDIRECT("'"&amp;$B$2&amp;"月"&amp;"'!A:AZ"),7,29+3)="","",INDEX(INDIRECT("'"&amp;$B$2&amp;"月"&amp;"'!A:AZ"),7,29+3)),"")</f>
        <v/>
      </c>
      <c r="G213" s="57" t="str">
        <f ca="1">IFERROR(IF(INDEX(INDIRECT("'"&amp;$B$2&amp;"月"&amp;"'!A:AZ"),7,29+4)="","",INDEX(INDIRECT("'"&amp;$B$2&amp;"月"&amp;"'!A:AZ"),7,29+4)),"")</f>
        <v/>
      </c>
      <c r="H213" s="57"/>
    </row>
    <row r="214" spans="1:8" ht="13.5" customHeight="1">
      <c r="A214" s="57">
        <f>IF(DAY(DATE(対象年度,$B$2,5))&lt;&gt;5,"",5)</f>
        <v>5</v>
      </c>
      <c r="B214" s="57" t="str">
        <f>IF(DAY(DATE(対象年度,$B$2,5))&lt;&gt;5,"",CHOOSE(WEEKDAY(DATE(対象年度,$B$2,5),2),"月","火","水","木","金","土","日"))</f>
        <v>月</v>
      </c>
      <c r="C214" s="57" t="str">
        <f ca="1">IFERROR(IF(INDEX(INDIRECT("'"&amp;$B$2&amp;"月"&amp;"'!A:AZ"),8,29+0)="","",INDEX(INDIRECT("'"&amp;$B$2&amp;"月"&amp;"'!A:AZ"),8,29+0)),"")</f>
        <v/>
      </c>
      <c r="D214" s="58" t="str">
        <f ca="1">IFERROR(IF(INDEX(INDIRECT("'"&amp;$B$2&amp;"月"&amp;"'!A:AZ"),8,29+1)="","",INDEX(INDIRECT("'"&amp;$B$2&amp;"月"&amp;"'!A:AZ"),8,29+1)),"")</f>
        <v/>
      </c>
      <c r="E214" s="57" t="str">
        <f ca="1">IFERROR(IF(INDEX(INDIRECT("'"&amp;$B$2&amp;"月"&amp;"'!A:AZ"),8,29+2)="","",INDEX(INDIRECT("'"&amp;$B$2&amp;"月"&amp;"'!A:AZ"),8,29+2)),"")</f>
        <v/>
      </c>
      <c r="F214" s="59" t="str">
        <f ca="1">IFERROR(IF(INDEX(INDIRECT("'"&amp;$B$2&amp;"月"&amp;"'!A:AZ"),8,29+3)="","",INDEX(INDIRECT("'"&amp;$B$2&amp;"月"&amp;"'!A:AZ"),8,29+3)),"")</f>
        <v/>
      </c>
      <c r="G214" s="57" t="str">
        <f ca="1">IFERROR(IF(INDEX(INDIRECT("'"&amp;$B$2&amp;"月"&amp;"'!A:AZ"),8,29+4)="","",INDEX(INDIRECT("'"&amp;$B$2&amp;"月"&amp;"'!A:AZ"),8,29+4)),"")</f>
        <v/>
      </c>
      <c r="H214" s="57"/>
    </row>
    <row r="215" spans="1:8" ht="13.5" customHeight="1">
      <c r="A215" s="57">
        <f>IF(DAY(DATE(対象年度,$B$2,6))&lt;&gt;6,"",6)</f>
        <v>6</v>
      </c>
      <c r="B215" s="57" t="str">
        <f>IF(DAY(DATE(対象年度,$B$2,6))&lt;&gt;6,"",CHOOSE(WEEKDAY(DATE(対象年度,$B$2,6),2),"月","火","水","木","金","土","日"))</f>
        <v>火</v>
      </c>
      <c r="C215" s="57" t="str">
        <f ca="1">IFERROR(IF(INDEX(INDIRECT("'"&amp;$B$2&amp;"月"&amp;"'!A:AZ"),9,29+0)="","",INDEX(INDIRECT("'"&amp;$B$2&amp;"月"&amp;"'!A:AZ"),9,29+0)),"")</f>
        <v/>
      </c>
      <c r="D215" s="58" t="str">
        <f ca="1">IFERROR(IF(INDEX(INDIRECT("'"&amp;$B$2&amp;"月"&amp;"'!A:AZ"),9,29+1)="","",INDEX(INDIRECT("'"&amp;$B$2&amp;"月"&amp;"'!A:AZ"),9,29+1)),"")</f>
        <v/>
      </c>
      <c r="E215" s="57" t="str">
        <f ca="1">IFERROR(IF(INDEX(INDIRECT("'"&amp;$B$2&amp;"月"&amp;"'!A:AZ"),9,29+2)="","",INDEX(INDIRECT("'"&amp;$B$2&amp;"月"&amp;"'!A:AZ"),9,29+2)),"")</f>
        <v/>
      </c>
      <c r="F215" s="59" t="str">
        <f ca="1">IFERROR(IF(INDEX(INDIRECT("'"&amp;$B$2&amp;"月"&amp;"'!A:AZ"),9,29+3)="","",INDEX(INDIRECT("'"&amp;$B$2&amp;"月"&amp;"'!A:AZ"),9,29+3)),"")</f>
        <v/>
      </c>
      <c r="G215" s="57" t="str">
        <f ca="1">IFERROR(IF(INDEX(INDIRECT("'"&amp;$B$2&amp;"月"&amp;"'!A:AZ"),9,29+4)="","",INDEX(INDIRECT("'"&amp;$B$2&amp;"月"&amp;"'!A:AZ"),9,29+4)),"")</f>
        <v/>
      </c>
      <c r="H215" s="57"/>
    </row>
    <row r="216" spans="1:8" ht="13.5" customHeight="1">
      <c r="A216" s="57">
        <f>IF(DAY(DATE(対象年度,$B$2,7))&lt;&gt;7,"",7)</f>
        <v>7</v>
      </c>
      <c r="B216" s="57" t="str">
        <f>IF(DAY(DATE(対象年度,$B$2,7))&lt;&gt;7,"",CHOOSE(WEEKDAY(DATE(対象年度,$B$2,7),2),"月","火","水","木","金","土","日"))</f>
        <v>水</v>
      </c>
      <c r="C216" s="57" t="str">
        <f ca="1">IFERROR(IF(INDEX(INDIRECT("'"&amp;$B$2&amp;"月"&amp;"'!A:AZ"),10,29+0)="","",INDEX(INDIRECT("'"&amp;$B$2&amp;"月"&amp;"'!A:AZ"),10,29+0)),"")</f>
        <v/>
      </c>
      <c r="D216" s="58" t="str">
        <f ca="1">IFERROR(IF(INDEX(INDIRECT("'"&amp;$B$2&amp;"月"&amp;"'!A:AZ"),10,29+1)="","",INDEX(INDIRECT("'"&amp;$B$2&amp;"月"&amp;"'!A:AZ"),10,29+1)),"")</f>
        <v/>
      </c>
      <c r="E216" s="57" t="str">
        <f ca="1">IFERROR(IF(INDEX(INDIRECT("'"&amp;$B$2&amp;"月"&amp;"'!A:AZ"),10,29+2)="","",INDEX(INDIRECT("'"&amp;$B$2&amp;"月"&amp;"'!A:AZ"),10,29+2)),"")</f>
        <v/>
      </c>
      <c r="F216" s="59" t="str">
        <f ca="1">IFERROR(IF(INDEX(INDIRECT("'"&amp;$B$2&amp;"月"&amp;"'!A:AZ"),10,29+3)="","",INDEX(INDIRECT("'"&amp;$B$2&amp;"月"&amp;"'!A:AZ"),10,29+3)),"")</f>
        <v/>
      </c>
      <c r="G216" s="57" t="str">
        <f ca="1">IFERROR(IF(INDEX(INDIRECT("'"&amp;$B$2&amp;"月"&amp;"'!A:AZ"),10,29+4)="","",INDEX(INDIRECT("'"&amp;$B$2&amp;"月"&amp;"'!A:AZ"),10,29+4)),"")</f>
        <v/>
      </c>
      <c r="H216" s="57"/>
    </row>
    <row r="217" spans="1:8" ht="13.5" customHeight="1">
      <c r="A217" s="57">
        <f>IF(DAY(DATE(対象年度,$B$2,8))&lt;&gt;8,"",8)</f>
        <v>8</v>
      </c>
      <c r="B217" s="57" t="str">
        <f>IF(DAY(DATE(対象年度,$B$2,8))&lt;&gt;8,"",CHOOSE(WEEKDAY(DATE(対象年度,$B$2,8),2),"月","火","水","木","金","土","日"))</f>
        <v>木</v>
      </c>
      <c r="C217" s="57" t="str">
        <f ca="1">IFERROR(IF(INDEX(INDIRECT("'"&amp;$B$2&amp;"月"&amp;"'!A:AZ"),11,29+0)="","",INDEX(INDIRECT("'"&amp;$B$2&amp;"月"&amp;"'!A:AZ"),11,29+0)),"")</f>
        <v/>
      </c>
      <c r="D217" s="58" t="str">
        <f ca="1">IFERROR(IF(INDEX(INDIRECT("'"&amp;$B$2&amp;"月"&amp;"'!A:AZ"),11,29+1)="","",INDEX(INDIRECT("'"&amp;$B$2&amp;"月"&amp;"'!A:AZ"),11,29+1)),"")</f>
        <v/>
      </c>
      <c r="E217" s="57" t="str">
        <f ca="1">IFERROR(IF(INDEX(INDIRECT("'"&amp;$B$2&amp;"月"&amp;"'!A:AZ"),11,29+2)="","",INDEX(INDIRECT("'"&amp;$B$2&amp;"月"&amp;"'!A:AZ"),11,29+2)),"")</f>
        <v/>
      </c>
      <c r="F217" s="59" t="str">
        <f ca="1">IFERROR(IF(INDEX(INDIRECT("'"&amp;$B$2&amp;"月"&amp;"'!A:AZ"),11,29+3)="","",INDEX(INDIRECT("'"&amp;$B$2&amp;"月"&amp;"'!A:AZ"),11,29+3)),"")</f>
        <v/>
      </c>
      <c r="G217" s="57" t="str">
        <f ca="1">IFERROR(IF(INDEX(INDIRECT("'"&amp;$B$2&amp;"月"&amp;"'!A:AZ"),11,29+4)="","",INDEX(INDIRECT("'"&amp;$B$2&amp;"月"&amp;"'!A:AZ"),11,29+4)),"")</f>
        <v/>
      </c>
      <c r="H217" s="57"/>
    </row>
    <row r="218" spans="1:8" ht="13.5" customHeight="1">
      <c r="A218" s="57">
        <f>IF(DAY(DATE(対象年度,$B$2,9))&lt;&gt;9,"",9)</f>
        <v>9</v>
      </c>
      <c r="B218" s="57" t="str">
        <f>IF(DAY(DATE(対象年度,$B$2,9))&lt;&gt;9,"",CHOOSE(WEEKDAY(DATE(対象年度,$B$2,9),2),"月","火","水","木","金","土","日"))</f>
        <v>金</v>
      </c>
      <c r="C218" s="57" t="str">
        <f ca="1">IFERROR(IF(INDEX(INDIRECT("'"&amp;$B$2&amp;"月"&amp;"'!A:AZ"),12,29+0)="","",INDEX(INDIRECT("'"&amp;$B$2&amp;"月"&amp;"'!A:AZ"),12,29+0)),"")</f>
        <v/>
      </c>
      <c r="D218" s="58" t="str">
        <f ca="1">IFERROR(IF(INDEX(INDIRECT("'"&amp;$B$2&amp;"月"&amp;"'!A:AZ"),12,29+1)="","",INDEX(INDIRECT("'"&amp;$B$2&amp;"月"&amp;"'!A:AZ"),12,29+1)),"")</f>
        <v/>
      </c>
      <c r="E218" s="57" t="str">
        <f ca="1">IFERROR(IF(INDEX(INDIRECT("'"&amp;$B$2&amp;"月"&amp;"'!A:AZ"),12,29+2)="","",INDEX(INDIRECT("'"&amp;$B$2&amp;"月"&amp;"'!A:AZ"),12,29+2)),"")</f>
        <v/>
      </c>
      <c r="F218" s="59" t="str">
        <f ca="1">IFERROR(IF(INDEX(INDIRECT("'"&amp;$B$2&amp;"月"&amp;"'!A:AZ"),12,29+3)="","",INDEX(INDIRECT("'"&amp;$B$2&amp;"月"&amp;"'!A:AZ"),12,29+3)),"")</f>
        <v/>
      </c>
      <c r="G218" s="57" t="str">
        <f ca="1">IFERROR(IF(INDEX(INDIRECT("'"&amp;$B$2&amp;"月"&amp;"'!A:AZ"),12,29+4)="","",INDEX(INDIRECT("'"&amp;$B$2&amp;"月"&amp;"'!A:AZ"),12,29+4)),"")</f>
        <v/>
      </c>
      <c r="H218" s="57"/>
    </row>
    <row r="219" spans="1:8" ht="13.5" customHeight="1">
      <c r="A219" s="57">
        <f>IF(DAY(DATE(対象年度,$B$2,10))&lt;&gt;10,"",10)</f>
        <v>10</v>
      </c>
      <c r="B219" s="57" t="str">
        <f>IF(DAY(DATE(対象年度,$B$2,10))&lt;&gt;10,"",CHOOSE(WEEKDAY(DATE(対象年度,$B$2,10),2),"月","火","水","木","金","土","日"))</f>
        <v>土</v>
      </c>
      <c r="C219" s="57" t="str">
        <f ca="1">IFERROR(IF(INDEX(INDIRECT("'"&amp;$B$2&amp;"月"&amp;"'!A:AZ"),13,29+0)="","",INDEX(INDIRECT("'"&amp;$B$2&amp;"月"&amp;"'!A:AZ"),13,29+0)),"")</f>
        <v/>
      </c>
      <c r="D219" s="58" t="str">
        <f ca="1">IFERROR(IF(INDEX(INDIRECT("'"&amp;$B$2&amp;"月"&amp;"'!A:AZ"),13,29+1)="","",INDEX(INDIRECT("'"&amp;$B$2&amp;"月"&amp;"'!A:AZ"),13,29+1)),"")</f>
        <v/>
      </c>
      <c r="E219" s="57" t="str">
        <f ca="1">IFERROR(IF(INDEX(INDIRECT("'"&amp;$B$2&amp;"月"&amp;"'!A:AZ"),13,29+2)="","",INDEX(INDIRECT("'"&amp;$B$2&amp;"月"&amp;"'!A:AZ"),13,29+2)),"")</f>
        <v/>
      </c>
      <c r="F219" s="59" t="str">
        <f ca="1">IFERROR(IF(INDEX(INDIRECT("'"&amp;$B$2&amp;"月"&amp;"'!A:AZ"),13,29+3)="","",INDEX(INDIRECT("'"&amp;$B$2&amp;"月"&amp;"'!A:AZ"),13,29+3)),"")</f>
        <v/>
      </c>
      <c r="G219" s="57" t="str">
        <f ca="1">IFERROR(IF(INDEX(INDIRECT("'"&amp;$B$2&amp;"月"&amp;"'!A:AZ"),13,29+4)="","",INDEX(INDIRECT("'"&amp;$B$2&amp;"月"&amp;"'!A:AZ"),13,29+4)),"")</f>
        <v/>
      </c>
      <c r="H219" s="57"/>
    </row>
    <row r="220" spans="1:8" ht="13.5" customHeight="1">
      <c r="A220" s="57">
        <f>IF(DAY(DATE(対象年度,$B$2,11))&lt;&gt;11,"",11)</f>
        <v>11</v>
      </c>
      <c r="B220" s="57" t="str">
        <f>IF(DAY(DATE(対象年度,$B$2,11))&lt;&gt;11,"",CHOOSE(WEEKDAY(DATE(対象年度,$B$2,11),2),"月","火","水","木","金","土","日"))</f>
        <v>日</v>
      </c>
      <c r="C220" s="57" t="str">
        <f ca="1">IFERROR(IF(INDEX(INDIRECT("'"&amp;$B$2&amp;"月"&amp;"'!A:AZ"),14,29+0)="","",INDEX(INDIRECT("'"&amp;$B$2&amp;"月"&amp;"'!A:AZ"),14,29+0)),"")</f>
        <v/>
      </c>
      <c r="D220" s="58" t="str">
        <f ca="1">IFERROR(IF(INDEX(INDIRECT("'"&amp;$B$2&amp;"月"&amp;"'!A:AZ"),14,29+1)="","",INDEX(INDIRECT("'"&amp;$B$2&amp;"月"&amp;"'!A:AZ"),14,29+1)),"")</f>
        <v/>
      </c>
      <c r="E220" s="57" t="str">
        <f ca="1">IFERROR(IF(INDEX(INDIRECT("'"&amp;$B$2&amp;"月"&amp;"'!A:AZ"),14,29+2)="","",INDEX(INDIRECT("'"&amp;$B$2&amp;"月"&amp;"'!A:AZ"),14,29+2)),"")</f>
        <v/>
      </c>
      <c r="F220" s="59" t="str">
        <f ca="1">IFERROR(IF(INDEX(INDIRECT("'"&amp;$B$2&amp;"月"&amp;"'!A:AZ"),14,29+3)="","",INDEX(INDIRECT("'"&amp;$B$2&amp;"月"&amp;"'!A:AZ"),14,29+3)),"")</f>
        <v/>
      </c>
      <c r="G220" s="57" t="str">
        <f ca="1">IFERROR(IF(INDEX(INDIRECT("'"&amp;$B$2&amp;"月"&amp;"'!A:AZ"),14,29+4)="","",INDEX(INDIRECT("'"&amp;$B$2&amp;"月"&amp;"'!A:AZ"),14,29+4)),"")</f>
        <v/>
      </c>
      <c r="H220" s="57"/>
    </row>
    <row r="221" spans="1:8" ht="13.5" customHeight="1">
      <c r="A221" s="57">
        <f>IF(DAY(DATE(対象年度,$B$2,12))&lt;&gt;12,"",12)</f>
        <v>12</v>
      </c>
      <c r="B221" s="57" t="str">
        <f>IF(DAY(DATE(対象年度,$B$2,12))&lt;&gt;12,"",CHOOSE(WEEKDAY(DATE(対象年度,$B$2,12),2),"月","火","水","木","金","土","日"))</f>
        <v>月</v>
      </c>
      <c r="C221" s="57" t="str">
        <f ca="1">IFERROR(IF(INDEX(INDIRECT("'"&amp;$B$2&amp;"月"&amp;"'!A:AZ"),15,29+0)="","",INDEX(INDIRECT("'"&amp;$B$2&amp;"月"&amp;"'!A:AZ"),15,29+0)),"")</f>
        <v/>
      </c>
      <c r="D221" s="58" t="str">
        <f ca="1">IFERROR(IF(INDEX(INDIRECT("'"&amp;$B$2&amp;"月"&amp;"'!A:AZ"),15,29+1)="","",INDEX(INDIRECT("'"&amp;$B$2&amp;"月"&amp;"'!A:AZ"),15,29+1)),"")</f>
        <v/>
      </c>
      <c r="E221" s="57" t="str">
        <f ca="1">IFERROR(IF(INDEX(INDIRECT("'"&amp;$B$2&amp;"月"&amp;"'!A:AZ"),15,29+2)="","",INDEX(INDIRECT("'"&amp;$B$2&amp;"月"&amp;"'!A:AZ"),15,29+2)),"")</f>
        <v/>
      </c>
      <c r="F221" s="59" t="str">
        <f ca="1">IFERROR(IF(INDEX(INDIRECT("'"&amp;$B$2&amp;"月"&amp;"'!A:AZ"),15,29+3)="","",INDEX(INDIRECT("'"&amp;$B$2&amp;"月"&amp;"'!A:AZ"),15,29+3)),"")</f>
        <v/>
      </c>
      <c r="G221" s="57" t="str">
        <f ca="1">IFERROR(IF(INDEX(INDIRECT("'"&amp;$B$2&amp;"月"&amp;"'!A:AZ"),15,29+4)="","",INDEX(INDIRECT("'"&amp;$B$2&amp;"月"&amp;"'!A:AZ"),15,29+4)),"")</f>
        <v/>
      </c>
      <c r="H221" s="57"/>
    </row>
    <row r="222" spans="1:8" ht="13.5" customHeight="1">
      <c r="A222" s="57">
        <f>IF(DAY(DATE(対象年度,$B$2,13))&lt;&gt;13,"",13)</f>
        <v>13</v>
      </c>
      <c r="B222" s="57" t="str">
        <f>IF(DAY(DATE(対象年度,$B$2,13))&lt;&gt;13,"",CHOOSE(WEEKDAY(DATE(対象年度,$B$2,13),2),"月","火","水","木","金","土","日"))</f>
        <v>火</v>
      </c>
      <c r="C222" s="57" t="str">
        <f ca="1">IFERROR(IF(INDEX(INDIRECT("'"&amp;$B$2&amp;"月"&amp;"'!A:AZ"),16,29+0)="","",INDEX(INDIRECT("'"&amp;$B$2&amp;"月"&amp;"'!A:AZ"),16,29+0)),"")</f>
        <v/>
      </c>
      <c r="D222" s="58" t="str">
        <f ca="1">IFERROR(IF(INDEX(INDIRECT("'"&amp;$B$2&amp;"月"&amp;"'!A:AZ"),16,29+1)="","",INDEX(INDIRECT("'"&amp;$B$2&amp;"月"&amp;"'!A:AZ"),16,29+1)),"")</f>
        <v/>
      </c>
      <c r="E222" s="57" t="str">
        <f ca="1">IFERROR(IF(INDEX(INDIRECT("'"&amp;$B$2&amp;"月"&amp;"'!A:AZ"),16,29+2)="","",INDEX(INDIRECT("'"&amp;$B$2&amp;"月"&amp;"'!A:AZ"),16,29+2)),"")</f>
        <v/>
      </c>
      <c r="F222" s="59" t="str">
        <f ca="1">IFERROR(IF(INDEX(INDIRECT("'"&amp;$B$2&amp;"月"&amp;"'!A:AZ"),16,29+3)="","",INDEX(INDIRECT("'"&amp;$B$2&amp;"月"&amp;"'!A:AZ"),16,29+3)),"")</f>
        <v/>
      </c>
      <c r="G222" s="57" t="str">
        <f ca="1">IFERROR(IF(INDEX(INDIRECT("'"&amp;$B$2&amp;"月"&amp;"'!A:AZ"),16,29+4)="","",INDEX(INDIRECT("'"&amp;$B$2&amp;"月"&amp;"'!A:AZ"),16,29+4)),"")</f>
        <v/>
      </c>
      <c r="H222" s="57"/>
    </row>
    <row r="223" spans="1:8" ht="13.5" customHeight="1">
      <c r="A223" s="57">
        <f>IF(DAY(DATE(対象年度,$B$2,14))&lt;&gt;14,"",14)</f>
        <v>14</v>
      </c>
      <c r="B223" s="57" t="str">
        <f>IF(DAY(DATE(対象年度,$B$2,14))&lt;&gt;14,"",CHOOSE(WEEKDAY(DATE(対象年度,$B$2,14),2),"月","火","水","木","金","土","日"))</f>
        <v>水</v>
      </c>
      <c r="C223" s="57" t="str">
        <f ca="1">IFERROR(IF(INDEX(INDIRECT("'"&amp;$B$2&amp;"月"&amp;"'!A:AZ"),17,29+0)="","",INDEX(INDIRECT("'"&amp;$B$2&amp;"月"&amp;"'!A:AZ"),17,29+0)),"")</f>
        <v/>
      </c>
      <c r="D223" s="58" t="str">
        <f ca="1">IFERROR(IF(INDEX(INDIRECT("'"&amp;$B$2&amp;"月"&amp;"'!A:AZ"),17,29+1)="","",INDEX(INDIRECT("'"&amp;$B$2&amp;"月"&amp;"'!A:AZ"),17,29+1)),"")</f>
        <v/>
      </c>
      <c r="E223" s="57" t="str">
        <f ca="1">IFERROR(IF(INDEX(INDIRECT("'"&amp;$B$2&amp;"月"&amp;"'!A:AZ"),17,29+2)="","",INDEX(INDIRECT("'"&amp;$B$2&amp;"月"&amp;"'!A:AZ"),17,29+2)),"")</f>
        <v/>
      </c>
      <c r="F223" s="59" t="str">
        <f ca="1">IFERROR(IF(INDEX(INDIRECT("'"&amp;$B$2&amp;"月"&amp;"'!A:AZ"),17,29+3)="","",INDEX(INDIRECT("'"&amp;$B$2&amp;"月"&amp;"'!A:AZ"),17,29+3)),"")</f>
        <v/>
      </c>
      <c r="G223" s="57" t="str">
        <f ca="1">IFERROR(IF(INDEX(INDIRECT("'"&amp;$B$2&amp;"月"&amp;"'!A:AZ"),17,29+4)="","",INDEX(INDIRECT("'"&amp;$B$2&amp;"月"&amp;"'!A:AZ"),17,29+4)),"")</f>
        <v/>
      </c>
      <c r="H223" s="57"/>
    </row>
    <row r="224" spans="1:8" ht="13.5" customHeight="1">
      <c r="A224" s="57">
        <f>IF(DAY(DATE(対象年度,$B$2,15))&lt;&gt;15,"",15)</f>
        <v>15</v>
      </c>
      <c r="B224" s="57" t="str">
        <f>IF(DAY(DATE(対象年度,$B$2,15))&lt;&gt;15,"",CHOOSE(WEEKDAY(DATE(対象年度,$B$2,15),2),"月","火","水","木","金","土","日"))</f>
        <v>木</v>
      </c>
      <c r="C224" s="57" t="str">
        <f ca="1">IFERROR(IF(INDEX(INDIRECT("'"&amp;$B$2&amp;"月"&amp;"'!A:AZ"),18,29+0)="","",INDEX(INDIRECT("'"&amp;$B$2&amp;"月"&amp;"'!A:AZ"),18,29+0)),"")</f>
        <v/>
      </c>
      <c r="D224" s="58" t="str">
        <f ca="1">IFERROR(IF(INDEX(INDIRECT("'"&amp;$B$2&amp;"月"&amp;"'!A:AZ"),18,29+1)="","",INDEX(INDIRECT("'"&amp;$B$2&amp;"月"&amp;"'!A:AZ"),18,29+1)),"")</f>
        <v/>
      </c>
      <c r="E224" s="57" t="str">
        <f ca="1">IFERROR(IF(INDEX(INDIRECT("'"&amp;$B$2&amp;"月"&amp;"'!A:AZ"),18,29+2)="","",INDEX(INDIRECT("'"&amp;$B$2&amp;"月"&amp;"'!A:AZ"),18,29+2)),"")</f>
        <v/>
      </c>
      <c r="F224" s="59" t="str">
        <f ca="1">IFERROR(IF(INDEX(INDIRECT("'"&amp;$B$2&amp;"月"&amp;"'!A:AZ"),18,29+3)="","",INDEX(INDIRECT("'"&amp;$B$2&amp;"月"&amp;"'!A:AZ"),18,29+3)),"")</f>
        <v/>
      </c>
      <c r="G224" s="57" t="str">
        <f ca="1">IFERROR(IF(INDEX(INDIRECT("'"&amp;$B$2&amp;"月"&amp;"'!A:AZ"),18,29+4)="","",INDEX(INDIRECT("'"&amp;$B$2&amp;"月"&amp;"'!A:AZ"),18,29+4)),"")</f>
        <v/>
      </c>
      <c r="H224" s="57"/>
    </row>
    <row r="225" spans="1:8" ht="13.5" customHeight="1">
      <c r="A225" s="57">
        <f>IF(DAY(DATE(対象年度,$B$2,16))&lt;&gt;16,"",16)</f>
        <v>16</v>
      </c>
      <c r="B225" s="57" t="str">
        <f>IF(DAY(DATE(対象年度,$B$2,16))&lt;&gt;16,"",CHOOSE(WEEKDAY(DATE(対象年度,$B$2,16),2),"月","火","水","木","金","土","日"))</f>
        <v>金</v>
      </c>
      <c r="C225" s="57" t="str">
        <f ca="1">IFERROR(IF(INDEX(INDIRECT("'"&amp;$B$2&amp;"月"&amp;"'!A:AZ"),19,29+0)="","",INDEX(INDIRECT("'"&amp;$B$2&amp;"月"&amp;"'!A:AZ"),19,29+0)),"")</f>
        <v/>
      </c>
      <c r="D225" s="58" t="str">
        <f ca="1">IFERROR(IF(INDEX(INDIRECT("'"&amp;$B$2&amp;"月"&amp;"'!A:AZ"),19,29+1)="","",INDEX(INDIRECT("'"&amp;$B$2&amp;"月"&amp;"'!A:AZ"),19,29+1)),"")</f>
        <v/>
      </c>
      <c r="E225" s="57" t="str">
        <f ca="1">IFERROR(IF(INDEX(INDIRECT("'"&amp;$B$2&amp;"月"&amp;"'!A:AZ"),19,29+2)="","",INDEX(INDIRECT("'"&amp;$B$2&amp;"月"&amp;"'!A:AZ"),19,29+2)),"")</f>
        <v/>
      </c>
      <c r="F225" s="59" t="str">
        <f ca="1">IFERROR(IF(INDEX(INDIRECT("'"&amp;$B$2&amp;"月"&amp;"'!A:AZ"),19,29+3)="","",INDEX(INDIRECT("'"&amp;$B$2&amp;"月"&amp;"'!A:AZ"),19,29+3)),"")</f>
        <v/>
      </c>
      <c r="G225" s="57" t="str">
        <f ca="1">IFERROR(IF(INDEX(INDIRECT("'"&amp;$B$2&amp;"月"&amp;"'!A:AZ"),19,29+4)="","",INDEX(INDIRECT("'"&amp;$B$2&amp;"月"&amp;"'!A:AZ"),19,29+4)),"")</f>
        <v/>
      </c>
      <c r="H225" s="57"/>
    </row>
    <row r="226" spans="1:8" ht="13.5" customHeight="1">
      <c r="A226" s="57">
        <f>IF(DAY(DATE(対象年度,$B$2,17))&lt;&gt;17,"",17)</f>
        <v>17</v>
      </c>
      <c r="B226" s="57" t="str">
        <f>IF(DAY(DATE(対象年度,$B$2,17))&lt;&gt;17,"",CHOOSE(WEEKDAY(DATE(対象年度,$B$2,17),2),"月","火","水","木","金","土","日"))</f>
        <v>土</v>
      </c>
      <c r="C226" s="57" t="str">
        <f ca="1">IFERROR(IF(INDEX(INDIRECT("'"&amp;$B$2&amp;"月"&amp;"'!A:AZ"),20,29+0)="","",INDEX(INDIRECT("'"&amp;$B$2&amp;"月"&amp;"'!A:AZ"),20,29+0)),"")</f>
        <v/>
      </c>
      <c r="D226" s="58" t="str">
        <f ca="1">IFERROR(IF(INDEX(INDIRECT("'"&amp;$B$2&amp;"月"&amp;"'!A:AZ"),20,29+1)="","",INDEX(INDIRECT("'"&amp;$B$2&amp;"月"&amp;"'!A:AZ"),20,29+1)),"")</f>
        <v/>
      </c>
      <c r="E226" s="57" t="str">
        <f ca="1">IFERROR(IF(INDEX(INDIRECT("'"&amp;$B$2&amp;"月"&amp;"'!A:AZ"),20,29+2)="","",INDEX(INDIRECT("'"&amp;$B$2&amp;"月"&amp;"'!A:AZ"),20,29+2)),"")</f>
        <v/>
      </c>
      <c r="F226" s="59" t="str">
        <f ca="1">IFERROR(IF(INDEX(INDIRECT("'"&amp;$B$2&amp;"月"&amp;"'!A:AZ"),20,29+3)="","",INDEX(INDIRECT("'"&amp;$B$2&amp;"月"&amp;"'!A:AZ"),20,29+3)),"")</f>
        <v/>
      </c>
      <c r="G226" s="57" t="str">
        <f ca="1">IFERROR(IF(INDEX(INDIRECT("'"&amp;$B$2&amp;"月"&amp;"'!A:AZ"),20,29+4)="","",INDEX(INDIRECT("'"&amp;$B$2&amp;"月"&amp;"'!A:AZ"),20,29+4)),"")</f>
        <v/>
      </c>
      <c r="H226" s="57"/>
    </row>
    <row r="227" spans="1:8" ht="13.5" customHeight="1">
      <c r="A227" s="57">
        <f>IF(DAY(DATE(対象年度,$B$2,18))&lt;&gt;18,"",18)</f>
        <v>18</v>
      </c>
      <c r="B227" s="57" t="str">
        <f>IF(DAY(DATE(対象年度,$B$2,18))&lt;&gt;18,"",CHOOSE(WEEKDAY(DATE(対象年度,$B$2,18),2),"月","火","水","木","金","土","日"))</f>
        <v>日</v>
      </c>
      <c r="C227" s="57" t="str">
        <f ca="1">IFERROR(IF(INDEX(INDIRECT("'"&amp;$B$2&amp;"月"&amp;"'!A:AZ"),21,29+0)="","",INDEX(INDIRECT("'"&amp;$B$2&amp;"月"&amp;"'!A:AZ"),21,29+0)),"")</f>
        <v/>
      </c>
      <c r="D227" s="58" t="str">
        <f ca="1">IFERROR(IF(INDEX(INDIRECT("'"&amp;$B$2&amp;"月"&amp;"'!A:AZ"),21,29+1)="","",INDEX(INDIRECT("'"&amp;$B$2&amp;"月"&amp;"'!A:AZ"),21,29+1)),"")</f>
        <v/>
      </c>
      <c r="E227" s="57" t="str">
        <f ca="1">IFERROR(IF(INDEX(INDIRECT("'"&amp;$B$2&amp;"月"&amp;"'!A:AZ"),21,29+2)="","",INDEX(INDIRECT("'"&amp;$B$2&amp;"月"&amp;"'!A:AZ"),21,29+2)),"")</f>
        <v/>
      </c>
      <c r="F227" s="59" t="str">
        <f ca="1">IFERROR(IF(INDEX(INDIRECT("'"&amp;$B$2&amp;"月"&amp;"'!A:AZ"),21,29+3)="","",INDEX(INDIRECT("'"&amp;$B$2&amp;"月"&amp;"'!A:AZ"),21,29+3)),"")</f>
        <v/>
      </c>
      <c r="G227" s="57" t="str">
        <f ca="1">IFERROR(IF(INDEX(INDIRECT("'"&amp;$B$2&amp;"月"&amp;"'!A:AZ"),21,29+4)="","",INDEX(INDIRECT("'"&amp;$B$2&amp;"月"&amp;"'!A:AZ"),21,29+4)),"")</f>
        <v/>
      </c>
      <c r="H227" s="57"/>
    </row>
    <row r="228" spans="1:8" ht="13.5" customHeight="1">
      <c r="A228" s="57">
        <f>IF(DAY(DATE(対象年度,$B$2,19))&lt;&gt;19,"",19)</f>
        <v>19</v>
      </c>
      <c r="B228" s="57" t="str">
        <f>IF(DAY(DATE(対象年度,$B$2,19))&lt;&gt;19,"",CHOOSE(WEEKDAY(DATE(対象年度,$B$2,19),2),"月","火","水","木","金","土","日"))</f>
        <v>月</v>
      </c>
      <c r="C228" s="57" t="str">
        <f ca="1">IFERROR(IF(INDEX(INDIRECT("'"&amp;$B$2&amp;"月"&amp;"'!A:AZ"),22,29+0)="","",INDEX(INDIRECT("'"&amp;$B$2&amp;"月"&amp;"'!A:AZ"),22,29+0)),"")</f>
        <v/>
      </c>
      <c r="D228" s="58" t="str">
        <f ca="1">IFERROR(IF(INDEX(INDIRECT("'"&amp;$B$2&amp;"月"&amp;"'!A:AZ"),22,29+1)="","",INDEX(INDIRECT("'"&amp;$B$2&amp;"月"&amp;"'!A:AZ"),22,29+1)),"")</f>
        <v/>
      </c>
      <c r="E228" s="57" t="str">
        <f ca="1">IFERROR(IF(INDEX(INDIRECT("'"&amp;$B$2&amp;"月"&amp;"'!A:AZ"),22,29+2)="","",INDEX(INDIRECT("'"&amp;$B$2&amp;"月"&amp;"'!A:AZ"),22,29+2)),"")</f>
        <v/>
      </c>
      <c r="F228" s="59" t="str">
        <f ca="1">IFERROR(IF(INDEX(INDIRECT("'"&amp;$B$2&amp;"月"&amp;"'!A:AZ"),22,29+3)="","",INDEX(INDIRECT("'"&amp;$B$2&amp;"月"&amp;"'!A:AZ"),22,29+3)),"")</f>
        <v/>
      </c>
      <c r="G228" s="57" t="str">
        <f ca="1">IFERROR(IF(INDEX(INDIRECT("'"&amp;$B$2&amp;"月"&amp;"'!A:AZ"),22,29+4)="","",INDEX(INDIRECT("'"&amp;$B$2&amp;"月"&amp;"'!A:AZ"),22,29+4)),"")</f>
        <v/>
      </c>
      <c r="H228" s="57"/>
    </row>
    <row r="229" spans="1:8" ht="13.5" customHeight="1">
      <c r="A229" s="57">
        <f>IF(DAY(DATE(対象年度,$B$2,20))&lt;&gt;20,"",20)</f>
        <v>20</v>
      </c>
      <c r="B229" s="57" t="str">
        <f>IF(DAY(DATE(対象年度,$B$2,20))&lt;&gt;20,"",CHOOSE(WEEKDAY(DATE(対象年度,$B$2,20),2),"月","火","水","木","金","土","日"))</f>
        <v>火</v>
      </c>
      <c r="C229" s="57" t="str">
        <f ca="1">IFERROR(IF(INDEX(INDIRECT("'"&amp;$B$2&amp;"月"&amp;"'!A:AZ"),23,29+0)="","",INDEX(INDIRECT("'"&amp;$B$2&amp;"月"&amp;"'!A:AZ"),23,29+0)),"")</f>
        <v/>
      </c>
      <c r="D229" s="58" t="str">
        <f ca="1">IFERROR(IF(INDEX(INDIRECT("'"&amp;$B$2&amp;"月"&amp;"'!A:AZ"),23,29+1)="","",INDEX(INDIRECT("'"&amp;$B$2&amp;"月"&amp;"'!A:AZ"),23,29+1)),"")</f>
        <v/>
      </c>
      <c r="E229" s="57" t="str">
        <f ca="1">IFERROR(IF(INDEX(INDIRECT("'"&amp;$B$2&amp;"月"&amp;"'!A:AZ"),23,29+2)="","",INDEX(INDIRECT("'"&amp;$B$2&amp;"月"&amp;"'!A:AZ"),23,29+2)),"")</f>
        <v/>
      </c>
      <c r="F229" s="59" t="str">
        <f ca="1">IFERROR(IF(INDEX(INDIRECT("'"&amp;$B$2&amp;"月"&amp;"'!A:AZ"),23,29+3)="","",INDEX(INDIRECT("'"&amp;$B$2&amp;"月"&amp;"'!A:AZ"),23,29+3)),"")</f>
        <v/>
      </c>
      <c r="G229" s="57" t="str">
        <f ca="1">IFERROR(IF(INDEX(INDIRECT("'"&amp;$B$2&amp;"月"&amp;"'!A:AZ"),23,29+4)="","",INDEX(INDIRECT("'"&amp;$B$2&amp;"月"&amp;"'!A:AZ"),23,29+4)),"")</f>
        <v/>
      </c>
      <c r="H229" s="57"/>
    </row>
    <row r="230" spans="1:8" ht="13.5" customHeight="1">
      <c r="A230" s="57">
        <f>IF(DAY(DATE(対象年度,$B$2,21))&lt;&gt;21,"",21)</f>
        <v>21</v>
      </c>
      <c r="B230" s="57" t="str">
        <f>IF(DAY(DATE(対象年度,$B$2,21))&lt;&gt;21,"",CHOOSE(WEEKDAY(DATE(対象年度,$B$2,21),2),"月","火","水","木","金","土","日"))</f>
        <v>水</v>
      </c>
      <c r="C230" s="57" t="str">
        <f ca="1">IFERROR(IF(INDEX(INDIRECT("'"&amp;$B$2&amp;"月"&amp;"'!A:AZ"),24,29+0)="","",INDEX(INDIRECT("'"&amp;$B$2&amp;"月"&amp;"'!A:AZ"),24,29+0)),"")</f>
        <v>新宿</v>
      </c>
      <c r="D230" s="58" t="str">
        <f ca="1">IFERROR(IF(INDEX(INDIRECT("'"&amp;$B$2&amp;"月"&amp;"'!A:AZ"),24,29+1)="","",INDEX(INDIRECT("'"&amp;$B$2&amp;"月"&amp;"'!A:AZ"),24,29+1)),"")</f>
        <v/>
      </c>
      <c r="E230" s="57" t="str">
        <f ca="1">IFERROR(IF(INDEX(INDIRECT("'"&amp;$B$2&amp;"月"&amp;"'!A:AZ"),24,29+2)="","",INDEX(INDIRECT("'"&amp;$B$2&amp;"月"&amp;"'!A:AZ"),24,29+2)),"")</f>
        <v>○</v>
      </c>
      <c r="F230" s="59" t="str">
        <f ca="1">IFERROR(IF(INDEX(INDIRECT("'"&amp;$B$2&amp;"月"&amp;"'!A:AZ"),24,29+3)="","",INDEX(INDIRECT("'"&amp;$B$2&amp;"月"&amp;"'!A:AZ"),24,29+3)),"")</f>
        <v/>
      </c>
      <c r="G230" s="57" t="str">
        <f ca="1">IFERROR(IF(INDEX(INDIRECT("'"&amp;$B$2&amp;"月"&amp;"'!A:AZ"),24,29+4)="","",INDEX(INDIRECT("'"&amp;$B$2&amp;"月"&amp;"'!A:AZ"),24,29+4)),"")</f>
        <v/>
      </c>
      <c r="H230" s="57"/>
    </row>
    <row r="231" spans="1:8" ht="13.5" customHeight="1">
      <c r="A231" s="57">
        <f>IF(DAY(DATE(対象年度,$B$2,22))&lt;&gt;22,"",22)</f>
        <v>22</v>
      </c>
      <c r="B231" s="57" t="str">
        <f>IF(DAY(DATE(対象年度,$B$2,22))&lt;&gt;22,"",CHOOSE(WEEKDAY(DATE(対象年度,$B$2,22),2),"月","火","水","木","金","土","日"))</f>
        <v>木</v>
      </c>
      <c r="C231" s="57" t="str">
        <f ca="1">IFERROR(IF(INDEX(INDIRECT("'"&amp;$B$2&amp;"月"&amp;"'!A:AZ"),25,29+0)="","",INDEX(INDIRECT("'"&amp;$B$2&amp;"月"&amp;"'!A:AZ"),25,29+0)),"")</f>
        <v>新宿</v>
      </c>
      <c r="D231" s="58" t="str">
        <f ca="1">IFERROR(IF(INDEX(INDIRECT("'"&amp;$B$2&amp;"月"&amp;"'!A:AZ"),25,29+1)="","",INDEX(INDIRECT("'"&amp;$B$2&amp;"月"&amp;"'!A:AZ"),25,29+1)),"")</f>
        <v/>
      </c>
      <c r="E231" s="57" t="str">
        <f ca="1">IFERROR(IF(INDEX(INDIRECT("'"&amp;$B$2&amp;"月"&amp;"'!A:AZ"),25,29+2)="","",INDEX(INDIRECT("'"&amp;$B$2&amp;"月"&amp;"'!A:AZ"),25,29+2)),"")</f>
        <v>○</v>
      </c>
      <c r="F231" s="59" t="str">
        <f ca="1">IFERROR(IF(INDEX(INDIRECT("'"&amp;$B$2&amp;"月"&amp;"'!A:AZ"),25,29+3)="","",INDEX(INDIRECT("'"&amp;$B$2&amp;"月"&amp;"'!A:AZ"),25,29+3)),"")</f>
        <v/>
      </c>
      <c r="G231" s="57" t="str">
        <f ca="1">IFERROR(IF(INDEX(INDIRECT("'"&amp;$B$2&amp;"月"&amp;"'!A:AZ"),25,29+4)="","",INDEX(INDIRECT("'"&amp;$B$2&amp;"月"&amp;"'!A:AZ"),25,29+4)),"")</f>
        <v/>
      </c>
      <c r="H231" s="57"/>
    </row>
    <row r="232" spans="1:8" ht="13.5" customHeight="1">
      <c r="A232" s="57">
        <f>IF(DAY(DATE(対象年度,$B$2,23))&lt;&gt;23,"",23)</f>
        <v>23</v>
      </c>
      <c r="B232" s="57" t="str">
        <f>IF(DAY(DATE(対象年度,$B$2,23))&lt;&gt;23,"",CHOOSE(WEEKDAY(DATE(対象年度,$B$2,23),2),"月","火","水","木","金","土","日"))</f>
        <v>金</v>
      </c>
      <c r="C232" s="57" t="str">
        <f ca="1">IFERROR(IF(INDEX(INDIRECT("'"&amp;$B$2&amp;"月"&amp;"'!A:AZ"),26,29+0)="","",INDEX(INDIRECT("'"&amp;$B$2&amp;"月"&amp;"'!A:AZ"),26,29+0)),"")</f>
        <v>新宿</v>
      </c>
      <c r="D232" s="58" t="str">
        <f ca="1">IFERROR(IF(INDEX(INDIRECT("'"&amp;$B$2&amp;"月"&amp;"'!A:AZ"),26,29+1)="","",INDEX(INDIRECT("'"&amp;$B$2&amp;"月"&amp;"'!A:AZ"),26,29+1)),"")</f>
        <v/>
      </c>
      <c r="E232" s="57" t="str">
        <f ca="1">IFERROR(IF(INDEX(INDIRECT("'"&amp;$B$2&amp;"月"&amp;"'!A:AZ"),26,29+2)="","",INDEX(INDIRECT("'"&amp;$B$2&amp;"月"&amp;"'!A:AZ"),26,29+2)),"")</f>
        <v>○</v>
      </c>
      <c r="F232" s="59" t="str">
        <f ca="1">IFERROR(IF(INDEX(INDIRECT("'"&amp;$B$2&amp;"月"&amp;"'!A:AZ"),26,29+3)="","",INDEX(INDIRECT("'"&amp;$B$2&amp;"月"&amp;"'!A:AZ"),26,29+3)),"")</f>
        <v/>
      </c>
      <c r="G232" s="57" t="str">
        <f ca="1">IFERROR(IF(INDEX(INDIRECT("'"&amp;$B$2&amp;"月"&amp;"'!A:AZ"),26,29+4)="","",INDEX(INDIRECT("'"&amp;$B$2&amp;"月"&amp;"'!A:AZ"),26,29+4)),"")</f>
        <v/>
      </c>
      <c r="H232" s="57"/>
    </row>
    <row r="233" spans="1:8" ht="13.5" customHeight="1">
      <c r="A233" s="57">
        <f>IF(DAY(DATE(対象年度,$B$2,24))&lt;&gt;24,"",24)</f>
        <v>24</v>
      </c>
      <c r="B233" s="57" t="str">
        <f>IF(DAY(DATE(対象年度,$B$2,24))&lt;&gt;24,"",CHOOSE(WEEKDAY(DATE(対象年度,$B$2,24),2),"月","火","水","木","金","土","日"))</f>
        <v>土</v>
      </c>
      <c r="C233" s="57" t="str">
        <f ca="1">IFERROR(IF(INDEX(INDIRECT("'"&amp;$B$2&amp;"月"&amp;"'!A:AZ"),27,29+0)="","",INDEX(INDIRECT("'"&amp;$B$2&amp;"月"&amp;"'!A:AZ"),27,29+0)),"")</f>
        <v>新宿</v>
      </c>
      <c r="D233" s="58" t="str">
        <f ca="1">IFERROR(IF(INDEX(INDIRECT("'"&amp;$B$2&amp;"月"&amp;"'!A:AZ"),27,29+1)="","",INDEX(INDIRECT("'"&amp;$B$2&amp;"月"&amp;"'!A:AZ"),27,29+1)),"")</f>
        <v/>
      </c>
      <c r="E233" s="57" t="str">
        <f ca="1">IFERROR(IF(INDEX(INDIRECT("'"&amp;$B$2&amp;"月"&amp;"'!A:AZ"),27,29+2)="","",INDEX(INDIRECT("'"&amp;$B$2&amp;"月"&amp;"'!A:AZ"),27,29+2)),"")</f>
        <v>○</v>
      </c>
      <c r="F233" s="59" t="str">
        <f ca="1">IFERROR(IF(INDEX(INDIRECT("'"&amp;$B$2&amp;"月"&amp;"'!A:AZ"),27,29+3)="","",INDEX(INDIRECT("'"&amp;$B$2&amp;"月"&amp;"'!A:AZ"),27,29+3)),"")</f>
        <v/>
      </c>
      <c r="G233" s="57" t="str">
        <f ca="1">IFERROR(IF(INDEX(INDIRECT("'"&amp;$B$2&amp;"月"&amp;"'!A:AZ"),27,29+4)="","",INDEX(INDIRECT("'"&amp;$B$2&amp;"月"&amp;"'!A:AZ"),27,29+4)),"")</f>
        <v/>
      </c>
      <c r="H233" s="57"/>
    </row>
    <row r="234" spans="1:8" ht="13.5" customHeight="1">
      <c r="A234" s="57">
        <f>IF(DAY(DATE(対象年度,$B$2,25))&lt;&gt;25,"",25)</f>
        <v>25</v>
      </c>
      <c r="B234" s="57" t="str">
        <f>IF(DAY(DATE(対象年度,$B$2,25))&lt;&gt;25,"",CHOOSE(WEEKDAY(DATE(対象年度,$B$2,25),2),"月","火","水","木","金","土","日"))</f>
        <v>日</v>
      </c>
      <c r="C234" s="57" t="str">
        <f ca="1">IFERROR(IF(INDEX(INDIRECT("'"&amp;$B$2&amp;"月"&amp;"'!A:AZ"),28,29+0)="","",INDEX(INDIRECT("'"&amp;$B$2&amp;"月"&amp;"'!A:AZ"),28,29+0)),"")</f>
        <v/>
      </c>
      <c r="D234" s="58" t="str">
        <f ca="1">IFERROR(IF(INDEX(INDIRECT("'"&amp;$B$2&amp;"月"&amp;"'!A:AZ"),28,29+1)="","",INDEX(INDIRECT("'"&amp;$B$2&amp;"月"&amp;"'!A:AZ"),28,29+1)),"")</f>
        <v/>
      </c>
      <c r="E234" s="57" t="str">
        <f ca="1">IFERROR(IF(INDEX(INDIRECT("'"&amp;$B$2&amp;"月"&amp;"'!A:AZ"),28,29+2)="","",INDEX(INDIRECT("'"&amp;$B$2&amp;"月"&amp;"'!A:AZ"),28,29+2)),"")</f>
        <v/>
      </c>
      <c r="F234" s="59" t="str">
        <f ca="1">IFERROR(IF(INDEX(INDIRECT("'"&amp;$B$2&amp;"月"&amp;"'!A:AZ"),28,29+3)="","",INDEX(INDIRECT("'"&amp;$B$2&amp;"月"&amp;"'!A:AZ"),28,29+3)),"")</f>
        <v/>
      </c>
      <c r="G234" s="57" t="str">
        <f ca="1">IFERROR(IF(INDEX(INDIRECT("'"&amp;$B$2&amp;"月"&amp;"'!A:AZ"),28,29+4)="","",INDEX(INDIRECT("'"&amp;$B$2&amp;"月"&amp;"'!A:AZ"),28,29+4)),"")</f>
        <v/>
      </c>
      <c r="H234" s="57"/>
    </row>
    <row r="235" spans="1:8" ht="13.5" customHeight="1">
      <c r="A235" s="57">
        <f>IF(DAY(DATE(対象年度,$B$2,26))&lt;&gt;26,"",26)</f>
        <v>26</v>
      </c>
      <c r="B235" s="57" t="str">
        <f>IF(DAY(DATE(対象年度,$B$2,26))&lt;&gt;26,"",CHOOSE(WEEKDAY(DATE(対象年度,$B$2,26),2),"月","火","水","木","金","土","日"))</f>
        <v>月</v>
      </c>
      <c r="C235" s="57" t="str">
        <f ca="1">IFERROR(IF(INDEX(INDIRECT("'"&amp;$B$2&amp;"月"&amp;"'!A:AZ"),29,29+0)="","",INDEX(INDIRECT("'"&amp;$B$2&amp;"月"&amp;"'!A:AZ"),29,29+0)),"")</f>
        <v>新宿</v>
      </c>
      <c r="D235" s="58" t="str">
        <f ca="1">IFERROR(IF(INDEX(INDIRECT("'"&amp;$B$2&amp;"月"&amp;"'!A:AZ"),29,29+1)="","",INDEX(INDIRECT("'"&amp;$B$2&amp;"月"&amp;"'!A:AZ"),29,29+1)),"")</f>
        <v/>
      </c>
      <c r="E235" s="57" t="str">
        <f ca="1">IFERROR(IF(INDEX(INDIRECT("'"&amp;$B$2&amp;"月"&amp;"'!A:AZ"),29,29+2)="","",INDEX(INDIRECT("'"&amp;$B$2&amp;"月"&amp;"'!A:AZ"),29,29+2)),"")</f>
        <v>○</v>
      </c>
      <c r="F235" s="59" t="str">
        <f ca="1">IFERROR(IF(INDEX(INDIRECT("'"&amp;$B$2&amp;"月"&amp;"'!A:AZ"),29,29+3)="","",INDEX(INDIRECT("'"&amp;$B$2&amp;"月"&amp;"'!A:AZ"),29,29+3)),"")</f>
        <v/>
      </c>
      <c r="G235" s="57" t="str">
        <f ca="1">IFERROR(IF(INDEX(INDIRECT("'"&amp;$B$2&amp;"月"&amp;"'!A:AZ"),29,29+4)="","",INDEX(INDIRECT("'"&amp;$B$2&amp;"月"&amp;"'!A:AZ"),29,29+4)),"")</f>
        <v/>
      </c>
      <c r="H235" s="57"/>
    </row>
    <row r="236" spans="1:8" ht="13.5" customHeight="1">
      <c r="A236" s="57">
        <f>IF(DAY(DATE(対象年度,$B$2,27))&lt;&gt;27,"",27)</f>
        <v>27</v>
      </c>
      <c r="B236" s="57" t="str">
        <f>IF(DAY(DATE(対象年度,$B$2,27))&lt;&gt;27,"",CHOOSE(WEEKDAY(DATE(対象年度,$B$2,27),2),"月","火","水","木","金","土","日"))</f>
        <v>火</v>
      </c>
      <c r="C236" s="57" t="str">
        <f ca="1">IFERROR(IF(INDEX(INDIRECT("'"&amp;$B$2&amp;"月"&amp;"'!A:AZ"),30,29+0)="","",INDEX(INDIRECT("'"&amp;$B$2&amp;"月"&amp;"'!A:AZ"),30,29+0)),"")</f>
        <v>新宿</v>
      </c>
      <c r="D236" s="58" t="str">
        <f ca="1">IFERROR(IF(INDEX(INDIRECT("'"&amp;$B$2&amp;"月"&amp;"'!A:AZ"),30,29+1)="","",INDEX(INDIRECT("'"&amp;$B$2&amp;"月"&amp;"'!A:AZ"),30,29+1)),"")</f>
        <v/>
      </c>
      <c r="E236" s="57" t="str">
        <f ca="1">IFERROR(IF(INDEX(INDIRECT("'"&amp;$B$2&amp;"月"&amp;"'!A:AZ"),30,29+2)="","",INDEX(INDIRECT("'"&amp;$B$2&amp;"月"&amp;"'!A:AZ"),30,29+2)),"")</f>
        <v>○</v>
      </c>
      <c r="F236" s="59" t="str">
        <f ca="1">IFERROR(IF(INDEX(INDIRECT("'"&amp;$B$2&amp;"月"&amp;"'!A:AZ"),30,29+3)="","",INDEX(INDIRECT("'"&amp;$B$2&amp;"月"&amp;"'!A:AZ"),30,29+3)),"")</f>
        <v/>
      </c>
      <c r="G236" s="57" t="str">
        <f ca="1">IFERROR(IF(INDEX(INDIRECT("'"&amp;$B$2&amp;"月"&amp;"'!A:AZ"),30,29+4)="","",INDEX(INDIRECT("'"&amp;$B$2&amp;"月"&amp;"'!A:AZ"),30,29+4)),"")</f>
        <v/>
      </c>
      <c r="H236" s="57"/>
    </row>
    <row r="237" spans="1:8" ht="13.5" customHeight="1">
      <c r="A237" s="57">
        <f>IF(DAY(DATE(対象年度,$B$2,28))&lt;&gt;28,"",28)</f>
        <v>28</v>
      </c>
      <c r="B237" s="57" t="str">
        <f>IF(DAY(DATE(対象年度,$B$2,28))&lt;&gt;28,"",CHOOSE(WEEKDAY(DATE(対象年度,$B$2,28),2),"月","火","水","木","金","土","日"))</f>
        <v>水</v>
      </c>
      <c r="C237" s="57" t="str">
        <f ca="1">IFERROR(IF(INDEX(INDIRECT("'"&amp;$B$2&amp;"月"&amp;"'!A:AZ"),31,29+0)="","",INDEX(INDIRECT("'"&amp;$B$2&amp;"月"&amp;"'!A:AZ"),31,29+0)),"")</f>
        <v>新宿</v>
      </c>
      <c r="D237" s="58" t="str">
        <f ca="1">IFERROR(IF(INDEX(INDIRECT("'"&amp;$B$2&amp;"月"&amp;"'!A:AZ"),31,29+1)="","",INDEX(INDIRECT("'"&amp;$B$2&amp;"月"&amp;"'!A:AZ"),31,29+1)),"")</f>
        <v/>
      </c>
      <c r="E237" s="57" t="str">
        <f ca="1">IFERROR(IF(INDEX(INDIRECT("'"&amp;$B$2&amp;"月"&amp;"'!A:AZ"),31,29+2)="","",INDEX(INDIRECT("'"&amp;$B$2&amp;"月"&amp;"'!A:AZ"),31,29+2)),"")</f>
        <v>○</v>
      </c>
      <c r="F237" s="59" t="str">
        <f ca="1">IFERROR(IF(INDEX(INDIRECT("'"&amp;$B$2&amp;"月"&amp;"'!A:AZ"),31,29+3)="","",INDEX(INDIRECT("'"&amp;$B$2&amp;"月"&amp;"'!A:AZ"),31,29+3)),"")</f>
        <v/>
      </c>
      <c r="G237" s="57" t="str">
        <f ca="1">IFERROR(IF(INDEX(INDIRECT("'"&amp;$B$2&amp;"月"&amp;"'!A:AZ"),31,29+4)="","",INDEX(INDIRECT("'"&amp;$B$2&amp;"月"&amp;"'!A:AZ"),31,29+4)),"")</f>
        <v/>
      </c>
      <c r="H237" s="57"/>
    </row>
    <row r="238" spans="1:8" ht="13.5" customHeight="1">
      <c r="A238" s="57">
        <f>IF(DAY(DATE(対象年度,$B$2,29))&lt;&gt;29,"",29)</f>
        <v>29</v>
      </c>
      <c r="B238" s="57" t="str">
        <f>IF(DAY(DATE(対象年度,$B$2,29))&lt;&gt;29,"",CHOOSE(WEEKDAY(DATE(対象年度,$B$2,29),2),"月","火","水","木","金","土","日"))</f>
        <v>木</v>
      </c>
      <c r="C238" s="57" t="str">
        <f ca="1">IFERROR(IF(INDEX(INDIRECT("'"&amp;$B$2&amp;"月"&amp;"'!A:AZ"),32,29+0)="","",INDEX(INDIRECT("'"&amp;$B$2&amp;"月"&amp;"'!A:AZ"),32,29+0)),"")</f>
        <v>新宿</v>
      </c>
      <c r="D238" s="58" t="str">
        <f ca="1">IFERROR(IF(INDEX(INDIRECT("'"&amp;$B$2&amp;"月"&amp;"'!A:AZ"),32,29+1)="","",INDEX(INDIRECT("'"&amp;$B$2&amp;"月"&amp;"'!A:AZ"),32,29+1)),"")</f>
        <v/>
      </c>
      <c r="E238" s="57" t="str">
        <f ca="1">IFERROR(IF(INDEX(INDIRECT("'"&amp;$B$2&amp;"月"&amp;"'!A:AZ"),32,29+2)="","",INDEX(INDIRECT("'"&amp;$B$2&amp;"月"&amp;"'!A:AZ"),32,29+2)),"")</f>
        <v>○</v>
      </c>
      <c r="F238" s="59" t="str">
        <f ca="1">IFERROR(IF(INDEX(INDIRECT("'"&amp;$B$2&amp;"月"&amp;"'!A:AZ"),32,29+3)="","",INDEX(INDIRECT("'"&amp;$B$2&amp;"月"&amp;"'!A:AZ"),32,29+3)),"")</f>
        <v/>
      </c>
      <c r="G238" s="57" t="str">
        <f ca="1">IFERROR(IF(INDEX(INDIRECT("'"&amp;$B$2&amp;"月"&amp;"'!A:AZ"),32,29+4)="","",INDEX(INDIRECT("'"&amp;$B$2&amp;"月"&amp;"'!A:AZ"),32,29+4)),"")</f>
        <v/>
      </c>
      <c r="H238" s="57"/>
    </row>
    <row r="239" spans="1:8" ht="13.5" customHeight="1">
      <c r="A239" s="57">
        <f>IF(DAY(DATE(対象年度,$B$2,30))&lt;&gt;30,"",30)</f>
        <v>30</v>
      </c>
      <c r="B239" s="57" t="str">
        <f>IF(DAY(DATE(対象年度,$B$2,30))&lt;&gt;30,"",CHOOSE(WEEKDAY(DATE(対象年度,$B$2,30),2),"月","火","水","木","金","土","日"))</f>
        <v>金</v>
      </c>
      <c r="C239" s="57" t="str">
        <f ca="1">IFERROR(IF(INDEX(INDIRECT("'"&amp;$B$2&amp;"月"&amp;"'!A:AZ"),33,29+0)="","",INDEX(INDIRECT("'"&amp;$B$2&amp;"月"&amp;"'!A:AZ"),33,29+0)),"")</f>
        <v>新宿</v>
      </c>
      <c r="D239" s="58" t="str">
        <f ca="1">IFERROR(IF(INDEX(INDIRECT("'"&amp;$B$2&amp;"月"&amp;"'!A:AZ"),33,29+1)="","",INDEX(INDIRECT("'"&amp;$B$2&amp;"月"&amp;"'!A:AZ"),33,29+1)),"")</f>
        <v/>
      </c>
      <c r="E239" s="57" t="str">
        <f ca="1">IFERROR(IF(INDEX(INDIRECT("'"&amp;$B$2&amp;"月"&amp;"'!A:AZ"),33,29+2)="","",INDEX(INDIRECT("'"&amp;$B$2&amp;"月"&amp;"'!A:AZ"),33,29+2)),"")</f>
        <v>○</v>
      </c>
      <c r="F239" s="59" t="str">
        <f ca="1">IFERROR(IF(INDEX(INDIRECT("'"&amp;$B$2&amp;"月"&amp;"'!A:AZ"),33,29+3)="","",INDEX(INDIRECT("'"&amp;$B$2&amp;"月"&amp;"'!A:AZ"),33,29+3)),"")</f>
        <v/>
      </c>
      <c r="G239" s="57" t="str">
        <f ca="1">IFERROR(IF(INDEX(INDIRECT("'"&amp;$B$2&amp;"月"&amp;"'!A:AZ"),33,29+4)="","",INDEX(INDIRECT("'"&amp;$B$2&amp;"月"&amp;"'!A:AZ"),33,29+4)),"")</f>
        <v/>
      </c>
      <c r="H239" s="57"/>
    </row>
    <row r="240" spans="1:8" ht="13.5" customHeight="1">
      <c r="A240" s="57">
        <f>IF(DAY(DATE(対象年度,$B$2,31))&lt;&gt;31,"",31)</f>
        <v>31</v>
      </c>
      <c r="B240" s="57" t="str">
        <f>IF(DAY(DATE(対象年度,$B$2,31))&lt;&gt;31,"",CHOOSE(WEEKDAY(DATE(対象年度,$B$2,31),2),"月","火","水","木","金","土","日"))</f>
        <v>土</v>
      </c>
      <c r="C240" s="57" t="str">
        <f ca="1">IFERROR(IF(INDEX(INDIRECT("'"&amp;$B$2&amp;"月"&amp;"'!A:AZ"),34,29+0)="","",INDEX(INDIRECT("'"&amp;$B$2&amp;"月"&amp;"'!A:AZ"),34,29+0)),"")</f>
        <v>新宿</v>
      </c>
      <c r="D240" s="58" t="str">
        <f ca="1">IFERROR(IF(INDEX(INDIRECT("'"&amp;$B$2&amp;"月"&amp;"'!A:AZ"),34,29+1)="","",INDEX(INDIRECT("'"&amp;$B$2&amp;"月"&amp;"'!A:AZ"),34,29+1)),"")</f>
        <v/>
      </c>
      <c r="E240" s="57" t="str">
        <f ca="1">IFERROR(IF(INDEX(INDIRECT("'"&amp;$B$2&amp;"月"&amp;"'!A:AZ"),34,29+2)="","",INDEX(INDIRECT("'"&amp;$B$2&amp;"月"&amp;"'!A:AZ"),34,29+2)),"")</f>
        <v>○</v>
      </c>
      <c r="F240" s="59" t="str">
        <f ca="1">IFERROR(IF(INDEX(INDIRECT("'"&amp;$B$2&amp;"月"&amp;"'!A:AZ"),34,29+3)="","",INDEX(INDIRECT("'"&amp;$B$2&amp;"月"&amp;"'!A:AZ"),34,29+3)),"")</f>
        <v/>
      </c>
      <c r="G240" s="57" t="str">
        <f ca="1">IFERROR(IF(INDEX(INDIRECT("'"&amp;$B$2&amp;"月"&amp;"'!A:AZ"),34,29+4)="","",INDEX(INDIRECT("'"&amp;$B$2&amp;"月"&amp;"'!A:AZ"),34,29+4)),"")</f>
        <v/>
      </c>
      <c r="H240" s="57"/>
    </row>
    <row r="241" spans="1:8" ht="21.75" customHeight="1">
      <c r="A241" s="112" t="s">
        <v>87</v>
      </c>
      <c r="B241" s="112"/>
      <c r="C241" s="61" t="s">
        <v>71</v>
      </c>
      <c r="D241" s="62">
        <f ca="1">IFERROR(INDEX(INDIRECT("'"&amp;$B$2&amp;"月"&amp;"'!A:AZ"),35,29),0)</f>
        <v>10</v>
      </c>
      <c r="E241" s="63" t="s">
        <v>72</v>
      </c>
      <c r="F241" s="64">
        <f ca="1">IFERROR(INDEX(INDIRECT("'"&amp;$B$2&amp;"月"&amp;"'!A:AZ"),36,29),0)</f>
        <v>0</v>
      </c>
      <c r="G241" s="61" t="s">
        <v>73</v>
      </c>
      <c r="H241" s="62">
        <f ca="1">IFERROR(INDEX(INDIRECT("'"&amp;$B$2&amp;"月"&amp;"'!A:AZ"),38,29),0)</f>
        <v>0</v>
      </c>
    </row>
    <row r="242" spans="1:8" ht="24" customHeight="1">
      <c r="A242" s="113"/>
      <c r="B242" s="113"/>
      <c r="C242" s="65" t="s">
        <v>76</v>
      </c>
      <c r="D242" s="66">
        <f ca="1">IFERROR(INDEX(INDIRECT("'"&amp;$B$2&amp;"月"&amp;"'!A:AZ"),37,29),0)</f>
        <v>10</v>
      </c>
      <c r="E242" s="67" t="s">
        <v>64</v>
      </c>
      <c r="F242" s="68">
        <f ca="1">IFERROR(INDEX(INDIRECT("'"&amp;$B$2&amp;"月"&amp;"'!A:AZ"),39,29),0)</f>
        <v>0</v>
      </c>
      <c r="G242" s="69" t="s">
        <v>65</v>
      </c>
      <c r="H242" s="70">
        <f ca="1">IFERROR(INDEX(INDIRECT("'"&amp;$B$2&amp;"月"&amp;"'!A:AZ"),40,29),0)</f>
        <v>0</v>
      </c>
    </row>
    <row r="244" spans="1:8" ht="27.75" customHeight="1">
      <c r="A244" s="105" t="s">
        <v>78</v>
      </c>
      <c r="B244" s="105"/>
      <c r="C244" s="105"/>
      <c r="D244" s="105"/>
      <c r="E244" s="105"/>
      <c r="F244" s="105"/>
      <c r="G244" s="105"/>
      <c r="H244" s="105"/>
    </row>
    <row r="245" spans="1:8" ht="18" customHeight="1">
      <c r="A245" s="114" t="s">
        <v>17</v>
      </c>
      <c r="B245" s="114"/>
      <c r="C245" s="114"/>
      <c r="D245" s="114"/>
      <c r="E245" s="114"/>
      <c r="F245" s="114"/>
      <c r="G245" s="114"/>
      <c r="H245" s="114"/>
    </row>
    <row r="246" spans="1:8" ht="27.75" customHeight="1">
      <c r="A246" s="49" t="s">
        <v>79</v>
      </c>
      <c r="B246" s="115" t="str">
        <f>対象年度&amp;"年 "&amp;$B$2&amp;"月"</f>
        <v>2026年 1月</v>
      </c>
      <c r="C246" s="115"/>
      <c r="D246" s="49" t="s">
        <v>80</v>
      </c>
      <c r="E246" s="116" t="str">
        <f>IFERROR(従業員マスタ!$C$10,"")</f>
        <v>現場　花子</v>
      </c>
      <c r="F246" s="116"/>
      <c r="G246" s="116"/>
      <c r="H246" s="116"/>
    </row>
    <row r="247" spans="1:8" ht="19.5" customHeight="1">
      <c r="A247" s="73" t="s">
        <v>90</v>
      </c>
      <c r="B247" s="53" t="s">
        <v>91</v>
      </c>
      <c r="C247" s="120" t="s">
        <v>84</v>
      </c>
      <c r="D247" s="120"/>
      <c r="E247" s="120" t="s">
        <v>85</v>
      </c>
      <c r="F247" s="120"/>
      <c r="G247" s="117" t="s">
        <v>86</v>
      </c>
      <c r="H247" s="117"/>
    </row>
    <row r="248" spans="1:8" ht="43.5" customHeight="1">
      <c r="A248" s="74"/>
      <c r="B248" s="54"/>
      <c r="C248" s="111"/>
      <c r="D248" s="111"/>
      <c r="E248" s="111"/>
      <c r="F248" s="111"/>
      <c r="G248" s="111"/>
      <c r="H248" s="111"/>
    </row>
    <row r="249" spans="1:8" ht="19.5" customHeight="1">
      <c r="A249" s="55" t="s">
        <v>66</v>
      </c>
      <c r="B249" s="55" t="s">
        <v>67</v>
      </c>
      <c r="C249" s="55" t="s">
        <v>69</v>
      </c>
      <c r="D249" s="56" t="s">
        <v>70</v>
      </c>
      <c r="E249" s="55" t="s">
        <v>71</v>
      </c>
      <c r="F249" s="55" t="s">
        <v>72</v>
      </c>
      <c r="G249" s="55" t="s">
        <v>73</v>
      </c>
      <c r="H249" s="55" t="s">
        <v>57</v>
      </c>
    </row>
    <row r="250" spans="1:8" ht="13.5" customHeight="1">
      <c r="A250" s="57">
        <f>IF(DAY(DATE(対象年度,$B$2,1))&lt;&gt;1,"",1)</f>
        <v>1</v>
      </c>
      <c r="B250" s="57" t="str">
        <f>IF(DAY(DATE(対象年度,$B$2,1))&lt;&gt;1,"",CHOOSE(WEEKDAY(DATE(対象年度,$B$2,1),2),"月","火","水","木","金","土","日"))</f>
        <v>木</v>
      </c>
      <c r="C250" s="57" t="str">
        <f ca="1">IFERROR(IF(INDEX(INDIRECT("'"&amp;$B$2&amp;"月"&amp;"'!A:AZ"),4,34+0)="","",INDEX(INDIRECT("'"&amp;$B$2&amp;"月"&amp;"'!A:AZ"),4,34+0)),"")</f>
        <v/>
      </c>
      <c r="D250" s="58" t="str">
        <f ca="1">IFERROR(IF(INDEX(INDIRECT("'"&amp;$B$2&amp;"月"&amp;"'!A:AZ"),4,34+1)="","",INDEX(INDIRECT("'"&amp;$B$2&amp;"月"&amp;"'!A:AZ"),4,34+1)),"")</f>
        <v/>
      </c>
      <c r="E250" s="57" t="str">
        <f ca="1">IFERROR(IF(INDEX(INDIRECT("'"&amp;$B$2&amp;"月"&amp;"'!A:AZ"),4,34+2)="","",INDEX(INDIRECT("'"&amp;$B$2&amp;"月"&amp;"'!A:AZ"),4,34+2)),"")</f>
        <v/>
      </c>
      <c r="F250" s="59" t="str">
        <f ca="1">IFERROR(IF(INDEX(INDIRECT("'"&amp;$B$2&amp;"月"&amp;"'!A:AZ"),4,34+3)="","",INDEX(INDIRECT("'"&amp;$B$2&amp;"月"&amp;"'!A:AZ"),4,34+3)),"")</f>
        <v/>
      </c>
      <c r="G250" s="57" t="str">
        <f ca="1">IFERROR(IF(INDEX(INDIRECT("'"&amp;$B$2&amp;"月"&amp;"'!A:AZ"),4,34+4)="","",INDEX(INDIRECT("'"&amp;$B$2&amp;"月"&amp;"'!A:AZ"),4,34+4)),"")</f>
        <v/>
      </c>
      <c r="H250" s="57"/>
    </row>
    <row r="251" spans="1:8" ht="13.5" customHeight="1">
      <c r="A251" s="57">
        <f>IF(DAY(DATE(対象年度,$B$2,2))&lt;&gt;2,"",2)</f>
        <v>2</v>
      </c>
      <c r="B251" s="57" t="str">
        <f>IF(DAY(DATE(対象年度,$B$2,2))&lt;&gt;2,"",CHOOSE(WEEKDAY(DATE(対象年度,$B$2,2),2),"月","火","水","木","金","土","日"))</f>
        <v>金</v>
      </c>
      <c r="C251" s="57" t="str">
        <f ca="1">IFERROR(IF(INDEX(INDIRECT("'"&amp;$B$2&amp;"月"&amp;"'!A:AZ"),5,34+0)="","",INDEX(INDIRECT("'"&amp;$B$2&amp;"月"&amp;"'!A:AZ"),5,34+0)),"")</f>
        <v/>
      </c>
      <c r="D251" s="58" t="str">
        <f ca="1">IFERROR(IF(INDEX(INDIRECT("'"&amp;$B$2&amp;"月"&amp;"'!A:AZ"),5,34+1)="","",INDEX(INDIRECT("'"&amp;$B$2&amp;"月"&amp;"'!A:AZ"),5,34+1)),"")</f>
        <v/>
      </c>
      <c r="E251" s="57" t="str">
        <f ca="1">IFERROR(IF(INDEX(INDIRECT("'"&amp;$B$2&amp;"月"&amp;"'!A:AZ"),5,34+2)="","",INDEX(INDIRECT("'"&amp;$B$2&amp;"月"&amp;"'!A:AZ"),5,34+2)),"")</f>
        <v/>
      </c>
      <c r="F251" s="59" t="str">
        <f ca="1">IFERROR(IF(INDEX(INDIRECT("'"&amp;$B$2&amp;"月"&amp;"'!A:AZ"),5,34+3)="","",INDEX(INDIRECT("'"&amp;$B$2&amp;"月"&amp;"'!A:AZ"),5,34+3)),"")</f>
        <v/>
      </c>
      <c r="G251" s="57" t="str">
        <f ca="1">IFERROR(IF(INDEX(INDIRECT("'"&amp;$B$2&amp;"月"&amp;"'!A:AZ"),5,34+4)="","",INDEX(INDIRECT("'"&amp;$B$2&amp;"月"&amp;"'!A:AZ"),5,34+4)),"")</f>
        <v/>
      </c>
      <c r="H251" s="57"/>
    </row>
    <row r="252" spans="1:8" ht="13.5" customHeight="1">
      <c r="A252" s="57">
        <f>IF(DAY(DATE(対象年度,$B$2,3))&lt;&gt;3,"",3)</f>
        <v>3</v>
      </c>
      <c r="B252" s="57" t="str">
        <f>IF(DAY(DATE(対象年度,$B$2,3))&lt;&gt;3,"",CHOOSE(WEEKDAY(DATE(対象年度,$B$2,3),2),"月","火","水","木","金","土","日"))</f>
        <v>土</v>
      </c>
      <c r="C252" s="57" t="str">
        <f ca="1">IFERROR(IF(INDEX(INDIRECT("'"&amp;$B$2&amp;"月"&amp;"'!A:AZ"),6,34+0)="","",INDEX(INDIRECT("'"&amp;$B$2&amp;"月"&amp;"'!A:AZ"),6,34+0)),"")</f>
        <v/>
      </c>
      <c r="D252" s="58" t="str">
        <f ca="1">IFERROR(IF(INDEX(INDIRECT("'"&amp;$B$2&amp;"月"&amp;"'!A:AZ"),6,34+1)="","",INDEX(INDIRECT("'"&amp;$B$2&amp;"月"&amp;"'!A:AZ"),6,34+1)),"")</f>
        <v/>
      </c>
      <c r="E252" s="57" t="str">
        <f ca="1">IFERROR(IF(INDEX(INDIRECT("'"&amp;$B$2&amp;"月"&amp;"'!A:AZ"),6,34+2)="","",INDEX(INDIRECT("'"&amp;$B$2&amp;"月"&amp;"'!A:AZ"),6,34+2)),"")</f>
        <v/>
      </c>
      <c r="F252" s="59" t="str">
        <f ca="1">IFERROR(IF(INDEX(INDIRECT("'"&amp;$B$2&amp;"月"&amp;"'!A:AZ"),6,34+3)="","",INDEX(INDIRECT("'"&amp;$B$2&amp;"月"&amp;"'!A:AZ"),6,34+3)),"")</f>
        <v/>
      </c>
      <c r="G252" s="57" t="str">
        <f ca="1">IFERROR(IF(INDEX(INDIRECT("'"&amp;$B$2&amp;"月"&amp;"'!A:AZ"),6,34+4)="","",INDEX(INDIRECT("'"&amp;$B$2&amp;"月"&amp;"'!A:AZ"),6,34+4)),"")</f>
        <v/>
      </c>
      <c r="H252" s="57"/>
    </row>
    <row r="253" spans="1:8" ht="13.5" customHeight="1">
      <c r="A253" s="57">
        <f>IF(DAY(DATE(対象年度,$B$2,4))&lt;&gt;4,"",4)</f>
        <v>4</v>
      </c>
      <c r="B253" s="57" t="str">
        <f>IF(DAY(DATE(対象年度,$B$2,4))&lt;&gt;4,"",CHOOSE(WEEKDAY(DATE(対象年度,$B$2,4),2),"月","火","水","木","金","土","日"))</f>
        <v>日</v>
      </c>
      <c r="C253" s="57" t="str">
        <f ca="1">IFERROR(IF(INDEX(INDIRECT("'"&amp;$B$2&amp;"月"&amp;"'!A:AZ"),7,34+0)="","",INDEX(INDIRECT("'"&amp;$B$2&amp;"月"&amp;"'!A:AZ"),7,34+0)),"")</f>
        <v/>
      </c>
      <c r="D253" s="58" t="str">
        <f ca="1">IFERROR(IF(INDEX(INDIRECT("'"&amp;$B$2&amp;"月"&amp;"'!A:AZ"),7,34+1)="","",INDEX(INDIRECT("'"&amp;$B$2&amp;"月"&amp;"'!A:AZ"),7,34+1)),"")</f>
        <v/>
      </c>
      <c r="E253" s="57" t="str">
        <f ca="1">IFERROR(IF(INDEX(INDIRECT("'"&amp;$B$2&amp;"月"&amp;"'!A:AZ"),7,34+2)="","",INDEX(INDIRECT("'"&amp;$B$2&amp;"月"&amp;"'!A:AZ"),7,34+2)),"")</f>
        <v/>
      </c>
      <c r="F253" s="59" t="str">
        <f ca="1">IFERROR(IF(INDEX(INDIRECT("'"&amp;$B$2&amp;"月"&amp;"'!A:AZ"),7,34+3)="","",INDEX(INDIRECT("'"&amp;$B$2&amp;"月"&amp;"'!A:AZ"),7,34+3)),"")</f>
        <v/>
      </c>
      <c r="G253" s="57" t="str">
        <f ca="1">IFERROR(IF(INDEX(INDIRECT("'"&amp;$B$2&amp;"月"&amp;"'!A:AZ"),7,34+4)="","",INDEX(INDIRECT("'"&amp;$B$2&amp;"月"&amp;"'!A:AZ"),7,34+4)),"")</f>
        <v/>
      </c>
      <c r="H253" s="57"/>
    </row>
    <row r="254" spans="1:8" ht="13.5" customHeight="1">
      <c r="A254" s="57">
        <f>IF(DAY(DATE(対象年度,$B$2,5))&lt;&gt;5,"",5)</f>
        <v>5</v>
      </c>
      <c r="B254" s="57" t="str">
        <f>IF(DAY(DATE(対象年度,$B$2,5))&lt;&gt;5,"",CHOOSE(WEEKDAY(DATE(対象年度,$B$2,5),2),"月","火","水","木","金","土","日"))</f>
        <v>月</v>
      </c>
      <c r="C254" s="57" t="str">
        <f ca="1">IFERROR(IF(INDEX(INDIRECT("'"&amp;$B$2&amp;"月"&amp;"'!A:AZ"),8,34+0)="","",INDEX(INDIRECT("'"&amp;$B$2&amp;"月"&amp;"'!A:AZ"),8,34+0)),"")</f>
        <v/>
      </c>
      <c r="D254" s="58" t="str">
        <f ca="1">IFERROR(IF(INDEX(INDIRECT("'"&amp;$B$2&amp;"月"&amp;"'!A:AZ"),8,34+1)="","",INDEX(INDIRECT("'"&amp;$B$2&amp;"月"&amp;"'!A:AZ"),8,34+1)),"")</f>
        <v/>
      </c>
      <c r="E254" s="57" t="str">
        <f ca="1">IFERROR(IF(INDEX(INDIRECT("'"&amp;$B$2&amp;"月"&amp;"'!A:AZ"),8,34+2)="","",INDEX(INDIRECT("'"&amp;$B$2&amp;"月"&amp;"'!A:AZ"),8,34+2)),"")</f>
        <v/>
      </c>
      <c r="F254" s="59" t="str">
        <f ca="1">IFERROR(IF(INDEX(INDIRECT("'"&amp;$B$2&amp;"月"&amp;"'!A:AZ"),8,34+3)="","",INDEX(INDIRECT("'"&amp;$B$2&amp;"月"&amp;"'!A:AZ"),8,34+3)),"")</f>
        <v/>
      </c>
      <c r="G254" s="57" t="str">
        <f ca="1">IFERROR(IF(INDEX(INDIRECT("'"&amp;$B$2&amp;"月"&amp;"'!A:AZ"),8,34+4)="","",INDEX(INDIRECT("'"&amp;$B$2&amp;"月"&amp;"'!A:AZ"),8,34+4)),"")</f>
        <v/>
      </c>
      <c r="H254" s="57"/>
    </row>
    <row r="255" spans="1:8" ht="13.5" customHeight="1">
      <c r="A255" s="57">
        <f>IF(DAY(DATE(対象年度,$B$2,6))&lt;&gt;6,"",6)</f>
        <v>6</v>
      </c>
      <c r="B255" s="57" t="str">
        <f>IF(DAY(DATE(対象年度,$B$2,6))&lt;&gt;6,"",CHOOSE(WEEKDAY(DATE(対象年度,$B$2,6),2),"月","火","水","木","金","土","日"))</f>
        <v>火</v>
      </c>
      <c r="C255" s="57" t="str">
        <f ca="1">IFERROR(IF(INDEX(INDIRECT("'"&amp;$B$2&amp;"月"&amp;"'!A:AZ"),9,34+0)="","",INDEX(INDIRECT("'"&amp;$B$2&amp;"月"&amp;"'!A:AZ"),9,34+0)),"")</f>
        <v/>
      </c>
      <c r="D255" s="58" t="str">
        <f ca="1">IFERROR(IF(INDEX(INDIRECT("'"&amp;$B$2&amp;"月"&amp;"'!A:AZ"),9,34+1)="","",INDEX(INDIRECT("'"&amp;$B$2&amp;"月"&amp;"'!A:AZ"),9,34+1)),"")</f>
        <v/>
      </c>
      <c r="E255" s="57" t="str">
        <f ca="1">IFERROR(IF(INDEX(INDIRECT("'"&amp;$B$2&amp;"月"&amp;"'!A:AZ"),9,34+2)="","",INDEX(INDIRECT("'"&amp;$B$2&amp;"月"&amp;"'!A:AZ"),9,34+2)),"")</f>
        <v/>
      </c>
      <c r="F255" s="59" t="str">
        <f ca="1">IFERROR(IF(INDEX(INDIRECT("'"&amp;$B$2&amp;"月"&amp;"'!A:AZ"),9,34+3)="","",INDEX(INDIRECT("'"&amp;$B$2&amp;"月"&amp;"'!A:AZ"),9,34+3)),"")</f>
        <v/>
      </c>
      <c r="G255" s="57" t="str">
        <f ca="1">IFERROR(IF(INDEX(INDIRECT("'"&amp;$B$2&amp;"月"&amp;"'!A:AZ"),9,34+4)="","",INDEX(INDIRECT("'"&amp;$B$2&amp;"月"&amp;"'!A:AZ"),9,34+4)),"")</f>
        <v/>
      </c>
      <c r="H255" s="57"/>
    </row>
    <row r="256" spans="1:8" ht="13.5" customHeight="1">
      <c r="A256" s="57">
        <f>IF(DAY(DATE(対象年度,$B$2,7))&lt;&gt;7,"",7)</f>
        <v>7</v>
      </c>
      <c r="B256" s="57" t="str">
        <f>IF(DAY(DATE(対象年度,$B$2,7))&lt;&gt;7,"",CHOOSE(WEEKDAY(DATE(対象年度,$B$2,7),2),"月","火","水","木","金","土","日"))</f>
        <v>水</v>
      </c>
      <c r="C256" s="57" t="str">
        <f ca="1">IFERROR(IF(INDEX(INDIRECT("'"&amp;$B$2&amp;"月"&amp;"'!A:AZ"),10,34+0)="","",INDEX(INDIRECT("'"&amp;$B$2&amp;"月"&amp;"'!A:AZ"),10,34+0)),"")</f>
        <v/>
      </c>
      <c r="D256" s="58" t="str">
        <f ca="1">IFERROR(IF(INDEX(INDIRECT("'"&amp;$B$2&amp;"月"&amp;"'!A:AZ"),10,34+1)="","",INDEX(INDIRECT("'"&amp;$B$2&amp;"月"&amp;"'!A:AZ"),10,34+1)),"")</f>
        <v/>
      </c>
      <c r="E256" s="57" t="str">
        <f ca="1">IFERROR(IF(INDEX(INDIRECT("'"&amp;$B$2&amp;"月"&amp;"'!A:AZ"),10,34+2)="","",INDEX(INDIRECT("'"&amp;$B$2&amp;"月"&amp;"'!A:AZ"),10,34+2)),"")</f>
        <v/>
      </c>
      <c r="F256" s="59" t="str">
        <f ca="1">IFERROR(IF(INDEX(INDIRECT("'"&amp;$B$2&amp;"月"&amp;"'!A:AZ"),10,34+3)="","",INDEX(INDIRECT("'"&amp;$B$2&amp;"月"&amp;"'!A:AZ"),10,34+3)),"")</f>
        <v/>
      </c>
      <c r="G256" s="57" t="str">
        <f ca="1">IFERROR(IF(INDEX(INDIRECT("'"&amp;$B$2&amp;"月"&amp;"'!A:AZ"),10,34+4)="","",INDEX(INDIRECT("'"&amp;$B$2&amp;"月"&amp;"'!A:AZ"),10,34+4)),"")</f>
        <v/>
      </c>
      <c r="H256" s="57"/>
    </row>
    <row r="257" spans="1:8" ht="13.5" customHeight="1">
      <c r="A257" s="57">
        <f>IF(DAY(DATE(対象年度,$B$2,8))&lt;&gt;8,"",8)</f>
        <v>8</v>
      </c>
      <c r="B257" s="57" t="str">
        <f>IF(DAY(DATE(対象年度,$B$2,8))&lt;&gt;8,"",CHOOSE(WEEKDAY(DATE(対象年度,$B$2,8),2),"月","火","水","木","金","土","日"))</f>
        <v>木</v>
      </c>
      <c r="C257" s="57" t="str">
        <f ca="1">IFERROR(IF(INDEX(INDIRECT("'"&amp;$B$2&amp;"月"&amp;"'!A:AZ"),11,34+0)="","",INDEX(INDIRECT("'"&amp;$B$2&amp;"月"&amp;"'!A:AZ"),11,34+0)),"")</f>
        <v/>
      </c>
      <c r="D257" s="58" t="str">
        <f ca="1">IFERROR(IF(INDEX(INDIRECT("'"&amp;$B$2&amp;"月"&amp;"'!A:AZ"),11,34+1)="","",INDEX(INDIRECT("'"&amp;$B$2&amp;"月"&amp;"'!A:AZ"),11,34+1)),"")</f>
        <v/>
      </c>
      <c r="E257" s="57" t="str">
        <f ca="1">IFERROR(IF(INDEX(INDIRECT("'"&amp;$B$2&amp;"月"&amp;"'!A:AZ"),11,34+2)="","",INDEX(INDIRECT("'"&amp;$B$2&amp;"月"&amp;"'!A:AZ"),11,34+2)),"")</f>
        <v/>
      </c>
      <c r="F257" s="59" t="str">
        <f ca="1">IFERROR(IF(INDEX(INDIRECT("'"&amp;$B$2&amp;"月"&amp;"'!A:AZ"),11,34+3)="","",INDEX(INDIRECT("'"&amp;$B$2&amp;"月"&amp;"'!A:AZ"),11,34+3)),"")</f>
        <v/>
      </c>
      <c r="G257" s="57" t="str">
        <f ca="1">IFERROR(IF(INDEX(INDIRECT("'"&amp;$B$2&amp;"月"&amp;"'!A:AZ"),11,34+4)="","",INDEX(INDIRECT("'"&amp;$B$2&amp;"月"&amp;"'!A:AZ"),11,34+4)),"")</f>
        <v/>
      </c>
      <c r="H257" s="57"/>
    </row>
    <row r="258" spans="1:8" ht="13.5" customHeight="1">
      <c r="A258" s="57">
        <f>IF(DAY(DATE(対象年度,$B$2,9))&lt;&gt;9,"",9)</f>
        <v>9</v>
      </c>
      <c r="B258" s="57" t="str">
        <f>IF(DAY(DATE(対象年度,$B$2,9))&lt;&gt;9,"",CHOOSE(WEEKDAY(DATE(対象年度,$B$2,9),2),"月","火","水","木","金","土","日"))</f>
        <v>金</v>
      </c>
      <c r="C258" s="57" t="str">
        <f ca="1">IFERROR(IF(INDEX(INDIRECT("'"&amp;$B$2&amp;"月"&amp;"'!A:AZ"),12,34+0)="","",INDEX(INDIRECT("'"&amp;$B$2&amp;"月"&amp;"'!A:AZ"),12,34+0)),"")</f>
        <v/>
      </c>
      <c r="D258" s="58" t="str">
        <f ca="1">IFERROR(IF(INDEX(INDIRECT("'"&amp;$B$2&amp;"月"&amp;"'!A:AZ"),12,34+1)="","",INDEX(INDIRECT("'"&amp;$B$2&amp;"月"&amp;"'!A:AZ"),12,34+1)),"")</f>
        <v/>
      </c>
      <c r="E258" s="57" t="str">
        <f ca="1">IFERROR(IF(INDEX(INDIRECT("'"&amp;$B$2&amp;"月"&amp;"'!A:AZ"),12,34+2)="","",INDEX(INDIRECT("'"&amp;$B$2&amp;"月"&amp;"'!A:AZ"),12,34+2)),"")</f>
        <v/>
      </c>
      <c r="F258" s="59" t="str">
        <f ca="1">IFERROR(IF(INDEX(INDIRECT("'"&amp;$B$2&amp;"月"&amp;"'!A:AZ"),12,34+3)="","",INDEX(INDIRECT("'"&amp;$B$2&amp;"月"&amp;"'!A:AZ"),12,34+3)),"")</f>
        <v/>
      </c>
      <c r="G258" s="57" t="str">
        <f ca="1">IFERROR(IF(INDEX(INDIRECT("'"&amp;$B$2&amp;"月"&amp;"'!A:AZ"),12,34+4)="","",INDEX(INDIRECT("'"&amp;$B$2&amp;"月"&amp;"'!A:AZ"),12,34+4)),"")</f>
        <v/>
      </c>
      <c r="H258" s="57"/>
    </row>
    <row r="259" spans="1:8" ht="13.5" customHeight="1">
      <c r="A259" s="57">
        <f>IF(DAY(DATE(対象年度,$B$2,10))&lt;&gt;10,"",10)</f>
        <v>10</v>
      </c>
      <c r="B259" s="57" t="str">
        <f>IF(DAY(DATE(対象年度,$B$2,10))&lt;&gt;10,"",CHOOSE(WEEKDAY(DATE(対象年度,$B$2,10),2),"月","火","水","木","金","土","日"))</f>
        <v>土</v>
      </c>
      <c r="C259" s="57" t="str">
        <f ca="1">IFERROR(IF(INDEX(INDIRECT("'"&amp;$B$2&amp;"月"&amp;"'!A:AZ"),13,34+0)="","",INDEX(INDIRECT("'"&amp;$B$2&amp;"月"&amp;"'!A:AZ"),13,34+0)),"")</f>
        <v/>
      </c>
      <c r="D259" s="58" t="str">
        <f ca="1">IFERROR(IF(INDEX(INDIRECT("'"&amp;$B$2&amp;"月"&amp;"'!A:AZ"),13,34+1)="","",INDEX(INDIRECT("'"&amp;$B$2&amp;"月"&amp;"'!A:AZ"),13,34+1)),"")</f>
        <v/>
      </c>
      <c r="E259" s="57" t="str">
        <f ca="1">IFERROR(IF(INDEX(INDIRECT("'"&amp;$B$2&amp;"月"&amp;"'!A:AZ"),13,34+2)="","",INDEX(INDIRECT("'"&amp;$B$2&amp;"月"&amp;"'!A:AZ"),13,34+2)),"")</f>
        <v/>
      </c>
      <c r="F259" s="59" t="str">
        <f ca="1">IFERROR(IF(INDEX(INDIRECT("'"&amp;$B$2&amp;"月"&amp;"'!A:AZ"),13,34+3)="","",INDEX(INDIRECT("'"&amp;$B$2&amp;"月"&amp;"'!A:AZ"),13,34+3)),"")</f>
        <v/>
      </c>
      <c r="G259" s="57" t="str">
        <f ca="1">IFERROR(IF(INDEX(INDIRECT("'"&amp;$B$2&amp;"月"&amp;"'!A:AZ"),13,34+4)="","",INDEX(INDIRECT("'"&amp;$B$2&amp;"月"&amp;"'!A:AZ"),13,34+4)),"")</f>
        <v/>
      </c>
      <c r="H259" s="57"/>
    </row>
    <row r="260" spans="1:8" ht="13.5" customHeight="1">
      <c r="A260" s="57">
        <f>IF(DAY(DATE(対象年度,$B$2,11))&lt;&gt;11,"",11)</f>
        <v>11</v>
      </c>
      <c r="B260" s="57" t="str">
        <f>IF(DAY(DATE(対象年度,$B$2,11))&lt;&gt;11,"",CHOOSE(WEEKDAY(DATE(対象年度,$B$2,11),2),"月","火","水","木","金","土","日"))</f>
        <v>日</v>
      </c>
      <c r="C260" s="57" t="str">
        <f ca="1">IFERROR(IF(INDEX(INDIRECT("'"&amp;$B$2&amp;"月"&amp;"'!A:AZ"),14,34+0)="","",INDEX(INDIRECT("'"&amp;$B$2&amp;"月"&amp;"'!A:AZ"),14,34+0)),"")</f>
        <v/>
      </c>
      <c r="D260" s="58" t="str">
        <f ca="1">IFERROR(IF(INDEX(INDIRECT("'"&amp;$B$2&amp;"月"&amp;"'!A:AZ"),14,34+1)="","",INDEX(INDIRECT("'"&amp;$B$2&amp;"月"&amp;"'!A:AZ"),14,34+1)),"")</f>
        <v/>
      </c>
      <c r="E260" s="57" t="str">
        <f ca="1">IFERROR(IF(INDEX(INDIRECT("'"&amp;$B$2&amp;"月"&amp;"'!A:AZ"),14,34+2)="","",INDEX(INDIRECT("'"&amp;$B$2&amp;"月"&amp;"'!A:AZ"),14,34+2)),"")</f>
        <v/>
      </c>
      <c r="F260" s="59" t="str">
        <f ca="1">IFERROR(IF(INDEX(INDIRECT("'"&amp;$B$2&amp;"月"&amp;"'!A:AZ"),14,34+3)="","",INDEX(INDIRECT("'"&amp;$B$2&amp;"月"&amp;"'!A:AZ"),14,34+3)),"")</f>
        <v/>
      </c>
      <c r="G260" s="57" t="str">
        <f ca="1">IFERROR(IF(INDEX(INDIRECT("'"&amp;$B$2&amp;"月"&amp;"'!A:AZ"),14,34+4)="","",INDEX(INDIRECT("'"&amp;$B$2&amp;"月"&amp;"'!A:AZ"),14,34+4)),"")</f>
        <v/>
      </c>
      <c r="H260" s="57"/>
    </row>
    <row r="261" spans="1:8" ht="13.5" customHeight="1">
      <c r="A261" s="57">
        <f>IF(DAY(DATE(対象年度,$B$2,12))&lt;&gt;12,"",12)</f>
        <v>12</v>
      </c>
      <c r="B261" s="57" t="str">
        <f>IF(DAY(DATE(対象年度,$B$2,12))&lt;&gt;12,"",CHOOSE(WEEKDAY(DATE(対象年度,$B$2,12),2),"月","火","水","木","金","土","日"))</f>
        <v>月</v>
      </c>
      <c r="C261" s="57" t="str">
        <f ca="1">IFERROR(IF(INDEX(INDIRECT("'"&amp;$B$2&amp;"月"&amp;"'!A:AZ"),15,34+0)="","",INDEX(INDIRECT("'"&amp;$B$2&amp;"月"&amp;"'!A:AZ"),15,34+0)),"")</f>
        <v/>
      </c>
      <c r="D261" s="58" t="str">
        <f ca="1">IFERROR(IF(INDEX(INDIRECT("'"&amp;$B$2&amp;"月"&amp;"'!A:AZ"),15,34+1)="","",INDEX(INDIRECT("'"&amp;$B$2&amp;"月"&amp;"'!A:AZ"),15,34+1)),"")</f>
        <v/>
      </c>
      <c r="E261" s="57" t="str">
        <f ca="1">IFERROR(IF(INDEX(INDIRECT("'"&amp;$B$2&amp;"月"&amp;"'!A:AZ"),15,34+2)="","",INDEX(INDIRECT("'"&amp;$B$2&amp;"月"&amp;"'!A:AZ"),15,34+2)),"")</f>
        <v/>
      </c>
      <c r="F261" s="59" t="str">
        <f ca="1">IFERROR(IF(INDEX(INDIRECT("'"&amp;$B$2&amp;"月"&amp;"'!A:AZ"),15,34+3)="","",INDEX(INDIRECT("'"&amp;$B$2&amp;"月"&amp;"'!A:AZ"),15,34+3)),"")</f>
        <v/>
      </c>
      <c r="G261" s="57" t="str">
        <f ca="1">IFERROR(IF(INDEX(INDIRECT("'"&amp;$B$2&amp;"月"&amp;"'!A:AZ"),15,34+4)="","",INDEX(INDIRECT("'"&amp;$B$2&amp;"月"&amp;"'!A:AZ"),15,34+4)),"")</f>
        <v/>
      </c>
      <c r="H261" s="57"/>
    </row>
    <row r="262" spans="1:8" ht="13.5" customHeight="1">
      <c r="A262" s="57">
        <f>IF(DAY(DATE(対象年度,$B$2,13))&lt;&gt;13,"",13)</f>
        <v>13</v>
      </c>
      <c r="B262" s="57" t="str">
        <f>IF(DAY(DATE(対象年度,$B$2,13))&lt;&gt;13,"",CHOOSE(WEEKDAY(DATE(対象年度,$B$2,13),2),"月","火","水","木","金","土","日"))</f>
        <v>火</v>
      </c>
      <c r="C262" s="57" t="str">
        <f ca="1">IFERROR(IF(INDEX(INDIRECT("'"&amp;$B$2&amp;"月"&amp;"'!A:AZ"),16,34+0)="","",INDEX(INDIRECT("'"&amp;$B$2&amp;"月"&amp;"'!A:AZ"),16,34+0)),"")</f>
        <v/>
      </c>
      <c r="D262" s="58" t="str">
        <f ca="1">IFERROR(IF(INDEX(INDIRECT("'"&amp;$B$2&amp;"月"&amp;"'!A:AZ"),16,34+1)="","",INDEX(INDIRECT("'"&amp;$B$2&amp;"月"&amp;"'!A:AZ"),16,34+1)),"")</f>
        <v/>
      </c>
      <c r="E262" s="57" t="str">
        <f ca="1">IFERROR(IF(INDEX(INDIRECT("'"&amp;$B$2&amp;"月"&amp;"'!A:AZ"),16,34+2)="","",INDEX(INDIRECT("'"&amp;$B$2&amp;"月"&amp;"'!A:AZ"),16,34+2)),"")</f>
        <v/>
      </c>
      <c r="F262" s="59" t="str">
        <f ca="1">IFERROR(IF(INDEX(INDIRECT("'"&amp;$B$2&amp;"月"&amp;"'!A:AZ"),16,34+3)="","",INDEX(INDIRECT("'"&amp;$B$2&amp;"月"&amp;"'!A:AZ"),16,34+3)),"")</f>
        <v/>
      </c>
      <c r="G262" s="57" t="str">
        <f ca="1">IFERROR(IF(INDEX(INDIRECT("'"&amp;$B$2&amp;"月"&amp;"'!A:AZ"),16,34+4)="","",INDEX(INDIRECT("'"&amp;$B$2&amp;"月"&amp;"'!A:AZ"),16,34+4)),"")</f>
        <v/>
      </c>
      <c r="H262" s="57"/>
    </row>
    <row r="263" spans="1:8" ht="13.5" customHeight="1">
      <c r="A263" s="57">
        <f>IF(DAY(DATE(対象年度,$B$2,14))&lt;&gt;14,"",14)</f>
        <v>14</v>
      </c>
      <c r="B263" s="57" t="str">
        <f>IF(DAY(DATE(対象年度,$B$2,14))&lt;&gt;14,"",CHOOSE(WEEKDAY(DATE(対象年度,$B$2,14),2),"月","火","水","木","金","土","日"))</f>
        <v>水</v>
      </c>
      <c r="C263" s="57" t="str">
        <f ca="1">IFERROR(IF(INDEX(INDIRECT("'"&amp;$B$2&amp;"月"&amp;"'!A:AZ"),17,34+0)="","",INDEX(INDIRECT("'"&amp;$B$2&amp;"月"&amp;"'!A:AZ"),17,34+0)),"")</f>
        <v/>
      </c>
      <c r="D263" s="58" t="str">
        <f ca="1">IFERROR(IF(INDEX(INDIRECT("'"&amp;$B$2&amp;"月"&amp;"'!A:AZ"),17,34+1)="","",INDEX(INDIRECT("'"&amp;$B$2&amp;"月"&amp;"'!A:AZ"),17,34+1)),"")</f>
        <v/>
      </c>
      <c r="E263" s="57" t="str">
        <f ca="1">IFERROR(IF(INDEX(INDIRECT("'"&amp;$B$2&amp;"月"&amp;"'!A:AZ"),17,34+2)="","",INDEX(INDIRECT("'"&amp;$B$2&amp;"月"&amp;"'!A:AZ"),17,34+2)),"")</f>
        <v/>
      </c>
      <c r="F263" s="59" t="str">
        <f ca="1">IFERROR(IF(INDEX(INDIRECT("'"&amp;$B$2&amp;"月"&amp;"'!A:AZ"),17,34+3)="","",INDEX(INDIRECT("'"&amp;$B$2&amp;"月"&amp;"'!A:AZ"),17,34+3)),"")</f>
        <v/>
      </c>
      <c r="G263" s="57" t="str">
        <f ca="1">IFERROR(IF(INDEX(INDIRECT("'"&amp;$B$2&amp;"月"&amp;"'!A:AZ"),17,34+4)="","",INDEX(INDIRECT("'"&amp;$B$2&amp;"月"&amp;"'!A:AZ"),17,34+4)),"")</f>
        <v/>
      </c>
      <c r="H263" s="57"/>
    </row>
    <row r="264" spans="1:8" ht="13.5" customHeight="1">
      <c r="A264" s="57">
        <f>IF(DAY(DATE(対象年度,$B$2,15))&lt;&gt;15,"",15)</f>
        <v>15</v>
      </c>
      <c r="B264" s="57" t="str">
        <f>IF(DAY(DATE(対象年度,$B$2,15))&lt;&gt;15,"",CHOOSE(WEEKDAY(DATE(対象年度,$B$2,15),2),"月","火","水","木","金","土","日"))</f>
        <v>木</v>
      </c>
      <c r="C264" s="57" t="str">
        <f ca="1">IFERROR(IF(INDEX(INDIRECT("'"&amp;$B$2&amp;"月"&amp;"'!A:AZ"),18,34+0)="","",INDEX(INDIRECT("'"&amp;$B$2&amp;"月"&amp;"'!A:AZ"),18,34+0)),"")</f>
        <v/>
      </c>
      <c r="D264" s="58" t="str">
        <f ca="1">IFERROR(IF(INDEX(INDIRECT("'"&amp;$B$2&amp;"月"&amp;"'!A:AZ"),18,34+1)="","",INDEX(INDIRECT("'"&amp;$B$2&amp;"月"&amp;"'!A:AZ"),18,34+1)),"")</f>
        <v/>
      </c>
      <c r="E264" s="57" t="str">
        <f ca="1">IFERROR(IF(INDEX(INDIRECT("'"&amp;$B$2&amp;"月"&amp;"'!A:AZ"),18,34+2)="","",INDEX(INDIRECT("'"&amp;$B$2&amp;"月"&amp;"'!A:AZ"),18,34+2)),"")</f>
        <v/>
      </c>
      <c r="F264" s="59" t="str">
        <f ca="1">IFERROR(IF(INDEX(INDIRECT("'"&amp;$B$2&amp;"月"&amp;"'!A:AZ"),18,34+3)="","",INDEX(INDIRECT("'"&amp;$B$2&amp;"月"&amp;"'!A:AZ"),18,34+3)),"")</f>
        <v/>
      </c>
      <c r="G264" s="57" t="str">
        <f ca="1">IFERROR(IF(INDEX(INDIRECT("'"&amp;$B$2&amp;"月"&amp;"'!A:AZ"),18,34+4)="","",INDEX(INDIRECT("'"&amp;$B$2&amp;"月"&amp;"'!A:AZ"),18,34+4)),"")</f>
        <v/>
      </c>
      <c r="H264" s="57"/>
    </row>
    <row r="265" spans="1:8" ht="13.5" customHeight="1">
      <c r="A265" s="57">
        <f>IF(DAY(DATE(対象年度,$B$2,16))&lt;&gt;16,"",16)</f>
        <v>16</v>
      </c>
      <c r="B265" s="57" t="str">
        <f>IF(DAY(DATE(対象年度,$B$2,16))&lt;&gt;16,"",CHOOSE(WEEKDAY(DATE(対象年度,$B$2,16),2),"月","火","水","木","金","土","日"))</f>
        <v>金</v>
      </c>
      <c r="C265" s="57" t="str">
        <f ca="1">IFERROR(IF(INDEX(INDIRECT("'"&amp;$B$2&amp;"月"&amp;"'!A:AZ"),19,34+0)="","",INDEX(INDIRECT("'"&amp;$B$2&amp;"月"&amp;"'!A:AZ"),19,34+0)),"")</f>
        <v/>
      </c>
      <c r="D265" s="58" t="str">
        <f ca="1">IFERROR(IF(INDEX(INDIRECT("'"&amp;$B$2&amp;"月"&amp;"'!A:AZ"),19,34+1)="","",INDEX(INDIRECT("'"&amp;$B$2&amp;"月"&amp;"'!A:AZ"),19,34+1)),"")</f>
        <v/>
      </c>
      <c r="E265" s="57" t="str">
        <f ca="1">IFERROR(IF(INDEX(INDIRECT("'"&amp;$B$2&amp;"月"&amp;"'!A:AZ"),19,34+2)="","",INDEX(INDIRECT("'"&amp;$B$2&amp;"月"&amp;"'!A:AZ"),19,34+2)),"")</f>
        <v/>
      </c>
      <c r="F265" s="59" t="str">
        <f ca="1">IFERROR(IF(INDEX(INDIRECT("'"&amp;$B$2&amp;"月"&amp;"'!A:AZ"),19,34+3)="","",INDEX(INDIRECT("'"&amp;$B$2&amp;"月"&amp;"'!A:AZ"),19,34+3)),"")</f>
        <v/>
      </c>
      <c r="G265" s="57" t="str">
        <f ca="1">IFERROR(IF(INDEX(INDIRECT("'"&amp;$B$2&amp;"月"&amp;"'!A:AZ"),19,34+4)="","",INDEX(INDIRECT("'"&amp;$B$2&amp;"月"&amp;"'!A:AZ"),19,34+4)),"")</f>
        <v/>
      </c>
      <c r="H265" s="57"/>
    </row>
    <row r="266" spans="1:8" ht="13.5" customHeight="1">
      <c r="A266" s="57">
        <f>IF(DAY(DATE(対象年度,$B$2,17))&lt;&gt;17,"",17)</f>
        <v>17</v>
      </c>
      <c r="B266" s="57" t="str">
        <f>IF(DAY(DATE(対象年度,$B$2,17))&lt;&gt;17,"",CHOOSE(WEEKDAY(DATE(対象年度,$B$2,17),2),"月","火","水","木","金","土","日"))</f>
        <v>土</v>
      </c>
      <c r="C266" s="57" t="str">
        <f ca="1">IFERROR(IF(INDEX(INDIRECT("'"&amp;$B$2&amp;"月"&amp;"'!A:AZ"),20,34+0)="","",INDEX(INDIRECT("'"&amp;$B$2&amp;"月"&amp;"'!A:AZ"),20,34+0)),"")</f>
        <v/>
      </c>
      <c r="D266" s="58" t="str">
        <f ca="1">IFERROR(IF(INDEX(INDIRECT("'"&amp;$B$2&amp;"月"&amp;"'!A:AZ"),20,34+1)="","",INDEX(INDIRECT("'"&amp;$B$2&amp;"月"&amp;"'!A:AZ"),20,34+1)),"")</f>
        <v/>
      </c>
      <c r="E266" s="57" t="str">
        <f ca="1">IFERROR(IF(INDEX(INDIRECT("'"&amp;$B$2&amp;"月"&amp;"'!A:AZ"),20,34+2)="","",INDEX(INDIRECT("'"&amp;$B$2&amp;"月"&amp;"'!A:AZ"),20,34+2)),"")</f>
        <v/>
      </c>
      <c r="F266" s="59" t="str">
        <f ca="1">IFERROR(IF(INDEX(INDIRECT("'"&amp;$B$2&amp;"月"&amp;"'!A:AZ"),20,34+3)="","",INDEX(INDIRECT("'"&amp;$B$2&amp;"月"&amp;"'!A:AZ"),20,34+3)),"")</f>
        <v/>
      </c>
      <c r="G266" s="57" t="str">
        <f ca="1">IFERROR(IF(INDEX(INDIRECT("'"&amp;$B$2&amp;"月"&amp;"'!A:AZ"),20,34+4)="","",INDEX(INDIRECT("'"&amp;$B$2&amp;"月"&amp;"'!A:AZ"),20,34+4)),"")</f>
        <v/>
      </c>
      <c r="H266" s="57"/>
    </row>
    <row r="267" spans="1:8" ht="13.5" customHeight="1">
      <c r="A267" s="57">
        <f>IF(DAY(DATE(対象年度,$B$2,18))&lt;&gt;18,"",18)</f>
        <v>18</v>
      </c>
      <c r="B267" s="57" t="str">
        <f>IF(DAY(DATE(対象年度,$B$2,18))&lt;&gt;18,"",CHOOSE(WEEKDAY(DATE(対象年度,$B$2,18),2),"月","火","水","木","金","土","日"))</f>
        <v>日</v>
      </c>
      <c r="C267" s="57" t="str">
        <f ca="1">IFERROR(IF(INDEX(INDIRECT("'"&amp;$B$2&amp;"月"&amp;"'!A:AZ"),21,34+0)="","",INDEX(INDIRECT("'"&amp;$B$2&amp;"月"&amp;"'!A:AZ"),21,34+0)),"")</f>
        <v/>
      </c>
      <c r="D267" s="58" t="str">
        <f ca="1">IFERROR(IF(INDEX(INDIRECT("'"&amp;$B$2&amp;"月"&amp;"'!A:AZ"),21,34+1)="","",INDEX(INDIRECT("'"&amp;$B$2&amp;"月"&amp;"'!A:AZ"),21,34+1)),"")</f>
        <v/>
      </c>
      <c r="E267" s="57" t="str">
        <f ca="1">IFERROR(IF(INDEX(INDIRECT("'"&amp;$B$2&amp;"月"&amp;"'!A:AZ"),21,34+2)="","",INDEX(INDIRECT("'"&amp;$B$2&amp;"月"&amp;"'!A:AZ"),21,34+2)),"")</f>
        <v/>
      </c>
      <c r="F267" s="59" t="str">
        <f ca="1">IFERROR(IF(INDEX(INDIRECT("'"&amp;$B$2&amp;"月"&amp;"'!A:AZ"),21,34+3)="","",INDEX(INDIRECT("'"&amp;$B$2&amp;"月"&amp;"'!A:AZ"),21,34+3)),"")</f>
        <v/>
      </c>
      <c r="G267" s="57" t="str">
        <f ca="1">IFERROR(IF(INDEX(INDIRECT("'"&amp;$B$2&amp;"月"&amp;"'!A:AZ"),21,34+4)="","",INDEX(INDIRECT("'"&amp;$B$2&amp;"月"&amp;"'!A:AZ"),21,34+4)),"")</f>
        <v/>
      </c>
      <c r="H267" s="57"/>
    </row>
    <row r="268" spans="1:8" ht="13.5" customHeight="1">
      <c r="A268" s="57">
        <f>IF(DAY(DATE(対象年度,$B$2,19))&lt;&gt;19,"",19)</f>
        <v>19</v>
      </c>
      <c r="B268" s="57" t="str">
        <f>IF(DAY(DATE(対象年度,$B$2,19))&lt;&gt;19,"",CHOOSE(WEEKDAY(DATE(対象年度,$B$2,19),2),"月","火","水","木","金","土","日"))</f>
        <v>月</v>
      </c>
      <c r="C268" s="57" t="str">
        <f ca="1">IFERROR(IF(INDEX(INDIRECT("'"&amp;$B$2&amp;"月"&amp;"'!A:AZ"),22,34+0)="","",INDEX(INDIRECT("'"&amp;$B$2&amp;"月"&amp;"'!A:AZ"),22,34+0)),"")</f>
        <v/>
      </c>
      <c r="D268" s="58" t="str">
        <f ca="1">IFERROR(IF(INDEX(INDIRECT("'"&amp;$B$2&amp;"月"&amp;"'!A:AZ"),22,34+1)="","",INDEX(INDIRECT("'"&amp;$B$2&amp;"月"&amp;"'!A:AZ"),22,34+1)),"")</f>
        <v/>
      </c>
      <c r="E268" s="57" t="str">
        <f ca="1">IFERROR(IF(INDEX(INDIRECT("'"&amp;$B$2&amp;"月"&amp;"'!A:AZ"),22,34+2)="","",INDEX(INDIRECT("'"&amp;$B$2&amp;"月"&amp;"'!A:AZ"),22,34+2)),"")</f>
        <v/>
      </c>
      <c r="F268" s="59" t="str">
        <f ca="1">IFERROR(IF(INDEX(INDIRECT("'"&amp;$B$2&amp;"月"&amp;"'!A:AZ"),22,34+3)="","",INDEX(INDIRECT("'"&amp;$B$2&amp;"月"&amp;"'!A:AZ"),22,34+3)),"")</f>
        <v/>
      </c>
      <c r="G268" s="57" t="str">
        <f ca="1">IFERROR(IF(INDEX(INDIRECT("'"&amp;$B$2&amp;"月"&amp;"'!A:AZ"),22,34+4)="","",INDEX(INDIRECT("'"&amp;$B$2&amp;"月"&amp;"'!A:AZ"),22,34+4)),"")</f>
        <v/>
      </c>
      <c r="H268" s="57"/>
    </row>
    <row r="269" spans="1:8" ht="13.5" customHeight="1">
      <c r="A269" s="57">
        <f>IF(DAY(DATE(対象年度,$B$2,20))&lt;&gt;20,"",20)</f>
        <v>20</v>
      </c>
      <c r="B269" s="57" t="str">
        <f>IF(DAY(DATE(対象年度,$B$2,20))&lt;&gt;20,"",CHOOSE(WEEKDAY(DATE(対象年度,$B$2,20),2),"月","火","水","木","金","土","日"))</f>
        <v>火</v>
      </c>
      <c r="C269" s="57" t="str">
        <f ca="1">IFERROR(IF(INDEX(INDIRECT("'"&amp;$B$2&amp;"月"&amp;"'!A:AZ"),23,34+0)="","",INDEX(INDIRECT("'"&amp;$B$2&amp;"月"&amp;"'!A:AZ"),23,34+0)),"")</f>
        <v/>
      </c>
      <c r="D269" s="58" t="str">
        <f ca="1">IFERROR(IF(INDEX(INDIRECT("'"&amp;$B$2&amp;"月"&amp;"'!A:AZ"),23,34+1)="","",INDEX(INDIRECT("'"&amp;$B$2&amp;"月"&amp;"'!A:AZ"),23,34+1)),"")</f>
        <v/>
      </c>
      <c r="E269" s="57" t="str">
        <f ca="1">IFERROR(IF(INDEX(INDIRECT("'"&amp;$B$2&amp;"月"&amp;"'!A:AZ"),23,34+2)="","",INDEX(INDIRECT("'"&amp;$B$2&amp;"月"&amp;"'!A:AZ"),23,34+2)),"")</f>
        <v/>
      </c>
      <c r="F269" s="59" t="str">
        <f ca="1">IFERROR(IF(INDEX(INDIRECT("'"&amp;$B$2&amp;"月"&amp;"'!A:AZ"),23,34+3)="","",INDEX(INDIRECT("'"&amp;$B$2&amp;"月"&amp;"'!A:AZ"),23,34+3)),"")</f>
        <v/>
      </c>
      <c r="G269" s="57" t="str">
        <f ca="1">IFERROR(IF(INDEX(INDIRECT("'"&amp;$B$2&amp;"月"&amp;"'!A:AZ"),23,34+4)="","",INDEX(INDIRECT("'"&amp;$B$2&amp;"月"&amp;"'!A:AZ"),23,34+4)),"")</f>
        <v/>
      </c>
      <c r="H269" s="57"/>
    </row>
    <row r="270" spans="1:8" ht="13.5" customHeight="1">
      <c r="A270" s="57">
        <f>IF(DAY(DATE(対象年度,$B$2,21))&lt;&gt;21,"",21)</f>
        <v>21</v>
      </c>
      <c r="B270" s="57" t="str">
        <f>IF(DAY(DATE(対象年度,$B$2,21))&lt;&gt;21,"",CHOOSE(WEEKDAY(DATE(対象年度,$B$2,21),2),"月","火","水","木","金","土","日"))</f>
        <v>水</v>
      </c>
      <c r="C270" s="57" t="str">
        <f ca="1">IFERROR(IF(INDEX(INDIRECT("'"&amp;$B$2&amp;"月"&amp;"'!A:AZ"),24,34+0)="","",INDEX(INDIRECT("'"&amp;$B$2&amp;"月"&amp;"'!A:AZ"),24,34+0)),"")</f>
        <v/>
      </c>
      <c r="D270" s="58" t="str">
        <f ca="1">IFERROR(IF(INDEX(INDIRECT("'"&amp;$B$2&amp;"月"&amp;"'!A:AZ"),24,34+1)="","",INDEX(INDIRECT("'"&amp;$B$2&amp;"月"&amp;"'!A:AZ"),24,34+1)),"")</f>
        <v/>
      </c>
      <c r="E270" s="57" t="str">
        <f ca="1">IFERROR(IF(INDEX(INDIRECT("'"&amp;$B$2&amp;"月"&amp;"'!A:AZ"),24,34+2)="","",INDEX(INDIRECT("'"&amp;$B$2&amp;"月"&amp;"'!A:AZ"),24,34+2)),"")</f>
        <v/>
      </c>
      <c r="F270" s="59" t="str">
        <f ca="1">IFERROR(IF(INDEX(INDIRECT("'"&amp;$B$2&amp;"月"&amp;"'!A:AZ"),24,34+3)="","",INDEX(INDIRECT("'"&amp;$B$2&amp;"月"&amp;"'!A:AZ"),24,34+3)),"")</f>
        <v/>
      </c>
      <c r="G270" s="57" t="str">
        <f ca="1">IFERROR(IF(INDEX(INDIRECT("'"&amp;$B$2&amp;"月"&amp;"'!A:AZ"),24,34+4)="","",INDEX(INDIRECT("'"&amp;$B$2&amp;"月"&amp;"'!A:AZ"),24,34+4)),"")</f>
        <v/>
      </c>
      <c r="H270" s="57"/>
    </row>
    <row r="271" spans="1:8" ht="13.5" customHeight="1">
      <c r="A271" s="57">
        <f>IF(DAY(DATE(対象年度,$B$2,22))&lt;&gt;22,"",22)</f>
        <v>22</v>
      </c>
      <c r="B271" s="57" t="str">
        <f>IF(DAY(DATE(対象年度,$B$2,22))&lt;&gt;22,"",CHOOSE(WEEKDAY(DATE(対象年度,$B$2,22),2),"月","火","水","木","金","土","日"))</f>
        <v>木</v>
      </c>
      <c r="C271" s="57" t="str">
        <f ca="1">IFERROR(IF(INDEX(INDIRECT("'"&amp;$B$2&amp;"月"&amp;"'!A:AZ"),25,34+0)="","",INDEX(INDIRECT("'"&amp;$B$2&amp;"月"&amp;"'!A:AZ"),25,34+0)),"")</f>
        <v/>
      </c>
      <c r="D271" s="58" t="str">
        <f ca="1">IFERROR(IF(INDEX(INDIRECT("'"&amp;$B$2&amp;"月"&amp;"'!A:AZ"),25,34+1)="","",INDEX(INDIRECT("'"&amp;$B$2&amp;"月"&amp;"'!A:AZ"),25,34+1)),"")</f>
        <v/>
      </c>
      <c r="E271" s="57" t="str">
        <f ca="1">IFERROR(IF(INDEX(INDIRECT("'"&amp;$B$2&amp;"月"&amp;"'!A:AZ"),25,34+2)="","",INDEX(INDIRECT("'"&amp;$B$2&amp;"月"&amp;"'!A:AZ"),25,34+2)),"")</f>
        <v/>
      </c>
      <c r="F271" s="59" t="str">
        <f ca="1">IFERROR(IF(INDEX(INDIRECT("'"&amp;$B$2&amp;"月"&amp;"'!A:AZ"),25,34+3)="","",INDEX(INDIRECT("'"&amp;$B$2&amp;"月"&amp;"'!A:AZ"),25,34+3)),"")</f>
        <v/>
      </c>
      <c r="G271" s="57" t="str">
        <f ca="1">IFERROR(IF(INDEX(INDIRECT("'"&amp;$B$2&amp;"月"&amp;"'!A:AZ"),25,34+4)="","",INDEX(INDIRECT("'"&amp;$B$2&amp;"月"&amp;"'!A:AZ"),25,34+4)),"")</f>
        <v/>
      </c>
      <c r="H271" s="57"/>
    </row>
    <row r="272" spans="1:8" ht="13.5" customHeight="1">
      <c r="A272" s="57">
        <f>IF(DAY(DATE(対象年度,$B$2,23))&lt;&gt;23,"",23)</f>
        <v>23</v>
      </c>
      <c r="B272" s="57" t="str">
        <f>IF(DAY(DATE(対象年度,$B$2,23))&lt;&gt;23,"",CHOOSE(WEEKDAY(DATE(対象年度,$B$2,23),2),"月","火","水","木","金","土","日"))</f>
        <v>金</v>
      </c>
      <c r="C272" s="57" t="str">
        <f ca="1">IFERROR(IF(INDEX(INDIRECT("'"&amp;$B$2&amp;"月"&amp;"'!A:AZ"),26,34+0)="","",INDEX(INDIRECT("'"&amp;$B$2&amp;"月"&amp;"'!A:AZ"),26,34+0)),"")</f>
        <v/>
      </c>
      <c r="D272" s="58" t="str">
        <f ca="1">IFERROR(IF(INDEX(INDIRECT("'"&amp;$B$2&amp;"月"&amp;"'!A:AZ"),26,34+1)="","",INDEX(INDIRECT("'"&amp;$B$2&amp;"月"&amp;"'!A:AZ"),26,34+1)),"")</f>
        <v/>
      </c>
      <c r="E272" s="57" t="str">
        <f ca="1">IFERROR(IF(INDEX(INDIRECT("'"&amp;$B$2&amp;"月"&amp;"'!A:AZ"),26,34+2)="","",INDEX(INDIRECT("'"&amp;$B$2&amp;"月"&amp;"'!A:AZ"),26,34+2)),"")</f>
        <v/>
      </c>
      <c r="F272" s="59" t="str">
        <f ca="1">IFERROR(IF(INDEX(INDIRECT("'"&amp;$B$2&amp;"月"&amp;"'!A:AZ"),26,34+3)="","",INDEX(INDIRECT("'"&amp;$B$2&amp;"月"&amp;"'!A:AZ"),26,34+3)),"")</f>
        <v/>
      </c>
      <c r="G272" s="57" t="str">
        <f ca="1">IFERROR(IF(INDEX(INDIRECT("'"&amp;$B$2&amp;"月"&amp;"'!A:AZ"),26,34+4)="","",INDEX(INDIRECT("'"&amp;$B$2&amp;"月"&amp;"'!A:AZ"),26,34+4)),"")</f>
        <v/>
      </c>
      <c r="H272" s="57"/>
    </row>
    <row r="273" spans="1:8" ht="13.5" customHeight="1">
      <c r="A273" s="57">
        <f>IF(DAY(DATE(対象年度,$B$2,24))&lt;&gt;24,"",24)</f>
        <v>24</v>
      </c>
      <c r="B273" s="57" t="str">
        <f>IF(DAY(DATE(対象年度,$B$2,24))&lt;&gt;24,"",CHOOSE(WEEKDAY(DATE(対象年度,$B$2,24),2),"月","火","水","木","金","土","日"))</f>
        <v>土</v>
      </c>
      <c r="C273" s="57" t="str">
        <f ca="1">IFERROR(IF(INDEX(INDIRECT("'"&amp;$B$2&amp;"月"&amp;"'!A:AZ"),27,34+0)="","",INDEX(INDIRECT("'"&amp;$B$2&amp;"月"&amp;"'!A:AZ"),27,34+0)),"")</f>
        <v/>
      </c>
      <c r="D273" s="58" t="str">
        <f ca="1">IFERROR(IF(INDEX(INDIRECT("'"&amp;$B$2&amp;"月"&amp;"'!A:AZ"),27,34+1)="","",INDEX(INDIRECT("'"&amp;$B$2&amp;"月"&amp;"'!A:AZ"),27,34+1)),"")</f>
        <v/>
      </c>
      <c r="E273" s="57" t="str">
        <f ca="1">IFERROR(IF(INDEX(INDIRECT("'"&amp;$B$2&amp;"月"&amp;"'!A:AZ"),27,34+2)="","",INDEX(INDIRECT("'"&amp;$B$2&amp;"月"&amp;"'!A:AZ"),27,34+2)),"")</f>
        <v/>
      </c>
      <c r="F273" s="59" t="str">
        <f ca="1">IFERROR(IF(INDEX(INDIRECT("'"&amp;$B$2&amp;"月"&amp;"'!A:AZ"),27,34+3)="","",INDEX(INDIRECT("'"&amp;$B$2&amp;"月"&amp;"'!A:AZ"),27,34+3)),"")</f>
        <v/>
      </c>
      <c r="G273" s="57" t="str">
        <f ca="1">IFERROR(IF(INDEX(INDIRECT("'"&amp;$B$2&amp;"月"&amp;"'!A:AZ"),27,34+4)="","",INDEX(INDIRECT("'"&amp;$B$2&amp;"月"&amp;"'!A:AZ"),27,34+4)),"")</f>
        <v/>
      </c>
      <c r="H273" s="57"/>
    </row>
    <row r="274" spans="1:8" ht="13.5" customHeight="1">
      <c r="A274" s="57">
        <f>IF(DAY(DATE(対象年度,$B$2,25))&lt;&gt;25,"",25)</f>
        <v>25</v>
      </c>
      <c r="B274" s="57" t="str">
        <f>IF(DAY(DATE(対象年度,$B$2,25))&lt;&gt;25,"",CHOOSE(WEEKDAY(DATE(対象年度,$B$2,25),2),"月","火","水","木","金","土","日"))</f>
        <v>日</v>
      </c>
      <c r="C274" s="57" t="str">
        <f ca="1">IFERROR(IF(INDEX(INDIRECT("'"&amp;$B$2&amp;"月"&amp;"'!A:AZ"),28,34+0)="","",INDEX(INDIRECT("'"&amp;$B$2&amp;"月"&amp;"'!A:AZ"),28,34+0)),"")</f>
        <v/>
      </c>
      <c r="D274" s="58" t="str">
        <f ca="1">IFERROR(IF(INDEX(INDIRECT("'"&amp;$B$2&amp;"月"&amp;"'!A:AZ"),28,34+1)="","",INDEX(INDIRECT("'"&amp;$B$2&amp;"月"&amp;"'!A:AZ"),28,34+1)),"")</f>
        <v/>
      </c>
      <c r="E274" s="57" t="str">
        <f ca="1">IFERROR(IF(INDEX(INDIRECT("'"&amp;$B$2&amp;"月"&amp;"'!A:AZ"),28,34+2)="","",INDEX(INDIRECT("'"&amp;$B$2&amp;"月"&amp;"'!A:AZ"),28,34+2)),"")</f>
        <v/>
      </c>
      <c r="F274" s="59" t="str">
        <f ca="1">IFERROR(IF(INDEX(INDIRECT("'"&amp;$B$2&amp;"月"&amp;"'!A:AZ"),28,34+3)="","",INDEX(INDIRECT("'"&amp;$B$2&amp;"月"&amp;"'!A:AZ"),28,34+3)),"")</f>
        <v/>
      </c>
      <c r="G274" s="57" t="str">
        <f ca="1">IFERROR(IF(INDEX(INDIRECT("'"&amp;$B$2&amp;"月"&amp;"'!A:AZ"),28,34+4)="","",INDEX(INDIRECT("'"&amp;$B$2&amp;"月"&amp;"'!A:AZ"),28,34+4)),"")</f>
        <v/>
      </c>
      <c r="H274" s="57"/>
    </row>
    <row r="275" spans="1:8" ht="13.5" customHeight="1">
      <c r="A275" s="57">
        <f>IF(DAY(DATE(対象年度,$B$2,26))&lt;&gt;26,"",26)</f>
        <v>26</v>
      </c>
      <c r="B275" s="57" t="str">
        <f>IF(DAY(DATE(対象年度,$B$2,26))&lt;&gt;26,"",CHOOSE(WEEKDAY(DATE(対象年度,$B$2,26),2),"月","火","水","木","金","土","日"))</f>
        <v>月</v>
      </c>
      <c r="C275" s="57" t="str">
        <f ca="1">IFERROR(IF(INDEX(INDIRECT("'"&amp;$B$2&amp;"月"&amp;"'!A:AZ"),29,34+0)="","",INDEX(INDIRECT("'"&amp;$B$2&amp;"月"&amp;"'!A:AZ"),29,34+0)),"")</f>
        <v/>
      </c>
      <c r="D275" s="58" t="str">
        <f ca="1">IFERROR(IF(INDEX(INDIRECT("'"&amp;$B$2&amp;"月"&amp;"'!A:AZ"),29,34+1)="","",INDEX(INDIRECT("'"&amp;$B$2&amp;"月"&amp;"'!A:AZ"),29,34+1)),"")</f>
        <v/>
      </c>
      <c r="E275" s="57" t="str">
        <f ca="1">IFERROR(IF(INDEX(INDIRECT("'"&amp;$B$2&amp;"月"&amp;"'!A:AZ"),29,34+2)="","",INDEX(INDIRECT("'"&amp;$B$2&amp;"月"&amp;"'!A:AZ"),29,34+2)),"")</f>
        <v/>
      </c>
      <c r="F275" s="59" t="str">
        <f ca="1">IFERROR(IF(INDEX(INDIRECT("'"&amp;$B$2&amp;"月"&amp;"'!A:AZ"),29,34+3)="","",INDEX(INDIRECT("'"&amp;$B$2&amp;"月"&amp;"'!A:AZ"),29,34+3)),"")</f>
        <v/>
      </c>
      <c r="G275" s="57" t="str">
        <f ca="1">IFERROR(IF(INDEX(INDIRECT("'"&amp;$B$2&amp;"月"&amp;"'!A:AZ"),29,34+4)="","",INDEX(INDIRECT("'"&amp;$B$2&amp;"月"&amp;"'!A:AZ"),29,34+4)),"")</f>
        <v/>
      </c>
      <c r="H275" s="57"/>
    </row>
    <row r="276" spans="1:8" ht="13.5" customHeight="1">
      <c r="A276" s="57">
        <f>IF(DAY(DATE(対象年度,$B$2,27))&lt;&gt;27,"",27)</f>
        <v>27</v>
      </c>
      <c r="B276" s="57" t="str">
        <f>IF(DAY(DATE(対象年度,$B$2,27))&lt;&gt;27,"",CHOOSE(WEEKDAY(DATE(対象年度,$B$2,27),2),"月","火","水","木","金","土","日"))</f>
        <v>火</v>
      </c>
      <c r="C276" s="57" t="str">
        <f ca="1">IFERROR(IF(INDEX(INDIRECT("'"&amp;$B$2&amp;"月"&amp;"'!A:AZ"),30,34+0)="","",INDEX(INDIRECT("'"&amp;$B$2&amp;"月"&amp;"'!A:AZ"),30,34+0)),"")</f>
        <v/>
      </c>
      <c r="D276" s="58" t="str">
        <f ca="1">IFERROR(IF(INDEX(INDIRECT("'"&amp;$B$2&amp;"月"&amp;"'!A:AZ"),30,34+1)="","",INDEX(INDIRECT("'"&amp;$B$2&amp;"月"&amp;"'!A:AZ"),30,34+1)),"")</f>
        <v/>
      </c>
      <c r="E276" s="57" t="str">
        <f ca="1">IFERROR(IF(INDEX(INDIRECT("'"&amp;$B$2&amp;"月"&amp;"'!A:AZ"),30,34+2)="","",INDEX(INDIRECT("'"&amp;$B$2&amp;"月"&amp;"'!A:AZ"),30,34+2)),"")</f>
        <v/>
      </c>
      <c r="F276" s="59" t="str">
        <f ca="1">IFERROR(IF(INDEX(INDIRECT("'"&amp;$B$2&amp;"月"&amp;"'!A:AZ"),30,34+3)="","",INDEX(INDIRECT("'"&amp;$B$2&amp;"月"&amp;"'!A:AZ"),30,34+3)),"")</f>
        <v/>
      </c>
      <c r="G276" s="57" t="str">
        <f ca="1">IFERROR(IF(INDEX(INDIRECT("'"&amp;$B$2&amp;"月"&amp;"'!A:AZ"),30,34+4)="","",INDEX(INDIRECT("'"&amp;$B$2&amp;"月"&amp;"'!A:AZ"),30,34+4)),"")</f>
        <v/>
      </c>
      <c r="H276" s="57"/>
    </row>
    <row r="277" spans="1:8" ht="13.5" customHeight="1">
      <c r="A277" s="57">
        <f>IF(DAY(DATE(対象年度,$B$2,28))&lt;&gt;28,"",28)</f>
        <v>28</v>
      </c>
      <c r="B277" s="57" t="str">
        <f>IF(DAY(DATE(対象年度,$B$2,28))&lt;&gt;28,"",CHOOSE(WEEKDAY(DATE(対象年度,$B$2,28),2),"月","火","水","木","金","土","日"))</f>
        <v>水</v>
      </c>
      <c r="C277" s="57" t="str">
        <f ca="1">IFERROR(IF(INDEX(INDIRECT("'"&amp;$B$2&amp;"月"&amp;"'!A:AZ"),31,34+0)="","",INDEX(INDIRECT("'"&amp;$B$2&amp;"月"&amp;"'!A:AZ"),31,34+0)),"")</f>
        <v/>
      </c>
      <c r="D277" s="58" t="str">
        <f ca="1">IFERROR(IF(INDEX(INDIRECT("'"&amp;$B$2&amp;"月"&amp;"'!A:AZ"),31,34+1)="","",INDEX(INDIRECT("'"&amp;$B$2&amp;"月"&amp;"'!A:AZ"),31,34+1)),"")</f>
        <v/>
      </c>
      <c r="E277" s="57" t="str">
        <f ca="1">IFERROR(IF(INDEX(INDIRECT("'"&amp;$B$2&amp;"月"&amp;"'!A:AZ"),31,34+2)="","",INDEX(INDIRECT("'"&amp;$B$2&amp;"月"&amp;"'!A:AZ"),31,34+2)),"")</f>
        <v/>
      </c>
      <c r="F277" s="59" t="str">
        <f ca="1">IFERROR(IF(INDEX(INDIRECT("'"&amp;$B$2&amp;"月"&amp;"'!A:AZ"),31,34+3)="","",INDEX(INDIRECT("'"&amp;$B$2&amp;"月"&amp;"'!A:AZ"),31,34+3)),"")</f>
        <v/>
      </c>
      <c r="G277" s="57" t="str">
        <f ca="1">IFERROR(IF(INDEX(INDIRECT("'"&amp;$B$2&amp;"月"&amp;"'!A:AZ"),31,34+4)="","",INDEX(INDIRECT("'"&amp;$B$2&amp;"月"&amp;"'!A:AZ"),31,34+4)),"")</f>
        <v/>
      </c>
      <c r="H277" s="57"/>
    </row>
    <row r="278" spans="1:8" ht="13.5" customHeight="1">
      <c r="A278" s="57">
        <f>IF(DAY(DATE(対象年度,$B$2,29))&lt;&gt;29,"",29)</f>
        <v>29</v>
      </c>
      <c r="B278" s="57" t="str">
        <f>IF(DAY(DATE(対象年度,$B$2,29))&lt;&gt;29,"",CHOOSE(WEEKDAY(DATE(対象年度,$B$2,29),2),"月","火","水","木","金","土","日"))</f>
        <v>木</v>
      </c>
      <c r="C278" s="57" t="str">
        <f ca="1">IFERROR(IF(INDEX(INDIRECT("'"&amp;$B$2&amp;"月"&amp;"'!A:AZ"),32,34+0)="","",INDEX(INDIRECT("'"&amp;$B$2&amp;"月"&amp;"'!A:AZ"),32,34+0)),"")</f>
        <v/>
      </c>
      <c r="D278" s="58" t="str">
        <f ca="1">IFERROR(IF(INDEX(INDIRECT("'"&amp;$B$2&amp;"月"&amp;"'!A:AZ"),32,34+1)="","",INDEX(INDIRECT("'"&amp;$B$2&amp;"月"&amp;"'!A:AZ"),32,34+1)),"")</f>
        <v/>
      </c>
      <c r="E278" s="57" t="str">
        <f ca="1">IFERROR(IF(INDEX(INDIRECT("'"&amp;$B$2&amp;"月"&amp;"'!A:AZ"),32,34+2)="","",INDEX(INDIRECT("'"&amp;$B$2&amp;"月"&amp;"'!A:AZ"),32,34+2)),"")</f>
        <v/>
      </c>
      <c r="F278" s="59" t="str">
        <f ca="1">IFERROR(IF(INDEX(INDIRECT("'"&amp;$B$2&amp;"月"&amp;"'!A:AZ"),32,34+3)="","",INDEX(INDIRECT("'"&amp;$B$2&amp;"月"&amp;"'!A:AZ"),32,34+3)),"")</f>
        <v/>
      </c>
      <c r="G278" s="57" t="str">
        <f ca="1">IFERROR(IF(INDEX(INDIRECT("'"&amp;$B$2&amp;"月"&amp;"'!A:AZ"),32,34+4)="","",INDEX(INDIRECT("'"&amp;$B$2&amp;"月"&amp;"'!A:AZ"),32,34+4)),"")</f>
        <v/>
      </c>
      <c r="H278" s="57"/>
    </row>
    <row r="279" spans="1:8" ht="13.5" customHeight="1">
      <c r="A279" s="57">
        <f>IF(DAY(DATE(対象年度,$B$2,30))&lt;&gt;30,"",30)</f>
        <v>30</v>
      </c>
      <c r="B279" s="57" t="str">
        <f>IF(DAY(DATE(対象年度,$B$2,30))&lt;&gt;30,"",CHOOSE(WEEKDAY(DATE(対象年度,$B$2,30),2),"月","火","水","木","金","土","日"))</f>
        <v>金</v>
      </c>
      <c r="C279" s="57" t="str">
        <f ca="1">IFERROR(IF(INDEX(INDIRECT("'"&amp;$B$2&amp;"月"&amp;"'!A:AZ"),33,34+0)="","",INDEX(INDIRECT("'"&amp;$B$2&amp;"月"&amp;"'!A:AZ"),33,34+0)),"")</f>
        <v/>
      </c>
      <c r="D279" s="58" t="str">
        <f ca="1">IFERROR(IF(INDEX(INDIRECT("'"&amp;$B$2&amp;"月"&amp;"'!A:AZ"),33,34+1)="","",INDEX(INDIRECT("'"&amp;$B$2&amp;"月"&amp;"'!A:AZ"),33,34+1)),"")</f>
        <v/>
      </c>
      <c r="E279" s="57" t="str">
        <f ca="1">IFERROR(IF(INDEX(INDIRECT("'"&amp;$B$2&amp;"月"&amp;"'!A:AZ"),33,34+2)="","",INDEX(INDIRECT("'"&amp;$B$2&amp;"月"&amp;"'!A:AZ"),33,34+2)),"")</f>
        <v/>
      </c>
      <c r="F279" s="59" t="str">
        <f ca="1">IFERROR(IF(INDEX(INDIRECT("'"&amp;$B$2&amp;"月"&amp;"'!A:AZ"),33,34+3)="","",INDEX(INDIRECT("'"&amp;$B$2&amp;"月"&amp;"'!A:AZ"),33,34+3)),"")</f>
        <v/>
      </c>
      <c r="G279" s="57" t="str">
        <f ca="1">IFERROR(IF(INDEX(INDIRECT("'"&amp;$B$2&amp;"月"&amp;"'!A:AZ"),33,34+4)="","",INDEX(INDIRECT("'"&amp;$B$2&amp;"月"&amp;"'!A:AZ"),33,34+4)),"")</f>
        <v/>
      </c>
      <c r="H279" s="57"/>
    </row>
    <row r="280" spans="1:8" ht="13.5" customHeight="1">
      <c r="A280" s="57">
        <f>IF(DAY(DATE(対象年度,$B$2,31))&lt;&gt;31,"",31)</f>
        <v>31</v>
      </c>
      <c r="B280" s="57" t="str">
        <f>IF(DAY(DATE(対象年度,$B$2,31))&lt;&gt;31,"",CHOOSE(WEEKDAY(DATE(対象年度,$B$2,31),2),"月","火","水","木","金","土","日"))</f>
        <v>土</v>
      </c>
      <c r="C280" s="57" t="str">
        <f ca="1">IFERROR(IF(INDEX(INDIRECT("'"&amp;$B$2&amp;"月"&amp;"'!A:AZ"),34,34+0)="","",INDEX(INDIRECT("'"&amp;$B$2&amp;"月"&amp;"'!A:AZ"),34,34+0)),"")</f>
        <v/>
      </c>
      <c r="D280" s="58" t="str">
        <f ca="1">IFERROR(IF(INDEX(INDIRECT("'"&amp;$B$2&amp;"月"&amp;"'!A:AZ"),34,34+1)="","",INDEX(INDIRECT("'"&amp;$B$2&amp;"月"&amp;"'!A:AZ"),34,34+1)),"")</f>
        <v/>
      </c>
      <c r="E280" s="57" t="str">
        <f ca="1">IFERROR(IF(INDEX(INDIRECT("'"&amp;$B$2&amp;"月"&amp;"'!A:AZ"),34,34+2)="","",INDEX(INDIRECT("'"&amp;$B$2&amp;"月"&amp;"'!A:AZ"),34,34+2)),"")</f>
        <v/>
      </c>
      <c r="F280" s="59" t="str">
        <f ca="1">IFERROR(IF(INDEX(INDIRECT("'"&amp;$B$2&amp;"月"&amp;"'!A:AZ"),34,34+3)="","",INDEX(INDIRECT("'"&amp;$B$2&amp;"月"&amp;"'!A:AZ"),34,34+3)),"")</f>
        <v/>
      </c>
      <c r="G280" s="57" t="str">
        <f ca="1">IFERROR(IF(INDEX(INDIRECT("'"&amp;$B$2&amp;"月"&amp;"'!A:AZ"),34,34+4)="","",INDEX(INDIRECT("'"&amp;$B$2&amp;"月"&amp;"'!A:AZ"),34,34+4)),"")</f>
        <v/>
      </c>
      <c r="H280" s="57"/>
    </row>
    <row r="281" spans="1:8" ht="21.75" customHeight="1">
      <c r="A281" s="112" t="s">
        <v>87</v>
      </c>
      <c r="B281" s="112"/>
      <c r="C281" s="61" t="s">
        <v>71</v>
      </c>
      <c r="D281" s="62">
        <f ca="1">IFERROR(INDEX(INDIRECT("'"&amp;$B$2&amp;"月"&amp;"'!A:AZ"),35,34),0)</f>
        <v>0</v>
      </c>
      <c r="E281" s="63" t="s">
        <v>72</v>
      </c>
      <c r="F281" s="64">
        <f ca="1">IFERROR(INDEX(INDIRECT("'"&amp;$B$2&amp;"月"&amp;"'!A:AZ"),36,34),0)</f>
        <v>0</v>
      </c>
      <c r="G281" s="61" t="s">
        <v>73</v>
      </c>
      <c r="H281" s="62">
        <f ca="1">IFERROR(INDEX(INDIRECT("'"&amp;$B$2&amp;"月"&amp;"'!A:AZ"),38,34),0)</f>
        <v>0</v>
      </c>
    </row>
    <row r="282" spans="1:8" ht="24" customHeight="1">
      <c r="A282" s="113"/>
      <c r="B282" s="113"/>
      <c r="C282" s="65" t="s">
        <v>76</v>
      </c>
      <c r="D282" s="66">
        <f ca="1">IFERROR(INDEX(INDIRECT("'"&amp;$B$2&amp;"月"&amp;"'!A:AZ"),37,34),0)</f>
        <v>0</v>
      </c>
      <c r="E282" s="67" t="s">
        <v>64</v>
      </c>
      <c r="F282" s="68">
        <f ca="1">IFERROR(INDEX(INDIRECT("'"&amp;$B$2&amp;"月"&amp;"'!A:AZ"),39,34),0)</f>
        <v>0</v>
      </c>
      <c r="G282" s="69" t="s">
        <v>65</v>
      </c>
      <c r="H282" s="70">
        <f ca="1">IFERROR(INDEX(INDIRECT("'"&amp;$B$2&amp;"月"&amp;"'!A:AZ"),40,34),0)</f>
        <v>0</v>
      </c>
    </row>
    <row r="284" spans="1:8" ht="27.75" customHeight="1">
      <c r="A284" s="105" t="s">
        <v>78</v>
      </c>
      <c r="B284" s="105"/>
      <c r="C284" s="105"/>
      <c r="D284" s="105"/>
      <c r="E284" s="105"/>
      <c r="F284" s="105"/>
      <c r="G284" s="105"/>
      <c r="H284" s="105"/>
    </row>
    <row r="285" spans="1:8" ht="18" customHeight="1">
      <c r="A285" s="114" t="s">
        <v>17</v>
      </c>
      <c r="B285" s="114"/>
      <c r="C285" s="114"/>
      <c r="D285" s="114"/>
      <c r="E285" s="114"/>
      <c r="F285" s="114"/>
      <c r="G285" s="114"/>
      <c r="H285" s="114"/>
    </row>
    <row r="286" spans="1:8" ht="27.75" customHeight="1">
      <c r="A286" s="49" t="s">
        <v>79</v>
      </c>
      <c r="B286" s="115" t="str">
        <f>対象年度&amp;"年 "&amp;$B$2&amp;"月"</f>
        <v>2026年 1月</v>
      </c>
      <c r="C286" s="115"/>
      <c r="D286" s="49" t="s">
        <v>80</v>
      </c>
      <c r="E286" s="116">
        <f>IFERROR(従業員マスタ!$C$11,"")</f>
        <v>0</v>
      </c>
      <c r="F286" s="116"/>
      <c r="G286" s="116"/>
      <c r="H286" s="116"/>
    </row>
    <row r="287" spans="1:8" ht="19.5" customHeight="1">
      <c r="A287" s="73" t="s">
        <v>90</v>
      </c>
      <c r="B287" s="53" t="s">
        <v>91</v>
      </c>
      <c r="C287" s="120" t="s">
        <v>84</v>
      </c>
      <c r="D287" s="120"/>
      <c r="E287" s="120" t="s">
        <v>85</v>
      </c>
      <c r="F287" s="120"/>
      <c r="G287" s="117" t="s">
        <v>86</v>
      </c>
      <c r="H287" s="117"/>
    </row>
    <row r="288" spans="1:8" ht="43.5" customHeight="1">
      <c r="A288" s="74"/>
      <c r="B288" s="54"/>
      <c r="C288" s="111"/>
      <c r="D288" s="111"/>
      <c r="E288" s="111"/>
      <c r="F288" s="111"/>
      <c r="G288" s="111"/>
      <c r="H288" s="111"/>
    </row>
    <row r="289" spans="1:8" ht="19.5" customHeight="1">
      <c r="A289" s="55" t="s">
        <v>66</v>
      </c>
      <c r="B289" s="55" t="s">
        <v>67</v>
      </c>
      <c r="C289" s="55" t="s">
        <v>69</v>
      </c>
      <c r="D289" s="56" t="s">
        <v>70</v>
      </c>
      <c r="E289" s="55" t="s">
        <v>71</v>
      </c>
      <c r="F289" s="55" t="s">
        <v>72</v>
      </c>
      <c r="G289" s="55" t="s">
        <v>73</v>
      </c>
      <c r="H289" s="55" t="s">
        <v>57</v>
      </c>
    </row>
    <row r="290" spans="1:8" ht="13.5" customHeight="1">
      <c r="A290" s="57">
        <f>IF(DAY(DATE(対象年度,$B$2,1))&lt;&gt;1,"",1)</f>
        <v>1</v>
      </c>
      <c r="B290" s="57" t="str">
        <f>IF(DAY(DATE(対象年度,$B$2,1))&lt;&gt;1,"",CHOOSE(WEEKDAY(DATE(対象年度,$B$2,1),2),"月","火","水","木","金","土","日"))</f>
        <v>木</v>
      </c>
      <c r="C290" s="57" t="str">
        <f ca="1">IFERROR(IF(INDEX(INDIRECT("'"&amp;$B$2&amp;"月"&amp;"'!A:AZ"),4,39+0)="","",INDEX(INDIRECT("'"&amp;$B$2&amp;"月"&amp;"'!A:AZ"),4,39+0)),"")</f>
        <v/>
      </c>
      <c r="D290" s="58" t="str">
        <f ca="1">IFERROR(IF(INDEX(INDIRECT("'"&amp;$B$2&amp;"月"&amp;"'!A:AZ"),4,39+1)="","",INDEX(INDIRECT("'"&amp;$B$2&amp;"月"&amp;"'!A:AZ"),4,39+1)),"")</f>
        <v/>
      </c>
      <c r="E290" s="57" t="str">
        <f ca="1">IFERROR(IF(INDEX(INDIRECT("'"&amp;$B$2&amp;"月"&amp;"'!A:AZ"),4,39+2)="","",INDEX(INDIRECT("'"&amp;$B$2&amp;"月"&amp;"'!A:AZ"),4,39+2)),"")</f>
        <v/>
      </c>
      <c r="F290" s="59" t="str">
        <f ca="1">IFERROR(IF(INDEX(INDIRECT("'"&amp;$B$2&amp;"月"&amp;"'!A:AZ"),4,39+3)="","",INDEX(INDIRECT("'"&amp;$B$2&amp;"月"&amp;"'!A:AZ"),4,39+3)),"")</f>
        <v/>
      </c>
      <c r="G290" s="57" t="str">
        <f ca="1">IFERROR(IF(INDEX(INDIRECT("'"&amp;$B$2&amp;"月"&amp;"'!A:AZ"),4,39+4)="","",INDEX(INDIRECT("'"&amp;$B$2&amp;"月"&amp;"'!A:AZ"),4,39+4)),"")</f>
        <v/>
      </c>
      <c r="H290" s="57"/>
    </row>
    <row r="291" spans="1:8" ht="13.5" customHeight="1">
      <c r="A291" s="57">
        <f>IF(DAY(DATE(対象年度,$B$2,2))&lt;&gt;2,"",2)</f>
        <v>2</v>
      </c>
      <c r="B291" s="57" t="str">
        <f>IF(DAY(DATE(対象年度,$B$2,2))&lt;&gt;2,"",CHOOSE(WEEKDAY(DATE(対象年度,$B$2,2),2),"月","火","水","木","金","土","日"))</f>
        <v>金</v>
      </c>
      <c r="C291" s="57" t="str">
        <f ca="1">IFERROR(IF(INDEX(INDIRECT("'"&amp;$B$2&amp;"月"&amp;"'!A:AZ"),5,39+0)="","",INDEX(INDIRECT("'"&amp;$B$2&amp;"月"&amp;"'!A:AZ"),5,39+0)),"")</f>
        <v/>
      </c>
      <c r="D291" s="58" t="str">
        <f ca="1">IFERROR(IF(INDEX(INDIRECT("'"&amp;$B$2&amp;"月"&amp;"'!A:AZ"),5,39+1)="","",INDEX(INDIRECT("'"&amp;$B$2&amp;"月"&amp;"'!A:AZ"),5,39+1)),"")</f>
        <v/>
      </c>
      <c r="E291" s="57" t="str">
        <f ca="1">IFERROR(IF(INDEX(INDIRECT("'"&amp;$B$2&amp;"月"&amp;"'!A:AZ"),5,39+2)="","",INDEX(INDIRECT("'"&amp;$B$2&amp;"月"&amp;"'!A:AZ"),5,39+2)),"")</f>
        <v/>
      </c>
      <c r="F291" s="59" t="str">
        <f ca="1">IFERROR(IF(INDEX(INDIRECT("'"&amp;$B$2&amp;"月"&amp;"'!A:AZ"),5,39+3)="","",INDEX(INDIRECT("'"&amp;$B$2&amp;"月"&amp;"'!A:AZ"),5,39+3)),"")</f>
        <v/>
      </c>
      <c r="G291" s="57" t="str">
        <f ca="1">IFERROR(IF(INDEX(INDIRECT("'"&amp;$B$2&amp;"月"&amp;"'!A:AZ"),5,39+4)="","",INDEX(INDIRECT("'"&amp;$B$2&amp;"月"&amp;"'!A:AZ"),5,39+4)),"")</f>
        <v/>
      </c>
      <c r="H291" s="57"/>
    </row>
    <row r="292" spans="1:8" ht="13.5" customHeight="1">
      <c r="A292" s="57">
        <f>IF(DAY(DATE(対象年度,$B$2,3))&lt;&gt;3,"",3)</f>
        <v>3</v>
      </c>
      <c r="B292" s="57" t="str">
        <f>IF(DAY(DATE(対象年度,$B$2,3))&lt;&gt;3,"",CHOOSE(WEEKDAY(DATE(対象年度,$B$2,3),2),"月","火","水","木","金","土","日"))</f>
        <v>土</v>
      </c>
      <c r="C292" s="57" t="str">
        <f ca="1">IFERROR(IF(INDEX(INDIRECT("'"&amp;$B$2&amp;"月"&amp;"'!A:AZ"),6,39+0)="","",INDEX(INDIRECT("'"&amp;$B$2&amp;"月"&amp;"'!A:AZ"),6,39+0)),"")</f>
        <v/>
      </c>
      <c r="D292" s="58" t="str">
        <f ca="1">IFERROR(IF(INDEX(INDIRECT("'"&amp;$B$2&amp;"月"&amp;"'!A:AZ"),6,39+1)="","",INDEX(INDIRECT("'"&amp;$B$2&amp;"月"&amp;"'!A:AZ"),6,39+1)),"")</f>
        <v/>
      </c>
      <c r="E292" s="57" t="str">
        <f ca="1">IFERROR(IF(INDEX(INDIRECT("'"&amp;$B$2&amp;"月"&amp;"'!A:AZ"),6,39+2)="","",INDEX(INDIRECT("'"&amp;$B$2&amp;"月"&amp;"'!A:AZ"),6,39+2)),"")</f>
        <v/>
      </c>
      <c r="F292" s="59" t="str">
        <f ca="1">IFERROR(IF(INDEX(INDIRECT("'"&amp;$B$2&amp;"月"&amp;"'!A:AZ"),6,39+3)="","",INDEX(INDIRECT("'"&amp;$B$2&amp;"月"&amp;"'!A:AZ"),6,39+3)),"")</f>
        <v/>
      </c>
      <c r="G292" s="57" t="str">
        <f ca="1">IFERROR(IF(INDEX(INDIRECT("'"&amp;$B$2&amp;"月"&amp;"'!A:AZ"),6,39+4)="","",INDEX(INDIRECT("'"&amp;$B$2&amp;"月"&amp;"'!A:AZ"),6,39+4)),"")</f>
        <v/>
      </c>
      <c r="H292" s="57"/>
    </row>
    <row r="293" spans="1:8" ht="13.5" customHeight="1">
      <c r="A293" s="57">
        <f>IF(DAY(DATE(対象年度,$B$2,4))&lt;&gt;4,"",4)</f>
        <v>4</v>
      </c>
      <c r="B293" s="57" t="str">
        <f>IF(DAY(DATE(対象年度,$B$2,4))&lt;&gt;4,"",CHOOSE(WEEKDAY(DATE(対象年度,$B$2,4),2),"月","火","水","木","金","土","日"))</f>
        <v>日</v>
      </c>
      <c r="C293" s="57" t="str">
        <f ca="1">IFERROR(IF(INDEX(INDIRECT("'"&amp;$B$2&amp;"月"&amp;"'!A:AZ"),7,39+0)="","",INDEX(INDIRECT("'"&amp;$B$2&amp;"月"&amp;"'!A:AZ"),7,39+0)),"")</f>
        <v/>
      </c>
      <c r="D293" s="58" t="str">
        <f ca="1">IFERROR(IF(INDEX(INDIRECT("'"&amp;$B$2&amp;"月"&amp;"'!A:AZ"),7,39+1)="","",INDEX(INDIRECT("'"&amp;$B$2&amp;"月"&amp;"'!A:AZ"),7,39+1)),"")</f>
        <v/>
      </c>
      <c r="E293" s="57" t="str">
        <f ca="1">IFERROR(IF(INDEX(INDIRECT("'"&amp;$B$2&amp;"月"&amp;"'!A:AZ"),7,39+2)="","",INDEX(INDIRECT("'"&amp;$B$2&amp;"月"&amp;"'!A:AZ"),7,39+2)),"")</f>
        <v/>
      </c>
      <c r="F293" s="59" t="str">
        <f ca="1">IFERROR(IF(INDEX(INDIRECT("'"&amp;$B$2&amp;"月"&amp;"'!A:AZ"),7,39+3)="","",INDEX(INDIRECT("'"&amp;$B$2&amp;"月"&amp;"'!A:AZ"),7,39+3)),"")</f>
        <v/>
      </c>
      <c r="G293" s="57" t="str">
        <f ca="1">IFERROR(IF(INDEX(INDIRECT("'"&amp;$B$2&amp;"月"&amp;"'!A:AZ"),7,39+4)="","",INDEX(INDIRECT("'"&amp;$B$2&amp;"月"&amp;"'!A:AZ"),7,39+4)),"")</f>
        <v/>
      </c>
      <c r="H293" s="57"/>
    </row>
    <row r="294" spans="1:8" ht="13.5" customHeight="1">
      <c r="A294" s="57">
        <f>IF(DAY(DATE(対象年度,$B$2,5))&lt;&gt;5,"",5)</f>
        <v>5</v>
      </c>
      <c r="B294" s="57" t="str">
        <f>IF(DAY(DATE(対象年度,$B$2,5))&lt;&gt;5,"",CHOOSE(WEEKDAY(DATE(対象年度,$B$2,5),2),"月","火","水","木","金","土","日"))</f>
        <v>月</v>
      </c>
      <c r="C294" s="57" t="str">
        <f ca="1">IFERROR(IF(INDEX(INDIRECT("'"&amp;$B$2&amp;"月"&amp;"'!A:AZ"),8,39+0)="","",INDEX(INDIRECT("'"&amp;$B$2&amp;"月"&amp;"'!A:AZ"),8,39+0)),"")</f>
        <v/>
      </c>
      <c r="D294" s="58" t="str">
        <f ca="1">IFERROR(IF(INDEX(INDIRECT("'"&amp;$B$2&amp;"月"&amp;"'!A:AZ"),8,39+1)="","",INDEX(INDIRECT("'"&amp;$B$2&amp;"月"&amp;"'!A:AZ"),8,39+1)),"")</f>
        <v/>
      </c>
      <c r="E294" s="57" t="str">
        <f ca="1">IFERROR(IF(INDEX(INDIRECT("'"&amp;$B$2&amp;"月"&amp;"'!A:AZ"),8,39+2)="","",INDEX(INDIRECT("'"&amp;$B$2&amp;"月"&amp;"'!A:AZ"),8,39+2)),"")</f>
        <v/>
      </c>
      <c r="F294" s="59" t="str">
        <f ca="1">IFERROR(IF(INDEX(INDIRECT("'"&amp;$B$2&amp;"月"&amp;"'!A:AZ"),8,39+3)="","",INDEX(INDIRECT("'"&amp;$B$2&amp;"月"&amp;"'!A:AZ"),8,39+3)),"")</f>
        <v/>
      </c>
      <c r="G294" s="57" t="str">
        <f ca="1">IFERROR(IF(INDEX(INDIRECT("'"&amp;$B$2&amp;"月"&amp;"'!A:AZ"),8,39+4)="","",INDEX(INDIRECT("'"&amp;$B$2&amp;"月"&amp;"'!A:AZ"),8,39+4)),"")</f>
        <v/>
      </c>
      <c r="H294" s="57"/>
    </row>
    <row r="295" spans="1:8" ht="13.5" customHeight="1">
      <c r="A295" s="57">
        <f>IF(DAY(DATE(対象年度,$B$2,6))&lt;&gt;6,"",6)</f>
        <v>6</v>
      </c>
      <c r="B295" s="57" t="str">
        <f>IF(DAY(DATE(対象年度,$B$2,6))&lt;&gt;6,"",CHOOSE(WEEKDAY(DATE(対象年度,$B$2,6),2),"月","火","水","木","金","土","日"))</f>
        <v>火</v>
      </c>
      <c r="C295" s="57" t="str">
        <f ca="1">IFERROR(IF(INDEX(INDIRECT("'"&amp;$B$2&amp;"月"&amp;"'!A:AZ"),9,39+0)="","",INDEX(INDIRECT("'"&amp;$B$2&amp;"月"&amp;"'!A:AZ"),9,39+0)),"")</f>
        <v/>
      </c>
      <c r="D295" s="58" t="str">
        <f ca="1">IFERROR(IF(INDEX(INDIRECT("'"&amp;$B$2&amp;"月"&amp;"'!A:AZ"),9,39+1)="","",INDEX(INDIRECT("'"&amp;$B$2&amp;"月"&amp;"'!A:AZ"),9,39+1)),"")</f>
        <v/>
      </c>
      <c r="E295" s="57" t="str">
        <f ca="1">IFERROR(IF(INDEX(INDIRECT("'"&amp;$B$2&amp;"月"&amp;"'!A:AZ"),9,39+2)="","",INDEX(INDIRECT("'"&amp;$B$2&amp;"月"&amp;"'!A:AZ"),9,39+2)),"")</f>
        <v/>
      </c>
      <c r="F295" s="59" t="str">
        <f ca="1">IFERROR(IF(INDEX(INDIRECT("'"&amp;$B$2&amp;"月"&amp;"'!A:AZ"),9,39+3)="","",INDEX(INDIRECT("'"&amp;$B$2&amp;"月"&amp;"'!A:AZ"),9,39+3)),"")</f>
        <v/>
      </c>
      <c r="G295" s="57" t="str">
        <f ca="1">IFERROR(IF(INDEX(INDIRECT("'"&amp;$B$2&amp;"月"&amp;"'!A:AZ"),9,39+4)="","",INDEX(INDIRECT("'"&amp;$B$2&amp;"月"&amp;"'!A:AZ"),9,39+4)),"")</f>
        <v/>
      </c>
      <c r="H295" s="57"/>
    </row>
    <row r="296" spans="1:8" ht="13.5" customHeight="1">
      <c r="A296" s="57">
        <f>IF(DAY(DATE(対象年度,$B$2,7))&lt;&gt;7,"",7)</f>
        <v>7</v>
      </c>
      <c r="B296" s="57" t="str">
        <f>IF(DAY(DATE(対象年度,$B$2,7))&lt;&gt;7,"",CHOOSE(WEEKDAY(DATE(対象年度,$B$2,7),2),"月","火","水","木","金","土","日"))</f>
        <v>水</v>
      </c>
      <c r="C296" s="57" t="str">
        <f ca="1">IFERROR(IF(INDEX(INDIRECT("'"&amp;$B$2&amp;"月"&amp;"'!A:AZ"),10,39+0)="","",INDEX(INDIRECT("'"&amp;$B$2&amp;"月"&amp;"'!A:AZ"),10,39+0)),"")</f>
        <v/>
      </c>
      <c r="D296" s="58" t="str">
        <f ca="1">IFERROR(IF(INDEX(INDIRECT("'"&amp;$B$2&amp;"月"&amp;"'!A:AZ"),10,39+1)="","",INDEX(INDIRECT("'"&amp;$B$2&amp;"月"&amp;"'!A:AZ"),10,39+1)),"")</f>
        <v/>
      </c>
      <c r="E296" s="57" t="str">
        <f ca="1">IFERROR(IF(INDEX(INDIRECT("'"&amp;$B$2&amp;"月"&amp;"'!A:AZ"),10,39+2)="","",INDEX(INDIRECT("'"&amp;$B$2&amp;"月"&amp;"'!A:AZ"),10,39+2)),"")</f>
        <v/>
      </c>
      <c r="F296" s="59" t="str">
        <f ca="1">IFERROR(IF(INDEX(INDIRECT("'"&amp;$B$2&amp;"月"&amp;"'!A:AZ"),10,39+3)="","",INDEX(INDIRECT("'"&amp;$B$2&amp;"月"&amp;"'!A:AZ"),10,39+3)),"")</f>
        <v/>
      </c>
      <c r="G296" s="57" t="str">
        <f ca="1">IFERROR(IF(INDEX(INDIRECT("'"&amp;$B$2&amp;"月"&amp;"'!A:AZ"),10,39+4)="","",INDEX(INDIRECT("'"&amp;$B$2&amp;"月"&amp;"'!A:AZ"),10,39+4)),"")</f>
        <v/>
      </c>
      <c r="H296" s="57"/>
    </row>
    <row r="297" spans="1:8" ht="13.5" customHeight="1">
      <c r="A297" s="57">
        <f>IF(DAY(DATE(対象年度,$B$2,8))&lt;&gt;8,"",8)</f>
        <v>8</v>
      </c>
      <c r="B297" s="57" t="str">
        <f>IF(DAY(DATE(対象年度,$B$2,8))&lt;&gt;8,"",CHOOSE(WEEKDAY(DATE(対象年度,$B$2,8),2),"月","火","水","木","金","土","日"))</f>
        <v>木</v>
      </c>
      <c r="C297" s="57" t="str">
        <f ca="1">IFERROR(IF(INDEX(INDIRECT("'"&amp;$B$2&amp;"月"&amp;"'!A:AZ"),11,39+0)="","",INDEX(INDIRECT("'"&amp;$B$2&amp;"月"&amp;"'!A:AZ"),11,39+0)),"")</f>
        <v/>
      </c>
      <c r="D297" s="58" t="str">
        <f ca="1">IFERROR(IF(INDEX(INDIRECT("'"&amp;$B$2&amp;"月"&amp;"'!A:AZ"),11,39+1)="","",INDEX(INDIRECT("'"&amp;$B$2&amp;"月"&amp;"'!A:AZ"),11,39+1)),"")</f>
        <v/>
      </c>
      <c r="E297" s="57" t="str">
        <f ca="1">IFERROR(IF(INDEX(INDIRECT("'"&amp;$B$2&amp;"月"&amp;"'!A:AZ"),11,39+2)="","",INDEX(INDIRECT("'"&amp;$B$2&amp;"月"&amp;"'!A:AZ"),11,39+2)),"")</f>
        <v/>
      </c>
      <c r="F297" s="59" t="str">
        <f ca="1">IFERROR(IF(INDEX(INDIRECT("'"&amp;$B$2&amp;"月"&amp;"'!A:AZ"),11,39+3)="","",INDEX(INDIRECT("'"&amp;$B$2&amp;"月"&amp;"'!A:AZ"),11,39+3)),"")</f>
        <v/>
      </c>
      <c r="G297" s="57" t="str">
        <f ca="1">IFERROR(IF(INDEX(INDIRECT("'"&amp;$B$2&amp;"月"&amp;"'!A:AZ"),11,39+4)="","",INDEX(INDIRECT("'"&amp;$B$2&amp;"月"&amp;"'!A:AZ"),11,39+4)),"")</f>
        <v/>
      </c>
      <c r="H297" s="57"/>
    </row>
    <row r="298" spans="1:8" ht="13.5" customHeight="1">
      <c r="A298" s="57">
        <f>IF(DAY(DATE(対象年度,$B$2,9))&lt;&gt;9,"",9)</f>
        <v>9</v>
      </c>
      <c r="B298" s="57" t="str">
        <f>IF(DAY(DATE(対象年度,$B$2,9))&lt;&gt;9,"",CHOOSE(WEEKDAY(DATE(対象年度,$B$2,9),2),"月","火","水","木","金","土","日"))</f>
        <v>金</v>
      </c>
      <c r="C298" s="57" t="str">
        <f ca="1">IFERROR(IF(INDEX(INDIRECT("'"&amp;$B$2&amp;"月"&amp;"'!A:AZ"),12,39+0)="","",INDEX(INDIRECT("'"&amp;$B$2&amp;"月"&amp;"'!A:AZ"),12,39+0)),"")</f>
        <v/>
      </c>
      <c r="D298" s="58" t="str">
        <f ca="1">IFERROR(IF(INDEX(INDIRECT("'"&amp;$B$2&amp;"月"&amp;"'!A:AZ"),12,39+1)="","",INDEX(INDIRECT("'"&amp;$B$2&amp;"月"&amp;"'!A:AZ"),12,39+1)),"")</f>
        <v/>
      </c>
      <c r="E298" s="57" t="str">
        <f ca="1">IFERROR(IF(INDEX(INDIRECT("'"&amp;$B$2&amp;"月"&amp;"'!A:AZ"),12,39+2)="","",INDEX(INDIRECT("'"&amp;$B$2&amp;"月"&amp;"'!A:AZ"),12,39+2)),"")</f>
        <v/>
      </c>
      <c r="F298" s="59" t="str">
        <f ca="1">IFERROR(IF(INDEX(INDIRECT("'"&amp;$B$2&amp;"月"&amp;"'!A:AZ"),12,39+3)="","",INDEX(INDIRECT("'"&amp;$B$2&amp;"月"&amp;"'!A:AZ"),12,39+3)),"")</f>
        <v/>
      </c>
      <c r="G298" s="57" t="str">
        <f ca="1">IFERROR(IF(INDEX(INDIRECT("'"&amp;$B$2&amp;"月"&amp;"'!A:AZ"),12,39+4)="","",INDEX(INDIRECT("'"&amp;$B$2&amp;"月"&amp;"'!A:AZ"),12,39+4)),"")</f>
        <v/>
      </c>
      <c r="H298" s="57"/>
    </row>
    <row r="299" spans="1:8" ht="13.5" customHeight="1">
      <c r="A299" s="57">
        <f>IF(DAY(DATE(対象年度,$B$2,10))&lt;&gt;10,"",10)</f>
        <v>10</v>
      </c>
      <c r="B299" s="57" t="str">
        <f>IF(DAY(DATE(対象年度,$B$2,10))&lt;&gt;10,"",CHOOSE(WEEKDAY(DATE(対象年度,$B$2,10),2),"月","火","水","木","金","土","日"))</f>
        <v>土</v>
      </c>
      <c r="C299" s="57" t="str">
        <f ca="1">IFERROR(IF(INDEX(INDIRECT("'"&amp;$B$2&amp;"月"&amp;"'!A:AZ"),13,39+0)="","",INDEX(INDIRECT("'"&amp;$B$2&amp;"月"&amp;"'!A:AZ"),13,39+0)),"")</f>
        <v/>
      </c>
      <c r="D299" s="58" t="str">
        <f ca="1">IFERROR(IF(INDEX(INDIRECT("'"&amp;$B$2&amp;"月"&amp;"'!A:AZ"),13,39+1)="","",INDEX(INDIRECT("'"&amp;$B$2&amp;"月"&amp;"'!A:AZ"),13,39+1)),"")</f>
        <v/>
      </c>
      <c r="E299" s="57" t="str">
        <f ca="1">IFERROR(IF(INDEX(INDIRECT("'"&amp;$B$2&amp;"月"&amp;"'!A:AZ"),13,39+2)="","",INDEX(INDIRECT("'"&amp;$B$2&amp;"月"&amp;"'!A:AZ"),13,39+2)),"")</f>
        <v/>
      </c>
      <c r="F299" s="59" t="str">
        <f ca="1">IFERROR(IF(INDEX(INDIRECT("'"&amp;$B$2&amp;"月"&amp;"'!A:AZ"),13,39+3)="","",INDEX(INDIRECT("'"&amp;$B$2&amp;"月"&amp;"'!A:AZ"),13,39+3)),"")</f>
        <v/>
      </c>
      <c r="G299" s="57" t="str">
        <f ca="1">IFERROR(IF(INDEX(INDIRECT("'"&amp;$B$2&amp;"月"&amp;"'!A:AZ"),13,39+4)="","",INDEX(INDIRECT("'"&amp;$B$2&amp;"月"&amp;"'!A:AZ"),13,39+4)),"")</f>
        <v/>
      </c>
      <c r="H299" s="57"/>
    </row>
    <row r="300" spans="1:8" ht="13.5" customHeight="1">
      <c r="A300" s="57">
        <f>IF(DAY(DATE(対象年度,$B$2,11))&lt;&gt;11,"",11)</f>
        <v>11</v>
      </c>
      <c r="B300" s="57" t="str">
        <f>IF(DAY(DATE(対象年度,$B$2,11))&lt;&gt;11,"",CHOOSE(WEEKDAY(DATE(対象年度,$B$2,11),2),"月","火","水","木","金","土","日"))</f>
        <v>日</v>
      </c>
      <c r="C300" s="57" t="str">
        <f ca="1">IFERROR(IF(INDEX(INDIRECT("'"&amp;$B$2&amp;"月"&amp;"'!A:AZ"),14,39+0)="","",INDEX(INDIRECT("'"&amp;$B$2&amp;"月"&amp;"'!A:AZ"),14,39+0)),"")</f>
        <v/>
      </c>
      <c r="D300" s="58" t="str">
        <f ca="1">IFERROR(IF(INDEX(INDIRECT("'"&amp;$B$2&amp;"月"&amp;"'!A:AZ"),14,39+1)="","",INDEX(INDIRECT("'"&amp;$B$2&amp;"月"&amp;"'!A:AZ"),14,39+1)),"")</f>
        <v/>
      </c>
      <c r="E300" s="57" t="str">
        <f ca="1">IFERROR(IF(INDEX(INDIRECT("'"&amp;$B$2&amp;"月"&amp;"'!A:AZ"),14,39+2)="","",INDEX(INDIRECT("'"&amp;$B$2&amp;"月"&amp;"'!A:AZ"),14,39+2)),"")</f>
        <v/>
      </c>
      <c r="F300" s="59" t="str">
        <f ca="1">IFERROR(IF(INDEX(INDIRECT("'"&amp;$B$2&amp;"月"&amp;"'!A:AZ"),14,39+3)="","",INDEX(INDIRECT("'"&amp;$B$2&amp;"月"&amp;"'!A:AZ"),14,39+3)),"")</f>
        <v/>
      </c>
      <c r="G300" s="57" t="str">
        <f ca="1">IFERROR(IF(INDEX(INDIRECT("'"&amp;$B$2&amp;"月"&amp;"'!A:AZ"),14,39+4)="","",INDEX(INDIRECT("'"&amp;$B$2&amp;"月"&amp;"'!A:AZ"),14,39+4)),"")</f>
        <v/>
      </c>
      <c r="H300" s="57"/>
    </row>
    <row r="301" spans="1:8" ht="13.5" customHeight="1">
      <c r="A301" s="57">
        <f>IF(DAY(DATE(対象年度,$B$2,12))&lt;&gt;12,"",12)</f>
        <v>12</v>
      </c>
      <c r="B301" s="57" t="str">
        <f>IF(DAY(DATE(対象年度,$B$2,12))&lt;&gt;12,"",CHOOSE(WEEKDAY(DATE(対象年度,$B$2,12),2),"月","火","水","木","金","土","日"))</f>
        <v>月</v>
      </c>
      <c r="C301" s="57" t="str">
        <f ca="1">IFERROR(IF(INDEX(INDIRECT("'"&amp;$B$2&amp;"月"&amp;"'!A:AZ"),15,39+0)="","",INDEX(INDIRECT("'"&amp;$B$2&amp;"月"&amp;"'!A:AZ"),15,39+0)),"")</f>
        <v/>
      </c>
      <c r="D301" s="58" t="str">
        <f ca="1">IFERROR(IF(INDEX(INDIRECT("'"&amp;$B$2&amp;"月"&amp;"'!A:AZ"),15,39+1)="","",INDEX(INDIRECT("'"&amp;$B$2&amp;"月"&amp;"'!A:AZ"),15,39+1)),"")</f>
        <v/>
      </c>
      <c r="E301" s="57" t="str">
        <f ca="1">IFERROR(IF(INDEX(INDIRECT("'"&amp;$B$2&amp;"月"&amp;"'!A:AZ"),15,39+2)="","",INDEX(INDIRECT("'"&amp;$B$2&amp;"月"&amp;"'!A:AZ"),15,39+2)),"")</f>
        <v/>
      </c>
      <c r="F301" s="59" t="str">
        <f ca="1">IFERROR(IF(INDEX(INDIRECT("'"&amp;$B$2&amp;"月"&amp;"'!A:AZ"),15,39+3)="","",INDEX(INDIRECT("'"&amp;$B$2&amp;"月"&amp;"'!A:AZ"),15,39+3)),"")</f>
        <v/>
      </c>
      <c r="G301" s="57" t="str">
        <f ca="1">IFERROR(IF(INDEX(INDIRECT("'"&amp;$B$2&amp;"月"&amp;"'!A:AZ"),15,39+4)="","",INDEX(INDIRECT("'"&amp;$B$2&amp;"月"&amp;"'!A:AZ"),15,39+4)),"")</f>
        <v/>
      </c>
      <c r="H301" s="57"/>
    </row>
    <row r="302" spans="1:8" ht="13.5" customHeight="1">
      <c r="A302" s="57">
        <f>IF(DAY(DATE(対象年度,$B$2,13))&lt;&gt;13,"",13)</f>
        <v>13</v>
      </c>
      <c r="B302" s="57" t="str">
        <f>IF(DAY(DATE(対象年度,$B$2,13))&lt;&gt;13,"",CHOOSE(WEEKDAY(DATE(対象年度,$B$2,13),2),"月","火","水","木","金","土","日"))</f>
        <v>火</v>
      </c>
      <c r="C302" s="57" t="str">
        <f ca="1">IFERROR(IF(INDEX(INDIRECT("'"&amp;$B$2&amp;"月"&amp;"'!A:AZ"),16,39+0)="","",INDEX(INDIRECT("'"&amp;$B$2&amp;"月"&amp;"'!A:AZ"),16,39+0)),"")</f>
        <v/>
      </c>
      <c r="D302" s="58" t="str">
        <f ca="1">IFERROR(IF(INDEX(INDIRECT("'"&amp;$B$2&amp;"月"&amp;"'!A:AZ"),16,39+1)="","",INDEX(INDIRECT("'"&amp;$B$2&amp;"月"&amp;"'!A:AZ"),16,39+1)),"")</f>
        <v/>
      </c>
      <c r="E302" s="57" t="str">
        <f ca="1">IFERROR(IF(INDEX(INDIRECT("'"&amp;$B$2&amp;"月"&amp;"'!A:AZ"),16,39+2)="","",INDEX(INDIRECT("'"&amp;$B$2&amp;"月"&amp;"'!A:AZ"),16,39+2)),"")</f>
        <v/>
      </c>
      <c r="F302" s="59" t="str">
        <f ca="1">IFERROR(IF(INDEX(INDIRECT("'"&amp;$B$2&amp;"月"&amp;"'!A:AZ"),16,39+3)="","",INDEX(INDIRECT("'"&amp;$B$2&amp;"月"&amp;"'!A:AZ"),16,39+3)),"")</f>
        <v/>
      </c>
      <c r="G302" s="57" t="str">
        <f ca="1">IFERROR(IF(INDEX(INDIRECT("'"&amp;$B$2&amp;"月"&amp;"'!A:AZ"),16,39+4)="","",INDEX(INDIRECT("'"&amp;$B$2&amp;"月"&amp;"'!A:AZ"),16,39+4)),"")</f>
        <v/>
      </c>
      <c r="H302" s="57"/>
    </row>
    <row r="303" spans="1:8" ht="13.5" customHeight="1">
      <c r="A303" s="57">
        <f>IF(DAY(DATE(対象年度,$B$2,14))&lt;&gt;14,"",14)</f>
        <v>14</v>
      </c>
      <c r="B303" s="57" t="str">
        <f>IF(DAY(DATE(対象年度,$B$2,14))&lt;&gt;14,"",CHOOSE(WEEKDAY(DATE(対象年度,$B$2,14),2),"月","火","水","木","金","土","日"))</f>
        <v>水</v>
      </c>
      <c r="C303" s="57" t="str">
        <f ca="1">IFERROR(IF(INDEX(INDIRECT("'"&amp;$B$2&amp;"月"&amp;"'!A:AZ"),17,39+0)="","",INDEX(INDIRECT("'"&amp;$B$2&amp;"月"&amp;"'!A:AZ"),17,39+0)),"")</f>
        <v/>
      </c>
      <c r="D303" s="58" t="str">
        <f ca="1">IFERROR(IF(INDEX(INDIRECT("'"&amp;$B$2&amp;"月"&amp;"'!A:AZ"),17,39+1)="","",INDEX(INDIRECT("'"&amp;$B$2&amp;"月"&amp;"'!A:AZ"),17,39+1)),"")</f>
        <v/>
      </c>
      <c r="E303" s="57" t="str">
        <f ca="1">IFERROR(IF(INDEX(INDIRECT("'"&amp;$B$2&amp;"月"&amp;"'!A:AZ"),17,39+2)="","",INDEX(INDIRECT("'"&amp;$B$2&amp;"月"&amp;"'!A:AZ"),17,39+2)),"")</f>
        <v/>
      </c>
      <c r="F303" s="59" t="str">
        <f ca="1">IFERROR(IF(INDEX(INDIRECT("'"&amp;$B$2&amp;"月"&amp;"'!A:AZ"),17,39+3)="","",INDEX(INDIRECT("'"&amp;$B$2&amp;"月"&amp;"'!A:AZ"),17,39+3)),"")</f>
        <v/>
      </c>
      <c r="G303" s="57" t="str">
        <f ca="1">IFERROR(IF(INDEX(INDIRECT("'"&amp;$B$2&amp;"月"&amp;"'!A:AZ"),17,39+4)="","",INDEX(INDIRECT("'"&amp;$B$2&amp;"月"&amp;"'!A:AZ"),17,39+4)),"")</f>
        <v/>
      </c>
      <c r="H303" s="57"/>
    </row>
    <row r="304" spans="1:8" ht="13.5" customHeight="1">
      <c r="A304" s="57">
        <f>IF(DAY(DATE(対象年度,$B$2,15))&lt;&gt;15,"",15)</f>
        <v>15</v>
      </c>
      <c r="B304" s="57" t="str">
        <f>IF(DAY(DATE(対象年度,$B$2,15))&lt;&gt;15,"",CHOOSE(WEEKDAY(DATE(対象年度,$B$2,15),2),"月","火","水","木","金","土","日"))</f>
        <v>木</v>
      </c>
      <c r="C304" s="57" t="str">
        <f ca="1">IFERROR(IF(INDEX(INDIRECT("'"&amp;$B$2&amp;"月"&amp;"'!A:AZ"),18,39+0)="","",INDEX(INDIRECT("'"&amp;$B$2&amp;"月"&amp;"'!A:AZ"),18,39+0)),"")</f>
        <v/>
      </c>
      <c r="D304" s="58" t="str">
        <f ca="1">IFERROR(IF(INDEX(INDIRECT("'"&amp;$B$2&amp;"月"&amp;"'!A:AZ"),18,39+1)="","",INDEX(INDIRECT("'"&amp;$B$2&amp;"月"&amp;"'!A:AZ"),18,39+1)),"")</f>
        <v/>
      </c>
      <c r="E304" s="57" t="str">
        <f ca="1">IFERROR(IF(INDEX(INDIRECT("'"&amp;$B$2&amp;"月"&amp;"'!A:AZ"),18,39+2)="","",INDEX(INDIRECT("'"&amp;$B$2&amp;"月"&amp;"'!A:AZ"),18,39+2)),"")</f>
        <v/>
      </c>
      <c r="F304" s="59" t="str">
        <f ca="1">IFERROR(IF(INDEX(INDIRECT("'"&amp;$B$2&amp;"月"&amp;"'!A:AZ"),18,39+3)="","",INDEX(INDIRECT("'"&amp;$B$2&amp;"月"&amp;"'!A:AZ"),18,39+3)),"")</f>
        <v/>
      </c>
      <c r="G304" s="57" t="str">
        <f ca="1">IFERROR(IF(INDEX(INDIRECT("'"&amp;$B$2&amp;"月"&amp;"'!A:AZ"),18,39+4)="","",INDEX(INDIRECT("'"&amp;$B$2&amp;"月"&amp;"'!A:AZ"),18,39+4)),"")</f>
        <v/>
      </c>
      <c r="H304" s="57"/>
    </row>
    <row r="305" spans="1:8" ht="13.5" customHeight="1">
      <c r="A305" s="57">
        <f>IF(DAY(DATE(対象年度,$B$2,16))&lt;&gt;16,"",16)</f>
        <v>16</v>
      </c>
      <c r="B305" s="57" t="str">
        <f>IF(DAY(DATE(対象年度,$B$2,16))&lt;&gt;16,"",CHOOSE(WEEKDAY(DATE(対象年度,$B$2,16),2),"月","火","水","木","金","土","日"))</f>
        <v>金</v>
      </c>
      <c r="C305" s="57" t="str">
        <f ca="1">IFERROR(IF(INDEX(INDIRECT("'"&amp;$B$2&amp;"月"&amp;"'!A:AZ"),19,39+0)="","",INDEX(INDIRECT("'"&amp;$B$2&amp;"月"&amp;"'!A:AZ"),19,39+0)),"")</f>
        <v/>
      </c>
      <c r="D305" s="58" t="str">
        <f ca="1">IFERROR(IF(INDEX(INDIRECT("'"&amp;$B$2&amp;"月"&amp;"'!A:AZ"),19,39+1)="","",INDEX(INDIRECT("'"&amp;$B$2&amp;"月"&amp;"'!A:AZ"),19,39+1)),"")</f>
        <v/>
      </c>
      <c r="E305" s="57" t="str">
        <f ca="1">IFERROR(IF(INDEX(INDIRECT("'"&amp;$B$2&amp;"月"&amp;"'!A:AZ"),19,39+2)="","",INDEX(INDIRECT("'"&amp;$B$2&amp;"月"&amp;"'!A:AZ"),19,39+2)),"")</f>
        <v/>
      </c>
      <c r="F305" s="59" t="str">
        <f ca="1">IFERROR(IF(INDEX(INDIRECT("'"&amp;$B$2&amp;"月"&amp;"'!A:AZ"),19,39+3)="","",INDEX(INDIRECT("'"&amp;$B$2&amp;"月"&amp;"'!A:AZ"),19,39+3)),"")</f>
        <v/>
      </c>
      <c r="G305" s="57" t="str">
        <f ca="1">IFERROR(IF(INDEX(INDIRECT("'"&amp;$B$2&amp;"月"&amp;"'!A:AZ"),19,39+4)="","",INDEX(INDIRECT("'"&amp;$B$2&amp;"月"&amp;"'!A:AZ"),19,39+4)),"")</f>
        <v/>
      </c>
      <c r="H305" s="57"/>
    </row>
    <row r="306" spans="1:8" ht="13.5" customHeight="1">
      <c r="A306" s="57">
        <f>IF(DAY(DATE(対象年度,$B$2,17))&lt;&gt;17,"",17)</f>
        <v>17</v>
      </c>
      <c r="B306" s="57" t="str">
        <f>IF(DAY(DATE(対象年度,$B$2,17))&lt;&gt;17,"",CHOOSE(WEEKDAY(DATE(対象年度,$B$2,17),2),"月","火","水","木","金","土","日"))</f>
        <v>土</v>
      </c>
      <c r="C306" s="57" t="str">
        <f ca="1">IFERROR(IF(INDEX(INDIRECT("'"&amp;$B$2&amp;"月"&amp;"'!A:AZ"),20,39+0)="","",INDEX(INDIRECT("'"&amp;$B$2&amp;"月"&amp;"'!A:AZ"),20,39+0)),"")</f>
        <v/>
      </c>
      <c r="D306" s="58" t="str">
        <f ca="1">IFERROR(IF(INDEX(INDIRECT("'"&amp;$B$2&amp;"月"&amp;"'!A:AZ"),20,39+1)="","",INDEX(INDIRECT("'"&amp;$B$2&amp;"月"&amp;"'!A:AZ"),20,39+1)),"")</f>
        <v/>
      </c>
      <c r="E306" s="57" t="str">
        <f ca="1">IFERROR(IF(INDEX(INDIRECT("'"&amp;$B$2&amp;"月"&amp;"'!A:AZ"),20,39+2)="","",INDEX(INDIRECT("'"&amp;$B$2&amp;"月"&amp;"'!A:AZ"),20,39+2)),"")</f>
        <v/>
      </c>
      <c r="F306" s="59" t="str">
        <f ca="1">IFERROR(IF(INDEX(INDIRECT("'"&amp;$B$2&amp;"月"&amp;"'!A:AZ"),20,39+3)="","",INDEX(INDIRECT("'"&amp;$B$2&amp;"月"&amp;"'!A:AZ"),20,39+3)),"")</f>
        <v/>
      </c>
      <c r="G306" s="57" t="str">
        <f ca="1">IFERROR(IF(INDEX(INDIRECT("'"&amp;$B$2&amp;"月"&amp;"'!A:AZ"),20,39+4)="","",INDEX(INDIRECT("'"&amp;$B$2&amp;"月"&amp;"'!A:AZ"),20,39+4)),"")</f>
        <v/>
      </c>
      <c r="H306" s="57"/>
    </row>
    <row r="307" spans="1:8" ht="13.5" customHeight="1">
      <c r="A307" s="57">
        <f>IF(DAY(DATE(対象年度,$B$2,18))&lt;&gt;18,"",18)</f>
        <v>18</v>
      </c>
      <c r="B307" s="57" t="str">
        <f>IF(DAY(DATE(対象年度,$B$2,18))&lt;&gt;18,"",CHOOSE(WEEKDAY(DATE(対象年度,$B$2,18),2),"月","火","水","木","金","土","日"))</f>
        <v>日</v>
      </c>
      <c r="C307" s="57" t="str">
        <f ca="1">IFERROR(IF(INDEX(INDIRECT("'"&amp;$B$2&amp;"月"&amp;"'!A:AZ"),21,39+0)="","",INDEX(INDIRECT("'"&amp;$B$2&amp;"月"&amp;"'!A:AZ"),21,39+0)),"")</f>
        <v/>
      </c>
      <c r="D307" s="58" t="str">
        <f ca="1">IFERROR(IF(INDEX(INDIRECT("'"&amp;$B$2&amp;"月"&amp;"'!A:AZ"),21,39+1)="","",INDEX(INDIRECT("'"&amp;$B$2&amp;"月"&amp;"'!A:AZ"),21,39+1)),"")</f>
        <v/>
      </c>
      <c r="E307" s="57" t="str">
        <f ca="1">IFERROR(IF(INDEX(INDIRECT("'"&amp;$B$2&amp;"月"&amp;"'!A:AZ"),21,39+2)="","",INDEX(INDIRECT("'"&amp;$B$2&amp;"月"&amp;"'!A:AZ"),21,39+2)),"")</f>
        <v/>
      </c>
      <c r="F307" s="59" t="str">
        <f ca="1">IFERROR(IF(INDEX(INDIRECT("'"&amp;$B$2&amp;"月"&amp;"'!A:AZ"),21,39+3)="","",INDEX(INDIRECT("'"&amp;$B$2&amp;"月"&amp;"'!A:AZ"),21,39+3)),"")</f>
        <v/>
      </c>
      <c r="G307" s="57" t="str">
        <f ca="1">IFERROR(IF(INDEX(INDIRECT("'"&amp;$B$2&amp;"月"&amp;"'!A:AZ"),21,39+4)="","",INDEX(INDIRECT("'"&amp;$B$2&amp;"月"&amp;"'!A:AZ"),21,39+4)),"")</f>
        <v/>
      </c>
      <c r="H307" s="57"/>
    </row>
    <row r="308" spans="1:8" ht="13.5" customHeight="1">
      <c r="A308" s="57">
        <f>IF(DAY(DATE(対象年度,$B$2,19))&lt;&gt;19,"",19)</f>
        <v>19</v>
      </c>
      <c r="B308" s="57" t="str">
        <f>IF(DAY(DATE(対象年度,$B$2,19))&lt;&gt;19,"",CHOOSE(WEEKDAY(DATE(対象年度,$B$2,19),2),"月","火","水","木","金","土","日"))</f>
        <v>月</v>
      </c>
      <c r="C308" s="57" t="str">
        <f ca="1">IFERROR(IF(INDEX(INDIRECT("'"&amp;$B$2&amp;"月"&amp;"'!A:AZ"),22,39+0)="","",INDEX(INDIRECT("'"&amp;$B$2&amp;"月"&amp;"'!A:AZ"),22,39+0)),"")</f>
        <v/>
      </c>
      <c r="D308" s="58" t="str">
        <f ca="1">IFERROR(IF(INDEX(INDIRECT("'"&amp;$B$2&amp;"月"&amp;"'!A:AZ"),22,39+1)="","",INDEX(INDIRECT("'"&amp;$B$2&amp;"月"&amp;"'!A:AZ"),22,39+1)),"")</f>
        <v/>
      </c>
      <c r="E308" s="57" t="str">
        <f ca="1">IFERROR(IF(INDEX(INDIRECT("'"&amp;$B$2&amp;"月"&amp;"'!A:AZ"),22,39+2)="","",INDEX(INDIRECT("'"&amp;$B$2&amp;"月"&amp;"'!A:AZ"),22,39+2)),"")</f>
        <v/>
      </c>
      <c r="F308" s="59" t="str">
        <f ca="1">IFERROR(IF(INDEX(INDIRECT("'"&amp;$B$2&amp;"月"&amp;"'!A:AZ"),22,39+3)="","",INDEX(INDIRECT("'"&amp;$B$2&amp;"月"&amp;"'!A:AZ"),22,39+3)),"")</f>
        <v/>
      </c>
      <c r="G308" s="57" t="str">
        <f ca="1">IFERROR(IF(INDEX(INDIRECT("'"&amp;$B$2&amp;"月"&amp;"'!A:AZ"),22,39+4)="","",INDEX(INDIRECT("'"&amp;$B$2&amp;"月"&amp;"'!A:AZ"),22,39+4)),"")</f>
        <v/>
      </c>
      <c r="H308" s="57"/>
    </row>
    <row r="309" spans="1:8" ht="13.5" customHeight="1">
      <c r="A309" s="57">
        <f>IF(DAY(DATE(対象年度,$B$2,20))&lt;&gt;20,"",20)</f>
        <v>20</v>
      </c>
      <c r="B309" s="57" t="str">
        <f>IF(DAY(DATE(対象年度,$B$2,20))&lt;&gt;20,"",CHOOSE(WEEKDAY(DATE(対象年度,$B$2,20),2),"月","火","水","木","金","土","日"))</f>
        <v>火</v>
      </c>
      <c r="C309" s="57" t="str">
        <f ca="1">IFERROR(IF(INDEX(INDIRECT("'"&amp;$B$2&amp;"月"&amp;"'!A:AZ"),23,39+0)="","",INDEX(INDIRECT("'"&amp;$B$2&amp;"月"&amp;"'!A:AZ"),23,39+0)),"")</f>
        <v/>
      </c>
      <c r="D309" s="58" t="str">
        <f ca="1">IFERROR(IF(INDEX(INDIRECT("'"&amp;$B$2&amp;"月"&amp;"'!A:AZ"),23,39+1)="","",INDEX(INDIRECT("'"&amp;$B$2&amp;"月"&amp;"'!A:AZ"),23,39+1)),"")</f>
        <v/>
      </c>
      <c r="E309" s="57" t="str">
        <f ca="1">IFERROR(IF(INDEX(INDIRECT("'"&amp;$B$2&amp;"月"&amp;"'!A:AZ"),23,39+2)="","",INDEX(INDIRECT("'"&amp;$B$2&amp;"月"&amp;"'!A:AZ"),23,39+2)),"")</f>
        <v/>
      </c>
      <c r="F309" s="59" t="str">
        <f ca="1">IFERROR(IF(INDEX(INDIRECT("'"&amp;$B$2&amp;"月"&amp;"'!A:AZ"),23,39+3)="","",INDEX(INDIRECT("'"&amp;$B$2&amp;"月"&amp;"'!A:AZ"),23,39+3)),"")</f>
        <v/>
      </c>
      <c r="G309" s="57" t="str">
        <f ca="1">IFERROR(IF(INDEX(INDIRECT("'"&amp;$B$2&amp;"月"&amp;"'!A:AZ"),23,39+4)="","",INDEX(INDIRECT("'"&amp;$B$2&amp;"月"&amp;"'!A:AZ"),23,39+4)),"")</f>
        <v/>
      </c>
      <c r="H309" s="57"/>
    </row>
    <row r="310" spans="1:8" ht="13.5" customHeight="1">
      <c r="A310" s="57">
        <f>IF(DAY(DATE(対象年度,$B$2,21))&lt;&gt;21,"",21)</f>
        <v>21</v>
      </c>
      <c r="B310" s="57" t="str">
        <f>IF(DAY(DATE(対象年度,$B$2,21))&lt;&gt;21,"",CHOOSE(WEEKDAY(DATE(対象年度,$B$2,21),2),"月","火","水","木","金","土","日"))</f>
        <v>水</v>
      </c>
      <c r="C310" s="57" t="str">
        <f ca="1">IFERROR(IF(INDEX(INDIRECT("'"&amp;$B$2&amp;"月"&amp;"'!A:AZ"),24,39+0)="","",INDEX(INDIRECT("'"&amp;$B$2&amp;"月"&amp;"'!A:AZ"),24,39+0)),"")</f>
        <v/>
      </c>
      <c r="D310" s="58" t="str">
        <f ca="1">IFERROR(IF(INDEX(INDIRECT("'"&amp;$B$2&amp;"月"&amp;"'!A:AZ"),24,39+1)="","",INDEX(INDIRECT("'"&amp;$B$2&amp;"月"&amp;"'!A:AZ"),24,39+1)),"")</f>
        <v/>
      </c>
      <c r="E310" s="57" t="str">
        <f ca="1">IFERROR(IF(INDEX(INDIRECT("'"&amp;$B$2&amp;"月"&amp;"'!A:AZ"),24,39+2)="","",INDEX(INDIRECT("'"&amp;$B$2&amp;"月"&amp;"'!A:AZ"),24,39+2)),"")</f>
        <v/>
      </c>
      <c r="F310" s="59" t="str">
        <f ca="1">IFERROR(IF(INDEX(INDIRECT("'"&amp;$B$2&amp;"月"&amp;"'!A:AZ"),24,39+3)="","",INDEX(INDIRECT("'"&amp;$B$2&amp;"月"&amp;"'!A:AZ"),24,39+3)),"")</f>
        <v/>
      </c>
      <c r="G310" s="57" t="str">
        <f ca="1">IFERROR(IF(INDEX(INDIRECT("'"&amp;$B$2&amp;"月"&amp;"'!A:AZ"),24,39+4)="","",INDEX(INDIRECT("'"&amp;$B$2&amp;"月"&amp;"'!A:AZ"),24,39+4)),"")</f>
        <v/>
      </c>
      <c r="H310" s="57"/>
    </row>
    <row r="311" spans="1:8" ht="13.5" customHeight="1">
      <c r="A311" s="57">
        <f>IF(DAY(DATE(対象年度,$B$2,22))&lt;&gt;22,"",22)</f>
        <v>22</v>
      </c>
      <c r="B311" s="57" t="str">
        <f>IF(DAY(DATE(対象年度,$B$2,22))&lt;&gt;22,"",CHOOSE(WEEKDAY(DATE(対象年度,$B$2,22),2),"月","火","水","木","金","土","日"))</f>
        <v>木</v>
      </c>
      <c r="C311" s="57" t="str">
        <f ca="1">IFERROR(IF(INDEX(INDIRECT("'"&amp;$B$2&amp;"月"&amp;"'!A:AZ"),25,39+0)="","",INDEX(INDIRECT("'"&amp;$B$2&amp;"月"&amp;"'!A:AZ"),25,39+0)),"")</f>
        <v/>
      </c>
      <c r="D311" s="58" t="str">
        <f ca="1">IFERROR(IF(INDEX(INDIRECT("'"&amp;$B$2&amp;"月"&amp;"'!A:AZ"),25,39+1)="","",INDEX(INDIRECT("'"&amp;$B$2&amp;"月"&amp;"'!A:AZ"),25,39+1)),"")</f>
        <v/>
      </c>
      <c r="E311" s="57" t="str">
        <f ca="1">IFERROR(IF(INDEX(INDIRECT("'"&amp;$B$2&amp;"月"&amp;"'!A:AZ"),25,39+2)="","",INDEX(INDIRECT("'"&amp;$B$2&amp;"月"&amp;"'!A:AZ"),25,39+2)),"")</f>
        <v/>
      </c>
      <c r="F311" s="59" t="str">
        <f ca="1">IFERROR(IF(INDEX(INDIRECT("'"&amp;$B$2&amp;"月"&amp;"'!A:AZ"),25,39+3)="","",INDEX(INDIRECT("'"&amp;$B$2&amp;"月"&amp;"'!A:AZ"),25,39+3)),"")</f>
        <v/>
      </c>
      <c r="G311" s="57" t="str">
        <f ca="1">IFERROR(IF(INDEX(INDIRECT("'"&amp;$B$2&amp;"月"&amp;"'!A:AZ"),25,39+4)="","",INDEX(INDIRECT("'"&amp;$B$2&amp;"月"&amp;"'!A:AZ"),25,39+4)),"")</f>
        <v/>
      </c>
      <c r="H311" s="57"/>
    </row>
    <row r="312" spans="1:8" ht="13.5" customHeight="1">
      <c r="A312" s="57">
        <f>IF(DAY(DATE(対象年度,$B$2,23))&lt;&gt;23,"",23)</f>
        <v>23</v>
      </c>
      <c r="B312" s="57" t="str">
        <f>IF(DAY(DATE(対象年度,$B$2,23))&lt;&gt;23,"",CHOOSE(WEEKDAY(DATE(対象年度,$B$2,23),2),"月","火","水","木","金","土","日"))</f>
        <v>金</v>
      </c>
      <c r="C312" s="57" t="str">
        <f ca="1">IFERROR(IF(INDEX(INDIRECT("'"&amp;$B$2&amp;"月"&amp;"'!A:AZ"),26,39+0)="","",INDEX(INDIRECT("'"&amp;$B$2&amp;"月"&amp;"'!A:AZ"),26,39+0)),"")</f>
        <v/>
      </c>
      <c r="D312" s="58" t="str">
        <f ca="1">IFERROR(IF(INDEX(INDIRECT("'"&amp;$B$2&amp;"月"&amp;"'!A:AZ"),26,39+1)="","",INDEX(INDIRECT("'"&amp;$B$2&amp;"月"&amp;"'!A:AZ"),26,39+1)),"")</f>
        <v/>
      </c>
      <c r="E312" s="57" t="str">
        <f ca="1">IFERROR(IF(INDEX(INDIRECT("'"&amp;$B$2&amp;"月"&amp;"'!A:AZ"),26,39+2)="","",INDEX(INDIRECT("'"&amp;$B$2&amp;"月"&amp;"'!A:AZ"),26,39+2)),"")</f>
        <v/>
      </c>
      <c r="F312" s="59" t="str">
        <f ca="1">IFERROR(IF(INDEX(INDIRECT("'"&amp;$B$2&amp;"月"&amp;"'!A:AZ"),26,39+3)="","",INDEX(INDIRECT("'"&amp;$B$2&amp;"月"&amp;"'!A:AZ"),26,39+3)),"")</f>
        <v/>
      </c>
      <c r="G312" s="57" t="str">
        <f ca="1">IFERROR(IF(INDEX(INDIRECT("'"&amp;$B$2&amp;"月"&amp;"'!A:AZ"),26,39+4)="","",INDEX(INDIRECT("'"&amp;$B$2&amp;"月"&amp;"'!A:AZ"),26,39+4)),"")</f>
        <v/>
      </c>
      <c r="H312" s="57"/>
    </row>
    <row r="313" spans="1:8" ht="13.5" customHeight="1">
      <c r="A313" s="57">
        <f>IF(DAY(DATE(対象年度,$B$2,24))&lt;&gt;24,"",24)</f>
        <v>24</v>
      </c>
      <c r="B313" s="57" t="str">
        <f>IF(DAY(DATE(対象年度,$B$2,24))&lt;&gt;24,"",CHOOSE(WEEKDAY(DATE(対象年度,$B$2,24),2),"月","火","水","木","金","土","日"))</f>
        <v>土</v>
      </c>
      <c r="C313" s="57" t="str">
        <f ca="1">IFERROR(IF(INDEX(INDIRECT("'"&amp;$B$2&amp;"月"&amp;"'!A:AZ"),27,39+0)="","",INDEX(INDIRECT("'"&amp;$B$2&amp;"月"&amp;"'!A:AZ"),27,39+0)),"")</f>
        <v/>
      </c>
      <c r="D313" s="58" t="str">
        <f ca="1">IFERROR(IF(INDEX(INDIRECT("'"&amp;$B$2&amp;"月"&amp;"'!A:AZ"),27,39+1)="","",INDEX(INDIRECT("'"&amp;$B$2&amp;"月"&amp;"'!A:AZ"),27,39+1)),"")</f>
        <v/>
      </c>
      <c r="E313" s="57" t="str">
        <f ca="1">IFERROR(IF(INDEX(INDIRECT("'"&amp;$B$2&amp;"月"&amp;"'!A:AZ"),27,39+2)="","",INDEX(INDIRECT("'"&amp;$B$2&amp;"月"&amp;"'!A:AZ"),27,39+2)),"")</f>
        <v/>
      </c>
      <c r="F313" s="59" t="str">
        <f ca="1">IFERROR(IF(INDEX(INDIRECT("'"&amp;$B$2&amp;"月"&amp;"'!A:AZ"),27,39+3)="","",INDEX(INDIRECT("'"&amp;$B$2&amp;"月"&amp;"'!A:AZ"),27,39+3)),"")</f>
        <v/>
      </c>
      <c r="G313" s="57" t="str">
        <f ca="1">IFERROR(IF(INDEX(INDIRECT("'"&amp;$B$2&amp;"月"&amp;"'!A:AZ"),27,39+4)="","",INDEX(INDIRECT("'"&amp;$B$2&amp;"月"&amp;"'!A:AZ"),27,39+4)),"")</f>
        <v/>
      </c>
      <c r="H313" s="57"/>
    </row>
    <row r="314" spans="1:8" ht="13.5" customHeight="1">
      <c r="A314" s="57">
        <f>IF(DAY(DATE(対象年度,$B$2,25))&lt;&gt;25,"",25)</f>
        <v>25</v>
      </c>
      <c r="B314" s="57" t="str">
        <f>IF(DAY(DATE(対象年度,$B$2,25))&lt;&gt;25,"",CHOOSE(WEEKDAY(DATE(対象年度,$B$2,25),2),"月","火","水","木","金","土","日"))</f>
        <v>日</v>
      </c>
      <c r="C314" s="57" t="str">
        <f ca="1">IFERROR(IF(INDEX(INDIRECT("'"&amp;$B$2&amp;"月"&amp;"'!A:AZ"),28,39+0)="","",INDEX(INDIRECT("'"&amp;$B$2&amp;"月"&amp;"'!A:AZ"),28,39+0)),"")</f>
        <v/>
      </c>
      <c r="D314" s="58" t="str">
        <f ca="1">IFERROR(IF(INDEX(INDIRECT("'"&amp;$B$2&amp;"月"&amp;"'!A:AZ"),28,39+1)="","",INDEX(INDIRECT("'"&amp;$B$2&amp;"月"&amp;"'!A:AZ"),28,39+1)),"")</f>
        <v/>
      </c>
      <c r="E314" s="57" t="str">
        <f ca="1">IFERROR(IF(INDEX(INDIRECT("'"&amp;$B$2&amp;"月"&amp;"'!A:AZ"),28,39+2)="","",INDEX(INDIRECT("'"&amp;$B$2&amp;"月"&amp;"'!A:AZ"),28,39+2)),"")</f>
        <v/>
      </c>
      <c r="F314" s="59" t="str">
        <f ca="1">IFERROR(IF(INDEX(INDIRECT("'"&amp;$B$2&amp;"月"&amp;"'!A:AZ"),28,39+3)="","",INDEX(INDIRECT("'"&amp;$B$2&amp;"月"&amp;"'!A:AZ"),28,39+3)),"")</f>
        <v/>
      </c>
      <c r="G314" s="57" t="str">
        <f ca="1">IFERROR(IF(INDEX(INDIRECT("'"&amp;$B$2&amp;"月"&amp;"'!A:AZ"),28,39+4)="","",INDEX(INDIRECT("'"&amp;$B$2&amp;"月"&amp;"'!A:AZ"),28,39+4)),"")</f>
        <v/>
      </c>
      <c r="H314" s="57"/>
    </row>
    <row r="315" spans="1:8" ht="13.5" customHeight="1">
      <c r="A315" s="57">
        <f>IF(DAY(DATE(対象年度,$B$2,26))&lt;&gt;26,"",26)</f>
        <v>26</v>
      </c>
      <c r="B315" s="57" t="str">
        <f>IF(DAY(DATE(対象年度,$B$2,26))&lt;&gt;26,"",CHOOSE(WEEKDAY(DATE(対象年度,$B$2,26),2),"月","火","水","木","金","土","日"))</f>
        <v>月</v>
      </c>
      <c r="C315" s="57" t="str">
        <f ca="1">IFERROR(IF(INDEX(INDIRECT("'"&amp;$B$2&amp;"月"&amp;"'!A:AZ"),29,39+0)="","",INDEX(INDIRECT("'"&amp;$B$2&amp;"月"&amp;"'!A:AZ"),29,39+0)),"")</f>
        <v/>
      </c>
      <c r="D315" s="58" t="str">
        <f ca="1">IFERROR(IF(INDEX(INDIRECT("'"&amp;$B$2&amp;"月"&amp;"'!A:AZ"),29,39+1)="","",INDEX(INDIRECT("'"&amp;$B$2&amp;"月"&amp;"'!A:AZ"),29,39+1)),"")</f>
        <v/>
      </c>
      <c r="E315" s="57" t="str">
        <f ca="1">IFERROR(IF(INDEX(INDIRECT("'"&amp;$B$2&amp;"月"&amp;"'!A:AZ"),29,39+2)="","",INDEX(INDIRECT("'"&amp;$B$2&amp;"月"&amp;"'!A:AZ"),29,39+2)),"")</f>
        <v/>
      </c>
      <c r="F315" s="59" t="str">
        <f ca="1">IFERROR(IF(INDEX(INDIRECT("'"&amp;$B$2&amp;"月"&amp;"'!A:AZ"),29,39+3)="","",INDEX(INDIRECT("'"&amp;$B$2&amp;"月"&amp;"'!A:AZ"),29,39+3)),"")</f>
        <v/>
      </c>
      <c r="G315" s="57" t="str">
        <f ca="1">IFERROR(IF(INDEX(INDIRECT("'"&amp;$B$2&amp;"月"&amp;"'!A:AZ"),29,39+4)="","",INDEX(INDIRECT("'"&amp;$B$2&amp;"月"&amp;"'!A:AZ"),29,39+4)),"")</f>
        <v/>
      </c>
      <c r="H315" s="57"/>
    </row>
    <row r="316" spans="1:8" ht="13.5" customHeight="1">
      <c r="A316" s="57">
        <f>IF(DAY(DATE(対象年度,$B$2,27))&lt;&gt;27,"",27)</f>
        <v>27</v>
      </c>
      <c r="B316" s="57" t="str">
        <f>IF(DAY(DATE(対象年度,$B$2,27))&lt;&gt;27,"",CHOOSE(WEEKDAY(DATE(対象年度,$B$2,27),2),"月","火","水","木","金","土","日"))</f>
        <v>火</v>
      </c>
      <c r="C316" s="57" t="str">
        <f ca="1">IFERROR(IF(INDEX(INDIRECT("'"&amp;$B$2&amp;"月"&amp;"'!A:AZ"),30,39+0)="","",INDEX(INDIRECT("'"&amp;$B$2&amp;"月"&amp;"'!A:AZ"),30,39+0)),"")</f>
        <v/>
      </c>
      <c r="D316" s="58" t="str">
        <f ca="1">IFERROR(IF(INDEX(INDIRECT("'"&amp;$B$2&amp;"月"&amp;"'!A:AZ"),30,39+1)="","",INDEX(INDIRECT("'"&amp;$B$2&amp;"月"&amp;"'!A:AZ"),30,39+1)),"")</f>
        <v/>
      </c>
      <c r="E316" s="57" t="str">
        <f ca="1">IFERROR(IF(INDEX(INDIRECT("'"&amp;$B$2&amp;"月"&amp;"'!A:AZ"),30,39+2)="","",INDEX(INDIRECT("'"&amp;$B$2&amp;"月"&amp;"'!A:AZ"),30,39+2)),"")</f>
        <v/>
      </c>
      <c r="F316" s="59" t="str">
        <f ca="1">IFERROR(IF(INDEX(INDIRECT("'"&amp;$B$2&amp;"月"&amp;"'!A:AZ"),30,39+3)="","",INDEX(INDIRECT("'"&amp;$B$2&amp;"月"&amp;"'!A:AZ"),30,39+3)),"")</f>
        <v/>
      </c>
      <c r="G316" s="57" t="str">
        <f ca="1">IFERROR(IF(INDEX(INDIRECT("'"&amp;$B$2&amp;"月"&amp;"'!A:AZ"),30,39+4)="","",INDEX(INDIRECT("'"&amp;$B$2&amp;"月"&amp;"'!A:AZ"),30,39+4)),"")</f>
        <v/>
      </c>
      <c r="H316" s="57"/>
    </row>
    <row r="317" spans="1:8" ht="13.5" customHeight="1">
      <c r="A317" s="57">
        <f>IF(DAY(DATE(対象年度,$B$2,28))&lt;&gt;28,"",28)</f>
        <v>28</v>
      </c>
      <c r="B317" s="57" t="str">
        <f>IF(DAY(DATE(対象年度,$B$2,28))&lt;&gt;28,"",CHOOSE(WEEKDAY(DATE(対象年度,$B$2,28),2),"月","火","水","木","金","土","日"))</f>
        <v>水</v>
      </c>
      <c r="C317" s="57" t="str">
        <f ca="1">IFERROR(IF(INDEX(INDIRECT("'"&amp;$B$2&amp;"月"&amp;"'!A:AZ"),31,39+0)="","",INDEX(INDIRECT("'"&amp;$B$2&amp;"月"&amp;"'!A:AZ"),31,39+0)),"")</f>
        <v/>
      </c>
      <c r="D317" s="58" t="str">
        <f ca="1">IFERROR(IF(INDEX(INDIRECT("'"&amp;$B$2&amp;"月"&amp;"'!A:AZ"),31,39+1)="","",INDEX(INDIRECT("'"&amp;$B$2&amp;"月"&amp;"'!A:AZ"),31,39+1)),"")</f>
        <v/>
      </c>
      <c r="E317" s="57" t="str">
        <f ca="1">IFERROR(IF(INDEX(INDIRECT("'"&amp;$B$2&amp;"月"&amp;"'!A:AZ"),31,39+2)="","",INDEX(INDIRECT("'"&amp;$B$2&amp;"月"&amp;"'!A:AZ"),31,39+2)),"")</f>
        <v/>
      </c>
      <c r="F317" s="59" t="str">
        <f ca="1">IFERROR(IF(INDEX(INDIRECT("'"&amp;$B$2&amp;"月"&amp;"'!A:AZ"),31,39+3)="","",INDEX(INDIRECT("'"&amp;$B$2&amp;"月"&amp;"'!A:AZ"),31,39+3)),"")</f>
        <v/>
      </c>
      <c r="G317" s="57" t="str">
        <f ca="1">IFERROR(IF(INDEX(INDIRECT("'"&amp;$B$2&amp;"月"&amp;"'!A:AZ"),31,39+4)="","",INDEX(INDIRECT("'"&amp;$B$2&amp;"月"&amp;"'!A:AZ"),31,39+4)),"")</f>
        <v/>
      </c>
      <c r="H317" s="57"/>
    </row>
    <row r="318" spans="1:8" ht="13.5" customHeight="1">
      <c r="A318" s="57">
        <f>IF(DAY(DATE(対象年度,$B$2,29))&lt;&gt;29,"",29)</f>
        <v>29</v>
      </c>
      <c r="B318" s="57" t="str">
        <f>IF(DAY(DATE(対象年度,$B$2,29))&lt;&gt;29,"",CHOOSE(WEEKDAY(DATE(対象年度,$B$2,29),2),"月","火","水","木","金","土","日"))</f>
        <v>木</v>
      </c>
      <c r="C318" s="57" t="str">
        <f ca="1">IFERROR(IF(INDEX(INDIRECT("'"&amp;$B$2&amp;"月"&amp;"'!A:AZ"),32,39+0)="","",INDEX(INDIRECT("'"&amp;$B$2&amp;"月"&amp;"'!A:AZ"),32,39+0)),"")</f>
        <v/>
      </c>
      <c r="D318" s="58" t="str">
        <f ca="1">IFERROR(IF(INDEX(INDIRECT("'"&amp;$B$2&amp;"月"&amp;"'!A:AZ"),32,39+1)="","",INDEX(INDIRECT("'"&amp;$B$2&amp;"月"&amp;"'!A:AZ"),32,39+1)),"")</f>
        <v/>
      </c>
      <c r="E318" s="57" t="str">
        <f ca="1">IFERROR(IF(INDEX(INDIRECT("'"&amp;$B$2&amp;"月"&amp;"'!A:AZ"),32,39+2)="","",INDEX(INDIRECT("'"&amp;$B$2&amp;"月"&amp;"'!A:AZ"),32,39+2)),"")</f>
        <v/>
      </c>
      <c r="F318" s="59" t="str">
        <f ca="1">IFERROR(IF(INDEX(INDIRECT("'"&amp;$B$2&amp;"月"&amp;"'!A:AZ"),32,39+3)="","",INDEX(INDIRECT("'"&amp;$B$2&amp;"月"&amp;"'!A:AZ"),32,39+3)),"")</f>
        <v/>
      </c>
      <c r="G318" s="57" t="str">
        <f ca="1">IFERROR(IF(INDEX(INDIRECT("'"&amp;$B$2&amp;"月"&amp;"'!A:AZ"),32,39+4)="","",INDEX(INDIRECT("'"&amp;$B$2&amp;"月"&amp;"'!A:AZ"),32,39+4)),"")</f>
        <v/>
      </c>
      <c r="H318" s="57"/>
    </row>
    <row r="319" spans="1:8" ht="13.5" customHeight="1">
      <c r="A319" s="57">
        <f>IF(DAY(DATE(対象年度,$B$2,30))&lt;&gt;30,"",30)</f>
        <v>30</v>
      </c>
      <c r="B319" s="57" t="str">
        <f>IF(DAY(DATE(対象年度,$B$2,30))&lt;&gt;30,"",CHOOSE(WEEKDAY(DATE(対象年度,$B$2,30),2),"月","火","水","木","金","土","日"))</f>
        <v>金</v>
      </c>
      <c r="C319" s="57" t="str">
        <f ca="1">IFERROR(IF(INDEX(INDIRECT("'"&amp;$B$2&amp;"月"&amp;"'!A:AZ"),33,39+0)="","",INDEX(INDIRECT("'"&amp;$B$2&amp;"月"&amp;"'!A:AZ"),33,39+0)),"")</f>
        <v/>
      </c>
      <c r="D319" s="58" t="str">
        <f ca="1">IFERROR(IF(INDEX(INDIRECT("'"&amp;$B$2&amp;"月"&amp;"'!A:AZ"),33,39+1)="","",INDEX(INDIRECT("'"&amp;$B$2&amp;"月"&amp;"'!A:AZ"),33,39+1)),"")</f>
        <v/>
      </c>
      <c r="E319" s="57" t="str">
        <f ca="1">IFERROR(IF(INDEX(INDIRECT("'"&amp;$B$2&amp;"月"&amp;"'!A:AZ"),33,39+2)="","",INDEX(INDIRECT("'"&amp;$B$2&amp;"月"&amp;"'!A:AZ"),33,39+2)),"")</f>
        <v/>
      </c>
      <c r="F319" s="59" t="str">
        <f ca="1">IFERROR(IF(INDEX(INDIRECT("'"&amp;$B$2&amp;"月"&amp;"'!A:AZ"),33,39+3)="","",INDEX(INDIRECT("'"&amp;$B$2&amp;"月"&amp;"'!A:AZ"),33,39+3)),"")</f>
        <v/>
      </c>
      <c r="G319" s="57" t="str">
        <f ca="1">IFERROR(IF(INDEX(INDIRECT("'"&amp;$B$2&amp;"月"&amp;"'!A:AZ"),33,39+4)="","",INDEX(INDIRECT("'"&amp;$B$2&amp;"月"&amp;"'!A:AZ"),33,39+4)),"")</f>
        <v/>
      </c>
      <c r="H319" s="57"/>
    </row>
    <row r="320" spans="1:8" ht="13.5" customHeight="1">
      <c r="A320" s="57">
        <f>IF(DAY(DATE(対象年度,$B$2,31))&lt;&gt;31,"",31)</f>
        <v>31</v>
      </c>
      <c r="B320" s="57" t="str">
        <f>IF(DAY(DATE(対象年度,$B$2,31))&lt;&gt;31,"",CHOOSE(WEEKDAY(DATE(対象年度,$B$2,31),2),"月","火","水","木","金","土","日"))</f>
        <v>土</v>
      </c>
      <c r="C320" s="57" t="str">
        <f ca="1">IFERROR(IF(INDEX(INDIRECT("'"&amp;$B$2&amp;"月"&amp;"'!A:AZ"),34,39+0)="","",INDEX(INDIRECT("'"&amp;$B$2&amp;"月"&amp;"'!A:AZ"),34,39+0)),"")</f>
        <v/>
      </c>
      <c r="D320" s="58" t="str">
        <f ca="1">IFERROR(IF(INDEX(INDIRECT("'"&amp;$B$2&amp;"月"&amp;"'!A:AZ"),34,39+1)="","",INDEX(INDIRECT("'"&amp;$B$2&amp;"月"&amp;"'!A:AZ"),34,39+1)),"")</f>
        <v/>
      </c>
      <c r="E320" s="57" t="str">
        <f ca="1">IFERROR(IF(INDEX(INDIRECT("'"&amp;$B$2&amp;"月"&amp;"'!A:AZ"),34,39+2)="","",INDEX(INDIRECT("'"&amp;$B$2&amp;"月"&amp;"'!A:AZ"),34,39+2)),"")</f>
        <v/>
      </c>
      <c r="F320" s="59" t="str">
        <f ca="1">IFERROR(IF(INDEX(INDIRECT("'"&amp;$B$2&amp;"月"&amp;"'!A:AZ"),34,39+3)="","",INDEX(INDIRECT("'"&amp;$B$2&amp;"月"&amp;"'!A:AZ"),34,39+3)),"")</f>
        <v/>
      </c>
      <c r="G320" s="57" t="str">
        <f ca="1">IFERROR(IF(INDEX(INDIRECT("'"&amp;$B$2&amp;"月"&amp;"'!A:AZ"),34,39+4)="","",INDEX(INDIRECT("'"&amp;$B$2&amp;"月"&amp;"'!A:AZ"),34,39+4)),"")</f>
        <v/>
      </c>
      <c r="H320" s="57"/>
    </row>
    <row r="321" spans="1:8" ht="21.75" customHeight="1">
      <c r="A321" s="112" t="s">
        <v>87</v>
      </c>
      <c r="B321" s="112"/>
      <c r="C321" s="61" t="s">
        <v>71</v>
      </c>
      <c r="D321" s="62">
        <f ca="1">IFERROR(INDEX(INDIRECT("'"&amp;$B$2&amp;"月"&amp;"'!A:AZ"),35,39),0)</f>
        <v>0</v>
      </c>
      <c r="E321" s="63" t="s">
        <v>72</v>
      </c>
      <c r="F321" s="64">
        <f ca="1">IFERROR(INDEX(INDIRECT("'"&amp;$B$2&amp;"月"&amp;"'!A:AZ"),36,39),0)</f>
        <v>0</v>
      </c>
      <c r="G321" s="61" t="s">
        <v>73</v>
      </c>
      <c r="H321" s="62">
        <f ca="1">IFERROR(INDEX(INDIRECT("'"&amp;$B$2&amp;"月"&amp;"'!A:AZ"),38,39),0)</f>
        <v>0</v>
      </c>
    </row>
    <row r="322" spans="1:8" ht="24" customHeight="1">
      <c r="A322" s="113"/>
      <c r="B322" s="113"/>
      <c r="C322" s="65" t="s">
        <v>76</v>
      </c>
      <c r="D322" s="66">
        <f ca="1">IFERROR(INDEX(INDIRECT("'"&amp;$B$2&amp;"月"&amp;"'!A:AZ"),37,39),0)</f>
        <v>0</v>
      </c>
      <c r="E322" s="67" t="s">
        <v>64</v>
      </c>
      <c r="F322" s="68">
        <f ca="1">IFERROR(INDEX(INDIRECT("'"&amp;$B$2&amp;"月"&amp;"'!A:AZ"),39,39),0)</f>
        <v>0</v>
      </c>
      <c r="G322" s="69" t="s">
        <v>65</v>
      </c>
      <c r="H322" s="70">
        <f ca="1">IFERROR(INDEX(INDIRECT("'"&amp;$B$2&amp;"月"&amp;"'!A:AZ"),40,39),0)</f>
        <v>0</v>
      </c>
    </row>
    <row r="324" spans="1:8" ht="27.75" customHeight="1">
      <c r="A324" s="105" t="s">
        <v>78</v>
      </c>
      <c r="B324" s="105"/>
      <c r="C324" s="105"/>
      <c r="D324" s="105"/>
      <c r="E324" s="105"/>
      <c r="F324" s="105"/>
      <c r="G324" s="105"/>
      <c r="H324" s="105"/>
    </row>
    <row r="325" spans="1:8" ht="18" customHeight="1">
      <c r="A325" s="114" t="s">
        <v>17</v>
      </c>
      <c r="B325" s="114"/>
      <c r="C325" s="114"/>
      <c r="D325" s="114"/>
      <c r="E325" s="114"/>
      <c r="F325" s="114"/>
      <c r="G325" s="114"/>
      <c r="H325" s="114"/>
    </row>
    <row r="326" spans="1:8" ht="27.75" customHeight="1">
      <c r="A326" s="49" t="s">
        <v>79</v>
      </c>
      <c r="B326" s="115" t="str">
        <f>対象年度&amp;"年 "&amp;$B$2&amp;"月"</f>
        <v>2026年 1月</v>
      </c>
      <c r="C326" s="115"/>
      <c r="D326" s="49" t="s">
        <v>80</v>
      </c>
      <c r="E326" s="116">
        <f>IFERROR(従業員マスタ!$C$12,"")</f>
        <v>0</v>
      </c>
      <c r="F326" s="116"/>
      <c r="G326" s="116"/>
      <c r="H326" s="116"/>
    </row>
    <row r="327" spans="1:8" ht="19.5" customHeight="1">
      <c r="A327" s="73" t="s">
        <v>90</v>
      </c>
      <c r="B327" s="53" t="s">
        <v>91</v>
      </c>
      <c r="C327" s="120" t="s">
        <v>84</v>
      </c>
      <c r="D327" s="120"/>
      <c r="E327" s="120" t="s">
        <v>85</v>
      </c>
      <c r="F327" s="120"/>
      <c r="G327" s="117" t="s">
        <v>86</v>
      </c>
      <c r="H327" s="117"/>
    </row>
    <row r="328" spans="1:8" ht="43.5" customHeight="1">
      <c r="A328" s="74"/>
      <c r="B328" s="54"/>
      <c r="C328" s="111"/>
      <c r="D328" s="111"/>
      <c r="E328" s="111"/>
      <c r="F328" s="111"/>
      <c r="G328" s="111"/>
      <c r="H328" s="111"/>
    </row>
    <row r="329" spans="1:8" ht="19.5" customHeight="1">
      <c r="A329" s="55" t="s">
        <v>66</v>
      </c>
      <c r="B329" s="55" t="s">
        <v>67</v>
      </c>
      <c r="C329" s="55" t="s">
        <v>69</v>
      </c>
      <c r="D329" s="56" t="s">
        <v>70</v>
      </c>
      <c r="E329" s="55" t="s">
        <v>71</v>
      </c>
      <c r="F329" s="55" t="s">
        <v>72</v>
      </c>
      <c r="G329" s="55" t="s">
        <v>73</v>
      </c>
      <c r="H329" s="55" t="s">
        <v>57</v>
      </c>
    </row>
    <row r="330" spans="1:8" ht="13.5" customHeight="1">
      <c r="A330" s="57">
        <f>IF(DAY(DATE(対象年度,$B$2,1))&lt;&gt;1,"",1)</f>
        <v>1</v>
      </c>
      <c r="B330" s="57" t="str">
        <f>IF(DAY(DATE(対象年度,$B$2,1))&lt;&gt;1,"",CHOOSE(WEEKDAY(DATE(対象年度,$B$2,1),2),"月","火","水","木","金","土","日"))</f>
        <v>木</v>
      </c>
      <c r="C330" s="57" t="str">
        <f ca="1">IFERROR(IF(INDEX(INDIRECT("'"&amp;$B$2&amp;"月"&amp;"'!A:AZ"),4,44+0)="","",INDEX(INDIRECT("'"&amp;$B$2&amp;"月"&amp;"'!A:AZ"),4,44+0)),"")</f>
        <v/>
      </c>
      <c r="D330" s="58" t="str">
        <f ca="1">IFERROR(IF(INDEX(INDIRECT("'"&amp;$B$2&amp;"月"&amp;"'!A:AZ"),4,44+1)="","",INDEX(INDIRECT("'"&amp;$B$2&amp;"月"&amp;"'!A:AZ"),4,44+1)),"")</f>
        <v/>
      </c>
      <c r="E330" s="57" t="str">
        <f ca="1">IFERROR(IF(INDEX(INDIRECT("'"&amp;$B$2&amp;"月"&amp;"'!A:AZ"),4,44+2)="","",INDEX(INDIRECT("'"&amp;$B$2&amp;"月"&amp;"'!A:AZ"),4,44+2)),"")</f>
        <v/>
      </c>
      <c r="F330" s="59" t="str">
        <f ca="1">IFERROR(IF(INDEX(INDIRECT("'"&amp;$B$2&amp;"月"&amp;"'!A:AZ"),4,44+3)="","",INDEX(INDIRECT("'"&amp;$B$2&amp;"月"&amp;"'!A:AZ"),4,44+3)),"")</f>
        <v/>
      </c>
      <c r="G330" s="57" t="str">
        <f ca="1">IFERROR(IF(INDEX(INDIRECT("'"&amp;$B$2&amp;"月"&amp;"'!A:AZ"),4,44+4)="","",INDEX(INDIRECT("'"&amp;$B$2&amp;"月"&amp;"'!A:AZ"),4,44+4)),"")</f>
        <v/>
      </c>
      <c r="H330" s="57"/>
    </row>
    <row r="331" spans="1:8" ht="13.5" customHeight="1">
      <c r="A331" s="57">
        <f>IF(DAY(DATE(対象年度,$B$2,2))&lt;&gt;2,"",2)</f>
        <v>2</v>
      </c>
      <c r="B331" s="57" t="str">
        <f>IF(DAY(DATE(対象年度,$B$2,2))&lt;&gt;2,"",CHOOSE(WEEKDAY(DATE(対象年度,$B$2,2),2),"月","火","水","木","金","土","日"))</f>
        <v>金</v>
      </c>
      <c r="C331" s="57" t="str">
        <f ca="1">IFERROR(IF(INDEX(INDIRECT("'"&amp;$B$2&amp;"月"&amp;"'!A:AZ"),5,44+0)="","",INDEX(INDIRECT("'"&amp;$B$2&amp;"月"&amp;"'!A:AZ"),5,44+0)),"")</f>
        <v/>
      </c>
      <c r="D331" s="58" t="str">
        <f ca="1">IFERROR(IF(INDEX(INDIRECT("'"&amp;$B$2&amp;"月"&amp;"'!A:AZ"),5,44+1)="","",INDEX(INDIRECT("'"&amp;$B$2&amp;"月"&amp;"'!A:AZ"),5,44+1)),"")</f>
        <v/>
      </c>
      <c r="E331" s="57" t="str">
        <f ca="1">IFERROR(IF(INDEX(INDIRECT("'"&amp;$B$2&amp;"月"&amp;"'!A:AZ"),5,44+2)="","",INDEX(INDIRECT("'"&amp;$B$2&amp;"月"&amp;"'!A:AZ"),5,44+2)),"")</f>
        <v/>
      </c>
      <c r="F331" s="59" t="str">
        <f ca="1">IFERROR(IF(INDEX(INDIRECT("'"&amp;$B$2&amp;"月"&amp;"'!A:AZ"),5,44+3)="","",INDEX(INDIRECT("'"&amp;$B$2&amp;"月"&amp;"'!A:AZ"),5,44+3)),"")</f>
        <v/>
      </c>
      <c r="G331" s="57" t="str">
        <f ca="1">IFERROR(IF(INDEX(INDIRECT("'"&amp;$B$2&amp;"月"&amp;"'!A:AZ"),5,44+4)="","",INDEX(INDIRECT("'"&amp;$B$2&amp;"月"&amp;"'!A:AZ"),5,44+4)),"")</f>
        <v/>
      </c>
      <c r="H331" s="57"/>
    </row>
    <row r="332" spans="1:8" ht="13.5" customHeight="1">
      <c r="A332" s="57">
        <f>IF(DAY(DATE(対象年度,$B$2,3))&lt;&gt;3,"",3)</f>
        <v>3</v>
      </c>
      <c r="B332" s="57" t="str">
        <f>IF(DAY(DATE(対象年度,$B$2,3))&lt;&gt;3,"",CHOOSE(WEEKDAY(DATE(対象年度,$B$2,3),2),"月","火","水","木","金","土","日"))</f>
        <v>土</v>
      </c>
      <c r="C332" s="57" t="str">
        <f ca="1">IFERROR(IF(INDEX(INDIRECT("'"&amp;$B$2&amp;"月"&amp;"'!A:AZ"),6,44+0)="","",INDEX(INDIRECT("'"&amp;$B$2&amp;"月"&amp;"'!A:AZ"),6,44+0)),"")</f>
        <v/>
      </c>
      <c r="D332" s="58" t="str">
        <f ca="1">IFERROR(IF(INDEX(INDIRECT("'"&amp;$B$2&amp;"月"&amp;"'!A:AZ"),6,44+1)="","",INDEX(INDIRECT("'"&amp;$B$2&amp;"月"&amp;"'!A:AZ"),6,44+1)),"")</f>
        <v/>
      </c>
      <c r="E332" s="57" t="str">
        <f ca="1">IFERROR(IF(INDEX(INDIRECT("'"&amp;$B$2&amp;"月"&amp;"'!A:AZ"),6,44+2)="","",INDEX(INDIRECT("'"&amp;$B$2&amp;"月"&amp;"'!A:AZ"),6,44+2)),"")</f>
        <v/>
      </c>
      <c r="F332" s="59" t="str">
        <f ca="1">IFERROR(IF(INDEX(INDIRECT("'"&amp;$B$2&amp;"月"&amp;"'!A:AZ"),6,44+3)="","",INDEX(INDIRECT("'"&amp;$B$2&amp;"月"&amp;"'!A:AZ"),6,44+3)),"")</f>
        <v/>
      </c>
      <c r="G332" s="57" t="str">
        <f ca="1">IFERROR(IF(INDEX(INDIRECT("'"&amp;$B$2&amp;"月"&amp;"'!A:AZ"),6,44+4)="","",INDEX(INDIRECT("'"&amp;$B$2&amp;"月"&amp;"'!A:AZ"),6,44+4)),"")</f>
        <v/>
      </c>
      <c r="H332" s="57"/>
    </row>
    <row r="333" spans="1:8" ht="13.5" customHeight="1">
      <c r="A333" s="57">
        <f>IF(DAY(DATE(対象年度,$B$2,4))&lt;&gt;4,"",4)</f>
        <v>4</v>
      </c>
      <c r="B333" s="57" t="str">
        <f>IF(DAY(DATE(対象年度,$B$2,4))&lt;&gt;4,"",CHOOSE(WEEKDAY(DATE(対象年度,$B$2,4),2),"月","火","水","木","金","土","日"))</f>
        <v>日</v>
      </c>
      <c r="C333" s="57" t="str">
        <f ca="1">IFERROR(IF(INDEX(INDIRECT("'"&amp;$B$2&amp;"月"&amp;"'!A:AZ"),7,44+0)="","",INDEX(INDIRECT("'"&amp;$B$2&amp;"月"&amp;"'!A:AZ"),7,44+0)),"")</f>
        <v/>
      </c>
      <c r="D333" s="58" t="str">
        <f ca="1">IFERROR(IF(INDEX(INDIRECT("'"&amp;$B$2&amp;"月"&amp;"'!A:AZ"),7,44+1)="","",INDEX(INDIRECT("'"&amp;$B$2&amp;"月"&amp;"'!A:AZ"),7,44+1)),"")</f>
        <v/>
      </c>
      <c r="E333" s="57" t="str">
        <f ca="1">IFERROR(IF(INDEX(INDIRECT("'"&amp;$B$2&amp;"月"&amp;"'!A:AZ"),7,44+2)="","",INDEX(INDIRECT("'"&amp;$B$2&amp;"月"&amp;"'!A:AZ"),7,44+2)),"")</f>
        <v/>
      </c>
      <c r="F333" s="59" t="str">
        <f ca="1">IFERROR(IF(INDEX(INDIRECT("'"&amp;$B$2&amp;"月"&amp;"'!A:AZ"),7,44+3)="","",INDEX(INDIRECT("'"&amp;$B$2&amp;"月"&amp;"'!A:AZ"),7,44+3)),"")</f>
        <v/>
      </c>
      <c r="G333" s="57" t="str">
        <f ca="1">IFERROR(IF(INDEX(INDIRECT("'"&amp;$B$2&amp;"月"&amp;"'!A:AZ"),7,44+4)="","",INDEX(INDIRECT("'"&amp;$B$2&amp;"月"&amp;"'!A:AZ"),7,44+4)),"")</f>
        <v/>
      </c>
      <c r="H333" s="57"/>
    </row>
    <row r="334" spans="1:8" ht="13.5" customHeight="1">
      <c r="A334" s="57">
        <f>IF(DAY(DATE(対象年度,$B$2,5))&lt;&gt;5,"",5)</f>
        <v>5</v>
      </c>
      <c r="B334" s="57" t="str">
        <f>IF(DAY(DATE(対象年度,$B$2,5))&lt;&gt;5,"",CHOOSE(WEEKDAY(DATE(対象年度,$B$2,5),2),"月","火","水","木","金","土","日"))</f>
        <v>月</v>
      </c>
      <c r="C334" s="57" t="str">
        <f ca="1">IFERROR(IF(INDEX(INDIRECT("'"&amp;$B$2&amp;"月"&amp;"'!A:AZ"),8,44+0)="","",INDEX(INDIRECT("'"&amp;$B$2&amp;"月"&amp;"'!A:AZ"),8,44+0)),"")</f>
        <v/>
      </c>
      <c r="D334" s="58" t="str">
        <f ca="1">IFERROR(IF(INDEX(INDIRECT("'"&amp;$B$2&amp;"月"&amp;"'!A:AZ"),8,44+1)="","",INDEX(INDIRECT("'"&amp;$B$2&amp;"月"&amp;"'!A:AZ"),8,44+1)),"")</f>
        <v/>
      </c>
      <c r="E334" s="57" t="str">
        <f ca="1">IFERROR(IF(INDEX(INDIRECT("'"&amp;$B$2&amp;"月"&amp;"'!A:AZ"),8,44+2)="","",INDEX(INDIRECT("'"&amp;$B$2&amp;"月"&amp;"'!A:AZ"),8,44+2)),"")</f>
        <v/>
      </c>
      <c r="F334" s="59" t="str">
        <f ca="1">IFERROR(IF(INDEX(INDIRECT("'"&amp;$B$2&amp;"月"&amp;"'!A:AZ"),8,44+3)="","",INDEX(INDIRECT("'"&amp;$B$2&amp;"月"&amp;"'!A:AZ"),8,44+3)),"")</f>
        <v/>
      </c>
      <c r="G334" s="57" t="str">
        <f ca="1">IFERROR(IF(INDEX(INDIRECT("'"&amp;$B$2&amp;"月"&amp;"'!A:AZ"),8,44+4)="","",INDEX(INDIRECT("'"&amp;$B$2&amp;"月"&amp;"'!A:AZ"),8,44+4)),"")</f>
        <v/>
      </c>
      <c r="H334" s="57"/>
    </row>
    <row r="335" spans="1:8" ht="13.5" customHeight="1">
      <c r="A335" s="57">
        <f>IF(DAY(DATE(対象年度,$B$2,6))&lt;&gt;6,"",6)</f>
        <v>6</v>
      </c>
      <c r="B335" s="57" t="str">
        <f>IF(DAY(DATE(対象年度,$B$2,6))&lt;&gt;6,"",CHOOSE(WEEKDAY(DATE(対象年度,$B$2,6),2),"月","火","水","木","金","土","日"))</f>
        <v>火</v>
      </c>
      <c r="C335" s="57" t="str">
        <f ca="1">IFERROR(IF(INDEX(INDIRECT("'"&amp;$B$2&amp;"月"&amp;"'!A:AZ"),9,44+0)="","",INDEX(INDIRECT("'"&amp;$B$2&amp;"月"&amp;"'!A:AZ"),9,44+0)),"")</f>
        <v/>
      </c>
      <c r="D335" s="58" t="str">
        <f ca="1">IFERROR(IF(INDEX(INDIRECT("'"&amp;$B$2&amp;"月"&amp;"'!A:AZ"),9,44+1)="","",INDEX(INDIRECT("'"&amp;$B$2&amp;"月"&amp;"'!A:AZ"),9,44+1)),"")</f>
        <v/>
      </c>
      <c r="E335" s="57" t="str">
        <f ca="1">IFERROR(IF(INDEX(INDIRECT("'"&amp;$B$2&amp;"月"&amp;"'!A:AZ"),9,44+2)="","",INDEX(INDIRECT("'"&amp;$B$2&amp;"月"&amp;"'!A:AZ"),9,44+2)),"")</f>
        <v/>
      </c>
      <c r="F335" s="59" t="str">
        <f ca="1">IFERROR(IF(INDEX(INDIRECT("'"&amp;$B$2&amp;"月"&amp;"'!A:AZ"),9,44+3)="","",INDEX(INDIRECT("'"&amp;$B$2&amp;"月"&amp;"'!A:AZ"),9,44+3)),"")</f>
        <v/>
      </c>
      <c r="G335" s="57" t="str">
        <f ca="1">IFERROR(IF(INDEX(INDIRECT("'"&amp;$B$2&amp;"月"&amp;"'!A:AZ"),9,44+4)="","",INDEX(INDIRECT("'"&amp;$B$2&amp;"月"&amp;"'!A:AZ"),9,44+4)),"")</f>
        <v/>
      </c>
      <c r="H335" s="57"/>
    </row>
    <row r="336" spans="1:8" ht="13.5" customHeight="1">
      <c r="A336" s="57">
        <f>IF(DAY(DATE(対象年度,$B$2,7))&lt;&gt;7,"",7)</f>
        <v>7</v>
      </c>
      <c r="B336" s="57" t="str">
        <f>IF(DAY(DATE(対象年度,$B$2,7))&lt;&gt;7,"",CHOOSE(WEEKDAY(DATE(対象年度,$B$2,7),2),"月","火","水","木","金","土","日"))</f>
        <v>水</v>
      </c>
      <c r="C336" s="57" t="str">
        <f ca="1">IFERROR(IF(INDEX(INDIRECT("'"&amp;$B$2&amp;"月"&amp;"'!A:AZ"),10,44+0)="","",INDEX(INDIRECT("'"&amp;$B$2&amp;"月"&amp;"'!A:AZ"),10,44+0)),"")</f>
        <v/>
      </c>
      <c r="D336" s="58" t="str">
        <f ca="1">IFERROR(IF(INDEX(INDIRECT("'"&amp;$B$2&amp;"月"&amp;"'!A:AZ"),10,44+1)="","",INDEX(INDIRECT("'"&amp;$B$2&amp;"月"&amp;"'!A:AZ"),10,44+1)),"")</f>
        <v/>
      </c>
      <c r="E336" s="57" t="str">
        <f ca="1">IFERROR(IF(INDEX(INDIRECT("'"&amp;$B$2&amp;"月"&amp;"'!A:AZ"),10,44+2)="","",INDEX(INDIRECT("'"&amp;$B$2&amp;"月"&amp;"'!A:AZ"),10,44+2)),"")</f>
        <v/>
      </c>
      <c r="F336" s="59" t="str">
        <f ca="1">IFERROR(IF(INDEX(INDIRECT("'"&amp;$B$2&amp;"月"&amp;"'!A:AZ"),10,44+3)="","",INDEX(INDIRECT("'"&amp;$B$2&amp;"月"&amp;"'!A:AZ"),10,44+3)),"")</f>
        <v/>
      </c>
      <c r="G336" s="57" t="str">
        <f ca="1">IFERROR(IF(INDEX(INDIRECT("'"&amp;$B$2&amp;"月"&amp;"'!A:AZ"),10,44+4)="","",INDEX(INDIRECT("'"&amp;$B$2&amp;"月"&amp;"'!A:AZ"),10,44+4)),"")</f>
        <v/>
      </c>
      <c r="H336" s="57"/>
    </row>
    <row r="337" spans="1:8" ht="13.5" customHeight="1">
      <c r="A337" s="57">
        <f>IF(DAY(DATE(対象年度,$B$2,8))&lt;&gt;8,"",8)</f>
        <v>8</v>
      </c>
      <c r="B337" s="57" t="str">
        <f>IF(DAY(DATE(対象年度,$B$2,8))&lt;&gt;8,"",CHOOSE(WEEKDAY(DATE(対象年度,$B$2,8),2),"月","火","水","木","金","土","日"))</f>
        <v>木</v>
      </c>
      <c r="C337" s="57" t="str">
        <f ca="1">IFERROR(IF(INDEX(INDIRECT("'"&amp;$B$2&amp;"月"&amp;"'!A:AZ"),11,44+0)="","",INDEX(INDIRECT("'"&amp;$B$2&amp;"月"&amp;"'!A:AZ"),11,44+0)),"")</f>
        <v/>
      </c>
      <c r="D337" s="58" t="str">
        <f ca="1">IFERROR(IF(INDEX(INDIRECT("'"&amp;$B$2&amp;"月"&amp;"'!A:AZ"),11,44+1)="","",INDEX(INDIRECT("'"&amp;$B$2&amp;"月"&amp;"'!A:AZ"),11,44+1)),"")</f>
        <v/>
      </c>
      <c r="E337" s="57" t="str">
        <f ca="1">IFERROR(IF(INDEX(INDIRECT("'"&amp;$B$2&amp;"月"&amp;"'!A:AZ"),11,44+2)="","",INDEX(INDIRECT("'"&amp;$B$2&amp;"月"&amp;"'!A:AZ"),11,44+2)),"")</f>
        <v/>
      </c>
      <c r="F337" s="59" t="str">
        <f ca="1">IFERROR(IF(INDEX(INDIRECT("'"&amp;$B$2&amp;"月"&amp;"'!A:AZ"),11,44+3)="","",INDEX(INDIRECT("'"&amp;$B$2&amp;"月"&amp;"'!A:AZ"),11,44+3)),"")</f>
        <v/>
      </c>
      <c r="G337" s="57" t="str">
        <f ca="1">IFERROR(IF(INDEX(INDIRECT("'"&amp;$B$2&amp;"月"&amp;"'!A:AZ"),11,44+4)="","",INDEX(INDIRECT("'"&amp;$B$2&amp;"月"&amp;"'!A:AZ"),11,44+4)),"")</f>
        <v/>
      </c>
      <c r="H337" s="57"/>
    </row>
    <row r="338" spans="1:8" ht="13.5" customHeight="1">
      <c r="A338" s="57">
        <f>IF(DAY(DATE(対象年度,$B$2,9))&lt;&gt;9,"",9)</f>
        <v>9</v>
      </c>
      <c r="B338" s="57" t="str">
        <f>IF(DAY(DATE(対象年度,$B$2,9))&lt;&gt;9,"",CHOOSE(WEEKDAY(DATE(対象年度,$B$2,9),2),"月","火","水","木","金","土","日"))</f>
        <v>金</v>
      </c>
      <c r="C338" s="57" t="str">
        <f ca="1">IFERROR(IF(INDEX(INDIRECT("'"&amp;$B$2&amp;"月"&amp;"'!A:AZ"),12,44+0)="","",INDEX(INDIRECT("'"&amp;$B$2&amp;"月"&amp;"'!A:AZ"),12,44+0)),"")</f>
        <v/>
      </c>
      <c r="D338" s="58" t="str">
        <f ca="1">IFERROR(IF(INDEX(INDIRECT("'"&amp;$B$2&amp;"月"&amp;"'!A:AZ"),12,44+1)="","",INDEX(INDIRECT("'"&amp;$B$2&amp;"月"&amp;"'!A:AZ"),12,44+1)),"")</f>
        <v/>
      </c>
      <c r="E338" s="57" t="str">
        <f ca="1">IFERROR(IF(INDEX(INDIRECT("'"&amp;$B$2&amp;"月"&amp;"'!A:AZ"),12,44+2)="","",INDEX(INDIRECT("'"&amp;$B$2&amp;"月"&amp;"'!A:AZ"),12,44+2)),"")</f>
        <v/>
      </c>
      <c r="F338" s="59" t="str">
        <f ca="1">IFERROR(IF(INDEX(INDIRECT("'"&amp;$B$2&amp;"月"&amp;"'!A:AZ"),12,44+3)="","",INDEX(INDIRECT("'"&amp;$B$2&amp;"月"&amp;"'!A:AZ"),12,44+3)),"")</f>
        <v/>
      </c>
      <c r="G338" s="57" t="str">
        <f ca="1">IFERROR(IF(INDEX(INDIRECT("'"&amp;$B$2&amp;"月"&amp;"'!A:AZ"),12,44+4)="","",INDEX(INDIRECT("'"&amp;$B$2&amp;"月"&amp;"'!A:AZ"),12,44+4)),"")</f>
        <v/>
      </c>
      <c r="H338" s="57"/>
    </row>
    <row r="339" spans="1:8" ht="13.5" customHeight="1">
      <c r="A339" s="57">
        <f>IF(DAY(DATE(対象年度,$B$2,10))&lt;&gt;10,"",10)</f>
        <v>10</v>
      </c>
      <c r="B339" s="57" t="str">
        <f>IF(DAY(DATE(対象年度,$B$2,10))&lt;&gt;10,"",CHOOSE(WEEKDAY(DATE(対象年度,$B$2,10),2),"月","火","水","木","金","土","日"))</f>
        <v>土</v>
      </c>
      <c r="C339" s="57" t="str">
        <f ca="1">IFERROR(IF(INDEX(INDIRECT("'"&amp;$B$2&amp;"月"&amp;"'!A:AZ"),13,44+0)="","",INDEX(INDIRECT("'"&amp;$B$2&amp;"月"&amp;"'!A:AZ"),13,44+0)),"")</f>
        <v/>
      </c>
      <c r="D339" s="58" t="str">
        <f ca="1">IFERROR(IF(INDEX(INDIRECT("'"&amp;$B$2&amp;"月"&amp;"'!A:AZ"),13,44+1)="","",INDEX(INDIRECT("'"&amp;$B$2&amp;"月"&amp;"'!A:AZ"),13,44+1)),"")</f>
        <v/>
      </c>
      <c r="E339" s="57" t="str">
        <f ca="1">IFERROR(IF(INDEX(INDIRECT("'"&amp;$B$2&amp;"月"&amp;"'!A:AZ"),13,44+2)="","",INDEX(INDIRECT("'"&amp;$B$2&amp;"月"&amp;"'!A:AZ"),13,44+2)),"")</f>
        <v/>
      </c>
      <c r="F339" s="59" t="str">
        <f ca="1">IFERROR(IF(INDEX(INDIRECT("'"&amp;$B$2&amp;"月"&amp;"'!A:AZ"),13,44+3)="","",INDEX(INDIRECT("'"&amp;$B$2&amp;"月"&amp;"'!A:AZ"),13,44+3)),"")</f>
        <v/>
      </c>
      <c r="G339" s="57" t="str">
        <f ca="1">IFERROR(IF(INDEX(INDIRECT("'"&amp;$B$2&amp;"月"&amp;"'!A:AZ"),13,44+4)="","",INDEX(INDIRECT("'"&amp;$B$2&amp;"月"&amp;"'!A:AZ"),13,44+4)),"")</f>
        <v/>
      </c>
      <c r="H339" s="57"/>
    </row>
    <row r="340" spans="1:8" ht="13.5" customHeight="1">
      <c r="A340" s="57">
        <f>IF(DAY(DATE(対象年度,$B$2,11))&lt;&gt;11,"",11)</f>
        <v>11</v>
      </c>
      <c r="B340" s="57" t="str">
        <f>IF(DAY(DATE(対象年度,$B$2,11))&lt;&gt;11,"",CHOOSE(WEEKDAY(DATE(対象年度,$B$2,11),2),"月","火","水","木","金","土","日"))</f>
        <v>日</v>
      </c>
      <c r="C340" s="57" t="str">
        <f ca="1">IFERROR(IF(INDEX(INDIRECT("'"&amp;$B$2&amp;"月"&amp;"'!A:AZ"),14,44+0)="","",INDEX(INDIRECT("'"&amp;$B$2&amp;"月"&amp;"'!A:AZ"),14,44+0)),"")</f>
        <v/>
      </c>
      <c r="D340" s="58" t="str">
        <f ca="1">IFERROR(IF(INDEX(INDIRECT("'"&amp;$B$2&amp;"月"&amp;"'!A:AZ"),14,44+1)="","",INDEX(INDIRECT("'"&amp;$B$2&amp;"月"&amp;"'!A:AZ"),14,44+1)),"")</f>
        <v/>
      </c>
      <c r="E340" s="57" t="str">
        <f ca="1">IFERROR(IF(INDEX(INDIRECT("'"&amp;$B$2&amp;"月"&amp;"'!A:AZ"),14,44+2)="","",INDEX(INDIRECT("'"&amp;$B$2&amp;"月"&amp;"'!A:AZ"),14,44+2)),"")</f>
        <v/>
      </c>
      <c r="F340" s="59" t="str">
        <f ca="1">IFERROR(IF(INDEX(INDIRECT("'"&amp;$B$2&amp;"月"&amp;"'!A:AZ"),14,44+3)="","",INDEX(INDIRECT("'"&amp;$B$2&amp;"月"&amp;"'!A:AZ"),14,44+3)),"")</f>
        <v/>
      </c>
      <c r="G340" s="57" t="str">
        <f ca="1">IFERROR(IF(INDEX(INDIRECT("'"&amp;$B$2&amp;"月"&amp;"'!A:AZ"),14,44+4)="","",INDEX(INDIRECT("'"&amp;$B$2&amp;"月"&amp;"'!A:AZ"),14,44+4)),"")</f>
        <v/>
      </c>
      <c r="H340" s="57"/>
    </row>
    <row r="341" spans="1:8" ht="13.5" customHeight="1">
      <c r="A341" s="57">
        <f>IF(DAY(DATE(対象年度,$B$2,12))&lt;&gt;12,"",12)</f>
        <v>12</v>
      </c>
      <c r="B341" s="57" t="str">
        <f>IF(DAY(DATE(対象年度,$B$2,12))&lt;&gt;12,"",CHOOSE(WEEKDAY(DATE(対象年度,$B$2,12),2),"月","火","水","木","金","土","日"))</f>
        <v>月</v>
      </c>
      <c r="C341" s="57" t="str">
        <f ca="1">IFERROR(IF(INDEX(INDIRECT("'"&amp;$B$2&amp;"月"&amp;"'!A:AZ"),15,44+0)="","",INDEX(INDIRECT("'"&amp;$B$2&amp;"月"&amp;"'!A:AZ"),15,44+0)),"")</f>
        <v/>
      </c>
      <c r="D341" s="58" t="str">
        <f ca="1">IFERROR(IF(INDEX(INDIRECT("'"&amp;$B$2&amp;"月"&amp;"'!A:AZ"),15,44+1)="","",INDEX(INDIRECT("'"&amp;$B$2&amp;"月"&amp;"'!A:AZ"),15,44+1)),"")</f>
        <v/>
      </c>
      <c r="E341" s="57" t="str">
        <f ca="1">IFERROR(IF(INDEX(INDIRECT("'"&amp;$B$2&amp;"月"&amp;"'!A:AZ"),15,44+2)="","",INDEX(INDIRECT("'"&amp;$B$2&amp;"月"&amp;"'!A:AZ"),15,44+2)),"")</f>
        <v/>
      </c>
      <c r="F341" s="59" t="str">
        <f ca="1">IFERROR(IF(INDEX(INDIRECT("'"&amp;$B$2&amp;"月"&amp;"'!A:AZ"),15,44+3)="","",INDEX(INDIRECT("'"&amp;$B$2&amp;"月"&amp;"'!A:AZ"),15,44+3)),"")</f>
        <v/>
      </c>
      <c r="G341" s="57" t="str">
        <f ca="1">IFERROR(IF(INDEX(INDIRECT("'"&amp;$B$2&amp;"月"&amp;"'!A:AZ"),15,44+4)="","",INDEX(INDIRECT("'"&amp;$B$2&amp;"月"&amp;"'!A:AZ"),15,44+4)),"")</f>
        <v/>
      </c>
      <c r="H341" s="57"/>
    </row>
    <row r="342" spans="1:8" ht="13.5" customHeight="1">
      <c r="A342" s="57">
        <f>IF(DAY(DATE(対象年度,$B$2,13))&lt;&gt;13,"",13)</f>
        <v>13</v>
      </c>
      <c r="B342" s="57" t="str">
        <f>IF(DAY(DATE(対象年度,$B$2,13))&lt;&gt;13,"",CHOOSE(WEEKDAY(DATE(対象年度,$B$2,13),2),"月","火","水","木","金","土","日"))</f>
        <v>火</v>
      </c>
      <c r="C342" s="57" t="str">
        <f ca="1">IFERROR(IF(INDEX(INDIRECT("'"&amp;$B$2&amp;"月"&amp;"'!A:AZ"),16,44+0)="","",INDEX(INDIRECT("'"&amp;$B$2&amp;"月"&amp;"'!A:AZ"),16,44+0)),"")</f>
        <v/>
      </c>
      <c r="D342" s="58" t="str">
        <f ca="1">IFERROR(IF(INDEX(INDIRECT("'"&amp;$B$2&amp;"月"&amp;"'!A:AZ"),16,44+1)="","",INDEX(INDIRECT("'"&amp;$B$2&amp;"月"&amp;"'!A:AZ"),16,44+1)),"")</f>
        <v/>
      </c>
      <c r="E342" s="57" t="str">
        <f ca="1">IFERROR(IF(INDEX(INDIRECT("'"&amp;$B$2&amp;"月"&amp;"'!A:AZ"),16,44+2)="","",INDEX(INDIRECT("'"&amp;$B$2&amp;"月"&amp;"'!A:AZ"),16,44+2)),"")</f>
        <v/>
      </c>
      <c r="F342" s="59" t="str">
        <f ca="1">IFERROR(IF(INDEX(INDIRECT("'"&amp;$B$2&amp;"月"&amp;"'!A:AZ"),16,44+3)="","",INDEX(INDIRECT("'"&amp;$B$2&amp;"月"&amp;"'!A:AZ"),16,44+3)),"")</f>
        <v/>
      </c>
      <c r="G342" s="57" t="str">
        <f ca="1">IFERROR(IF(INDEX(INDIRECT("'"&amp;$B$2&amp;"月"&amp;"'!A:AZ"),16,44+4)="","",INDEX(INDIRECT("'"&amp;$B$2&amp;"月"&amp;"'!A:AZ"),16,44+4)),"")</f>
        <v/>
      </c>
      <c r="H342" s="57"/>
    </row>
    <row r="343" spans="1:8" ht="13.5" customHeight="1">
      <c r="A343" s="57">
        <f>IF(DAY(DATE(対象年度,$B$2,14))&lt;&gt;14,"",14)</f>
        <v>14</v>
      </c>
      <c r="B343" s="57" t="str">
        <f>IF(DAY(DATE(対象年度,$B$2,14))&lt;&gt;14,"",CHOOSE(WEEKDAY(DATE(対象年度,$B$2,14),2),"月","火","水","木","金","土","日"))</f>
        <v>水</v>
      </c>
      <c r="C343" s="57" t="str">
        <f ca="1">IFERROR(IF(INDEX(INDIRECT("'"&amp;$B$2&amp;"月"&amp;"'!A:AZ"),17,44+0)="","",INDEX(INDIRECT("'"&amp;$B$2&amp;"月"&amp;"'!A:AZ"),17,44+0)),"")</f>
        <v/>
      </c>
      <c r="D343" s="58" t="str">
        <f ca="1">IFERROR(IF(INDEX(INDIRECT("'"&amp;$B$2&amp;"月"&amp;"'!A:AZ"),17,44+1)="","",INDEX(INDIRECT("'"&amp;$B$2&amp;"月"&amp;"'!A:AZ"),17,44+1)),"")</f>
        <v/>
      </c>
      <c r="E343" s="57" t="str">
        <f ca="1">IFERROR(IF(INDEX(INDIRECT("'"&amp;$B$2&amp;"月"&amp;"'!A:AZ"),17,44+2)="","",INDEX(INDIRECT("'"&amp;$B$2&amp;"月"&amp;"'!A:AZ"),17,44+2)),"")</f>
        <v/>
      </c>
      <c r="F343" s="59" t="str">
        <f ca="1">IFERROR(IF(INDEX(INDIRECT("'"&amp;$B$2&amp;"月"&amp;"'!A:AZ"),17,44+3)="","",INDEX(INDIRECT("'"&amp;$B$2&amp;"月"&amp;"'!A:AZ"),17,44+3)),"")</f>
        <v/>
      </c>
      <c r="G343" s="57" t="str">
        <f ca="1">IFERROR(IF(INDEX(INDIRECT("'"&amp;$B$2&amp;"月"&amp;"'!A:AZ"),17,44+4)="","",INDEX(INDIRECT("'"&amp;$B$2&amp;"月"&amp;"'!A:AZ"),17,44+4)),"")</f>
        <v/>
      </c>
      <c r="H343" s="57"/>
    </row>
    <row r="344" spans="1:8" ht="13.5" customHeight="1">
      <c r="A344" s="57">
        <f>IF(DAY(DATE(対象年度,$B$2,15))&lt;&gt;15,"",15)</f>
        <v>15</v>
      </c>
      <c r="B344" s="57" t="str">
        <f>IF(DAY(DATE(対象年度,$B$2,15))&lt;&gt;15,"",CHOOSE(WEEKDAY(DATE(対象年度,$B$2,15),2),"月","火","水","木","金","土","日"))</f>
        <v>木</v>
      </c>
      <c r="C344" s="57" t="str">
        <f ca="1">IFERROR(IF(INDEX(INDIRECT("'"&amp;$B$2&amp;"月"&amp;"'!A:AZ"),18,44+0)="","",INDEX(INDIRECT("'"&amp;$B$2&amp;"月"&amp;"'!A:AZ"),18,44+0)),"")</f>
        <v/>
      </c>
      <c r="D344" s="58" t="str">
        <f ca="1">IFERROR(IF(INDEX(INDIRECT("'"&amp;$B$2&amp;"月"&amp;"'!A:AZ"),18,44+1)="","",INDEX(INDIRECT("'"&amp;$B$2&amp;"月"&amp;"'!A:AZ"),18,44+1)),"")</f>
        <v/>
      </c>
      <c r="E344" s="57" t="str">
        <f ca="1">IFERROR(IF(INDEX(INDIRECT("'"&amp;$B$2&amp;"月"&amp;"'!A:AZ"),18,44+2)="","",INDEX(INDIRECT("'"&amp;$B$2&amp;"月"&amp;"'!A:AZ"),18,44+2)),"")</f>
        <v/>
      </c>
      <c r="F344" s="59" t="str">
        <f ca="1">IFERROR(IF(INDEX(INDIRECT("'"&amp;$B$2&amp;"月"&amp;"'!A:AZ"),18,44+3)="","",INDEX(INDIRECT("'"&amp;$B$2&amp;"月"&amp;"'!A:AZ"),18,44+3)),"")</f>
        <v/>
      </c>
      <c r="G344" s="57" t="str">
        <f ca="1">IFERROR(IF(INDEX(INDIRECT("'"&amp;$B$2&amp;"月"&amp;"'!A:AZ"),18,44+4)="","",INDEX(INDIRECT("'"&amp;$B$2&amp;"月"&amp;"'!A:AZ"),18,44+4)),"")</f>
        <v/>
      </c>
      <c r="H344" s="57"/>
    </row>
    <row r="345" spans="1:8" ht="13.5" customHeight="1">
      <c r="A345" s="57">
        <f>IF(DAY(DATE(対象年度,$B$2,16))&lt;&gt;16,"",16)</f>
        <v>16</v>
      </c>
      <c r="B345" s="57" t="str">
        <f>IF(DAY(DATE(対象年度,$B$2,16))&lt;&gt;16,"",CHOOSE(WEEKDAY(DATE(対象年度,$B$2,16),2),"月","火","水","木","金","土","日"))</f>
        <v>金</v>
      </c>
      <c r="C345" s="57" t="str">
        <f ca="1">IFERROR(IF(INDEX(INDIRECT("'"&amp;$B$2&amp;"月"&amp;"'!A:AZ"),19,44+0)="","",INDEX(INDIRECT("'"&amp;$B$2&amp;"月"&amp;"'!A:AZ"),19,44+0)),"")</f>
        <v/>
      </c>
      <c r="D345" s="58" t="str">
        <f ca="1">IFERROR(IF(INDEX(INDIRECT("'"&amp;$B$2&amp;"月"&amp;"'!A:AZ"),19,44+1)="","",INDEX(INDIRECT("'"&amp;$B$2&amp;"月"&amp;"'!A:AZ"),19,44+1)),"")</f>
        <v/>
      </c>
      <c r="E345" s="57" t="str">
        <f ca="1">IFERROR(IF(INDEX(INDIRECT("'"&amp;$B$2&amp;"月"&amp;"'!A:AZ"),19,44+2)="","",INDEX(INDIRECT("'"&amp;$B$2&amp;"月"&amp;"'!A:AZ"),19,44+2)),"")</f>
        <v/>
      </c>
      <c r="F345" s="59" t="str">
        <f ca="1">IFERROR(IF(INDEX(INDIRECT("'"&amp;$B$2&amp;"月"&amp;"'!A:AZ"),19,44+3)="","",INDEX(INDIRECT("'"&amp;$B$2&amp;"月"&amp;"'!A:AZ"),19,44+3)),"")</f>
        <v/>
      </c>
      <c r="G345" s="57" t="str">
        <f ca="1">IFERROR(IF(INDEX(INDIRECT("'"&amp;$B$2&amp;"月"&amp;"'!A:AZ"),19,44+4)="","",INDEX(INDIRECT("'"&amp;$B$2&amp;"月"&amp;"'!A:AZ"),19,44+4)),"")</f>
        <v/>
      </c>
      <c r="H345" s="57"/>
    </row>
    <row r="346" spans="1:8" ht="13.5" customHeight="1">
      <c r="A346" s="57">
        <f>IF(DAY(DATE(対象年度,$B$2,17))&lt;&gt;17,"",17)</f>
        <v>17</v>
      </c>
      <c r="B346" s="57" t="str">
        <f>IF(DAY(DATE(対象年度,$B$2,17))&lt;&gt;17,"",CHOOSE(WEEKDAY(DATE(対象年度,$B$2,17),2),"月","火","水","木","金","土","日"))</f>
        <v>土</v>
      </c>
      <c r="C346" s="57" t="str">
        <f ca="1">IFERROR(IF(INDEX(INDIRECT("'"&amp;$B$2&amp;"月"&amp;"'!A:AZ"),20,44+0)="","",INDEX(INDIRECT("'"&amp;$B$2&amp;"月"&amp;"'!A:AZ"),20,44+0)),"")</f>
        <v/>
      </c>
      <c r="D346" s="58" t="str">
        <f ca="1">IFERROR(IF(INDEX(INDIRECT("'"&amp;$B$2&amp;"月"&amp;"'!A:AZ"),20,44+1)="","",INDEX(INDIRECT("'"&amp;$B$2&amp;"月"&amp;"'!A:AZ"),20,44+1)),"")</f>
        <v/>
      </c>
      <c r="E346" s="57" t="str">
        <f ca="1">IFERROR(IF(INDEX(INDIRECT("'"&amp;$B$2&amp;"月"&amp;"'!A:AZ"),20,44+2)="","",INDEX(INDIRECT("'"&amp;$B$2&amp;"月"&amp;"'!A:AZ"),20,44+2)),"")</f>
        <v/>
      </c>
      <c r="F346" s="59" t="str">
        <f ca="1">IFERROR(IF(INDEX(INDIRECT("'"&amp;$B$2&amp;"月"&amp;"'!A:AZ"),20,44+3)="","",INDEX(INDIRECT("'"&amp;$B$2&amp;"月"&amp;"'!A:AZ"),20,44+3)),"")</f>
        <v/>
      </c>
      <c r="G346" s="57" t="str">
        <f ca="1">IFERROR(IF(INDEX(INDIRECT("'"&amp;$B$2&amp;"月"&amp;"'!A:AZ"),20,44+4)="","",INDEX(INDIRECT("'"&amp;$B$2&amp;"月"&amp;"'!A:AZ"),20,44+4)),"")</f>
        <v/>
      </c>
      <c r="H346" s="57"/>
    </row>
    <row r="347" spans="1:8" ht="13.5" customHeight="1">
      <c r="A347" s="57">
        <f>IF(DAY(DATE(対象年度,$B$2,18))&lt;&gt;18,"",18)</f>
        <v>18</v>
      </c>
      <c r="B347" s="57" t="str">
        <f>IF(DAY(DATE(対象年度,$B$2,18))&lt;&gt;18,"",CHOOSE(WEEKDAY(DATE(対象年度,$B$2,18),2),"月","火","水","木","金","土","日"))</f>
        <v>日</v>
      </c>
      <c r="C347" s="57" t="str">
        <f ca="1">IFERROR(IF(INDEX(INDIRECT("'"&amp;$B$2&amp;"月"&amp;"'!A:AZ"),21,44+0)="","",INDEX(INDIRECT("'"&amp;$B$2&amp;"月"&amp;"'!A:AZ"),21,44+0)),"")</f>
        <v/>
      </c>
      <c r="D347" s="58" t="str">
        <f ca="1">IFERROR(IF(INDEX(INDIRECT("'"&amp;$B$2&amp;"月"&amp;"'!A:AZ"),21,44+1)="","",INDEX(INDIRECT("'"&amp;$B$2&amp;"月"&amp;"'!A:AZ"),21,44+1)),"")</f>
        <v/>
      </c>
      <c r="E347" s="57" t="str">
        <f ca="1">IFERROR(IF(INDEX(INDIRECT("'"&amp;$B$2&amp;"月"&amp;"'!A:AZ"),21,44+2)="","",INDEX(INDIRECT("'"&amp;$B$2&amp;"月"&amp;"'!A:AZ"),21,44+2)),"")</f>
        <v/>
      </c>
      <c r="F347" s="59" t="str">
        <f ca="1">IFERROR(IF(INDEX(INDIRECT("'"&amp;$B$2&amp;"月"&amp;"'!A:AZ"),21,44+3)="","",INDEX(INDIRECT("'"&amp;$B$2&amp;"月"&amp;"'!A:AZ"),21,44+3)),"")</f>
        <v/>
      </c>
      <c r="G347" s="57" t="str">
        <f ca="1">IFERROR(IF(INDEX(INDIRECT("'"&amp;$B$2&amp;"月"&amp;"'!A:AZ"),21,44+4)="","",INDEX(INDIRECT("'"&amp;$B$2&amp;"月"&amp;"'!A:AZ"),21,44+4)),"")</f>
        <v/>
      </c>
      <c r="H347" s="57"/>
    </row>
    <row r="348" spans="1:8" ht="13.5" customHeight="1">
      <c r="A348" s="57">
        <f>IF(DAY(DATE(対象年度,$B$2,19))&lt;&gt;19,"",19)</f>
        <v>19</v>
      </c>
      <c r="B348" s="57" t="str">
        <f>IF(DAY(DATE(対象年度,$B$2,19))&lt;&gt;19,"",CHOOSE(WEEKDAY(DATE(対象年度,$B$2,19),2),"月","火","水","木","金","土","日"))</f>
        <v>月</v>
      </c>
      <c r="C348" s="57" t="str">
        <f ca="1">IFERROR(IF(INDEX(INDIRECT("'"&amp;$B$2&amp;"月"&amp;"'!A:AZ"),22,44+0)="","",INDEX(INDIRECT("'"&amp;$B$2&amp;"月"&amp;"'!A:AZ"),22,44+0)),"")</f>
        <v/>
      </c>
      <c r="D348" s="58" t="str">
        <f ca="1">IFERROR(IF(INDEX(INDIRECT("'"&amp;$B$2&amp;"月"&amp;"'!A:AZ"),22,44+1)="","",INDEX(INDIRECT("'"&amp;$B$2&amp;"月"&amp;"'!A:AZ"),22,44+1)),"")</f>
        <v/>
      </c>
      <c r="E348" s="57" t="str">
        <f ca="1">IFERROR(IF(INDEX(INDIRECT("'"&amp;$B$2&amp;"月"&amp;"'!A:AZ"),22,44+2)="","",INDEX(INDIRECT("'"&amp;$B$2&amp;"月"&amp;"'!A:AZ"),22,44+2)),"")</f>
        <v/>
      </c>
      <c r="F348" s="59" t="str">
        <f ca="1">IFERROR(IF(INDEX(INDIRECT("'"&amp;$B$2&amp;"月"&amp;"'!A:AZ"),22,44+3)="","",INDEX(INDIRECT("'"&amp;$B$2&amp;"月"&amp;"'!A:AZ"),22,44+3)),"")</f>
        <v/>
      </c>
      <c r="G348" s="57" t="str">
        <f ca="1">IFERROR(IF(INDEX(INDIRECT("'"&amp;$B$2&amp;"月"&amp;"'!A:AZ"),22,44+4)="","",INDEX(INDIRECT("'"&amp;$B$2&amp;"月"&amp;"'!A:AZ"),22,44+4)),"")</f>
        <v/>
      </c>
      <c r="H348" s="57"/>
    </row>
    <row r="349" spans="1:8" ht="13.5" customHeight="1">
      <c r="A349" s="57">
        <f>IF(DAY(DATE(対象年度,$B$2,20))&lt;&gt;20,"",20)</f>
        <v>20</v>
      </c>
      <c r="B349" s="57" t="str">
        <f>IF(DAY(DATE(対象年度,$B$2,20))&lt;&gt;20,"",CHOOSE(WEEKDAY(DATE(対象年度,$B$2,20),2),"月","火","水","木","金","土","日"))</f>
        <v>火</v>
      </c>
      <c r="C349" s="57" t="str">
        <f ca="1">IFERROR(IF(INDEX(INDIRECT("'"&amp;$B$2&amp;"月"&amp;"'!A:AZ"),23,44+0)="","",INDEX(INDIRECT("'"&amp;$B$2&amp;"月"&amp;"'!A:AZ"),23,44+0)),"")</f>
        <v/>
      </c>
      <c r="D349" s="58" t="str">
        <f ca="1">IFERROR(IF(INDEX(INDIRECT("'"&amp;$B$2&amp;"月"&amp;"'!A:AZ"),23,44+1)="","",INDEX(INDIRECT("'"&amp;$B$2&amp;"月"&amp;"'!A:AZ"),23,44+1)),"")</f>
        <v/>
      </c>
      <c r="E349" s="57" t="str">
        <f ca="1">IFERROR(IF(INDEX(INDIRECT("'"&amp;$B$2&amp;"月"&amp;"'!A:AZ"),23,44+2)="","",INDEX(INDIRECT("'"&amp;$B$2&amp;"月"&amp;"'!A:AZ"),23,44+2)),"")</f>
        <v/>
      </c>
      <c r="F349" s="59" t="str">
        <f ca="1">IFERROR(IF(INDEX(INDIRECT("'"&amp;$B$2&amp;"月"&amp;"'!A:AZ"),23,44+3)="","",INDEX(INDIRECT("'"&amp;$B$2&amp;"月"&amp;"'!A:AZ"),23,44+3)),"")</f>
        <v/>
      </c>
      <c r="G349" s="57" t="str">
        <f ca="1">IFERROR(IF(INDEX(INDIRECT("'"&amp;$B$2&amp;"月"&amp;"'!A:AZ"),23,44+4)="","",INDEX(INDIRECT("'"&amp;$B$2&amp;"月"&amp;"'!A:AZ"),23,44+4)),"")</f>
        <v/>
      </c>
      <c r="H349" s="57"/>
    </row>
    <row r="350" spans="1:8" ht="13.5" customHeight="1">
      <c r="A350" s="57">
        <f>IF(DAY(DATE(対象年度,$B$2,21))&lt;&gt;21,"",21)</f>
        <v>21</v>
      </c>
      <c r="B350" s="57" t="str">
        <f>IF(DAY(DATE(対象年度,$B$2,21))&lt;&gt;21,"",CHOOSE(WEEKDAY(DATE(対象年度,$B$2,21),2),"月","火","水","木","金","土","日"))</f>
        <v>水</v>
      </c>
      <c r="C350" s="57" t="str">
        <f ca="1">IFERROR(IF(INDEX(INDIRECT("'"&amp;$B$2&amp;"月"&amp;"'!A:AZ"),24,44+0)="","",INDEX(INDIRECT("'"&amp;$B$2&amp;"月"&amp;"'!A:AZ"),24,44+0)),"")</f>
        <v/>
      </c>
      <c r="D350" s="58" t="str">
        <f ca="1">IFERROR(IF(INDEX(INDIRECT("'"&amp;$B$2&amp;"月"&amp;"'!A:AZ"),24,44+1)="","",INDEX(INDIRECT("'"&amp;$B$2&amp;"月"&amp;"'!A:AZ"),24,44+1)),"")</f>
        <v/>
      </c>
      <c r="E350" s="57" t="str">
        <f ca="1">IFERROR(IF(INDEX(INDIRECT("'"&amp;$B$2&amp;"月"&amp;"'!A:AZ"),24,44+2)="","",INDEX(INDIRECT("'"&amp;$B$2&amp;"月"&amp;"'!A:AZ"),24,44+2)),"")</f>
        <v/>
      </c>
      <c r="F350" s="59" t="str">
        <f ca="1">IFERROR(IF(INDEX(INDIRECT("'"&amp;$B$2&amp;"月"&amp;"'!A:AZ"),24,44+3)="","",INDEX(INDIRECT("'"&amp;$B$2&amp;"月"&amp;"'!A:AZ"),24,44+3)),"")</f>
        <v/>
      </c>
      <c r="G350" s="57" t="str">
        <f ca="1">IFERROR(IF(INDEX(INDIRECT("'"&amp;$B$2&amp;"月"&amp;"'!A:AZ"),24,44+4)="","",INDEX(INDIRECT("'"&amp;$B$2&amp;"月"&amp;"'!A:AZ"),24,44+4)),"")</f>
        <v/>
      </c>
      <c r="H350" s="57"/>
    </row>
    <row r="351" spans="1:8" ht="13.5" customHeight="1">
      <c r="A351" s="57">
        <f>IF(DAY(DATE(対象年度,$B$2,22))&lt;&gt;22,"",22)</f>
        <v>22</v>
      </c>
      <c r="B351" s="57" t="str">
        <f>IF(DAY(DATE(対象年度,$B$2,22))&lt;&gt;22,"",CHOOSE(WEEKDAY(DATE(対象年度,$B$2,22),2),"月","火","水","木","金","土","日"))</f>
        <v>木</v>
      </c>
      <c r="C351" s="57" t="str">
        <f ca="1">IFERROR(IF(INDEX(INDIRECT("'"&amp;$B$2&amp;"月"&amp;"'!A:AZ"),25,44+0)="","",INDEX(INDIRECT("'"&amp;$B$2&amp;"月"&amp;"'!A:AZ"),25,44+0)),"")</f>
        <v/>
      </c>
      <c r="D351" s="58" t="str">
        <f ca="1">IFERROR(IF(INDEX(INDIRECT("'"&amp;$B$2&amp;"月"&amp;"'!A:AZ"),25,44+1)="","",INDEX(INDIRECT("'"&amp;$B$2&amp;"月"&amp;"'!A:AZ"),25,44+1)),"")</f>
        <v/>
      </c>
      <c r="E351" s="57" t="str">
        <f ca="1">IFERROR(IF(INDEX(INDIRECT("'"&amp;$B$2&amp;"月"&amp;"'!A:AZ"),25,44+2)="","",INDEX(INDIRECT("'"&amp;$B$2&amp;"月"&amp;"'!A:AZ"),25,44+2)),"")</f>
        <v/>
      </c>
      <c r="F351" s="59" t="str">
        <f ca="1">IFERROR(IF(INDEX(INDIRECT("'"&amp;$B$2&amp;"月"&amp;"'!A:AZ"),25,44+3)="","",INDEX(INDIRECT("'"&amp;$B$2&amp;"月"&amp;"'!A:AZ"),25,44+3)),"")</f>
        <v/>
      </c>
      <c r="G351" s="57" t="str">
        <f ca="1">IFERROR(IF(INDEX(INDIRECT("'"&amp;$B$2&amp;"月"&amp;"'!A:AZ"),25,44+4)="","",INDEX(INDIRECT("'"&amp;$B$2&amp;"月"&amp;"'!A:AZ"),25,44+4)),"")</f>
        <v/>
      </c>
      <c r="H351" s="57"/>
    </row>
    <row r="352" spans="1:8" ht="13.5" customHeight="1">
      <c r="A352" s="57">
        <f>IF(DAY(DATE(対象年度,$B$2,23))&lt;&gt;23,"",23)</f>
        <v>23</v>
      </c>
      <c r="B352" s="57" t="str">
        <f>IF(DAY(DATE(対象年度,$B$2,23))&lt;&gt;23,"",CHOOSE(WEEKDAY(DATE(対象年度,$B$2,23),2),"月","火","水","木","金","土","日"))</f>
        <v>金</v>
      </c>
      <c r="C352" s="57" t="str">
        <f ca="1">IFERROR(IF(INDEX(INDIRECT("'"&amp;$B$2&amp;"月"&amp;"'!A:AZ"),26,44+0)="","",INDEX(INDIRECT("'"&amp;$B$2&amp;"月"&amp;"'!A:AZ"),26,44+0)),"")</f>
        <v/>
      </c>
      <c r="D352" s="58" t="str">
        <f ca="1">IFERROR(IF(INDEX(INDIRECT("'"&amp;$B$2&amp;"月"&amp;"'!A:AZ"),26,44+1)="","",INDEX(INDIRECT("'"&amp;$B$2&amp;"月"&amp;"'!A:AZ"),26,44+1)),"")</f>
        <v/>
      </c>
      <c r="E352" s="57" t="str">
        <f ca="1">IFERROR(IF(INDEX(INDIRECT("'"&amp;$B$2&amp;"月"&amp;"'!A:AZ"),26,44+2)="","",INDEX(INDIRECT("'"&amp;$B$2&amp;"月"&amp;"'!A:AZ"),26,44+2)),"")</f>
        <v/>
      </c>
      <c r="F352" s="59" t="str">
        <f ca="1">IFERROR(IF(INDEX(INDIRECT("'"&amp;$B$2&amp;"月"&amp;"'!A:AZ"),26,44+3)="","",INDEX(INDIRECT("'"&amp;$B$2&amp;"月"&amp;"'!A:AZ"),26,44+3)),"")</f>
        <v/>
      </c>
      <c r="G352" s="57" t="str">
        <f ca="1">IFERROR(IF(INDEX(INDIRECT("'"&amp;$B$2&amp;"月"&amp;"'!A:AZ"),26,44+4)="","",INDEX(INDIRECT("'"&amp;$B$2&amp;"月"&amp;"'!A:AZ"),26,44+4)),"")</f>
        <v/>
      </c>
      <c r="H352" s="57"/>
    </row>
    <row r="353" spans="1:8" ht="13.5" customHeight="1">
      <c r="A353" s="57">
        <f>IF(DAY(DATE(対象年度,$B$2,24))&lt;&gt;24,"",24)</f>
        <v>24</v>
      </c>
      <c r="B353" s="57" t="str">
        <f>IF(DAY(DATE(対象年度,$B$2,24))&lt;&gt;24,"",CHOOSE(WEEKDAY(DATE(対象年度,$B$2,24),2),"月","火","水","木","金","土","日"))</f>
        <v>土</v>
      </c>
      <c r="C353" s="57" t="str">
        <f ca="1">IFERROR(IF(INDEX(INDIRECT("'"&amp;$B$2&amp;"月"&amp;"'!A:AZ"),27,44+0)="","",INDEX(INDIRECT("'"&amp;$B$2&amp;"月"&amp;"'!A:AZ"),27,44+0)),"")</f>
        <v/>
      </c>
      <c r="D353" s="58" t="str">
        <f ca="1">IFERROR(IF(INDEX(INDIRECT("'"&amp;$B$2&amp;"月"&amp;"'!A:AZ"),27,44+1)="","",INDEX(INDIRECT("'"&amp;$B$2&amp;"月"&amp;"'!A:AZ"),27,44+1)),"")</f>
        <v/>
      </c>
      <c r="E353" s="57" t="str">
        <f ca="1">IFERROR(IF(INDEX(INDIRECT("'"&amp;$B$2&amp;"月"&amp;"'!A:AZ"),27,44+2)="","",INDEX(INDIRECT("'"&amp;$B$2&amp;"月"&amp;"'!A:AZ"),27,44+2)),"")</f>
        <v/>
      </c>
      <c r="F353" s="59" t="str">
        <f ca="1">IFERROR(IF(INDEX(INDIRECT("'"&amp;$B$2&amp;"月"&amp;"'!A:AZ"),27,44+3)="","",INDEX(INDIRECT("'"&amp;$B$2&amp;"月"&amp;"'!A:AZ"),27,44+3)),"")</f>
        <v/>
      </c>
      <c r="G353" s="57" t="str">
        <f ca="1">IFERROR(IF(INDEX(INDIRECT("'"&amp;$B$2&amp;"月"&amp;"'!A:AZ"),27,44+4)="","",INDEX(INDIRECT("'"&amp;$B$2&amp;"月"&amp;"'!A:AZ"),27,44+4)),"")</f>
        <v/>
      </c>
      <c r="H353" s="57"/>
    </row>
    <row r="354" spans="1:8" ht="13.5" customHeight="1">
      <c r="A354" s="57">
        <f>IF(DAY(DATE(対象年度,$B$2,25))&lt;&gt;25,"",25)</f>
        <v>25</v>
      </c>
      <c r="B354" s="57" t="str">
        <f>IF(DAY(DATE(対象年度,$B$2,25))&lt;&gt;25,"",CHOOSE(WEEKDAY(DATE(対象年度,$B$2,25),2),"月","火","水","木","金","土","日"))</f>
        <v>日</v>
      </c>
      <c r="C354" s="57" t="str">
        <f ca="1">IFERROR(IF(INDEX(INDIRECT("'"&amp;$B$2&amp;"月"&amp;"'!A:AZ"),28,44+0)="","",INDEX(INDIRECT("'"&amp;$B$2&amp;"月"&amp;"'!A:AZ"),28,44+0)),"")</f>
        <v/>
      </c>
      <c r="D354" s="58" t="str">
        <f ca="1">IFERROR(IF(INDEX(INDIRECT("'"&amp;$B$2&amp;"月"&amp;"'!A:AZ"),28,44+1)="","",INDEX(INDIRECT("'"&amp;$B$2&amp;"月"&amp;"'!A:AZ"),28,44+1)),"")</f>
        <v/>
      </c>
      <c r="E354" s="57" t="str">
        <f ca="1">IFERROR(IF(INDEX(INDIRECT("'"&amp;$B$2&amp;"月"&amp;"'!A:AZ"),28,44+2)="","",INDEX(INDIRECT("'"&amp;$B$2&amp;"月"&amp;"'!A:AZ"),28,44+2)),"")</f>
        <v/>
      </c>
      <c r="F354" s="59" t="str">
        <f ca="1">IFERROR(IF(INDEX(INDIRECT("'"&amp;$B$2&amp;"月"&amp;"'!A:AZ"),28,44+3)="","",INDEX(INDIRECT("'"&amp;$B$2&amp;"月"&amp;"'!A:AZ"),28,44+3)),"")</f>
        <v/>
      </c>
      <c r="G354" s="57" t="str">
        <f ca="1">IFERROR(IF(INDEX(INDIRECT("'"&amp;$B$2&amp;"月"&amp;"'!A:AZ"),28,44+4)="","",INDEX(INDIRECT("'"&amp;$B$2&amp;"月"&amp;"'!A:AZ"),28,44+4)),"")</f>
        <v/>
      </c>
      <c r="H354" s="57"/>
    </row>
    <row r="355" spans="1:8" ht="13.5" customHeight="1">
      <c r="A355" s="57">
        <f>IF(DAY(DATE(対象年度,$B$2,26))&lt;&gt;26,"",26)</f>
        <v>26</v>
      </c>
      <c r="B355" s="57" t="str">
        <f>IF(DAY(DATE(対象年度,$B$2,26))&lt;&gt;26,"",CHOOSE(WEEKDAY(DATE(対象年度,$B$2,26),2),"月","火","水","木","金","土","日"))</f>
        <v>月</v>
      </c>
      <c r="C355" s="57" t="str">
        <f ca="1">IFERROR(IF(INDEX(INDIRECT("'"&amp;$B$2&amp;"月"&amp;"'!A:AZ"),29,44+0)="","",INDEX(INDIRECT("'"&amp;$B$2&amp;"月"&amp;"'!A:AZ"),29,44+0)),"")</f>
        <v/>
      </c>
      <c r="D355" s="58" t="str">
        <f ca="1">IFERROR(IF(INDEX(INDIRECT("'"&amp;$B$2&amp;"月"&amp;"'!A:AZ"),29,44+1)="","",INDEX(INDIRECT("'"&amp;$B$2&amp;"月"&amp;"'!A:AZ"),29,44+1)),"")</f>
        <v/>
      </c>
      <c r="E355" s="57" t="str">
        <f ca="1">IFERROR(IF(INDEX(INDIRECT("'"&amp;$B$2&amp;"月"&amp;"'!A:AZ"),29,44+2)="","",INDEX(INDIRECT("'"&amp;$B$2&amp;"月"&amp;"'!A:AZ"),29,44+2)),"")</f>
        <v/>
      </c>
      <c r="F355" s="59" t="str">
        <f ca="1">IFERROR(IF(INDEX(INDIRECT("'"&amp;$B$2&amp;"月"&amp;"'!A:AZ"),29,44+3)="","",INDEX(INDIRECT("'"&amp;$B$2&amp;"月"&amp;"'!A:AZ"),29,44+3)),"")</f>
        <v/>
      </c>
      <c r="G355" s="57" t="str">
        <f ca="1">IFERROR(IF(INDEX(INDIRECT("'"&amp;$B$2&amp;"月"&amp;"'!A:AZ"),29,44+4)="","",INDEX(INDIRECT("'"&amp;$B$2&amp;"月"&amp;"'!A:AZ"),29,44+4)),"")</f>
        <v/>
      </c>
      <c r="H355" s="57"/>
    </row>
    <row r="356" spans="1:8" ht="13.5" customHeight="1">
      <c r="A356" s="57">
        <f>IF(DAY(DATE(対象年度,$B$2,27))&lt;&gt;27,"",27)</f>
        <v>27</v>
      </c>
      <c r="B356" s="57" t="str">
        <f>IF(DAY(DATE(対象年度,$B$2,27))&lt;&gt;27,"",CHOOSE(WEEKDAY(DATE(対象年度,$B$2,27),2),"月","火","水","木","金","土","日"))</f>
        <v>火</v>
      </c>
      <c r="C356" s="57" t="str">
        <f ca="1">IFERROR(IF(INDEX(INDIRECT("'"&amp;$B$2&amp;"月"&amp;"'!A:AZ"),30,44+0)="","",INDEX(INDIRECT("'"&amp;$B$2&amp;"月"&amp;"'!A:AZ"),30,44+0)),"")</f>
        <v/>
      </c>
      <c r="D356" s="58" t="str">
        <f ca="1">IFERROR(IF(INDEX(INDIRECT("'"&amp;$B$2&amp;"月"&amp;"'!A:AZ"),30,44+1)="","",INDEX(INDIRECT("'"&amp;$B$2&amp;"月"&amp;"'!A:AZ"),30,44+1)),"")</f>
        <v/>
      </c>
      <c r="E356" s="57" t="str">
        <f ca="1">IFERROR(IF(INDEX(INDIRECT("'"&amp;$B$2&amp;"月"&amp;"'!A:AZ"),30,44+2)="","",INDEX(INDIRECT("'"&amp;$B$2&amp;"月"&amp;"'!A:AZ"),30,44+2)),"")</f>
        <v/>
      </c>
      <c r="F356" s="59" t="str">
        <f ca="1">IFERROR(IF(INDEX(INDIRECT("'"&amp;$B$2&amp;"月"&amp;"'!A:AZ"),30,44+3)="","",INDEX(INDIRECT("'"&amp;$B$2&amp;"月"&amp;"'!A:AZ"),30,44+3)),"")</f>
        <v/>
      </c>
      <c r="G356" s="57" t="str">
        <f ca="1">IFERROR(IF(INDEX(INDIRECT("'"&amp;$B$2&amp;"月"&amp;"'!A:AZ"),30,44+4)="","",INDEX(INDIRECT("'"&amp;$B$2&amp;"月"&amp;"'!A:AZ"),30,44+4)),"")</f>
        <v/>
      </c>
      <c r="H356" s="57"/>
    </row>
    <row r="357" spans="1:8" ht="13.5" customHeight="1">
      <c r="A357" s="57">
        <f>IF(DAY(DATE(対象年度,$B$2,28))&lt;&gt;28,"",28)</f>
        <v>28</v>
      </c>
      <c r="B357" s="57" t="str">
        <f>IF(DAY(DATE(対象年度,$B$2,28))&lt;&gt;28,"",CHOOSE(WEEKDAY(DATE(対象年度,$B$2,28),2),"月","火","水","木","金","土","日"))</f>
        <v>水</v>
      </c>
      <c r="C357" s="57" t="str">
        <f ca="1">IFERROR(IF(INDEX(INDIRECT("'"&amp;$B$2&amp;"月"&amp;"'!A:AZ"),31,44+0)="","",INDEX(INDIRECT("'"&amp;$B$2&amp;"月"&amp;"'!A:AZ"),31,44+0)),"")</f>
        <v/>
      </c>
      <c r="D357" s="58" t="str">
        <f ca="1">IFERROR(IF(INDEX(INDIRECT("'"&amp;$B$2&amp;"月"&amp;"'!A:AZ"),31,44+1)="","",INDEX(INDIRECT("'"&amp;$B$2&amp;"月"&amp;"'!A:AZ"),31,44+1)),"")</f>
        <v/>
      </c>
      <c r="E357" s="57" t="str">
        <f ca="1">IFERROR(IF(INDEX(INDIRECT("'"&amp;$B$2&amp;"月"&amp;"'!A:AZ"),31,44+2)="","",INDEX(INDIRECT("'"&amp;$B$2&amp;"月"&amp;"'!A:AZ"),31,44+2)),"")</f>
        <v/>
      </c>
      <c r="F357" s="59" t="str">
        <f ca="1">IFERROR(IF(INDEX(INDIRECT("'"&amp;$B$2&amp;"月"&amp;"'!A:AZ"),31,44+3)="","",INDEX(INDIRECT("'"&amp;$B$2&amp;"月"&amp;"'!A:AZ"),31,44+3)),"")</f>
        <v/>
      </c>
      <c r="G357" s="57" t="str">
        <f ca="1">IFERROR(IF(INDEX(INDIRECT("'"&amp;$B$2&amp;"月"&amp;"'!A:AZ"),31,44+4)="","",INDEX(INDIRECT("'"&amp;$B$2&amp;"月"&amp;"'!A:AZ"),31,44+4)),"")</f>
        <v/>
      </c>
      <c r="H357" s="57"/>
    </row>
    <row r="358" spans="1:8" ht="13.5" customHeight="1">
      <c r="A358" s="57">
        <f>IF(DAY(DATE(対象年度,$B$2,29))&lt;&gt;29,"",29)</f>
        <v>29</v>
      </c>
      <c r="B358" s="57" t="str">
        <f>IF(DAY(DATE(対象年度,$B$2,29))&lt;&gt;29,"",CHOOSE(WEEKDAY(DATE(対象年度,$B$2,29),2),"月","火","水","木","金","土","日"))</f>
        <v>木</v>
      </c>
      <c r="C358" s="57" t="str">
        <f ca="1">IFERROR(IF(INDEX(INDIRECT("'"&amp;$B$2&amp;"月"&amp;"'!A:AZ"),32,44+0)="","",INDEX(INDIRECT("'"&amp;$B$2&amp;"月"&amp;"'!A:AZ"),32,44+0)),"")</f>
        <v/>
      </c>
      <c r="D358" s="58" t="str">
        <f ca="1">IFERROR(IF(INDEX(INDIRECT("'"&amp;$B$2&amp;"月"&amp;"'!A:AZ"),32,44+1)="","",INDEX(INDIRECT("'"&amp;$B$2&amp;"月"&amp;"'!A:AZ"),32,44+1)),"")</f>
        <v/>
      </c>
      <c r="E358" s="57" t="str">
        <f ca="1">IFERROR(IF(INDEX(INDIRECT("'"&amp;$B$2&amp;"月"&amp;"'!A:AZ"),32,44+2)="","",INDEX(INDIRECT("'"&amp;$B$2&amp;"月"&amp;"'!A:AZ"),32,44+2)),"")</f>
        <v/>
      </c>
      <c r="F358" s="59" t="str">
        <f ca="1">IFERROR(IF(INDEX(INDIRECT("'"&amp;$B$2&amp;"月"&amp;"'!A:AZ"),32,44+3)="","",INDEX(INDIRECT("'"&amp;$B$2&amp;"月"&amp;"'!A:AZ"),32,44+3)),"")</f>
        <v/>
      </c>
      <c r="G358" s="57" t="str">
        <f ca="1">IFERROR(IF(INDEX(INDIRECT("'"&amp;$B$2&amp;"月"&amp;"'!A:AZ"),32,44+4)="","",INDEX(INDIRECT("'"&amp;$B$2&amp;"月"&amp;"'!A:AZ"),32,44+4)),"")</f>
        <v/>
      </c>
      <c r="H358" s="57"/>
    </row>
    <row r="359" spans="1:8" ht="13.5" customHeight="1">
      <c r="A359" s="57">
        <f>IF(DAY(DATE(対象年度,$B$2,30))&lt;&gt;30,"",30)</f>
        <v>30</v>
      </c>
      <c r="B359" s="57" t="str">
        <f>IF(DAY(DATE(対象年度,$B$2,30))&lt;&gt;30,"",CHOOSE(WEEKDAY(DATE(対象年度,$B$2,30),2),"月","火","水","木","金","土","日"))</f>
        <v>金</v>
      </c>
      <c r="C359" s="57" t="str">
        <f ca="1">IFERROR(IF(INDEX(INDIRECT("'"&amp;$B$2&amp;"月"&amp;"'!A:AZ"),33,44+0)="","",INDEX(INDIRECT("'"&amp;$B$2&amp;"月"&amp;"'!A:AZ"),33,44+0)),"")</f>
        <v/>
      </c>
      <c r="D359" s="58" t="str">
        <f ca="1">IFERROR(IF(INDEX(INDIRECT("'"&amp;$B$2&amp;"月"&amp;"'!A:AZ"),33,44+1)="","",INDEX(INDIRECT("'"&amp;$B$2&amp;"月"&amp;"'!A:AZ"),33,44+1)),"")</f>
        <v/>
      </c>
      <c r="E359" s="57" t="str">
        <f ca="1">IFERROR(IF(INDEX(INDIRECT("'"&amp;$B$2&amp;"月"&amp;"'!A:AZ"),33,44+2)="","",INDEX(INDIRECT("'"&amp;$B$2&amp;"月"&amp;"'!A:AZ"),33,44+2)),"")</f>
        <v/>
      </c>
      <c r="F359" s="59" t="str">
        <f ca="1">IFERROR(IF(INDEX(INDIRECT("'"&amp;$B$2&amp;"月"&amp;"'!A:AZ"),33,44+3)="","",INDEX(INDIRECT("'"&amp;$B$2&amp;"月"&amp;"'!A:AZ"),33,44+3)),"")</f>
        <v/>
      </c>
      <c r="G359" s="57" t="str">
        <f ca="1">IFERROR(IF(INDEX(INDIRECT("'"&amp;$B$2&amp;"月"&amp;"'!A:AZ"),33,44+4)="","",INDEX(INDIRECT("'"&amp;$B$2&amp;"月"&amp;"'!A:AZ"),33,44+4)),"")</f>
        <v/>
      </c>
      <c r="H359" s="57"/>
    </row>
    <row r="360" spans="1:8" ht="13.5" customHeight="1">
      <c r="A360" s="57">
        <f>IF(DAY(DATE(対象年度,$B$2,31))&lt;&gt;31,"",31)</f>
        <v>31</v>
      </c>
      <c r="B360" s="57" t="str">
        <f>IF(DAY(DATE(対象年度,$B$2,31))&lt;&gt;31,"",CHOOSE(WEEKDAY(DATE(対象年度,$B$2,31),2),"月","火","水","木","金","土","日"))</f>
        <v>土</v>
      </c>
      <c r="C360" s="57" t="str">
        <f ca="1">IFERROR(IF(INDEX(INDIRECT("'"&amp;$B$2&amp;"月"&amp;"'!A:AZ"),34,44+0)="","",INDEX(INDIRECT("'"&amp;$B$2&amp;"月"&amp;"'!A:AZ"),34,44+0)),"")</f>
        <v/>
      </c>
      <c r="D360" s="58" t="str">
        <f ca="1">IFERROR(IF(INDEX(INDIRECT("'"&amp;$B$2&amp;"月"&amp;"'!A:AZ"),34,44+1)="","",INDEX(INDIRECT("'"&amp;$B$2&amp;"月"&amp;"'!A:AZ"),34,44+1)),"")</f>
        <v/>
      </c>
      <c r="E360" s="57" t="str">
        <f ca="1">IFERROR(IF(INDEX(INDIRECT("'"&amp;$B$2&amp;"月"&amp;"'!A:AZ"),34,44+2)="","",INDEX(INDIRECT("'"&amp;$B$2&amp;"月"&amp;"'!A:AZ"),34,44+2)),"")</f>
        <v/>
      </c>
      <c r="F360" s="59" t="str">
        <f ca="1">IFERROR(IF(INDEX(INDIRECT("'"&amp;$B$2&amp;"月"&amp;"'!A:AZ"),34,44+3)="","",INDEX(INDIRECT("'"&amp;$B$2&amp;"月"&amp;"'!A:AZ"),34,44+3)),"")</f>
        <v/>
      </c>
      <c r="G360" s="57" t="str">
        <f ca="1">IFERROR(IF(INDEX(INDIRECT("'"&amp;$B$2&amp;"月"&amp;"'!A:AZ"),34,44+4)="","",INDEX(INDIRECT("'"&amp;$B$2&amp;"月"&amp;"'!A:AZ"),34,44+4)),"")</f>
        <v/>
      </c>
      <c r="H360" s="57"/>
    </row>
    <row r="361" spans="1:8" ht="21.75" customHeight="1">
      <c r="A361" s="112" t="s">
        <v>87</v>
      </c>
      <c r="B361" s="112"/>
      <c r="C361" s="61" t="s">
        <v>71</v>
      </c>
      <c r="D361" s="62">
        <f ca="1">IFERROR(INDEX(INDIRECT("'"&amp;$B$2&amp;"月"&amp;"'!A:AZ"),35,44),0)</f>
        <v>0</v>
      </c>
      <c r="E361" s="63" t="s">
        <v>72</v>
      </c>
      <c r="F361" s="64">
        <f ca="1">IFERROR(INDEX(INDIRECT("'"&amp;$B$2&amp;"月"&amp;"'!A:AZ"),36,44),0)</f>
        <v>0</v>
      </c>
      <c r="G361" s="61" t="s">
        <v>73</v>
      </c>
      <c r="H361" s="62">
        <f ca="1">IFERROR(INDEX(INDIRECT("'"&amp;$B$2&amp;"月"&amp;"'!A:AZ"),38,44),0)</f>
        <v>0</v>
      </c>
    </row>
    <row r="362" spans="1:8" ht="24" customHeight="1">
      <c r="A362" s="113"/>
      <c r="B362" s="113"/>
      <c r="C362" s="65" t="s">
        <v>76</v>
      </c>
      <c r="D362" s="66">
        <f ca="1">IFERROR(INDEX(INDIRECT("'"&amp;$B$2&amp;"月"&amp;"'!A:AZ"),37,44),0)</f>
        <v>0</v>
      </c>
      <c r="E362" s="67" t="s">
        <v>64</v>
      </c>
      <c r="F362" s="68">
        <f ca="1">IFERROR(INDEX(INDIRECT("'"&amp;$B$2&amp;"月"&amp;"'!A:AZ"),39,44),0)</f>
        <v>0</v>
      </c>
      <c r="G362" s="69" t="s">
        <v>65</v>
      </c>
      <c r="H362" s="70">
        <f ca="1">IFERROR(INDEX(INDIRECT("'"&amp;$B$2&amp;"月"&amp;"'!A:AZ"),40,44),0)</f>
        <v>0</v>
      </c>
    </row>
    <row r="364" spans="1:8" ht="27.75" customHeight="1">
      <c r="A364" s="105" t="s">
        <v>78</v>
      </c>
      <c r="B364" s="105"/>
      <c r="C364" s="105"/>
      <c r="D364" s="105"/>
      <c r="E364" s="105"/>
      <c r="F364" s="105"/>
      <c r="G364" s="105"/>
      <c r="H364" s="105"/>
    </row>
    <row r="365" spans="1:8" ht="18" customHeight="1">
      <c r="A365" s="114" t="s">
        <v>17</v>
      </c>
      <c r="B365" s="114"/>
      <c r="C365" s="114"/>
      <c r="D365" s="114"/>
      <c r="E365" s="114"/>
      <c r="F365" s="114"/>
      <c r="G365" s="114"/>
      <c r="H365" s="114"/>
    </row>
    <row r="366" spans="1:8" ht="27.75" customHeight="1">
      <c r="A366" s="49" t="s">
        <v>79</v>
      </c>
      <c r="B366" s="115" t="str">
        <f>対象年度&amp;"年 "&amp;$B$2&amp;"月"</f>
        <v>2026年 1月</v>
      </c>
      <c r="C366" s="115"/>
      <c r="D366" s="49" t="s">
        <v>80</v>
      </c>
      <c r="E366" s="116">
        <f>IFERROR(従業員マスタ!$C$13,"")</f>
        <v>0</v>
      </c>
      <c r="F366" s="116"/>
      <c r="G366" s="116"/>
      <c r="H366" s="116"/>
    </row>
    <row r="367" spans="1:8" ht="19.5" customHeight="1">
      <c r="A367" s="73" t="s">
        <v>90</v>
      </c>
      <c r="B367" s="53" t="s">
        <v>91</v>
      </c>
      <c r="C367" s="120" t="s">
        <v>84</v>
      </c>
      <c r="D367" s="120"/>
      <c r="E367" s="120" t="s">
        <v>85</v>
      </c>
      <c r="F367" s="120"/>
      <c r="G367" s="117" t="s">
        <v>86</v>
      </c>
      <c r="H367" s="117"/>
    </row>
    <row r="368" spans="1:8" ht="43.5" customHeight="1">
      <c r="A368" s="74"/>
      <c r="B368" s="54"/>
      <c r="C368" s="111"/>
      <c r="D368" s="111"/>
      <c r="E368" s="111"/>
      <c r="F368" s="111"/>
      <c r="G368" s="111"/>
      <c r="H368" s="111"/>
    </row>
    <row r="369" spans="1:8" ht="19.5" customHeight="1">
      <c r="A369" s="55" t="s">
        <v>66</v>
      </c>
      <c r="B369" s="55" t="s">
        <v>67</v>
      </c>
      <c r="C369" s="55" t="s">
        <v>69</v>
      </c>
      <c r="D369" s="56" t="s">
        <v>70</v>
      </c>
      <c r="E369" s="55" t="s">
        <v>71</v>
      </c>
      <c r="F369" s="55" t="s">
        <v>72</v>
      </c>
      <c r="G369" s="55" t="s">
        <v>73</v>
      </c>
      <c r="H369" s="55" t="s">
        <v>57</v>
      </c>
    </row>
    <row r="370" spans="1:8" ht="13.5" customHeight="1">
      <c r="A370" s="57">
        <f>IF(DAY(DATE(対象年度,$B$2,1))&lt;&gt;1,"",1)</f>
        <v>1</v>
      </c>
      <c r="B370" s="57" t="str">
        <f>IF(DAY(DATE(対象年度,$B$2,1))&lt;&gt;1,"",CHOOSE(WEEKDAY(DATE(対象年度,$B$2,1),2),"月","火","水","木","金","土","日"))</f>
        <v>木</v>
      </c>
      <c r="C370" s="57" t="str">
        <f ca="1">IFERROR(IF(INDEX(INDIRECT("'"&amp;$B$2&amp;"月"&amp;"'!A:AZ"),4,49+0)="","",INDEX(INDIRECT("'"&amp;$B$2&amp;"月"&amp;"'!A:AZ"),4,49+0)),"")</f>
        <v/>
      </c>
      <c r="D370" s="58" t="str">
        <f ca="1">IFERROR(IF(INDEX(INDIRECT("'"&amp;$B$2&amp;"月"&amp;"'!A:AZ"),4,49+1)="","",INDEX(INDIRECT("'"&amp;$B$2&amp;"月"&amp;"'!A:AZ"),4,49+1)),"")</f>
        <v/>
      </c>
      <c r="E370" s="57" t="str">
        <f ca="1">IFERROR(IF(INDEX(INDIRECT("'"&amp;$B$2&amp;"月"&amp;"'!A:AZ"),4,49+2)="","",INDEX(INDIRECT("'"&amp;$B$2&amp;"月"&amp;"'!A:AZ"),4,49+2)),"")</f>
        <v/>
      </c>
      <c r="F370" s="59" t="str">
        <f ca="1">IFERROR(IF(INDEX(INDIRECT("'"&amp;$B$2&amp;"月"&amp;"'!A:AZ"),4,49+3)="","",INDEX(INDIRECT("'"&amp;$B$2&amp;"月"&amp;"'!A:AZ"),4,49+3)),"")</f>
        <v/>
      </c>
      <c r="G370" s="57" t="str">
        <f ca="1">IFERROR(IF(INDEX(INDIRECT("'"&amp;$B$2&amp;"月"&amp;"'!A:AZ"),4,49+4)="","",INDEX(INDIRECT("'"&amp;$B$2&amp;"月"&amp;"'!A:AZ"),4,49+4)),"")</f>
        <v/>
      </c>
      <c r="H370" s="57"/>
    </row>
    <row r="371" spans="1:8" ht="13.5" customHeight="1">
      <c r="A371" s="57">
        <f>IF(DAY(DATE(対象年度,$B$2,2))&lt;&gt;2,"",2)</f>
        <v>2</v>
      </c>
      <c r="B371" s="57" t="str">
        <f>IF(DAY(DATE(対象年度,$B$2,2))&lt;&gt;2,"",CHOOSE(WEEKDAY(DATE(対象年度,$B$2,2),2),"月","火","水","木","金","土","日"))</f>
        <v>金</v>
      </c>
      <c r="C371" s="57" t="str">
        <f ca="1">IFERROR(IF(INDEX(INDIRECT("'"&amp;$B$2&amp;"月"&amp;"'!A:AZ"),5,49+0)="","",INDEX(INDIRECT("'"&amp;$B$2&amp;"月"&amp;"'!A:AZ"),5,49+0)),"")</f>
        <v/>
      </c>
      <c r="D371" s="58" t="str">
        <f ca="1">IFERROR(IF(INDEX(INDIRECT("'"&amp;$B$2&amp;"月"&amp;"'!A:AZ"),5,49+1)="","",INDEX(INDIRECT("'"&amp;$B$2&amp;"月"&amp;"'!A:AZ"),5,49+1)),"")</f>
        <v/>
      </c>
      <c r="E371" s="57" t="str">
        <f ca="1">IFERROR(IF(INDEX(INDIRECT("'"&amp;$B$2&amp;"月"&amp;"'!A:AZ"),5,49+2)="","",INDEX(INDIRECT("'"&amp;$B$2&amp;"月"&amp;"'!A:AZ"),5,49+2)),"")</f>
        <v/>
      </c>
      <c r="F371" s="59" t="str">
        <f ca="1">IFERROR(IF(INDEX(INDIRECT("'"&amp;$B$2&amp;"月"&amp;"'!A:AZ"),5,49+3)="","",INDEX(INDIRECT("'"&amp;$B$2&amp;"月"&amp;"'!A:AZ"),5,49+3)),"")</f>
        <v/>
      </c>
      <c r="G371" s="57" t="str">
        <f ca="1">IFERROR(IF(INDEX(INDIRECT("'"&amp;$B$2&amp;"月"&amp;"'!A:AZ"),5,49+4)="","",INDEX(INDIRECT("'"&amp;$B$2&amp;"月"&amp;"'!A:AZ"),5,49+4)),"")</f>
        <v/>
      </c>
      <c r="H371" s="57"/>
    </row>
    <row r="372" spans="1:8" ht="13.5" customHeight="1">
      <c r="A372" s="57">
        <f>IF(DAY(DATE(対象年度,$B$2,3))&lt;&gt;3,"",3)</f>
        <v>3</v>
      </c>
      <c r="B372" s="57" t="str">
        <f>IF(DAY(DATE(対象年度,$B$2,3))&lt;&gt;3,"",CHOOSE(WEEKDAY(DATE(対象年度,$B$2,3),2),"月","火","水","木","金","土","日"))</f>
        <v>土</v>
      </c>
      <c r="C372" s="57" t="str">
        <f ca="1">IFERROR(IF(INDEX(INDIRECT("'"&amp;$B$2&amp;"月"&amp;"'!A:AZ"),6,49+0)="","",INDEX(INDIRECT("'"&amp;$B$2&amp;"月"&amp;"'!A:AZ"),6,49+0)),"")</f>
        <v/>
      </c>
      <c r="D372" s="58" t="str">
        <f ca="1">IFERROR(IF(INDEX(INDIRECT("'"&amp;$B$2&amp;"月"&amp;"'!A:AZ"),6,49+1)="","",INDEX(INDIRECT("'"&amp;$B$2&amp;"月"&amp;"'!A:AZ"),6,49+1)),"")</f>
        <v/>
      </c>
      <c r="E372" s="57" t="str">
        <f ca="1">IFERROR(IF(INDEX(INDIRECT("'"&amp;$B$2&amp;"月"&amp;"'!A:AZ"),6,49+2)="","",INDEX(INDIRECT("'"&amp;$B$2&amp;"月"&amp;"'!A:AZ"),6,49+2)),"")</f>
        <v/>
      </c>
      <c r="F372" s="59" t="str">
        <f ca="1">IFERROR(IF(INDEX(INDIRECT("'"&amp;$B$2&amp;"月"&amp;"'!A:AZ"),6,49+3)="","",INDEX(INDIRECT("'"&amp;$B$2&amp;"月"&amp;"'!A:AZ"),6,49+3)),"")</f>
        <v/>
      </c>
      <c r="G372" s="57" t="str">
        <f ca="1">IFERROR(IF(INDEX(INDIRECT("'"&amp;$B$2&amp;"月"&amp;"'!A:AZ"),6,49+4)="","",INDEX(INDIRECT("'"&amp;$B$2&amp;"月"&amp;"'!A:AZ"),6,49+4)),"")</f>
        <v/>
      </c>
      <c r="H372" s="57"/>
    </row>
    <row r="373" spans="1:8" ht="13.5" customHeight="1">
      <c r="A373" s="57">
        <f>IF(DAY(DATE(対象年度,$B$2,4))&lt;&gt;4,"",4)</f>
        <v>4</v>
      </c>
      <c r="B373" s="57" t="str">
        <f>IF(DAY(DATE(対象年度,$B$2,4))&lt;&gt;4,"",CHOOSE(WEEKDAY(DATE(対象年度,$B$2,4),2),"月","火","水","木","金","土","日"))</f>
        <v>日</v>
      </c>
      <c r="C373" s="57" t="str">
        <f ca="1">IFERROR(IF(INDEX(INDIRECT("'"&amp;$B$2&amp;"月"&amp;"'!A:AZ"),7,49+0)="","",INDEX(INDIRECT("'"&amp;$B$2&amp;"月"&amp;"'!A:AZ"),7,49+0)),"")</f>
        <v/>
      </c>
      <c r="D373" s="58" t="str">
        <f ca="1">IFERROR(IF(INDEX(INDIRECT("'"&amp;$B$2&amp;"月"&amp;"'!A:AZ"),7,49+1)="","",INDEX(INDIRECT("'"&amp;$B$2&amp;"月"&amp;"'!A:AZ"),7,49+1)),"")</f>
        <v/>
      </c>
      <c r="E373" s="57" t="str">
        <f ca="1">IFERROR(IF(INDEX(INDIRECT("'"&amp;$B$2&amp;"月"&amp;"'!A:AZ"),7,49+2)="","",INDEX(INDIRECT("'"&amp;$B$2&amp;"月"&amp;"'!A:AZ"),7,49+2)),"")</f>
        <v/>
      </c>
      <c r="F373" s="59" t="str">
        <f ca="1">IFERROR(IF(INDEX(INDIRECT("'"&amp;$B$2&amp;"月"&amp;"'!A:AZ"),7,49+3)="","",INDEX(INDIRECT("'"&amp;$B$2&amp;"月"&amp;"'!A:AZ"),7,49+3)),"")</f>
        <v/>
      </c>
      <c r="G373" s="57" t="str">
        <f ca="1">IFERROR(IF(INDEX(INDIRECT("'"&amp;$B$2&amp;"月"&amp;"'!A:AZ"),7,49+4)="","",INDEX(INDIRECT("'"&amp;$B$2&amp;"月"&amp;"'!A:AZ"),7,49+4)),"")</f>
        <v/>
      </c>
      <c r="H373" s="57"/>
    </row>
    <row r="374" spans="1:8" ht="13.5" customHeight="1">
      <c r="A374" s="57">
        <f>IF(DAY(DATE(対象年度,$B$2,5))&lt;&gt;5,"",5)</f>
        <v>5</v>
      </c>
      <c r="B374" s="57" t="str">
        <f>IF(DAY(DATE(対象年度,$B$2,5))&lt;&gt;5,"",CHOOSE(WEEKDAY(DATE(対象年度,$B$2,5),2),"月","火","水","木","金","土","日"))</f>
        <v>月</v>
      </c>
      <c r="C374" s="57" t="str">
        <f ca="1">IFERROR(IF(INDEX(INDIRECT("'"&amp;$B$2&amp;"月"&amp;"'!A:AZ"),8,49+0)="","",INDEX(INDIRECT("'"&amp;$B$2&amp;"月"&amp;"'!A:AZ"),8,49+0)),"")</f>
        <v/>
      </c>
      <c r="D374" s="58" t="str">
        <f ca="1">IFERROR(IF(INDEX(INDIRECT("'"&amp;$B$2&amp;"月"&amp;"'!A:AZ"),8,49+1)="","",INDEX(INDIRECT("'"&amp;$B$2&amp;"月"&amp;"'!A:AZ"),8,49+1)),"")</f>
        <v/>
      </c>
      <c r="E374" s="57" t="str">
        <f ca="1">IFERROR(IF(INDEX(INDIRECT("'"&amp;$B$2&amp;"月"&amp;"'!A:AZ"),8,49+2)="","",INDEX(INDIRECT("'"&amp;$B$2&amp;"月"&amp;"'!A:AZ"),8,49+2)),"")</f>
        <v/>
      </c>
      <c r="F374" s="59" t="str">
        <f ca="1">IFERROR(IF(INDEX(INDIRECT("'"&amp;$B$2&amp;"月"&amp;"'!A:AZ"),8,49+3)="","",INDEX(INDIRECT("'"&amp;$B$2&amp;"月"&amp;"'!A:AZ"),8,49+3)),"")</f>
        <v/>
      </c>
      <c r="G374" s="57" t="str">
        <f ca="1">IFERROR(IF(INDEX(INDIRECT("'"&amp;$B$2&amp;"月"&amp;"'!A:AZ"),8,49+4)="","",INDEX(INDIRECT("'"&amp;$B$2&amp;"月"&amp;"'!A:AZ"),8,49+4)),"")</f>
        <v/>
      </c>
      <c r="H374" s="57"/>
    </row>
    <row r="375" spans="1:8" ht="13.5" customHeight="1">
      <c r="A375" s="57">
        <f>IF(DAY(DATE(対象年度,$B$2,6))&lt;&gt;6,"",6)</f>
        <v>6</v>
      </c>
      <c r="B375" s="57" t="str">
        <f>IF(DAY(DATE(対象年度,$B$2,6))&lt;&gt;6,"",CHOOSE(WEEKDAY(DATE(対象年度,$B$2,6),2),"月","火","水","木","金","土","日"))</f>
        <v>火</v>
      </c>
      <c r="C375" s="57" t="str">
        <f ca="1">IFERROR(IF(INDEX(INDIRECT("'"&amp;$B$2&amp;"月"&amp;"'!A:AZ"),9,49+0)="","",INDEX(INDIRECT("'"&amp;$B$2&amp;"月"&amp;"'!A:AZ"),9,49+0)),"")</f>
        <v/>
      </c>
      <c r="D375" s="58" t="str">
        <f ca="1">IFERROR(IF(INDEX(INDIRECT("'"&amp;$B$2&amp;"月"&amp;"'!A:AZ"),9,49+1)="","",INDEX(INDIRECT("'"&amp;$B$2&amp;"月"&amp;"'!A:AZ"),9,49+1)),"")</f>
        <v/>
      </c>
      <c r="E375" s="57" t="str">
        <f ca="1">IFERROR(IF(INDEX(INDIRECT("'"&amp;$B$2&amp;"月"&amp;"'!A:AZ"),9,49+2)="","",INDEX(INDIRECT("'"&amp;$B$2&amp;"月"&amp;"'!A:AZ"),9,49+2)),"")</f>
        <v/>
      </c>
      <c r="F375" s="59" t="str">
        <f ca="1">IFERROR(IF(INDEX(INDIRECT("'"&amp;$B$2&amp;"月"&amp;"'!A:AZ"),9,49+3)="","",INDEX(INDIRECT("'"&amp;$B$2&amp;"月"&amp;"'!A:AZ"),9,49+3)),"")</f>
        <v/>
      </c>
      <c r="G375" s="57" t="str">
        <f ca="1">IFERROR(IF(INDEX(INDIRECT("'"&amp;$B$2&amp;"月"&amp;"'!A:AZ"),9,49+4)="","",INDEX(INDIRECT("'"&amp;$B$2&amp;"月"&amp;"'!A:AZ"),9,49+4)),"")</f>
        <v/>
      </c>
      <c r="H375" s="57"/>
    </row>
    <row r="376" spans="1:8" ht="13.5" customHeight="1">
      <c r="A376" s="57">
        <f>IF(DAY(DATE(対象年度,$B$2,7))&lt;&gt;7,"",7)</f>
        <v>7</v>
      </c>
      <c r="B376" s="57" t="str">
        <f>IF(DAY(DATE(対象年度,$B$2,7))&lt;&gt;7,"",CHOOSE(WEEKDAY(DATE(対象年度,$B$2,7),2),"月","火","水","木","金","土","日"))</f>
        <v>水</v>
      </c>
      <c r="C376" s="57" t="str">
        <f ca="1">IFERROR(IF(INDEX(INDIRECT("'"&amp;$B$2&amp;"月"&amp;"'!A:AZ"),10,49+0)="","",INDEX(INDIRECT("'"&amp;$B$2&amp;"月"&amp;"'!A:AZ"),10,49+0)),"")</f>
        <v/>
      </c>
      <c r="D376" s="58" t="str">
        <f ca="1">IFERROR(IF(INDEX(INDIRECT("'"&amp;$B$2&amp;"月"&amp;"'!A:AZ"),10,49+1)="","",INDEX(INDIRECT("'"&amp;$B$2&amp;"月"&amp;"'!A:AZ"),10,49+1)),"")</f>
        <v/>
      </c>
      <c r="E376" s="57" t="str">
        <f ca="1">IFERROR(IF(INDEX(INDIRECT("'"&amp;$B$2&amp;"月"&amp;"'!A:AZ"),10,49+2)="","",INDEX(INDIRECT("'"&amp;$B$2&amp;"月"&amp;"'!A:AZ"),10,49+2)),"")</f>
        <v/>
      </c>
      <c r="F376" s="59" t="str">
        <f ca="1">IFERROR(IF(INDEX(INDIRECT("'"&amp;$B$2&amp;"月"&amp;"'!A:AZ"),10,49+3)="","",INDEX(INDIRECT("'"&amp;$B$2&amp;"月"&amp;"'!A:AZ"),10,49+3)),"")</f>
        <v/>
      </c>
      <c r="G376" s="57" t="str">
        <f ca="1">IFERROR(IF(INDEX(INDIRECT("'"&amp;$B$2&amp;"月"&amp;"'!A:AZ"),10,49+4)="","",INDEX(INDIRECT("'"&amp;$B$2&amp;"月"&amp;"'!A:AZ"),10,49+4)),"")</f>
        <v/>
      </c>
      <c r="H376" s="57"/>
    </row>
    <row r="377" spans="1:8" ht="13.5" customHeight="1">
      <c r="A377" s="57">
        <f>IF(DAY(DATE(対象年度,$B$2,8))&lt;&gt;8,"",8)</f>
        <v>8</v>
      </c>
      <c r="B377" s="57" t="str">
        <f>IF(DAY(DATE(対象年度,$B$2,8))&lt;&gt;8,"",CHOOSE(WEEKDAY(DATE(対象年度,$B$2,8),2),"月","火","水","木","金","土","日"))</f>
        <v>木</v>
      </c>
      <c r="C377" s="57" t="str">
        <f ca="1">IFERROR(IF(INDEX(INDIRECT("'"&amp;$B$2&amp;"月"&amp;"'!A:AZ"),11,49+0)="","",INDEX(INDIRECT("'"&amp;$B$2&amp;"月"&amp;"'!A:AZ"),11,49+0)),"")</f>
        <v/>
      </c>
      <c r="D377" s="58" t="str">
        <f ca="1">IFERROR(IF(INDEX(INDIRECT("'"&amp;$B$2&amp;"月"&amp;"'!A:AZ"),11,49+1)="","",INDEX(INDIRECT("'"&amp;$B$2&amp;"月"&amp;"'!A:AZ"),11,49+1)),"")</f>
        <v/>
      </c>
      <c r="E377" s="57" t="str">
        <f ca="1">IFERROR(IF(INDEX(INDIRECT("'"&amp;$B$2&amp;"月"&amp;"'!A:AZ"),11,49+2)="","",INDEX(INDIRECT("'"&amp;$B$2&amp;"月"&amp;"'!A:AZ"),11,49+2)),"")</f>
        <v/>
      </c>
      <c r="F377" s="59" t="str">
        <f ca="1">IFERROR(IF(INDEX(INDIRECT("'"&amp;$B$2&amp;"月"&amp;"'!A:AZ"),11,49+3)="","",INDEX(INDIRECT("'"&amp;$B$2&amp;"月"&amp;"'!A:AZ"),11,49+3)),"")</f>
        <v/>
      </c>
      <c r="G377" s="57" t="str">
        <f ca="1">IFERROR(IF(INDEX(INDIRECT("'"&amp;$B$2&amp;"月"&amp;"'!A:AZ"),11,49+4)="","",INDEX(INDIRECT("'"&amp;$B$2&amp;"月"&amp;"'!A:AZ"),11,49+4)),"")</f>
        <v/>
      </c>
      <c r="H377" s="57"/>
    </row>
    <row r="378" spans="1:8" ht="13.5" customHeight="1">
      <c r="A378" s="57">
        <f>IF(DAY(DATE(対象年度,$B$2,9))&lt;&gt;9,"",9)</f>
        <v>9</v>
      </c>
      <c r="B378" s="57" t="str">
        <f>IF(DAY(DATE(対象年度,$B$2,9))&lt;&gt;9,"",CHOOSE(WEEKDAY(DATE(対象年度,$B$2,9),2),"月","火","水","木","金","土","日"))</f>
        <v>金</v>
      </c>
      <c r="C378" s="57" t="str">
        <f ca="1">IFERROR(IF(INDEX(INDIRECT("'"&amp;$B$2&amp;"月"&amp;"'!A:AZ"),12,49+0)="","",INDEX(INDIRECT("'"&amp;$B$2&amp;"月"&amp;"'!A:AZ"),12,49+0)),"")</f>
        <v/>
      </c>
      <c r="D378" s="58" t="str">
        <f ca="1">IFERROR(IF(INDEX(INDIRECT("'"&amp;$B$2&amp;"月"&amp;"'!A:AZ"),12,49+1)="","",INDEX(INDIRECT("'"&amp;$B$2&amp;"月"&amp;"'!A:AZ"),12,49+1)),"")</f>
        <v/>
      </c>
      <c r="E378" s="57" t="str">
        <f ca="1">IFERROR(IF(INDEX(INDIRECT("'"&amp;$B$2&amp;"月"&amp;"'!A:AZ"),12,49+2)="","",INDEX(INDIRECT("'"&amp;$B$2&amp;"月"&amp;"'!A:AZ"),12,49+2)),"")</f>
        <v/>
      </c>
      <c r="F378" s="59" t="str">
        <f ca="1">IFERROR(IF(INDEX(INDIRECT("'"&amp;$B$2&amp;"月"&amp;"'!A:AZ"),12,49+3)="","",INDEX(INDIRECT("'"&amp;$B$2&amp;"月"&amp;"'!A:AZ"),12,49+3)),"")</f>
        <v/>
      </c>
      <c r="G378" s="57" t="str">
        <f ca="1">IFERROR(IF(INDEX(INDIRECT("'"&amp;$B$2&amp;"月"&amp;"'!A:AZ"),12,49+4)="","",INDEX(INDIRECT("'"&amp;$B$2&amp;"月"&amp;"'!A:AZ"),12,49+4)),"")</f>
        <v/>
      </c>
      <c r="H378" s="57"/>
    </row>
    <row r="379" spans="1:8" ht="13.5" customHeight="1">
      <c r="A379" s="57">
        <f>IF(DAY(DATE(対象年度,$B$2,10))&lt;&gt;10,"",10)</f>
        <v>10</v>
      </c>
      <c r="B379" s="57" t="str">
        <f>IF(DAY(DATE(対象年度,$B$2,10))&lt;&gt;10,"",CHOOSE(WEEKDAY(DATE(対象年度,$B$2,10),2),"月","火","水","木","金","土","日"))</f>
        <v>土</v>
      </c>
      <c r="C379" s="57" t="str">
        <f ca="1">IFERROR(IF(INDEX(INDIRECT("'"&amp;$B$2&amp;"月"&amp;"'!A:AZ"),13,49+0)="","",INDEX(INDIRECT("'"&amp;$B$2&amp;"月"&amp;"'!A:AZ"),13,49+0)),"")</f>
        <v/>
      </c>
      <c r="D379" s="58" t="str">
        <f ca="1">IFERROR(IF(INDEX(INDIRECT("'"&amp;$B$2&amp;"月"&amp;"'!A:AZ"),13,49+1)="","",INDEX(INDIRECT("'"&amp;$B$2&amp;"月"&amp;"'!A:AZ"),13,49+1)),"")</f>
        <v/>
      </c>
      <c r="E379" s="57" t="str">
        <f ca="1">IFERROR(IF(INDEX(INDIRECT("'"&amp;$B$2&amp;"月"&amp;"'!A:AZ"),13,49+2)="","",INDEX(INDIRECT("'"&amp;$B$2&amp;"月"&amp;"'!A:AZ"),13,49+2)),"")</f>
        <v/>
      </c>
      <c r="F379" s="59" t="str">
        <f ca="1">IFERROR(IF(INDEX(INDIRECT("'"&amp;$B$2&amp;"月"&amp;"'!A:AZ"),13,49+3)="","",INDEX(INDIRECT("'"&amp;$B$2&amp;"月"&amp;"'!A:AZ"),13,49+3)),"")</f>
        <v/>
      </c>
      <c r="G379" s="57" t="str">
        <f ca="1">IFERROR(IF(INDEX(INDIRECT("'"&amp;$B$2&amp;"月"&amp;"'!A:AZ"),13,49+4)="","",INDEX(INDIRECT("'"&amp;$B$2&amp;"月"&amp;"'!A:AZ"),13,49+4)),"")</f>
        <v/>
      </c>
      <c r="H379" s="57"/>
    </row>
    <row r="380" spans="1:8" ht="13.5" customHeight="1">
      <c r="A380" s="57">
        <f>IF(DAY(DATE(対象年度,$B$2,11))&lt;&gt;11,"",11)</f>
        <v>11</v>
      </c>
      <c r="B380" s="57" t="str">
        <f>IF(DAY(DATE(対象年度,$B$2,11))&lt;&gt;11,"",CHOOSE(WEEKDAY(DATE(対象年度,$B$2,11),2),"月","火","水","木","金","土","日"))</f>
        <v>日</v>
      </c>
      <c r="C380" s="57" t="str">
        <f ca="1">IFERROR(IF(INDEX(INDIRECT("'"&amp;$B$2&amp;"月"&amp;"'!A:AZ"),14,49+0)="","",INDEX(INDIRECT("'"&amp;$B$2&amp;"月"&amp;"'!A:AZ"),14,49+0)),"")</f>
        <v/>
      </c>
      <c r="D380" s="58" t="str">
        <f ca="1">IFERROR(IF(INDEX(INDIRECT("'"&amp;$B$2&amp;"月"&amp;"'!A:AZ"),14,49+1)="","",INDEX(INDIRECT("'"&amp;$B$2&amp;"月"&amp;"'!A:AZ"),14,49+1)),"")</f>
        <v/>
      </c>
      <c r="E380" s="57" t="str">
        <f ca="1">IFERROR(IF(INDEX(INDIRECT("'"&amp;$B$2&amp;"月"&amp;"'!A:AZ"),14,49+2)="","",INDEX(INDIRECT("'"&amp;$B$2&amp;"月"&amp;"'!A:AZ"),14,49+2)),"")</f>
        <v/>
      </c>
      <c r="F380" s="59" t="str">
        <f ca="1">IFERROR(IF(INDEX(INDIRECT("'"&amp;$B$2&amp;"月"&amp;"'!A:AZ"),14,49+3)="","",INDEX(INDIRECT("'"&amp;$B$2&amp;"月"&amp;"'!A:AZ"),14,49+3)),"")</f>
        <v/>
      </c>
      <c r="G380" s="57" t="str">
        <f ca="1">IFERROR(IF(INDEX(INDIRECT("'"&amp;$B$2&amp;"月"&amp;"'!A:AZ"),14,49+4)="","",INDEX(INDIRECT("'"&amp;$B$2&amp;"月"&amp;"'!A:AZ"),14,49+4)),"")</f>
        <v/>
      </c>
      <c r="H380" s="57"/>
    </row>
    <row r="381" spans="1:8" ht="13.5" customHeight="1">
      <c r="A381" s="57">
        <f>IF(DAY(DATE(対象年度,$B$2,12))&lt;&gt;12,"",12)</f>
        <v>12</v>
      </c>
      <c r="B381" s="57" t="str">
        <f>IF(DAY(DATE(対象年度,$B$2,12))&lt;&gt;12,"",CHOOSE(WEEKDAY(DATE(対象年度,$B$2,12),2),"月","火","水","木","金","土","日"))</f>
        <v>月</v>
      </c>
      <c r="C381" s="57" t="str">
        <f ca="1">IFERROR(IF(INDEX(INDIRECT("'"&amp;$B$2&amp;"月"&amp;"'!A:AZ"),15,49+0)="","",INDEX(INDIRECT("'"&amp;$B$2&amp;"月"&amp;"'!A:AZ"),15,49+0)),"")</f>
        <v/>
      </c>
      <c r="D381" s="58" t="str">
        <f ca="1">IFERROR(IF(INDEX(INDIRECT("'"&amp;$B$2&amp;"月"&amp;"'!A:AZ"),15,49+1)="","",INDEX(INDIRECT("'"&amp;$B$2&amp;"月"&amp;"'!A:AZ"),15,49+1)),"")</f>
        <v/>
      </c>
      <c r="E381" s="57" t="str">
        <f ca="1">IFERROR(IF(INDEX(INDIRECT("'"&amp;$B$2&amp;"月"&amp;"'!A:AZ"),15,49+2)="","",INDEX(INDIRECT("'"&amp;$B$2&amp;"月"&amp;"'!A:AZ"),15,49+2)),"")</f>
        <v/>
      </c>
      <c r="F381" s="59" t="str">
        <f ca="1">IFERROR(IF(INDEX(INDIRECT("'"&amp;$B$2&amp;"月"&amp;"'!A:AZ"),15,49+3)="","",INDEX(INDIRECT("'"&amp;$B$2&amp;"月"&amp;"'!A:AZ"),15,49+3)),"")</f>
        <v/>
      </c>
      <c r="G381" s="57" t="str">
        <f ca="1">IFERROR(IF(INDEX(INDIRECT("'"&amp;$B$2&amp;"月"&amp;"'!A:AZ"),15,49+4)="","",INDEX(INDIRECT("'"&amp;$B$2&amp;"月"&amp;"'!A:AZ"),15,49+4)),"")</f>
        <v/>
      </c>
      <c r="H381" s="57"/>
    </row>
    <row r="382" spans="1:8" ht="13.5" customHeight="1">
      <c r="A382" s="57">
        <f>IF(DAY(DATE(対象年度,$B$2,13))&lt;&gt;13,"",13)</f>
        <v>13</v>
      </c>
      <c r="B382" s="57" t="str">
        <f>IF(DAY(DATE(対象年度,$B$2,13))&lt;&gt;13,"",CHOOSE(WEEKDAY(DATE(対象年度,$B$2,13),2),"月","火","水","木","金","土","日"))</f>
        <v>火</v>
      </c>
      <c r="C382" s="57" t="str">
        <f ca="1">IFERROR(IF(INDEX(INDIRECT("'"&amp;$B$2&amp;"月"&amp;"'!A:AZ"),16,49+0)="","",INDEX(INDIRECT("'"&amp;$B$2&amp;"月"&amp;"'!A:AZ"),16,49+0)),"")</f>
        <v/>
      </c>
      <c r="D382" s="58" t="str">
        <f ca="1">IFERROR(IF(INDEX(INDIRECT("'"&amp;$B$2&amp;"月"&amp;"'!A:AZ"),16,49+1)="","",INDEX(INDIRECT("'"&amp;$B$2&amp;"月"&amp;"'!A:AZ"),16,49+1)),"")</f>
        <v/>
      </c>
      <c r="E382" s="57" t="str">
        <f ca="1">IFERROR(IF(INDEX(INDIRECT("'"&amp;$B$2&amp;"月"&amp;"'!A:AZ"),16,49+2)="","",INDEX(INDIRECT("'"&amp;$B$2&amp;"月"&amp;"'!A:AZ"),16,49+2)),"")</f>
        <v/>
      </c>
      <c r="F382" s="59" t="str">
        <f ca="1">IFERROR(IF(INDEX(INDIRECT("'"&amp;$B$2&amp;"月"&amp;"'!A:AZ"),16,49+3)="","",INDEX(INDIRECT("'"&amp;$B$2&amp;"月"&amp;"'!A:AZ"),16,49+3)),"")</f>
        <v/>
      </c>
      <c r="G382" s="57" t="str">
        <f ca="1">IFERROR(IF(INDEX(INDIRECT("'"&amp;$B$2&amp;"月"&amp;"'!A:AZ"),16,49+4)="","",INDEX(INDIRECT("'"&amp;$B$2&amp;"月"&amp;"'!A:AZ"),16,49+4)),"")</f>
        <v/>
      </c>
      <c r="H382" s="57"/>
    </row>
    <row r="383" spans="1:8" ht="13.5" customHeight="1">
      <c r="A383" s="57">
        <f>IF(DAY(DATE(対象年度,$B$2,14))&lt;&gt;14,"",14)</f>
        <v>14</v>
      </c>
      <c r="B383" s="57" t="str">
        <f>IF(DAY(DATE(対象年度,$B$2,14))&lt;&gt;14,"",CHOOSE(WEEKDAY(DATE(対象年度,$B$2,14),2),"月","火","水","木","金","土","日"))</f>
        <v>水</v>
      </c>
      <c r="C383" s="57" t="str">
        <f ca="1">IFERROR(IF(INDEX(INDIRECT("'"&amp;$B$2&amp;"月"&amp;"'!A:AZ"),17,49+0)="","",INDEX(INDIRECT("'"&amp;$B$2&amp;"月"&amp;"'!A:AZ"),17,49+0)),"")</f>
        <v/>
      </c>
      <c r="D383" s="58" t="str">
        <f ca="1">IFERROR(IF(INDEX(INDIRECT("'"&amp;$B$2&amp;"月"&amp;"'!A:AZ"),17,49+1)="","",INDEX(INDIRECT("'"&amp;$B$2&amp;"月"&amp;"'!A:AZ"),17,49+1)),"")</f>
        <v/>
      </c>
      <c r="E383" s="57" t="str">
        <f ca="1">IFERROR(IF(INDEX(INDIRECT("'"&amp;$B$2&amp;"月"&amp;"'!A:AZ"),17,49+2)="","",INDEX(INDIRECT("'"&amp;$B$2&amp;"月"&amp;"'!A:AZ"),17,49+2)),"")</f>
        <v/>
      </c>
      <c r="F383" s="59" t="str">
        <f ca="1">IFERROR(IF(INDEX(INDIRECT("'"&amp;$B$2&amp;"月"&amp;"'!A:AZ"),17,49+3)="","",INDEX(INDIRECT("'"&amp;$B$2&amp;"月"&amp;"'!A:AZ"),17,49+3)),"")</f>
        <v/>
      </c>
      <c r="G383" s="57" t="str">
        <f ca="1">IFERROR(IF(INDEX(INDIRECT("'"&amp;$B$2&amp;"月"&amp;"'!A:AZ"),17,49+4)="","",INDEX(INDIRECT("'"&amp;$B$2&amp;"月"&amp;"'!A:AZ"),17,49+4)),"")</f>
        <v/>
      </c>
      <c r="H383" s="57"/>
    </row>
    <row r="384" spans="1:8" ht="13.5" customHeight="1">
      <c r="A384" s="57">
        <f>IF(DAY(DATE(対象年度,$B$2,15))&lt;&gt;15,"",15)</f>
        <v>15</v>
      </c>
      <c r="B384" s="57" t="str">
        <f>IF(DAY(DATE(対象年度,$B$2,15))&lt;&gt;15,"",CHOOSE(WEEKDAY(DATE(対象年度,$B$2,15),2),"月","火","水","木","金","土","日"))</f>
        <v>木</v>
      </c>
      <c r="C384" s="57" t="str">
        <f ca="1">IFERROR(IF(INDEX(INDIRECT("'"&amp;$B$2&amp;"月"&amp;"'!A:AZ"),18,49+0)="","",INDEX(INDIRECT("'"&amp;$B$2&amp;"月"&amp;"'!A:AZ"),18,49+0)),"")</f>
        <v/>
      </c>
      <c r="D384" s="58" t="str">
        <f ca="1">IFERROR(IF(INDEX(INDIRECT("'"&amp;$B$2&amp;"月"&amp;"'!A:AZ"),18,49+1)="","",INDEX(INDIRECT("'"&amp;$B$2&amp;"月"&amp;"'!A:AZ"),18,49+1)),"")</f>
        <v/>
      </c>
      <c r="E384" s="57" t="str">
        <f ca="1">IFERROR(IF(INDEX(INDIRECT("'"&amp;$B$2&amp;"月"&amp;"'!A:AZ"),18,49+2)="","",INDEX(INDIRECT("'"&amp;$B$2&amp;"月"&amp;"'!A:AZ"),18,49+2)),"")</f>
        <v/>
      </c>
      <c r="F384" s="59" t="str">
        <f ca="1">IFERROR(IF(INDEX(INDIRECT("'"&amp;$B$2&amp;"月"&amp;"'!A:AZ"),18,49+3)="","",INDEX(INDIRECT("'"&amp;$B$2&amp;"月"&amp;"'!A:AZ"),18,49+3)),"")</f>
        <v/>
      </c>
      <c r="G384" s="57" t="str">
        <f ca="1">IFERROR(IF(INDEX(INDIRECT("'"&amp;$B$2&amp;"月"&amp;"'!A:AZ"),18,49+4)="","",INDEX(INDIRECT("'"&amp;$B$2&amp;"月"&amp;"'!A:AZ"),18,49+4)),"")</f>
        <v/>
      </c>
      <c r="H384" s="57"/>
    </row>
    <row r="385" spans="1:8" ht="13.5" customHeight="1">
      <c r="A385" s="57">
        <f>IF(DAY(DATE(対象年度,$B$2,16))&lt;&gt;16,"",16)</f>
        <v>16</v>
      </c>
      <c r="B385" s="57" t="str">
        <f>IF(DAY(DATE(対象年度,$B$2,16))&lt;&gt;16,"",CHOOSE(WEEKDAY(DATE(対象年度,$B$2,16),2),"月","火","水","木","金","土","日"))</f>
        <v>金</v>
      </c>
      <c r="C385" s="57" t="str">
        <f ca="1">IFERROR(IF(INDEX(INDIRECT("'"&amp;$B$2&amp;"月"&amp;"'!A:AZ"),19,49+0)="","",INDEX(INDIRECT("'"&amp;$B$2&amp;"月"&amp;"'!A:AZ"),19,49+0)),"")</f>
        <v/>
      </c>
      <c r="D385" s="58" t="str">
        <f ca="1">IFERROR(IF(INDEX(INDIRECT("'"&amp;$B$2&amp;"月"&amp;"'!A:AZ"),19,49+1)="","",INDEX(INDIRECT("'"&amp;$B$2&amp;"月"&amp;"'!A:AZ"),19,49+1)),"")</f>
        <v/>
      </c>
      <c r="E385" s="57" t="str">
        <f ca="1">IFERROR(IF(INDEX(INDIRECT("'"&amp;$B$2&amp;"月"&amp;"'!A:AZ"),19,49+2)="","",INDEX(INDIRECT("'"&amp;$B$2&amp;"月"&amp;"'!A:AZ"),19,49+2)),"")</f>
        <v/>
      </c>
      <c r="F385" s="59" t="str">
        <f ca="1">IFERROR(IF(INDEX(INDIRECT("'"&amp;$B$2&amp;"月"&amp;"'!A:AZ"),19,49+3)="","",INDEX(INDIRECT("'"&amp;$B$2&amp;"月"&amp;"'!A:AZ"),19,49+3)),"")</f>
        <v/>
      </c>
      <c r="G385" s="57" t="str">
        <f ca="1">IFERROR(IF(INDEX(INDIRECT("'"&amp;$B$2&amp;"月"&amp;"'!A:AZ"),19,49+4)="","",INDEX(INDIRECT("'"&amp;$B$2&amp;"月"&amp;"'!A:AZ"),19,49+4)),"")</f>
        <v/>
      </c>
      <c r="H385" s="57"/>
    </row>
    <row r="386" spans="1:8" ht="13.5" customHeight="1">
      <c r="A386" s="57">
        <f>IF(DAY(DATE(対象年度,$B$2,17))&lt;&gt;17,"",17)</f>
        <v>17</v>
      </c>
      <c r="B386" s="57" t="str">
        <f>IF(DAY(DATE(対象年度,$B$2,17))&lt;&gt;17,"",CHOOSE(WEEKDAY(DATE(対象年度,$B$2,17),2),"月","火","水","木","金","土","日"))</f>
        <v>土</v>
      </c>
      <c r="C386" s="57" t="str">
        <f ca="1">IFERROR(IF(INDEX(INDIRECT("'"&amp;$B$2&amp;"月"&amp;"'!A:AZ"),20,49+0)="","",INDEX(INDIRECT("'"&amp;$B$2&amp;"月"&amp;"'!A:AZ"),20,49+0)),"")</f>
        <v/>
      </c>
      <c r="D386" s="58" t="str">
        <f ca="1">IFERROR(IF(INDEX(INDIRECT("'"&amp;$B$2&amp;"月"&amp;"'!A:AZ"),20,49+1)="","",INDEX(INDIRECT("'"&amp;$B$2&amp;"月"&amp;"'!A:AZ"),20,49+1)),"")</f>
        <v/>
      </c>
      <c r="E386" s="57" t="str">
        <f ca="1">IFERROR(IF(INDEX(INDIRECT("'"&amp;$B$2&amp;"月"&amp;"'!A:AZ"),20,49+2)="","",INDEX(INDIRECT("'"&amp;$B$2&amp;"月"&amp;"'!A:AZ"),20,49+2)),"")</f>
        <v/>
      </c>
      <c r="F386" s="59" t="str">
        <f ca="1">IFERROR(IF(INDEX(INDIRECT("'"&amp;$B$2&amp;"月"&amp;"'!A:AZ"),20,49+3)="","",INDEX(INDIRECT("'"&amp;$B$2&amp;"月"&amp;"'!A:AZ"),20,49+3)),"")</f>
        <v/>
      </c>
      <c r="G386" s="57" t="str">
        <f ca="1">IFERROR(IF(INDEX(INDIRECT("'"&amp;$B$2&amp;"月"&amp;"'!A:AZ"),20,49+4)="","",INDEX(INDIRECT("'"&amp;$B$2&amp;"月"&amp;"'!A:AZ"),20,49+4)),"")</f>
        <v/>
      </c>
      <c r="H386" s="57"/>
    </row>
    <row r="387" spans="1:8" ht="13.5" customHeight="1">
      <c r="A387" s="57">
        <f>IF(DAY(DATE(対象年度,$B$2,18))&lt;&gt;18,"",18)</f>
        <v>18</v>
      </c>
      <c r="B387" s="57" t="str">
        <f>IF(DAY(DATE(対象年度,$B$2,18))&lt;&gt;18,"",CHOOSE(WEEKDAY(DATE(対象年度,$B$2,18),2),"月","火","水","木","金","土","日"))</f>
        <v>日</v>
      </c>
      <c r="C387" s="57" t="str">
        <f ca="1">IFERROR(IF(INDEX(INDIRECT("'"&amp;$B$2&amp;"月"&amp;"'!A:AZ"),21,49+0)="","",INDEX(INDIRECT("'"&amp;$B$2&amp;"月"&amp;"'!A:AZ"),21,49+0)),"")</f>
        <v/>
      </c>
      <c r="D387" s="58" t="str">
        <f ca="1">IFERROR(IF(INDEX(INDIRECT("'"&amp;$B$2&amp;"月"&amp;"'!A:AZ"),21,49+1)="","",INDEX(INDIRECT("'"&amp;$B$2&amp;"月"&amp;"'!A:AZ"),21,49+1)),"")</f>
        <v/>
      </c>
      <c r="E387" s="57" t="str">
        <f ca="1">IFERROR(IF(INDEX(INDIRECT("'"&amp;$B$2&amp;"月"&amp;"'!A:AZ"),21,49+2)="","",INDEX(INDIRECT("'"&amp;$B$2&amp;"月"&amp;"'!A:AZ"),21,49+2)),"")</f>
        <v/>
      </c>
      <c r="F387" s="59" t="str">
        <f ca="1">IFERROR(IF(INDEX(INDIRECT("'"&amp;$B$2&amp;"月"&amp;"'!A:AZ"),21,49+3)="","",INDEX(INDIRECT("'"&amp;$B$2&amp;"月"&amp;"'!A:AZ"),21,49+3)),"")</f>
        <v/>
      </c>
      <c r="G387" s="57" t="str">
        <f ca="1">IFERROR(IF(INDEX(INDIRECT("'"&amp;$B$2&amp;"月"&amp;"'!A:AZ"),21,49+4)="","",INDEX(INDIRECT("'"&amp;$B$2&amp;"月"&amp;"'!A:AZ"),21,49+4)),"")</f>
        <v/>
      </c>
      <c r="H387" s="57"/>
    </row>
    <row r="388" spans="1:8" ht="13.5" customHeight="1">
      <c r="A388" s="57">
        <f>IF(DAY(DATE(対象年度,$B$2,19))&lt;&gt;19,"",19)</f>
        <v>19</v>
      </c>
      <c r="B388" s="57" t="str">
        <f>IF(DAY(DATE(対象年度,$B$2,19))&lt;&gt;19,"",CHOOSE(WEEKDAY(DATE(対象年度,$B$2,19),2),"月","火","水","木","金","土","日"))</f>
        <v>月</v>
      </c>
      <c r="C388" s="57" t="str">
        <f ca="1">IFERROR(IF(INDEX(INDIRECT("'"&amp;$B$2&amp;"月"&amp;"'!A:AZ"),22,49+0)="","",INDEX(INDIRECT("'"&amp;$B$2&amp;"月"&amp;"'!A:AZ"),22,49+0)),"")</f>
        <v/>
      </c>
      <c r="D388" s="58" t="str">
        <f ca="1">IFERROR(IF(INDEX(INDIRECT("'"&amp;$B$2&amp;"月"&amp;"'!A:AZ"),22,49+1)="","",INDEX(INDIRECT("'"&amp;$B$2&amp;"月"&amp;"'!A:AZ"),22,49+1)),"")</f>
        <v/>
      </c>
      <c r="E388" s="57" t="str">
        <f ca="1">IFERROR(IF(INDEX(INDIRECT("'"&amp;$B$2&amp;"月"&amp;"'!A:AZ"),22,49+2)="","",INDEX(INDIRECT("'"&amp;$B$2&amp;"月"&amp;"'!A:AZ"),22,49+2)),"")</f>
        <v/>
      </c>
      <c r="F388" s="59" t="str">
        <f ca="1">IFERROR(IF(INDEX(INDIRECT("'"&amp;$B$2&amp;"月"&amp;"'!A:AZ"),22,49+3)="","",INDEX(INDIRECT("'"&amp;$B$2&amp;"月"&amp;"'!A:AZ"),22,49+3)),"")</f>
        <v/>
      </c>
      <c r="G388" s="57" t="str">
        <f ca="1">IFERROR(IF(INDEX(INDIRECT("'"&amp;$B$2&amp;"月"&amp;"'!A:AZ"),22,49+4)="","",INDEX(INDIRECT("'"&amp;$B$2&amp;"月"&amp;"'!A:AZ"),22,49+4)),"")</f>
        <v/>
      </c>
      <c r="H388" s="57"/>
    </row>
    <row r="389" spans="1:8" ht="13.5" customHeight="1">
      <c r="A389" s="57">
        <f>IF(DAY(DATE(対象年度,$B$2,20))&lt;&gt;20,"",20)</f>
        <v>20</v>
      </c>
      <c r="B389" s="57" t="str">
        <f>IF(DAY(DATE(対象年度,$B$2,20))&lt;&gt;20,"",CHOOSE(WEEKDAY(DATE(対象年度,$B$2,20),2),"月","火","水","木","金","土","日"))</f>
        <v>火</v>
      </c>
      <c r="C389" s="57" t="str">
        <f ca="1">IFERROR(IF(INDEX(INDIRECT("'"&amp;$B$2&amp;"月"&amp;"'!A:AZ"),23,49+0)="","",INDEX(INDIRECT("'"&amp;$B$2&amp;"月"&amp;"'!A:AZ"),23,49+0)),"")</f>
        <v/>
      </c>
      <c r="D389" s="58" t="str">
        <f ca="1">IFERROR(IF(INDEX(INDIRECT("'"&amp;$B$2&amp;"月"&amp;"'!A:AZ"),23,49+1)="","",INDEX(INDIRECT("'"&amp;$B$2&amp;"月"&amp;"'!A:AZ"),23,49+1)),"")</f>
        <v/>
      </c>
      <c r="E389" s="57" t="str">
        <f ca="1">IFERROR(IF(INDEX(INDIRECT("'"&amp;$B$2&amp;"月"&amp;"'!A:AZ"),23,49+2)="","",INDEX(INDIRECT("'"&amp;$B$2&amp;"月"&amp;"'!A:AZ"),23,49+2)),"")</f>
        <v/>
      </c>
      <c r="F389" s="59" t="str">
        <f ca="1">IFERROR(IF(INDEX(INDIRECT("'"&amp;$B$2&amp;"月"&amp;"'!A:AZ"),23,49+3)="","",INDEX(INDIRECT("'"&amp;$B$2&amp;"月"&amp;"'!A:AZ"),23,49+3)),"")</f>
        <v/>
      </c>
      <c r="G389" s="57" t="str">
        <f ca="1">IFERROR(IF(INDEX(INDIRECT("'"&amp;$B$2&amp;"月"&amp;"'!A:AZ"),23,49+4)="","",INDEX(INDIRECT("'"&amp;$B$2&amp;"月"&amp;"'!A:AZ"),23,49+4)),"")</f>
        <v/>
      </c>
      <c r="H389" s="57"/>
    </row>
    <row r="390" spans="1:8" ht="13.5" customHeight="1">
      <c r="A390" s="57">
        <f>IF(DAY(DATE(対象年度,$B$2,21))&lt;&gt;21,"",21)</f>
        <v>21</v>
      </c>
      <c r="B390" s="57" t="str">
        <f>IF(DAY(DATE(対象年度,$B$2,21))&lt;&gt;21,"",CHOOSE(WEEKDAY(DATE(対象年度,$B$2,21),2),"月","火","水","木","金","土","日"))</f>
        <v>水</v>
      </c>
      <c r="C390" s="57" t="str">
        <f ca="1">IFERROR(IF(INDEX(INDIRECT("'"&amp;$B$2&amp;"月"&amp;"'!A:AZ"),24,49+0)="","",INDEX(INDIRECT("'"&amp;$B$2&amp;"月"&amp;"'!A:AZ"),24,49+0)),"")</f>
        <v/>
      </c>
      <c r="D390" s="58" t="str">
        <f ca="1">IFERROR(IF(INDEX(INDIRECT("'"&amp;$B$2&amp;"月"&amp;"'!A:AZ"),24,49+1)="","",INDEX(INDIRECT("'"&amp;$B$2&amp;"月"&amp;"'!A:AZ"),24,49+1)),"")</f>
        <v/>
      </c>
      <c r="E390" s="57" t="str">
        <f ca="1">IFERROR(IF(INDEX(INDIRECT("'"&amp;$B$2&amp;"月"&amp;"'!A:AZ"),24,49+2)="","",INDEX(INDIRECT("'"&amp;$B$2&amp;"月"&amp;"'!A:AZ"),24,49+2)),"")</f>
        <v/>
      </c>
      <c r="F390" s="59" t="str">
        <f ca="1">IFERROR(IF(INDEX(INDIRECT("'"&amp;$B$2&amp;"月"&amp;"'!A:AZ"),24,49+3)="","",INDEX(INDIRECT("'"&amp;$B$2&amp;"月"&amp;"'!A:AZ"),24,49+3)),"")</f>
        <v/>
      </c>
      <c r="G390" s="57" t="str">
        <f ca="1">IFERROR(IF(INDEX(INDIRECT("'"&amp;$B$2&amp;"月"&amp;"'!A:AZ"),24,49+4)="","",INDEX(INDIRECT("'"&amp;$B$2&amp;"月"&amp;"'!A:AZ"),24,49+4)),"")</f>
        <v/>
      </c>
      <c r="H390" s="57"/>
    </row>
    <row r="391" spans="1:8" ht="13.5" customHeight="1">
      <c r="A391" s="57">
        <f>IF(DAY(DATE(対象年度,$B$2,22))&lt;&gt;22,"",22)</f>
        <v>22</v>
      </c>
      <c r="B391" s="57" t="str">
        <f>IF(DAY(DATE(対象年度,$B$2,22))&lt;&gt;22,"",CHOOSE(WEEKDAY(DATE(対象年度,$B$2,22),2),"月","火","水","木","金","土","日"))</f>
        <v>木</v>
      </c>
      <c r="C391" s="57" t="str">
        <f ca="1">IFERROR(IF(INDEX(INDIRECT("'"&amp;$B$2&amp;"月"&amp;"'!A:AZ"),25,49+0)="","",INDEX(INDIRECT("'"&amp;$B$2&amp;"月"&amp;"'!A:AZ"),25,49+0)),"")</f>
        <v/>
      </c>
      <c r="D391" s="58" t="str">
        <f ca="1">IFERROR(IF(INDEX(INDIRECT("'"&amp;$B$2&amp;"月"&amp;"'!A:AZ"),25,49+1)="","",INDEX(INDIRECT("'"&amp;$B$2&amp;"月"&amp;"'!A:AZ"),25,49+1)),"")</f>
        <v/>
      </c>
      <c r="E391" s="57" t="str">
        <f ca="1">IFERROR(IF(INDEX(INDIRECT("'"&amp;$B$2&amp;"月"&amp;"'!A:AZ"),25,49+2)="","",INDEX(INDIRECT("'"&amp;$B$2&amp;"月"&amp;"'!A:AZ"),25,49+2)),"")</f>
        <v/>
      </c>
      <c r="F391" s="59" t="str">
        <f ca="1">IFERROR(IF(INDEX(INDIRECT("'"&amp;$B$2&amp;"月"&amp;"'!A:AZ"),25,49+3)="","",INDEX(INDIRECT("'"&amp;$B$2&amp;"月"&amp;"'!A:AZ"),25,49+3)),"")</f>
        <v/>
      </c>
      <c r="G391" s="57" t="str">
        <f ca="1">IFERROR(IF(INDEX(INDIRECT("'"&amp;$B$2&amp;"月"&amp;"'!A:AZ"),25,49+4)="","",INDEX(INDIRECT("'"&amp;$B$2&amp;"月"&amp;"'!A:AZ"),25,49+4)),"")</f>
        <v/>
      </c>
      <c r="H391" s="57"/>
    </row>
    <row r="392" spans="1:8" ht="13.5" customHeight="1">
      <c r="A392" s="57">
        <f>IF(DAY(DATE(対象年度,$B$2,23))&lt;&gt;23,"",23)</f>
        <v>23</v>
      </c>
      <c r="B392" s="57" t="str">
        <f>IF(DAY(DATE(対象年度,$B$2,23))&lt;&gt;23,"",CHOOSE(WEEKDAY(DATE(対象年度,$B$2,23),2),"月","火","水","木","金","土","日"))</f>
        <v>金</v>
      </c>
      <c r="C392" s="57" t="str">
        <f ca="1">IFERROR(IF(INDEX(INDIRECT("'"&amp;$B$2&amp;"月"&amp;"'!A:AZ"),26,49+0)="","",INDEX(INDIRECT("'"&amp;$B$2&amp;"月"&amp;"'!A:AZ"),26,49+0)),"")</f>
        <v/>
      </c>
      <c r="D392" s="58" t="str">
        <f ca="1">IFERROR(IF(INDEX(INDIRECT("'"&amp;$B$2&amp;"月"&amp;"'!A:AZ"),26,49+1)="","",INDEX(INDIRECT("'"&amp;$B$2&amp;"月"&amp;"'!A:AZ"),26,49+1)),"")</f>
        <v/>
      </c>
      <c r="E392" s="57" t="str">
        <f ca="1">IFERROR(IF(INDEX(INDIRECT("'"&amp;$B$2&amp;"月"&amp;"'!A:AZ"),26,49+2)="","",INDEX(INDIRECT("'"&amp;$B$2&amp;"月"&amp;"'!A:AZ"),26,49+2)),"")</f>
        <v/>
      </c>
      <c r="F392" s="59" t="str">
        <f ca="1">IFERROR(IF(INDEX(INDIRECT("'"&amp;$B$2&amp;"月"&amp;"'!A:AZ"),26,49+3)="","",INDEX(INDIRECT("'"&amp;$B$2&amp;"月"&amp;"'!A:AZ"),26,49+3)),"")</f>
        <v/>
      </c>
      <c r="G392" s="57" t="str">
        <f ca="1">IFERROR(IF(INDEX(INDIRECT("'"&amp;$B$2&amp;"月"&amp;"'!A:AZ"),26,49+4)="","",INDEX(INDIRECT("'"&amp;$B$2&amp;"月"&amp;"'!A:AZ"),26,49+4)),"")</f>
        <v/>
      </c>
      <c r="H392" s="57"/>
    </row>
    <row r="393" spans="1:8" ht="13.5" customHeight="1">
      <c r="A393" s="57">
        <f>IF(DAY(DATE(対象年度,$B$2,24))&lt;&gt;24,"",24)</f>
        <v>24</v>
      </c>
      <c r="B393" s="57" t="str">
        <f>IF(DAY(DATE(対象年度,$B$2,24))&lt;&gt;24,"",CHOOSE(WEEKDAY(DATE(対象年度,$B$2,24),2),"月","火","水","木","金","土","日"))</f>
        <v>土</v>
      </c>
      <c r="C393" s="57" t="str">
        <f ca="1">IFERROR(IF(INDEX(INDIRECT("'"&amp;$B$2&amp;"月"&amp;"'!A:AZ"),27,49+0)="","",INDEX(INDIRECT("'"&amp;$B$2&amp;"月"&amp;"'!A:AZ"),27,49+0)),"")</f>
        <v/>
      </c>
      <c r="D393" s="58" t="str">
        <f ca="1">IFERROR(IF(INDEX(INDIRECT("'"&amp;$B$2&amp;"月"&amp;"'!A:AZ"),27,49+1)="","",INDEX(INDIRECT("'"&amp;$B$2&amp;"月"&amp;"'!A:AZ"),27,49+1)),"")</f>
        <v/>
      </c>
      <c r="E393" s="57" t="str">
        <f ca="1">IFERROR(IF(INDEX(INDIRECT("'"&amp;$B$2&amp;"月"&amp;"'!A:AZ"),27,49+2)="","",INDEX(INDIRECT("'"&amp;$B$2&amp;"月"&amp;"'!A:AZ"),27,49+2)),"")</f>
        <v/>
      </c>
      <c r="F393" s="59" t="str">
        <f ca="1">IFERROR(IF(INDEX(INDIRECT("'"&amp;$B$2&amp;"月"&amp;"'!A:AZ"),27,49+3)="","",INDEX(INDIRECT("'"&amp;$B$2&amp;"月"&amp;"'!A:AZ"),27,49+3)),"")</f>
        <v/>
      </c>
      <c r="G393" s="57" t="str">
        <f ca="1">IFERROR(IF(INDEX(INDIRECT("'"&amp;$B$2&amp;"月"&amp;"'!A:AZ"),27,49+4)="","",INDEX(INDIRECT("'"&amp;$B$2&amp;"月"&amp;"'!A:AZ"),27,49+4)),"")</f>
        <v/>
      </c>
      <c r="H393" s="57"/>
    </row>
    <row r="394" spans="1:8" ht="13.5" customHeight="1">
      <c r="A394" s="57">
        <f>IF(DAY(DATE(対象年度,$B$2,25))&lt;&gt;25,"",25)</f>
        <v>25</v>
      </c>
      <c r="B394" s="57" t="str">
        <f>IF(DAY(DATE(対象年度,$B$2,25))&lt;&gt;25,"",CHOOSE(WEEKDAY(DATE(対象年度,$B$2,25),2),"月","火","水","木","金","土","日"))</f>
        <v>日</v>
      </c>
      <c r="C394" s="57" t="str">
        <f ca="1">IFERROR(IF(INDEX(INDIRECT("'"&amp;$B$2&amp;"月"&amp;"'!A:AZ"),28,49+0)="","",INDEX(INDIRECT("'"&amp;$B$2&amp;"月"&amp;"'!A:AZ"),28,49+0)),"")</f>
        <v/>
      </c>
      <c r="D394" s="58" t="str">
        <f ca="1">IFERROR(IF(INDEX(INDIRECT("'"&amp;$B$2&amp;"月"&amp;"'!A:AZ"),28,49+1)="","",INDEX(INDIRECT("'"&amp;$B$2&amp;"月"&amp;"'!A:AZ"),28,49+1)),"")</f>
        <v/>
      </c>
      <c r="E394" s="57" t="str">
        <f ca="1">IFERROR(IF(INDEX(INDIRECT("'"&amp;$B$2&amp;"月"&amp;"'!A:AZ"),28,49+2)="","",INDEX(INDIRECT("'"&amp;$B$2&amp;"月"&amp;"'!A:AZ"),28,49+2)),"")</f>
        <v/>
      </c>
      <c r="F394" s="59" t="str">
        <f ca="1">IFERROR(IF(INDEX(INDIRECT("'"&amp;$B$2&amp;"月"&amp;"'!A:AZ"),28,49+3)="","",INDEX(INDIRECT("'"&amp;$B$2&amp;"月"&amp;"'!A:AZ"),28,49+3)),"")</f>
        <v/>
      </c>
      <c r="G394" s="57" t="str">
        <f ca="1">IFERROR(IF(INDEX(INDIRECT("'"&amp;$B$2&amp;"月"&amp;"'!A:AZ"),28,49+4)="","",INDEX(INDIRECT("'"&amp;$B$2&amp;"月"&amp;"'!A:AZ"),28,49+4)),"")</f>
        <v/>
      </c>
      <c r="H394" s="57"/>
    </row>
    <row r="395" spans="1:8" ht="13.5" customHeight="1">
      <c r="A395" s="57">
        <f>IF(DAY(DATE(対象年度,$B$2,26))&lt;&gt;26,"",26)</f>
        <v>26</v>
      </c>
      <c r="B395" s="57" t="str">
        <f>IF(DAY(DATE(対象年度,$B$2,26))&lt;&gt;26,"",CHOOSE(WEEKDAY(DATE(対象年度,$B$2,26),2),"月","火","水","木","金","土","日"))</f>
        <v>月</v>
      </c>
      <c r="C395" s="57" t="str">
        <f ca="1">IFERROR(IF(INDEX(INDIRECT("'"&amp;$B$2&amp;"月"&amp;"'!A:AZ"),29,49+0)="","",INDEX(INDIRECT("'"&amp;$B$2&amp;"月"&amp;"'!A:AZ"),29,49+0)),"")</f>
        <v/>
      </c>
      <c r="D395" s="58" t="str">
        <f ca="1">IFERROR(IF(INDEX(INDIRECT("'"&amp;$B$2&amp;"月"&amp;"'!A:AZ"),29,49+1)="","",INDEX(INDIRECT("'"&amp;$B$2&amp;"月"&amp;"'!A:AZ"),29,49+1)),"")</f>
        <v/>
      </c>
      <c r="E395" s="57" t="str">
        <f ca="1">IFERROR(IF(INDEX(INDIRECT("'"&amp;$B$2&amp;"月"&amp;"'!A:AZ"),29,49+2)="","",INDEX(INDIRECT("'"&amp;$B$2&amp;"月"&amp;"'!A:AZ"),29,49+2)),"")</f>
        <v/>
      </c>
      <c r="F395" s="59" t="str">
        <f ca="1">IFERROR(IF(INDEX(INDIRECT("'"&amp;$B$2&amp;"月"&amp;"'!A:AZ"),29,49+3)="","",INDEX(INDIRECT("'"&amp;$B$2&amp;"月"&amp;"'!A:AZ"),29,49+3)),"")</f>
        <v/>
      </c>
      <c r="G395" s="57" t="str">
        <f ca="1">IFERROR(IF(INDEX(INDIRECT("'"&amp;$B$2&amp;"月"&amp;"'!A:AZ"),29,49+4)="","",INDEX(INDIRECT("'"&amp;$B$2&amp;"月"&amp;"'!A:AZ"),29,49+4)),"")</f>
        <v/>
      </c>
      <c r="H395" s="57"/>
    </row>
    <row r="396" spans="1:8" ht="13.5" customHeight="1">
      <c r="A396" s="57">
        <f>IF(DAY(DATE(対象年度,$B$2,27))&lt;&gt;27,"",27)</f>
        <v>27</v>
      </c>
      <c r="B396" s="57" t="str">
        <f>IF(DAY(DATE(対象年度,$B$2,27))&lt;&gt;27,"",CHOOSE(WEEKDAY(DATE(対象年度,$B$2,27),2),"月","火","水","木","金","土","日"))</f>
        <v>火</v>
      </c>
      <c r="C396" s="57" t="str">
        <f ca="1">IFERROR(IF(INDEX(INDIRECT("'"&amp;$B$2&amp;"月"&amp;"'!A:AZ"),30,49+0)="","",INDEX(INDIRECT("'"&amp;$B$2&amp;"月"&amp;"'!A:AZ"),30,49+0)),"")</f>
        <v/>
      </c>
      <c r="D396" s="58" t="str">
        <f ca="1">IFERROR(IF(INDEX(INDIRECT("'"&amp;$B$2&amp;"月"&amp;"'!A:AZ"),30,49+1)="","",INDEX(INDIRECT("'"&amp;$B$2&amp;"月"&amp;"'!A:AZ"),30,49+1)),"")</f>
        <v/>
      </c>
      <c r="E396" s="57" t="str">
        <f ca="1">IFERROR(IF(INDEX(INDIRECT("'"&amp;$B$2&amp;"月"&amp;"'!A:AZ"),30,49+2)="","",INDEX(INDIRECT("'"&amp;$B$2&amp;"月"&amp;"'!A:AZ"),30,49+2)),"")</f>
        <v/>
      </c>
      <c r="F396" s="59" t="str">
        <f ca="1">IFERROR(IF(INDEX(INDIRECT("'"&amp;$B$2&amp;"月"&amp;"'!A:AZ"),30,49+3)="","",INDEX(INDIRECT("'"&amp;$B$2&amp;"月"&amp;"'!A:AZ"),30,49+3)),"")</f>
        <v/>
      </c>
      <c r="G396" s="57" t="str">
        <f ca="1">IFERROR(IF(INDEX(INDIRECT("'"&amp;$B$2&amp;"月"&amp;"'!A:AZ"),30,49+4)="","",INDEX(INDIRECT("'"&amp;$B$2&amp;"月"&amp;"'!A:AZ"),30,49+4)),"")</f>
        <v/>
      </c>
      <c r="H396" s="57"/>
    </row>
    <row r="397" spans="1:8" ht="13.5" customHeight="1">
      <c r="A397" s="57">
        <f>IF(DAY(DATE(対象年度,$B$2,28))&lt;&gt;28,"",28)</f>
        <v>28</v>
      </c>
      <c r="B397" s="57" t="str">
        <f>IF(DAY(DATE(対象年度,$B$2,28))&lt;&gt;28,"",CHOOSE(WEEKDAY(DATE(対象年度,$B$2,28),2),"月","火","水","木","金","土","日"))</f>
        <v>水</v>
      </c>
      <c r="C397" s="57" t="str">
        <f ca="1">IFERROR(IF(INDEX(INDIRECT("'"&amp;$B$2&amp;"月"&amp;"'!A:AZ"),31,49+0)="","",INDEX(INDIRECT("'"&amp;$B$2&amp;"月"&amp;"'!A:AZ"),31,49+0)),"")</f>
        <v/>
      </c>
      <c r="D397" s="58" t="str">
        <f ca="1">IFERROR(IF(INDEX(INDIRECT("'"&amp;$B$2&amp;"月"&amp;"'!A:AZ"),31,49+1)="","",INDEX(INDIRECT("'"&amp;$B$2&amp;"月"&amp;"'!A:AZ"),31,49+1)),"")</f>
        <v/>
      </c>
      <c r="E397" s="57" t="str">
        <f ca="1">IFERROR(IF(INDEX(INDIRECT("'"&amp;$B$2&amp;"月"&amp;"'!A:AZ"),31,49+2)="","",INDEX(INDIRECT("'"&amp;$B$2&amp;"月"&amp;"'!A:AZ"),31,49+2)),"")</f>
        <v/>
      </c>
      <c r="F397" s="59" t="str">
        <f ca="1">IFERROR(IF(INDEX(INDIRECT("'"&amp;$B$2&amp;"月"&amp;"'!A:AZ"),31,49+3)="","",INDEX(INDIRECT("'"&amp;$B$2&amp;"月"&amp;"'!A:AZ"),31,49+3)),"")</f>
        <v/>
      </c>
      <c r="G397" s="57" t="str">
        <f ca="1">IFERROR(IF(INDEX(INDIRECT("'"&amp;$B$2&amp;"月"&amp;"'!A:AZ"),31,49+4)="","",INDEX(INDIRECT("'"&amp;$B$2&amp;"月"&amp;"'!A:AZ"),31,49+4)),"")</f>
        <v/>
      </c>
      <c r="H397" s="57"/>
    </row>
    <row r="398" spans="1:8" ht="13.5" customHeight="1">
      <c r="A398" s="57">
        <f>IF(DAY(DATE(対象年度,$B$2,29))&lt;&gt;29,"",29)</f>
        <v>29</v>
      </c>
      <c r="B398" s="57" t="str">
        <f>IF(DAY(DATE(対象年度,$B$2,29))&lt;&gt;29,"",CHOOSE(WEEKDAY(DATE(対象年度,$B$2,29),2),"月","火","水","木","金","土","日"))</f>
        <v>木</v>
      </c>
      <c r="C398" s="57" t="str">
        <f ca="1">IFERROR(IF(INDEX(INDIRECT("'"&amp;$B$2&amp;"月"&amp;"'!A:AZ"),32,49+0)="","",INDEX(INDIRECT("'"&amp;$B$2&amp;"月"&amp;"'!A:AZ"),32,49+0)),"")</f>
        <v/>
      </c>
      <c r="D398" s="58" t="str">
        <f ca="1">IFERROR(IF(INDEX(INDIRECT("'"&amp;$B$2&amp;"月"&amp;"'!A:AZ"),32,49+1)="","",INDEX(INDIRECT("'"&amp;$B$2&amp;"月"&amp;"'!A:AZ"),32,49+1)),"")</f>
        <v/>
      </c>
      <c r="E398" s="57" t="str">
        <f ca="1">IFERROR(IF(INDEX(INDIRECT("'"&amp;$B$2&amp;"月"&amp;"'!A:AZ"),32,49+2)="","",INDEX(INDIRECT("'"&amp;$B$2&amp;"月"&amp;"'!A:AZ"),32,49+2)),"")</f>
        <v/>
      </c>
      <c r="F398" s="59" t="str">
        <f ca="1">IFERROR(IF(INDEX(INDIRECT("'"&amp;$B$2&amp;"月"&amp;"'!A:AZ"),32,49+3)="","",INDEX(INDIRECT("'"&amp;$B$2&amp;"月"&amp;"'!A:AZ"),32,49+3)),"")</f>
        <v/>
      </c>
      <c r="G398" s="57" t="str">
        <f ca="1">IFERROR(IF(INDEX(INDIRECT("'"&amp;$B$2&amp;"月"&amp;"'!A:AZ"),32,49+4)="","",INDEX(INDIRECT("'"&amp;$B$2&amp;"月"&amp;"'!A:AZ"),32,49+4)),"")</f>
        <v/>
      </c>
      <c r="H398" s="57"/>
    </row>
    <row r="399" spans="1:8" ht="13.5" customHeight="1">
      <c r="A399" s="57">
        <f>IF(DAY(DATE(対象年度,$B$2,30))&lt;&gt;30,"",30)</f>
        <v>30</v>
      </c>
      <c r="B399" s="57" t="str">
        <f>IF(DAY(DATE(対象年度,$B$2,30))&lt;&gt;30,"",CHOOSE(WEEKDAY(DATE(対象年度,$B$2,30),2),"月","火","水","木","金","土","日"))</f>
        <v>金</v>
      </c>
      <c r="C399" s="57" t="str">
        <f ca="1">IFERROR(IF(INDEX(INDIRECT("'"&amp;$B$2&amp;"月"&amp;"'!A:AZ"),33,49+0)="","",INDEX(INDIRECT("'"&amp;$B$2&amp;"月"&amp;"'!A:AZ"),33,49+0)),"")</f>
        <v/>
      </c>
      <c r="D399" s="58" t="str">
        <f ca="1">IFERROR(IF(INDEX(INDIRECT("'"&amp;$B$2&amp;"月"&amp;"'!A:AZ"),33,49+1)="","",INDEX(INDIRECT("'"&amp;$B$2&amp;"月"&amp;"'!A:AZ"),33,49+1)),"")</f>
        <v/>
      </c>
      <c r="E399" s="57" t="str">
        <f ca="1">IFERROR(IF(INDEX(INDIRECT("'"&amp;$B$2&amp;"月"&amp;"'!A:AZ"),33,49+2)="","",INDEX(INDIRECT("'"&amp;$B$2&amp;"月"&amp;"'!A:AZ"),33,49+2)),"")</f>
        <v/>
      </c>
      <c r="F399" s="59" t="str">
        <f ca="1">IFERROR(IF(INDEX(INDIRECT("'"&amp;$B$2&amp;"月"&amp;"'!A:AZ"),33,49+3)="","",INDEX(INDIRECT("'"&amp;$B$2&amp;"月"&amp;"'!A:AZ"),33,49+3)),"")</f>
        <v/>
      </c>
      <c r="G399" s="57" t="str">
        <f ca="1">IFERROR(IF(INDEX(INDIRECT("'"&amp;$B$2&amp;"月"&amp;"'!A:AZ"),33,49+4)="","",INDEX(INDIRECT("'"&amp;$B$2&amp;"月"&amp;"'!A:AZ"),33,49+4)),"")</f>
        <v/>
      </c>
      <c r="H399" s="57"/>
    </row>
    <row r="400" spans="1:8" ht="13.5" customHeight="1">
      <c r="A400" s="57">
        <f>IF(DAY(DATE(対象年度,$B$2,31))&lt;&gt;31,"",31)</f>
        <v>31</v>
      </c>
      <c r="B400" s="57" t="str">
        <f>IF(DAY(DATE(対象年度,$B$2,31))&lt;&gt;31,"",CHOOSE(WEEKDAY(DATE(対象年度,$B$2,31),2),"月","火","水","木","金","土","日"))</f>
        <v>土</v>
      </c>
      <c r="C400" s="57" t="str">
        <f ca="1">IFERROR(IF(INDEX(INDIRECT("'"&amp;$B$2&amp;"月"&amp;"'!A:AZ"),34,49+0)="","",INDEX(INDIRECT("'"&amp;$B$2&amp;"月"&amp;"'!A:AZ"),34,49+0)),"")</f>
        <v/>
      </c>
      <c r="D400" s="58" t="str">
        <f ca="1">IFERROR(IF(INDEX(INDIRECT("'"&amp;$B$2&amp;"月"&amp;"'!A:AZ"),34,49+1)="","",INDEX(INDIRECT("'"&amp;$B$2&amp;"月"&amp;"'!A:AZ"),34,49+1)),"")</f>
        <v/>
      </c>
      <c r="E400" s="57" t="str">
        <f ca="1">IFERROR(IF(INDEX(INDIRECT("'"&amp;$B$2&amp;"月"&amp;"'!A:AZ"),34,49+2)="","",INDEX(INDIRECT("'"&amp;$B$2&amp;"月"&amp;"'!A:AZ"),34,49+2)),"")</f>
        <v/>
      </c>
      <c r="F400" s="59" t="str">
        <f ca="1">IFERROR(IF(INDEX(INDIRECT("'"&amp;$B$2&amp;"月"&amp;"'!A:AZ"),34,49+3)="","",INDEX(INDIRECT("'"&amp;$B$2&amp;"月"&amp;"'!A:AZ"),34,49+3)),"")</f>
        <v/>
      </c>
      <c r="G400" s="57" t="str">
        <f ca="1">IFERROR(IF(INDEX(INDIRECT("'"&amp;$B$2&amp;"月"&amp;"'!A:AZ"),34,49+4)="","",INDEX(INDIRECT("'"&amp;$B$2&amp;"月"&amp;"'!A:AZ"),34,49+4)),"")</f>
        <v/>
      </c>
      <c r="H400" s="57"/>
    </row>
    <row r="401" spans="1:8" ht="21.75" customHeight="1">
      <c r="A401" s="112" t="s">
        <v>87</v>
      </c>
      <c r="B401" s="112"/>
      <c r="C401" s="61" t="s">
        <v>71</v>
      </c>
      <c r="D401" s="62">
        <f ca="1">IFERROR(INDEX(INDIRECT("'"&amp;$B$2&amp;"月"&amp;"'!A:AZ"),35,49),0)</f>
        <v>0</v>
      </c>
      <c r="E401" s="63" t="s">
        <v>72</v>
      </c>
      <c r="F401" s="64">
        <f ca="1">IFERROR(INDEX(INDIRECT("'"&amp;$B$2&amp;"月"&amp;"'!A:AZ"),36,49),0)</f>
        <v>0</v>
      </c>
      <c r="G401" s="61" t="s">
        <v>73</v>
      </c>
      <c r="H401" s="62">
        <f ca="1">IFERROR(INDEX(INDIRECT("'"&amp;$B$2&amp;"月"&amp;"'!A:AZ"),38,49),0)</f>
        <v>0</v>
      </c>
    </row>
    <row r="402" spans="1:8" ht="24" customHeight="1">
      <c r="A402" s="113"/>
      <c r="B402" s="113"/>
      <c r="C402" s="65" t="s">
        <v>76</v>
      </c>
      <c r="D402" s="66">
        <f ca="1">IFERROR(INDEX(INDIRECT("'"&amp;$B$2&amp;"月"&amp;"'!A:AZ"),37,49),0)</f>
        <v>0</v>
      </c>
      <c r="E402" s="67" t="s">
        <v>64</v>
      </c>
      <c r="F402" s="68">
        <f ca="1">IFERROR(INDEX(INDIRECT("'"&amp;$B$2&amp;"月"&amp;"'!A:AZ"),39,49),0)</f>
        <v>0</v>
      </c>
      <c r="G402" s="69" t="s">
        <v>65</v>
      </c>
      <c r="H402" s="70">
        <f ca="1">IFERROR(INDEX(INDIRECT("'"&amp;$B$2&amp;"月"&amp;"'!A:AZ"),40,49),0)</f>
        <v>0</v>
      </c>
    </row>
    <row r="404" spans="1:8" ht="27.75" customHeight="1">
      <c r="A404" s="105" t="s">
        <v>78</v>
      </c>
      <c r="B404" s="105"/>
      <c r="C404" s="105"/>
      <c r="D404" s="105"/>
      <c r="E404" s="105"/>
      <c r="F404" s="105"/>
      <c r="G404" s="105"/>
      <c r="H404" s="105"/>
    </row>
    <row r="405" spans="1:8" ht="18" customHeight="1">
      <c r="A405" s="114" t="s">
        <v>17</v>
      </c>
      <c r="B405" s="114"/>
      <c r="C405" s="114"/>
      <c r="D405" s="114"/>
      <c r="E405" s="114"/>
      <c r="F405" s="114"/>
      <c r="G405" s="114"/>
      <c r="H405" s="114"/>
    </row>
    <row r="406" spans="1:8" ht="27.75" customHeight="1">
      <c r="A406" s="49" t="s">
        <v>79</v>
      </c>
      <c r="B406" s="115" t="str">
        <f>対象年度&amp;"年 "&amp;$B$2&amp;"月"</f>
        <v>2026年 1月</v>
      </c>
      <c r="C406" s="115"/>
      <c r="D406" s="49" t="s">
        <v>80</v>
      </c>
      <c r="E406" s="116">
        <f>IFERROR(従業員マスタ!$C$14,"")</f>
        <v>0</v>
      </c>
      <c r="F406" s="116"/>
      <c r="G406" s="116"/>
      <c r="H406" s="116"/>
    </row>
    <row r="407" spans="1:8" ht="19.5" customHeight="1">
      <c r="A407" s="73" t="s">
        <v>90</v>
      </c>
      <c r="B407" s="53" t="s">
        <v>91</v>
      </c>
      <c r="C407" s="120" t="s">
        <v>84</v>
      </c>
      <c r="D407" s="120"/>
      <c r="E407" s="120" t="s">
        <v>85</v>
      </c>
      <c r="F407" s="120"/>
      <c r="G407" s="117" t="s">
        <v>86</v>
      </c>
      <c r="H407" s="117"/>
    </row>
    <row r="408" spans="1:8" ht="43.5" customHeight="1">
      <c r="A408" s="74"/>
      <c r="B408" s="54"/>
      <c r="C408" s="111"/>
      <c r="D408" s="111"/>
      <c r="E408" s="111"/>
      <c r="F408" s="111"/>
      <c r="G408" s="111"/>
      <c r="H408" s="111"/>
    </row>
    <row r="409" spans="1:8" ht="19.5" customHeight="1">
      <c r="A409" s="55" t="s">
        <v>66</v>
      </c>
      <c r="B409" s="55" t="s">
        <v>67</v>
      </c>
      <c r="C409" s="55" t="s">
        <v>69</v>
      </c>
      <c r="D409" s="56" t="s">
        <v>70</v>
      </c>
      <c r="E409" s="55" t="s">
        <v>71</v>
      </c>
      <c r="F409" s="55" t="s">
        <v>72</v>
      </c>
      <c r="G409" s="55" t="s">
        <v>73</v>
      </c>
      <c r="H409" s="55" t="s">
        <v>57</v>
      </c>
    </row>
    <row r="410" spans="1:8" ht="13.5" customHeight="1">
      <c r="A410" s="57">
        <f>IF(DAY(DATE(対象年度,$B$2,1))&lt;&gt;1,"",1)</f>
        <v>1</v>
      </c>
      <c r="B410" s="57" t="str">
        <f>IF(DAY(DATE(対象年度,$B$2,1))&lt;&gt;1,"",CHOOSE(WEEKDAY(DATE(対象年度,$B$2,1),2),"月","火","水","木","金","土","日"))</f>
        <v>木</v>
      </c>
      <c r="C410" s="57" t="str">
        <f ca="1">IFERROR(IF(INDEX(INDIRECT("'"&amp;$B$2&amp;"月"&amp;"'!A:AZ"),4,54+0)="","",INDEX(INDIRECT("'"&amp;$B$2&amp;"月"&amp;"'!A:AZ"),4,54+0)),"")</f>
        <v/>
      </c>
      <c r="D410" s="58" t="str">
        <f ca="1">IFERROR(IF(INDEX(INDIRECT("'"&amp;$B$2&amp;"月"&amp;"'!A:AZ"),4,54+1)="","",INDEX(INDIRECT("'"&amp;$B$2&amp;"月"&amp;"'!A:AZ"),4,54+1)),"")</f>
        <v/>
      </c>
      <c r="E410" s="57" t="str">
        <f ca="1">IFERROR(IF(INDEX(INDIRECT("'"&amp;$B$2&amp;"月"&amp;"'!A:AZ"),4,54+2)="","",INDEX(INDIRECT("'"&amp;$B$2&amp;"月"&amp;"'!A:AZ"),4,54+2)),"")</f>
        <v/>
      </c>
      <c r="F410" s="59" t="str">
        <f ca="1">IFERROR(IF(INDEX(INDIRECT("'"&amp;$B$2&amp;"月"&amp;"'!A:AZ"),4,54+3)="","",INDEX(INDIRECT("'"&amp;$B$2&amp;"月"&amp;"'!A:AZ"),4,54+3)),"")</f>
        <v/>
      </c>
      <c r="G410" s="57" t="str">
        <f ca="1">IFERROR(IF(INDEX(INDIRECT("'"&amp;$B$2&amp;"月"&amp;"'!A:AZ"),4,54+4)="","",INDEX(INDIRECT("'"&amp;$B$2&amp;"月"&amp;"'!A:AZ"),4,54+4)),"")</f>
        <v/>
      </c>
      <c r="H410" s="57"/>
    </row>
    <row r="411" spans="1:8" ht="13.5" customHeight="1">
      <c r="A411" s="57">
        <f>IF(DAY(DATE(対象年度,$B$2,2))&lt;&gt;2,"",2)</f>
        <v>2</v>
      </c>
      <c r="B411" s="57" t="str">
        <f>IF(DAY(DATE(対象年度,$B$2,2))&lt;&gt;2,"",CHOOSE(WEEKDAY(DATE(対象年度,$B$2,2),2),"月","火","水","木","金","土","日"))</f>
        <v>金</v>
      </c>
      <c r="C411" s="57" t="str">
        <f ca="1">IFERROR(IF(INDEX(INDIRECT("'"&amp;$B$2&amp;"月"&amp;"'!A:AZ"),5,54+0)="","",INDEX(INDIRECT("'"&amp;$B$2&amp;"月"&amp;"'!A:AZ"),5,54+0)),"")</f>
        <v/>
      </c>
      <c r="D411" s="58" t="str">
        <f ca="1">IFERROR(IF(INDEX(INDIRECT("'"&amp;$B$2&amp;"月"&amp;"'!A:AZ"),5,54+1)="","",INDEX(INDIRECT("'"&amp;$B$2&amp;"月"&amp;"'!A:AZ"),5,54+1)),"")</f>
        <v/>
      </c>
      <c r="E411" s="57" t="str">
        <f ca="1">IFERROR(IF(INDEX(INDIRECT("'"&amp;$B$2&amp;"月"&amp;"'!A:AZ"),5,54+2)="","",INDEX(INDIRECT("'"&amp;$B$2&amp;"月"&amp;"'!A:AZ"),5,54+2)),"")</f>
        <v/>
      </c>
      <c r="F411" s="59" t="str">
        <f ca="1">IFERROR(IF(INDEX(INDIRECT("'"&amp;$B$2&amp;"月"&amp;"'!A:AZ"),5,54+3)="","",INDEX(INDIRECT("'"&amp;$B$2&amp;"月"&amp;"'!A:AZ"),5,54+3)),"")</f>
        <v/>
      </c>
      <c r="G411" s="57" t="str">
        <f ca="1">IFERROR(IF(INDEX(INDIRECT("'"&amp;$B$2&amp;"月"&amp;"'!A:AZ"),5,54+4)="","",INDEX(INDIRECT("'"&amp;$B$2&amp;"月"&amp;"'!A:AZ"),5,54+4)),"")</f>
        <v/>
      </c>
      <c r="H411" s="57"/>
    </row>
    <row r="412" spans="1:8" ht="13.5" customHeight="1">
      <c r="A412" s="57">
        <f>IF(DAY(DATE(対象年度,$B$2,3))&lt;&gt;3,"",3)</f>
        <v>3</v>
      </c>
      <c r="B412" s="57" t="str">
        <f>IF(DAY(DATE(対象年度,$B$2,3))&lt;&gt;3,"",CHOOSE(WEEKDAY(DATE(対象年度,$B$2,3),2),"月","火","水","木","金","土","日"))</f>
        <v>土</v>
      </c>
      <c r="C412" s="57" t="str">
        <f ca="1">IFERROR(IF(INDEX(INDIRECT("'"&amp;$B$2&amp;"月"&amp;"'!A:AZ"),6,54+0)="","",INDEX(INDIRECT("'"&amp;$B$2&amp;"月"&amp;"'!A:AZ"),6,54+0)),"")</f>
        <v/>
      </c>
      <c r="D412" s="58" t="str">
        <f ca="1">IFERROR(IF(INDEX(INDIRECT("'"&amp;$B$2&amp;"月"&amp;"'!A:AZ"),6,54+1)="","",INDEX(INDIRECT("'"&amp;$B$2&amp;"月"&amp;"'!A:AZ"),6,54+1)),"")</f>
        <v/>
      </c>
      <c r="E412" s="57" t="str">
        <f ca="1">IFERROR(IF(INDEX(INDIRECT("'"&amp;$B$2&amp;"月"&amp;"'!A:AZ"),6,54+2)="","",INDEX(INDIRECT("'"&amp;$B$2&amp;"月"&amp;"'!A:AZ"),6,54+2)),"")</f>
        <v/>
      </c>
      <c r="F412" s="59" t="str">
        <f ca="1">IFERROR(IF(INDEX(INDIRECT("'"&amp;$B$2&amp;"月"&amp;"'!A:AZ"),6,54+3)="","",INDEX(INDIRECT("'"&amp;$B$2&amp;"月"&amp;"'!A:AZ"),6,54+3)),"")</f>
        <v/>
      </c>
      <c r="G412" s="57" t="str">
        <f ca="1">IFERROR(IF(INDEX(INDIRECT("'"&amp;$B$2&amp;"月"&amp;"'!A:AZ"),6,54+4)="","",INDEX(INDIRECT("'"&amp;$B$2&amp;"月"&amp;"'!A:AZ"),6,54+4)),"")</f>
        <v/>
      </c>
      <c r="H412" s="57"/>
    </row>
    <row r="413" spans="1:8" ht="13.5" customHeight="1">
      <c r="A413" s="57">
        <f>IF(DAY(DATE(対象年度,$B$2,4))&lt;&gt;4,"",4)</f>
        <v>4</v>
      </c>
      <c r="B413" s="57" t="str">
        <f>IF(DAY(DATE(対象年度,$B$2,4))&lt;&gt;4,"",CHOOSE(WEEKDAY(DATE(対象年度,$B$2,4),2),"月","火","水","木","金","土","日"))</f>
        <v>日</v>
      </c>
      <c r="C413" s="57" t="str">
        <f ca="1">IFERROR(IF(INDEX(INDIRECT("'"&amp;$B$2&amp;"月"&amp;"'!A:AZ"),7,54+0)="","",INDEX(INDIRECT("'"&amp;$B$2&amp;"月"&amp;"'!A:AZ"),7,54+0)),"")</f>
        <v/>
      </c>
      <c r="D413" s="58" t="str">
        <f ca="1">IFERROR(IF(INDEX(INDIRECT("'"&amp;$B$2&amp;"月"&amp;"'!A:AZ"),7,54+1)="","",INDEX(INDIRECT("'"&amp;$B$2&amp;"月"&amp;"'!A:AZ"),7,54+1)),"")</f>
        <v/>
      </c>
      <c r="E413" s="57" t="str">
        <f ca="1">IFERROR(IF(INDEX(INDIRECT("'"&amp;$B$2&amp;"月"&amp;"'!A:AZ"),7,54+2)="","",INDEX(INDIRECT("'"&amp;$B$2&amp;"月"&amp;"'!A:AZ"),7,54+2)),"")</f>
        <v/>
      </c>
      <c r="F413" s="59" t="str">
        <f ca="1">IFERROR(IF(INDEX(INDIRECT("'"&amp;$B$2&amp;"月"&amp;"'!A:AZ"),7,54+3)="","",INDEX(INDIRECT("'"&amp;$B$2&amp;"月"&amp;"'!A:AZ"),7,54+3)),"")</f>
        <v/>
      </c>
      <c r="G413" s="57" t="str">
        <f ca="1">IFERROR(IF(INDEX(INDIRECT("'"&amp;$B$2&amp;"月"&amp;"'!A:AZ"),7,54+4)="","",INDEX(INDIRECT("'"&amp;$B$2&amp;"月"&amp;"'!A:AZ"),7,54+4)),"")</f>
        <v/>
      </c>
      <c r="H413" s="57"/>
    </row>
    <row r="414" spans="1:8" ht="13.5" customHeight="1">
      <c r="A414" s="57">
        <f>IF(DAY(DATE(対象年度,$B$2,5))&lt;&gt;5,"",5)</f>
        <v>5</v>
      </c>
      <c r="B414" s="57" t="str">
        <f>IF(DAY(DATE(対象年度,$B$2,5))&lt;&gt;5,"",CHOOSE(WEEKDAY(DATE(対象年度,$B$2,5),2),"月","火","水","木","金","土","日"))</f>
        <v>月</v>
      </c>
      <c r="C414" s="57" t="str">
        <f ca="1">IFERROR(IF(INDEX(INDIRECT("'"&amp;$B$2&amp;"月"&amp;"'!A:AZ"),8,54+0)="","",INDEX(INDIRECT("'"&amp;$B$2&amp;"月"&amp;"'!A:AZ"),8,54+0)),"")</f>
        <v/>
      </c>
      <c r="D414" s="58" t="str">
        <f ca="1">IFERROR(IF(INDEX(INDIRECT("'"&amp;$B$2&amp;"月"&amp;"'!A:AZ"),8,54+1)="","",INDEX(INDIRECT("'"&amp;$B$2&amp;"月"&amp;"'!A:AZ"),8,54+1)),"")</f>
        <v/>
      </c>
      <c r="E414" s="57" t="str">
        <f ca="1">IFERROR(IF(INDEX(INDIRECT("'"&amp;$B$2&amp;"月"&amp;"'!A:AZ"),8,54+2)="","",INDEX(INDIRECT("'"&amp;$B$2&amp;"月"&amp;"'!A:AZ"),8,54+2)),"")</f>
        <v/>
      </c>
      <c r="F414" s="59" t="str">
        <f ca="1">IFERROR(IF(INDEX(INDIRECT("'"&amp;$B$2&amp;"月"&amp;"'!A:AZ"),8,54+3)="","",INDEX(INDIRECT("'"&amp;$B$2&amp;"月"&amp;"'!A:AZ"),8,54+3)),"")</f>
        <v/>
      </c>
      <c r="G414" s="57" t="str">
        <f ca="1">IFERROR(IF(INDEX(INDIRECT("'"&amp;$B$2&amp;"月"&amp;"'!A:AZ"),8,54+4)="","",INDEX(INDIRECT("'"&amp;$B$2&amp;"月"&amp;"'!A:AZ"),8,54+4)),"")</f>
        <v/>
      </c>
      <c r="H414" s="57"/>
    </row>
    <row r="415" spans="1:8" ht="13.5" customHeight="1">
      <c r="A415" s="57">
        <f>IF(DAY(DATE(対象年度,$B$2,6))&lt;&gt;6,"",6)</f>
        <v>6</v>
      </c>
      <c r="B415" s="57" t="str">
        <f>IF(DAY(DATE(対象年度,$B$2,6))&lt;&gt;6,"",CHOOSE(WEEKDAY(DATE(対象年度,$B$2,6),2),"月","火","水","木","金","土","日"))</f>
        <v>火</v>
      </c>
      <c r="C415" s="57" t="str">
        <f ca="1">IFERROR(IF(INDEX(INDIRECT("'"&amp;$B$2&amp;"月"&amp;"'!A:AZ"),9,54+0)="","",INDEX(INDIRECT("'"&amp;$B$2&amp;"月"&amp;"'!A:AZ"),9,54+0)),"")</f>
        <v/>
      </c>
      <c r="D415" s="58" t="str">
        <f ca="1">IFERROR(IF(INDEX(INDIRECT("'"&amp;$B$2&amp;"月"&amp;"'!A:AZ"),9,54+1)="","",INDEX(INDIRECT("'"&amp;$B$2&amp;"月"&amp;"'!A:AZ"),9,54+1)),"")</f>
        <v/>
      </c>
      <c r="E415" s="57" t="str">
        <f ca="1">IFERROR(IF(INDEX(INDIRECT("'"&amp;$B$2&amp;"月"&amp;"'!A:AZ"),9,54+2)="","",INDEX(INDIRECT("'"&amp;$B$2&amp;"月"&amp;"'!A:AZ"),9,54+2)),"")</f>
        <v/>
      </c>
      <c r="F415" s="59" t="str">
        <f ca="1">IFERROR(IF(INDEX(INDIRECT("'"&amp;$B$2&amp;"月"&amp;"'!A:AZ"),9,54+3)="","",INDEX(INDIRECT("'"&amp;$B$2&amp;"月"&amp;"'!A:AZ"),9,54+3)),"")</f>
        <v/>
      </c>
      <c r="G415" s="57" t="str">
        <f ca="1">IFERROR(IF(INDEX(INDIRECT("'"&amp;$B$2&amp;"月"&amp;"'!A:AZ"),9,54+4)="","",INDEX(INDIRECT("'"&amp;$B$2&amp;"月"&amp;"'!A:AZ"),9,54+4)),"")</f>
        <v/>
      </c>
      <c r="H415" s="57"/>
    </row>
    <row r="416" spans="1:8" ht="13.5" customHeight="1">
      <c r="A416" s="57">
        <f>IF(DAY(DATE(対象年度,$B$2,7))&lt;&gt;7,"",7)</f>
        <v>7</v>
      </c>
      <c r="B416" s="57" t="str">
        <f>IF(DAY(DATE(対象年度,$B$2,7))&lt;&gt;7,"",CHOOSE(WEEKDAY(DATE(対象年度,$B$2,7),2),"月","火","水","木","金","土","日"))</f>
        <v>水</v>
      </c>
      <c r="C416" s="57" t="str">
        <f ca="1">IFERROR(IF(INDEX(INDIRECT("'"&amp;$B$2&amp;"月"&amp;"'!A:AZ"),10,54+0)="","",INDEX(INDIRECT("'"&amp;$B$2&amp;"月"&amp;"'!A:AZ"),10,54+0)),"")</f>
        <v/>
      </c>
      <c r="D416" s="58" t="str">
        <f ca="1">IFERROR(IF(INDEX(INDIRECT("'"&amp;$B$2&amp;"月"&amp;"'!A:AZ"),10,54+1)="","",INDEX(INDIRECT("'"&amp;$B$2&amp;"月"&amp;"'!A:AZ"),10,54+1)),"")</f>
        <v/>
      </c>
      <c r="E416" s="57" t="str">
        <f ca="1">IFERROR(IF(INDEX(INDIRECT("'"&amp;$B$2&amp;"月"&amp;"'!A:AZ"),10,54+2)="","",INDEX(INDIRECT("'"&amp;$B$2&amp;"月"&amp;"'!A:AZ"),10,54+2)),"")</f>
        <v/>
      </c>
      <c r="F416" s="59" t="str">
        <f ca="1">IFERROR(IF(INDEX(INDIRECT("'"&amp;$B$2&amp;"月"&amp;"'!A:AZ"),10,54+3)="","",INDEX(INDIRECT("'"&amp;$B$2&amp;"月"&amp;"'!A:AZ"),10,54+3)),"")</f>
        <v/>
      </c>
      <c r="G416" s="57" t="str">
        <f ca="1">IFERROR(IF(INDEX(INDIRECT("'"&amp;$B$2&amp;"月"&amp;"'!A:AZ"),10,54+4)="","",INDEX(INDIRECT("'"&amp;$B$2&amp;"月"&amp;"'!A:AZ"),10,54+4)),"")</f>
        <v/>
      </c>
      <c r="H416" s="57"/>
    </row>
    <row r="417" spans="1:8" ht="13.5" customHeight="1">
      <c r="A417" s="57">
        <f>IF(DAY(DATE(対象年度,$B$2,8))&lt;&gt;8,"",8)</f>
        <v>8</v>
      </c>
      <c r="B417" s="57" t="str">
        <f>IF(DAY(DATE(対象年度,$B$2,8))&lt;&gt;8,"",CHOOSE(WEEKDAY(DATE(対象年度,$B$2,8),2),"月","火","水","木","金","土","日"))</f>
        <v>木</v>
      </c>
      <c r="C417" s="57" t="str">
        <f ca="1">IFERROR(IF(INDEX(INDIRECT("'"&amp;$B$2&amp;"月"&amp;"'!A:AZ"),11,54+0)="","",INDEX(INDIRECT("'"&amp;$B$2&amp;"月"&amp;"'!A:AZ"),11,54+0)),"")</f>
        <v/>
      </c>
      <c r="D417" s="58" t="str">
        <f ca="1">IFERROR(IF(INDEX(INDIRECT("'"&amp;$B$2&amp;"月"&amp;"'!A:AZ"),11,54+1)="","",INDEX(INDIRECT("'"&amp;$B$2&amp;"月"&amp;"'!A:AZ"),11,54+1)),"")</f>
        <v/>
      </c>
      <c r="E417" s="57" t="str">
        <f ca="1">IFERROR(IF(INDEX(INDIRECT("'"&amp;$B$2&amp;"月"&amp;"'!A:AZ"),11,54+2)="","",INDEX(INDIRECT("'"&amp;$B$2&amp;"月"&amp;"'!A:AZ"),11,54+2)),"")</f>
        <v/>
      </c>
      <c r="F417" s="59" t="str">
        <f ca="1">IFERROR(IF(INDEX(INDIRECT("'"&amp;$B$2&amp;"月"&amp;"'!A:AZ"),11,54+3)="","",INDEX(INDIRECT("'"&amp;$B$2&amp;"月"&amp;"'!A:AZ"),11,54+3)),"")</f>
        <v/>
      </c>
      <c r="G417" s="57" t="str">
        <f ca="1">IFERROR(IF(INDEX(INDIRECT("'"&amp;$B$2&amp;"月"&amp;"'!A:AZ"),11,54+4)="","",INDEX(INDIRECT("'"&amp;$B$2&amp;"月"&amp;"'!A:AZ"),11,54+4)),"")</f>
        <v/>
      </c>
      <c r="H417" s="57"/>
    </row>
    <row r="418" spans="1:8" ht="13.5" customHeight="1">
      <c r="A418" s="57">
        <f>IF(DAY(DATE(対象年度,$B$2,9))&lt;&gt;9,"",9)</f>
        <v>9</v>
      </c>
      <c r="B418" s="57" t="str">
        <f>IF(DAY(DATE(対象年度,$B$2,9))&lt;&gt;9,"",CHOOSE(WEEKDAY(DATE(対象年度,$B$2,9),2),"月","火","水","木","金","土","日"))</f>
        <v>金</v>
      </c>
      <c r="C418" s="57" t="str">
        <f ca="1">IFERROR(IF(INDEX(INDIRECT("'"&amp;$B$2&amp;"月"&amp;"'!A:AZ"),12,54+0)="","",INDEX(INDIRECT("'"&amp;$B$2&amp;"月"&amp;"'!A:AZ"),12,54+0)),"")</f>
        <v/>
      </c>
      <c r="D418" s="58" t="str">
        <f ca="1">IFERROR(IF(INDEX(INDIRECT("'"&amp;$B$2&amp;"月"&amp;"'!A:AZ"),12,54+1)="","",INDEX(INDIRECT("'"&amp;$B$2&amp;"月"&amp;"'!A:AZ"),12,54+1)),"")</f>
        <v/>
      </c>
      <c r="E418" s="57" t="str">
        <f ca="1">IFERROR(IF(INDEX(INDIRECT("'"&amp;$B$2&amp;"月"&amp;"'!A:AZ"),12,54+2)="","",INDEX(INDIRECT("'"&amp;$B$2&amp;"月"&amp;"'!A:AZ"),12,54+2)),"")</f>
        <v/>
      </c>
      <c r="F418" s="59" t="str">
        <f ca="1">IFERROR(IF(INDEX(INDIRECT("'"&amp;$B$2&amp;"月"&amp;"'!A:AZ"),12,54+3)="","",INDEX(INDIRECT("'"&amp;$B$2&amp;"月"&amp;"'!A:AZ"),12,54+3)),"")</f>
        <v/>
      </c>
      <c r="G418" s="57" t="str">
        <f ca="1">IFERROR(IF(INDEX(INDIRECT("'"&amp;$B$2&amp;"月"&amp;"'!A:AZ"),12,54+4)="","",INDEX(INDIRECT("'"&amp;$B$2&amp;"月"&amp;"'!A:AZ"),12,54+4)),"")</f>
        <v/>
      </c>
      <c r="H418" s="57"/>
    </row>
    <row r="419" spans="1:8" ht="13.5" customHeight="1">
      <c r="A419" s="57">
        <f>IF(DAY(DATE(対象年度,$B$2,10))&lt;&gt;10,"",10)</f>
        <v>10</v>
      </c>
      <c r="B419" s="57" t="str">
        <f>IF(DAY(DATE(対象年度,$B$2,10))&lt;&gt;10,"",CHOOSE(WEEKDAY(DATE(対象年度,$B$2,10),2),"月","火","水","木","金","土","日"))</f>
        <v>土</v>
      </c>
      <c r="C419" s="57" t="str">
        <f ca="1">IFERROR(IF(INDEX(INDIRECT("'"&amp;$B$2&amp;"月"&amp;"'!A:AZ"),13,54+0)="","",INDEX(INDIRECT("'"&amp;$B$2&amp;"月"&amp;"'!A:AZ"),13,54+0)),"")</f>
        <v/>
      </c>
      <c r="D419" s="58" t="str">
        <f ca="1">IFERROR(IF(INDEX(INDIRECT("'"&amp;$B$2&amp;"月"&amp;"'!A:AZ"),13,54+1)="","",INDEX(INDIRECT("'"&amp;$B$2&amp;"月"&amp;"'!A:AZ"),13,54+1)),"")</f>
        <v/>
      </c>
      <c r="E419" s="57" t="str">
        <f ca="1">IFERROR(IF(INDEX(INDIRECT("'"&amp;$B$2&amp;"月"&amp;"'!A:AZ"),13,54+2)="","",INDEX(INDIRECT("'"&amp;$B$2&amp;"月"&amp;"'!A:AZ"),13,54+2)),"")</f>
        <v/>
      </c>
      <c r="F419" s="59" t="str">
        <f ca="1">IFERROR(IF(INDEX(INDIRECT("'"&amp;$B$2&amp;"月"&amp;"'!A:AZ"),13,54+3)="","",INDEX(INDIRECT("'"&amp;$B$2&amp;"月"&amp;"'!A:AZ"),13,54+3)),"")</f>
        <v/>
      </c>
      <c r="G419" s="57" t="str">
        <f ca="1">IFERROR(IF(INDEX(INDIRECT("'"&amp;$B$2&amp;"月"&amp;"'!A:AZ"),13,54+4)="","",INDEX(INDIRECT("'"&amp;$B$2&amp;"月"&amp;"'!A:AZ"),13,54+4)),"")</f>
        <v/>
      </c>
      <c r="H419" s="57"/>
    </row>
    <row r="420" spans="1:8" ht="13.5" customHeight="1">
      <c r="A420" s="57">
        <f>IF(DAY(DATE(対象年度,$B$2,11))&lt;&gt;11,"",11)</f>
        <v>11</v>
      </c>
      <c r="B420" s="57" t="str">
        <f>IF(DAY(DATE(対象年度,$B$2,11))&lt;&gt;11,"",CHOOSE(WEEKDAY(DATE(対象年度,$B$2,11),2),"月","火","水","木","金","土","日"))</f>
        <v>日</v>
      </c>
      <c r="C420" s="57" t="str">
        <f ca="1">IFERROR(IF(INDEX(INDIRECT("'"&amp;$B$2&amp;"月"&amp;"'!A:AZ"),14,54+0)="","",INDEX(INDIRECT("'"&amp;$B$2&amp;"月"&amp;"'!A:AZ"),14,54+0)),"")</f>
        <v/>
      </c>
      <c r="D420" s="58" t="str">
        <f ca="1">IFERROR(IF(INDEX(INDIRECT("'"&amp;$B$2&amp;"月"&amp;"'!A:AZ"),14,54+1)="","",INDEX(INDIRECT("'"&amp;$B$2&amp;"月"&amp;"'!A:AZ"),14,54+1)),"")</f>
        <v/>
      </c>
      <c r="E420" s="57" t="str">
        <f ca="1">IFERROR(IF(INDEX(INDIRECT("'"&amp;$B$2&amp;"月"&amp;"'!A:AZ"),14,54+2)="","",INDEX(INDIRECT("'"&amp;$B$2&amp;"月"&amp;"'!A:AZ"),14,54+2)),"")</f>
        <v/>
      </c>
      <c r="F420" s="59" t="str">
        <f ca="1">IFERROR(IF(INDEX(INDIRECT("'"&amp;$B$2&amp;"月"&amp;"'!A:AZ"),14,54+3)="","",INDEX(INDIRECT("'"&amp;$B$2&amp;"月"&amp;"'!A:AZ"),14,54+3)),"")</f>
        <v/>
      </c>
      <c r="G420" s="57" t="str">
        <f ca="1">IFERROR(IF(INDEX(INDIRECT("'"&amp;$B$2&amp;"月"&amp;"'!A:AZ"),14,54+4)="","",INDEX(INDIRECT("'"&amp;$B$2&amp;"月"&amp;"'!A:AZ"),14,54+4)),"")</f>
        <v/>
      </c>
      <c r="H420" s="57"/>
    </row>
    <row r="421" spans="1:8" ht="13.5" customHeight="1">
      <c r="A421" s="57">
        <f>IF(DAY(DATE(対象年度,$B$2,12))&lt;&gt;12,"",12)</f>
        <v>12</v>
      </c>
      <c r="B421" s="57" t="str">
        <f>IF(DAY(DATE(対象年度,$B$2,12))&lt;&gt;12,"",CHOOSE(WEEKDAY(DATE(対象年度,$B$2,12),2),"月","火","水","木","金","土","日"))</f>
        <v>月</v>
      </c>
      <c r="C421" s="57" t="str">
        <f ca="1">IFERROR(IF(INDEX(INDIRECT("'"&amp;$B$2&amp;"月"&amp;"'!A:AZ"),15,54+0)="","",INDEX(INDIRECT("'"&amp;$B$2&amp;"月"&amp;"'!A:AZ"),15,54+0)),"")</f>
        <v/>
      </c>
      <c r="D421" s="58" t="str">
        <f ca="1">IFERROR(IF(INDEX(INDIRECT("'"&amp;$B$2&amp;"月"&amp;"'!A:AZ"),15,54+1)="","",INDEX(INDIRECT("'"&amp;$B$2&amp;"月"&amp;"'!A:AZ"),15,54+1)),"")</f>
        <v/>
      </c>
      <c r="E421" s="57" t="str">
        <f ca="1">IFERROR(IF(INDEX(INDIRECT("'"&amp;$B$2&amp;"月"&amp;"'!A:AZ"),15,54+2)="","",INDEX(INDIRECT("'"&amp;$B$2&amp;"月"&amp;"'!A:AZ"),15,54+2)),"")</f>
        <v/>
      </c>
      <c r="F421" s="59" t="str">
        <f ca="1">IFERROR(IF(INDEX(INDIRECT("'"&amp;$B$2&amp;"月"&amp;"'!A:AZ"),15,54+3)="","",INDEX(INDIRECT("'"&amp;$B$2&amp;"月"&amp;"'!A:AZ"),15,54+3)),"")</f>
        <v/>
      </c>
      <c r="G421" s="57" t="str">
        <f ca="1">IFERROR(IF(INDEX(INDIRECT("'"&amp;$B$2&amp;"月"&amp;"'!A:AZ"),15,54+4)="","",INDEX(INDIRECT("'"&amp;$B$2&amp;"月"&amp;"'!A:AZ"),15,54+4)),"")</f>
        <v/>
      </c>
      <c r="H421" s="57"/>
    </row>
    <row r="422" spans="1:8" ht="13.5" customHeight="1">
      <c r="A422" s="57">
        <f>IF(DAY(DATE(対象年度,$B$2,13))&lt;&gt;13,"",13)</f>
        <v>13</v>
      </c>
      <c r="B422" s="57" t="str">
        <f>IF(DAY(DATE(対象年度,$B$2,13))&lt;&gt;13,"",CHOOSE(WEEKDAY(DATE(対象年度,$B$2,13),2),"月","火","水","木","金","土","日"))</f>
        <v>火</v>
      </c>
      <c r="C422" s="57" t="str">
        <f ca="1">IFERROR(IF(INDEX(INDIRECT("'"&amp;$B$2&amp;"月"&amp;"'!A:AZ"),16,54+0)="","",INDEX(INDIRECT("'"&amp;$B$2&amp;"月"&amp;"'!A:AZ"),16,54+0)),"")</f>
        <v/>
      </c>
      <c r="D422" s="58" t="str">
        <f ca="1">IFERROR(IF(INDEX(INDIRECT("'"&amp;$B$2&amp;"月"&amp;"'!A:AZ"),16,54+1)="","",INDEX(INDIRECT("'"&amp;$B$2&amp;"月"&amp;"'!A:AZ"),16,54+1)),"")</f>
        <v/>
      </c>
      <c r="E422" s="57" t="str">
        <f ca="1">IFERROR(IF(INDEX(INDIRECT("'"&amp;$B$2&amp;"月"&amp;"'!A:AZ"),16,54+2)="","",INDEX(INDIRECT("'"&amp;$B$2&amp;"月"&amp;"'!A:AZ"),16,54+2)),"")</f>
        <v/>
      </c>
      <c r="F422" s="59" t="str">
        <f ca="1">IFERROR(IF(INDEX(INDIRECT("'"&amp;$B$2&amp;"月"&amp;"'!A:AZ"),16,54+3)="","",INDEX(INDIRECT("'"&amp;$B$2&amp;"月"&amp;"'!A:AZ"),16,54+3)),"")</f>
        <v/>
      </c>
      <c r="G422" s="57" t="str">
        <f ca="1">IFERROR(IF(INDEX(INDIRECT("'"&amp;$B$2&amp;"月"&amp;"'!A:AZ"),16,54+4)="","",INDEX(INDIRECT("'"&amp;$B$2&amp;"月"&amp;"'!A:AZ"),16,54+4)),"")</f>
        <v/>
      </c>
      <c r="H422" s="57"/>
    </row>
    <row r="423" spans="1:8" ht="13.5" customHeight="1">
      <c r="A423" s="57">
        <f>IF(DAY(DATE(対象年度,$B$2,14))&lt;&gt;14,"",14)</f>
        <v>14</v>
      </c>
      <c r="B423" s="57" t="str">
        <f>IF(DAY(DATE(対象年度,$B$2,14))&lt;&gt;14,"",CHOOSE(WEEKDAY(DATE(対象年度,$B$2,14),2),"月","火","水","木","金","土","日"))</f>
        <v>水</v>
      </c>
      <c r="C423" s="57" t="str">
        <f ca="1">IFERROR(IF(INDEX(INDIRECT("'"&amp;$B$2&amp;"月"&amp;"'!A:AZ"),17,54+0)="","",INDEX(INDIRECT("'"&amp;$B$2&amp;"月"&amp;"'!A:AZ"),17,54+0)),"")</f>
        <v/>
      </c>
      <c r="D423" s="58" t="str">
        <f ca="1">IFERROR(IF(INDEX(INDIRECT("'"&amp;$B$2&amp;"月"&amp;"'!A:AZ"),17,54+1)="","",INDEX(INDIRECT("'"&amp;$B$2&amp;"月"&amp;"'!A:AZ"),17,54+1)),"")</f>
        <v/>
      </c>
      <c r="E423" s="57" t="str">
        <f ca="1">IFERROR(IF(INDEX(INDIRECT("'"&amp;$B$2&amp;"月"&amp;"'!A:AZ"),17,54+2)="","",INDEX(INDIRECT("'"&amp;$B$2&amp;"月"&amp;"'!A:AZ"),17,54+2)),"")</f>
        <v/>
      </c>
      <c r="F423" s="59" t="str">
        <f ca="1">IFERROR(IF(INDEX(INDIRECT("'"&amp;$B$2&amp;"月"&amp;"'!A:AZ"),17,54+3)="","",INDEX(INDIRECT("'"&amp;$B$2&amp;"月"&amp;"'!A:AZ"),17,54+3)),"")</f>
        <v/>
      </c>
      <c r="G423" s="57" t="str">
        <f ca="1">IFERROR(IF(INDEX(INDIRECT("'"&amp;$B$2&amp;"月"&amp;"'!A:AZ"),17,54+4)="","",INDEX(INDIRECT("'"&amp;$B$2&amp;"月"&amp;"'!A:AZ"),17,54+4)),"")</f>
        <v/>
      </c>
      <c r="H423" s="57"/>
    </row>
    <row r="424" spans="1:8" ht="13.5" customHeight="1">
      <c r="A424" s="57">
        <f>IF(DAY(DATE(対象年度,$B$2,15))&lt;&gt;15,"",15)</f>
        <v>15</v>
      </c>
      <c r="B424" s="57" t="str">
        <f>IF(DAY(DATE(対象年度,$B$2,15))&lt;&gt;15,"",CHOOSE(WEEKDAY(DATE(対象年度,$B$2,15),2),"月","火","水","木","金","土","日"))</f>
        <v>木</v>
      </c>
      <c r="C424" s="57" t="str">
        <f ca="1">IFERROR(IF(INDEX(INDIRECT("'"&amp;$B$2&amp;"月"&amp;"'!A:AZ"),18,54+0)="","",INDEX(INDIRECT("'"&amp;$B$2&amp;"月"&amp;"'!A:AZ"),18,54+0)),"")</f>
        <v/>
      </c>
      <c r="D424" s="58" t="str">
        <f ca="1">IFERROR(IF(INDEX(INDIRECT("'"&amp;$B$2&amp;"月"&amp;"'!A:AZ"),18,54+1)="","",INDEX(INDIRECT("'"&amp;$B$2&amp;"月"&amp;"'!A:AZ"),18,54+1)),"")</f>
        <v/>
      </c>
      <c r="E424" s="57" t="str">
        <f ca="1">IFERROR(IF(INDEX(INDIRECT("'"&amp;$B$2&amp;"月"&amp;"'!A:AZ"),18,54+2)="","",INDEX(INDIRECT("'"&amp;$B$2&amp;"月"&amp;"'!A:AZ"),18,54+2)),"")</f>
        <v/>
      </c>
      <c r="F424" s="59" t="str">
        <f ca="1">IFERROR(IF(INDEX(INDIRECT("'"&amp;$B$2&amp;"月"&amp;"'!A:AZ"),18,54+3)="","",INDEX(INDIRECT("'"&amp;$B$2&amp;"月"&amp;"'!A:AZ"),18,54+3)),"")</f>
        <v/>
      </c>
      <c r="G424" s="57" t="str">
        <f ca="1">IFERROR(IF(INDEX(INDIRECT("'"&amp;$B$2&amp;"月"&amp;"'!A:AZ"),18,54+4)="","",INDEX(INDIRECT("'"&amp;$B$2&amp;"月"&amp;"'!A:AZ"),18,54+4)),"")</f>
        <v/>
      </c>
      <c r="H424" s="57"/>
    </row>
    <row r="425" spans="1:8" ht="13.5" customHeight="1">
      <c r="A425" s="57">
        <f>IF(DAY(DATE(対象年度,$B$2,16))&lt;&gt;16,"",16)</f>
        <v>16</v>
      </c>
      <c r="B425" s="57" t="str">
        <f>IF(DAY(DATE(対象年度,$B$2,16))&lt;&gt;16,"",CHOOSE(WEEKDAY(DATE(対象年度,$B$2,16),2),"月","火","水","木","金","土","日"))</f>
        <v>金</v>
      </c>
      <c r="C425" s="57" t="str">
        <f ca="1">IFERROR(IF(INDEX(INDIRECT("'"&amp;$B$2&amp;"月"&amp;"'!A:AZ"),19,54+0)="","",INDEX(INDIRECT("'"&amp;$B$2&amp;"月"&amp;"'!A:AZ"),19,54+0)),"")</f>
        <v/>
      </c>
      <c r="D425" s="58" t="str">
        <f ca="1">IFERROR(IF(INDEX(INDIRECT("'"&amp;$B$2&amp;"月"&amp;"'!A:AZ"),19,54+1)="","",INDEX(INDIRECT("'"&amp;$B$2&amp;"月"&amp;"'!A:AZ"),19,54+1)),"")</f>
        <v/>
      </c>
      <c r="E425" s="57" t="str">
        <f ca="1">IFERROR(IF(INDEX(INDIRECT("'"&amp;$B$2&amp;"月"&amp;"'!A:AZ"),19,54+2)="","",INDEX(INDIRECT("'"&amp;$B$2&amp;"月"&amp;"'!A:AZ"),19,54+2)),"")</f>
        <v/>
      </c>
      <c r="F425" s="59" t="str">
        <f ca="1">IFERROR(IF(INDEX(INDIRECT("'"&amp;$B$2&amp;"月"&amp;"'!A:AZ"),19,54+3)="","",INDEX(INDIRECT("'"&amp;$B$2&amp;"月"&amp;"'!A:AZ"),19,54+3)),"")</f>
        <v/>
      </c>
      <c r="G425" s="57" t="str">
        <f ca="1">IFERROR(IF(INDEX(INDIRECT("'"&amp;$B$2&amp;"月"&amp;"'!A:AZ"),19,54+4)="","",INDEX(INDIRECT("'"&amp;$B$2&amp;"月"&amp;"'!A:AZ"),19,54+4)),"")</f>
        <v/>
      </c>
      <c r="H425" s="57"/>
    </row>
    <row r="426" spans="1:8" ht="13.5" customHeight="1">
      <c r="A426" s="57">
        <f>IF(DAY(DATE(対象年度,$B$2,17))&lt;&gt;17,"",17)</f>
        <v>17</v>
      </c>
      <c r="B426" s="57" t="str">
        <f>IF(DAY(DATE(対象年度,$B$2,17))&lt;&gt;17,"",CHOOSE(WEEKDAY(DATE(対象年度,$B$2,17),2),"月","火","水","木","金","土","日"))</f>
        <v>土</v>
      </c>
      <c r="C426" s="57" t="str">
        <f ca="1">IFERROR(IF(INDEX(INDIRECT("'"&amp;$B$2&amp;"月"&amp;"'!A:AZ"),20,54+0)="","",INDEX(INDIRECT("'"&amp;$B$2&amp;"月"&amp;"'!A:AZ"),20,54+0)),"")</f>
        <v/>
      </c>
      <c r="D426" s="58" t="str">
        <f ca="1">IFERROR(IF(INDEX(INDIRECT("'"&amp;$B$2&amp;"月"&amp;"'!A:AZ"),20,54+1)="","",INDEX(INDIRECT("'"&amp;$B$2&amp;"月"&amp;"'!A:AZ"),20,54+1)),"")</f>
        <v/>
      </c>
      <c r="E426" s="57" t="str">
        <f ca="1">IFERROR(IF(INDEX(INDIRECT("'"&amp;$B$2&amp;"月"&amp;"'!A:AZ"),20,54+2)="","",INDEX(INDIRECT("'"&amp;$B$2&amp;"月"&amp;"'!A:AZ"),20,54+2)),"")</f>
        <v/>
      </c>
      <c r="F426" s="59" t="str">
        <f ca="1">IFERROR(IF(INDEX(INDIRECT("'"&amp;$B$2&amp;"月"&amp;"'!A:AZ"),20,54+3)="","",INDEX(INDIRECT("'"&amp;$B$2&amp;"月"&amp;"'!A:AZ"),20,54+3)),"")</f>
        <v/>
      </c>
      <c r="G426" s="57" t="str">
        <f ca="1">IFERROR(IF(INDEX(INDIRECT("'"&amp;$B$2&amp;"月"&amp;"'!A:AZ"),20,54+4)="","",INDEX(INDIRECT("'"&amp;$B$2&amp;"月"&amp;"'!A:AZ"),20,54+4)),"")</f>
        <v/>
      </c>
      <c r="H426" s="57"/>
    </row>
    <row r="427" spans="1:8" ht="13.5" customHeight="1">
      <c r="A427" s="57">
        <f>IF(DAY(DATE(対象年度,$B$2,18))&lt;&gt;18,"",18)</f>
        <v>18</v>
      </c>
      <c r="B427" s="57" t="str">
        <f>IF(DAY(DATE(対象年度,$B$2,18))&lt;&gt;18,"",CHOOSE(WEEKDAY(DATE(対象年度,$B$2,18),2),"月","火","水","木","金","土","日"))</f>
        <v>日</v>
      </c>
      <c r="C427" s="57" t="str">
        <f ca="1">IFERROR(IF(INDEX(INDIRECT("'"&amp;$B$2&amp;"月"&amp;"'!A:AZ"),21,54+0)="","",INDEX(INDIRECT("'"&amp;$B$2&amp;"月"&amp;"'!A:AZ"),21,54+0)),"")</f>
        <v/>
      </c>
      <c r="D427" s="58" t="str">
        <f ca="1">IFERROR(IF(INDEX(INDIRECT("'"&amp;$B$2&amp;"月"&amp;"'!A:AZ"),21,54+1)="","",INDEX(INDIRECT("'"&amp;$B$2&amp;"月"&amp;"'!A:AZ"),21,54+1)),"")</f>
        <v/>
      </c>
      <c r="E427" s="57" t="str">
        <f ca="1">IFERROR(IF(INDEX(INDIRECT("'"&amp;$B$2&amp;"月"&amp;"'!A:AZ"),21,54+2)="","",INDEX(INDIRECT("'"&amp;$B$2&amp;"月"&amp;"'!A:AZ"),21,54+2)),"")</f>
        <v/>
      </c>
      <c r="F427" s="59" t="str">
        <f ca="1">IFERROR(IF(INDEX(INDIRECT("'"&amp;$B$2&amp;"月"&amp;"'!A:AZ"),21,54+3)="","",INDEX(INDIRECT("'"&amp;$B$2&amp;"月"&amp;"'!A:AZ"),21,54+3)),"")</f>
        <v/>
      </c>
      <c r="G427" s="57" t="str">
        <f ca="1">IFERROR(IF(INDEX(INDIRECT("'"&amp;$B$2&amp;"月"&amp;"'!A:AZ"),21,54+4)="","",INDEX(INDIRECT("'"&amp;$B$2&amp;"月"&amp;"'!A:AZ"),21,54+4)),"")</f>
        <v/>
      </c>
      <c r="H427" s="57"/>
    </row>
    <row r="428" spans="1:8" ht="13.5" customHeight="1">
      <c r="A428" s="57">
        <f>IF(DAY(DATE(対象年度,$B$2,19))&lt;&gt;19,"",19)</f>
        <v>19</v>
      </c>
      <c r="B428" s="57" t="str">
        <f>IF(DAY(DATE(対象年度,$B$2,19))&lt;&gt;19,"",CHOOSE(WEEKDAY(DATE(対象年度,$B$2,19),2),"月","火","水","木","金","土","日"))</f>
        <v>月</v>
      </c>
      <c r="C428" s="57" t="str">
        <f ca="1">IFERROR(IF(INDEX(INDIRECT("'"&amp;$B$2&amp;"月"&amp;"'!A:AZ"),22,54+0)="","",INDEX(INDIRECT("'"&amp;$B$2&amp;"月"&amp;"'!A:AZ"),22,54+0)),"")</f>
        <v/>
      </c>
      <c r="D428" s="58" t="str">
        <f ca="1">IFERROR(IF(INDEX(INDIRECT("'"&amp;$B$2&amp;"月"&amp;"'!A:AZ"),22,54+1)="","",INDEX(INDIRECT("'"&amp;$B$2&amp;"月"&amp;"'!A:AZ"),22,54+1)),"")</f>
        <v/>
      </c>
      <c r="E428" s="57" t="str">
        <f ca="1">IFERROR(IF(INDEX(INDIRECT("'"&amp;$B$2&amp;"月"&amp;"'!A:AZ"),22,54+2)="","",INDEX(INDIRECT("'"&amp;$B$2&amp;"月"&amp;"'!A:AZ"),22,54+2)),"")</f>
        <v/>
      </c>
      <c r="F428" s="59" t="str">
        <f ca="1">IFERROR(IF(INDEX(INDIRECT("'"&amp;$B$2&amp;"月"&amp;"'!A:AZ"),22,54+3)="","",INDEX(INDIRECT("'"&amp;$B$2&amp;"月"&amp;"'!A:AZ"),22,54+3)),"")</f>
        <v/>
      </c>
      <c r="G428" s="57" t="str">
        <f ca="1">IFERROR(IF(INDEX(INDIRECT("'"&amp;$B$2&amp;"月"&amp;"'!A:AZ"),22,54+4)="","",INDEX(INDIRECT("'"&amp;$B$2&amp;"月"&amp;"'!A:AZ"),22,54+4)),"")</f>
        <v/>
      </c>
      <c r="H428" s="57"/>
    </row>
    <row r="429" spans="1:8" ht="13.5" customHeight="1">
      <c r="A429" s="57">
        <f>IF(DAY(DATE(対象年度,$B$2,20))&lt;&gt;20,"",20)</f>
        <v>20</v>
      </c>
      <c r="B429" s="57" t="str">
        <f>IF(DAY(DATE(対象年度,$B$2,20))&lt;&gt;20,"",CHOOSE(WEEKDAY(DATE(対象年度,$B$2,20),2),"月","火","水","木","金","土","日"))</f>
        <v>火</v>
      </c>
      <c r="C429" s="57" t="str">
        <f ca="1">IFERROR(IF(INDEX(INDIRECT("'"&amp;$B$2&amp;"月"&amp;"'!A:AZ"),23,54+0)="","",INDEX(INDIRECT("'"&amp;$B$2&amp;"月"&amp;"'!A:AZ"),23,54+0)),"")</f>
        <v/>
      </c>
      <c r="D429" s="58" t="str">
        <f ca="1">IFERROR(IF(INDEX(INDIRECT("'"&amp;$B$2&amp;"月"&amp;"'!A:AZ"),23,54+1)="","",INDEX(INDIRECT("'"&amp;$B$2&amp;"月"&amp;"'!A:AZ"),23,54+1)),"")</f>
        <v/>
      </c>
      <c r="E429" s="57" t="str">
        <f ca="1">IFERROR(IF(INDEX(INDIRECT("'"&amp;$B$2&amp;"月"&amp;"'!A:AZ"),23,54+2)="","",INDEX(INDIRECT("'"&amp;$B$2&amp;"月"&amp;"'!A:AZ"),23,54+2)),"")</f>
        <v/>
      </c>
      <c r="F429" s="59" t="str">
        <f ca="1">IFERROR(IF(INDEX(INDIRECT("'"&amp;$B$2&amp;"月"&amp;"'!A:AZ"),23,54+3)="","",INDEX(INDIRECT("'"&amp;$B$2&amp;"月"&amp;"'!A:AZ"),23,54+3)),"")</f>
        <v/>
      </c>
      <c r="G429" s="57" t="str">
        <f ca="1">IFERROR(IF(INDEX(INDIRECT("'"&amp;$B$2&amp;"月"&amp;"'!A:AZ"),23,54+4)="","",INDEX(INDIRECT("'"&amp;$B$2&amp;"月"&amp;"'!A:AZ"),23,54+4)),"")</f>
        <v/>
      </c>
      <c r="H429" s="57"/>
    </row>
    <row r="430" spans="1:8" ht="13.5" customHeight="1">
      <c r="A430" s="57">
        <f>IF(DAY(DATE(対象年度,$B$2,21))&lt;&gt;21,"",21)</f>
        <v>21</v>
      </c>
      <c r="B430" s="57" t="str">
        <f>IF(DAY(DATE(対象年度,$B$2,21))&lt;&gt;21,"",CHOOSE(WEEKDAY(DATE(対象年度,$B$2,21),2),"月","火","水","木","金","土","日"))</f>
        <v>水</v>
      </c>
      <c r="C430" s="57" t="str">
        <f ca="1">IFERROR(IF(INDEX(INDIRECT("'"&amp;$B$2&amp;"月"&amp;"'!A:AZ"),24,54+0)="","",INDEX(INDIRECT("'"&amp;$B$2&amp;"月"&amp;"'!A:AZ"),24,54+0)),"")</f>
        <v/>
      </c>
      <c r="D430" s="58" t="str">
        <f ca="1">IFERROR(IF(INDEX(INDIRECT("'"&amp;$B$2&amp;"月"&amp;"'!A:AZ"),24,54+1)="","",INDEX(INDIRECT("'"&amp;$B$2&amp;"月"&amp;"'!A:AZ"),24,54+1)),"")</f>
        <v/>
      </c>
      <c r="E430" s="57" t="str">
        <f ca="1">IFERROR(IF(INDEX(INDIRECT("'"&amp;$B$2&amp;"月"&amp;"'!A:AZ"),24,54+2)="","",INDEX(INDIRECT("'"&amp;$B$2&amp;"月"&amp;"'!A:AZ"),24,54+2)),"")</f>
        <v/>
      </c>
      <c r="F430" s="59" t="str">
        <f ca="1">IFERROR(IF(INDEX(INDIRECT("'"&amp;$B$2&amp;"月"&amp;"'!A:AZ"),24,54+3)="","",INDEX(INDIRECT("'"&amp;$B$2&amp;"月"&amp;"'!A:AZ"),24,54+3)),"")</f>
        <v/>
      </c>
      <c r="G430" s="57" t="str">
        <f ca="1">IFERROR(IF(INDEX(INDIRECT("'"&amp;$B$2&amp;"月"&amp;"'!A:AZ"),24,54+4)="","",INDEX(INDIRECT("'"&amp;$B$2&amp;"月"&amp;"'!A:AZ"),24,54+4)),"")</f>
        <v/>
      </c>
      <c r="H430" s="57"/>
    </row>
    <row r="431" spans="1:8" ht="13.5" customHeight="1">
      <c r="A431" s="57">
        <f>IF(DAY(DATE(対象年度,$B$2,22))&lt;&gt;22,"",22)</f>
        <v>22</v>
      </c>
      <c r="B431" s="57" t="str">
        <f>IF(DAY(DATE(対象年度,$B$2,22))&lt;&gt;22,"",CHOOSE(WEEKDAY(DATE(対象年度,$B$2,22),2),"月","火","水","木","金","土","日"))</f>
        <v>木</v>
      </c>
      <c r="C431" s="57" t="str">
        <f ca="1">IFERROR(IF(INDEX(INDIRECT("'"&amp;$B$2&amp;"月"&amp;"'!A:AZ"),25,54+0)="","",INDEX(INDIRECT("'"&amp;$B$2&amp;"月"&amp;"'!A:AZ"),25,54+0)),"")</f>
        <v/>
      </c>
      <c r="D431" s="58" t="str">
        <f ca="1">IFERROR(IF(INDEX(INDIRECT("'"&amp;$B$2&amp;"月"&amp;"'!A:AZ"),25,54+1)="","",INDEX(INDIRECT("'"&amp;$B$2&amp;"月"&amp;"'!A:AZ"),25,54+1)),"")</f>
        <v/>
      </c>
      <c r="E431" s="57" t="str">
        <f ca="1">IFERROR(IF(INDEX(INDIRECT("'"&amp;$B$2&amp;"月"&amp;"'!A:AZ"),25,54+2)="","",INDEX(INDIRECT("'"&amp;$B$2&amp;"月"&amp;"'!A:AZ"),25,54+2)),"")</f>
        <v/>
      </c>
      <c r="F431" s="59" t="str">
        <f ca="1">IFERROR(IF(INDEX(INDIRECT("'"&amp;$B$2&amp;"月"&amp;"'!A:AZ"),25,54+3)="","",INDEX(INDIRECT("'"&amp;$B$2&amp;"月"&amp;"'!A:AZ"),25,54+3)),"")</f>
        <v/>
      </c>
      <c r="G431" s="57" t="str">
        <f ca="1">IFERROR(IF(INDEX(INDIRECT("'"&amp;$B$2&amp;"月"&amp;"'!A:AZ"),25,54+4)="","",INDEX(INDIRECT("'"&amp;$B$2&amp;"月"&amp;"'!A:AZ"),25,54+4)),"")</f>
        <v/>
      </c>
      <c r="H431" s="57"/>
    </row>
    <row r="432" spans="1:8" ht="13.5" customHeight="1">
      <c r="A432" s="57">
        <f>IF(DAY(DATE(対象年度,$B$2,23))&lt;&gt;23,"",23)</f>
        <v>23</v>
      </c>
      <c r="B432" s="57" t="str">
        <f>IF(DAY(DATE(対象年度,$B$2,23))&lt;&gt;23,"",CHOOSE(WEEKDAY(DATE(対象年度,$B$2,23),2),"月","火","水","木","金","土","日"))</f>
        <v>金</v>
      </c>
      <c r="C432" s="57" t="str">
        <f ca="1">IFERROR(IF(INDEX(INDIRECT("'"&amp;$B$2&amp;"月"&amp;"'!A:AZ"),26,54+0)="","",INDEX(INDIRECT("'"&amp;$B$2&amp;"月"&amp;"'!A:AZ"),26,54+0)),"")</f>
        <v/>
      </c>
      <c r="D432" s="58" t="str">
        <f ca="1">IFERROR(IF(INDEX(INDIRECT("'"&amp;$B$2&amp;"月"&amp;"'!A:AZ"),26,54+1)="","",INDEX(INDIRECT("'"&amp;$B$2&amp;"月"&amp;"'!A:AZ"),26,54+1)),"")</f>
        <v/>
      </c>
      <c r="E432" s="57" t="str">
        <f ca="1">IFERROR(IF(INDEX(INDIRECT("'"&amp;$B$2&amp;"月"&amp;"'!A:AZ"),26,54+2)="","",INDEX(INDIRECT("'"&amp;$B$2&amp;"月"&amp;"'!A:AZ"),26,54+2)),"")</f>
        <v/>
      </c>
      <c r="F432" s="59" t="str">
        <f ca="1">IFERROR(IF(INDEX(INDIRECT("'"&amp;$B$2&amp;"月"&amp;"'!A:AZ"),26,54+3)="","",INDEX(INDIRECT("'"&amp;$B$2&amp;"月"&amp;"'!A:AZ"),26,54+3)),"")</f>
        <v/>
      </c>
      <c r="G432" s="57" t="str">
        <f ca="1">IFERROR(IF(INDEX(INDIRECT("'"&amp;$B$2&amp;"月"&amp;"'!A:AZ"),26,54+4)="","",INDEX(INDIRECT("'"&amp;$B$2&amp;"月"&amp;"'!A:AZ"),26,54+4)),"")</f>
        <v/>
      </c>
      <c r="H432" s="57"/>
    </row>
    <row r="433" spans="1:8" ht="13.5" customHeight="1">
      <c r="A433" s="57">
        <f>IF(DAY(DATE(対象年度,$B$2,24))&lt;&gt;24,"",24)</f>
        <v>24</v>
      </c>
      <c r="B433" s="57" t="str">
        <f>IF(DAY(DATE(対象年度,$B$2,24))&lt;&gt;24,"",CHOOSE(WEEKDAY(DATE(対象年度,$B$2,24),2),"月","火","水","木","金","土","日"))</f>
        <v>土</v>
      </c>
      <c r="C433" s="57" t="str">
        <f ca="1">IFERROR(IF(INDEX(INDIRECT("'"&amp;$B$2&amp;"月"&amp;"'!A:AZ"),27,54+0)="","",INDEX(INDIRECT("'"&amp;$B$2&amp;"月"&amp;"'!A:AZ"),27,54+0)),"")</f>
        <v/>
      </c>
      <c r="D433" s="58" t="str">
        <f ca="1">IFERROR(IF(INDEX(INDIRECT("'"&amp;$B$2&amp;"月"&amp;"'!A:AZ"),27,54+1)="","",INDEX(INDIRECT("'"&amp;$B$2&amp;"月"&amp;"'!A:AZ"),27,54+1)),"")</f>
        <v/>
      </c>
      <c r="E433" s="57" t="str">
        <f ca="1">IFERROR(IF(INDEX(INDIRECT("'"&amp;$B$2&amp;"月"&amp;"'!A:AZ"),27,54+2)="","",INDEX(INDIRECT("'"&amp;$B$2&amp;"月"&amp;"'!A:AZ"),27,54+2)),"")</f>
        <v/>
      </c>
      <c r="F433" s="59" t="str">
        <f ca="1">IFERROR(IF(INDEX(INDIRECT("'"&amp;$B$2&amp;"月"&amp;"'!A:AZ"),27,54+3)="","",INDEX(INDIRECT("'"&amp;$B$2&amp;"月"&amp;"'!A:AZ"),27,54+3)),"")</f>
        <v/>
      </c>
      <c r="G433" s="57" t="str">
        <f ca="1">IFERROR(IF(INDEX(INDIRECT("'"&amp;$B$2&amp;"月"&amp;"'!A:AZ"),27,54+4)="","",INDEX(INDIRECT("'"&amp;$B$2&amp;"月"&amp;"'!A:AZ"),27,54+4)),"")</f>
        <v/>
      </c>
      <c r="H433" s="57"/>
    </row>
    <row r="434" spans="1:8" ht="13.5" customHeight="1">
      <c r="A434" s="57">
        <f>IF(DAY(DATE(対象年度,$B$2,25))&lt;&gt;25,"",25)</f>
        <v>25</v>
      </c>
      <c r="B434" s="57" t="str">
        <f>IF(DAY(DATE(対象年度,$B$2,25))&lt;&gt;25,"",CHOOSE(WEEKDAY(DATE(対象年度,$B$2,25),2),"月","火","水","木","金","土","日"))</f>
        <v>日</v>
      </c>
      <c r="C434" s="57" t="str">
        <f ca="1">IFERROR(IF(INDEX(INDIRECT("'"&amp;$B$2&amp;"月"&amp;"'!A:AZ"),28,54+0)="","",INDEX(INDIRECT("'"&amp;$B$2&amp;"月"&amp;"'!A:AZ"),28,54+0)),"")</f>
        <v/>
      </c>
      <c r="D434" s="58" t="str">
        <f ca="1">IFERROR(IF(INDEX(INDIRECT("'"&amp;$B$2&amp;"月"&amp;"'!A:AZ"),28,54+1)="","",INDEX(INDIRECT("'"&amp;$B$2&amp;"月"&amp;"'!A:AZ"),28,54+1)),"")</f>
        <v/>
      </c>
      <c r="E434" s="57" t="str">
        <f ca="1">IFERROR(IF(INDEX(INDIRECT("'"&amp;$B$2&amp;"月"&amp;"'!A:AZ"),28,54+2)="","",INDEX(INDIRECT("'"&amp;$B$2&amp;"月"&amp;"'!A:AZ"),28,54+2)),"")</f>
        <v/>
      </c>
      <c r="F434" s="59" t="str">
        <f ca="1">IFERROR(IF(INDEX(INDIRECT("'"&amp;$B$2&amp;"月"&amp;"'!A:AZ"),28,54+3)="","",INDEX(INDIRECT("'"&amp;$B$2&amp;"月"&amp;"'!A:AZ"),28,54+3)),"")</f>
        <v/>
      </c>
      <c r="G434" s="57" t="str">
        <f ca="1">IFERROR(IF(INDEX(INDIRECT("'"&amp;$B$2&amp;"月"&amp;"'!A:AZ"),28,54+4)="","",INDEX(INDIRECT("'"&amp;$B$2&amp;"月"&amp;"'!A:AZ"),28,54+4)),"")</f>
        <v/>
      </c>
      <c r="H434" s="57"/>
    </row>
    <row r="435" spans="1:8" ht="13.5" customHeight="1">
      <c r="A435" s="57">
        <f>IF(DAY(DATE(対象年度,$B$2,26))&lt;&gt;26,"",26)</f>
        <v>26</v>
      </c>
      <c r="B435" s="57" t="str">
        <f>IF(DAY(DATE(対象年度,$B$2,26))&lt;&gt;26,"",CHOOSE(WEEKDAY(DATE(対象年度,$B$2,26),2),"月","火","水","木","金","土","日"))</f>
        <v>月</v>
      </c>
      <c r="C435" s="57" t="str">
        <f ca="1">IFERROR(IF(INDEX(INDIRECT("'"&amp;$B$2&amp;"月"&amp;"'!A:AZ"),29,54+0)="","",INDEX(INDIRECT("'"&amp;$B$2&amp;"月"&amp;"'!A:AZ"),29,54+0)),"")</f>
        <v/>
      </c>
      <c r="D435" s="58" t="str">
        <f ca="1">IFERROR(IF(INDEX(INDIRECT("'"&amp;$B$2&amp;"月"&amp;"'!A:AZ"),29,54+1)="","",INDEX(INDIRECT("'"&amp;$B$2&amp;"月"&amp;"'!A:AZ"),29,54+1)),"")</f>
        <v/>
      </c>
      <c r="E435" s="57" t="str">
        <f ca="1">IFERROR(IF(INDEX(INDIRECT("'"&amp;$B$2&amp;"月"&amp;"'!A:AZ"),29,54+2)="","",INDEX(INDIRECT("'"&amp;$B$2&amp;"月"&amp;"'!A:AZ"),29,54+2)),"")</f>
        <v/>
      </c>
      <c r="F435" s="59" t="str">
        <f ca="1">IFERROR(IF(INDEX(INDIRECT("'"&amp;$B$2&amp;"月"&amp;"'!A:AZ"),29,54+3)="","",INDEX(INDIRECT("'"&amp;$B$2&amp;"月"&amp;"'!A:AZ"),29,54+3)),"")</f>
        <v/>
      </c>
      <c r="G435" s="57" t="str">
        <f ca="1">IFERROR(IF(INDEX(INDIRECT("'"&amp;$B$2&amp;"月"&amp;"'!A:AZ"),29,54+4)="","",INDEX(INDIRECT("'"&amp;$B$2&amp;"月"&amp;"'!A:AZ"),29,54+4)),"")</f>
        <v/>
      </c>
      <c r="H435" s="57"/>
    </row>
    <row r="436" spans="1:8" ht="13.5" customHeight="1">
      <c r="A436" s="57">
        <f>IF(DAY(DATE(対象年度,$B$2,27))&lt;&gt;27,"",27)</f>
        <v>27</v>
      </c>
      <c r="B436" s="57" t="str">
        <f>IF(DAY(DATE(対象年度,$B$2,27))&lt;&gt;27,"",CHOOSE(WEEKDAY(DATE(対象年度,$B$2,27),2),"月","火","水","木","金","土","日"))</f>
        <v>火</v>
      </c>
      <c r="C436" s="57" t="str">
        <f ca="1">IFERROR(IF(INDEX(INDIRECT("'"&amp;$B$2&amp;"月"&amp;"'!A:AZ"),30,54+0)="","",INDEX(INDIRECT("'"&amp;$B$2&amp;"月"&amp;"'!A:AZ"),30,54+0)),"")</f>
        <v/>
      </c>
      <c r="D436" s="58" t="str">
        <f ca="1">IFERROR(IF(INDEX(INDIRECT("'"&amp;$B$2&amp;"月"&amp;"'!A:AZ"),30,54+1)="","",INDEX(INDIRECT("'"&amp;$B$2&amp;"月"&amp;"'!A:AZ"),30,54+1)),"")</f>
        <v/>
      </c>
      <c r="E436" s="57" t="str">
        <f ca="1">IFERROR(IF(INDEX(INDIRECT("'"&amp;$B$2&amp;"月"&amp;"'!A:AZ"),30,54+2)="","",INDEX(INDIRECT("'"&amp;$B$2&amp;"月"&amp;"'!A:AZ"),30,54+2)),"")</f>
        <v/>
      </c>
      <c r="F436" s="59" t="str">
        <f ca="1">IFERROR(IF(INDEX(INDIRECT("'"&amp;$B$2&amp;"月"&amp;"'!A:AZ"),30,54+3)="","",INDEX(INDIRECT("'"&amp;$B$2&amp;"月"&amp;"'!A:AZ"),30,54+3)),"")</f>
        <v/>
      </c>
      <c r="G436" s="57" t="str">
        <f ca="1">IFERROR(IF(INDEX(INDIRECT("'"&amp;$B$2&amp;"月"&amp;"'!A:AZ"),30,54+4)="","",INDEX(INDIRECT("'"&amp;$B$2&amp;"月"&amp;"'!A:AZ"),30,54+4)),"")</f>
        <v/>
      </c>
      <c r="H436" s="57"/>
    </row>
    <row r="437" spans="1:8" ht="13.5" customHeight="1">
      <c r="A437" s="57">
        <f>IF(DAY(DATE(対象年度,$B$2,28))&lt;&gt;28,"",28)</f>
        <v>28</v>
      </c>
      <c r="B437" s="57" t="str">
        <f>IF(DAY(DATE(対象年度,$B$2,28))&lt;&gt;28,"",CHOOSE(WEEKDAY(DATE(対象年度,$B$2,28),2),"月","火","水","木","金","土","日"))</f>
        <v>水</v>
      </c>
      <c r="C437" s="57" t="str">
        <f ca="1">IFERROR(IF(INDEX(INDIRECT("'"&amp;$B$2&amp;"月"&amp;"'!A:AZ"),31,54+0)="","",INDEX(INDIRECT("'"&amp;$B$2&amp;"月"&amp;"'!A:AZ"),31,54+0)),"")</f>
        <v/>
      </c>
      <c r="D437" s="58" t="str">
        <f ca="1">IFERROR(IF(INDEX(INDIRECT("'"&amp;$B$2&amp;"月"&amp;"'!A:AZ"),31,54+1)="","",INDEX(INDIRECT("'"&amp;$B$2&amp;"月"&amp;"'!A:AZ"),31,54+1)),"")</f>
        <v/>
      </c>
      <c r="E437" s="57" t="str">
        <f ca="1">IFERROR(IF(INDEX(INDIRECT("'"&amp;$B$2&amp;"月"&amp;"'!A:AZ"),31,54+2)="","",INDEX(INDIRECT("'"&amp;$B$2&amp;"月"&amp;"'!A:AZ"),31,54+2)),"")</f>
        <v/>
      </c>
      <c r="F437" s="59" t="str">
        <f ca="1">IFERROR(IF(INDEX(INDIRECT("'"&amp;$B$2&amp;"月"&amp;"'!A:AZ"),31,54+3)="","",INDEX(INDIRECT("'"&amp;$B$2&amp;"月"&amp;"'!A:AZ"),31,54+3)),"")</f>
        <v/>
      </c>
      <c r="G437" s="57" t="str">
        <f ca="1">IFERROR(IF(INDEX(INDIRECT("'"&amp;$B$2&amp;"月"&amp;"'!A:AZ"),31,54+4)="","",INDEX(INDIRECT("'"&amp;$B$2&amp;"月"&amp;"'!A:AZ"),31,54+4)),"")</f>
        <v/>
      </c>
      <c r="H437" s="57"/>
    </row>
    <row r="438" spans="1:8" ht="13.5" customHeight="1">
      <c r="A438" s="57">
        <f>IF(DAY(DATE(対象年度,$B$2,29))&lt;&gt;29,"",29)</f>
        <v>29</v>
      </c>
      <c r="B438" s="57" t="str">
        <f>IF(DAY(DATE(対象年度,$B$2,29))&lt;&gt;29,"",CHOOSE(WEEKDAY(DATE(対象年度,$B$2,29),2),"月","火","水","木","金","土","日"))</f>
        <v>木</v>
      </c>
      <c r="C438" s="57" t="str">
        <f ca="1">IFERROR(IF(INDEX(INDIRECT("'"&amp;$B$2&amp;"月"&amp;"'!A:AZ"),32,54+0)="","",INDEX(INDIRECT("'"&amp;$B$2&amp;"月"&amp;"'!A:AZ"),32,54+0)),"")</f>
        <v/>
      </c>
      <c r="D438" s="58" t="str">
        <f ca="1">IFERROR(IF(INDEX(INDIRECT("'"&amp;$B$2&amp;"月"&amp;"'!A:AZ"),32,54+1)="","",INDEX(INDIRECT("'"&amp;$B$2&amp;"月"&amp;"'!A:AZ"),32,54+1)),"")</f>
        <v/>
      </c>
      <c r="E438" s="57" t="str">
        <f ca="1">IFERROR(IF(INDEX(INDIRECT("'"&amp;$B$2&amp;"月"&amp;"'!A:AZ"),32,54+2)="","",INDEX(INDIRECT("'"&amp;$B$2&amp;"月"&amp;"'!A:AZ"),32,54+2)),"")</f>
        <v/>
      </c>
      <c r="F438" s="59" t="str">
        <f ca="1">IFERROR(IF(INDEX(INDIRECT("'"&amp;$B$2&amp;"月"&amp;"'!A:AZ"),32,54+3)="","",INDEX(INDIRECT("'"&amp;$B$2&amp;"月"&amp;"'!A:AZ"),32,54+3)),"")</f>
        <v/>
      </c>
      <c r="G438" s="57" t="str">
        <f ca="1">IFERROR(IF(INDEX(INDIRECT("'"&amp;$B$2&amp;"月"&amp;"'!A:AZ"),32,54+4)="","",INDEX(INDIRECT("'"&amp;$B$2&amp;"月"&amp;"'!A:AZ"),32,54+4)),"")</f>
        <v/>
      </c>
      <c r="H438" s="57"/>
    </row>
    <row r="439" spans="1:8" ht="13.5" customHeight="1">
      <c r="A439" s="57">
        <f>IF(DAY(DATE(対象年度,$B$2,30))&lt;&gt;30,"",30)</f>
        <v>30</v>
      </c>
      <c r="B439" s="57" t="str">
        <f>IF(DAY(DATE(対象年度,$B$2,30))&lt;&gt;30,"",CHOOSE(WEEKDAY(DATE(対象年度,$B$2,30),2),"月","火","水","木","金","土","日"))</f>
        <v>金</v>
      </c>
      <c r="C439" s="57" t="str">
        <f ca="1">IFERROR(IF(INDEX(INDIRECT("'"&amp;$B$2&amp;"月"&amp;"'!A:AZ"),33,54+0)="","",INDEX(INDIRECT("'"&amp;$B$2&amp;"月"&amp;"'!A:AZ"),33,54+0)),"")</f>
        <v/>
      </c>
      <c r="D439" s="58" t="str">
        <f ca="1">IFERROR(IF(INDEX(INDIRECT("'"&amp;$B$2&amp;"月"&amp;"'!A:AZ"),33,54+1)="","",INDEX(INDIRECT("'"&amp;$B$2&amp;"月"&amp;"'!A:AZ"),33,54+1)),"")</f>
        <v/>
      </c>
      <c r="E439" s="57" t="str">
        <f ca="1">IFERROR(IF(INDEX(INDIRECT("'"&amp;$B$2&amp;"月"&amp;"'!A:AZ"),33,54+2)="","",INDEX(INDIRECT("'"&amp;$B$2&amp;"月"&amp;"'!A:AZ"),33,54+2)),"")</f>
        <v/>
      </c>
      <c r="F439" s="59" t="str">
        <f ca="1">IFERROR(IF(INDEX(INDIRECT("'"&amp;$B$2&amp;"月"&amp;"'!A:AZ"),33,54+3)="","",INDEX(INDIRECT("'"&amp;$B$2&amp;"月"&amp;"'!A:AZ"),33,54+3)),"")</f>
        <v/>
      </c>
      <c r="G439" s="57" t="str">
        <f ca="1">IFERROR(IF(INDEX(INDIRECT("'"&amp;$B$2&amp;"月"&amp;"'!A:AZ"),33,54+4)="","",INDEX(INDIRECT("'"&amp;$B$2&amp;"月"&amp;"'!A:AZ"),33,54+4)),"")</f>
        <v/>
      </c>
      <c r="H439" s="57"/>
    </row>
    <row r="440" spans="1:8" ht="13.5" customHeight="1">
      <c r="A440" s="57">
        <f>IF(DAY(DATE(対象年度,$B$2,31))&lt;&gt;31,"",31)</f>
        <v>31</v>
      </c>
      <c r="B440" s="57" t="str">
        <f>IF(DAY(DATE(対象年度,$B$2,31))&lt;&gt;31,"",CHOOSE(WEEKDAY(DATE(対象年度,$B$2,31),2),"月","火","水","木","金","土","日"))</f>
        <v>土</v>
      </c>
      <c r="C440" s="57" t="str">
        <f ca="1">IFERROR(IF(INDEX(INDIRECT("'"&amp;$B$2&amp;"月"&amp;"'!A:AZ"),34,54+0)="","",INDEX(INDIRECT("'"&amp;$B$2&amp;"月"&amp;"'!A:AZ"),34,54+0)),"")</f>
        <v/>
      </c>
      <c r="D440" s="58" t="str">
        <f ca="1">IFERROR(IF(INDEX(INDIRECT("'"&amp;$B$2&amp;"月"&amp;"'!A:AZ"),34,54+1)="","",INDEX(INDIRECT("'"&amp;$B$2&amp;"月"&amp;"'!A:AZ"),34,54+1)),"")</f>
        <v/>
      </c>
      <c r="E440" s="57" t="str">
        <f ca="1">IFERROR(IF(INDEX(INDIRECT("'"&amp;$B$2&amp;"月"&amp;"'!A:AZ"),34,54+2)="","",INDEX(INDIRECT("'"&amp;$B$2&amp;"月"&amp;"'!A:AZ"),34,54+2)),"")</f>
        <v/>
      </c>
      <c r="F440" s="59" t="str">
        <f ca="1">IFERROR(IF(INDEX(INDIRECT("'"&amp;$B$2&amp;"月"&amp;"'!A:AZ"),34,54+3)="","",INDEX(INDIRECT("'"&amp;$B$2&amp;"月"&amp;"'!A:AZ"),34,54+3)),"")</f>
        <v/>
      </c>
      <c r="G440" s="57" t="str">
        <f ca="1">IFERROR(IF(INDEX(INDIRECT("'"&amp;$B$2&amp;"月"&amp;"'!A:AZ"),34,54+4)="","",INDEX(INDIRECT("'"&amp;$B$2&amp;"月"&amp;"'!A:AZ"),34,54+4)),"")</f>
        <v/>
      </c>
      <c r="H440" s="57"/>
    </row>
    <row r="441" spans="1:8" ht="21.75" customHeight="1">
      <c r="A441" s="112" t="s">
        <v>87</v>
      </c>
      <c r="B441" s="112"/>
      <c r="C441" s="61" t="s">
        <v>71</v>
      </c>
      <c r="D441" s="62">
        <f ca="1">IFERROR(INDEX(INDIRECT("'"&amp;$B$2&amp;"月"&amp;"'!A:AZ"),35,54),0)</f>
        <v>0</v>
      </c>
      <c r="E441" s="63" t="s">
        <v>72</v>
      </c>
      <c r="F441" s="64">
        <f ca="1">IFERROR(INDEX(INDIRECT("'"&amp;$B$2&amp;"月"&amp;"'!A:AZ"),36,54),0)</f>
        <v>0</v>
      </c>
      <c r="G441" s="61" t="s">
        <v>73</v>
      </c>
      <c r="H441" s="62">
        <f ca="1">IFERROR(INDEX(INDIRECT("'"&amp;$B$2&amp;"月"&amp;"'!A:AZ"),38,54),0)</f>
        <v>0</v>
      </c>
    </row>
    <row r="442" spans="1:8" ht="24" customHeight="1">
      <c r="A442" s="113"/>
      <c r="B442" s="113"/>
      <c r="C442" s="65" t="s">
        <v>76</v>
      </c>
      <c r="D442" s="66">
        <f ca="1">IFERROR(INDEX(INDIRECT("'"&amp;$B$2&amp;"月"&amp;"'!A:AZ"),37,54),0)</f>
        <v>0</v>
      </c>
      <c r="E442" s="67" t="s">
        <v>64</v>
      </c>
      <c r="F442" s="68">
        <f ca="1">IFERROR(INDEX(INDIRECT("'"&amp;$B$2&amp;"月"&amp;"'!A:AZ"),39,54),0)</f>
        <v>0</v>
      </c>
      <c r="G442" s="69" t="s">
        <v>65</v>
      </c>
      <c r="H442" s="70">
        <f ca="1">IFERROR(INDEX(INDIRECT("'"&amp;$B$2&amp;"月"&amp;"'!A:AZ"),40,54),0)</f>
        <v>0</v>
      </c>
    </row>
    <row r="444" spans="1:8" ht="27.75" customHeight="1">
      <c r="A444" s="105" t="s">
        <v>78</v>
      </c>
      <c r="B444" s="105"/>
      <c r="C444" s="105"/>
      <c r="D444" s="105"/>
      <c r="E444" s="105"/>
      <c r="F444" s="105"/>
      <c r="G444" s="105"/>
      <c r="H444" s="105"/>
    </row>
    <row r="445" spans="1:8" ht="18" customHeight="1">
      <c r="A445" s="114" t="s">
        <v>17</v>
      </c>
      <c r="B445" s="114"/>
      <c r="C445" s="114"/>
      <c r="D445" s="114"/>
      <c r="E445" s="114"/>
      <c r="F445" s="114"/>
      <c r="G445" s="114"/>
      <c r="H445" s="114"/>
    </row>
    <row r="446" spans="1:8" ht="27.75" customHeight="1">
      <c r="A446" s="49" t="s">
        <v>79</v>
      </c>
      <c r="B446" s="115" t="str">
        <f>対象年度&amp;"年 "&amp;$B$2&amp;"月"</f>
        <v>2026年 1月</v>
      </c>
      <c r="C446" s="115"/>
      <c r="D446" s="49" t="s">
        <v>80</v>
      </c>
      <c r="E446" s="116">
        <f>IFERROR(従業員マスタ!$C$15,"")</f>
        <v>0</v>
      </c>
      <c r="F446" s="116"/>
      <c r="G446" s="116"/>
      <c r="H446" s="116"/>
    </row>
    <row r="447" spans="1:8" ht="19.5" customHeight="1">
      <c r="A447" s="73" t="s">
        <v>90</v>
      </c>
      <c r="B447" s="53" t="s">
        <v>91</v>
      </c>
      <c r="C447" s="120" t="s">
        <v>84</v>
      </c>
      <c r="D447" s="120"/>
      <c r="E447" s="120" t="s">
        <v>85</v>
      </c>
      <c r="F447" s="120"/>
      <c r="G447" s="117" t="s">
        <v>86</v>
      </c>
      <c r="H447" s="117"/>
    </row>
    <row r="448" spans="1:8" ht="43.5" customHeight="1">
      <c r="A448" s="74"/>
      <c r="B448" s="54"/>
      <c r="C448" s="111"/>
      <c r="D448" s="111"/>
      <c r="E448" s="111"/>
      <c r="F448" s="111"/>
      <c r="G448" s="111"/>
      <c r="H448" s="111"/>
    </row>
    <row r="449" spans="1:8" ht="19.5" customHeight="1">
      <c r="A449" s="55" t="s">
        <v>66</v>
      </c>
      <c r="B449" s="55" t="s">
        <v>67</v>
      </c>
      <c r="C449" s="55" t="s">
        <v>69</v>
      </c>
      <c r="D449" s="56" t="s">
        <v>70</v>
      </c>
      <c r="E449" s="55" t="s">
        <v>71</v>
      </c>
      <c r="F449" s="55" t="s">
        <v>72</v>
      </c>
      <c r="G449" s="55" t="s">
        <v>73</v>
      </c>
      <c r="H449" s="55" t="s">
        <v>57</v>
      </c>
    </row>
    <row r="450" spans="1:8" ht="13.5" customHeight="1">
      <c r="A450" s="57">
        <f>IF(DAY(DATE(対象年度,$B$2,1))&lt;&gt;1,"",1)</f>
        <v>1</v>
      </c>
      <c r="B450" s="57" t="str">
        <f>IF(DAY(DATE(対象年度,$B$2,1))&lt;&gt;1,"",CHOOSE(WEEKDAY(DATE(対象年度,$B$2,1),2),"月","火","水","木","金","土","日"))</f>
        <v>木</v>
      </c>
      <c r="C450" s="57" t="str">
        <f ca="1">IFERROR(IF(INDEX(INDIRECT("'"&amp;$B$2&amp;"月"&amp;"'!A:AZ"),4,59+0)="","",INDEX(INDIRECT("'"&amp;$B$2&amp;"月"&amp;"'!A:AZ"),4,59+0)),"")</f>
        <v/>
      </c>
      <c r="D450" s="58" t="str">
        <f ca="1">IFERROR(IF(INDEX(INDIRECT("'"&amp;$B$2&amp;"月"&amp;"'!A:AZ"),4,59+1)="","",INDEX(INDIRECT("'"&amp;$B$2&amp;"月"&amp;"'!A:AZ"),4,59+1)),"")</f>
        <v/>
      </c>
      <c r="E450" s="57" t="str">
        <f ca="1">IFERROR(IF(INDEX(INDIRECT("'"&amp;$B$2&amp;"月"&amp;"'!A:AZ"),4,59+2)="","",INDEX(INDIRECT("'"&amp;$B$2&amp;"月"&amp;"'!A:AZ"),4,59+2)),"")</f>
        <v/>
      </c>
      <c r="F450" s="59" t="str">
        <f ca="1">IFERROR(IF(INDEX(INDIRECT("'"&amp;$B$2&amp;"月"&amp;"'!A:AZ"),4,59+3)="","",INDEX(INDIRECT("'"&amp;$B$2&amp;"月"&amp;"'!A:AZ"),4,59+3)),"")</f>
        <v/>
      </c>
      <c r="G450" s="57" t="str">
        <f ca="1">IFERROR(IF(INDEX(INDIRECT("'"&amp;$B$2&amp;"月"&amp;"'!A:AZ"),4,59+4)="","",INDEX(INDIRECT("'"&amp;$B$2&amp;"月"&amp;"'!A:AZ"),4,59+4)),"")</f>
        <v/>
      </c>
      <c r="H450" s="57"/>
    </row>
    <row r="451" spans="1:8" ht="13.5" customHeight="1">
      <c r="A451" s="57">
        <f>IF(DAY(DATE(対象年度,$B$2,2))&lt;&gt;2,"",2)</f>
        <v>2</v>
      </c>
      <c r="B451" s="57" t="str">
        <f>IF(DAY(DATE(対象年度,$B$2,2))&lt;&gt;2,"",CHOOSE(WEEKDAY(DATE(対象年度,$B$2,2),2),"月","火","水","木","金","土","日"))</f>
        <v>金</v>
      </c>
      <c r="C451" s="57" t="str">
        <f ca="1">IFERROR(IF(INDEX(INDIRECT("'"&amp;$B$2&amp;"月"&amp;"'!A:AZ"),5,59+0)="","",INDEX(INDIRECT("'"&amp;$B$2&amp;"月"&amp;"'!A:AZ"),5,59+0)),"")</f>
        <v/>
      </c>
      <c r="D451" s="58" t="str">
        <f ca="1">IFERROR(IF(INDEX(INDIRECT("'"&amp;$B$2&amp;"月"&amp;"'!A:AZ"),5,59+1)="","",INDEX(INDIRECT("'"&amp;$B$2&amp;"月"&amp;"'!A:AZ"),5,59+1)),"")</f>
        <v/>
      </c>
      <c r="E451" s="57" t="str">
        <f ca="1">IFERROR(IF(INDEX(INDIRECT("'"&amp;$B$2&amp;"月"&amp;"'!A:AZ"),5,59+2)="","",INDEX(INDIRECT("'"&amp;$B$2&amp;"月"&amp;"'!A:AZ"),5,59+2)),"")</f>
        <v/>
      </c>
      <c r="F451" s="59" t="str">
        <f ca="1">IFERROR(IF(INDEX(INDIRECT("'"&amp;$B$2&amp;"月"&amp;"'!A:AZ"),5,59+3)="","",INDEX(INDIRECT("'"&amp;$B$2&amp;"月"&amp;"'!A:AZ"),5,59+3)),"")</f>
        <v/>
      </c>
      <c r="G451" s="57" t="str">
        <f ca="1">IFERROR(IF(INDEX(INDIRECT("'"&amp;$B$2&amp;"月"&amp;"'!A:AZ"),5,59+4)="","",INDEX(INDIRECT("'"&amp;$B$2&amp;"月"&amp;"'!A:AZ"),5,59+4)),"")</f>
        <v/>
      </c>
      <c r="H451" s="57"/>
    </row>
    <row r="452" spans="1:8" ht="13.5" customHeight="1">
      <c r="A452" s="57">
        <f>IF(DAY(DATE(対象年度,$B$2,3))&lt;&gt;3,"",3)</f>
        <v>3</v>
      </c>
      <c r="B452" s="57" t="str">
        <f>IF(DAY(DATE(対象年度,$B$2,3))&lt;&gt;3,"",CHOOSE(WEEKDAY(DATE(対象年度,$B$2,3),2),"月","火","水","木","金","土","日"))</f>
        <v>土</v>
      </c>
      <c r="C452" s="57" t="str">
        <f ca="1">IFERROR(IF(INDEX(INDIRECT("'"&amp;$B$2&amp;"月"&amp;"'!A:AZ"),6,59+0)="","",INDEX(INDIRECT("'"&amp;$B$2&amp;"月"&amp;"'!A:AZ"),6,59+0)),"")</f>
        <v/>
      </c>
      <c r="D452" s="58" t="str">
        <f ca="1">IFERROR(IF(INDEX(INDIRECT("'"&amp;$B$2&amp;"月"&amp;"'!A:AZ"),6,59+1)="","",INDEX(INDIRECT("'"&amp;$B$2&amp;"月"&amp;"'!A:AZ"),6,59+1)),"")</f>
        <v/>
      </c>
      <c r="E452" s="57" t="str">
        <f ca="1">IFERROR(IF(INDEX(INDIRECT("'"&amp;$B$2&amp;"月"&amp;"'!A:AZ"),6,59+2)="","",INDEX(INDIRECT("'"&amp;$B$2&amp;"月"&amp;"'!A:AZ"),6,59+2)),"")</f>
        <v/>
      </c>
      <c r="F452" s="59" t="str">
        <f ca="1">IFERROR(IF(INDEX(INDIRECT("'"&amp;$B$2&amp;"月"&amp;"'!A:AZ"),6,59+3)="","",INDEX(INDIRECT("'"&amp;$B$2&amp;"月"&amp;"'!A:AZ"),6,59+3)),"")</f>
        <v/>
      </c>
      <c r="G452" s="57" t="str">
        <f ca="1">IFERROR(IF(INDEX(INDIRECT("'"&amp;$B$2&amp;"月"&amp;"'!A:AZ"),6,59+4)="","",INDEX(INDIRECT("'"&amp;$B$2&amp;"月"&amp;"'!A:AZ"),6,59+4)),"")</f>
        <v/>
      </c>
      <c r="H452" s="57"/>
    </row>
    <row r="453" spans="1:8" ht="13.5" customHeight="1">
      <c r="A453" s="57">
        <f>IF(DAY(DATE(対象年度,$B$2,4))&lt;&gt;4,"",4)</f>
        <v>4</v>
      </c>
      <c r="B453" s="57" t="str">
        <f>IF(DAY(DATE(対象年度,$B$2,4))&lt;&gt;4,"",CHOOSE(WEEKDAY(DATE(対象年度,$B$2,4),2),"月","火","水","木","金","土","日"))</f>
        <v>日</v>
      </c>
      <c r="C453" s="57" t="str">
        <f ca="1">IFERROR(IF(INDEX(INDIRECT("'"&amp;$B$2&amp;"月"&amp;"'!A:AZ"),7,59+0)="","",INDEX(INDIRECT("'"&amp;$B$2&amp;"月"&amp;"'!A:AZ"),7,59+0)),"")</f>
        <v/>
      </c>
      <c r="D453" s="58" t="str">
        <f ca="1">IFERROR(IF(INDEX(INDIRECT("'"&amp;$B$2&amp;"月"&amp;"'!A:AZ"),7,59+1)="","",INDEX(INDIRECT("'"&amp;$B$2&amp;"月"&amp;"'!A:AZ"),7,59+1)),"")</f>
        <v/>
      </c>
      <c r="E453" s="57" t="str">
        <f ca="1">IFERROR(IF(INDEX(INDIRECT("'"&amp;$B$2&amp;"月"&amp;"'!A:AZ"),7,59+2)="","",INDEX(INDIRECT("'"&amp;$B$2&amp;"月"&amp;"'!A:AZ"),7,59+2)),"")</f>
        <v/>
      </c>
      <c r="F453" s="59" t="str">
        <f ca="1">IFERROR(IF(INDEX(INDIRECT("'"&amp;$B$2&amp;"月"&amp;"'!A:AZ"),7,59+3)="","",INDEX(INDIRECT("'"&amp;$B$2&amp;"月"&amp;"'!A:AZ"),7,59+3)),"")</f>
        <v/>
      </c>
      <c r="G453" s="57" t="str">
        <f ca="1">IFERROR(IF(INDEX(INDIRECT("'"&amp;$B$2&amp;"月"&amp;"'!A:AZ"),7,59+4)="","",INDEX(INDIRECT("'"&amp;$B$2&amp;"月"&amp;"'!A:AZ"),7,59+4)),"")</f>
        <v/>
      </c>
      <c r="H453" s="57"/>
    </row>
    <row r="454" spans="1:8" ht="13.5" customHeight="1">
      <c r="A454" s="57">
        <f>IF(DAY(DATE(対象年度,$B$2,5))&lt;&gt;5,"",5)</f>
        <v>5</v>
      </c>
      <c r="B454" s="57" t="str">
        <f>IF(DAY(DATE(対象年度,$B$2,5))&lt;&gt;5,"",CHOOSE(WEEKDAY(DATE(対象年度,$B$2,5),2),"月","火","水","木","金","土","日"))</f>
        <v>月</v>
      </c>
      <c r="C454" s="57" t="str">
        <f ca="1">IFERROR(IF(INDEX(INDIRECT("'"&amp;$B$2&amp;"月"&amp;"'!A:AZ"),8,59+0)="","",INDEX(INDIRECT("'"&amp;$B$2&amp;"月"&amp;"'!A:AZ"),8,59+0)),"")</f>
        <v/>
      </c>
      <c r="D454" s="58" t="str">
        <f ca="1">IFERROR(IF(INDEX(INDIRECT("'"&amp;$B$2&amp;"月"&amp;"'!A:AZ"),8,59+1)="","",INDEX(INDIRECT("'"&amp;$B$2&amp;"月"&amp;"'!A:AZ"),8,59+1)),"")</f>
        <v/>
      </c>
      <c r="E454" s="57" t="str">
        <f ca="1">IFERROR(IF(INDEX(INDIRECT("'"&amp;$B$2&amp;"月"&amp;"'!A:AZ"),8,59+2)="","",INDEX(INDIRECT("'"&amp;$B$2&amp;"月"&amp;"'!A:AZ"),8,59+2)),"")</f>
        <v/>
      </c>
      <c r="F454" s="59" t="str">
        <f ca="1">IFERROR(IF(INDEX(INDIRECT("'"&amp;$B$2&amp;"月"&amp;"'!A:AZ"),8,59+3)="","",INDEX(INDIRECT("'"&amp;$B$2&amp;"月"&amp;"'!A:AZ"),8,59+3)),"")</f>
        <v/>
      </c>
      <c r="G454" s="57" t="str">
        <f ca="1">IFERROR(IF(INDEX(INDIRECT("'"&amp;$B$2&amp;"月"&amp;"'!A:AZ"),8,59+4)="","",INDEX(INDIRECT("'"&amp;$B$2&amp;"月"&amp;"'!A:AZ"),8,59+4)),"")</f>
        <v/>
      </c>
      <c r="H454" s="57"/>
    </row>
    <row r="455" spans="1:8" ht="13.5" customHeight="1">
      <c r="A455" s="57">
        <f>IF(DAY(DATE(対象年度,$B$2,6))&lt;&gt;6,"",6)</f>
        <v>6</v>
      </c>
      <c r="B455" s="57" t="str">
        <f>IF(DAY(DATE(対象年度,$B$2,6))&lt;&gt;6,"",CHOOSE(WEEKDAY(DATE(対象年度,$B$2,6),2),"月","火","水","木","金","土","日"))</f>
        <v>火</v>
      </c>
      <c r="C455" s="57" t="str">
        <f ca="1">IFERROR(IF(INDEX(INDIRECT("'"&amp;$B$2&amp;"月"&amp;"'!A:AZ"),9,59+0)="","",INDEX(INDIRECT("'"&amp;$B$2&amp;"月"&amp;"'!A:AZ"),9,59+0)),"")</f>
        <v/>
      </c>
      <c r="D455" s="58" t="str">
        <f ca="1">IFERROR(IF(INDEX(INDIRECT("'"&amp;$B$2&amp;"月"&amp;"'!A:AZ"),9,59+1)="","",INDEX(INDIRECT("'"&amp;$B$2&amp;"月"&amp;"'!A:AZ"),9,59+1)),"")</f>
        <v/>
      </c>
      <c r="E455" s="57" t="str">
        <f ca="1">IFERROR(IF(INDEX(INDIRECT("'"&amp;$B$2&amp;"月"&amp;"'!A:AZ"),9,59+2)="","",INDEX(INDIRECT("'"&amp;$B$2&amp;"月"&amp;"'!A:AZ"),9,59+2)),"")</f>
        <v/>
      </c>
      <c r="F455" s="59" t="str">
        <f ca="1">IFERROR(IF(INDEX(INDIRECT("'"&amp;$B$2&amp;"月"&amp;"'!A:AZ"),9,59+3)="","",INDEX(INDIRECT("'"&amp;$B$2&amp;"月"&amp;"'!A:AZ"),9,59+3)),"")</f>
        <v/>
      </c>
      <c r="G455" s="57" t="str">
        <f ca="1">IFERROR(IF(INDEX(INDIRECT("'"&amp;$B$2&amp;"月"&amp;"'!A:AZ"),9,59+4)="","",INDEX(INDIRECT("'"&amp;$B$2&amp;"月"&amp;"'!A:AZ"),9,59+4)),"")</f>
        <v/>
      </c>
      <c r="H455" s="57"/>
    </row>
    <row r="456" spans="1:8" ht="13.5" customHeight="1">
      <c r="A456" s="57">
        <f>IF(DAY(DATE(対象年度,$B$2,7))&lt;&gt;7,"",7)</f>
        <v>7</v>
      </c>
      <c r="B456" s="57" t="str">
        <f>IF(DAY(DATE(対象年度,$B$2,7))&lt;&gt;7,"",CHOOSE(WEEKDAY(DATE(対象年度,$B$2,7),2),"月","火","水","木","金","土","日"))</f>
        <v>水</v>
      </c>
      <c r="C456" s="57" t="str">
        <f ca="1">IFERROR(IF(INDEX(INDIRECT("'"&amp;$B$2&amp;"月"&amp;"'!A:AZ"),10,59+0)="","",INDEX(INDIRECT("'"&amp;$B$2&amp;"月"&amp;"'!A:AZ"),10,59+0)),"")</f>
        <v/>
      </c>
      <c r="D456" s="58" t="str">
        <f ca="1">IFERROR(IF(INDEX(INDIRECT("'"&amp;$B$2&amp;"月"&amp;"'!A:AZ"),10,59+1)="","",INDEX(INDIRECT("'"&amp;$B$2&amp;"月"&amp;"'!A:AZ"),10,59+1)),"")</f>
        <v/>
      </c>
      <c r="E456" s="57" t="str">
        <f ca="1">IFERROR(IF(INDEX(INDIRECT("'"&amp;$B$2&amp;"月"&amp;"'!A:AZ"),10,59+2)="","",INDEX(INDIRECT("'"&amp;$B$2&amp;"月"&amp;"'!A:AZ"),10,59+2)),"")</f>
        <v/>
      </c>
      <c r="F456" s="59" t="str">
        <f ca="1">IFERROR(IF(INDEX(INDIRECT("'"&amp;$B$2&amp;"月"&amp;"'!A:AZ"),10,59+3)="","",INDEX(INDIRECT("'"&amp;$B$2&amp;"月"&amp;"'!A:AZ"),10,59+3)),"")</f>
        <v/>
      </c>
      <c r="G456" s="57" t="str">
        <f ca="1">IFERROR(IF(INDEX(INDIRECT("'"&amp;$B$2&amp;"月"&amp;"'!A:AZ"),10,59+4)="","",INDEX(INDIRECT("'"&amp;$B$2&amp;"月"&amp;"'!A:AZ"),10,59+4)),"")</f>
        <v/>
      </c>
      <c r="H456" s="57"/>
    </row>
    <row r="457" spans="1:8" ht="13.5" customHeight="1">
      <c r="A457" s="57">
        <f>IF(DAY(DATE(対象年度,$B$2,8))&lt;&gt;8,"",8)</f>
        <v>8</v>
      </c>
      <c r="B457" s="57" t="str">
        <f>IF(DAY(DATE(対象年度,$B$2,8))&lt;&gt;8,"",CHOOSE(WEEKDAY(DATE(対象年度,$B$2,8),2),"月","火","水","木","金","土","日"))</f>
        <v>木</v>
      </c>
      <c r="C457" s="57" t="str">
        <f ca="1">IFERROR(IF(INDEX(INDIRECT("'"&amp;$B$2&amp;"月"&amp;"'!A:AZ"),11,59+0)="","",INDEX(INDIRECT("'"&amp;$B$2&amp;"月"&amp;"'!A:AZ"),11,59+0)),"")</f>
        <v/>
      </c>
      <c r="D457" s="58" t="str">
        <f ca="1">IFERROR(IF(INDEX(INDIRECT("'"&amp;$B$2&amp;"月"&amp;"'!A:AZ"),11,59+1)="","",INDEX(INDIRECT("'"&amp;$B$2&amp;"月"&amp;"'!A:AZ"),11,59+1)),"")</f>
        <v/>
      </c>
      <c r="E457" s="57" t="str">
        <f ca="1">IFERROR(IF(INDEX(INDIRECT("'"&amp;$B$2&amp;"月"&amp;"'!A:AZ"),11,59+2)="","",INDEX(INDIRECT("'"&amp;$B$2&amp;"月"&amp;"'!A:AZ"),11,59+2)),"")</f>
        <v/>
      </c>
      <c r="F457" s="59" t="str">
        <f ca="1">IFERROR(IF(INDEX(INDIRECT("'"&amp;$B$2&amp;"月"&amp;"'!A:AZ"),11,59+3)="","",INDEX(INDIRECT("'"&amp;$B$2&amp;"月"&amp;"'!A:AZ"),11,59+3)),"")</f>
        <v/>
      </c>
      <c r="G457" s="57" t="str">
        <f ca="1">IFERROR(IF(INDEX(INDIRECT("'"&amp;$B$2&amp;"月"&amp;"'!A:AZ"),11,59+4)="","",INDEX(INDIRECT("'"&amp;$B$2&amp;"月"&amp;"'!A:AZ"),11,59+4)),"")</f>
        <v/>
      </c>
      <c r="H457" s="57"/>
    </row>
    <row r="458" spans="1:8" ht="13.5" customHeight="1">
      <c r="A458" s="57">
        <f>IF(DAY(DATE(対象年度,$B$2,9))&lt;&gt;9,"",9)</f>
        <v>9</v>
      </c>
      <c r="B458" s="57" t="str">
        <f>IF(DAY(DATE(対象年度,$B$2,9))&lt;&gt;9,"",CHOOSE(WEEKDAY(DATE(対象年度,$B$2,9),2),"月","火","水","木","金","土","日"))</f>
        <v>金</v>
      </c>
      <c r="C458" s="57" t="str">
        <f ca="1">IFERROR(IF(INDEX(INDIRECT("'"&amp;$B$2&amp;"月"&amp;"'!A:AZ"),12,59+0)="","",INDEX(INDIRECT("'"&amp;$B$2&amp;"月"&amp;"'!A:AZ"),12,59+0)),"")</f>
        <v/>
      </c>
      <c r="D458" s="58" t="str">
        <f ca="1">IFERROR(IF(INDEX(INDIRECT("'"&amp;$B$2&amp;"月"&amp;"'!A:AZ"),12,59+1)="","",INDEX(INDIRECT("'"&amp;$B$2&amp;"月"&amp;"'!A:AZ"),12,59+1)),"")</f>
        <v/>
      </c>
      <c r="E458" s="57" t="str">
        <f ca="1">IFERROR(IF(INDEX(INDIRECT("'"&amp;$B$2&amp;"月"&amp;"'!A:AZ"),12,59+2)="","",INDEX(INDIRECT("'"&amp;$B$2&amp;"月"&amp;"'!A:AZ"),12,59+2)),"")</f>
        <v/>
      </c>
      <c r="F458" s="59" t="str">
        <f ca="1">IFERROR(IF(INDEX(INDIRECT("'"&amp;$B$2&amp;"月"&amp;"'!A:AZ"),12,59+3)="","",INDEX(INDIRECT("'"&amp;$B$2&amp;"月"&amp;"'!A:AZ"),12,59+3)),"")</f>
        <v/>
      </c>
      <c r="G458" s="57" t="str">
        <f ca="1">IFERROR(IF(INDEX(INDIRECT("'"&amp;$B$2&amp;"月"&amp;"'!A:AZ"),12,59+4)="","",INDEX(INDIRECT("'"&amp;$B$2&amp;"月"&amp;"'!A:AZ"),12,59+4)),"")</f>
        <v/>
      </c>
      <c r="H458" s="57"/>
    </row>
    <row r="459" spans="1:8" ht="13.5" customHeight="1">
      <c r="A459" s="57">
        <f>IF(DAY(DATE(対象年度,$B$2,10))&lt;&gt;10,"",10)</f>
        <v>10</v>
      </c>
      <c r="B459" s="57" t="str">
        <f>IF(DAY(DATE(対象年度,$B$2,10))&lt;&gt;10,"",CHOOSE(WEEKDAY(DATE(対象年度,$B$2,10),2),"月","火","水","木","金","土","日"))</f>
        <v>土</v>
      </c>
      <c r="C459" s="57" t="str">
        <f ca="1">IFERROR(IF(INDEX(INDIRECT("'"&amp;$B$2&amp;"月"&amp;"'!A:AZ"),13,59+0)="","",INDEX(INDIRECT("'"&amp;$B$2&amp;"月"&amp;"'!A:AZ"),13,59+0)),"")</f>
        <v/>
      </c>
      <c r="D459" s="58" t="str">
        <f ca="1">IFERROR(IF(INDEX(INDIRECT("'"&amp;$B$2&amp;"月"&amp;"'!A:AZ"),13,59+1)="","",INDEX(INDIRECT("'"&amp;$B$2&amp;"月"&amp;"'!A:AZ"),13,59+1)),"")</f>
        <v/>
      </c>
      <c r="E459" s="57" t="str">
        <f ca="1">IFERROR(IF(INDEX(INDIRECT("'"&amp;$B$2&amp;"月"&amp;"'!A:AZ"),13,59+2)="","",INDEX(INDIRECT("'"&amp;$B$2&amp;"月"&amp;"'!A:AZ"),13,59+2)),"")</f>
        <v/>
      </c>
      <c r="F459" s="59" t="str">
        <f ca="1">IFERROR(IF(INDEX(INDIRECT("'"&amp;$B$2&amp;"月"&amp;"'!A:AZ"),13,59+3)="","",INDEX(INDIRECT("'"&amp;$B$2&amp;"月"&amp;"'!A:AZ"),13,59+3)),"")</f>
        <v/>
      </c>
      <c r="G459" s="57" t="str">
        <f ca="1">IFERROR(IF(INDEX(INDIRECT("'"&amp;$B$2&amp;"月"&amp;"'!A:AZ"),13,59+4)="","",INDEX(INDIRECT("'"&amp;$B$2&amp;"月"&amp;"'!A:AZ"),13,59+4)),"")</f>
        <v/>
      </c>
      <c r="H459" s="57"/>
    </row>
    <row r="460" spans="1:8" ht="13.5" customHeight="1">
      <c r="A460" s="57">
        <f>IF(DAY(DATE(対象年度,$B$2,11))&lt;&gt;11,"",11)</f>
        <v>11</v>
      </c>
      <c r="B460" s="57" t="str">
        <f>IF(DAY(DATE(対象年度,$B$2,11))&lt;&gt;11,"",CHOOSE(WEEKDAY(DATE(対象年度,$B$2,11),2),"月","火","水","木","金","土","日"))</f>
        <v>日</v>
      </c>
      <c r="C460" s="57" t="str">
        <f ca="1">IFERROR(IF(INDEX(INDIRECT("'"&amp;$B$2&amp;"月"&amp;"'!A:AZ"),14,59+0)="","",INDEX(INDIRECT("'"&amp;$B$2&amp;"月"&amp;"'!A:AZ"),14,59+0)),"")</f>
        <v/>
      </c>
      <c r="D460" s="58" t="str">
        <f ca="1">IFERROR(IF(INDEX(INDIRECT("'"&amp;$B$2&amp;"月"&amp;"'!A:AZ"),14,59+1)="","",INDEX(INDIRECT("'"&amp;$B$2&amp;"月"&amp;"'!A:AZ"),14,59+1)),"")</f>
        <v/>
      </c>
      <c r="E460" s="57" t="str">
        <f ca="1">IFERROR(IF(INDEX(INDIRECT("'"&amp;$B$2&amp;"月"&amp;"'!A:AZ"),14,59+2)="","",INDEX(INDIRECT("'"&amp;$B$2&amp;"月"&amp;"'!A:AZ"),14,59+2)),"")</f>
        <v/>
      </c>
      <c r="F460" s="59" t="str">
        <f ca="1">IFERROR(IF(INDEX(INDIRECT("'"&amp;$B$2&amp;"月"&amp;"'!A:AZ"),14,59+3)="","",INDEX(INDIRECT("'"&amp;$B$2&amp;"月"&amp;"'!A:AZ"),14,59+3)),"")</f>
        <v/>
      </c>
      <c r="G460" s="57" t="str">
        <f ca="1">IFERROR(IF(INDEX(INDIRECT("'"&amp;$B$2&amp;"月"&amp;"'!A:AZ"),14,59+4)="","",INDEX(INDIRECT("'"&amp;$B$2&amp;"月"&amp;"'!A:AZ"),14,59+4)),"")</f>
        <v/>
      </c>
      <c r="H460" s="57"/>
    </row>
    <row r="461" spans="1:8" ht="13.5" customHeight="1">
      <c r="A461" s="57">
        <f>IF(DAY(DATE(対象年度,$B$2,12))&lt;&gt;12,"",12)</f>
        <v>12</v>
      </c>
      <c r="B461" s="57" t="str">
        <f>IF(DAY(DATE(対象年度,$B$2,12))&lt;&gt;12,"",CHOOSE(WEEKDAY(DATE(対象年度,$B$2,12),2),"月","火","水","木","金","土","日"))</f>
        <v>月</v>
      </c>
      <c r="C461" s="57" t="str">
        <f ca="1">IFERROR(IF(INDEX(INDIRECT("'"&amp;$B$2&amp;"月"&amp;"'!A:AZ"),15,59+0)="","",INDEX(INDIRECT("'"&amp;$B$2&amp;"月"&amp;"'!A:AZ"),15,59+0)),"")</f>
        <v/>
      </c>
      <c r="D461" s="58" t="str">
        <f ca="1">IFERROR(IF(INDEX(INDIRECT("'"&amp;$B$2&amp;"月"&amp;"'!A:AZ"),15,59+1)="","",INDEX(INDIRECT("'"&amp;$B$2&amp;"月"&amp;"'!A:AZ"),15,59+1)),"")</f>
        <v/>
      </c>
      <c r="E461" s="57" t="str">
        <f ca="1">IFERROR(IF(INDEX(INDIRECT("'"&amp;$B$2&amp;"月"&amp;"'!A:AZ"),15,59+2)="","",INDEX(INDIRECT("'"&amp;$B$2&amp;"月"&amp;"'!A:AZ"),15,59+2)),"")</f>
        <v/>
      </c>
      <c r="F461" s="59" t="str">
        <f ca="1">IFERROR(IF(INDEX(INDIRECT("'"&amp;$B$2&amp;"月"&amp;"'!A:AZ"),15,59+3)="","",INDEX(INDIRECT("'"&amp;$B$2&amp;"月"&amp;"'!A:AZ"),15,59+3)),"")</f>
        <v/>
      </c>
      <c r="G461" s="57" t="str">
        <f ca="1">IFERROR(IF(INDEX(INDIRECT("'"&amp;$B$2&amp;"月"&amp;"'!A:AZ"),15,59+4)="","",INDEX(INDIRECT("'"&amp;$B$2&amp;"月"&amp;"'!A:AZ"),15,59+4)),"")</f>
        <v/>
      </c>
      <c r="H461" s="57"/>
    </row>
    <row r="462" spans="1:8" ht="13.5" customHeight="1">
      <c r="A462" s="57">
        <f>IF(DAY(DATE(対象年度,$B$2,13))&lt;&gt;13,"",13)</f>
        <v>13</v>
      </c>
      <c r="B462" s="57" t="str">
        <f>IF(DAY(DATE(対象年度,$B$2,13))&lt;&gt;13,"",CHOOSE(WEEKDAY(DATE(対象年度,$B$2,13),2),"月","火","水","木","金","土","日"))</f>
        <v>火</v>
      </c>
      <c r="C462" s="57" t="str">
        <f ca="1">IFERROR(IF(INDEX(INDIRECT("'"&amp;$B$2&amp;"月"&amp;"'!A:AZ"),16,59+0)="","",INDEX(INDIRECT("'"&amp;$B$2&amp;"月"&amp;"'!A:AZ"),16,59+0)),"")</f>
        <v/>
      </c>
      <c r="D462" s="58" t="str">
        <f ca="1">IFERROR(IF(INDEX(INDIRECT("'"&amp;$B$2&amp;"月"&amp;"'!A:AZ"),16,59+1)="","",INDEX(INDIRECT("'"&amp;$B$2&amp;"月"&amp;"'!A:AZ"),16,59+1)),"")</f>
        <v/>
      </c>
      <c r="E462" s="57" t="str">
        <f ca="1">IFERROR(IF(INDEX(INDIRECT("'"&amp;$B$2&amp;"月"&amp;"'!A:AZ"),16,59+2)="","",INDEX(INDIRECT("'"&amp;$B$2&amp;"月"&amp;"'!A:AZ"),16,59+2)),"")</f>
        <v/>
      </c>
      <c r="F462" s="59" t="str">
        <f ca="1">IFERROR(IF(INDEX(INDIRECT("'"&amp;$B$2&amp;"月"&amp;"'!A:AZ"),16,59+3)="","",INDEX(INDIRECT("'"&amp;$B$2&amp;"月"&amp;"'!A:AZ"),16,59+3)),"")</f>
        <v/>
      </c>
      <c r="G462" s="57" t="str">
        <f ca="1">IFERROR(IF(INDEX(INDIRECT("'"&amp;$B$2&amp;"月"&amp;"'!A:AZ"),16,59+4)="","",INDEX(INDIRECT("'"&amp;$B$2&amp;"月"&amp;"'!A:AZ"),16,59+4)),"")</f>
        <v/>
      </c>
      <c r="H462" s="57"/>
    </row>
    <row r="463" spans="1:8" ht="13.5" customHeight="1">
      <c r="A463" s="57">
        <f>IF(DAY(DATE(対象年度,$B$2,14))&lt;&gt;14,"",14)</f>
        <v>14</v>
      </c>
      <c r="B463" s="57" t="str">
        <f>IF(DAY(DATE(対象年度,$B$2,14))&lt;&gt;14,"",CHOOSE(WEEKDAY(DATE(対象年度,$B$2,14),2),"月","火","水","木","金","土","日"))</f>
        <v>水</v>
      </c>
      <c r="C463" s="57" t="str">
        <f ca="1">IFERROR(IF(INDEX(INDIRECT("'"&amp;$B$2&amp;"月"&amp;"'!A:AZ"),17,59+0)="","",INDEX(INDIRECT("'"&amp;$B$2&amp;"月"&amp;"'!A:AZ"),17,59+0)),"")</f>
        <v/>
      </c>
      <c r="D463" s="58" t="str">
        <f ca="1">IFERROR(IF(INDEX(INDIRECT("'"&amp;$B$2&amp;"月"&amp;"'!A:AZ"),17,59+1)="","",INDEX(INDIRECT("'"&amp;$B$2&amp;"月"&amp;"'!A:AZ"),17,59+1)),"")</f>
        <v/>
      </c>
      <c r="E463" s="57" t="str">
        <f ca="1">IFERROR(IF(INDEX(INDIRECT("'"&amp;$B$2&amp;"月"&amp;"'!A:AZ"),17,59+2)="","",INDEX(INDIRECT("'"&amp;$B$2&amp;"月"&amp;"'!A:AZ"),17,59+2)),"")</f>
        <v/>
      </c>
      <c r="F463" s="59" t="str">
        <f ca="1">IFERROR(IF(INDEX(INDIRECT("'"&amp;$B$2&amp;"月"&amp;"'!A:AZ"),17,59+3)="","",INDEX(INDIRECT("'"&amp;$B$2&amp;"月"&amp;"'!A:AZ"),17,59+3)),"")</f>
        <v/>
      </c>
      <c r="G463" s="57" t="str">
        <f ca="1">IFERROR(IF(INDEX(INDIRECT("'"&amp;$B$2&amp;"月"&amp;"'!A:AZ"),17,59+4)="","",INDEX(INDIRECT("'"&amp;$B$2&amp;"月"&amp;"'!A:AZ"),17,59+4)),"")</f>
        <v/>
      </c>
      <c r="H463" s="57"/>
    </row>
    <row r="464" spans="1:8" ht="13.5" customHeight="1">
      <c r="A464" s="57">
        <f>IF(DAY(DATE(対象年度,$B$2,15))&lt;&gt;15,"",15)</f>
        <v>15</v>
      </c>
      <c r="B464" s="57" t="str">
        <f>IF(DAY(DATE(対象年度,$B$2,15))&lt;&gt;15,"",CHOOSE(WEEKDAY(DATE(対象年度,$B$2,15),2),"月","火","水","木","金","土","日"))</f>
        <v>木</v>
      </c>
      <c r="C464" s="57" t="str">
        <f ca="1">IFERROR(IF(INDEX(INDIRECT("'"&amp;$B$2&amp;"月"&amp;"'!A:AZ"),18,59+0)="","",INDEX(INDIRECT("'"&amp;$B$2&amp;"月"&amp;"'!A:AZ"),18,59+0)),"")</f>
        <v/>
      </c>
      <c r="D464" s="58" t="str">
        <f ca="1">IFERROR(IF(INDEX(INDIRECT("'"&amp;$B$2&amp;"月"&amp;"'!A:AZ"),18,59+1)="","",INDEX(INDIRECT("'"&amp;$B$2&amp;"月"&amp;"'!A:AZ"),18,59+1)),"")</f>
        <v/>
      </c>
      <c r="E464" s="57" t="str">
        <f ca="1">IFERROR(IF(INDEX(INDIRECT("'"&amp;$B$2&amp;"月"&amp;"'!A:AZ"),18,59+2)="","",INDEX(INDIRECT("'"&amp;$B$2&amp;"月"&amp;"'!A:AZ"),18,59+2)),"")</f>
        <v/>
      </c>
      <c r="F464" s="59" t="str">
        <f ca="1">IFERROR(IF(INDEX(INDIRECT("'"&amp;$B$2&amp;"月"&amp;"'!A:AZ"),18,59+3)="","",INDEX(INDIRECT("'"&amp;$B$2&amp;"月"&amp;"'!A:AZ"),18,59+3)),"")</f>
        <v/>
      </c>
      <c r="G464" s="57" t="str">
        <f ca="1">IFERROR(IF(INDEX(INDIRECT("'"&amp;$B$2&amp;"月"&amp;"'!A:AZ"),18,59+4)="","",INDEX(INDIRECT("'"&amp;$B$2&amp;"月"&amp;"'!A:AZ"),18,59+4)),"")</f>
        <v/>
      </c>
      <c r="H464" s="57"/>
    </row>
    <row r="465" spans="1:8" ht="13.5" customHeight="1">
      <c r="A465" s="57">
        <f>IF(DAY(DATE(対象年度,$B$2,16))&lt;&gt;16,"",16)</f>
        <v>16</v>
      </c>
      <c r="B465" s="57" t="str">
        <f>IF(DAY(DATE(対象年度,$B$2,16))&lt;&gt;16,"",CHOOSE(WEEKDAY(DATE(対象年度,$B$2,16),2),"月","火","水","木","金","土","日"))</f>
        <v>金</v>
      </c>
      <c r="C465" s="57" t="str">
        <f ca="1">IFERROR(IF(INDEX(INDIRECT("'"&amp;$B$2&amp;"月"&amp;"'!A:AZ"),19,59+0)="","",INDEX(INDIRECT("'"&amp;$B$2&amp;"月"&amp;"'!A:AZ"),19,59+0)),"")</f>
        <v/>
      </c>
      <c r="D465" s="58" t="str">
        <f ca="1">IFERROR(IF(INDEX(INDIRECT("'"&amp;$B$2&amp;"月"&amp;"'!A:AZ"),19,59+1)="","",INDEX(INDIRECT("'"&amp;$B$2&amp;"月"&amp;"'!A:AZ"),19,59+1)),"")</f>
        <v/>
      </c>
      <c r="E465" s="57" t="str">
        <f ca="1">IFERROR(IF(INDEX(INDIRECT("'"&amp;$B$2&amp;"月"&amp;"'!A:AZ"),19,59+2)="","",INDEX(INDIRECT("'"&amp;$B$2&amp;"月"&amp;"'!A:AZ"),19,59+2)),"")</f>
        <v/>
      </c>
      <c r="F465" s="59" t="str">
        <f ca="1">IFERROR(IF(INDEX(INDIRECT("'"&amp;$B$2&amp;"月"&amp;"'!A:AZ"),19,59+3)="","",INDEX(INDIRECT("'"&amp;$B$2&amp;"月"&amp;"'!A:AZ"),19,59+3)),"")</f>
        <v/>
      </c>
      <c r="G465" s="57" t="str">
        <f ca="1">IFERROR(IF(INDEX(INDIRECT("'"&amp;$B$2&amp;"月"&amp;"'!A:AZ"),19,59+4)="","",INDEX(INDIRECT("'"&amp;$B$2&amp;"月"&amp;"'!A:AZ"),19,59+4)),"")</f>
        <v/>
      </c>
      <c r="H465" s="57"/>
    </row>
    <row r="466" spans="1:8" ht="13.5" customHeight="1">
      <c r="A466" s="57">
        <f>IF(DAY(DATE(対象年度,$B$2,17))&lt;&gt;17,"",17)</f>
        <v>17</v>
      </c>
      <c r="B466" s="57" t="str">
        <f>IF(DAY(DATE(対象年度,$B$2,17))&lt;&gt;17,"",CHOOSE(WEEKDAY(DATE(対象年度,$B$2,17),2),"月","火","水","木","金","土","日"))</f>
        <v>土</v>
      </c>
      <c r="C466" s="57" t="str">
        <f ca="1">IFERROR(IF(INDEX(INDIRECT("'"&amp;$B$2&amp;"月"&amp;"'!A:AZ"),20,59+0)="","",INDEX(INDIRECT("'"&amp;$B$2&amp;"月"&amp;"'!A:AZ"),20,59+0)),"")</f>
        <v/>
      </c>
      <c r="D466" s="58" t="str">
        <f ca="1">IFERROR(IF(INDEX(INDIRECT("'"&amp;$B$2&amp;"月"&amp;"'!A:AZ"),20,59+1)="","",INDEX(INDIRECT("'"&amp;$B$2&amp;"月"&amp;"'!A:AZ"),20,59+1)),"")</f>
        <v/>
      </c>
      <c r="E466" s="57" t="str">
        <f ca="1">IFERROR(IF(INDEX(INDIRECT("'"&amp;$B$2&amp;"月"&amp;"'!A:AZ"),20,59+2)="","",INDEX(INDIRECT("'"&amp;$B$2&amp;"月"&amp;"'!A:AZ"),20,59+2)),"")</f>
        <v/>
      </c>
      <c r="F466" s="59" t="str">
        <f ca="1">IFERROR(IF(INDEX(INDIRECT("'"&amp;$B$2&amp;"月"&amp;"'!A:AZ"),20,59+3)="","",INDEX(INDIRECT("'"&amp;$B$2&amp;"月"&amp;"'!A:AZ"),20,59+3)),"")</f>
        <v/>
      </c>
      <c r="G466" s="57" t="str">
        <f ca="1">IFERROR(IF(INDEX(INDIRECT("'"&amp;$B$2&amp;"月"&amp;"'!A:AZ"),20,59+4)="","",INDEX(INDIRECT("'"&amp;$B$2&amp;"月"&amp;"'!A:AZ"),20,59+4)),"")</f>
        <v/>
      </c>
      <c r="H466" s="57"/>
    </row>
    <row r="467" spans="1:8" ht="13.5" customHeight="1">
      <c r="A467" s="57">
        <f>IF(DAY(DATE(対象年度,$B$2,18))&lt;&gt;18,"",18)</f>
        <v>18</v>
      </c>
      <c r="B467" s="57" t="str">
        <f>IF(DAY(DATE(対象年度,$B$2,18))&lt;&gt;18,"",CHOOSE(WEEKDAY(DATE(対象年度,$B$2,18),2),"月","火","水","木","金","土","日"))</f>
        <v>日</v>
      </c>
      <c r="C467" s="57" t="str">
        <f ca="1">IFERROR(IF(INDEX(INDIRECT("'"&amp;$B$2&amp;"月"&amp;"'!A:AZ"),21,59+0)="","",INDEX(INDIRECT("'"&amp;$B$2&amp;"月"&amp;"'!A:AZ"),21,59+0)),"")</f>
        <v/>
      </c>
      <c r="D467" s="58" t="str">
        <f ca="1">IFERROR(IF(INDEX(INDIRECT("'"&amp;$B$2&amp;"月"&amp;"'!A:AZ"),21,59+1)="","",INDEX(INDIRECT("'"&amp;$B$2&amp;"月"&amp;"'!A:AZ"),21,59+1)),"")</f>
        <v/>
      </c>
      <c r="E467" s="57" t="str">
        <f ca="1">IFERROR(IF(INDEX(INDIRECT("'"&amp;$B$2&amp;"月"&amp;"'!A:AZ"),21,59+2)="","",INDEX(INDIRECT("'"&amp;$B$2&amp;"月"&amp;"'!A:AZ"),21,59+2)),"")</f>
        <v/>
      </c>
      <c r="F467" s="59" t="str">
        <f ca="1">IFERROR(IF(INDEX(INDIRECT("'"&amp;$B$2&amp;"月"&amp;"'!A:AZ"),21,59+3)="","",INDEX(INDIRECT("'"&amp;$B$2&amp;"月"&amp;"'!A:AZ"),21,59+3)),"")</f>
        <v/>
      </c>
      <c r="G467" s="57" t="str">
        <f ca="1">IFERROR(IF(INDEX(INDIRECT("'"&amp;$B$2&amp;"月"&amp;"'!A:AZ"),21,59+4)="","",INDEX(INDIRECT("'"&amp;$B$2&amp;"月"&amp;"'!A:AZ"),21,59+4)),"")</f>
        <v/>
      </c>
      <c r="H467" s="57"/>
    </row>
    <row r="468" spans="1:8" ht="13.5" customHeight="1">
      <c r="A468" s="57">
        <f>IF(DAY(DATE(対象年度,$B$2,19))&lt;&gt;19,"",19)</f>
        <v>19</v>
      </c>
      <c r="B468" s="57" t="str">
        <f>IF(DAY(DATE(対象年度,$B$2,19))&lt;&gt;19,"",CHOOSE(WEEKDAY(DATE(対象年度,$B$2,19),2),"月","火","水","木","金","土","日"))</f>
        <v>月</v>
      </c>
      <c r="C468" s="57" t="str">
        <f ca="1">IFERROR(IF(INDEX(INDIRECT("'"&amp;$B$2&amp;"月"&amp;"'!A:AZ"),22,59+0)="","",INDEX(INDIRECT("'"&amp;$B$2&amp;"月"&amp;"'!A:AZ"),22,59+0)),"")</f>
        <v/>
      </c>
      <c r="D468" s="58" t="str">
        <f ca="1">IFERROR(IF(INDEX(INDIRECT("'"&amp;$B$2&amp;"月"&amp;"'!A:AZ"),22,59+1)="","",INDEX(INDIRECT("'"&amp;$B$2&amp;"月"&amp;"'!A:AZ"),22,59+1)),"")</f>
        <v/>
      </c>
      <c r="E468" s="57" t="str">
        <f ca="1">IFERROR(IF(INDEX(INDIRECT("'"&amp;$B$2&amp;"月"&amp;"'!A:AZ"),22,59+2)="","",INDEX(INDIRECT("'"&amp;$B$2&amp;"月"&amp;"'!A:AZ"),22,59+2)),"")</f>
        <v/>
      </c>
      <c r="F468" s="59" t="str">
        <f ca="1">IFERROR(IF(INDEX(INDIRECT("'"&amp;$B$2&amp;"月"&amp;"'!A:AZ"),22,59+3)="","",INDEX(INDIRECT("'"&amp;$B$2&amp;"月"&amp;"'!A:AZ"),22,59+3)),"")</f>
        <v/>
      </c>
      <c r="G468" s="57" t="str">
        <f ca="1">IFERROR(IF(INDEX(INDIRECT("'"&amp;$B$2&amp;"月"&amp;"'!A:AZ"),22,59+4)="","",INDEX(INDIRECT("'"&amp;$B$2&amp;"月"&amp;"'!A:AZ"),22,59+4)),"")</f>
        <v/>
      </c>
      <c r="H468" s="57"/>
    </row>
    <row r="469" spans="1:8" ht="13.5" customHeight="1">
      <c r="A469" s="57">
        <f>IF(DAY(DATE(対象年度,$B$2,20))&lt;&gt;20,"",20)</f>
        <v>20</v>
      </c>
      <c r="B469" s="57" t="str">
        <f>IF(DAY(DATE(対象年度,$B$2,20))&lt;&gt;20,"",CHOOSE(WEEKDAY(DATE(対象年度,$B$2,20),2),"月","火","水","木","金","土","日"))</f>
        <v>火</v>
      </c>
      <c r="C469" s="57" t="str">
        <f ca="1">IFERROR(IF(INDEX(INDIRECT("'"&amp;$B$2&amp;"月"&amp;"'!A:AZ"),23,59+0)="","",INDEX(INDIRECT("'"&amp;$B$2&amp;"月"&amp;"'!A:AZ"),23,59+0)),"")</f>
        <v/>
      </c>
      <c r="D469" s="58" t="str">
        <f ca="1">IFERROR(IF(INDEX(INDIRECT("'"&amp;$B$2&amp;"月"&amp;"'!A:AZ"),23,59+1)="","",INDEX(INDIRECT("'"&amp;$B$2&amp;"月"&amp;"'!A:AZ"),23,59+1)),"")</f>
        <v/>
      </c>
      <c r="E469" s="57" t="str">
        <f ca="1">IFERROR(IF(INDEX(INDIRECT("'"&amp;$B$2&amp;"月"&amp;"'!A:AZ"),23,59+2)="","",INDEX(INDIRECT("'"&amp;$B$2&amp;"月"&amp;"'!A:AZ"),23,59+2)),"")</f>
        <v/>
      </c>
      <c r="F469" s="59" t="str">
        <f ca="1">IFERROR(IF(INDEX(INDIRECT("'"&amp;$B$2&amp;"月"&amp;"'!A:AZ"),23,59+3)="","",INDEX(INDIRECT("'"&amp;$B$2&amp;"月"&amp;"'!A:AZ"),23,59+3)),"")</f>
        <v/>
      </c>
      <c r="G469" s="57" t="str">
        <f ca="1">IFERROR(IF(INDEX(INDIRECT("'"&amp;$B$2&amp;"月"&amp;"'!A:AZ"),23,59+4)="","",INDEX(INDIRECT("'"&amp;$B$2&amp;"月"&amp;"'!A:AZ"),23,59+4)),"")</f>
        <v/>
      </c>
      <c r="H469" s="57"/>
    </row>
    <row r="470" spans="1:8" ht="13.5" customHeight="1">
      <c r="A470" s="57">
        <f>IF(DAY(DATE(対象年度,$B$2,21))&lt;&gt;21,"",21)</f>
        <v>21</v>
      </c>
      <c r="B470" s="57" t="str">
        <f>IF(DAY(DATE(対象年度,$B$2,21))&lt;&gt;21,"",CHOOSE(WEEKDAY(DATE(対象年度,$B$2,21),2),"月","火","水","木","金","土","日"))</f>
        <v>水</v>
      </c>
      <c r="C470" s="57" t="str">
        <f ca="1">IFERROR(IF(INDEX(INDIRECT("'"&amp;$B$2&amp;"月"&amp;"'!A:AZ"),24,59+0)="","",INDEX(INDIRECT("'"&amp;$B$2&amp;"月"&amp;"'!A:AZ"),24,59+0)),"")</f>
        <v/>
      </c>
      <c r="D470" s="58" t="str">
        <f ca="1">IFERROR(IF(INDEX(INDIRECT("'"&amp;$B$2&amp;"月"&amp;"'!A:AZ"),24,59+1)="","",INDEX(INDIRECT("'"&amp;$B$2&amp;"月"&amp;"'!A:AZ"),24,59+1)),"")</f>
        <v/>
      </c>
      <c r="E470" s="57" t="str">
        <f ca="1">IFERROR(IF(INDEX(INDIRECT("'"&amp;$B$2&amp;"月"&amp;"'!A:AZ"),24,59+2)="","",INDEX(INDIRECT("'"&amp;$B$2&amp;"月"&amp;"'!A:AZ"),24,59+2)),"")</f>
        <v/>
      </c>
      <c r="F470" s="59" t="str">
        <f ca="1">IFERROR(IF(INDEX(INDIRECT("'"&amp;$B$2&amp;"月"&amp;"'!A:AZ"),24,59+3)="","",INDEX(INDIRECT("'"&amp;$B$2&amp;"月"&amp;"'!A:AZ"),24,59+3)),"")</f>
        <v/>
      </c>
      <c r="G470" s="57" t="str">
        <f ca="1">IFERROR(IF(INDEX(INDIRECT("'"&amp;$B$2&amp;"月"&amp;"'!A:AZ"),24,59+4)="","",INDEX(INDIRECT("'"&amp;$B$2&amp;"月"&amp;"'!A:AZ"),24,59+4)),"")</f>
        <v/>
      </c>
      <c r="H470" s="57"/>
    </row>
    <row r="471" spans="1:8" ht="13.5" customHeight="1">
      <c r="A471" s="57">
        <f>IF(DAY(DATE(対象年度,$B$2,22))&lt;&gt;22,"",22)</f>
        <v>22</v>
      </c>
      <c r="B471" s="57" t="str">
        <f>IF(DAY(DATE(対象年度,$B$2,22))&lt;&gt;22,"",CHOOSE(WEEKDAY(DATE(対象年度,$B$2,22),2),"月","火","水","木","金","土","日"))</f>
        <v>木</v>
      </c>
      <c r="C471" s="57" t="str">
        <f ca="1">IFERROR(IF(INDEX(INDIRECT("'"&amp;$B$2&amp;"月"&amp;"'!A:AZ"),25,59+0)="","",INDEX(INDIRECT("'"&amp;$B$2&amp;"月"&amp;"'!A:AZ"),25,59+0)),"")</f>
        <v/>
      </c>
      <c r="D471" s="58" t="str">
        <f ca="1">IFERROR(IF(INDEX(INDIRECT("'"&amp;$B$2&amp;"月"&amp;"'!A:AZ"),25,59+1)="","",INDEX(INDIRECT("'"&amp;$B$2&amp;"月"&amp;"'!A:AZ"),25,59+1)),"")</f>
        <v/>
      </c>
      <c r="E471" s="57" t="str">
        <f ca="1">IFERROR(IF(INDEX(INDIRECT("'"&amp;$B$2&amp;"月"&amp;"'!A:AZ"),25,59+2)="","",INDEX(INDIRECT("'"&amp;$B$2&amp;"月"&amp;"'!A:AZ"),25,59+2)),"")</f>
        <v/>
      </c>
      <c r="F471" s="59" t="str">
        <f ca="1">IFERROR(IF(INDEX(INDIRECT("'"&amp;$B$2&amp;"月"&amp;"'!A:AZ"),25,59+3)="","",INDEX(INDIRECT("'"&amp;$B$2&amp;"月"&amp;"'!A:AZ"),25,59+3)),"")</f>
        <v/>
      </c>
      <c r="G471" s="57" t="str">
        <f ca="1">IFERROR(IF(INDEX(INDIRECT("'"&amp;$B$2&amp;"月"&amp;"'!A:AZ"),25,59+4)="","",INDEX(INDIRECT("'"&amp;$B$2&amp;"月"&amp;"'!A:AZ"),25,59+4)),"")</f>
        <v/>
      </c>
      <c r="H471" s="57"/>
    </row>
    <row r="472" spans="1:8" ht="13.5" customHeight="1">
      <c r="A472" s="57">
        <f>IF(DAY(DATE(対象年度,$B$2,23))&lt;&gt;23,"",23)</f>
        <v>23</v>
      </c>
      <c r="B472" s="57" t="str">
        <f>IF(DAY(DATE(対象年度,$B$2,23))&lt;&gt;23,"",CHOOSE(WEEKDAY(DATE(対象年度,$B$2,23),2),"月","火","水","木","金","土","日"))</f>
        <v>金</v>
      </c>
      <c r="C472" s="57" t="str">
        <f ca="1">IFERROR(IF(INDEX(INDIRECT("'"&amp;$B$2&amp;"月"&amp;"'!A:AZ"),26,59+0)="","",INDEX(INDIRECT("'"&amp;$B$2&amp;"月"&amp;"'!A:AZ"),26,59+0)),"")</f>
        <v/>
      </c>
      <c r="D472" s="58" t="str">
        <f ca="1">IFERROR(IF(INDEX(INDIRECT("'"&amp;$B$2&amp;"月"&amp;"'!A:AZ"),26,59+1)="","",INDEX(INDIRECT("'"&amp;$B$2&amp;"月"&amp;"'!A:AZ"),26,59+1)),"")</f>
        <v/>
      </c>
      <c r="E472" s="57" t="str">
        <f ca="1">IFERROR(IF(INDEX(INDIRECT("'"&amp;$B$2&amp;"月"&amp;"'!A:AZ"),26,59+2)="","",INDEX(INDIRECT("'"&amp;$B$2&amp;"月"&amp;"'!A:AZ"),26,59+2)),"")</f>
        <v/>
      </c>
      <c r="F472" s="59" t="str">
        <f ca="1">IFERROR(IF(INDEX(INDIRECT("'"&amp;$B$2&amp;"月"&amp;"'!A:AZ"),26,59+3)="","",INDEX(INDIRECT("'"&amp;$B$2&amp;"月"&amp;"'!A:AZ"),26,59+3)),"")</f>
        <v/>
      </c>
      <c r="G472" s="57" t="str">
        <f ca="1">IFERROR(IF(INDEX(INDIRECT("'"&amp;$B$2&amp;"月"&amp;"'!A:AZ"),26,59+4)="","",INDEX(INDIRECT("'"&amp;$B$2&amp;"月"&amp;"'!A:AZ"),26,59+4)),"")</f>
        <v/>
      </c>
      <c r="H472" s="57"/>
    </row>
    <row r="473" spans="1:8" ht="13.5" customHeight="1">
      <c r="A473" s="57">
        <f>IF(DAY(DATE(対象年度,$B$2,24))&lt;&gt;24,"",24)</f>
        <v>24</v>
      </c>
      <c r="B473" s="57" t="str">
        <f>IF(DAY(DATE(対象年度,$B$2,24))&lt;&gt;24,"",CHOOSE(WEEKDAY(DATE(対象年度,$B$2,24),2),"月","火","水","木","金","土","日"))</f>
        <v>土</v>
      </c>
      <c r="C473" s="57" t="str">
        <f ca="1">IFERROR(IF(INDEX(INDIRECT("'"&amp;$B$2&amp;"月"&amp;"'!A:AZ"),27,59+0)="","",INDEX(INDIRECT("'"&amp;$B$2&amp;"月"&amp;"'!A:AZ"),27,59+0)),"")</f>
        <v/>
      </c>
      <c r="D473" s="58" t="str">
        <f ca="1">IFERROR(IF(INDEX(INDIRECT("'"&amp;$B$2&amp;"月"&amp;"'!A:AZ"),27,59+1)="","",INDEX(INDIRECT("'"&amp;$B$2&amp;"月"&amp;"'!A:AZ"),27,59+1)),"")</f>
        <v/>
      </c>
      <c r="E473" s="57" t="str">
        <f ca="1">IFERROR(IF(INDEX(INDIRECT("'"&amp;$B$2&amp;"月"&amp;"'!A:AZ"),27,59+2)="","",INDEX(INDIRECT("'"&amp;$B$2&amp;"月"&amp;"'!A:AZ"),27,59+2)),"")</f>
        <v/>
      </c>
      <c r="F473" s="59" t="str">
        <f ca="1">IFERROR(IF(INDEX(INDIRECT("'"&amp;$B$2&amp;"月"&amp;"'!A:AZ"),27,59+3)="","",INDEX(INDIRECT("'"&amp;$B$2&amp;"月"&amp;"'!A:AZ"),27,59+3)),"")</f>
        <v/>
      </c>
      <c r="G473" s="57" t="str">
        <f ca="1">IFERROR(IF(INDEX(INDIRECT("'"&amp;$B$2&amp;"月"&amp;"'!A:AZ"),27,59+4)="","",INDEX(INDIRECT("'"&amp;$B$2&amp;"月"&amp;"'!A:AZ"),27,59+4)),"")</f>
        <v/>
      </c>
      <c r="H473" s="57"/>
    </row>
    <row r="474" spans="1:8" ht="13.5" customHeight="1">
      <c r="A474" s="57">
        <f>IF(DAY(DATE(対象年度,$B$2,25))&lt;&gt;25,"",25)</f>
        <v>25</v>
      </c>
      <c r="B474" s="57" t="str">
        <f>IF(DAY(DATE(対象年度,$B$2,25))&lt;&gt;25,"",CHOOSE(WEEKDAY(DATE(対象年度,$B$2,25),2),"月","火","水","木","金","土","日"))</f>
        <v>日</v>
      </c>
      <c r="C474" s="57" t="str">
        <f ca="1">IFERROR(IF(INDEX(INDIRECT("'"&amp;$B$2&amp;"月"&amp;"'!A:AZ"),28,59+0)="","",INDEX(INDIRECT("'"&amp;$B$2&amp;"月"&amp;"'!A:AZ"),28,59+0)),"")</f>
        <v/>
      </c>
      <c r="D474" s="58" t="str">
        <f ca="1">IFERROR(IF(INDEX(INDIRECT("'"&amp;$B$2&amp;"月"&amp;"'!A:AZ"),28,59+1)="","",INDEX(INDIRECT("'"&amp;$B$2&amp;"月"&amp;"'!A:AZ"),28,59+1)),"")</f>
        <v/>
      </c>
      <c r="E474" s="57" t="str">
        <f ca="1">IFERROR(IF(INDEX(INDIRECT("'"&amp;$B$2&amp;"月"&amp;"'!A:AZ"),28,59+2)="","",INDEX(INDIRECT("'"&amp;$B$2&amp;"月"&amp;"'!A:AZ"),28,59+2)),"")</f>
        <v/>
      </c>
      <c r="F474" s="59" t="str">
        <f ca="1">IFERROR(IF(INDEX(INDIRECT("'"&amp;$B$2&amp;"月"&amp;"'!A:AZ"),28,59+3)="","",INDEX(INDIRECT("'"&amp;$B$2&amp;"月"&amp;"'!A:AZ"),28,59+3)),"")</f>
        <v/>
      </c>
      <c r="G474" s="57" t="str">
        <f ca="1">IFERROR(IF(INDEX(INDIRECT("'"&amp;$B$2&amp;"月"&amp;"'!A:AZ"),28,59+4)="","",INDEX(INDIRECT("'"&amp;$B$2&amp;"月"&amp;"'!A:AZ"),28,59+4)),"")</f>
        <v/>
      </c>
      <c r="H474" s="57"/>
    </row>
    <row r="475" spans="1:8" ht="13.5" customHeight="1">
      <c r="A475" s="57">
        <f>IF(DAY(DATE(対象年度,$B$2,26))&lt;&gt;26,"",26)</f>
        <v>26</v>
      </c>
      <c r="B475" s="57" t="str">
        <f>IF(DAY(DATE(対象年度,$B$2,26))&lt;&gt;26,"",CHOOSE(WEEKDAY(DATE(対象年度,$B$2,26),2),"月","火","水","木","金","土","日"))</f>
        <v>月</v>
      </c>
      <c r="C475" s="57" t="str">
        <f ca="1">IFERROR(IF(INDEX(INDIRECT("'"&amp;$B$2&amp;"月"&amp;"'!A:AZ"),29,59+0)="","",INDEX(INDIRECT("'"&amp;$B$2&amp;"月"&amp;"'!A:AZ"),29,59+0)),"")</f>
        <v/>
      </c>
      <c r="D475" s="58" t="str">
        <f ca="1">IFERROR(IF(INDEX(INDIRECT("'"&amp;$B$2&amp;"月"&amp;"'!A:AZ"),29,59+1)="","",INDEX(INDIRECT("'"&amp;$B$2&amp;"月"&amp;"'!A:AZ"),29,59+1)),"")</f>
        <v/>
      </c>
      <c r="E475" s="57" t="str">
        <f ca="1">IFERROR(IF(INDEX(INDIRECT("'"&amp;$B$2&amp;"月"&amp;"'!A:AZ"),29,59+2)="","",INDEX(INDIRECT("'"&amp;$B$2&amp;"月"&amp;"'!A:AZ"),29,59+2)),"")</f>
        <v/>
      </c>
      <c r="F475" s="59" t="str">
        <f ca="1">IFERROR(IF(INDEX(INDIRECT("'"&amp;$B$2&amp;"月"&amp;"'!A:AZ"),29,59+3)="","",INDEX(INDIRECT("'"&amp;$B$2&amp;"月"&amp;"'!A:AZ"),29,59+3)),"")</f>
        <v/>
      </c>
      <c r="G475" s="57" t="str">
        <f ca="1">IFERROR(IF(INDEX(INDIRECT("'"&amp;$B$2&amp;"月"&amp;"'!A:AZ"),29,59+4)="","",INDEX(INDIRECT("'"&amp;$B$2&amp;"月"&amp;"'!A:AZ"),29,59+4)),"")</f>
        <v/>
      </c>
      <c r="H475" s="57"/>
    </row>
    <row r="476" spans="1:8" ht="13.5" customHeight="1">
      <c r="A476" s="57">
        <f>IF(DAY(DATE(対象年度,$B$2,27))&lt;&gt;27,"",27)</f>
        <v>27</v>
      </c>
      <c r="B476" s="57" t="str">
        <f>IF(DAY(DATE(対象年度,$B$2,27))&lt;&gt;27,"",CHOOSE(WEEKDAY(DATE(対象年度,$B$2,27),2),"月","火","水","木","金","土","日"))</f>
        <v>火</v>
      </c>
      <c r="C476" s="57" t="str">
        <f ca="1">IFERROR(IF(INDEX(INDIRECT("'"&amp;$B$2&amp;"月"&amp;"'!A:AZ"),30,59+0)="","",INDEX(INDIRECT("'"&amp;$B$2&amp;"月"&amp;"'!A:AZ"),30,59+0)),"")</f>
        <v/>
      </c>
      <c r="D476" s="58" t="str">
        <f ca="1">IFERROR(IF(INDEX(INDIRECT("'"&amp;$B$2&amp;"月"&amp;"'!A:AZ"),30,59+1)="","",INDEX(INDIRECT("'"&amp;$B$2&amp;"月"&amp;"'!A:AZ"),30,59+1)),"")</f>
        <v/>
      </c>
      <c r="E476" s="57" t="str">
        <f ca="1">IFERROR(IF(INDEX(INDIRECT("'"&amp;$B$2&amp;"月"&amp;"'!A:AZ"),30,59+2)="","",INDEX(INDIRECT("'"&amp;$B$2&amp;"月"&amp;"'!A:AZ"),30,59+2)),"")</f>
        <v/>
      </c>
      <c r="F476" s="59" t="str">
        <f ca="1">IFERROR(IF(INDEX(INDIRECT("'"&amp;$B$2&amp;"月"&amp;"'!A:AZ"),30,59+3)="","",INDEX(INDIRECT("'"&amp;$B$2&amp;"月"&amp;"'!A:AZ"),30,59+3)),"")</f>
        <v/>
      </c>
      <c r="G476" s="57" t="str">
        <f ca="1">IFERROR(IF(INDEX(INDIRECT("'"&amp;$B$2&amp;"月"&amp;"'!A:AZ"),30,59+4)="","",INDEX(INDIRECT("'"&amp;$B$2&amp;"月"&amp;"'!A:AZ"),30,59+4)),"")</f>
        <v/>
      </c>
      <c r="H476" s="57"/>
    </row>
    <row r="477" spans="1:8" ht="13.5" customHeight="1">
      <c r="A477" s="57">
        <f>IF(DAY(DATE(対象年度,$B$2,28))&lt;&gt;28,"",28)</f>
        <v>28</v>
      </c>
      <c r="B477" s="57" t="str">
        <f>IF(DAY(DATE(対象年度,$B$2,28))&lt;&gt;28,"",CHOOSE(WEEKDAY(DATE(対象年度,$B$2,28),2),"月","火","水","木","金","土","日"))</f>
        <v>水</v>
      </c>
      <c r="C477" s="57" t="str">
        <f ca="1">IFERROR(IF(INDEX(INDIRECT("'"&amp;$B$2&amp;"月"&amp;"'!A:AZ"),31,59+0)="","",INDEX(INDIRECT("'"&amp;$B$2&amp;"月"&amp;"'!A:AZ"),31,59+0)),"")</f>
        <v/>
      </c>
      <c r="D477" s="58" t="str">
        <f ca="1">IFERROR(IF(INDEX(INDIRECT("'"&amp;$B$2&amp;"月"&amp;"'!A:AZ"),31,59+1)="","",INDEX(INDIRECT("'"&amp;$B$2&amp;"月"&amp;"'!A:AZ"),31,59+1)),"")</f>
        <v/>
      </c>
      <c r="E477" s="57" t="str">
        <f ca="1">IFERROR(IF(INDEX(INDIRECT("'"&amp;$B$2&amp;"月"&amp;"'!A:AZ"),31,59+2)="","",INDEX(INDIRECT("'"&amp;$B$2&amp;"月"&amp;"'!A:AZ"),31,59+2)),"")</f>
        <v/>
      </c>
      <c r="F477" s="59" t="str">
        <f ca="1">IFERROR(IF(INDEX(INDIRECT("'"&amp;$B$2&amp;"月"&amp;"'!A:AZ"),31,59+3)="","",INDEX(INDIRECT("'"&amp;$B$2&amp;"月"&amp;"'!A:AZ"),31,59+3)),"")</f>
        <v/>
      </c>
      <c r="G477" s="57" t="str">
        <f ca="1">IFERROR(IF(INDEX(INDIRECT("'"&amp;$B$2&amp;"月"&amp;"'!A:AZ"),31,59+4)="","",INDEX(INDIRECT("'"&amp;$B$2&amp;"月"&amp;"'!A:AZ"),31,59+4)),"")</f>
        <v/>
      </c>
      <c r="H477" s="57"/>
    </row>
    <row r="478" spans="1:8" ht="13.5" customHeight="1">
      <c r="A478" s="57">
        <f>IF(DAY(DATE(対象年度,$B$2,29))&lt;&gt;29,"",29)</f>
        <v>29</v>
      </c>
      <c r="B478" s="57" t="str">
        <f>IF(DAY(DATE(対象年度,$B$2,29))&lt;&gt;29,"",CHOOSE(WEEKDAY(DATE(対象年度,$B$2,29),2),"月","火","水","木","金","土","日"))</f>
        <v>木</v>
      </c>
      <c r="C478" s="57" t="str">
        <f ca="1">IFERROR(IF(INDEX(INDIRECT("'"&amp;$B$2&amp;"月"&amp;"'!A:AZ"),32,59+0)="","",INDEX(INDIRECT("'"&amp;$B$2&amp;"月"&amp;"'!A:AZ"),32,59+0)),"")</f>
        <v/>
      </c>
      <c r="D478" s="58" t="str">
        <f ca="1">IFERROR(IF(INDEX(INDIRECT("'"&amp;$B$2&amp;"月"&amp;"'!A:AZ"),32,59+1)="","",INDEX(INDIRECT("'"&amp;$B$2&amp;"月"&amp;"'!A:AZ"),32,59+1)),"")</f>
        <v/>
      </c>
      <c r="E478" s="57" t="str">
        <f ca="1">IFERROR(IF(INDEX(INDIRECT("'"&amp;$B$2&amp;"月"&amp;"'!A:AZ"),32,59+2)="","",INDEX(INDIRECT("'"&amp;$B$2&amp;"月"&amp;"'!A:AZ"),32,59+2)),"")</f>
        <v/>
      </c>
      <c r="F478" s="59" t="str">
        <f ca="1">IFERROR(IF(INDEX(INDIRECT("'"&amp;$B$2&amp;"月"&amp;"'!A:AZ"),32,59+3)="","",INDEX(INDIRECT("'"&amp;$B$2&amp;"月"&amp;"'!A:AZ"),32,59+3)),"")</f>
        <v/>
      </c>
      <c r="G478" s="57" t="str">
        <f ca="1">IFERROR(IF(INDEX(INDIRECT("'"&amp;$B$2&amp;"月"&amp;"'!A:AZ"),32,59+4)="","",INDEX(INDIRECT("'"&amp;$B$2&amp;"月"&amp;"'!A:AZ"),32,59+4)),"")</f>
        <v/>
      </c>
      <c r="H478" s="57"/>
    </row>
    <row r="479" spans="1:8" ht="13.5" customHeight="1">
      <c r="A479" s="57">
        <f>IF(DAY(DATE(対象年度,$B$2,30))&lt;&gt;30,"",30)</f>
        <v>30</v>
      </c>
      <c r="B479" s="57" t="str">
        <f>IF(DAY(DATE(対象年度,$B$2,30))&lt;&gt;30,"",CHOOSE(WEEKDAY(DATE(対象年度,$B$2,30),2),"月","火","水","木","金","土","日"))</f>
        <v>金</v>
      </c>
      <c r="C479" s="57" t="str">
        <f ca="1">IFERROR(IF(INDEX(INDIRECT("'"&amp;$B$2&amp;"月"&amp;"'!A:AZ"),33,59+0)="","",INDEX(INDIRECT("'"&amp;$B$2&amp;"月"&amp;"'!A:AZ"),33,59+0)),"")</f>
        <v/>
      </c>
      <c r="D479" s="58" t="str">
        <f ca="1">IFERROR(IF(INDEX(INDIRECT("'"&amp;$B$2&amp;"月"&amp;"'!A:AZ"),33,59+1)="","",INDEX(INDIRECT("'"&amp;$B$2&amp;"月"&amp;"'!A:AZ"),33,59+1)),"")</f>
        <v/>
      </c>
      <c r="E479" s="57" t="str">
        <f ca="1">IFERROR(IF(INDEX(INDIRECT("'"&amp;$B$2&amp;"月"&amp;"'!A:AZ"),33,59+2)="","",INDEX(INDIRECT("'"&amp;$B$2&amp;"月"&amp;"'!A:AZ"),33,59+2)),"")</f>
        <v/>
      </c>
      <c r="F479" s="59" t="str">
        <f ca="1">IFERROR(IF(INDEX(INDIRECT("'"&amp;$B$2&amp;"月"&amp;"'!A:AZ"),33,59+3)="","",INDEX(INDIRECT("'"&amp;$B$2&amp;"月"&amp;"'!A:AZ"),33,59+3)),"")</f>
        <v/>
      </c>
      <c r="G479" s="57" t="str">
        <f ca="1">IFERROR(IF(INDEX(INDIRECT("'"&amp;$B$2&amp;"月"&amp;"'!A:AZ"),33,59+4)="","",INDEX(INDIRECT("'"&amp;$B$2&amp;"月"&amp;"'!A:AZ"),33,59+4)),"")</f>
        <v/>
      </c>
      <c r="H479" s="57"/>
    </row>
    <row r="480" spans="1:8" ht="13.5" customHeight="1">
      <c r="A480" s="57">
        <f>IF(DAY(DATE(対象年度,$B$2,31))&lt;&gt;31,"",31)</f>
        <v>31</v>
      </c>
      <c r="B480" s="57" t="str">
        <f>IF(DAY(DATE(対象年度,$B$2,31))&lt;&gt;31,"",CHOOSE(WEEKDAY(DATE(対象年度,$B$2,31),2),"月","火","水","木","金","土","日"))</f>
        <v>土</v>
      </c>
      <c r="C480" s="57" t="str">
        <f ca="1">IFERROR(IF(INDEX(INDIRECT("'"&amp;$B$2&amp;"月"&amp;"'!A:AZ"),34,59+0)="","",INDEX(INDIRECT("'"&amp;$B$2&amp;"月"&amp;"'!A:AZ"),34,59+0)),"")</f>
        <v/>
      </c>
      <c r="D480" s="58" t="str">
        <f ca="1">IFERROR(IF(INDEX(INDIRECT("'"&amp;$B$2&amp;"月"&amp;"'!A:AZ"),34,59+1)="","",INDEX(INDIRECT("'"&amp;$B$2&amp;"月"&amp;"'!A:AZ"),34,59+1)),"")</f>
        <v/>
      </c>
      <c r="E480" s="57" t="str">
        <f ca="1">IFERROR(IF(INDEX(INDIRECT("'"&amp;$B$2&amp;"月"&amp;"'!A:AZ"),34,59+2)="","",INDEX(INDIRECT("'"&amp;$B$2&amp;"月"&amp;"'!A:AZ"),34,59+2)),"")</f>
        <v/>
      </c>
      <c r="F480" s="59" t="str">
        <f ca="1">IFERROR(IF(INDEX(INDIRECT("'"&amp;$B$2&amp;"月"&amp;"'!A:AZ"),34,59+3)="","",INDEX(INDIRECT("'"&amp;$B$2&amp;"月"&amp;"'!A:AZ"),34,59+3)),"")</f>
        <v/>
      </c>
      <c r="G480" s="57" t="str">
        <f ca="1">IFERROR(IF(INDEX(INDIRECT("'"&amp;$B$2&amp;"月"&amp;"'!A:AZ"),34,59+4)="","",INDEX(INDIRECT("'"&amp;$B$2&amp;"月"&amp;"'!A:AZ"),34,59+4)),"")</f>
        <v/>
      </c>
      <c r="H480" s="57"/>
    </row>
    <row r="481" spans="1:8" ht="21.75" customHeight="1">
      <c r="A481" s="112" t="s">
        <v>87</v>
      </c>
      <c r="B481" s="112"/>
      <c r="C481" s="61" t="s">
        <v>71</v>
      </c>
      <c r="D481" s="62">
        <f ca="1">IFERROR(INDEX(INDIRECT("'"&amp;$B$2&amp;"月"&amp;"'!A:AZ"),35,59),0)</f>
        <v>0</v>
      </c>
      <c r="E481" s="63" t="s">
        <v>72</v>
      </c>
      <c r="F481" s="64">
        <f ca="1">IFERROR(INDEX(INDIRECT("'"&amp;$B$2&amp;"月"&amp;"'!A:AZ"),36,59),0)</f>
        <v>0</v>
      </c>
      <c r="G481" s="61" t="s">
        <v>73</v>
      </c>
      <c r="H481" s="62">
        <f ca="1">IFERROR(INDEX(INDIRECT("'"&amp;$B$2&amp;"月"&amp;"'!A:AZ"),38,59),0)</f>
        <v>0</v>
      </c>
    </row>
    <row r="482" spans="1:8" ht="24" customHeight="1">
      <c r="A482" s="113"/>
      <c r="B482" s="113"/>
      <c r="C482" s="65" t="s">
        <v>76</v>
      </c>
      <c r="D482" s="66">
        <f ca="1">IFERROR(INDEX(INDIRECT("'"&amp;$B$2&amp;"月"&amp;"'!A:AZ"),37,59),0)</f>
        <v>0</v>
      </c>
      <c r="E482" s="67" t="s">
        <v>64</v>
      </c>
      <c r="F482" s="68">
        <f ca="1">IFERROR(INDEX(INDIRECT("'"&amp;$B$2&amp;"月"&amp;"'!A:AZ"),39,59),0)</f>
        <v>0</v>
      </c>
      <c r="G482" s="69" t="s">
        <v>65</v>
      </c>
      <c r="H482" s="70">
        <f ca="1">IFERROR(INDEX(INDIRECT("'"&amp;$B$2&amp;"月"&amp;"'!A:AZ"),40,59),0)</f>
        <v>0</v>
      </c>
    </row>
  </sheetData>
  <mergeCells count="146">
    <mergeCell ref="A481:B481"/>
    <mergeCell ref="A482:B482"/>
    <mergeCell ref="A445:H445"/>
    <mergeCell ref="B446:C446"/>
    <mergeCell ref="E446:H446"/>
    <mergeCell ref="C447:D447"/>
    <mergeCell ref="E447:F447"/>
    <mergeCell ref="G447:H447"/>
    <mergeCell ref="C448:D448"/>
    <mergeCell ref="E448:F448"/>
    <mergeCell ref="G448:H448"/>
    <mergeCell ref="C407:D407"/>
    <mergeCell ref="E407:F407"/>
    <mergeCell ref="G407:H407"/>
    <mergeCell ref="C408:D408"/>
    <mergeCell ref="E408:F408"/>
    <mergeCell ref="G408:H408"/>
    <mergeCell ref="A441:B441"/>
    <mergeCell ref="A442:B442"/>
    <mergeCell ref="A444:H444"/>
    <mergeCell ref="C368:D368"/>
    <mergeCell ref="E368:F368"/>
    <mergeCell ref="G368:H368"/>
    <mergeCell ref="A401:B401"/>
    <mergeCell ref="A402:B402"/>
    <mergeCell ref="A404:H404"/>
    <mergeCell ref="A405:H405"/>
    <mergeCell ref="B406:C406"/>
    <mergeCell ref="E406:H406"/>
    <mergeCell ref="A361:B361"/>
    <mergeCell ref="A362:B362"/>
    <mergeCell ref="A364:H364"/>
    <mergeCell ref="A365:H365"/>
    <mergeCell ref="B366:C366"/>
    <mergeCell ref="E366:H366"/>
    <mergeCell ref="C367:D367"/>
    <mergeCell ref="E367:F367"/>
    <mergeCell ref="G367:H367"/>
    <mergeCell ref="A325:H325"/>
    <mergeCell ref="B326:C326"/>
    <mergeCell ref="E326:H326"/>
    <mergeCell ref="C327:D327"/>
    <mergeCell ref="E327:F327"/>
    <mergeCell ref="G327:H327"/>
    <mergeCell ref="C328:D328"/>
    <mergeCell ref="E328:F328"/>
    <mergeCell ref="G328:H328"/>
    <mergeCell ref="C287:D287"/>
    <mergeCell ref="E287:F287"/>
    <mergeCell ref="G287:H287"/>
    <mergeCell ref="C288:D288"/>
    <mergeCell ref="E288:F288"/>
    <mergeCell ref="G288:H288"/>
    <mergeCell ref="A321:B321"/>
    <mergeCell ref="A322:B322"/>
    <mergeCell ref="A324:H324"/>
    <mergeCell ref="C248:D248"/>
    <mergeCell ref="E248:F248"/>
    <mergeCell ref="G248:H248"/>
    <mergeCell ref="A281:B281"/>
    <mergeCell ref="A282:B282"/>
    <mergeCell ref="A284:H284"/>
    <mergeCell ref="A285:H285"/>
    <mergeCell ref="B286:C286"/>
    <mergeCell ref="E286:H286"/>
    <mergeCell ref="A241:B241"/>
    <mergeCell ref="A242:B242"/>
    <mergeCell ref="A244:H244"/>
    <mergeCell ref="A245:H245"/>
    <mergeCell ref="B246:C246"/>
    <mergeCell ref="E246:H246"/>
    <mergeCell ref="C247:D247"/>
    <mergeCell ref="E247:F247"/>
    <mergeCell ref="G247:H247"/>
    <mergeCell ref="A205:H205"/>
    <mergeCell ref="B206:C206"/>
    <mergeCell ref="E206:H206"/>
    <mergeCell ref="C207:D207"/>
    <mergeCell ref="E207:F207"/>
    <mergeCell ref="G207:H207"/>
    <mergeCell ref="C208:D208"/>
    <mergeCell ref="E208:F208"/>
    <mergeCell ref="G208:H208"/>
    <mergeCell ref="C167:D167"/>
    <mergeCell ref="E167:F167"/>
    <mergeCell ref="G167:H167"/>
    <mergeCell ref="C168:D168"/>
    <mergeCell ref="E168:F168"/>
    <mergeCell ref="G168:H168"/>
    <mergeCell ref="A201:B201"/>
    <mergeCell ref="A202:B202"/>
    <mergeCell ref="A204:H204"/>
    <mergeCell ref="C128:D128"/>
    <mergeCell ref="E128:F128"/>
    <mergeCell ref="G128:H128"/>
    <mergeCell ref="A161:B161"/>
    <mergeCell ref="A162:B162"/>
    <mergeCell ref="A164:H164"/>
    <mergeCell ref="A165:H165"/>
    <mergeCell ref="B166:C166"/>
    <mergeCell ref="E166:H166"/>
    <mergeCell ref="A121:B121"/>
    <mergeCell ref="A122:B122"/>
    <mergeCell ref="A124:H124"/>
    <mergeCell ref="A125:H125"/>
    <mergeCell ref="B126:C126"/>
    <mergeCell ref="E126:H126"/>
    <mergeCell ref="C127:D127"/>
    <mergeCell ref="E127:F127"/>
    <mergeCell ref="G127:H127"/>
    <mergeCell ref="A85:H85"/>
    <mergeCell ref="B86:C86"/>
    <mergeCell ref="E86:H86"/>
    <mergeCell ref="C87:D87"/>
    <mergeCell ref="E87:F87"/>
    <mergeCell ref="G87:H87"/>
    <mergeCell ref="C88:D88"/>
    <mergeCell ref="E88:F88"/>
    <mergeCell ref="G88:H88"/>
    <mergeCell ref="C47:D47"/>
    <mergeCell ref="E47:F47"/>
    <mergeCell ref="G47:H47"/>
    <mergeCell ref="C48:D48"/>
    <mergeCell ref="E48:F48"/>
    <mergeCell ref="G48:H48"/>
    <mergeCell ref="A81:B81"/>
    <mergeCell ref="A82:B82"/>
    <mergeCell ref="A84:H84"/>
    <mergeCell ref="C8:D8"/>
    <mergeCell ref="E8:F8"/>
    <mergeCell ref="G8:H8"/>
    <mergeCell ref="A41:B41"/>
    <mergeCell ref="A42:B42"/>
    <mergeCell ref="A44:H44"/>
    <mergeCell ref="A45:H45"/>
    <mergeCell ref="B46:C46"/>
    <mergeCell ref="E46:H46"/>
    <mergeCell ref="A1:H1"/>
    <mergeCell ref="D2:H2"/>
    <mergeCell ref="A4:H4"/>
    <mergeCell ref="A5:H5"/>
    <mergeCell ref="B6:C6"/>
    <mergeCell ref="E6:H6"/>
    <mergeCell ref="C7:D7"/>
    <mergeCell ref="E7:F7"/>
    <mergeCell ref="G7:H7"/>
  </mergeCells>
  <phoneticPr fontId="43"/>
  <conditionalFormatting sqref="A10:H40">
    <cfRule type="expression" dxfId="59" priority="2">
      <formula>$C10="有給"</formula>
    </cfRule>
    <cfRule type="expression" dxfId="58" priority="3">
      <formula>$C10="休業"</formula>
    </cfRule>
    <cfRule type="expression" dxfId="57" priority="4">
      <formula>AND($A10&lt;&gt;"",ISNUMBER(MATCH(DATE(対象年度,$B$2,$A10),祝日リスト,0)))</formula>
    </cfRule>
    <cfRule type="expression" dxfId="56" priority="5">
      <formula>$B10="日"</formula>
    </cfRule>
    <cfRule type="expression" dxfId="55" priority="6">
      <formula>$B10="土"</formula>
    </cfRule>
  </conditionalFormatting>
  <conditionalFormatting sqref="A50:H80">
    <cfRule type="expression" dxfId="54" priority="7">
      <formula>$C50="有給"</formula>
    </cfRule>
    <cfRule type="expression" dxfId="53" priority="8">
      <formula>$C50="休業"</formula>
    </cfRule>
    <cfRule type="expression" dxfId="52" priority="9">
      <formula>AND($A50&lt;&gt;"",ISNUMBER(MATCH(DATE(対象年度,$B$2,$A50),祝日リスト,0)))</formula>
    </cfRule>
    <cfRule type="expression" dxfId="51" priority="10">
      <formula>$B50="日"</formula>
    </cfRule>
    <cfRule type="expression" dxfId="50" priority="11">
      <formula>$B50="土"</formula>
    </cfRule>
  </conditionalFormatting>
  <conditionalFormatting sqref="A90:H120">
    <cfRule type="expression" dxfId="49" priority="12">
      <formula>$C90="有給"</formula>
    </cfRule>
    <cfRule type="expression" dxfId="48" priority="13">
      <formula>$C90="休業"</formula>
    </cfRule>
    <cfRule type="expression" dxfId="47" priority="14">
      <formula>AND($A90&lt;&gt;"",ISNUMBER(MATCH(DATE(対象年度,$B$2,$A90),祝日リスト,0)))</formula>
    </cfRule>
    <cfRule type="expression" dxfId="46" priority="15">
      <formula>$B90="日"</formula>
    </cfRule>
    <cfRule type="expression" dxfId="45" priority="16">
      <formula>$B90="土"</formula>
    </cfRule>
  </conditionalFormatting>
  <conditionalFormatting sqref="A130:H160">
    <cfRule type="expression" dxfId="44" priority="17">
      <formula>$C130="有給"</formula>
    </cfRule>
    <cfRule type="expression" dxfId="43" priority="18">
      <formula>$C130="休業"</formula>
    </cfRule>
    <cfRule type="expression" dxfId="42" priority="19">
      <formula>AND($A130&lt;&gt;"",ISNUMBER(MATCH(DATE(対象年度,$B$2,$A130),祝日リスト,0)))</formula>
    </cfRule>
    <cfRule type="expression" dxfId="41" priority="20">
      <formula>$B130="日"</formula>
    </cfRule>
    <cfRule type="expression" dxfId="40" priority="21">
      <formula>$B130="土"</formula>
    </cfRule>
  </conditionalFormatting>
  <conditionalFormatting sqref="A170:H200">
    <cfRule type="expression" dxfId="39" priority="22">
      <formula>$C170="有給"</formula>
    </cfRule>
    <cfRule type="expression" dxfId="38" priority="23">
      <formula>$C170="休業"</formula>
    </cfRule>
    <cfRule type="expression" dxfId="37" priority="24">
      <formula>AND($A170&lt;&gt;"",ISNUMBER(MATCH(DATE(対象年度,$B$2,$A170),祝日リスト,0)))</formula>
    </cfRule>
    <cfRule type="expression" dxfId="36" priority="25">
      <formula>$B170="日"</formula>
    </cfRule>
    <cfRule type="expression" dxfId="35" priority="26">
      <formula>$B170="土"</formula>
    </cfRule>
  </conditionalFormatting>
  <conditionalFormatting sqref="A210:H240">
    <cfRule type="expression" dxfId="34" priority="27">
      <formula>$C210="有給"</formula>
    </cfRule>
    <cfRule type="expression" dxfId="33" priority="28">
      <formula>$C210="休業"</formula>
    </cfRule>
    <cfRule type="expression" dxfId="32" priority="29">
      <formula>AND($A210&lt;&gt;"",ISNUMBER(MATCH(DATE(対象年度,$B$2,$A210),祝日リスト,0)))</formula>
    </cfRule>
    <cfRule type="expression" dxfId="31" priority="30">
      <formula>$B210="日"</formula>
    </cfRule>
    <cfRule type="expression" dxfId="30" priority="31">
      <formula>$B210="土"</formula>
    </cfRule>
  </conditionalFormatting>
  <conditionalFormatting sqref="A250:H280">
    <cfRule type="expression" dxfId="29" priority="32">
      <formula>$C250="有給"</formula>
    </cfRule>
    <cfRule type="expression" dxfId="28" priority="33">
      <formula>$C250="休業"</formula>
    </cfRule>
    <cfRule type="expression" dxfId="27" priority="34">
      <formula>AND($A250&lt;&gt;"",ISNUMBER(MATCH(DATE(対象年度,$B$2,$A250),祝日リスト,0)))</formula>
    </cfRule>
    <cfRule type="expression" dxfId="26" priority="35">
      <formula>$B250="日"</formula>
    </cfRule>
    <cfRule type="expression" dxfId="25" priority="36">
      <formula>$B250="土"</formula>
    </cfRule>
  </conditionalFormatting>
  <conditionalFormatting sqref="A290:H320">
    <cfRule type="expression" dxfId="24" priority="37">
      <formula>$C290="有給"</formula>
    </cfRule>
    <cfRule type="expression" dxfId="23" priority="38">
      <formula>$C290="休業"</formula>
    </cfRule>
    <cfRule type="expression" dxfId="22" priority="39">
      <formula>AND($A290&lt;&gt;"",ISNUMBER(MATCH(DATE(対象年度,$B$2,$A290),祝日リスト,0)))</formula>
    </cfRule>
    <cfRule type="expression" dxfId="21" priority="40">
      <formula>$B290="日"</formula>
    </cfRule>
    <cfRule type="expression" dxfId="20" priority="41">
      <formula>$B290="土"</formula>
    </cfRule>
  </conditionalFormatting>
  <conditionalFormatting sqref="A330:H360">
    <cfRule type="expression" dxfId="19" priority="42">
      <formula>$C330="有給"</formula>
    </cfRule>
    <cfRule type="expression" dxfId="18" priority="43">
      <formula>$C330="休業"</formula>
    </cfRule>
    <cfRule type="expression" dxfId="17" priority="44">
      <formula>AND($A330&lt;&gt;"",ISNUMBER(MATCH(DATE(対象年度,$B$2,$A330),祝日リスト,0)))</formula>
    </cfRule>
    <cfRule type="expression" dxfId="16" priority="45">
      <formula>$B330="日"</formula>
    </cfRule>
    <cfRule type="expression" dxfId="15" priority="46">
      <formula>$B330="土"</formula>
    </cfRule>
  </conditionalFormatting>
  <conditionalFormatting sqref="A370:H400">
    <cfRule type="expression" dxfId="14" priority="47">
      <formula>$C370="有給"</formula>
    </cfRule>
    <cfRule type="expression" dxfId="13" priority="48">
      <formula>$C370="休業"</formula>
    </cfRule>
    <cfRule type="expression" dxfId="12" priority="49">
      <formula>AND($A370&lt;&gt;"",ISNUMBER(MATCH(DATE(対象年度,$B$2,$A370),祝日リスト,0)))</formula>
    </cfRule>
    <cfRule type="expression" dxfId="11" priority="50">
      <formula>$B370="日"</formula>
    </cfRule>
    <cfRule type="expression" dxfId="10" priority="51">
      <formula>$B370="土"</formula>
    </cfRule>
  </conditionalFormatting>
  <conditionalFormatting sqref="A410:H440">
    <cfRule type="expression" dxfId="9" priority="52">
      <formula>$C410="有給"</formula>
    </cfRule>
    <cfRule type="expression" dxfId="8" priority="53">
      <formula>$C410="休業"</formula>
    </cfRule>
    <cfRule type="expression" dxfId="7" priority="54">
      <formula>AND($A410&lt;&gt;"",ISNUMBER(MATCH(DATE(対象年度,$B$2,$A410),祝日リスト,0)))</formula>
    </cfRule>
    <cfRule type="expression" dxfId="6" priority="55">
      <formula>$B410="日"</formula>
    </cfRule>
    <cfRule type="expression" dxfId="5" priority="56">
      <formula>$B410="土"</formula>
    </cfRule>
  </conditionalFormatting>
  <conditionalFormatting sqref="A450:H480">
    <cfRule type="expression" dxfId="4" priority="57">
      <formula>$C450="有給"</formula>
    </cfRule>
    <cfRule type="expression" dxfId="3" priority="58">
      <formula>$C450="休業"</formula>
    </cfRule>
    <cfRule type="expression" dxfId="2" priority="59">
      <formula>AND($A450&lt;&gt;"",ISNUMBER(MATCH(DATE(対象年度,$B$2,$A450),祝日リスト,0)))</formula>
    </cfRule>
    <cfRule type="expression" dxfId="1" priority="60">
      <formula>$B450="日"</formula>
    </cfRule>
    <cfRule type="expression" dxfId="0" priority="61">
      <formula>$B450="土"</formula>
    </cfRule>
  </conditionalFormatting>
  <dataValidations count="1">
    <dataValidation type="list" sqref="B2" xr:uid="{00000000-0002-0000-1000-000000000000}">
      <formula1>"1,2,3,4,5,6,7,8,9,10,11,12"</formula1>
      <formula2>0</formula2>
    </dataValidation>
  </dataValidations>
  <pageMargins left="0.5" right="0.5" top="0.4" bottom="0.4" header="0.511811023622047" footer="0.511811023622047"/>
  <pageSetup paperSize="9" fitToHeight="0" orientation="portrait" horizontalDpi="300" verticalDpi="300"/>
  <rowBreaks count="11" manualBreakCount="11">
    <brk id="42" max="16383" man="1"/>
    <brk id="82" max="16383" man="1"/>
    <brk id="122" max="16383" man="1"/>
    <brk id="162" max="16383" man="1"/>
    <brk id="202" max="16383" man="1"/>
    <brk id="242" max="16383" man="1"/>
    <brk id="282" max="16383" man="1"/>
    <brk id="322" max="16383" man="1"/>
    <brk id="362" max="16383" man="1"/>
    <brk id="402" max="16383" man="1"/>
    <brk id="44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U34"/>
  <sheetViews>
    <sheetView zoomScaleNormal="100" workbookViewId="0">
      <pane xSplit="2" ySplit="3" topLeftCell="C10" activePane="bottomRight" state="frozen"/>
      <selection pane="topRight" activeCell="C1" sqref="C1"/>
      <selection pane="bottomLeft" activeCell="A4" sqref="A4"/>
      <selection pane="bottomRight" sqref="A1:U1"/>
    </sheetView>
  </sheetViews>
  <sheetFormatPr defaultColWidth="8.7109375" defaultRowHeight="15"/>
  <cols>
    <col min="1" max="1" width="5" customWidth="1"/>
    <col min="2" max="2" width="18" customWidth="1"/>
    <col min="3" max="14" width="6.5703125" customWidth="1"/>
    <col min="15" max="20" width="8" customWidth="1"/>
  </cols>
  <sheetData>
    <row r="1" spans="1:21" ht="30" customHeight="1">
      <c r="A1" s="122" t="str">
        <f>対象年度&amp;"年 年間集計（社員別）"</f>
        <v>2026年 年間集計（社員別）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</row>
    <row r="2" spans="1:21" ht="24" customHeight="1">
      <c r="A2" s="123" t="s">
        <v>54</v>
      </c>
      <c r="B2" s="112" t="s">
        <v>55</v>
      </c>
      <c r="C2" s="124" t="s">
        <v>92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5" t="s">
        <v>93</v>
      </c>
      <c r="P2" s="125"/>
      <c r="Q2" s="125"/>
      <c r="R2" s="125"/>
      <c r="S2" s="125"/>
      <c r="T2" s="125"/>
    </row>
    <row r="3" spans="1:21" ht="21.75" customHeight="1">
      <c r="A3" s="123"/>
      <c r="B3" s="123"/>
      <c r="C3" s="75" t="s">
        <v>94</v>
      </c>
      <c r="D3" s="75" t="s">
        <v>95</v>
      </c>
      <c r="E3" s="75" t="s">
        <v>96</v>
      </c>
      <c r="F3" s="75" t="s">
        <v>97</v>
      </c>
      <c r="G3" s="75" t="s">
        <v>98</v>
      </c>
      <c r="H3" s="75" t="s">
        <v>99</v>
      </c>
      <c r="I3" s="75" t="s">
        <v>100</v>
      </c>
      <c r="J3" s="75" t="s">
        <v>101</v>
      </c>
      <c r="K3" s="75" t="s">
        <v>102</v>
      </c>
      <c r="L3" s="75" t="s">
        <v>103</v>
      </c>
      <c r="M3" s="75" t="s">
        <v>104</v>
      </c>
      <c r="N3" s="75" t="s">
        <v>105</v>
      </c>
      <c r="O3" s="65" t="s">
        <v>71</v>
      </c>
      <c r="P3" s="65" t="s">
        <v>72</v>
      </c>
      <c r="Q3" s="65" t="s">
        <v>76</v>
      </c>
      <c r="R3" s="65" t="s">
        <v>73</v>
      </c>
      <c r="S3" s="65" t="s">
        <v>64</v>
      </c>
      <c r="T3" s="65" t="s">
        <v>65</v>
      </c>
    </row>
    <row r="4" spans="1:21" ht="19.5" customHeight="1">
      <c r="A4" s="76">
        <v>1</v>
      </c>
      <c r="B4" s="77" t="str">
        <f>IFERROR(従業員マスタ!$C$4,"")</f>
        <v>建設　太郎</v>
      </c>
      <c r="C4" s="76">
        <f>IFERROR('1月'!D37,0)</f>
        <v>8</v>
      </c>
      <c r="D4" s="76">
        <f>IFERROR('2月'!D37,0)</f>
        <v>0</v>
      </c>
      <c r="E4" s="76">
        <f>IFERROR('3月'!D37,0)</f>
        <v>0</v>
      </c>
      <c r="F4" s="76">
        <f>IFERROR('4月'!D37,0)</f>
        <v>0</v>
      </c>
      <c r="G4" s="76">
        <f>IFERROR('5月'!D37,0)</f>
        <v>0</v>
      </c>
      <c r="H4" s="76">
        <f>IFERROR('6月'!D37,0)</f>
        <v>0</v>
      </c>
      <c r="I4" s="76">
        <f>IFERROR('7月'!D37,0)</f>
        <v>0</v>
      </c>
      <c r="J4" s="76">
        <f>IFERROR('8月'!D37,0)</f>
        <v>0</v>
      </c>
      <c r="K4" s="76">
        <f>IFERROR('9月'!D37,0)</f>
        <v>0</v>
      </c>
      <c r="L4" s="76">
        <f>IFERROR('10月'!D37,0)</f>
        <v>0</v>
      </c>
      <c r="M4" s="76">
        <f>IFERROR('11月'!D37,0)</f>
        <v>0</v>
      </c>
      <c r="N4" s="76">
        <f>IFERROR('12月'!D37,0)</f>
        <v>0</v>
      </c>
      <c r="O4" s="78">
        <f>IFERROR('1月'!D35,0)+IFERROR('2月'!D35,0)+IFERROR('3月'!D35,0)+IFERROR('4月'!D35,0)+IFERROR('5月'!D35,0)+IFERROR('6月'!D35,0)+IFERROR('7月'!D35,0)+IFERROR('8月'!D35,0)+IFERROR('9月'!D35,0)+IFERROR('10月'!D35,0)+IFERROR('11月'!D35,0)+IFERROR('12月'!D35,0)</f>
        <v>8</v>
      </c>
      <c r="P4" s="64">
        <f>IFERROR('1月'!D36,0)+IFERROR('2月'!D36,0)+IFERROR('3月'!D36,0)+IFERROR('4月'!D36,0)+IFERROR('5月'!D36,0)+IFERROR('6月'!D36,0)+IFERROR('7月'!D36,0)+IFERROR('8月'!D36,0)+IFERROR('9月'!D36,0)+IFERROR('10月'!D36,0)+IFERROR('11月'!D36,0)+IFERROR('12月'!D36,0)</f>
        <v>0</v>
      </c>
      <c r="Q4" s="79">
        <f t="shared" ref="Q4:Q33" si="0">SUM(C4:N4)</f>
        <v>8</v>
      </c>
      <c r="R4" s="78">
        <f>IFERROR('1月'!D38,0)+IFERROR('2月'!D38,0)+IFERROR('3月'!D38,0)+IFERROR('4月'!D38,0)+IFERROR('5月'!D38,0)+IFERROR('6月'!D38,0)+IFERROR('7月'!D38,0)+IFERROR('8月'!D38,0)+IFERROR('9月'!D38,0)+IFERROR('10月'!D38,0)+IFERROR('11月'!D38,0)+IFERROR('12月'!D38,0)</f>
        <v>0</v>
      </c>
      <c r="S4" s="80">
        <f>IFERROR('1月'!D39,0)+IFERROR('2月'!D39,0)+IFERROR('3月'!D39,0)+IFERROR('4月'!D39,0)+IFERROR('5月'!D39,0)+IFERROR('6月'!D39,0)+IFERROR('7月'!D39,0)+IFERROR('8月'!D39,0)+IFERROR('9月'!D39,0)+IFERROR('10月'!D39,0)+IFERROR('11月'!D39,0)+IFERROR('12月'!D39,0)</f>
        <v>0</v>
      </c>
      <c r="T4" s="81">
        <f>IFERROR('1月'!D40,0)+IFERROR('2月'!D40,0)+IFERROR('3月'!D40,0)+IFERROR('4月'!D40,0)+IFERROR('5月'!D40,0)+IFERROR('6月'!D40,0)+IFERROR('7月'!D40,0)+IFERROR('8月'!D40,0)+IFERROR('9月'!D40,0)+IFERROR('10月'!D40,0)+IFERROR('11月'!D40,0)+IFERROR('12月'!D40,0)</f>
        <v>0</v>
      </c>
    </row>
    <row r="5" spans="1:21" ht="19.5" customHeight="1">
      <c r="A5" s="76">
        <v>2</v>
      </c>
      <c r="B5" s="77" t="str">
        <f>IFERROR(従業員マスタ!$C$5,"")</f>
        <v>配管　次郎</v>
      </c>
      <c r="C5" s="76">
        <f>IFERROR('1月'!I37,0)</f>
        <v>10</v>
      </c>
      <c r="D5" s="76">
        <f>IFERROR('2月'!I37,0)</f>
        <v>0</v>
      </c>
      <c r="E5" s="76">
        <f>IFERROR('3月'!I37,0)</f>
        <v>0</v>
      </c>
      <c r="F5" s="76">
        <f>IFERROR('4月'!I37,0)</f>
        <v>0</v>
      </c>
      <c r="G5" s="76">
        <f>IFERROR('5月'!I37,0)</f>
        <v>0</v>
      </c>
      <c r="H5" s="76">
        <f>IFERROR('6月'!I37,0)</f>
        <v>0</v>
      </c>
      <c r="I5" s="76">
        <f>IFERROR('7月'!I37,0)</f>
        <v>0</v>
      </c>
      <c r="J5" s="76">
        <f>IFERROR('8月'!I37,0)</f>
        <v>0</v>
      </c>
      <c r="K5" s="76">
        <f>IFERROR('9月'!I37,0)</f>
        <v>0</v>
      </c>
      <c r="L5" s="76">
        <f>IFERROR('10月'!I37,0)</f>
        <v>0</v>
      </c>
      <c r="M5" s="76">
        <f>IFERROR('11月'!I37,0)</f>
        <v>0</v>
      </c>
      <c r="N5" s="76">
        <f>IFERROR('12月'!I37,0)</f>
        <v>0</v>
      </c>
      <c r="O5" s="78">
        <f>IFERROR('1月'!I35,0)+IFERROR('2月'!I35,0)+IFERROR('3月'!I35,0)+IFERROR('4月'!I35,0)+IFERROR('5月'!I35,0)+IFERROR('6月'!I35,0)+IFERROR('7月'!I35,0)+IFERROR('8月'!I35,0)+IFERROR('9月'!I35,0)+IFERROR('10月'!I35,0)+IFERROR('11月'!I35,0)+IFERROR('12月'!I35,0)</f>
        <v>10</v>
      </c>
      <c r="P5" s="64">
        <f>IFERROR('1月'!I36,0)+IFERROR('2月'!I36,0)+IFERROR('3月'!I36,0)+IFERROR('4月'!I36,0)+IFERROR('5月'!I36,0)+IFERROR('6月'!I36,0)+IFERROR('7月'!I36,0)+IFERROR('8月'!I36,0)+IFERROR('9月'!I36,0)+IFERROR('10月'!I36,0)+IFERROR('11月'!I36,0)+IFERROR('12月'!I36,0)</f>
        <v>0</v>
      </c>
      <c r="Q5" s="79">
        <f t="shared" si="0"/>
        <v>10</v>
      </c>
      <c r="R5" s="78">
        <f>IFERROR('1月'!I38,0)+IFERROR('2月'!I38,0)+IFERROR('3月'!I38,0)+IFERROR('4月'!I38,0)+IFERROR('5月'!I38,0)+IFERROR('6月'!I38,0)+IFERROR('7月'!I38,0)+IFERROR('8月'!I38,0)+IFERROR('9月'!I38,0)+IFERROR('10月'!I38,0)+IFERROR('11月'!I38,0)+IFERROR('12月'!I38,0)</f>
        <v>0</v>
      </c>
      <c r="S5" s="80">
        <f>IFERROR('1月'!I39,0)+IFERROR('2月'!I39,0)+IFERROR('3月'!I39,0)+IFERROR('4月'!I39,0)+IFERROR('5月'!I39,0)+IFERROR('6月'!I39,0)+IFERROR('7月'!I39,0)+IFERROR('8月'!I39,0)+IFERROR('9月'!I39,0)+IFERROR('10月'!I39,0)+IFERROR('11月'!I39,0)+IFERROR('12月'!I39,0)</f>
        <v>1</v>
      </c>
      <c r="T5" s="81">
        <f>IFERROR('1月'!I40,0)+IFERROR('2月'!I40,0)+IFERROR('3月'!I40,0)+IFERROR('4月'!I40,0)+IFERROR('5月'!I40,0)+IFERROR('6月'!I40,0)+IFERROR('7月'!I40,0)+IFERROR('8月'!I40,0)+IFERROR('9月'!I40,0)+IFERROR('10月'!I40,0)+IFERROR('11月'!I40,0)+IFERROR('12月'!I40,0)</f>
        <v>0</v>
      </c>
    </row>
    <row r="6" spans="1:21" ht="19.5" customHeight="1">
      <c r="A6" s="76">
        <v>3</v>
      </c>
      <c r="B6" s="77" t="str">
        <f>IFERROR(従業員マスタ!$C$6,"")</f>
        <v>設備　一郎</v>
      </c>
      <c r="C6" s="76">
        <f>IFERROR('1月'!N37,0)</f>
        <v>10</v>
      </c>
      <c r="D6" s="76">
        <f>IFERROR('2月'!N37,0)</f>
        <v>0</v>
      </c>
      <c r="E6" s="76">
        <f>IFERROR('3月'!N37,0)</f>
        <v>0</v>
      </c>
      <c r="F6" s="76">
        <f>IFERROR('4月'!N37,0)</f>
        <v>0</v>
      </c>
      <c r="G6" s="76">
        <f>IFERROR('5月'!N37,0)</f>
        <v>0</v>
      </c>
      <c r="H6" s="76">
        <f>IFERROR('6月'!N37,0)</f>
        <v>0</v>
      </c>
      <c r="I6" s="76">
        <f>IFERROR('7月'!N37,0)</f>
        <v>0</v>
      </c>
      <c r="J6" s="76">
        <f>IFERROR('8月'!N37,0)</f>
        <v>0</v>
      </c>
      <c r="K6" s="76">
        <f>IFERROR('9月'!N37,0)</f>
        <v>0</v>
      </c>
      <c r="L6" s="76">
        <f>IFERROR('10月'!N37,0)</f>
        <v>0</v>
      </c>
      <c r="M6" s="76">
        <f>IFERROR('11月'!N37,0)</f>
        <v>0</v>
      </c>
      <c r="N6" s="76">
        <f>IFERROR('12月'!N37,0)</f>
        <v>0</v>
      </c>
      <c r="O6" s="78">
        <f>IFERROR('1月'!N35,0)+IFERROR('2月'!N35,0)+IFERROR('3月'!N35,0)+IFERROR('4月'!N35,0)+IFERROR('5月'!N35,0)+IFERROR('6月'!N35,0)+IFERROR('7月'!N35,0)+IFERROR('8月'!N35,0)+IFERROR('9月'!N35,0)+IFERROR('10月'!N35,0)+IFERROR('11月'!N35,0)+IFERROR('12月'!N35,0)</f>
        <v>10</v>
      </c>
      <c r="P6" s="64">
        <f>IFERROR('1月'!N36,0)+IFERROR('2月'!N36,0)+IFERROR('3月'!N36,0)+IFERROR('4月'!N36,0)+IFERROR('5月'!N36,0)+IFERROR('6月'!N36,0)+IFERROR('7月'!N36,0)+IFERROR('8月'!N36,0)+IFERROR('9月'!N36,0)+IFERROR('10月'!N36,0)+IFERROR('11月'!N36,0)+IFERROR('12月'!N36,0)</f>
        <v>0</v>
      </c>
      <c r="Q6" s="79">
        <f t="shared" si="0"/>
        <v>10</v>
      </c>
      <c r="R6" s="78">
        <f>IFERROR('1月'!N38,0)+IFERROR('2月'!N38,0)+IFERROR('3月'!N38,0)+IFERROR('4月'!N38,0)+IFERROR('5月'!N38,0)+IFERROR('6月'!N38,0)+IFERROR('7月'!N38,0)+IFERROR('8月'!N38,0)+IFERROR('9月'!N38,0)+IFERROR('10月'!N38,0)+IFERROR('11月'!N38,0)+IFERROR('12月'!N38,0)</f>
        <v>0</v>
      </c>
      <c r="S6" s="80">
        <f>IFERROR('1月'!N39,0)+IFERROR('2月'!N39,0)+IFERROR('3月'!N39,0)+IFERROR('4月'!N39,0)+IFERROR('5月'!N39,0)+IFERROR('6月'!N39,0)+IFERROR('7月'!N39,0)+IFERROR('8月'!N39,0)+IFERROR('9月'!N39,0)+IFERROR('10月'!N39,0)+IFERROR('11月'!N39,0)+IFERROR('12月'!N39,0)</f>
        <v>0</v>
      </c>
      <c r="T6" s="81">
        <f>IFERROR('1月'!N40,0)+IFERROR('2月'!N40,0)+IFERROR('3月'!N40,0)+IFERROR('4月'!N40,0)+IFERROR('5月'!N40,0)+IFERROR('6月'!N40,0)+IFERROR('7月'!N40,0)+IFERROR('8月'!N40,0)+IFERROR('9月'!N40,0)+IFERROR('10月'!N40,0)+IFERROR('11月'!N40,0)+IFERROR('12月'!N40,0)</f>
        <v>0</v>
      </c>
    </row>
    <row r="7" spans="1:21" ht="19.5" customHeight="1">
      <c r="A7" s="76">
        <v>4</v>
      </c>
      <c r="B7" s="77" t="str">
        <f>IFERROR(従業員マスタ!$C$7,"")</f>
        <v>土木　三郎</v>
      </c>
      <c r="C7" s="76">
        <f>IFERROR('1月'!S37,0)</f>
        <v>10</v>
      </c>
      <c r="D7" s="76">
        <f>IFERROR('2月'!S37,0)</f>
        <v>0</v>
      </c>
      <c r="E7" s="76">
        <f>IFERROR('3月'!S37,0)</f>
        <v>0</v>
      </c>
      <c r="F7" s="76">
        <f>IFERROR('4月'!S37,0)</f>
        <v>0</v>
      </c>
      <c r="G7" s="76">
        <f>IFERROR('5月'!S37,0)</f>
        <v>0</v>
      </c>
      <c r="H7" s="76">
        <f>IFERROR('6月'!S37,0)</f>
        <v>0</v>
      </c>
      <c r="I7" s="76">
        <f>IFERROR('7月'!S37,0)</f>
        <v>0</v>
      </c>
      <c r="J7" s="76">
        <f>IFERROR('8月'!S37,0)</f>
        <v>0</v>
      </c>
      <c r="K7" s="76">
        <f>IFERROR('9月'!S37,0)</f>
        <v>0</v>
      </c>
      <c r="L7" s="76">
        <f>IFERROR('10月'!S37,0)</f>
        <v>0</v>
      </c>
      <c r="M7" s="76">
        <f>IFERROR('11月'!S37,0)</f>
        <v>0</v>
      </c>
      <c r="N7" s="76">
        <f>IFERROR('12月'!S37,0)</f>
        <v>0</v>
      </c>
      <c r="O7" s="78">
        <f>IFERROR('1月'!S35,0)+IFERROR('2月'!S35,0)+IFERROR('3月'!S35,0)+IFERROR('4月'!S35,0)+IFERROR('5月'!S35,0)+IFERROR('6月'!S35,0)+IFERROR('7月'!S35,0)+IFERROR('8月'!S35,0)+IFERROR('9月'!S35,0)+IFERROR('10月'!S35,0)+IFERROR('11月'!S35,0)+IFERROR('12月'!S35,0)</f>
        <v>10</v>
      </c>
      <c r="P7" s="64">
        <f>IFERROR('1月'!S36,0)+IFERROR('2月'!S36,0)+IFERROR('3月'!S36,0)+IFERROR('4月'!S36,0)+IFERROR('5月'!S36,0)+IFERROR('6月'!S36,0)+IFERROR('7月'!S36,0)+IFERROR('8月'!S36,0)+IFERROR('9月'!S36,0)+IFERROR('10月'!S36,0)+IFERROR('11月'!S36,0)+IFERROR('12月'!S36,0)</f>
        <v>0</v>
      </c>
      <c r="Q7" s="79">
        <f t="shared" si="0"/>
        <v>10</v>
      </c>
      <c r="R7" s="78">
        <f>IFERROR('1月'!S38,0)+IFERROR('2月'!S38,0)+IFERROR('3月'!S38,0)+IFERROR('4月'!S38,0)+IFERROR('5月'!S38,0)+IFERROR('6月'!S38,0)+IFERROR('7月'!S38,0)+IFERROR('8月'!S38,0)+IFERROR('9月'!S38,0)+IFERROR('10月'!S38,0)+IFERROR('11月'!S38,0)+IFERROR('12月'!S38,0)</f>
        <v>0</v>
      </c>
      <c r="S7" s="80">
        <f>IFERROR('1月'!S39,0)+IFERROR('2月'!S39,0)+IFERROR('3月'!S39,0)+IFERROR('4月'!S39,0)+IFERROR('5月'!S39,0)+IFERROR('6月'!S39,0)+IFERROR('7月'!S39,0)+IFERROR('8月'!S39,0)+IFERROR('9月'!S39,0)+IFERROR('10月'!S39,0)+IFERROR('11月'!S39,0)+IFERROR('12月'!S39,0)</f>
        <v>0</v>
      </c>
      <c r="T7" s="81">
        <f>IFERROR('1月'!S40,0)+IFERROR('2月'!S40,0)+IFERROR('3月'!S40,0)+IFERROR('4月'!S40,0)+IFERROR('5月'!S40,0)+IFERROR('6月'!S40,0)+IFERROR('7月'!S40,0)+IFERROR('8月'!S40,0)+IFERROR('9月'!S40,0)+IFERROR('10月'!S40,0)+IFERROR('11月'!S40,0)+IFERROR('12月'!S40,0)</f>
        <v>0</v>
      </c>
    </row>
    <row r="8" spans="1:21" ht="19.5" customHeight="1">
      <c r="A8" s="76">
        <v>5</v>
      </c>
      <c r="B8" s="77" t="str">
        <f>IFERROR(従業員マスタ!$C$8,"")</f>
        <v>塗装　史郎</v>
      </c>
      <c r="C8" s="76">
        <f>IFERROR('1月'!X37,0)</f>
        <v>10</v>
      </c>
      <c r="D8" s="76">
        <f>IFERROR('2月'!X37,0)</f>
        <v>0</v>
      </c>
      <c r="E8" s="76">
        <f>IFERROR('3月'!X37,0)</f>
        <v>0</v>
      </c>
      <c r="F8" s="76">
        <f>IFERROR('4月'!X37,0)</f>
        <v>0</v>
      </c>
      <c r="G8" s="76">
        <f>IFERROR('5月'!X37,0)</f>
        <v>0</v>
      </c>
      <c r="H8" s="76">
        <f>IFERROR('6月'!X37,0)</f>
        <v>0</v>
      </c>
      <c r="I8" s="76">
        <f>IFERROR('7月'!X37,0)</f>
        <v>0</v>
      </c>
      <c r="J8" s="76">
        <f>IFERROR('8月'!X37,0)</f>
        <v>0</v>
      </c>
      <c r="K8" s="76">
        <f>IFERROR('9月'!X37,0)</f>
        <v>0</v>
      </c>
      <c r="L8" s="76">
        <f>IFERROR('10月'!X37,0)</f>
        <v>0</v>
      </c>
      <c r="M8" s="76">
        <f>IFERROR('11月'!X37,0)</f>
        <v>0</v>
      </c>
      <c r="N8" s="76">
        <f>IFERROR('12月'!X37,0)</f>
        <v>0</v>
      </c>
      <c r="O8" s="78">
        <f>IFERROR('1月'!X35,0)+IFERROR('2月'!X35,0)+IFERROR('3月'!X35,0)+IFERROR('4月'!X35,0)+IFERROR('5月'!X35,0)+IFERROR('6月'!X35,0)+IFERROR('7月'!X35,0)+IFERROR('8月'!X35,0)+IFERROR('9月'!X35,0)+IFERROR('10月'!X35,0)+IFERROR('11月'!X35,0)+IFERROR('12月'!X35,0)</f>
        <v>10</v>
      </c>
      <c r="P8" s="64">
        <f>IFERROR('1月'!X36,0)+IFERROR('2月'!X36,0)+IFERROR('3月'!X36,0)+IFERROR('4月'!X36,0)+IFERROR('5月'!X36,0)+IFERROR('6月'!X36,0)+IFERROR('7月'!X36,0)+IFERROR('8月'!X36,0)+IFERROR('9月'!X36,0)+IFERROR('10月'!X36,0)+IFERROR('11月'!X36,0)+IFERROR('12月'!X36,0)</f>
        <v>0</v>
      </c>
      <c r="Q8" s="79">
        <f t="shared" si="0"/>
        <v>10</v>
      </c>
      <c r="R8" s="78">
        <f>IFERROR('1月'!X38,0)+IFERROR('2月'!X38,0)+IFERROR('3月'!X38,0)+IFERROR('4月'!X38,0)+IFERROR('5月'!X38,0)+IFERROR('6月'!X38,0)+IFERROR('7月'!X38,0)+IFERROR('8月'!X38,0)+IFERROR('9月'!X38,0)+IFERROR('10月'!X38,0)+IFERROR('11月'!X38,0)+IFERROR('12月'!X38,0)</f>
        <v>0</v>
      </c>
      <c r="S8" s="80">
        <f>IFERROR('1月'!X39,0)+IFERROR('2月'!X39,0)+IFERROR('3月'!X39,0)+IFERROR('4月'!X39,0)+IFERROR('5月'!X39,0)+IFERROR('6月'!X39,0)+IFERROR('7月'!X39,0)+IFERROR('8月'!X39,0)+IFERROR('9月'!X39,0)+IFERROR('10月'!X39,0)+IFERROR('11月'!X39,0)+IFERROR('12月'!X39,0)</f>
        <v>0</v>
      </c>
      <c r="T8" s="81">
        <f>IFERROR('1月'!X40,0)+IFERROR('2月'!X40,0)+IFERROR('3月'!X40,0)+IFERROR('4月'!X40,0)+IFERROR('5月'!X40,0)+IFERROR('6月'!X40,0)+IFERROR('7月'!X40,0)+IFERROR('8月'!X40,0)+IFERROR('9月'!X40,0)+IFERROR('10月'!X40,0)+IFERROR('11月'!X40,0)+IFERROR('12月'!X40,0)</f>
        <v>0</v>
      </c>
    </row>
    <row r="9" spans="1:21" ht="19.5" customHeight="1">
      <c r="A9" s="76">
        <v>6</v>
      </c>
      <c r="B9" s="77" t="str">
        <f>IFERROR(従業員マスタ!$C$9,"")</f>
        <v>電工　五郎</v>
      </c>
      <c r="C9" s="76">
        <f>IFERROR('1月'!AC37,0)</f>
        <v>10</v>
      </c>
      <c r="D9" s="76">
        <f>IFERROR('2月'!AC37,0)</f>
        <v>0</v>
      </c>
      <c r="E9" s="76">
        <f>IFERROR('3月'!AC37,0)</f>
        <v>0</v>
      </c>
      <c r="F9" s="76">
        <f>IFERROR('4月'!AC37,0)</f>
        <v>0</v>
      </c>
      <c r="G9" s="76">
        <f>IFERROR('5月'!AC37,0)</f>
        <v>0</v>
      </c>
      <c r="H9" s="76">
        <f>IFERROR('6月'!AC37,0)</f>
        <v>0</v>
      </c>
      <c r="I9" s="76">
        <f>IFERROR('7月'!AC37,0)</f>
        <v>0</v>
      </c>
      <c r="J9" s="76">
        <f>IFERROR('8月'!AC37,0)</f>
        <v>0</v>
      </c>
      <c r="K9" s="76">
        <f>IFERROR('9月'!AC37,0)</f>
        <v>0</v>
      </c>
      <c r="L9" s="76">
        <f>IFERROR('10月'!AC37,0)</f>
        <v>0</v>
      </c>
      <c r="M9" s="76">
        <f>IFERROR('11月'!AC37,0)</f>
        <v>0</v>
      </c>
      <c r="N9" s="76">
        <f>IFERROR('12月'!AC37,0)</f>
        <v>0</v>
      </c>
      <c r="O9" s="78">
        <f>IFERROR('1月'!AC35,0)+IFERROR('2月'!AC35,0)+IFERROR('3月'!AC35,0)+IFERROR('4月'!AC35,0)+IFERROR('5月'!AC35,0)+IFERROR('6月'!AC35,0)+IFERROR('7月'!AC35,0)+IFERROR('8月'!AC35,0)+IFERROR('9月'!AC35,0)+IFERROR('10月'!AC35,0)+IFERROR('11月'!AC35,0)+IFERROR('12月'!AC35,0)</f>
        <v>10</v>
      </c>
      <c r="P9" s="64">
        <f>IFERROR('1月'!AC36,0)+IFERROR('2月'!AC36,0)+IFERROR('3月'!AC36,0)+IFERROR('4月'!AC36,0)+IFERROR('5月'!AC36,0)+IFERROR('6月'!AC36,0)+IFERROR('7月'!AC36,0)+IFERROR('8月'!AC36,0)+IFERROR('9月'!AC36,0)+IFERROR('10月'!AC36,0)+IFERROR('11月'!AC36,0)+IFERROR('12月'!AC36,0)</f>
        <v>0</v>
      </c>
      <c r="Q9" s="79">
        <f t="shared" si="0"/>
        <v>10</v>
      </c>
      <c r="R9" s="78">
        <f>IFERROR('1月'!AC38,0)+IFERROR('2月'!AC38,0)+IFERROR('3月'!AC38,0)+IFERROR('4月'!AC38,0)+IFERROR('5月'!AC38,0)+IFERROR('6月'!AC38,0)+IFERROR('7月'!AC38,0)+IFERROR('8月'!AC38,0)+IFERROR('9月'!AC38,0)+IFERROR('10月'!AC38,0)+IFERROR('11月'!AC38,0)+IFERROR('12月'!AC38,0)</f>
        <v>0</v>
      </c>
      <c r="S9" s="80">
        <f>IFERROR('1月'!AC39,0)+IFERROR('2月'!AC39,0)+IFERROR('3月'!AC39,0)+IFERROR('4月'!AC39,0)+IFERROR('5月'!AC39,0)+IFERROR('6月'!AC39,0)+IFERROR('7月'!AC39,0)+IFERROR('8月'!AC39,0)+IFERROR('9月'!AC39,0)+IFERROR('10月'!AC39,0)+IFERROR('11月'!AC39,0)+IFERROR('12月'!AC39,0)</f>
        <v>0</v>
      </c>
      <c r="T9" s="81">
        <f>IFERROR('1月'!AC40,0)+IFERROR('2月'!AC40,0)+IFERROR('3月'!AC40,0)+IFERROR('4月'!AC40,0)+IFERROR('5月'!AC40,0)+IFERROR('6月'!AC40,0)+IFERROR('7月'!AC40,0)+IFERROR('8月'!AC40,0)+IFERROR('9月'!AC40,0)+IFERROR('10月'!AC40,0)+IFERROR('11月'!AC40,0)+IFERROR('12月'!AC40,0)</f>
        <v>0</v>
      </c>
    </row>
    <row r="10" spans="1:21" ht="19.5" customHeight="1">
      <c r="A10" s="76">
        <v>7</v>
      </c>
      <c r="B10" s="77" t="str">
        <f>IFERROR(従業員マスタ!$C$10,"")</f>
        <v>現場　花子</v>
      </c>
      <c r="C10" s="76">
        <f>IFERROR('1月'!AH37,0)</f>
        <v>0</v>
      </c>
      <c r="D10" s="76">
        <f>IFERROR('2月'!AH37,0)</f>
        <v>0</v>
      </c>
      <c r="E10" s="76">
        <f>IFERROR('3月'!AH37,0)</f>
        <v>0</v>
      </c>
      <c r="F10" s="76">
        <f>IFERROR('4月'!AH37,0)</f>
        <v>0</v>
      </c>
      <c r="G10" s="76">
        <f>IFERROR('5月'!AH37,0)</f>
        <v>0</v>
      </c>
      <c r="H10" s="76">
        <f>IFERROR('6月'!AH37,0)</f>
        <v>0</v>
      </c>
      <c r="I10" s="76">
        <f>IFERROR('7月'!AH37,0)</f>
        <v>0</v>
      </c>
      <c r="J10" s="76">
        <f>IFERROR('8月'!AH37,0)</f>
        <v>0</v>
      </c>
      <c r="K10" s="76">
        <f>IFERROR('9月'!AH37,0)</f>
        <v>0</v>
      </c>
      <c r="L10" s="76">
        <f>IFERROR('10月'!AH37,0)</f>
        <v>0</v>
      </c>
      <c r="M10" s="76">
        <f>IFERROR('11月'!AH37,0)</f>
        <v>0</v>
      </c>
      <c r="N10" s="76">
        <f>IFERROR('12月'!AH37,0)</f>
        <v>0</v>
      </c>
      <c r="O10" s="78">
        <f>IFERROR('1月'!AH35,0)+IFERROR('2月'!AH35,0)+IFERROR('3月'!AH35,0)+IFERROR('4月'!AH35,0)+IFERROR('5月'!AH35,0)+IFERROR('6月'!AH35,0)+IFERROR('7月'!AH35,0)+IFERROR('8月'!AH35,0)+IFERROR('9月'!AH35,0)+IFERROR('10月'!AH35,0)+IFERROR('11月'!AH35,0)+IFERROR('12月'!AH35,0)</f>
        <v>0</v>
      </c>
      <c r="P10" s="64">
        <f>IFERROR('1月'!AH36,0)+IFERROR('2月'!AH36,0)+IFERROR('3月'!AH36,0)+IFERROR('4月'!AH36,0)+IFERROR('5月'!AH36,0)+IFERROR('6月'!AH36,0)+IFERROR('7月'!AH36,0)+IFERROR('8月'!AH36,0)+IFERROR('9月'!AH36,0)+IFERROR('10月'!AH36,0)+IFERROR('11月'!AH36,0)+IFERROR('12月'!AH36,0)</f>
        <v>0</v>
      </c>
      <c r="Q10" s="79">
        <f t="shared" si="0"/>
        <v>0</v>
      </c>
      <c r="R10" s="78">
        <f>IFERROR('1月'!AH38,0)+IFERROR('2月'!AH38,0)+IFERROR('3月'!AH38,0)+IFERROR('4月'!AH38,0)+IFERROR('5月'!AH38,0)+IFERROR('6月'!AH38,0)+IFERROR('7月'!AH38,0)+IFERROR('8月'!AH38,0)+IFERROR('9月'!AH38,0)+IFERROR('10月'!AH38,0)+IFERROR('11月'!AH38,0)+IFERROR('12月'!AH38,0)</f>
        <v>0</v>
      </c>
      <c r="S10" s="80">
        <f>IFERROR('1月'!AH39,0)+IFERROR('2月'!AH39,0)+IFERROR('3月'!AH39,0)+IFERROR('4月'!AH39,0)+IFERROR('5月'!AH39,0)+IFERROR('6月'!AH39,0)+IFERROR('7月'!AH39,0)+IFERROR('8月'!AH39,0)+IFERROR('9月'!AH39,0)+IFERROR('10月'!AH39,0)+IFERROR('11月'!AH39,0)+IFERROR('12月'!AH39,0)</f>
        <v>0</v>
      </c>
      <c r="T10" s="81">
        <f>IFERROR('1月'!AH40,0)+IFERROR('2月'!AH40,0)+IFERROR('3月'!AH40,0)+IFERROR('4月'!AH40,0)+IFERROR('5月'!AH40,0)+IFERROR('6月'!AH40,0)+IFERROR('7月'!AH40,0)+IFERROR('8月'!AH40,0)+IFERROR('9月'!AH40,0)+IFERROR('10月'!AH40,0)+IFERROR('11月'!AH40,0)+IFERROR('12月'!AH40,0)</f>
        <v>0</v>
      </c>
    </row>
    <row r="11" spans="1:21" ht="19.5" customHeight="1">
      <c r="A11" s="76">
        <v>8</v>
      </c>
      <c r="B11" s="77">
        <f>IFERROR(従業員マスタ!$C$11,"")</f>
        <v>0</v>
      </c>
      <c r="C11" s="76">
        <f>IFERROR('1月'!AM37,0)</f>
        <v>0</v>
      </c>
      <c r="D11" s="76">
        <f>IFERROR('2月'!AM37,0)</f>
        <v>0</v>
      </c>
      <c r="E11" s="76">
        <f>IFERROR('3月'!AM37,0)</f>
        <v>0</v>
      </c>
      <c r="F11" s="76">
        <f>IFERROR('4月'!AM37,0)</f>
        <v>0</v>
      </c>
      <c r="G11" s="76">
        <f>IFERROR('5月'!AM37,0)</f>
        <v>0</v>
      </c>
      <c r="H11" s="76">
        <f>IFERROR('6月'!AM37,0)</f>
        <v>0</v>
      </c>
      <c r="I11" s="76">
        <f>IFERROR('7月'!AM37,0)</f>
        <v>0</v>
      </c>
      <c r="J11" s="76">
        <f>IFERROR('8月'!AM37,0)</f>
        <v>0</v>
      </c>
      <c r="K11" s="76">
        <f>IFERROR('9月'!AM37,0)</f>
        <v>0</v>
      </c>
      <c r="L11" s="76">
        <f>IFERROR('10月'!AM37,0)</f>
        <v>0</v>
      </c>
      <c r="M11" s="76">
        <f>IFERROR('11月'!AM37,0)</f>
        <v>0</v>
      </c>
      <c r="N11" s="76">
        <f>IFERROR('12月'!AM37,0)</f>
        <v>0</v>
      </c>
      <c r="O11" s="78">
        <f>IFERROR('1月'!AM35,0)+IFERROR('2月'!AM35,0)+IFERROR('3月'!AM35,0)+IFERROR('4月'!AM35,0)+IFERROR('5月'!AM35,0)+IFERROR('6月'!AM35,0)+IFERROR('7月'!AM35,0)+IFERROR('8月'!AM35,0)+IFERROR('9月'!AM35,0)+IFERROR('10月'!AM35,0)+IFERROR('11月'!AM35,0)+IFERROR('12月'!AM35,0)</f>
        <v>0</v>
      </c>
      <c r="P11" s="64">
        <f>IFERROR('1月'!AM36,0)+IFERROR('2月'!AM36,0)+IFERROR('3月'!AM36,0)+IFERROR('4月'!AM36,0)+IFERROR('5月'!AM36,0)+IFERROR('6月'!AM36,0)+IFERROR('7月'!AM36,0)+IFERROR('8月'!AM36,0)+IFERROR('9月'!AM36,0)+IFERROR('10月'!AM36,0)+IFERROR('11月'!AM36,0)+IFERROR('12月'!AM36,0)</f>
        <v>0</v>
      </c>
      <c r="Q11" s="79">
        <f t="shared" si="0"/>
        <v>0</v>
      </c>
      <c r="R11" s="78">
        <f>IFERROR('1月'!AM38,0)+IFERROR('2月'!AM38,0)+IFERROR('3月'!AM38,0)+IFERROR('4月'!AM38,0)+IFERROR('5月'!AM38,0)+IFERROR('6月'!AM38,0)+IFERROR('7月'!AM38,0)+IFERROR('8月'!AM38,0)+IFERROR('9月'!AM38,0)+IFERROR('10月'!AM38,0)+IFERROR('11月'!AM38,0)+IFERROR('12月'!AM38,0)</f>
        <v>0</v>
      </c>
      <c r="S11" s="80">
        <f>IFERROR('1月'!AM39,0)+IFERROR('2月'!AM39,0)+IFERROR('3月'!AM39,0)+IFERROR('4月'!AM39,0)+IFERROR('5月'!AM39,0)+IFERROR('6月'!AM39,0)+IFERROR('7月'!AM39,0)+IFERROR('8月'!AM39,0)+IFERROR('9月'!AM39,0)+IFERROR('10月'!AM39,0)+IFERROR('11月'!AM39,0)+IFERROR('12月'!AM39,0)</f>
        <v>0</v>
      </c>
      <c r="T11" s="81">
        <f>IFERROR('1月'!AM40,0)+IFERROR('2月'!AM40,0)+IFERROR('3月'!AM40,0)+IFERROR('4月'!AM40,0)+IFERROR('5月'!AM40,0)+IFERROR('6月'!AM40,0)+IFERROR('7月'!AM40,0)+IFERROR('8月'!AM40,0)+IFERROR('9月'!AM40,0)+IFERROR('10月'!AM40,0)+IFERROR('11月'!AM40,0)+IFERROR('12月'!AM40,0)</f>
        <v>0</v>
      </c>
    </row>
    <row r="12" spans="1:21" ht="19.5" customHeight="1">
      <c r="A12" s="76">
        <v>9</v>
      </c>
      <c r="B12" s="77">
        <f>IFERROR(従業員マスタ!$C$12,"")</f>
        <v>0</v>
      </c>
      <c r="C12" s="76">
        <f>IFERROR('1月'!AR37,0)</f>
        <v>0</v>
      </c>
      <c r="D12" s="76">
        <f>IFERROR('2月'!AR37,0)</f>
        <v>0</v>
      </c>
      <c r="E12" s="76">
        <f>IFERROR('3月'!AR37,0)</f>
        <v>0</v>
      </c>
      <c r="F12" s="76">
        <f>IFERROR('4月'!AR37,0)</f>
        <v>0</v>
      </c>
      <c r="G12" s="76">
        <f>IFERROR('5月'!AR37,0)</f>
        <v>0</v>
      </c>
      <c r="H12" s="76">
        <f>IFERROR('6月'!AR37,0)</f>
        <v>0</v>
      </c>
      <c r="I12" s="76">
        <f>IFERROR('7月'!AR37,0)</f>
        <v>0</v>
      </c>
      <c r="J12" s="76">
        <f>IFERROR('8月'!AR37,0)</f>
        <v>0</v>
      </c>
      <c r="K12" s="76">
        <f>IFERROR('9月'!AR37,0)</f>
        <v>0</v>
      </c>
      <c r="L12" s="76">
        <f>IFERROR('10月'!AR37,0)</f>
        <v>0</v>
      </c>
      <c r="M12" s="76">
        <f>IFERROR('11月'!AR37,0)</f>
        <v>0</v>
      </c>
      <c r="N12" s="76">
        <f>IFERROR('12月'!AR37,0)</f>
        <v>0</v>
      </c>
      <c r="O12" s="78">
        <f>IFERROR('1月'!AR35,0)+IFERROR('2月'!AR35,0)+IFERROR('3月'!AR35,0)+IFERROR('4月'!AR35,0)+IFERROR('5月'!AR35,0)+IFERROR('6月'!AR35,0)+IFERROR('7月'!AR35,0)+IFERROR('8月'!AR35,0)+IFERROR('9月'!AR35,0)+IFERROR('10月'!AR35,0)+IFERROR('11月'!AR35,0)+IFERROR('12月'!AR35,0)</f>
        <v>0</v>
      </c>
      <c r="P12" s="64">
        <f>IFERROR('1月'!AR36,0)+IFERROR('2月'!AR36,0)+IFERROR('3月'!AR36,0)+IFERROR('4月'!AR36,0)+IFERROR('5月'!AR36,0)+IFERROR('6月'!AR36,0)+IFERROR('7月'!AR36,0)+IFERROR('8月'!AR36,0)+IFERROR('9月'!AR36,0)+IFERROR('10月'!AR36,0)+IFERROR('11月'!AR36,0)+IFERROR('12月'!AR36,0)</f>
        <v>0</v>
      </c>
      <c r="Q12" s="79">
        <f t="shared" si="0"/>
        <v>0</v>
      </c>
      <c r="R12" s="78">
        <f>IFERROR('1月'!AR38,0)+IFERROR('2月'!AR38,0)+IFERROR('3月'!AR38,0)+IFERROR('4月'!AR38,0)+IFERROR('5月'!AR38,0)+IFERROR('6月'!AR38,0)+IFERROR('7月'!AR38,0)+IFERROR('8月'!AR38,0)+IFERROR('9月'!AR38,0)+IFERROR('10月'!AR38,0)+IFERROR('11月'!AR38,0)+IFERROR('12月'!AR38,0)</f>
        <v>0</v>
      </c>
      <c r="S12" s="80">
        <f>IFERROR('1月'!AR39,0)+IFERROR('2月'!AR39,0)+IFERROR('3月'!AR39,0)+IFERROR('4月'!AR39,0)+IFERROR('5月'!AR39,0)+IFERROR('6月'!AR39,0)+IFERROR('7月'!AR39,0)+IFERROR('8月'!AR39,0)+IFERROR('9月'!AR39,0)+IFERROR('10月'!AR39,0)+IFERROR('11月'!AR39,0)+IFERROR('12月'!AR39,0)</f>
        <v>0</v>
      </c>
      <c r="T12" s="81">
        <f>IFERROR('1月'!AR40,0)+IFERROR('2月'!AR40,0)+IFERROR('3月'!AR40,0)+IFERROR('4月'!AR40,0)+IFERROR('5月'!AR40,0)+IFERROR('6月'!AR40,0)+IFERROR('7月'!AR40,0)+IFERROR('8月'!AR40,0)+IFERROR('9月'!AR40,0)+IFERROR('10月'!AR40,0)+IFERROR('11月'!AR40,0)+IFERROR('12月'!AR40,0)</f>
        <v>0</v>
      </c>
    </row>
    <row r="13" spans="1:21" ht="19.5" customHeight="1">
      <c r="A13" s="76">
        <v>10</v>
      </c>
      <c r="B13" s="77">
        <f>IFERROR(従業員マスタ!$C$13,"")</f>
        <v>0</v>
      </c>
      <c r="C13" s="76">
        <f>IFERROR('1月'!AW37,0)</f>
        <v>0</v>
      </c>
      <c r="D13" s="76">
        <f>IFERROR('2月'!AW37,0)</f>
        <v>0</v>
      </c>
      <c r="E13" s="76">
        <f>IFERROR('3月'!AW37,0)</f>
        <v>0</v>
      </c>
      <c r="F13" s="76">
        <f>IFERROR('4月'!AW37,0)</f>
        <v>0</v>
      </c>
      <c r="G13" s="76">
        <f>IFERROR('5月'!AW37,0)</f>
        <v>0</v>
      </c>
      <c r="H13" s="76">
        <f>IFERROR('6月'!AW37,0)</f>
        <v>0</v>
      </c>
      <c r="I13" s="76">
        <f>IFERROR('7月'!AW37,0)</f>
        <v>0</v>
      </c>
      <c r="J13" s="76">
        <f>IFERROR('8月'!AW37,0)</f>
        <v>0</v>
      </c>
      <c r="K13" s="76">
        <f>IFERROR('9月'!AW37,0)</f>
        <v>0</v>
      </c>
      <c r="L13" s="76">
        <f>IFERROR('10月'!AW37,0)</f>
        <v>0</v>
      </c>
      <c r="M13" s="76">
        <f>IFERROR('11月'!AW37,0)</f>
        <v>0</v>
      </c>
      <c r="N13" s="76">
        <f>IFERROR('12月'!AW37,0)</f>
        <v>0</v>
      </c>
      <c r="O13" s="78">
        <f>IFERROR('1月'!AW35,0)+IFERROR('2月'!AW35,0)+IFERROR('3月'!AW35,0)+IFERROR('4月'!AW35,0)+IFERROR('5月'!AW35,0)+IFERROR('6月'!AW35,0)+IFERROR('7月'!AW35,0)+IFERROR('8月'!AW35,0)+IFERROR('9月'!AW35,0)+IFERROR('10月'!AW35,0)+IFERROR('11月'!AW35,0)+IFERROR('12月'!AW35,0)</f>
        <v>0</v>
      </c>
      <c r="P13" s="64">
        <f>IFERROR('1月'!AW36,0)+IFERROR('2月'!AW36,0)+IFERROR('3月'!AW36,0)+IFERROR('4月'!AW36,0)+IFERROR('5月'!AW36,0)+IFERROR('6月'!AW36,0)+IFERROR('7月'!AW36,0)+IFERROR('8月'!AW36,0)+IFERROR('9月'!AW36,0)+IFERROR('10月'!AW36,0)+IFERROR('11月'!AW36,0)+IFERROR('12月'!AW36,0)</f>
        <v>0</v>
      </c>
      <c r="Q13" s="79">
        <f t="shared" si="0"/>
        <v>0</v>
      </c>
      <c r="R13" s="78">
        <f>IFERROR('1月'!AW38,0)+IFERROR('2月'!AW38,0)+IFERROR('3月'!AW38,0)+IFERROR('4月'!AW38,0)+IFERROR('5月'!AW38,0)+IFERROR('6月'!AW38,0)+IFERROR('7月'!AW38,0)+IFERROR('8月'!AW38,0)+IFERROR('9月'!AW38,0)+IFERROR('10月'!AW38,0)+IFERROR('11月'!AW38,0)+IFERROR('12月'!AW38,0)</f>
        <v>0</v>
      </c>
      <c r="S13" s="80">
        <f>IFERROR('1月'!AW39,0)+IFERROR('2月'!AW39,0)+IFERROR('3月'!AW39,0)+IFERROR('4月'!AW39,0)+IFERROR('5月'!AW39,0)+IFERROR('6月'!AW39,0)+IFERROR('7月'!AW39,0)+IFERROR('8月'!AW39,0)+IFERROR('9月'!AW39,0)+IFERROR('10月'!AW39,0)+IFERROR('11月'!AW39,0)+IFERROR('12月'!AW39,0)</f>
        <v>0</v>
      </c>
      <c r="T13" s="81">
        <f>IFERROR('1月'!AW40,0)+IFERROR('2月'!AW40,0)+IFERROR('3月'!AW40,0)+IFERROR('4月'!AW40,0)+IFERROR('5月'!AW40,0)+IFERROR('6月'!AW40,0)+IFERROR('7月'!AW40,0)+IFERROR('8月'!AW40,0)+IFERROR('9月'!AW40,0)+IFERROR('10月'!AW40,0)+IFERROR('11月'!AW40,0)+IFERROR('12月'!AW40,0)</f>
        <v>0</v>
      </c>
    </row>
    <row r="14" spans="1:21" ht="19.5" customHeight="1">
      <c r="A14" s="76">
        <v>11</v>
      </c>
      <c r="B14" s="77">
        <f>IFERROR(従業員マスタ!$C$14,"")</f>
        <v>0</v>
      </c>
      <c r="C14" s="76">
        <f>IFERROR('1月'!BB37,0)</f>
        <v>0</v>
      </c>
      <c r="D14" s="76">
        <f>IFERROR('2月'!BB37,0)</f>
        <v>0</v>
      </c>
      <c r="E14" s="76">
        <f>IFERROR('3月'!BB37,0)</f>
        <v>0</v>
      </c>
      <c r="F14" s="76">
        <f>IFERROR('4月'!BB37,0)</f>
        <v>0</v>
      </c>
      <c r="G14" s="76">
        <f>IFERROR('5月'!BB37,0)</f>
        <v>0</v>
      </c>
      <c r="H14" s="76">
        <f>IFERROR('6月'!BB37,0)</f>
        <v>0</v>
      </c>
      <c r="I14" s="76">
        <f>IFERROR('7月'!BB37,0)</f>
        <v>0</v>
      </c>
      <c r="J14" s="76">
        <f>IFERROR('8月'!BB37,0)</f>
        <v>0</v>
      </c>
      <c r="K14" s="76">
        <f>IFERROR('9月'!BB37,0)</f>
        <v>0</v>
      </c>
      <c r="L14" s="76">
        <f>IFERROR('10月'!BB37,0)</f>
        <v>0</v>
      </c>
      <c r="M14" s="76">
        <f>IFERROR('11月'!BB37,0)</f>
        <v>0</v>
      </c>
      <c r="N14" s="76">
        <f>IFERROR('12月'!BB37,0)</f>
        <v>0</v>
      </c>
      <c r="O14" s="78">
        <f>IFERROR('1月'!BB35,0)+IFERROR('2月'!BB35,0)+IFERROR('3月'!BB35,0)+IFERROR('4月'!BB35,0)+IFERROR('5月'!BB35,0)+IFERROR('6月'!BB35,0)+IFERROR('7月'!BB35,0)+IFERROR('8月'!BB35,0)+IFERROR('9月'!BB35,0)+IFERROR('10月'!BB35,0)+IFERROR('11月'!BB35,0)+IFERROR('12月'!BB35,0)</f>
        <v>0</v>
      </c>
      <c r="P14" s="64">
        <f>IFERROR('1月'!BB36,0)+IFERROR('2月'!BB36,0)+IFERROR('3月'!BB36,0)+IFERROR('4月'!BB36,0)+IFERROR('5月'!BB36,0)+IFERROR('6月'!BB36,0)+IFERROR('7月'!BB36,0)+IFERROR('8月'!BB36,0)+IFERROR('9月'!BB36,0)+IFERROR('10月'!BB36,0)+IFERROR('11月'!BB36,0)+IFERROR('12月'!BB36,0)</f>
        <v>0</v>
      </c>
      <c r="Q14" s="79">
        <f t="shared" si="0"/>
        <v>0</v>
      </c>
      <c r="R14" s="78">
        <f>IFERROR('1月'!BB38,0)+IFERROR('2月'!BB38,0)+IFERROR('3月'!BB38,0)+IFERROR('4月'!BB38,0)+IFERROR('5月'!BB38,0)+IFERROR('6月'!BB38,0)+IFERROR('7月'!BB38,0)+IFERROR('8月'!BB38,0)+IFERROR('9月'!BB38,0)+IFERROR('10月'!BB38,0)+IFERROR('11月'!BB38,0)+IFERROR('12月'!BB38,0)</f>
        <v>0</v>
      </c>
      <c r="S14" s="80">
        <f>IFERROR('1月'!BB39,0)+IFERROR('2月'!BB39,0)+IFERROR('3月'!BB39,0)+IFERROR('4月'!BB39,0)+IFERROR('5月'!BB39,0)+IFERROR('6月'!BB39,0)+IFERROR('7月'!BB39,0)+IFERROR('8月'!BB39,0)+IFERROR('9月'!BB39,0)+IFERROR('10月'!BB39,0)+IFERROR('11月'!BB39,0)+IFERROR('12月'!BB39,0)</f>
        <v>0</v>
      </c>
      <c r="T14" s="81">
        <f>IFERROR('1月'!BB40,0)+IFERROR('2月'!BB40,0)+IFERROR('3月'!BB40,0)+IFERROR('4月'!BB40,0)+IFERROR('5月'!BB40,0)+IFERROR('6月'!BB40,0)+IFERROR('7月'!BB40,0)+IFERROR('8月'!BB40,0)+IFERROR('9月'!BB40,0)+IFERROR('10月'!BB40,0)+IFERROR('11月'!BB40,0)+IFERROR('12月'!BB40,0)</f>
        <v>0</v>
      </c>
    </row>
    <row r="15" spans="1:21" ht="19.5" customHeight="1">
      <c r="A15" s="76">
        <v>12</v>
      </c>
      <c r="B15" s="77">
        <f>IFERROR(従業員マスタ!$C$15,"")</f>
        <v>0</v>
      </c>
      <c r="C15" s="76">
        <f>IFERROR('1月'!BG37,0)</f>
        <v>0</v>
      </c>
      <c r="D15" s="76">
        <f>IFERROR('2月'!BG37,0)</f>
        <v>0</v>
      </c>
      <c r="E15" s="76">
        <f>IFERROR('3月'!BG37,0)</f>
        <v>0</v>
      </c>
      <c r="F15" s="76">
        <f>IFERROR('4月'!BG37,0)</f>
        <v>0</v>
      </c>
      <c r="G15" s="76">
        <f>IFERROR('5月'!BG37,0)</f>
        <v>0</v>
      </c>
      <c r="H15" s="76">
        <f>IFERROR('6月'!BG37,0)</f>
        <v>0</v>
      </c>
      <c r="I15" s="76">
        <f>IFERROR('7月'!BG37,0)</f>
        <v>0</v>
      </c>
      <c r="J15" s="76">
        <f>IFERROR('8月'!BG37,0)</f>
        <v>0</v>
      </c>
      <c r="K15" s="76">
        <f>IFERROR('9月'!BG37,0)</f>
        <v>0</v>
      </c>
      <c r="L15" s="76">
        <f>IFERROR('10月'!BG37,0)</f>
        <v>0</v>
      </c>
      <c r="M15" s="76">
        <f>IFERROR('11月'!BG37,0)</f>
        <v>0</v>
      </c>
      <c r="N15" s="76">
        <f>IFERROR('12月'!BG37,0)</f>
        <v>0</v>
      </c>
      <c r="O15" s="78">
        <f>IFERROR('1月'!BG35,0)+IFERROR('2月'!BG35,0)+IFERROR('3月'!BG35,0)+IFERROR('4月'!BG35,0)+IFERROR('5月'!BG35,0)+IFERROR('6月'!BG35,0)+IFERROR('7月'!BG35,0)+IFERROR('8月'!BG35,0)+IFERROR('9月'!BG35,0)+IFERROR('10月'!BG35,0)+IFERROR('11月'!BG35,0)+IFERROR('12月'!BG35,0)</f>
        <v>0</v>
      </c>
      <c r="P15" s="64">
        <f>IFERROR('1月'!BG36,0)+IFERROR('2月'!BG36,0)+IFERROR('3月'!BG36,0)+IFERROR('4月'!BG36,0)+IFERROR('5月'!BG36,0)+IFERROR('6月'!BG36,0)+IFERROR('7月'!BG36,0)+IFERROR('8月'!BG36,0)+IFERROR('9月'!BG36,0)+IFERROR('10月'!BG36,0)+IFERROR('11月'!BG36,0)+IFERROR('12月'!BG36,0)</f>
        <v>0</v>
      </c>
      <c r="Q15" s="79">
        <f t="shared" si="0"/>
        <v>0</v>
      </c>
      <c r="R15" s="78">
        <f>IFERROR('1月'!BG38,0)+IFERROR('2月'!BG38,0)+IFERROR('3月'!BG38,0)+IFERROR('4月'!BG38,0)+IFERROR('5月'!BG38,0)+IFERROR('6月'!BG38,0)+IFERROR('7月'!BG38,0)+IFERROR('8月'!BG38,0)+IFERROR('9月'!BG38,0)+IFERROR('10月'!BG38,0)+IFERROR('11月'!BG38,0)+IFERROR('12月'!BG38,0)</f>
        <v>0</v>
      </c>
      <c r="S15" s="80">
        <f>IFERROR('1月'!BG39,0)+IFERROR('2月'!BG39,0)+IFERROR('3月'!BG39,0)+IFERROR('4月'!BG39,0)+IFERROR('5月'!BG39,0)+IFERROR('6月'!BG39,0)+IFERROR('7月'!BG39,0)+IFERROR('8月'!BG39,0)+IFERROR('9月'!BG39,0)+IFERROR('10月'!BG39,0)+IFERROR('11月'!BG39,0)+IFERROR('12月'!BG39,0)</f>
        <v>0</v>
      </c>
      <c r="T15" s="81">
        <f>IFERROR('1月'!BG40,0)+IFERROR('2月'!BG40,0)+IFERROR('3月'!BG40,0)+IFERROR('4月'!BG40,0)+IFERROR('5月'!BG40,0)+IFERROR('6月'!BG40,0)+IFERROR('7月'!BG40,0)+IFERROR('8月'!BG40,0)+IFERROR('9月'!BG40,0)+IFERROR('10月'!BG40,0)+IFERROR('11月'!BG40,0)+IFERROR('12月'!BG40,0)</f>
        <v>0</v>
      </c>
    </row>
    <row r="16" spans="1:21" ht="19.5" customHeight="1">
      <c r="A16" s="76">
        <v>13</v>
      </c>
      <c r="B16" s="77">
        <f>IFERROR(従業員マスタ!$C$16,"")</f>
        <v>0</v>
      </c>
      <c r="C16" s="76">
        <f>IFERROR('1月'!BL37,0)</f>
        <v>0</v>
      </c>
      <c r="D16" s="76">
        <f>IFERROR('2月'!BL37,0)</f>
        <v>0</v>
      </c>
      <c r="E16" s="76">
        <f>IFERROR('3月'!BL37,0)</f>
        <v>0</v>
      </c>
      <c r="F16" s="76">
        <f>IFERROR('4月'!BL37,0)</f>
        <v>0</v>
      </c>
      <c r="G16" s="76">
        <f>IFERROR('5月'!BL37,0)</f>
        <v>0</v>
      </c>
      <c r="H16" s="76">
        <f>IFERROR('6月'!BL37,0)</f>
        <v>0</v>
      </c>
      <c r="I16" s="76">
        <f>IFERROR('7月'!BL37,0)</f>
        <v>0</v>
      </c>
      <c r="J16" s="76">
        <f>IFERROR('8月'!BL37,0)</f>
        <v>0</v>
      </c>
      <c r="K16" s="76">
        <f>IFERROR('9月'!BL37,0)</f>
        <v>0</v>
      </c>
      <c r="L16" s="76">
        <f>IFERROR('10月'!BL37,0)</f>
        <v>0</v>
      </c>
      <c r="M16" s="76">
        <f>IFERROR('11月'!BL37,0)</f>
        <v>0</v>
      </c>
      <c r="N16" s="76">
        <f>IFERROR('12月'!BL37,0)</f>
        <v>0</v>
      </c>
      <c r="O16" s="78">
        <f>IFERROR('1月'!BL35,0)+IFERROR('2月'!BL35,0)+IFERROR('3月'!BL35,0)+IFERROR('4月'!BL35,0)+IFERROR('5月'!BL35,0)+IFERROR('6月'!BL35,0)+IFERROR('7月'!BL35,0)+IFERROR('8月'!BL35,0)+IFERROR('9月'!BL35,0)+IFERROR('10月'!BL35,0)+IFERROR('11月'!BL35,0)+IFERROR('12月'!BL35,0)</f>
        <v>0</v>
      </c>
      <c r="P16" s="64">
        <f>IFERROR('1月'!BL36,0)+IFERROR('2月'!BL36,0)+IFERROR('3月'!BL36,0)+IFERROR('4月'!BL36,0)+IFERROR('5月'!BL36,0)+IFERROR('6月'!BL36,0)+IFERROR('7月'!BL36,0)+IFERROR('8月'!BL36,0)+IFERROR('9月'!BL36,0)+IFERROR('10月'!BL36,0)+IFERROR('11月'!BL36,0)+IFERROR('12月'!BL36,0)</f>
        <v>0</v>
      </c>
      <c r="Q16" s="79">
        <f t="shared" si="0"/>
        <v>0</v>
      </c>
      <c r="R16" s="78">
        <f>IFERROR('1月'!BL38,0)+IFERROR('2月'!BL38,0)+IFERROR('3月'!BL38,0)+IFERROR('4月'!BL38,0)+IFERROR('5月'!BL38,0)+IFERROR('6月'!BL38,0)+IFERROR('7月'!BL38,0)+IFERROR('8月'!BL38,0)+IFERROR('9月'!BL38,0)+IFERROR('10月'!BL38,0)+IFERROR('11月'!BL38,0)+IFERROR('12月'!BL38,0)</f>
        <v>0</v>
      </c>
      <c r="S16" s="80">
        <f>IFERROR('1月'!BL39,0)+IFERROR('2月'!BL39,0)+IFERROR('3月'!BL39,0)+IFERROR('4月'!BL39,0)+IFERROR('5月'!BL39,0)+IFERROR('6月'!BL39,0)+IFERROR('7月'!BL39,0)+IFERROR('8月'!BL39,0)+IFERROR('9月'!BL39,0)+IFERROR('10月'!BL39,0)+IFERROR('11月'!BL39,0)+IFERROR('12月'!BL39,0)</f>
        <v>0</v>
      </c>
      <c r="T16" s="81">
        <f>IFERROR('1月'!BL40,0)+IFERROR('2月'!BL40,0)+IFERROR('3月'!BL40,0)+IFERROR('4月'!BL40,0)+IFERROR('5月'!BL40,0)+IFERROR('6月'!BL40,0)+IFERROR('7月'!BL40,0)+IFERROR('8月'!BL40,0)+IFERROR('9月'!BL40,0)+IFERROR('10月'!BL40,0)+IFERROR('11月'!BL40,0)+IFERROR('12月'!BL40,0)</f>
        <v>0</v>
      </c>
    </row>
    <row r="17" spans="1:20" ht="19.5" customHeight="1">
      <c r="A17" s="76">
        <v>14</v>
      </c>
      <c r="B17" s="77">
        <f>IFERROR(従業員マスタ!$C$17,"")</f>
        <v>0</v>
      </c>
      <c r="C17" s="76">
        <f>IFERROR('1月'!BQ37,0)</f>
        <v>0</v>
      </c>
      <c r="D17" s="76">
        <f>IFERROR('2月'!BQ37,0)</f>
        <v>0</v>
      </c>
      <c r="E17" s="76">
        <f>IFERROR('3月'!BQ37,0)</f>
        <v>0</v>
      </c>
      <c r="F17" s="76">
        <f>IFERROR('4月'!BQ37,0)</f>
        <v>0</v>
      </c>
      <c r="G17" s="76">
        <f>IFERROR('5月'!BQ37,0)</f>
        <v>0</v>
      </c>
      <c r="H17" s="76">
        <f>IFERROR('6月'!BQ37,0)</f>
        <v>0</v>
      </c>
      <c r="I17" s="76">
        <f>IFERROR('7月'!BQ37,0)</f>
        <v>0</v>
      </c>
      <c r="J17" s="76">
        <f>IFERROR('8月'!BQ37,0)</f>
        <v>0</v>
      </c>
      <c r="K17" s="76">
        <f>IFERROR('9月'!BQ37,0)</f>
        <v>0</v>
      </c>
      <c r="L17" s="76">
        <f>IFERROR('10月'!BQ37,0)</f>
        <v>0</v>
      </c>
      <c r="M17" s="76">
        <f>IFERROR('11月'!BQ37,0)</f>
        <v>0</v>
      </c>
      <c r="N17" s="76">
        <f>IFERROR('12月'!BQ37,0)</f>
        <v>0</v>
      </c>
      <c r="O17" s="78">
        <f>IFERROR('1月'!BQ35,0)+IFERROR('2月'!BQ35,0)+IFERROR('3月'!BQ35,0)+IFERROR('4月'!BQ35,0)+IFERROR('5月'!BQ35,0)+IFERROR('6月'!BQ35,0)+IFERROR('7月'!BQ35,0)+IFERROR('8月'!BQ35,0)+IFERROR('9月'!BQ35,0)+IFERROR('10月'!BQ35,0)+IFERROR('11月'!BQ35,0)+IFERROR('12月'!BQ35,0)</f>
        <v>0</v>
      </c>
      <c r="P17" s="64">
        <f>IFERROR('1月'!BQ36,0)+IFERROR('2月'!BQ36,0)+IFERROR('3月'!BQ36,0)+IFERROR('4月'!BQ36,0)+IFERROR('5月'!BQ36,0)+IFERROR('6月'!BQ36,0)+IFERROR('7月'!BQ36,0)+IFERROR('8月'!BQ36,0)+IFERROR('9月'!BQ36,0)+IFERROR('10月'!BQ36,0)+IFERROR('11月'!BQ36,0)+IFERROR('12月'!BQ36,0)</f>
        <v>0</v>
      </c>
      <c r="Q17" s="79">
        <f t="shared" si="0"/>
        <v>0</v>
      </c>
      <c r="R17" s="78">
        <f>IFERROR('1月'!BQ38,0)+IFERROR('2月'!BQ38,0)+IFERROR('3月'!BQ38,0)+IFERROR('4月'!BQ38,0)+IFERROR('5月'!BQ38,0)+IFERROR('6月'!BQ38,0)+IFERROR('7月'!BQ38,0)+IFERROR('8月'!BQ38,0)+IFERROR('9月'!BQ38,0)+IFERROR('10月'!BQ38,0)+IFERROR('11月'!BQ38,0)+IFERROR('12月'!BQ38,0)</f>
        <v>0</v>
      </c>
      <c r="S17" s="80">
        <f>IFERROR('1月'!BQ39,0)+IFERROR('2月'!BQ39,0)+IFERROR('3月'!BQ39,0)+IFERROR('4月'!BQ39,0)+IFERROR('5月'!BQ39,0)+IFERROR('6月'!BQ39,0)+IFERROR('7月'!BQ39,0)+IFERROR('8月'!BQ39,0)+IFERROR('9月'!BQ39,0)+IFERROR('10月'!BQ39,0)+IFERROR('11月'!BQ39,0)+IFERROR('12月'!BQ39,0)</f>
        <v>0</v>
      </c>
      <c r="T17" s="81">
        <f>IFERROR('1月'!BQ40,0)+IFERROR('2月'!BQ40,0)+IFERROR('3月'!BQ40,0)+IFERROR('4月'!BQ40,0)+IFERROR('5月'!BQ40,0)+IFERROR('6月'!BQ40,0)+IFERROR('7月'!BQ40,0)+IFERROR('8月'!BQ40,0)+IFERROR('9月'!BQ40,0)+IFERROR('10月'!BQ40,0)+IFERROR('11月'!BQ40,0)+IFERROR('12月'!BQ40,0)</f>
        <v>0</v>
      </c>
    </row>
    <row r="18" spans="1:20" ht="19.5" customHeight="1">
      <c r="A18" s="76">
        <v>15</v>
      </c>
      <c r="B18" s="77">
        <f>IFERROR(従業員マスタ!$C$18,"")</f>
        <v>0</v>
      </c>
      <c r="C18" s="76">
        <f>IFERROR('1月'!BV37,0)</f>
        <v>0</v>
      </c>
      <c r="D18" s="76">
        <f>IFERROR('2月'!BV37,0)</f>
        <v>0</v>
      </c>
      <c r="E18" s="76">
        <f>IFERROR('3月'!BV37,0)</f>
        <v>0</v>
      </c>
      <c r="F18" s="76">
        <f>IFERROR('4月'!BV37,0)</f>
        <v>0</v>
      </c>
      <c r="G18" s="76">
        <f>IFERROR('5月'!BV37,0)</f>
        <v>0</v>
      </c>
      <c r="H18" s="76">
        <f>IFERROR('6月'!BV37,0)</f>
        <v>0</v>
      </c>
      <c r="I18" s="76">
        <f>IFERROR('7月'!BV37,0)</f>
        <v>0</v>
      </c>
      <c r="J18" s="76">
        <f>IFERROR('8月'!BV37,0)</f>
        <v>0</v>
      </c>
      <c r="K18" s="76">
        <f>IFERROR('9月'!BV37,0)</f>
        <v>0</v>
      </c>
      <c r="L18" s="76">
        <f>IFERROR('10月'!BV37,0)</f>
        <v>0</v>
      </c>
      <c r="M18" s="76">
        <f>IFERROR('11月'!BV37,0)</f>
        <v>0</v>
      </c>
      <c r="N18" s="76">
        <f>IFERROR('12月'!BV37,0)</f>
        <v>0</v>
      </c>
      <c r="O18" s="78">
        <f>IFERROR('1月'!BV35,0)+IFERROR('2月'!BV35,0)+IFERROR('3月'!BV35,0)+IFERROR('4月'!BV35,0)+IFERROR('5月'!BV35,0)+IFERROR('6月'!BV35,0)+IFERROR('7月'!BV35,0)+IFERROR('8月'!BV35,0)+IFERROR('9月'!BV35,0)+IFERROR('10月'!BV35,0)+IFERROR('11月'!BV35,0)+IFERROR('12月'!BV35,0)</f>
        <v>0</v>
      </c>
      <c r="P18" s="64">
        <f>IFERROR('1月'!BV36,0)+IFERROR('2月'!BV36,0)+IFERROR('3月'!BV36,0)+IFERROR('4月'!BV36,0)+IFERROR('5月'!BV36,0)+IFERROR('6月'!BV36,0)+IFERROR('7月'!BV36,0)+IFERROR('8月'!BV36,0)+IFERROR('9月'!BV36,0)+IFERROR('10月'!BV36,0)+IFERROR('11月'!BV36,0)+IFERROR('12月'!BV36,0)</f>
        <v>0</v>
      </c>
      <c r="Q18" s="79">
        <f t="shared" si="0"/>
        <v>0</v>
      </c>
      <c r="R18" s="78">
        <f>IFERROR('1月'!BV38,0)+IFERROR('2月'!BV38,0)+IFERROR('3月'!BV38,0)+IFERROR('4月'!BV38,0)+IFERROR('5月'!BV38,0)+IFERROR('6月'!BV38,0)+IFERROR('7月'!BV38,0)+IFERROR('8月'!BV38,0)+IFERROR('9月'!BV38,0)+IFERROR('10月'!BV38,0)+IFERROR('11月'!BV38,0)+IFERROR('12月'!BV38,0)</f>
        <v>0</v>
      </c>
      <c r="S18" s="80">
        <f>IFERROR('1月'!BV39,0)+IFERROR('2月'!BV39,0)+IFERROR('3月'!BV39,0)+IFERROR('4月'!BV39,0)+IFERROR('5月'!BV39,0)+IFERROR('6月'!BV39,0)+IFERROR('7月'!BV39,0)+IFERROR('8月'!BV39,0)+IFERROR('9月'!BV39,0)+IFERROR('10月'!BV39,0)+IFERROR('11月'!BV39,0)+IFERROR('12月'!BV39,0)</f>
        <v>0</v>
      </c>
      <c r="T18" s="81">
        <f>IFERROR('1月'!BV40,0)+IFERROR('2月'!BV40,0)+IFERROR('3月'!BV40,0)+IFERROR('4月'!BV40,0)+IFERROR('5月'!BV40,0)+IFERROR('6月'!BV40,0)+IFERROR('7月'!BV40,0)+IFERROR('8月'!BV40,0)+IFERROR('9月'!BV40,0)+IFERROR('10月'!BV40,0)+IFERROR('11月'!BV40,0)+IFERROR('12月'!BV40,0)</f>
        <v>0</v>
      </c>
    </row>
    <row r="19" spans="1:20" ht="19.5" customHeight="1">
      <c r="A19" s="76">
        <v>16</v>
      </c>
      <c r="B19" s="77">
        <f>IFERROR(従業員マスタ!$C$19,"")</f>
        <v>0</v>
      </c>
      <c r="C19" s="76">
        <f>IFERROR('1月'!CA37,0)</f>
        <v>0</v>
      </c>
      <c r="D19" s="76">
        <f>IFERROR('2月'!CA37,0)</f>
        <v>0</v>
      </c>
      <c r="E19" s="76">
        <f>IFERROR('3月'!CA37,0)</f>
        <v>0</v>
      </c>
      <c r="F19" s="76">
        <f>IFERROR('4月'!CA37,0)</f>
        <v>0</v>
      </c>
      <c r="G19" s="76">
        <f>IFERROR('5月'!CA37,0)</f>
        <v>0</v>
      </c>
      <c r="H19" s="76">
        <f>IFERROR('6月'!CA37,0)</f>
        <v>0</v>
      </c>
      <c r="I19" s="76">
        <f>IFERROR('7月'!CA37,0)</f>
        <v>0</v>
      </c>
      <c r="J19" s="76">
        <f>IFERROR('8月'!CA37,0)</f>
        <v>0</v>
      </c>
      <c r="K19" s="76">
        <f>IFERROR('9月'!CA37,0)</f>
        <v>0</v>
      </c>
      <c r="L19" s="76">
        <f>IFERROR('10月'!CA37,0)</f>
        <v>0</v>
      </c>
      <c r="M19" s="76">
        <f>IFERROR('11月'!CA37,0)</f>
        <v>0</v>
      </c>
      <c r="N19" s="76">
        <f>IFERROR('12月'!CA37,0)</f>
        <v>0</v>
      </c>
      <c r="O19" s="78">
        <f>IFERROR('1月'!CA35,0)+IFERROR('2月'!CA35,0)+IFERROR('3月'!CA35,0)+IFERROR('4月'!CA35,0)+IFERROR('5月'!CA35,0)+IFERROR('6月'!CA35,0)+IFERROR('7月'!CA35,0)+IFERROR('8月'!CA35,0)+IFERROR('9月'!CA35,0)+IFERROR('10月'!CA35,0)+IFERROR('11月'!CA35,0)+IFERROR('12月'!CA35,0)</f>
        <v>0</v>
      </c>
      <c r="P19" s="64">
        <f>IFERROR('1月'!CA36,0)+IFERROR('2月'!CA36,0)+IFERROR('3月'!CA36,0)+IFERROR('4月'!CA36,0)+IFERROR('5月'!CA36,0)+IFERROR('6月'!CA36,0)+IFERROR('7月'!CA36,0)+IFERROR('8月'!CA36,0)+IFERROR('9月'!CA36,0)+IFERROR('10月'!CA36,0)+IFERROR('11月'!CA36,0)+IFERROR('12月'!CA36,0)</f>
        <v>0</v>
      </c>
      <c r="Q19" s="79">
        <f t="shared" si="0"/>
        <v>0</v>
      </c>
      <c r="R19" s="78">
        <f>IFERROR('1月'!CA38,0)+IFERROR('2月'!CA38,0)+IFERROR('3月'!CA38,0)+IFERROR('4月'!CA38,0)+IFERROR('5月'!CA38,0)+IFERROR('6月'!CA38,0)+IFERROR('7月'!CA38,0)+IFERROR('8月'!CA38,0)+IFERROR('9月'!CA38,0)+IFERROR('10月'!CA38,0)+IFERROR('11月'!CA38,0)+IFERROR('12月'!CA38,0)</f>
        <v>0</v>
      </c>
      <c r="S19" s="80">
        <f>IFERROR('1月'!CA39,0)+IFERROR('2月'!CA39,0)+IFERROR('3月'!CA39,0)+IFERROR('4月'!CA39,0)+IFERROR('5月'!CA39,0)+IFERROR('6月'!CA39,0)+IFERROR('7月'!CA39,0)+IFERROR('8月'!CA39,0)+IFERROR('9月'!CA39,0)+IFERROR('10月'!CA39,0)+IFERROR('11月'!CA39,0)+IFERROR('12月'!CA39,0)</f>
        <v>0</v>
      </c>
      <c r="T19" s="81">
        <f>IFERROR('1月'!CA40,0)+IFERROR('2月'!CA40,0)+IFERROR('3月'!CA40,0)+IFERROR('4月'!CA40,0)+IFERROR('5月'!CA40,0)+IFERROR('6月'!CA40,0)+IFERROR('7月'!CA40,0)+IFERROR('8月'!CA40,0)+IFERROR('9月'!CA40,0)+IFERROR('10月'!CA40,0)+IFERROR('11月'!CA40,0)+IFERROR('12月'!CA40,0)</f>
        <v>0</v>
      </c>
    </row>
    <row r="20" spans="1:20" ht="19.5" customHeight="1">
      <c r="A20" s="76">
        <v>17</v>
      </c>
      <c r="B20" s="77">
        <f>IFERROR(従業員マスタ!$C$20,"")</f>
        <v>0</v>
      </c>
      <c r="C20" s="76">
        <f>IFERROR('1月'!CF37,0)</f>
        <v>0</v>
      </c>
      <c r="D20" s="76">
        <f>IFERROR('2月'!CF37,0)</f>
        <v>0</v>
      </c>
      <c r="E20" s="76">
        <f>IFERROR('3月'!CF37,0)</f>
        <v>0</v>
      </c>
      <c r="F20" s="76">
        <f>IFERROR('4月'!CF37,0)</f>
        <v>0</v>
      </c>
      <c r="G20" s="76">
        <f>IFERROR('5月'!CF37,0)</f>
        <v>0</v>
      </c>
      <c r="H20" s="76">
        <f>IFERROR('6月'!CF37,0)</f>
        <v>0</v>
      </c>
      <c r="I20" s="76">
        <f>IFERROR('7月'!CF37,0)</f>
        <v>0</v>
      </c>
      <c r="J20" s="76">
        <f>IFERROR('8月'!CF37,0)</f>
        <v>0</v>
      </c>
      <c r="K20" s="76">
        <f>IFERROR('9月'!CF37,0)</f>
        <v>0</v>
      </c>
      <c r="L20" s="76">
        <f>IFERROR('10月'!CF37,0)</f>
        <v>0</v>
      </c>
      <c r="M20" s="76">
        <f>IFERROR('11月'!CF37,0)</f>
        <v>0</v>
      </c>
      <c r="N20" s="76">
        <f>IFERROR('12月'!CF37,0)</f>
        <v>0</v>
      </c>
      <c r="O20" s="78">
        <f>IFERROR('1月'!CF35,0)+IFERROR('2月'!CF35,0)+IFERROR('3月'!CF35,0)+IFERROR('4月'!CF35,0)+IFERROR('5月'!CF35,0)+IFERROR('6月'!CF35,0)+IFERROR('7月'!CF35,0)+IFERROR('8月'!CF35,0)+IFERROR('9月'!CF35,0)+IFERROR('10月'!CF35,0)+IFERROR('11月'!CF35,0)+IFERROR('12月'!CF35,0)</f>
        <v>0</v>
      </c>
      <c r="P20" s="64">
        <f>IFERROR('1月'!CF36,0)+IFERROR('2月'!CF36,0)+IFERROR('3月'!CF36,0)+IFERROR('4月'!CF36,0)+IFERROR('5月'!CF36,0)+IFERROR('6月'!CF36,0)+IFERROR('7月'!CF36,0)+IFERROR('8月'!CF36,0)+IFERROR('9月'!CF36,0)+IFERROR('10月'!CF36,0)+IFERROR('11月'!CF36,0)+IFERROR('12月'!CF36,0)</f>
        <v>0</v>
      </c>
      <c r="Q20" s="79">
        <f t="shared" si="0"/>
        <v>0</v>
      </c>
      <c r="R20" s="78">
        <f>IFERROR('1月'!CF38,0)+IFERROR('2月'!CF38,0)+IFERROR('3月'!CF38,0)+IFERROR('4月'!CF38,0)+IFERROR('5月'!CF38,0)+IFERROR('6月'!CF38,0)+IFERROR('7月'!CF38,0)+IFERROR('8月'!CF38,0)+IFERROR('9月'!CF38,0)+IFERROR('10月'!CF38,0)+IFERROR('11月'!CF38,0)+IFERROR('12月'!CF38,0)</f>
        <v>0</v>
      </c>
      <c r="S20" s="80">
        <f>IFERROR('1月'!CF39,0)+IFERROR('2月'!CF39,0)+IFERROR('3月'!CF39,0)+IFERROR('4月'!CF39,0)+IFERROR('5月'!CF39,0)+IFERROR('6月'!CF39,0)+IFERROR('7月'!CF39,0)+IFERROR('8月'!CF39,0)+IFERROR('9月'!CF39,0)+IFERROR('10月'!CF39,0)+IFERROR('11月'!CF39,0)+IFERROR('12月'!CF39,0)</f>
        <v>0</v>
      </c>
      <c r="T20" s="81">
        <f>IFERROR('1月'!CF40,0)+IFERROR('2月'!CF40,0)+IFERROR('3月'!CF40,0)+IFERROR('4月'!CF40,0)+IFERROR('5月'!CF40,0)+IFERROR('6月'!CF40,0)+IFERROR('7月'!CF40,0)+IFERROR('8月'!CF40,0)+IFERROR('9月'!CF40,0)+IFERROR('10月'!CF40,0)+IFERROR('11月'!CF40,0)+IFERROR('12月'!CF40,0)</f>
        <v>0</v>
      </c>
    </row>
    <row r="21" spans="1:20" ht="19.5" customHeight="1">
      <c r="A21" s="76">
        <v>18</v>
      </c>
      <c r="B21" s="77">
        <f>IFERROR(従業員マスタ!$C$21,"")</f>
        <v>0</v>
      </c>
      <c r="C21" s="76">
        <f>IFERROR('1月'!CK37,0)</f>
        <v>0</v>
      </c>
      <c r="D21" s="76">
        <f>IFERROR('2月'!CK37,0)</f>
        <v>0</v>
      </c>
      <c r="E21" s="76">
        <f>IFERROR('3月'!CK37,0)</f>
        <v>0</v>
      </c>
      <c r="F21" s="76">
        <f>IFERROR('4月'!CK37,0)</f>
        <v>0</v>
      </c>
      <c r="G21" s="76">
        <f>IFERROR('5月'!CK37,0)</f>
        <v>0</v>
      </c>
      <c r="H21" s="76">
        <f>IFERROR('6月'!CK37,0)</f>
        <v>0</v>
      </c>
      <c r="I21" s="76">
        <f>IFERROR('7月'!CK37,0)</f>
        <v>0</v>
      </c>
      <c r="J21" s="76">
        <f>IFERROR('8月'!CK37,0)</f>
        <v>0</v>
      </c>
      <c r="K21" s="76">
        <f>IFERROR('9月'!CK37,0)</f>
        <v>0</v>
      </c>
      <c r="L21" s="76">
        <f>IFERROR('10月'!CK37,0)</f>
        <v>0</v>
      </c>
      <c r="M21" s="76">
        <f>IFERROR('11月'!CK37,0)</f>
        <v>0</v>
      </c>
      <c r="N21" s="76">
        <f>IFERROR('12月'!CK37,0)</f>
        <v>0</v>
      </c>
      <c r="O21" s="78">
        <f>IFERROR('1月'!CK35,0)+IFERROR('2月'!CK35,0)+IFERROR('3月'!CK35,0)+IFERROR('4月'!CK35,0)+IFERROR('5月'!CK35,0)+IFERROR('6月'!CK35,0)+IFERROR('7月'!CK35,0)+IFERROR('8月'!CK35,0)+IFERROR('9月'!CK35,0)+IFERROR('10月'!CK35,0)+IFERROR('11月'!CK35,0)+IFERROR('12月'!CK35,0)</f>
        <v>0</v>
      </c>
      <c r="P21" s="64">
        <f>IFERROR('1月'!CK36,0)+IFERROR('2月'!CK36,0)+IFERROR('3月'!CK36,0)+IFERROR('4月'!CK36,0)+IFERROR('5月'!CK36,0)+IFERROR('6月'!CK36,0)+IFERROR('7月'!CK36,0)+IFERROR('8月'!CK36,0)+IFERROR('9月'!CK36,0)+IFERROR('10月'!CK36,0)+IFERROR('11月'!CK36,0)+IFERROR('12月'!CK36,0)</f>
        <v>0</v>
      </c>
      <c r="Q21" s="79">
        <f t="shared" si="0"/>
        <v>0</v>
      </c>
      <c r="R21" s="78">
        <f>IFERROR('1月'!CK38,0)+IFERROR('2月'!CK38,0)+IFERROR('3月'!CK38,0)+IFERROR('4月'!CK38,0)+IFERROR('5月'!CK38,0)+IFERROR('6月'!CK38,0)+IFERROR('7月'!CK38,0)+IFERROR('8月'!CK38,0)+IFERROR('9月'!CK38,0)+IFERROR('10月'!CK38,0)+IFERROR('11月'!CK38,0)+IFERROR('12月'!CK38,0)</f>
        <v>0</v>
      </c>
      <c r="S21" s="80">
        <f>IFERROR('1月'!CK39,0)+IFERROR('2月'!CK39,0)+IFERROR('3月'!CK39,0)+IFERROR('4月'!CK39,0)+IFERROR('5月'!CK39,0)+IFERROR('6月'!CK39,0)+IFERROR('7月'!CK39,0)+IFERROR('8月'!CK39,0)+IFERROR('9月'!CK39,0)+IFERROR('10月'!CK39,0)+IFERROR('11月'!CK39,0)+IFERROR('12月'!CK39,0)</f>
        <v>0</v>
      </c>
      <c r="T21" s="81">
        <f>IFERROR('1月'!CK40,0)+IFERROR('2月'!CK40,0)+IFERROR('3月'!CK40,0)+IFERROR('4月'!CK40,0)+IFERROR('5月'!CK40,0)+IFERROR('6月'!CK40,0)+IFERROR('7月'!CK40,0)+IFERROR('8月'!CK40,0)+IFERROR('9月'!CK40,0)+IFERROR('10月'!CK40,0)+IFERROR('11月'!CK40,0)+IFERROR('12月'!CK40,0)</f>
        <v>0</v>
      </c>
    </row>
    <row r="22" spans="1:20" ht="19.5" customHeight="1">
      <c r="A22" s="76">
        <v>19</v>
      </c>
      <c r="B22" s="77">
        <f>IFERROR(従業員マスタ!$C$22,"")</f>
        <v>0</v>
      </c>
      <c r="C22" s="76">
        <f>IFERROR('1月'!CP37,0)</f>
        <v>0</v>
      </c>
      <c r="D22" s="76">
        <f>IFERROR('2月'!CP37,0)</f>
        <v>0</v>
      </c>
      <c r="E22" s="76">
        <f>IFERROR('3月'!CP37,0)</f>
        <v>0</v>
      </c>
      <c r="F22" s="76">
        <f>IFERROR('4月'!CP37,0)</f>
        <v>0</v>
      </c>
      <c r="G22" s="76">
        <f>IFERROR('5月'!CP37,0)</f>
        <v>0</v>
      </c>
      <c r="H22" s="76">
        <f>IFERROR('6月'!CP37,0)</f>
        <v>0</v>
      </c>
      <c r="I22" s="76">
        <f>IFERROR('7月'!CP37,0)</f>
        <v>0</v>
      </c>
      <c r="J22" s="76">
        <f>IFERROR('8月'!CP37,0)</f>
        <v>0</v>
      </c>
      <c r="K22" s="76">
        <f>IFERROR('9月'!CP37,0)</f>
        <v>0</v>
      </c>
      <c r="L22" s="76">
        <f>IFERROR('10月'!CP37,0)</f>
        <v>0</v>
      </c>
      <c r="M22" s="76">
        <f>IFERROR('11月'!CP37,0)</f>
        <v>0</v>
      </c>
      <c r="N22" s="76">
        <f>IFERROR('12月'!CP37,0)</f>
        <v>0</v>
      </c>
      <c r="O22" s="78">
        <f>IFERROR('1月'!CP35,0)+IFERROR('2月'!CP35,0)+IFERROR('3月'!CP35,0)+IFERROR('4月'!CP35,0)+IFERROR('5月'!CP35,0)+IFERROR('6月'!CP35,0)+IFERROR('7月'!CP35,0)+IFERROR('8月'!CP35,0)+IFERROR('9月'!CP35,0)+IFERROR('10月'!CP35,0)+IFERROR('11月'!CP35,0)+IFERROR('12月'!CP35,0)</f>
        <v>0</v>
      </c>
      <c r="P22" s="64">
        <f>IFERROR('1月'!CP36,0)+IFERROR('2月'!CP36,0)+IFERROR('3月'!CP36,0)+IFERROR('4月'!CP36,0)+IFERROR('5月'!CP36,0)+IFERROR('6月'!CP36,0)+IFERROR('7月'!CP36,0)+IFERROR('8月'!CP36,0)+IFERROR('9月'!CP36,0)+IFERROR('10月'!CP36,0)+IFERROR('11月'!CP36,0)+IFERROR('12月'!CP36,0)</f>
        <v>0</v>
      </c>
      <c r="Q22" s="79">
        <f t="shared" si="0"/>
        <v>0</v>
      </c>
      <c r="R22" s="78">
        <f>IFERROR('1月'!CP38,0)+IFERROR('2月'!CP38,0)+IFERROR('3月'!CP38,0)+IFERROR('4月'!CP38,0)+IFERROR('5月'!CP38,0)+IFERROR('6月'!CP38,0)+IFERROR('7月'!CP38,0)+IFERROR('8月'!CP38,0)+IFERROR('9月'!CP38,0)+IFERROR('10月'!CP38,0)+IFERROR('11月'!CP38,0)+IFERROR('12月'!CP38,0)</f>
        <v>0</v>
      </c>
      <c r="S22" s="80">
        <f>IFERROR('1月'!CP39,0)+IFERROR('2月'!CP39,0)+IFERROR('3月'!CP39,0)+IFERROR('4月'!CP39,0)+IFERROR('5月'!CP39,0)+IFERROR('6月'!CP39,0)+IFERROR('7月'!CP39,0)+IFERROR('8月'!CP39,0)+IFERROR('9月'!CP39,0)+IFERROR('10月'!CP39,0)+IFERROR('11月'!CP39,0)+IFERROR('12月'!CP39,0)</f>
        <v>0</v>
      </c>
      <c r="T22" s="81">
        <f>IFERROR('1月'!CP40,0)+IFERROR('2月'!CP40,0)+IFERROR('3月'!CP40,0)+IFERROR('4月'!CP40,0)+IFERROR('5月'!CP40,0)+IFERROR('6月'!CP40,0)+IFERROR('7月'!CP40,0)+IFERROR('8月'!CP40,0)+IFERROR('9月'!CP40,0)+IFERROR('10月'!CP40,0)+IFERROR('11月'!CP40,0)+IFERROR('12月'!CP40,0)</f>
        <v>0</v>
      </c>
    </row>
    <row r="23" spans="1:20" ht="19.5" customHeight="1">
      <c r="A23" s="76">
        <v>20</v>
      </c>
      <c r="B23" s="77">
        <f>IFERROR(従業員マスタ!$C$23,"")</f>
        <v>0</v>
      </c>
      <c r="C23" s="76">
        <f>IFERROR('1月'!CU37,0)</f>
        <v>0</v>
      </c>
      <c r="D23" s="76">
        <f>IFERROR('2月'!CU37,0)</f>
        <v>0</v>
      </c>
      <c r="E23" s="76">
        <f>IFERROR('3月'!CU37,0)</f>
        <v>0</v>
      </c>
      <c r="F23" s="76">
        <f>IFERROR('4月'!CU37,0)</f>
        <v>0</v>
      </c>
      <c r="G23" s="76">
        <f>IFERROR('5月'!CU37,0)</f>
        <v>0</v>
      </c>
      <c r="H23" s="76">
        <f>IFERROR('6月'!CU37,0)</f>
        <v>0</v>
      </c>
      <c r="I23" s="76">
        <f>IFERROR('7月'!CU37,0)</f>
        <v>0</v>
      </c>
      <c r="J23" s="76">
        <f>IFERROR('8月'!CU37,0)</f>
        <v>0</v>
      </c>
      <c r="K23" s="76">
        <f>IFERROR('9月'!CU37,0)</f>
        <v>0</v>
      </c>
      <c r="L23" s="76">
        <f>IFERROR('10月'!CU37,0)</f>
        <v>0</v>
      </c>
      <c r="M23" s="76">
        <f>IFERROR('11月'!CU37,0)</f>
        <v>0</v>
      </c>
      <c r="N23" s="76">
        <f>IFERROR('12月'!CU37,0)</f>
        <v>0</v>
      </c>
      <c r="O23" s="78">
        <f>IFERROR('1月'!CU35,0)+IFERROR('2月'!CU35,0)+IFERROR('3月'!CU35,0)+IFERROR('4月'!CU35,0)+IFERROR('5月'!CU35,0)+IFERROR('6月'!CU35,0)+IFERROR('7月'!CU35,0)+IFERROR('8月'!CU35,0)+IFERROR('9月'!CU35,0)+IFERROR('10月'!CU35,0)+IFERROR('11月'!CU35,0)+IFERROR('12月'!CU35,0)</f>
        <v>0</v>
      </c>
      <c r="P23" s="64">
        <f>IFERROR('1月'!CU36,0)+IFERROR('2月'!CU36,0)+IFERROR('3月'!CU36,0)+IFERROR('4月'!CU36,0)+IFERROR('5月'!CU36,0)+IFERROR('6月'!CU36,0)+IFERROR('7月'!CU36,0)+IFERROR('8月'!CU36,0)+IFERROR('9月'!CU36,0)+IFERROR('10月'!CU36,0)+IFERROR('11月'!CU36,0)+IFERROR('12月'!CU36,0)</f>
        <v>0</v>
      </c>
      <c r="Q23" s="79">
        <f t="shared" si="0"/>
        <v>0</v>
      </c>
      <c r="R23" s="78">
        <f>IFERROR('1月'!CU38,0)+IFERROR('2月'!CU38,0)+IFERROR('3月'!CU38,0)+IFERROR('4月'!CU38,0)+IFERROR('5月'!CU38,0)+IFERROR('6月'!CU38,0)+IFERROR('7月'!CU38,0)+IFERROR('8月'!CU38,0)+IFERROR('9月'!CU38,0)+IFERROR('10月'!CU38,0)+IFERROR('11月'!CU38,0)+IFERROR('12月'!CU38,0)</f>
        <v>0</v>
      </c>
      <c r="S23" s="80">
        <f>IFERROR('1月'!CU39,0)+IFERROR('2月'!CU39,0)+IFERROR('3月'!CU39,0)+IFERROR('4月'!CU39,0)+IFERROR('5月'!CU39,0)+IFERROR('6月'!CU39,0)+IFERROR('7月'!CU39,0)+IFERROR('8月'!CU39,0)+IFERROR('9月'!CU39,0)+IFERROR('10月'!CU39,0)+IFERROR('11月'!CU39,0)+IFERROR('12月'!CU39,0)</f>
        <v>0</v>
      </c>
      <c r="T23" s="81">
        <f>IFERROR('1月'!CU40,0)+IFERROR('2月'!CU40,0)+IFERROR('3月'!CU40,0)+IFERROR('4月'!CU40,0)+IFERROR('5月'!CU40,0)+IFERROR('6月'!CU40,0)+IFERROR('7月'!CU40,0)+IFERROR('8月'!CU40,0)+IFERROR('9月'!CU40,0)+IFERROR('10月'!CU40,0)+IFERROR('11月'!CU40,0)+IFERROR('12月'!CU40,0)</f>
        <v>0</v>
      </c>
    </row>
    <row r="24" spans="1:20" ht="19.5" customHeight="1">
      <c r="A24" s="76">
        <v>21</v>
      </c>
      <c r="B24" s="77">
        <f>IFERROR(従業員マスタ!$C$24,"")</f>
        <v>0</v>
      </c>
      <c r="C24" s="76">
        <f>IFERROR('1月'!CZ37,0)</f>
        <v>0</v>
      </c>
      <c r="D24" s="76">
        <f>IFERROR('2月'!CZ37,0)</f>
        <v>0</v>
      </c>
      <c r="E24" s="76">
        <f>IFERROR('3月'!CZ37,0)</f>
        <v>0</v>
      </c>
      <c r="F24" s="76">
        <f>IFERROR('4月'!CZ37,0)</f>
        <v>0</v>
      </c>
      <c r="G24" s="76">
        <f>IFERROR('5月'!CZ37,0)</f>
        <v>0</v>
      </c>
      <c r="H24" s="76">
        <f>IFERROR('6月'!CZ37,0)</f>
        <v>0</v>
      </c>
      <c r="I24" s="76">
        <f>IFERROR('7月'!CZ37,0)</f>
        <v>0</v>
      </c>
      <c r="J24" s="76">
        <f>IFERROR('8月'!CZ37,0)</f>
        <v>0</v>
      </c>
      <c r="K24" s="76">
        <f>IFERROR('9月'!CZ37,0)</f>
        <v>0</v>
      </c>
      <c r="L24" s="76">
        <f>IFERROR('10月'!CZ37,0)</f>
        <v>0</v>
      </c>
      <c r="M24" s="76">
        <f>IFERROR('11月'!CZ37,0)</f>
        <v>0</v>
      </c>
      <c r="N24" s="76">
        <f>IFERROR('12月'!CZ37,0)</f>
        <v>0</v>
      </c>
      <c r="O24" s="78">
        <f>IFERROR('1月'!CZ35,0)+IFERROR('2月'!CZ35,0)+IFERROR('3月'!CZ35,0)+IFERROR('4月'!CZ35,0)+IFERROR('5月'!CZ35,0)+IFERROR('6月'!CZ35,0)+IFERROR('7月'!CZ35,0)+IFERROR('8月'!CZ35,0)+IFERROR('9月'!CZ35,0)+IFERROR('10月'!CZ35,0)+IFERROR('11月'!CZ35,0)+IFERROR('12月'!CZ35,0)</f>
        <v>0</v>
      </c>
      <c r="P24" s="64">
        <f>IFERROR('1月'!CZ36,0)+IFERROR('2月'!CZ36,0)+IFERROR('3月'!CZ36,0)+IFERROR('4月'!CZ36,0)+IFERROR('5月'!CZ36,0)+IFERROR('6月'!CZ36,0)+IFERROR('7月'!CZ36,0)+IFERROR('8月'!CZ36,0)+IFERROR('9月'!CZ36,0)+IFERROR('10月'!CZ36,0)+IFERROR('11月'!CZ36,0)+IFERROR('12月'!CZ36,0)</f>
        <v>0</v>
      </c>
      <c r="Q24" s="79">
        <f t="shared" si="0"/>
        <v>0</v>
      </c>
      <c r="R24" s="78">
        <f>IFERROR('1月'!CZ38,0)+IFERROR('2月'!CZ38,0)+IFERROR('3月'!CZ38,0)+IFERROR('4月'!CZ38,0)+IFERROR('5月'!CZ38,0)+IFERROR('6月'!CZ38,0)+IFERROR('7月'!CZ38,0)+IFERROR('8月'!CZ38,0)+IFERROR('9月'!CZ38,0)+IFERROR('10月'!CZ38,0)+IFERROR('11月'!CZ38,0)+IFERROR('12月'!CZ38,0)</f>
        <v>0</v>
      </c>
      <c r="S24" s="80">
        <f>IFERROR('1月'!CZ39,0)+IFERROR('2月'!CZ39,0)+IFERROR('3月'!CZ39,0)+IFERROR('4月'!CZ39,0)+IFERROR('5月'!CZ39,0)+IFERROR('6月'!CZ39,0)+IFERROR('7月'!CZ39,0)+IFERROR('8月'!CZ39,0)+IFERROR('9月'!CZ39,0)+IFERROR('10月'!CZ39,0)+IFERROR('11月'!CZ39,0)+IFERROR('12月'!CZ39,0)</f>
        <v>0</v>
      </c>
      <c r="T24" s="81">
        <f>IFERROR('1月'!CZ40,0)+IFERROR('2月'!CZ40,0)+IFERROR('3月'!CZ40,0)+IFERROR('4月'!CZ40,0)+IFERROR('5月'!CZ40,0)+IFERROR('6月'!CZ40,0)+IFERROR('7月'!CZ40,0)+IFERROR('8月'!CZ40,0)+IFERROR('9月'!CZ40,0)+IFERROR('10月'!CZ40,0)+IFERROR('11月'!CZ40,0)+IFERROR('12月'!CZ40,0)</f>
        <v>0</v>
      </c>
    </row>
    <row r="25" spans="1:20" ht="19.5" customHeight="1">
      <c r="A25" s="76">
        <v>22</v>
      </c>
      <c r="B25" s="77">
        <f>IFERROR(従業員マスタ!$C$25,"")</f>
        <v>0</v>
      </c>
      <c r="C25" s="76">
        <f>IFERROR('1月'!DE37,0)</f>
        <v>0</v>
      </c>
      <c r="D25" s="76">
        <f>IFERROR('2月'!DE37,0)</f>
        <v>0</v>
      </c>
      <c r="E25" s="76">
        <f>IFERROR('3月'!DE37,0)</f>
        <v>0</v>
      </c>
      <c r="F25" s="76">
        <f>IFERROR('4月'!DE37,0)</f>
        <v>0</v>
      </c>
      <c r="G25" s="76">
        <f>IFERROR('5月'!DE37,0)</f>
        <v>0</v>
      </c>
      <c r="H25" s="76">
        <f>IFERROR('6月'!DE37,0)</f>
        <v>0</v>
      </c>
      <c r="I25" s="76">
        <f>IFERROR('7月'!DE37,0)</f>
        <v>0</v>
      </c>
      <c r="J25" s="76">
        <f>IFERROR('8月'!DE37,0)</f>
        <v>0</v>
      </c>
      <c r="K25" s="76">
        <f>IFERROR('9月'!DE37,0)</f>
        <v>0</v>
      </c>
      <c r="L25" s="76">
        <f>IFERROR('10月'!DE37,0)</f>
        <v>0</v>
      </c>
      <c r="M25" s="76">
        <f>IFERROR('11月'!DE37,0)</f>
        <v>0</v>
      </c>
      <c r="N25" s="76">
        <f>IFERROR('12月'!DE37,0)</f>
        <v>0</v>
      </c>
      <c r="O25" s="78">
        <f>IFERROR('1月'!DE35,0)+IFERROR('2月'!DE35,0)+IFERROR('3月'!DE35,0)+IFERROR('4月'!DE35,0)+IFERROR('5月'!DE35,0)+IFERROR('6月'!DE35,0)+IFERROR('7月'!DE35,0)+IFERROR('8月'!DE35,0)+IFERROR('9月'!DE35,0)+IFERROR('10月'!DE35,0)+IFERROR('11月'!DE35,0)+IFERROR('12月'!DE35,0)</f>
        <v>0</v>
      </c>
      <c r="P25" s="64">
        <f>IFERROR('1月'!DE36,0)+IFERROR('2月'!DE36,0)+IFERROR('3月'!DE36,0)+IFERROR('4月'!DE36,0)+IFERROR('5月'!DE36,0)+IFERROR('6月'!DE36,0)+IFERROR('7月'!DE36,0)+IFERROR('8月'!DE36,0)+IFERROR('9月'!DE36,0)+IFERROR('10月'!DE36,0)+IFERROR('11月'!DE36,0)+IFERROR('12月'!DE36,0)</f>
        <v>0</v>
      </c>
      <c r="Q25" s="79">
        <f t="shared" si="0"/>
        <v>0</v>
      </c>
      <c r="R25" s="78">
        <f>IFERROR('1月'!DE38,0)+IFERROR('2月'!DE38,0)+IFERROR('3月'!DE38,0)+IFERROR('4月'!DE38,0)+IFERROR('5月'!DE38,0)+IFERROR('6月'!DE38,0)+IFERROR('7月'!DE38,0)+IFERROR('8月'!DE38,0)+IFERROR('9月'!DE38,0)+IFERROR('10月'!DE38,0)+IFERROR('11月'!DE38,0)+IFERROR('12月'!DE38,0)</f>
        <v>0</v>
      </c>
      <c r="S25" s="80">
        <f>IFERROR('1月'!DE39,0)+IFERROR('2月'!DE39,0)+IFERROR('3月'!DE39,0)+IFERROR('4月'!DE39,0)+IFERROR('5月'!DE39,0)+IFERROR('6月'!DE39,0)+IFERROR('7月'!DE39,0)+IFERROR('8月'!DE39,0)+IFERROR('9月'!DE39,0)+IFERROR('10月'!DE39,0)+IFERROR('11月'!DE39,0)+IFERROR('12月'!DE39,0)</f>
        <v>0</v>
      </c>
      <c r="T25" s="81">
        <f>IFERROR('1月'!DE40,0)+IFERROR('2月'!DE40,0)+IFERROR('3月'!DE40,0)+IFERROR('4月'!DE40,0)+IFERROR('5月'!DE40,0)+IFERROR('6月'!DE40,0)+IFERROR('7月'!DE40,0)+IFERROR('8月'!DE40,0)+IFERROR('9月'!DE40,0)+IFERROR('10月'!DE40,0)+IFERROR('11月'!DE40,0)+IFERROR('12月'!DE40,0)</f>
        <v>0</v>
      </c>
    </row>
    <row r="26" spans="1:20" ht="19.5" customHeight="1">
      <c r="A26" s="76">
        <v>23</v>
      </c>
      <c r="B26" s="77">
        <f>IFERROR(従業員マスタ!$C$26,"")</f>
        <v>0</v>
      </c>
      <c r="C26" s="76">
        <f>IFERROR('1月'!DJ37,0)</f>
        <v>0</v>
      </c>
      <c r="D26" s="76">
        <f>IFERROR('2月'!DJ37,0)</f>
        <v>0</v>
      </c>
      <c r="E26" s="76">
        <f>IFERROR('3月'!DJ37,0)</f>
        <v>0</v>
      </c>
      <c r="F26" s="76">
        <f>IFERROR('4月'!DJ37,0)</f>
        <v>0</v>
      </c>
      <c r="G26" s="76">
        <f>IFERROR('5月'!DJ37,0)</f>
        <v>0</v>
      </c>
      <c r="H26" s="76">
        <f>IFERROR('6月'!DJ37,0)</f>
        <v>0</v>
      </c>
      <c r="I26" s="76">
        <f>IFERROR('7月'!DJ37,0)</f>
        <v>0</v>
      </c>
      <c r="J26" s="76">
        <f>IFERROR('8月'!DJ37,0)</f>
        <v>0</v>
      </c>
      <c r="K26" s="76">
        <f>IFERROR('9月'!DJ37,0)</f>
        <v>0</v>
      </c>
      <c r="L26" s="76">
        <f>IFERROR('10月'!DJ37,0)</f>
        <v>0</v>
      </c>
      <c r="M26" s="76">
        <f>IFERROR('11月'!DJ37,0)</f>
        <v>0</v>
      </c>
      <c r="N26" s="76">
        <f>IFERROR('12月'!DJ37,0)</f>
        <v>0</v>
      </c>
      <c r="O26" s="78">
        <f>IFERROR('1月'!DJ35,0)+IFERROR('2月'!DJ35,0)+IFERROR('3月'!DJ35,0)+IFERROR('4月'!DJ35,0)+IFERROR('5月'!DJ35,0)+IFERROR('6月'!DJ35,0)+IFERROR('7月'!DJ35,0)+IFERROR('8月'!DJ35,0)+IFERROR('9月'!DJ35,0)+IFERROR('10月'!DJ35,0)+IFERROR('11月'!DJ35,0)+IFERROR('12月'!DJ35,0)</f>
        <v>0</v>
      </c>
      <c r="P26" s="64">
        <f>IFERROR('1月'!DJ36,0)+IFERROR('2月'!DJ36,0)+IFERROR('3月'!DJ36,0)+IFERROR('4月'!DJ36,0)+IFERROR('5月'!DJ36,0)+IFERROR('6月'!DJ36,0)+IFERROR('7月'!DJ36,0)+IFERROR('8月'!DJ36,0)+IFERROR('9月'!DJ36,0)+IFERROR('10月'!DJ36,0)+IFERROR('11月'!DJ36,0)+IFERROR('12月'!DJ36,0)</f>
        <v>0</v>
      </c>
      <c r="Q26" s="79">
        <f t="shared" si="0"/>
        <v>0</v>
      </c>
      <c r="R26" s="78">
        <f>IFERROR('1月'!DJ38,0)+IFERROR('2月'!DJ38,0)+IFERROR('3月'!DJ38,0)+IFERROR('4月'!DJ38,0)+IFERROR('5月'!DJ38,0)+IFERROR('6月'!DJ38,0)+IFERROR('7月'!DJ38,0)+IFERROR('8月'!DJ38,0)+IFERROR('9月'!DJ38,0)+IFERROR('10月'!DJ38,0)+IFERROR('11月'!DJ38,0)+IFERROR('12月'!DJ38,0)</f>
        <v>0</v>
      </c>
      <c r="S26" s="80">
        <f>IFERROR('1月'!DJ39,0)+IFERROR('2月'!DJ39,0)+IFERROR('3月'!DJ39,0)+IFERROR('4月'!DJ39,0)+IFERROR('5月'!DJ39,0)+IFERROR('6月'!DJ39,0)+IFERROR('7月'!DJ39,0)+IFERROR('8月'!DJ39,0)+IFERROR('9月'!DJ39,0)+IFERROR('10月'!DJ39,0)+IFERROR('11月'!DJ39,0)+IFERROR('12月'!DJ39,0)</f>
        <v>0</v>
      </c>
      <c r="T26" s="81">
        <f>IFERROR('1月'!DJ40,0)+IFERROR('2月'!DJ40,0)+IFERROR('3月'!DJ40,0)+IFERROR('4月'!DJ40,0)+IFERROR('5月'!DJ40,0)+IFERROR('6月'!DJ40,0)+IFERROR('7月'!DJ40,0)+IFERROR('8月'!DJ40,0)+IFERROR('9月'!DJ40,0)+IFERROR('10月'!DJ40,0)+IFERROR('11月'!DJ40,0)+IFERROR('12月'!DJ40,0)</f>
        <v>0</v>
      </c>
    </row>
    <row r="27" spans="1:20" ht="19.5" customHeight="1">
      <c r="A27" s="76">
        <v>24</v>
      </c>
      <c r="B27" s="77">
        <f>IFERROR(従業員マスタ!$C$27,"")</f>
        <v>0</v>
      </c>
      <c r="C27" s="76">
        <f>IFERROR('1月'!DO37,0)</f>
        <v>0</v>
      </c>
      <c r="D27" s="76">
        <f>IFERROR('2月'!DO37,0)</f>
        <v>0</v>
      </c>
      <c r="E27" s="76">
        <f>IFERROR('3月'!DO37,0)</f>
        <v>0</v>
      </c>
      <c r="F27" s="76">
        <f>IFERROR('4月'!DO37,0)</f>
        <v>0</v>
      </c>
      <c r="G27" s="76">
        <f>IFERROR('5月'!DO37,0)</f>
        <v>0</v>
      </c>
      <c r="H27" s="76">
        <f>IFERROR('6月'!DO37,0)</f>
        <v>0</v>
      </c>
      <c r="I27" s="76">
        <f>IFERROR('7月'!DO37,0)</f>
        <v>0</v>
      </c>
      <c r="J27" s="76">
        <f>IFERROR('8月'!DO37,0)</f>
        <v>0</v>
      </c>
      <c r="K27" s="76">
        <f>IFERROR('9月'!DO37,0)</f>
        <v>0</v>
      </c>
      <c r="L27" s="76">
        <f>IFERROR('10月'!DO37,0)</f>
        <v>0</v>
      </c>
      <c r="M27" s="76">
        <f>IFERROR('11月'!DO37,0)</f>
        <v>0</v>
      </c>
      <c r="N27" s="76">
        <f>IFERROR('12月'!DO37,0)</f>
        <v>0</v>
      </c>
      <c r="O27" s="78">
        <f>IFERROR('1月'!DO35,0)+IFERROR('2月'!DO35,0)+IFERROR('3月'!DO35,0)+IFERROR('4月'!DO35,0)+IFERROR('5月'!DO35,0)+IFERROR('6月'!DO35,0)+IFERROR('7月'!DO35,0)+IFERROR('8月'!DO35,0)+IFERROR('9月'!DO35,0)+IFERROR('10月'!DO35,0)+IFERROR('11月'!DO35,0)+IFERROR('12月'!DO35,0)</f>
        <v>0</v>
      </c>
      <c r="P27" s="64">
        <f>IFERROR('1月'!DO36,0)+IFERROR('2月'!DO36,0)+IFERROR('3月'!DO36,0)+IFERROR('4月'!DO36,0)+IFERROR('5月'!DO36,0)+IFERROR('6月'!DO36,0)+IFERROR('7月'!DO36,0)+IFERROR('8月'!DO36,0)+IFERROR('9月'!DO36,0)+IFERROR('10月'!DO36,0)+IFERROR('11月'!DO36,0)+IFERROR('12月'!DO36,0)</f>
        <v>0</v>
      </c>
      <c r="Q27" s="79">
        <f t="shared" si="0"/>
        <v>0</v>
      </c>
      <c r="R27" s="78">
        <f>IFERROR('1月'!DO38,0)+IFERROR('2月'!DO38,0)+IFERROR('3月'!DO38,0)+IFERROR('4月'!DO38,0)+IFERROR('5月'!DO38,0)+IFERROR('6月'!DO38,0)+IFERROR('7月'!DO38,0)+IFERROR('8月'!DO38,0)+IFERROR('9月'!DO38,0)+IFERROR('10月'!DO38,0)+IFERROR('11月'!DO38,0)+IFERROR('12月'!DO38,0)</f>
        <v>0</v>
      </c>
      <c r="S27" s="80">
        <f>IFERROR('1月'!DO39,0)+IFERROR('2月'!DO39,0)+IFERROR('3月'!DO39,0)+IFERROR('4月'!DO39,0)+IFERROR('5月'!DO39,0)+IFERROR('6月'!DO39,0)+IFERROR('7月'!DO39,0)+IFERROR('8月'!DO39,0)+IFERROR('9月'!DO39,0)+IFERROR('10月'!DO39,0)+IFERROR('11月'!DO39,0)+IFERROR('12月'!DO39,0)</f>
        <v>0</v>
      </c>
      <c r="T27" s="81">
        <f>IFERROR('1月'!DO40,0)+IFERROR('2月'!DO40,0)+IFERROR('3月'!DO40,0)+IFERROR('4月'!DO40,0)+IFERROR('5月'!DO40,0)+IFERROR('6月'!DO40,0)+IFERROR('7月'!DO40,0)+IFERROR('8月'!DO40,0)+IFERROR('9月'!DO40,0)+IFERROR('10月'!DO40,0)+IFERROR('11月'!DO40,0)+IFERROR('12月'!DO40,0)</f>
        <v>0</v>
      </c>
    </row>
    <row r="28" spans="1:20" ht="19.5" customHeight="1">
      <c r="A28" s="76">
        <v>25</v>
      </c>
      <c r="B28" s="77">
        <f>IFERROR(従業員マスタ!$C$28,"")</f>
        <v>0</v>
      </c>
      <c r="C28" s="76">
        <f>IFERROR('1月'!DT37,0)</f>
        <v>0</v>
      </c>
      <c r="D28" s="76">
        <f>IFERROR('2月'!DT37,0)</f>
        <v>0</v>
      </c>
      <c r="E28" s="76">
        <f>IFERROR('3月'!DT37,0)</f>
        <v>0</v>
      </c>
      <c r="F28" s="76">
        <f>IFERROR('4月'!DT37,0)</f>
        <v>0</v>
      </c>
      <c r="G28" s="76">
        <f>IFERROR('5月'!DT37,0)</f>
        <v>0</v>
      </c>
      <c r="H28" s="76">
        <f>IFERROR('6月'!DT37,0)</f>
        <v>0</v>
      </c>
      <c r="I28" s="76">
        <f>IFERROR('7月'!DT37,0)</f>
        <v>0</v>
      </c>
      <c r="J28" s="76">
        <f>IFERROR('8月'!DT37,0)</f>
        <v>0</v>
      </c>
      <c r="K28" s="76">
        <f>IFERROR('9月'!DT37,0)</f>
        <v>0</v>
      </c>
      <c r="L28" s="76">
        <f>IFERROR('10月'!DT37,0)</f>
        <v>0</v>
      </c>
      <c r="M28" s="76">
        <f>IFERROR('11月'!DT37,0)</f>
        <v>0</v>
      </c>
      <c r="N28" s="76">
        <f>IFERROR('12月'!DT37,0)</f>
        <v>0</v>
      </c>
      <c r="O28" s="78">
        <f>IFERROR('1月'!DT35,0)+IFERROR('2月'!DT35,0)+IFERROR('3月'!DT35,0)+IFERROR('4月'!DT35,0)+IFERROR('5月'!DT35,0)+IFERROR('6月'!DT35,0)+IFERROR('7月'!DT35,0)+IFERROR('8月'!DT35,0)+IFERROR('9月'!DT35,0)+IFERROR('10月'!DT35,0)+IFERROR('11月'!DT35,0)+IFERROR('12月'!DT35,0)</f>
        <v>0</v>
      </c>
      <c r="P28" s="64">
        <f>IFERROR('1月'!DT36,0)+IFERROR('2月'!DT36,0)+IFERROR('3月'!DT36,0)+IFERROR('4月'!DT36,0)+IFERROR('5月'!DT36,0)+IFERROR('6月'!DT36,0)+IFERROR('7月'!DT36,0)+IFERROR('8月'!DT36,0)+IFERROR('9月'!DT36,0)+IFERROR('10月'!DT36,0)+IFERROR('11月'!DT36,0)+IFERROR('12月'!DT36,0)</f>
        <v>0</v>
      </c>
      <c r="Q28" s="79">
        <f t="shared" si="0"/>
        <v>0</v>
      </c>
      <c r="R28" s="78">
        <f>IFERROR('1月'!DT38,0)+IFERROR('2月'!DT38,0)+IFERROR('3月'!DT38,0)+IFERROR('4月'!DT38,0)+IFERROR('5月'!DT38,0)+IFERROR('6月'!DT38,0)+IFERROR('7月'!DT38,0)+IFERROR('8月'!DT38,0)+IFERROR('9月'!DT38,0)+IFERROR('10月'!DT38,0)+IFERROR('11月'!DT38,0)+IFERROR('12月'!DT38,0)</f>
        <v>0</v>
      </c>
      <c r="S28" s="80">
        <f>IFERROR('1月'!DT39,0)+IFERROR('2月'!DT39,0)+IFERROR('3月'!DT39,0)+IFERROR('4月'!DT39,0)+IFERROR('5月'!DT39,0)+IFERROR('6月'!DT39,0)+IFERROR('7月'!DT39,0)+IFERROR('8月'!DT39,0)+IFERROR('9月'!DT39,0)+IFERROR('10月'!DT39,0)+IFERROR('11月'!DT39,0)+IFERROR('12月'!DT39,0)</f>
        <v>0</v>
      </c>
      <c r="T28" s="81">
        <f>IFERROR('1月'!DT40,0)+IFERROR('2月'!DT40,0)+IFERROR('3月'!DT40,0)+IFERROR('4月'!DT40,0)+IFERROR('5月'!DT40,0)+IFERROR('6月'!DT40,0)+IFERROR('7月'!DT40,0)+IFERROR('8月'!DT40,0)+IFERROR('9月'!DT40,0)+IFERROR('10月'!DT40,0)+IFERROR('11月'!DT40,0)+IFERROR('12月'!DT40,0)</f>
        <v>0</v>
      </c>
    </row>
    <row r="29" spans="1:20" ht="19.5" customHeight="1">
      <c r="A29" s="76">
        <v>26</v>
      </c>
      <c r="B29" s="77">
        <f>IFERROR(従業員マスタ!$C$29,"")</f>
        <v>0</v>
      </c>
      <c r="C29" s="76">
        <f>IFERROR('1月'!DY37,0)</f>
        <v>0</v>
      </c>
      <c r="D29" s="76">
        <f>IFERROR('2月'!DY37,0)</f>
        <v>0</v>
      </c>
      <c r="E29" s="76">
        <f>IFERROR('3月'!DY37,0)</f>
        <v>0</v>
      </c>
      <c r="F29" s="76">
        <f>IFERROR('4月'!DY37,0)</f>
        <v>0</v>
      </c>
      <c r="G29" s="76">
        <f>IFERROR('5月'!DY37,0)</f>
        <v>0</v>
      </c>
      <c r="H29" s="76">
        <f>IFERROR('6月'!DY37,0)</f>
        <v>0</v>
      </c>
      <c r="I29" s="76">
        <f>IFERROR('7月'!DY37,0)</f>
        <v>0</v>
      </c>
      <c r="J29" s="76">
        <f>IFERROR('8月'!DY37,0)</f>
        <v>0</v>
      </c>
      <c r="K29" s="76">
        <f>IFERROR('9月'!DY37,0)</f>
        <v>0</v>
      </c>
      <c r="L29" s="76">
        <f>IFERROR('10月'!DY37,0)</f>
        <v>0</v>
      </c>
      <c r="M29" s="76">
        <f>IFERROR('11月'!DY37,0)</f>
        <v>0</v>
      </c>
      <c r="N29" s="76">
        <f>IFERROR('12月'!DY37,0)</f>
        <v>0</v>
      </c>
      <c r="O29" s="78">
        <f>IFERROR('1月'!DY35,0)+IFERROR('2月'!DY35,0)+IFERROR('3月'!DY35,0)+IFERROR('4月'!DY35,0)+IFERROR('5月'!DY35,0)+IFERROR('6月'!DY35,0)+IFERROR('7月'!DY35,0)+IFERROR('8月'!DY35,0)+IFERROR('9月'!DY35,0)+IFERROR('10月'!DY35,0)+IFERROR('11月'!DY35,0)+IFERROR('12月'!DY35,0)</f>
        <v>0</v>
      </c>
      <c r="P29" s="64">
        <f>IFERROR('1月'!DY36,0)+IFERROR('2月'!DY36,0)+IFERROR('3月'!DY36,0)+IFERROR('4月'!DY36,0)+IFERROR('5月'!DY36,0)+IFERROR('6月'!DY36,0)+IFERROR('7月'!DY36,0)+IFERROR('8月'!DY36,0)+IFERROR('9月'!DY36,0)+IFERROR('10月'!DY36,0)+IFERROR('11月'!DY36,0)+IFERROR('12月'!DY36,0)</f>
        <v>0</v>
      </c>
      <c r="Q29" s="79">
        <f t="shared" si="0"/>
        <v>0</v>
      </c>
      <c r="R29" s="78">
        <f>IFERROR('1月'!DY38,0)+IFERROR('2月'!DY38,0)+IFERROR('3月'!DY38,0)+IFERROR('4月'!DY38,0)+IFERROR('5月'!DY38,0)+IFERROR('6月'!DY38,0)+IFERROR('7月'!DY38,0)+IFERROR('8月'!DY38,0)+IFERROR('9月'!DY38,0)+IFERROR('10月'!DY38,0)+IFERROR('11月'!DY38,0)+IFERROR('12月'!DY38,0)</f>
        <v>0</v>
      </c>
      <c r="S29" s="80">
        <f>IFERROR('1月'!DY39,0)+IFERROR('2月'!DY39,0)+IFERROR('3月'!DY39,0)+IFERROR('4月'!DY39,0)+IFERROR('5月'!DY39,0)+IFERROR('6月'!DY39,0)+IFERROR('7月'!DY39,0)+IFERROR('8月'!DY39,0)+IFERROR('9月'!DY39,0)+IFERROR('10月'!DY39,0)+IFERROR('11月'!DY39,0)+IFERROR('12月'!DY39,0)</f>
        <v>0</v>
      </c>
      <c r="T29" s="81">
        <f>IFERROR('1月'!DY40,0)+IFERROR('2月'!DY40,0)+IFERROR('3月'!DY40,0)+IFERROR('4月'!DY40,0)+IFERROR('5月'!DY40,0)+IFERROR('6月'!DY40,0)+IFERROR('7月'!DY40,0)+IFERROR('8月'!DY40,0)+IFERROR('9月'!DY40,0)+IFERROR('10月'!DY40,0)+IFERROR('11月'!DY40,0)+IFERROR('12月'!DY40,0)</f>
        <v>0</v>
      </c>
    </row>
    <row r="30" spans="1:20" ht="19.5" customHeight="1">
      <c r="A30" s="76">
        <v>27</v>
      </c>
      <c r="B30" s="77">
        <f>IFERROR(従業員マスタ!$C$30,"")</f>
        <v>0</v>
      </c>
      <c r="C30" s="76">
        <f>IFERROR('1月'!ED37,0)</f>
        <v>0</v>
      </c>
      <c r="D30" s="76">
        <f>IFERROR('2月'!ED37,0)</f>
        <v>0</v>
      </c>
      <c r="E30" s="76">
        <f>IFERROR('3月'!ED37,0)</f>
        <v>0</v>
      </c>
      <c r="F30" s="76">
        <f>IFERROR('4月'!ED37,0)</f>
        <v>0</v>
      </c>
      <c r="G30" s="76">
        <f>IFERROR('5月'!ED37,0)</f>
        <v>0</v>
      </c>
      <c r="H30" s="76">
        <f>IFERROR('6月'!ED37,0)</f>
        <v>0</v>
      </c>
      <c r="I30" s="76">
        <f>IFERROR('7月'!ED37,0)</f>
        <v>0</v>
      </c>
      <c r="J30" s="76">
        <f>IFERROR('8月'!ED37,0)</f>
        <v>0</v>
      </c>
      <c r="K30" s="76">
        <f>IFERROR('9月'!ED37,0)</f>
        <v>0</v>
      </c>
      <c r="L30" s="76">
        <f>IFERROR('10月'!ED37,0)</f>
        <v>0</v>
      </c>
      <c r="M30" s="76">
        <f>IFERROR('11月'!ED37,0)</f>
        <v>0</v>
      </c>
      <c r="N30" s="76">
        <f>IFERROR('12月'!ED37,0)</f>
        <v>0</v>
      </c>
      <c r="O30" s="78">
        <f>IFERROR('1月'!ED35,0)+IFERROR('2月'!ED35,0)+IFERROR('3月'!ED35,0)+IFERROR('4月'!ED35,0)+IFERROR('5月'!ED35,0)+IFERROR('6月'!ED35,0)+IFERROR('7月'!ED35,0)+IFERROR('8月'!ED35,0)+IFERROR('9月'!ED35,0)+IFERROR('10月'!ED35,0)+IFERROR('11月'!ED35,0)+IFERROR('12月'!ED35,0)</f>
        <v>0</v>
      </c>
      <c r="P30" s="64">
        <f>IFERROR('1月'!ED36,0)+IFERROR('2月'!ED36,0)+IFERROR('3月'!ED36,0)+IFERROR('4月'!ED36,0)+IFERROR('5月'!ED36,0)+IFERROR('6月'!ED36,0)+IFERROR('7月'!ED36,0)+IFERROR('8月'!ED36,0)+IFERROR('9月'!ED36,0)+IFERROR('10月'!ED36,0)+IFERROR('11月'!ED36,0)+IFERROR('12月'!ED36,0)</f>
        <v>0</v>
      </c>
      <c r="Q30" s="79">
        <f t="shared" si="0"/>
        <v>0</v>
      </c>
      <c r="R30" s="78">
        <f>IFERROR('1月'!ED38,0)+IFERROR('2月'!ED38,0)+IFERROR('3月'!ED38,0)+IFERROR('4月'!ED38,0)+IFERROR('5月'!ED38,0)+IFERROR('6月'!ED38,0)+IFERROR('7月'!ED38,0)+IFERROR('8月'!ED38,0)+IFERROR('9月'!ED38,0)+IFERROR('10月'!ED38,0)+IFERROR('11月'!ED38,0)+IFERROR('12月'!ED38,0)</f>
        <v>0</v>
      </c>
      <c r="S30" s="80">
        <f>IFERROR('1月'!ED39,0)+IFERROR('2月'!ED39,0)+IFERROR('3月'!ED39,0)+IFERROR('4月'!ED39,0)+IFERROR('5月'!ED39,0)+IFERROR('6月'!ED39,0)+IFERROR('7月'!ED39,0)+IFERROR('8月'!ED39,0)+IFERROR('9月'!ED39,0)+IFERROR('10月'!ED39,0)+IFERROR('11月'!ED39,0)+IFERROR('12月'!ED39,0)</f>
        <v>0</v>
      </c>
      <c r="T30" s="81">
        <f>IFERROR('1月'!ED40,0)+IFERROR('2月'!ED40,0)+IFERROR('3月'!ED40,0)+IFERROR('4月'!ED40,0)+IFERROR('5月'!ED40,0)+IFERROR('6月'!ED40,0)+IFERROR('7月'!ED40,0)+IFERROR('8月'!ED40,0)+IFERROR('9月'!ED40,0)+IFERROR('10月'!ED40,0)+IFERROR('11月'!ED40,0)+IFERROR('12月'!ED40,0)</f>
        <v>0</v>
      </c>
    </row>
    <row r="31" spans="1:20" ht="19.5" customHeight="1">
      <c r="A31" s="76">
        <v>28</v>
      </c>
      <c r="B31" s="77">
        <f>IFERROR(従業員マスタ!$C$31,"")</f>
        <v>0</v>
      </c>
      <c r="C31" s="76">
        <f>IFERROR('1月'!EI37,0)</f>
        <v>0</v>
      </c>
      <c r="D31" s="76">
        <f>IFERROR('2月'!EI37,0)</f>
        <v>0</v>
      </c>
      <c r="E31" s="76">
        <f>IFERROR('3月'!EI37,0)</f>
        <v>0</v>
      </c>
      <c r="F31" s="76">
        <f>IFERROR('4月'!EI37,0)</f>
        <v>0</v>
      </c>
      <c r="G31" s="76">
        <f>IFERROR('5月'!EI37,0)</f>
        <v>0</v>
      </c>
      <c r="H31" s="76">
        <f>IFERROR('6月'!EI37,0)</f>
        <v>0</v>
      </c>
      <c r="I31" s="76">
        <f>IFERROR('7月'!EI37,0)</f>
        <v>0</v>
      </c>
      <c r="J31" s="76">
        <f>IFERROR('8月'!EI37,0)</f>
        <v>0</v>
      </c>
      <c r="K31" s="76">
        <f>IFERROR('9月'!EI37,0)</f>
        <v>0</v>
      </c>
      <c r="L31" s="76">
        <f>IFERROR('10月'!EI37,0)</f>
        <v>0</v>
      </c>
      <c r="M31" s="76">
        <f>IFERROR('11月'!EI37,0)</f>
        <v>0</v>
      </c>
      <c r="N31" s="76">
        <f>IFERROR('12月'!EI37,0)</f>
        <v>0</v>
      </c>
      <c r="O31" s="78">
        <f>IFERROR('1月'!EI35,0)+IFERROR('2月'!EI35,0)+IFERROR('3月'!EI35,0)+IFERROR('4月'!EI35,0)+IFERROR('5月'!EI35,0)+IFERROR('6月'!EI35,0)+IFERROR('7月'!EI35,0)+IFERROR('8月'!EI35,0)+IFERROR('9月'!EI35,0)+IFERROR('10月'!EI35,0)+IFERROR('11月'!EI35,0)+IFERROR('12月'!EI35,0)</f>
        <v>0</v>
      </c>
      <c r="P31" s="64">
        <f>IFERROR('1月'!EI36,0)+IFERROR('2月'!EI36,0)+IFERROR('3月'!EI36,0)+IFERROR('4月'!EI36,0)+IFERROR('5月'!EI36,0)+IFERROR('6月'!EI36,0)+IFERROR('7月'!EI36,0)+IFERROR('8月'!EI36,0)+IFERROR('9月'!EI36,0)+IFERROR('10月'!EI36,0)+IFERROR('11月'!EI36,0)+IFERROR('12月'!EI36,0)</f>
        <v>0</v>
      </c>
      <c r="Q31" s="79">
        <f t="shared" si="0"/>
        <v>0</v>
      </c>
      <c r="R31" s="78">
        <f>IFERROR('1月'!EI38,0)+IFERROR('2月'!EI38,0)+IFERROR('3月'!EI38,0)+IFERROR('4月'!EI38,0)+IFERROR('5月'!EI38,0)+IFERROR('6月'!EI38,0)+IFERROR('7月'!EI38,0)+IFERROR('8月'!EI38,0)+IFERROR('9月'!EI38,0)+IFERROR('10月'!EI38,0)+IFERROR('11月'!EI38,0)+IFERROR('12月'!EI38,0)</f>
        <v>0</v>
      </c>
      <c r="S31" s="80">
        <f>IFERROR('1月'!EI39,0)+IFERROR('2月'!EI39,0)+IFERROR('3月'!EI39,0)+IFERROR('4月'!EI39,0)+IFERROR('5月'!EI39,0)+IFERROR('6月'!EI39,0)+IFERROR('7月'!EI39,0)+IFERROR('8月'!EI39,0)+IFERROR('9月'!EI39,0)+IFERROR('10月'!EI39,0)+IFERROR('11月'!EI39,0)+IFERROR('12月'!EI39,0)</f>
        <v>0</v>
      </c>
      <c r="T31" s="81">
        <f>IFERROR('1月'!EI40,0)+IFERROR('2月'!EI40,0)+IFERROR('3月'!EI40,0)+IFERROR('4月'!EI40,0)+IFERROR('5月'!EI40,0)+IFERROR('6月'!EI40,0)+IFERROR('7月'!EI40,0)+IFERROR('8月'!EI40,0)+IFERROR('9月'!EI40,0)+IFERROR('10月'!EI40,0)+IFERROR('11月'!EI40,0)+IFERROR('12月'!EI40,0)</f>
        <v>0</v>
      </c>
    </row>
    <row r="32" spans="1:20" ht="19.5" customHeight="1">
      <c r="A32" s="76">
        <v>29</v>
      </c>
      <c r="B32" s="77">
        <f>IFERROR(従業員マスタ!$C$32,"")</f>
        <v>0</v>
      </c>
      <c r="C32" s="76">
        <f>IFERROR('1月'!EN37,0)</f>
        <v>0</v>
      </c>
      <c r="D32" s="76">
        <f>IFERROR('2月'!EN37,0)</f>
        <v>0</v>
      </c>
      <c r="E32" s="76">
        <f>IFERROR('3月'!EN37,0)</f>
        <v>0</v>
      </c>
      <c r="F32" s="76">
        <f>IFERROR('4月'!EN37,0)</f>
        <v>0</v>
      </c>
      <c r="G32" s="76">
        <f>IFERROR('5月'!EN37,0)</f>
        <v>0</v>
      </c>
      <c r="H32" s="76">
        <f>IFERROR('6月'!EN37,0)</f>
        <v>0</v>
      </c>
      <c r="I32" s="76">
        <f>IFERROR('7月'!EN37,0)</f>
        <v>0</v>
      </c>
      <c r="J32" s="76">
        <f>IFERROR('8月'!EN37,0)</f>
        <v>0</v>
      </c>
      <c r="K32" s="76">
        <f>IFERROR('9月'!EN37,0)</f>
        <v>0</v>
      </c>
      <c r="L32" s="76">
        <f>IFERROR('10月'!EN37,0)</f>
        <v>0</v>
      </c>
      <c r="M32" s="76">
        <f>IFERROR('11月'!EN37,0)</f>
        <v>0</v>
      </c>
      <c r="N32" s="76">
        <f>IFERROR('12月'!EN37,0)</f>
        <v>0</v>
      </c>
      <c r="O32" s="78">
        <f>IFERROR('1月'!EN35,0)+IFERROR('2月'!EN35,0)+IFERROR('3月'!EN35,0)+IFERROR('4月'!EN35,0)+IFERROR('5月'!EN35,0)+IFERROR('6月'!EN35,0)+IFERROR('7月'!EN35,0)+IFERROR('8月'!EN35,0)+IFERROR('9月'!EN35,0)+IFERROR('10月'!EN35,0)+IFERROR('11月'!EN35,0)+IFERROR('12月'!EN35,0)</f>
        <v>0</v>
      </c>
      <c r="P32" s="64">
        <f>IFERROR('1月'!EN36,0)+IFERROR('2月'!EN36,0)+IFERROR('3月'!EN36,0)+IFERROR('4月'!EN36,0)+IFERROR('5月'!EN36,0)+IFERROR('6月'!EN36,0)+IFERROR('7月'!EN36,0)+IFERROR('8月'!EN36,0)+IFERROR('9月'!EN36,0)+IFERROR('10月'!EN36,0)+IFERROR('11月'!EN36,0)+IFERROR('12月'!EN36,0)</f>
        <v>0</v>
      </c>
      <c r="Q32" s="79">
        <f t="shared" si="0"/>
        <v>0</v>
      </c>
      <c r="R32" s="78">
        <f>IFERROR('1月'!EN38,0)+IFERROR('2月'!EN38,0)+IFERROR('3月'!EN38,0)+IFERROR('4月'!EN38,0)+IFERROR('5月'!EN38,0)+IFERROR('6月'!EN38,0)+IFERROR('7月'!EN38,0)+IFERROR('8月'!EN38,0)+IFERROR('9月'!EN38,0)+IFERROR('10月'!EN38,0)+IFERROR('11月'!EN38,0)+IFERROR('12月'!EN38,0)</f>
        <v>0</v>
      </c>
      <c r="S32" s="80">
        <f>IFERROR('1月'!EN39,0)+IFERROR('2月'!EN39,0)+IFERROR('3月'!EN39,0)+IFERROR('4月'!EN39,0)+IFERROR('5月'!EN39,0)+IFERROR('6月'!EN39,0)+IFERROR('7月'!EN39,0)+IFERROR('8月'!EN39,0)+IFERROR('9月'!EN39,0)+IFERROR('10月'!EN39,0)+IFERROR('11月'!EN39,0)+IFERROR('12月'!EN39,0)</f>
        <v>0</v>
      </c>
      <c r="T32" s="81">
        <f>IFERROR('1月'!EN40,0)+IFERROR('2月'!EN40,0)+IFERROR('3月'!EN40,0)+IFERROR('4月'!EN40,0)+IFERROR('5月'!EN40,0)+IFERROR('6月'!EN40,0)+IFERROR('7月'!EN40,0)+IFERROR('8月'!EN40,0)+IFERROR('9月'!EN40,0)+IFERROR('10月'!EN40,0)+IFERROR('11月'!EN40,0)+IFERROR('12月'!EN40,0)</f>
        <v>0</v>
      </c>
    </row>
    <row r="33" spans="1:20" ht="19.5" customHeight="1">
      <c r="A33" s="76">
        <v>30</v>
      </c>
      <c r="B33" s="77">
        <f>IFERROR(従業員マスタ!$C$33,"")</f>
        <v>0</v>
      </c>
      <c r="C33" s="76">
        <f>IFERROR('1月'!ES37,0)</f>
        <v>0</v>
      </c>
      <c r="D33" s="76">
        <f>IFERROR('2月'!ES37,0)</f>
        <v>0</v>
      </c>
      <c r="E33" s="76">
        <f>IFERROR('3月'!ES37,0)</f>
        <v>0</v>
      </c>
      <c r="F33" s="76">
        <f>IFERROR('4月'!ES37,0)</f>
        <v>0</v>
      </c>
      <c r="G33" s="76">
        <f>IFERROR('5月'!ES37,0)</f>
        <v>0</v>
      </c>
      <c r="H33" s="76">
        <f>IFERROR('6月'!ES37,0)</f>
        <v>0</v>
      </c>
      <c r="I33" s="76">
        <f>IFERROR('7月'!ES37,0)</f>
        <v>0</v>
      </c>
      <c r="J33" s="76">
        <f>IFERROR('8月'!ES37,0)</f>
        <v>0</v>
      </c>
      <c r="K33" s="76">
        <f>IFERROR('9月'!ES37,0)</f>
        <v>0</v>
      </c>
      <c r="L33" s="76">
        <f>IFERROR('10月'!ES37,0)</f>
        <v>0</v>
      </c>
      <c r="M33" s="76">
        <f>IFERROR('11月'!ES37,0)</f>
        <v>0</v>
      </c>
      <c r="N33" s="76">
        <f>IFERROR('12月'!ES37,0)</f>
        <v>0</v>
      </c>
      <c r="O33" s="78">
        <f>IFERROR('1月'!ES35,0)+IFERROR('2月'!ES35,0)+IFERROR('3月'!ES35,0)+IFERROR('4月'!ES35,0)+IFERROR('5月'!ES35,0)+IFERROR('6月'!ES35,0)+IFERROR('7月'!ES35,0)+IFERROR('8月'!ES35,0)+IFERROR('9月'!ES35,0)+IFERROR('10月'!ES35,0)+IFERROR('11月'!ES35,0)+IFERROR('12月'!ES35,0)</f>
        <v>0</v>
      </c>
      <c r="P33" s="64">
        <f>IFERROR('1月'!ES36,0)+IFERROR('2月'!ES36,0)+IFERROR('3月'!ES36,0)+IFERROR('4月'!ES36,0)+IFERROR('5月'!ES36,0)+IFERROR('6月'!ES36,0)+IFERROR('7月'!ES36,0)+IFERROR('8月'!ES36,0)+IFERROR('9月'!ES36,0)+IFERROR('10月'!ES36,0)+IFERROR('11月'!ES36,0)+IFERROR('12月'!ES36,0)</f>
        <v>0</v>
      </c>
      <c r="Q33" s="79">
        <f t="shared" si="0"/>
        <v>0</v>
      </c>
      <c r="R33" s="78">
        <f>IFERROR('1月'!ES38,0)+IFERROR('2月'!ES38,0)+IFERROR('3月'!ES38,0)+IFERROR('4月'!ES38,0)+IFERROR('5月'!ES38,0)+IFERROR('6月'!ES38,0)+IFERROR('7月'!ES38,0)+IFERROR('8月'!ES38,0)+IFERROR('9月'!ES38,0)+IFERROR('10月'!ES38,0)+IFERROR('11月'!ES38,0)+IFERROR('12月'!ES38,0)</f>
        <v>0</v>
      </c>
      <c r="S33" s="80">
        <f>IFERROR('1月'!ES39,0)+IFERROR('2月'!ES39,0)+IFERROR('3月'!ES39,0)+IFERROR('4月'!ES39,0)+IFERROR('5月'!ES39,0)+IFERROR('6月'!ES39,0)+IFERROR('7月'!ES39,0)+IFERROR('8月'!ES39,0)+IFERROR('9月'!ES39,0)+IFERROR('10月'!ES39,0)+IFERROR('11月'!ES39,0)+IFERROR('12月'!ES39,0)</f>
        <v>0</v>
      </c>
      <c r="T33" s="81">
        <f>IFERROR('1月'!ES40,0)+IFERROR('2月'!ES40,0)+IFERROR('3月'!ES40,0)+IFERROR('4月'!ES40,0)+IFERROR('5月'!ES40,0)+IFERROR('6月'!ES40,0)+IFERROR('7月'!ES40,0)+IFERROR('8月'!ES40,0)+IFERROR('9月'!ES40,0)+IFERROR('10月'!ES40,0)+IFERROR('11月'!ES40,0)+IFERROR('12月'!ES40,0)</f>
        <v>0</v>
      </c>
    </row>
    <row r="34" spans="1:20" ht="24" customHeight="1">
      <c r="A34" s="121"/>
      <c r="B34" s="121"/>
      <c r="C34" s="82">
        <f t="shared" ref="C34:T34" si="1">SUM(C4:C33)</f>
        <v>58</v>
      </c>
      <c r="D34" s="82">
        <f t="shared" si="1"/>
        <v>0</v>
      </c>
      <c r="E34" s="82">
        <f t="shared" si="1"/>
        <v>0</v>
      </c>
      <c r="F34" s="82">
        <f t="shared" si="1"/>
        <v>0</v>
      </c>
      <c r="G34" s="82">
        <f t="shared" si="1"/>
        <v>0</v>
      </c>
      <c r="H34" s="82">
        <f t="shared" si="1"/>
        <v>0</v>
      </c>
      <c r="I34" s="82">
        <f t="shared" si="1"/>
        <v>0</v>
      </c>
      <c r="J34" s="82">
        <f t="shared" si="1"/>
        <v>0</v>
      </c>
      <c r="K34" s="82">
        <f t="shared" si="1"/>
        <v>0</v>
      </c>
      <c r="L34" s="82">
        <f t="shared" si="1"/>
        <v>0</v>
      </c>
      <c r="M34" s="82">
        <f t="shared" si="1"/>
        <v>0</v>
      </c>
      <c r="N34" s="82">
        <f t="shared" si="1"/>
        <v>0</v>
      </c>
      <c r="O34" s="82">
        <f t="shared" si="1"/>
        <v>58</v>
      </c>
      <c r="P34" s="82">
        <f t="shared" si="1"/>
        <v>0</v>
      </c>
      <c r="Q34" s="82">
        <f t="shared" si="1"/>
        <v>58</v>
      </c>
      <c r="R34" s="82">
        <f t="shared" si="1"/>
        <v>0</v>
      </c>
      <c r="S34" s="82">
        <f t="shared" si="1"/>
        <v>1</v>
      </c>
      <c r="T34" s="82">
        <f t="shared" si="1"/>
        <v>0</v>
      </c>
    </row>
  </sheetData>
  <mergeCells count="6">
    <mergeCell ref="A34:B34"/>
    <mergeCell ref="A1:U1"/>
    <mergeCell ref="A2:A3"/>
    <mergeCell ref="B2:B3"/>
    <mergeCell ref="C2:N2"/>
    <mergeCell ref="O2:T2"/>
  </mergeCells>
  <phoneticPr fontId="43"/>
  <pageMargins left="0.75" right="0.75" top="1" bottom="1" header="0.511811023622047" footer="0.511811023622047"/>
  <pageSetup paperSize="8" orientation="landscape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O43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O1"/>
    </sheetView>
  </sheetViews>
  <sheetFormatPr defaultColWidth="8.7109375" defaultRowHeight="15"/>
  <cols>
    <col min="1" max="1" width="5" customWidth="1"/>
    <col min="2" max="2" width="20" customWidth="1"/>
    <col min="3" max="14" width="7" customWidth="1"/>
    <col min="15" max="15" width="9" customWidth="1"/>
  </cols>
  <sheetData>
    <row r="1" spans="1:15" ht="30" customHeight="1">
      <c r="A1" s="122" t="str">
        <f>対象年度&amp;"年 現場別 出勤集計"</f>
        <v>2026年 現場別 出勤集計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</row>
    <row r="2" spans="1:15" ht="24" customHeight="1">
      <c r="A2" s="75" t="s">
        <v>54</v>
      </c>
      <c r="B2" s="60" t="s">
        <v>60</v>
      </c>
      <c r="C2" s="75" t="s">
        <v>94</v>
      </c>
      <c r="D2" s="75" t="s">
        <v>95</v>
      </c>
      <c r="E2" s="75" t="s">
        <v>96</v>
      </c>
      <c r="F2" s="75" t="s">
        <v>97</v>
      </c>
      <c r="G2" s="75" t="s">
        <v>98</v>
      </c>
      <c r="H2" s="75" t="s">
        <v>99</v>
      </c>
      <c r="I2" s="75" t="s">
        <v>100</v>
      </c>
      <c r="J2" s="75" t="s">
        <v>101</v>
      </c>
      <c r="K2" s="75" t="s">
        <v>102</v>
      </c>
      <c r="L2" s="75" t="s">
        <v>103</v>
      </c>
      <c r="M2" s="75" t="s">
        <v>104</v>
      </c>
      <c r="N2" s="75" t="s">
        <v>105</v>
      </c>
      <c r="O2" s="65" t="s">
        <v>106</v>
      </c>
    </row>
    <row r="3" spans="1:15" ht="19.5" customHeight="1">
      <c r="A3" s="76">
        <v>1</v>
      </c>
      <c r="B3" s="77" t="str">
        <f>IFERROR(現場マスタ!$C$4,"")</f>
        <v>新宿</v>
      </c>
      <c r="C3" s="76">
        <f>IFERROR(IF($B3="","",COUNTIF('1月'!D4:D34,$B3)+COUNTIF('1月'!E4:E34,$B3)+COUNTIF('1月'!I4:I34,$B3)+COUNTIF('1月'!J4:J34,$B3)+COUNTIF('1月'!N4:N34,$B3)+COUNTIF('1月'!O4:O34,$B3)+COUNTIF('1月'!S4:S34,$B3)+COUNTIF('1月'!T4:T34,$B3)+COUNTIF('1月'!X4:X34,$B3)+COUNTIF('1月'!Y4:Y34,$B3)+COUNTIF('1月'!AC4:AC34,$B3)+COUNTIF('1月'!AD4:AD34,$B3)+COUNTIF('1月'!AH4:AH34,$B3)+COUNTIF('1月'!AI4:AI34,$B3)+COUNTIF('1月'!AM4:AM34,$B3)+COUNTIF('1月'!AN4:AN34,$B3)+COUNTIF('1月'!AR4:AR34,$B3)+COUNTIF('1月'!AS4:AS34,$B3)+COUNTIF('1月'!AW4:AW34,$B3)+COUNTIF('1月'!AX4:AX34,$B3)+COUNTIF('1月'!BB4:BB34,$B3)+COUNTIF('1月'!BC4:BC34,$B3)+COUNTIF('1月'!BG4:BG34,$B3)+COUNTIF('1月'!BH4:BH34,$B3)+COUNTIF('1月'!BL4:BL34,$B3)+COUNTIF('1月'!BM4:BM34,$B3)+COUNTIF('1月'!BQ4:BQ34,$B3)+COUNTIF('1月'!BR4:BR34,$B3)+COUNTIF('1月'!BV4:BV34,$B3)+COUNTIF('1月'!BW4:BW34,$B3)+COUNTIF('1月'!CA4:CA34,$B3)+COUNTIF('1月'!CB4:CB34,$B3)+COUNTIF('1月'!CF4:CF34,$B3)+COUNTIF('1月'!CG4:CG34,$B3)+COUNTIF('1月'!CK4:CK34,$B3)+COUNTIF('1月'!CL4:CL34,$B3)+COUNTIF('1月'!CP4:CP34,$B3)+COUNTIF('1月'!CQ4:CQ34,$B3)+COUNTIF('1月'!CU4:CU34,$B3)+COUNTIF('1月'!CV4:CV34,$B3)+COUNTIF('1月'!CZ4:CZ34,$B3)+COUNTIF('1月'!DA4:DA34,$B3)+COUNTIF('1月'!DE4:DE34,$B3)+COUNTIF('1月'!DF4:DF34,$B3)+COUNTIF('1月'!DJ4:DJ34,$B3)+COUNTIF('1月'!DK4:DK34,$B3)+COUNTIF('1月'!DO4:DO34,$B3)+COUNTIF('1月'!DP4:DP34,$B3)+COUNTIF('1月'!DT4:DT34,$B3)+COUNTIF('1月'!DU4:DU34,$B3)+COUNTIF('1月'!DY4:DY34,$B3)+COUNTIF('1月'!DZ4:DZ34,$B3)+COUNTIF('1月'!ED4:ED34,$B3)+COUNTIF('1月'!EE4:EE34,$B3)+COUNTIF('1月'!EI4:EI34,$B3)+COUNTIF('1月'!EJ4:EJ34,$B3)+COUNTIF('1月'!EN4:EN34,$B3)+COUNTIF('1月'!EO4:EO34,$B3)+COUNTIF('1月'!ES4:ES34,$B3)+COUNTIF('1月'!ET4:ET34,$B3)),0)</f>
        <v>48</v>
      </c>
      <c r="D3" s="76">
        <f>IFERROR(IF($B3="","",COUNTIF('2月'!D4:D34,$B3)+COUNTIF('2月'!E4:E34,$B3)+COUNTIF('2月'!I4:I34,$B3)+COUNTIF('2月'!J4:J34,$B3)+COUNTIF('2月'!N4:N34,$B3)+COUNTIF('2月'!O4:O34,$B3)+COUNTIF('2月'!S4:S34,$B3)+COUNTIF('2月'!T4:T34,$B3)+COUNTIF('2月'!X4:X34,$B3)+COUNTIF('2月'!Y4:Y34,$B3)+COUNTIF('2月'!AC4:AC34,$B3)+COUNTIF('2月'!AD4:AD34,$B3)+COUNTIF('2月'!AH4:AH34,$B3)+COUNTIF('2月'!AI4:AI34,$B3)+COUNTIF('2月'!AM4:AM34,$B3)+COUNTIF('2月'!AN4:AN34,$B3)+COUNTIF('2月'!AR4:AR34,$B3)+COUNTIF('2月'!AS4:AS34,$B3)+COUNTIF('2月'!AW4:AW34,$B3)+COUNTIF('2月'!AX4:AX34,$B3)+COUNTIF('2月'!BB4:BB34,$B3)+COUNTIF('2月'!BC4:BC34,$B3)+COUNTIF('2月'!BG4:BG34,$B3)+COUNTIF('2月'!BH4:BH34,$B3)+COUNTIF('2月'!BL4:BL34,$B3)+COUNTIF('2月'!BM4:BM34,$B3)+COUNTIF('2月'!BQ4:BQ34,$B3)+COUNTIF('2月'!BR4:BR34,$B3)+COUNTIF('2月'!BV4:BV34,$B3)+COUNTIF('2月'!BW4:BW34,$B3)+COUNTIF('2月'!CA4:CA34,$B3)+COUNTIF('2月'!CB4:CB34,$B3)+COUNTIF('2月'!CF4:CF34,$B3)+COUNTIF('2月'!CG4:CG34,$B3)+COUNTIF('2月'!CK4:CK34,$B3)+COUNTIF('2月'!CL4:CL34,$B3)+COUNTIF('2月'!CP4:CP34,$B3)+COUNTIF('2月'!CQ4:CQ34,$B3)+COUNTIF('2月'!CU4:CU34,$B3)+COUNTIF('2月'!CV4:CV34,$B3)+COUNTIF('2月'!CZ4:CZ34,$B3)+COUNTIF('2月'!DA4:DA34,$B3)+COUNTIF('2月'!DE4:DE34,$B3)+COUNTIF('2月'!DF4:DF34,$B3)+COUNTIF('2月'!DJ4:DJ34,$B3)+COUNTIF('2月'!DK4:DK34,$B3)+COUNTIF('2月'!DO4:DO34,$B3)+COUNTIF('2月'!DP4:DP34,$B3)+COUNTIF('2月'!DT4:DT34,$B3)+COUNTIF('2月'!DU4:DU34,$B3)+COUNTIF('2月'!DY4:DY34,$B3)+COUNTIF('2月'!DZ4:DZ34,$B3)+COUNTIF('2月'!ED4:ED34,$B3)+COUNTIF('2月'!EE4:EE34,$B3)+COUNTIF('2月'!EI4:EI34,$B3)+COUNTIF('2月'!EJ4:EJ34,$B3)+COUNTIF('2月'!EN4:EN34,$B3)+COUNTIF('2月'!EO4:EO34,$B3)+COUNTIF('2月'!ES4:ES34,$B3)+COUNTIF('2月'!ET4:ET34,$B3)),0)</f>
        <v>0</v>
      </c>
      <c r="E3" s="76">
        <f>IFERROR(IF($B3="","",COUNTIF('3月'!D4:D34,$B3)+COUNTIF('3月'!E4:E34,$B3)+COUNTIF('3月'!I4:I34,$B3)+COUNTIF('3月'!J4:J34,$B3)+COUNTIF('3月'!N4:N34,$B3)+COUNTIF('3月'!O4:O34,$B3)+COUNTIF('3月'!S4:S34,$B3)+COUNTIF('3月'!T4:T34,$B3)+COUNTIF('3月'!X4:X34,$B3)+COUNTIF('3月'!Y4:Y34,$B3)+COUNTIF('3月'!AC4:AC34,$B3)+COUNTIF('3月'!AD4:AD34,$B3)+COUNTIF('3月'!AH4:AH34,$B3)+COUNTIF('3月'!AI4:AI34,$B3)+COUNTIF('3月'!AM4:AM34,$B3)+COUNTIF('3月'!AN4:AN34,$B3)+COUNTIF('3月'!AR4:AR34,$B3)+COUNTIF('3月'!AS4:AS34,$B3)+COUNTIF('3月'!AW4:AW34,$B3)+COUNTIF('3月'!AX4:AX34,$B3)+COUNTIF('3月'!BB4:BB34,$B3)+COUNTIF('3月'!BC4:BC34,$B3)+COUNTIF('3月'!BG4:BG34,$B3)+COUNTIF('3月'!BH4:BH34,$B3)+COUNTIF('3月'!BL4:BL34,$B3)+COUNTIF('3月'!BM4:BM34,$B3)+COUNTIF('3月'!BQ4:BQ34,$B3)+COUNTIF('3月'!BR4:BR34,$B3)+COUNTIF('3月'!BV4:BV34,$B3)+COUNTIF('3月'!BW4:BW34,$B3)+COUNTIF('3月'!CA4:CA34,$B3)+COUNTIF('3月'!CB4:CB34,$B3)+COUNTIF('3月'!CF4:CF34,$B3)+COUNTIF('3月'!CG4:CG34,$B3)+COUNTIF('3月'!CK4:CK34,$B3)+COUNTIF('3月'!CL4:CL34,$B3)+COUNTIF('3月'!CP4:CP34,$B3)+COUNTIF('3月'!CQ4:CQ34,$B3)+COUNTIF('3月'!CU4:CU34,$B3)+COUNTIF('3月'!CV4:CV34,$B3)+COUNTIF('3月'!CZ4:CZ34,$B3)+COUNTIF('3月'!DA4:DA34,$B3)+COUNTIF('3月'!DE4:DE34,$B3)+COUNTIF('3月'!DF4:DF34,$B3)+COUNTIF('3月'!DJ4:DJ34,$B3)+COUNTIF('3月'!DK4:DK34,$B3)+COUNTIF('3月'!DO4:DO34,$B3)+COUNTIF('3月'!DP4:DP34,$B3)+COUNTIF('3月'!DT4:DT34,$B3)+COUNTIF('3月'!DU4:DU34,$B3)+COUNTIF('3月'!DY4:DY34,$B3)+COUNTIF('3月'!DZ4:DZ34,$B3)+COUNTIF('3月'!ED4:ED34,$B3)+COUNTIF('3月'!EE4:EE34,$B3)+COUNTIF('3月'!EI4:EI34,$B3)+COUNTIF('3月'!EJ4:EJ34,$B3)+COUNTIF('3月'!EN4:EN34,$B3)+COUNTIF('3月'!EO4:EO34,$B3)+COUNTIF('3月'!ES4:ES34,$B3)+COUNTIF('3月'!ET4:ET34,$B3)),0)</f>
        <v>0</v>
      </c>
      <c r="F3" s="76">
        <f>IFERROR(IF($B3="","",COUNTIF('4月'!D4:D34,$B3)+COUNTIF('4月'!E4:E34,$B3)+COUNTIF('4月'!I4:I34,$B3)+COUNTIF('4月'!J4:J34,$B3)+COUNTIF('4月'!N4:N34,$B3)+COUNTIF('4月'!O4:O34,$B3)+COUNTIF('4月'!S4:S34,$B3)+COUNTIF('4月'!T4:T34,$B3)+COUNTIF('4月'!X4:X34,$B3)+COUNTIF('4月'!Y4:Y34,$B3)+COUNTIF('4月'!AC4:AC34,$B3)+COUNTIF('4月'!AD4:AD34,$B3)+COUNTIF('4月'!AH4:AH34,$B3)+COUNTIF('4月'!AI4:AI34,$B3)+COUNTIF('4月'!AM4:AM34,$B3)+COUNTIF('4月'!AN4:AN34,$B3)+COUNTIF('4月'!AR4:AR34,$B3)+COUNTIF('4月'!AS4:AS34,$B3)+COUNTIF('4月'!AW4:AW34,$B3)+COUNTIF('4月'!AX4:AX34,$B3)+COUNTIF('4月'!BB4:BB34,$B3)+COUNTIF('4月'!BC4:BC34,$B3)+COUNTIF('4月'!BG4:BG34,$B3)+COUNTIF('4月'!BH4:BH34,$B3)+COUNTIF('4月'!BL4:BL34,$B3)+COUNTIF('4月'!BM4:BM34,$B3)+COUNTIF('4月'!BQ4:BQ34,$B3)+COUNTIF('4月'!BR4:BR34,$B3)+COUNTIF('4月'!BV4:BV34,$B3)+COUNTIF('4月'!BW4:BW34,$B3)+COUNTIF('4月'!CA4:CA34,$B3)+COUNTIF('4月'!CB4:CB34,$B3)+COUNTIF('4月'!CF4:CF34,$B3)+COUNTIF('4月'!CG4:CG34,$B3)+COUNTIF('4月'!CK4:CK34,$B3)+COUNTIF('4月'!CL4:CL34,$B3)+COUNTIF('4月'!CP4:CP34,$B3)+COUNTIF('4月'!CQ4:CQ34,$B3)+COUNTIF('4月'!CU4:CU34,$B3)+COUNTIF('4月'!CV4:CV34,$B3)+COUNTIF('4月'!CZ4:CZ34,$B3)+COUNTIF('4月'!DA4:DA34,$B3)+COUNTIF('4月'!DE4:DE34,$B3)+COUNTIF('4月'!DF4:DF34,$B3)+COUNTIF('4月'!DJ4:DJ34,$B3)+COUNTIF('4月'!DK4:DK34,$B3)+COUNTIF('4月'!DO4:DO34,$B3)+COUNTIF('4月'!DP4:DP34,$B3)+COUNTIF('4月'!DT4:DT34,$B3)+COUNTIF('4月'!DU4:DU34,$B3)+COUNTIF('4月'!DY4:DY34,$B3)+COUNTIF('4月'!DZ4:DZ34,$B3)+COUNTIF('4月'!ED4:ED34,$B3)+COUNTIF('4月'!EE4:EE34,$B3)+COUNTIF('4月'!EI4:EI34,$B3)+COUNTIF('4月'!EJ4:EJ34,$B3)+COUNTIF('4月'!EN4:EN34,$B3)+COUNTIF('4月'!EO4:EO34,$B3)+COUNTIF('4月'!ES4:ES34,$B3)+COUNTIF('4月'!ET4:ET34,$B3)),0)</f>
        <v>0</v>
      </c>
      <c r="G3" s="76">
        <f>IFERROR(IF($B3="","",COUNTIF('5月'!D4:D34,$B3)+COUNTIF('5月'!E4:E34,$B3)+COUNTIF('5月'!I4:I34,$B3)+COUNTIF('5月'!J4:J34,$B3)+COUNTIF('5月'!N4:N34,$B3)+COUNTIF('5月'!O4:O34,$B3)+COUNTIF('5月'!S4:S34,$B3)+COUNTIF('5月'!T4:T34,$B3)+COUNTIF('5月'!X4:X34,$B3)+COUNTIF('5月'!Y4:Y34,$B3)+COUNTIF('5月'!AC4:AC34,$B3)+COUNTIF('5月'!AD4:AD34,$B3)+COUNTIF('5月'!AH4:AH34,$B3)+COUNTIF('5月'!AI4:AI34,$B3)+COUNTIF('5月'!AM4:AM34,$B3)+COUNTIF('5月'!AN4:AN34,$B3)+COUNTIF('5月'!AR4:AR34,$B3)+COUNTIF('5月'!AS4:AS34,$B3)+COUNTIF('5月'!AW4:AW34,$B3)+COUNTIF('5月'!AX4:AX34,$B3)+COUNTIF('5月'!BB4:BB34,$B3)+COUNTIF('5月'!BC4:BC34,$B3)+COUNTIF('5月'!BG4:BG34,$B3)+COUNTIF('5月'!BH4:BH34,$B3)+COUNTIF('5月'!BL4:BL34,$B3)+COUNTIF('5月'!BM4:BM34,$B3)+COUNTIF('5月'!BQ4:BQ34,$B3)+COUNTIF('5月'!BR4:BR34,$B3)+COUNTIF('5月'!BV4:BV34,$B3)+COUNTIF('5月'!BW4:BW34,$B3)+COUNTIF('5月'!CA4:CA34,$B3)+COUNTIF('5月'!CB4:CB34,$B3)+COUNTIF('5月'!CF4:CF34,$B3)+COUNTIF('5月'!CG4:CG34,$B3)+COUNTIF('5月'!CK4:CK34,$B3)+COUNTIF('5月'!CL4:CL34,$B3)+COUNTIF('5月'!CP4:CP34,$B3)+COUNTIF('5月'!CQ4:CQ34,$B3)+COUNTIF('5月'!CU4:CU34,$B3)+COUNTIF('5月'!CV4:CV34,$B3)+COUNTIF('5月'!CZ4:CZ34,$B3)+COUNTIF('5月'!DA4:DA34,$B3)+COUNTIF('5月'!DE4:DE34,$B3)+COUNTIF('5月'!DF4:DF34,$B3)+COUNTIF('5月'!DJ4:DJ34,$B3)+COUNTIF('5月'!DK4:DK34,$B3)+COUNTIF('5月'!DO4:DO34,$B3)+COUNTIF('5月'!DP4:DP34,$B3)+COUNTIF('5月'!DT4:DT34,$B3)+COUNTIF('5月'!DU4:DU34,$B3)+COUNTIF('5月'!DY4:DY34,$B3)+COUNTIF('5月'!DZ4:DZ34,$B3)+COUNTIF('5月'!ED4:ED34,$B3)+COUNTIF('5月'!EE4:EE34,$B3)+COUNTIF('5月'!EI4:EI34,$B3)+COUNTIF('5月'!EJ4:EJ34,$B3)+COUNTIF('5月'!EN4:EN34,$B3)+COUNTIF('5月'!EO4:EO34,$B3)+COUNTIF('5月'!ES4:ES34,$B3)+COUNTIF('5月'!ET4:ET34,$B3)),0)</f>
        <v>0</v>
      </c>
      <c r="H3" s="76">
        <f>IFERROR(IF($B3="","",COUNTIF('6月'!D4:D34,$B3)+COUNTIF('6月'!E4:E34,$B3)+COUNTIF('6月'!I4:I34,$B3)+COUNTIF('6月'!J4:J34,$B3)+COUNTIF('6月'!N4:N34,$B3)+COUNTIF('6月'!O4:O34,$B3)+COUNTIF('6月'!S4:S34,$B3)+COUNTIF('6月'!T4:T34,$B3)+COUNTIF('6月'!X4:X34,$B3)+COUNTIF('6月'!Y4:Y34,$B3)+COUNTIF('6月'!AC4:AC34,$B3)+COUNTIF('6月'!AD4:AD34,$B3)+COUNTIF('6月'!AH4:AH34,$B3)+COUNTIF('6月'!AI4:AI34,$B3)+COUNTIF('6月'!AM4:AM34,$B3)+COUNTIF('6月'!AN4:AN34,$B3)+COUNTIF('6月'!AR4:AR34,$B3)+COUNTIF('6月'!AS4:AS34,$B3)+COUNTIF('6月'!AW4:AW34,$B3)+COUNTIF('6月'!AX4:AX34,$B3)+COUNTIF('6月'!BB4:BB34,$B3)+COUNTIF('6月'!BC4:BC34,$B3)+COUNTIF('6月'!BG4:BG34,$B3)+COUNTIF('6月'!BH4:BH34,$B3)+COUNTIF('6月'!BL4:BL34,$B3)+COUNTIF('6月'!BM4:BM34,$B3)+COUNTIF('6月'!BQ4:BQ34,$B3)+COUNTIF('6月'!BR4:BR34,$B3)+COUNTIF('6月'!BV4:BV34,$B3)+COUNTIF('6月'!BW4:BW34,$B3)+COUNTIF('6月'!CA4:CA34,$B3)+COUNTIF('6月'!CB4:CB34,$B3)+COUNTIF('6月'!CF4:CF34,$B3)+COUNTIF('6月'!CG4:CG34,$B3)+COUNTIF('6月'!CK4:CK34,$B3)+COUNTIF('6月'!CL4:CL34,$B3)+COUNTIF('6月'!CP4:CP34,$B3)+COUNTIF('6月'!CQ4:CQ34,$B3)+COUNTIF('6月'!CU4:CU34,$B3)+COUNTIF('6月'!CV4:CV34,$B3)+COUNTIF('6月'!CZ4:CZ34,$B3)+COUNTIF('6月'!DA4:DA34,$B3)+COUNTIF('6月'!DE4:DE34,$B3)+COUNTIF('6月'!DF4:DF34,$B3)+COUNTIF('6月'!DJ4:DJ34,$B3)+COUNTIF('6月'!DK4:DK34,$B3)+COUNTIF('6月'!DO4:DO34,$B3)+COUNTIF('6月'!DP4:DP34,$B3)+COUNTIF('6月'!DT4:DT34,$B3)+COUNTIF('6月'!DU4:DU34,$B3)+COUNTIF('6月'!DY4:DY34,$B3)+COUNTIF('6月'!DZ4:DZ34,$B3)+COUNTIF('6月'!ED4:ED34,$B3)+COUNTIF('6月'!EE4:EE34,$B3)+COUNTIF('6月'!EI4:EI34,$B3)+COUNTIF('6月'!EJ4:EJ34,$B3)+COUNTIF('6月'!EN4:EN34,$B3)+COUNTIF('6月'!EO4:EO34,$B3)+COUNTIF('6月'!ES4:ES34,$B3)+COUNTIF('6月'!ET4:ET34,$B3)),0)</f>
        <v>0</v>
      </c>
      <c r="I3" s="76">
        <f>IFERROR(IF($B3="","",COUNTIF('7月'!D4:D34,$B3)+COUNTIF('7月'!E4:E34,$B3)+COUNTIF('7月'!I4:I34,$B3)+COUNTIF('7月'!J4:J34,$B3)+COUNTIF('7月'!N4:N34,$B3)+COUNTIF('7月'!O4:O34,$B3)+COUNTIF('7月'!S4:S34,$B3)+COUNTIF('7月'!T4:T34,$B3)+COUNTIF('7月'!X4:X34,$B3)+COUNTIF('7月'!Y4:Y34,$B3)+COUNTIF('7月'!AC4:AC34,$B3)+COUNTIF('7月'!AD4:AD34,$B3)+COUNTIF('7月'!AH4:AH34,$B3)+COUNTIF('7月'!AI4:AI34,$B3)+COUNTIF('7月'!AM4:AM34,$B3)+COUNTIF('7月'!AN4:AN34,$B3)+COUNTIF('7月'!AR4:AR34,$B3)+COUNTIF('7月'!AS4:AS34,$B3)+COUNTIF('7月'!AW4:AW34,$B3)+COUNTIF('7月'!AX4:AX34,$B3)+COUNTIF('7月'!BB4:BB34,$B3)+COUNTIF('7月'!BC4:BC34,$B3)+COUNTIF('7月'!BG4:BG34,$B3)+COUNTIF('7月'!BH4:BH34,$B3)+COUNTIF('7月'!BL4:BL34,$B3)+COUNTIF('7月'!BM4:BM34,$B3)+COUNTIF('7月'!BQ4:BQ34,$B3)+COUNTIF('7月'!BR4:BR34,$B3)+COUNTIF('7月'!BV4:BV34,$B3)+COUNTIF('7月'!BW4:BW34,$B3)+COUNTIF('7月'!CA4:CA34,$B3)+COUNTIF('7月'!CB4:CB34,$B3)+COUNTIF('7月'!CF4:CF34,$B3)+COUNTIF('7月'!CG4:CG34,$B3)+COUNTIF('7月'!CK4:CK34,$B3)+COUNTIF('7月'!CL4:CL34,$B3)+COUNTIF('7月'!CP4:CP34,$B3)+COUNTIF('7月'!CQ4:CQ34,$B3)+COUNTIF('7月'!CU4:CU34,$B3)+COUNTIF('7月'!CV4:CV34,$B3)+COUNTIF('7月'!CZ4:CZ34,$B3)+COUNTIF('7月'!DA4:DA34,$B3)+COUNTIF('7月'!DE4:DE34,$B3)+COUNTIF('7月'!DF4:DF34,$B3)+COUNTIF('7月'!DJ4:DJ34,$B3)+COUNTIF('7月'!DK4:DK34,$B3)+COUNTIF('7月'!DO4:DO34,$B3)+COUNTIF('7月'!DP4:DP34,$B3)+COUNTIF('7月'!DT4:DT34,$B3)+COUNTIF('7月'!DU4:DU34,$B3)+COUNTIF('7月'!DY4:DY34,$B3)+COUNTIF('7月'!DZ4:DZ34,$B3)+COUNTIF('7月'!ED4:ED34,$B3)+COUNTIF('7月'!EE4:EE34,$B3)+COUNTIF('7月'!EI4:EI34,$B3)+COUNTIF('7月'!EJ4:EJ34,$B3)+COUNTIF('7月'!EN4:EN34,$B3)+COUNTIF('7月'!EO4:EO34,$B3)+COUNTIF('7月'!ES4:ES34,$B3)+COUNTIF('7月'!ET4:ET34,$B3)),0)</f>
        <v>0</v>
      </c>
      <c r="J3" s="76">
        <f>IFERROR(IF($B3="","",COUNTIF('8月'!D4:D34,$B3)+COUNTIF('8月'!E4:E34,$B3)+COUNTIF('8月'!I4:I34,$B3)+COUNTIF('8月'!J4:J34,$B3)+COUNTIF('8月'!N4:N34,$B3)+COUNTIF('8月'!O4:O34,$B3)+COUNTIF('8月'!S4:S34,$B3)+COUNTIF('8月'!T4:T34,$B3)+COUNTIF('8月'!X4:X34,$B3)+COUNTIF('8月'!Y4:Y34,$B3)+COUNTIF('8月'!AC4:AC34,$B3)+COUNTIF('8月'!AD4:AD34,$B3)+COUNTIF('8月'!AH4:AH34,$B3)+COUNTIF('8月'!AI4:AI34,$B3)+COUNTIF('8月'!AM4:AM34,$B3)+COUNTIF('8月'!AN4:AN34,$B3)+COUNTIF('8月'!AR4:AR34,$B3)+COUNTIF('8月'!AS4:AS34,$B3)+COUNTIF('8月'!AW4:AW34,$B3)+COUNTIF('8月'!AX4:AX34,$B3)+COUNTIF('8月'!BB4:BB34,$B3)+COUNTIF('8月'!BC4:BC34,$B3)+COUNTIF('8月'!BG4:BG34,$B3)+COUNTIF('8月'!BH4:BH34,$B3)+COUNTIF('8月'!BL4:BL34,$B3)+COUNTIF('8月'!BM4:BM34,$B3)+COUNTIF('8月'!BQ4:BQ34,$B3)+COUNTIF('8月'!BR4:BR34,$B3)+COUNTIF('8月'!BV4:BV34,$B3)+COUNTIF('8月'!BW4:BW34,$B3)+COUNTIF('8月'!CA4:CA34,$B3)+COUNTIF('8月'!CB4:CB34,$B3)+COUNTIF('8月'!CF4:CF34,$B3)+COUNTIF('8月'!CG4:CG34,$B3)+COUNTIF('8月'!CK4:CK34,$B3)+COUNTIF('8月'!CL4:CL34,$B3)+COUNTIF('8月'!CP4:CP34,$B3)+COUNTIF('8月'!CQ4:CQ34,$B3)+COUNTIF('8月'!CU4:CU34,$B3)+COUNTIF('8月'!CV4:CV34,$B3)+COUNTIF('8月'!CZ4:CZ34,$B3)+COUNTIF('8月'!DA4:DA34,$B3)+COUNTIF('8月'!DE4:DE34,$B3)+COUNTIF('8月'!DF4:DF34,$B3)+COUNTIF('8月'!DJ4:DJ34,$B3)+COUNTIF('8月'!DK4:DK34,$B3)+COUNTIF('8月'!DO4:DO34,$B3)+COUNTIF('8月'!DP4:DP34,$B3)+COUNTIF('8月'!DT4:DT34,$B3)+COUNTIF('8月'!DU4:DU34,$B3)+COUNTIF('8月'!DY4:DY34,$B3)+COUNTIF('8月'!DZ4:DZ34,$B3)+COUNTIF('8月'!ED4:ED34,$B3)+COUNTIF('8月'!EE4:EE34,$B3)+COUNTIF('8月'!EI4:EI34,$B3)+COUNTIF('8月'!EJ4:EJ34,$B3)+COUNTIF('8月'!EN4:EN34,$B3)+COUNTIF('8月'!EO4:EO34,$B3)+COUNTIF('8月'!ES4:ES34,$B3)+COUNTIF('8月'!ET4:ET34,$B3)),0)</f>
        <v>0</v>
      </c>
      <c r="K3" s="76">
        <f>IFERROR(IF($B3="","",COUNTIF('9月'!D4:D34,$B3)+COUNTIF('9月'!E4:E34,$B3)+COUNTIF('9月'!I4:I34,$B3)+COUNTIF('9月'!J4:J34,$B3)+COUNTIF('9月'!N4:N34,$B3)+COUNTIF('9月'!O4:O34,$B3)+COUNTIF('9月'!S4:S34,$B3)+COUNTIF('9月'!T4:T34,$B3)+COUNTIF('9月'!X4:X34,$B3)+COUNTIF('9月'!Y4:Y34,$B3)+COUNTIF('9月'!AC4:AC34,$B3)+COUNTIF('9月'!AD4:AD34,$B3)+COUNTIF('9月'!AH4:AH34,$B3)+COUNTIF('9月'!AI4:AI34,$B3)+COUNTIF('9月'!AM4:AM34,$B3)+COUNTIF('9月'!AN4:AN34,$B3)+COUNTIF('9月'!AR4:AR34,$B3)+COUNTIF('9月'!AS4:AS34,$B3)+COUNTIF('9月'!AW4:AW34,$B3)+COUNTIF('9月'!AX4:AX34,$B3)+COUNTIF('9月'!BB4:BB34,$B3)+COUNTIF('9月'!BC4:BC34,$B3)+COUNTIF('9月'!BG4:BG34,$B3)+COUNTIF('9月'!BH4:BH34,$B3)+COUNTIF('9月'!BL4:BL34,$B3)+COUNTIF('9月'!BM4:BM34,$B3)+COUNTIF('9月'!BQ4:BQ34,$B3)+COUNTIF('9月'!BR4:BR34,$B3)+COUNTIF('9月'!BV4:BV34,$B3)+COUNTIF('9月'!BW4:BW34,$B3)+COUNTIF('9月'!CA4:CA34,$B3)+COUNTIF('9月'!CB4:CB34,$B3)+COUNTIF('9月'!CF4:CF34,$B3)+COUNTIF('9月'!CG4:CG34,$B3)+COUNTIF('9月'!CK4:CK34,$B3)+COUNTIF('9月'!CL4:CL34,$B3)+COUNTIF('9月'!CP4:CP34,$B3)+COUNTIF('9月'!CQ4:CQ34,$B3)+COUNTIF('9月'!CU4:CU34,$B3)+COUNTIF('9月'!CV4:CV34,$B3)+COUNTIF('9月'!CZ4:CZ34,$B3)+COUNTIF('9月'!DA4:DA34,$B3)+COUNTIF('9月'!DE4:DE34,$B3)+COUNTIF('9月'!DF4:DF34,$B3)+COUNTIF('9月'!DJ4:DJ34,$B3)+COUNTIF('9月'!DK4:DK34,$B3)+COUNTIF('9月'!DO4:DO34,$B3)+COUNTIF('9月'!DP4:DP34,$B3)+COUNTIF('9月'!DT4:DT34,$B3)+COUNTIF('9月'!DU4:DU34,$B3)+COUNTIF('9月'!DY4:DY34,$B3)+COUNTIF('9月'!DZ4:DZ34,$B3)+COUNTIF('9月'!ED4:ED34,$B3)+COUNTIF('9月'!EE4:EE34,$B3)+COUNTIF('9月'!EI4:EI34,$B3)+COUNTIF('9月'!EJ4:EJ34,$B3)+COUNTIF('9月'!EN4:EN34,$B3)+COUNTIF('9月'!EO4:EO34,$B3)+COUNTIF('9月'!ES4:ES34,$B3)+COUNTIF('9月'!ET4:ET34,$B3)),0)</f>
        <v>0</v>
      </c>
      <c r="L3" s="76">
        <f>IFERROR(IF($B3="","",COUNTIF('10月'!D4:D34,$B3)+COUNTIF('10月'!E4:E34,$B3)+COUNTIF('10月'!I4:I34,$B3)+COUNTIF('10月'!J4:J34,$B3)+COUNTIF('10月'!N4:N34,$B3)+COUNTIF('10月'!O4:O34,$B3)+COUNTIF('10月'!S4:S34,$B3)+COUNTIF('10月'!T4:T34,$B3)+COUNTIF('10月'!X4:X34,$B3)+COUNTIF('10月'!Y4:Y34,$B3)+COUNTIF('10月'!AC4:AC34,$B3)+COUNTIF('10月'!AD4:AD34,$B3)+COUNTIF('10月'!AH4:AH34,$B3)+COUNTIF('10月'!AI4:AI34,$B3)+COUNTIF('10月'!AM4:AM34,$B3)+COUNTIF('10月'!AN4:AN34,$B3)+COUNTIF('10月'!AR4:AR34,$B3)+COUNTIF('10月'!AS4:AS34,$B3)+COUNTIF('10月'!AW4:AW34,$B3)+COUNTIF('10月'!AX4:AX34,$B3)+COUNTIF('10月'!BB4:BB34,$B3)+COUNTIF('10月'!BC4:BC34,$B3)+COUNTIF('10月'!BG4:BG34,$B3)+COUNTIF('10月'!BH4:BH34,$B3)+COUNTIF('10月'!BL4:BL34,$B3)+COUNTIF('10月'!BM4:BM34,$B3)+COUNTIF('10月'!BQ4:BQ34,$B3)+COUNTIF('10月'!BR4:BR34,$B3)+COUNTIF('10月'!BV4:BV34,$B3)+COUNTIF('10月'!BW4:BW34,$B3)+COUNTIF('10月'!CA4:CA34,$B3)+COUNTIF('10月'!CB4:CB34,$B3)+COUNTIF('10月'!CF4:CF34,$B3)+COUNTIF('10月'!CG4:CG34,$B3)+COUNTIF('10月'!CK4:CK34,$B3)+COUNTIF('10月'!CL4:CL34,$B3)+COUNTIF('10月'!CP4:CP34,$B3)+COUNTIF('10月'!CQ4:CQ34,$B3)+COUNTIF('10月'!CU4:CU34,$B3)+COUNTIF('10月'!CV4:CV34,$B3)+COUNTIF('10月'!CZ4:CZ34,$B3)+COUNTIF('10月'!DA4:DA34,$B3)+COUNTIF('10月'!DE4:DE34,$B3)+COUNTIF('10月'!DF4:DF34,$B3)+COUNTIF('10月'!DJ4:DJ34,$B3)+COUNTIF('10月'!DK4:DK34,$B3)+COUNTIF('10月'!DO4:DO34,$B3)+COUNTIF('10月'!DP4:DP34,$B3)+COUNTIF('10月'!DT4:DT34,$B3)+COUNTIF('10月'!DU4:DU34,$B3)+COUNTIF('10月'!DY4:DY34,$B3)+COUNTIF('10月'!DZ4:DZ34,$B3)+COUNTIF('10月'!ED4:ED34,$B3)+COUNTIF('10月'!EE4:EE34,$B3)+COUNTIF('10月'!EI4:EI34,$B3)+COUNTIF('10月'!EJ4:EJ34,$B3)+COUNTIF('10月'!EN4:EN34,$B3)+COUNTIF('10月'!EO4:EO34,$B3)+COUNTIF('10月'!ES4:ES34,$B3)+COUNTIF('10月'!ET4:ET34,$B3)),0)</f>
        <v>0</v>
      </c>
      <c r="M3" s="76">
        <f>IFERROR(IF($B3="","",COUNTIF('11月'!D4:D34,$B3)+COUNTIF('11月'!E4:E34,$B3)+COUNTIF('11月'!I4:I34,$B3)+COUNTIF('11月'!J4:J34,$B3)+COUNTIF('11月'!N4:N34,$B3)+COUNTIF('11月'!O4:O34,$B3)+COUNTIF('11月'!S4:S34,$B3)+COUNTIF('11月'!T4:T34,$B3)+COUNTIF('11月'!X4:X34,$B3)+COUNTIF('11月'!Y4:Y34,$B3)+COUNTIF('11月'!AC4:AC34,$B3)+COUNTIF('11月'!AD4:AD34,$B3)+COUNTIF('11月'!AH4:AH34,$B3)+COUNTIF('11月'!AI4:AI34,$B3)+COUNTIF('11月'!AM4:AM34,$B3)+COUNTIF('11月'!AN4:AN34,$B3)+COUNTIF('11月'!AR4:AR34,$B3)+COUNTIF('11月'!AS4:AS34,$B3)+COUNTIF('11月'!AW4:AW34,$B3)+COUNTIF('11月'!AX4:AX34,$B3)+COUNTIF('11月'!BB4:BB34,$B3)+COUNTIF('11月'!BC4:BC34,$B3)+COUNTIF('11月'!BG4:BG34,$B3)+COUNTIF('11月'!BH4:BH34,$B3)+COUNTIF('11月'!BL4:BL34,$B3)+COUNTIF('11月'!BM4:BM34,$B3)+COUNTIF('11月'!BQ4:BQ34,$B3)+COUNTIF('11月'!BR4:BR34,$B3)+COUNTIF('11月'!BV4:BV34,$B3)+COUNTIF('11月'!BW4:BW34,$B3)+COUNTIF('11月'!CA4:CA34,$B3)+COUNTIF('11月'!CB4:CB34,$B3)+COUNTIF('11月'!CF4:CF34,$B3)+COUNTIF('11月'!CG4:CG34,$B3)+COUNTIF('11月'!CK4:CK34,$B3)+COUNTIF('11月'!CL4:CL34,$B3)+COUNTIF('11月'!CP4:CP34,$B3)+COUNTIF('11月'!CQ4:CQ34,$B3)+COUNTIF('11月'!CU4:CU34,$B3)+COUNTIF('11月'!CV4:CV34,$B3)+COUNTIF('11月'!CZ4:CZ34,$B3)+COUNTIF('11月'!DA4:DA34,$B3)+COUNTIF('11月'!DE4:DE34,$B3)+COUNTIF('11月'!DF4:DF34,$B3)+COUNTIF('11月'!DJ4:DJ34,$B3)+COUNTIF('11月'!DK4:DK34,$B3)+COUNTIF('11月'!DO4:DO34,$B3)+COUNTIF('11月'!DP4:DP34,$B3)+COUNTIF('11月'!DT4:DT34,$B3)+COUNTIF('11月'!DU4:DU34,$B3)+COUNTIF('11月'!DY4:DY34,$B3)+COUNTIF('11月'!DZ4:DZ34,$B3)+COUNTIF('11月'!ED4:ED34,$B3)+COUNTIF('11月'!EE4:EE34,$B3)+COUNTIF('11月'!EI4:EI34,$B3)+COUNTIF('11月'!EJ4:EJ34,$B3)+COUNTIF('11月'!EN4:EN34,$B3)+COUNTIF('11月'!EO4:EO34,$B3)+COUNTIF('11月'!ES4:ES34,$B3)+COUNTIF('11月'!ET4:ET34,$B3)),0)</f>
        <v>0</v>
      </c>
      <c r="N3" s="76">
        <f>IFERROR(IF($B3="","",COUNTIF('12月'!D4:D34,$B3)+COUNTIF('12月'!E4:E34,$B3)+COUNTIF('12月'!I4:I34,$B3)+COUNTIF('12月'!J4:J34,$B3)+COUNTIF('12月'!N4:N34,$B3)+COUNTIF('12月'!O4:O34,$B3)+COUNTIF('12月'!S4:S34,$B3)+COUNTIF('12月'!T4:T34,$B3)+COUNTIF('12月'!X4:X34,$B3)+COUNTIF('12月'!Y4:Y34,$B3)+COUNTIF('12月'!AC4:AC34,$B3)+COUNTIF('12月'!AD4:AD34,$B3)+COUNTIF('12月'!AH4:AH34,$B3)+COUNTIF('12月'!AI4:AI34,$B3)+COUNTIF('12月'!AM4:AM34,$B3)+COUNTIF('12月'!AN4:AN34,$B3)+COUNTIF('12月'!AR4:AR34,$B3)+COUNTIF('12月'!AS4:AS34,$B3)+COUNTIF('12月'!AW4:AW34,$B3)+COUNTIF('12月'!AX4:AX34,$B3)+COUNTIF('12月'!BB4:BB34,$B3)+COUNTIF('12月'!BC4:BC34,$B3)+COUNTIF('12月'!BG4:BG34,$B3)+COUNTIF('12月'!BH4:BH34,$B3)+COUNTIF('12月'!BL4:BL34,$B3)+COUNTIF('12月'!BM4:BM34,$B3)+COUNTIF('12月'!BQ4:BQ34,$B3)+COUNTIF('12月'!BR4:BR34,$B3)+COUNTIF('12月'!BV4:BV34,$B3)+COUNTIF('12月'!BW4:BW34,$B3)+COUNTIF('12月'!CA4:CA34,$B3)+COUNTIF('12月'!CB4:CB34,$B3)+COUNTIF('12月'!CF4:CF34,$B3)+COUNTIF('12月'!CG4:CG34,$B3)+COUNTIF('12月'!CK4:CK34,$B3)+COUNTIF('12月'!CL4:CL34,$B3)+COUNTIF('12月'!CP4:CP34,$B3)+COUNTIF('12月'!CQ4:CQ34,$B3)+COUNTIF('12月'!CU4:CU34,$B3)+COUNTIF('12月'!CV4:CV34,$B3)+COUNTIF('12月'!CZ4:CZ34,$B3)+COUNTIF('12月'!DA4:DA34,$B3)+COUNTIF('12月'!DE4:DE34,$B3)+COUNTIF('12月'!DF4:DF34,$B3)+COUNTIF('12月'!DJ4:DJ34,$B3)+COUNTIF('12月'!DK4:DK34,$B3)+COUNTIF('12月'!DO4:DO34,$B3)+COUNTIF('12月'!DP4:DP34,$B3)+COUNTIF('12月'!DT4:DT34,$B3)+COUNTIF('12月'!DU4:DU34,$B3)+COUNTIF('12月'!DY4:DY34,$B3)+COUNTIF('12月'!DZ4:DZ34,$B3)+COUNTIF('12月'!ED4:ED34,$B3)+COUNTIF('12月'!EE4:EE34,$B3)+COUNTIF('12月'!EI4:EI34,$B3)+COUNTIF('12月'!EJ4:EJ34,$B3)+COUNTIF('12月'!EN4:EN34,$B3)+COUNTIF('12月'!EO4:EO34,$B3)+COUNTIF('12月'!ES4:ES34,$B3)+COUNTIF('12月'!ET4:ET34,$B3)),0)</f>
        <v>0</v>
      </c>
      <c r="O3" s="78">
        <f t="shared" ref="O3:O42" si="0">IFERROR(IF($B3="","",SUM(C3:N3)),0)</f>
        <v>48</v>
      </c>
    </row>
    <row r="4" spans="1:15" ht="19.5" customHeight="1">
      <c r="A4" s="76">
        <v>2</v>
      </c>
      <c r="B4" s="77" t="str">
        <f>IFERROR(現場マスタ!$C$5,"")</f>
        <v>赤坂</v>
      </c>
      <c r="C4" s="76">
        <f>IFERROR(IF($B4="","",COUNTIF('1月'!D4:D34,$B4)+COUNTIF('1月'!E4:E34,$B4)+COUNTIF('1月'!I4:I34,$B4)+COUNTIF('1月'!J4:J34,$B4)+COUNTIF('1月'!N4:N34,$B4)+COUNTIF('1月'!O4:O34,$B4)+COUNTIF('1月'!S4:S34,$B4)+COUNTIF('1月'!T4:T34,$B4)+COUNTIF('1月'!X4:X34,$B4)+COUNTIF('1月'!Y4:Y34,$B4)+COUNTIF('1月'!AC4:AC34,$B4)+COUNTIF('1月'!AD4:AD34,$B4)+COUNTIF('1月'!AH4:AH34,$B4)+COUNTIF('1月'!AI4:AI34,$B4)+COUNTIF('1月'!AM4:AM34,$B4)+COUNTIF('1月'!AN4:AN34,$B4)+COUNTIF('1月'!AR4:AR34,$B4)+COUNTIF('1月'!AS4:AS34,$B4)+COUNTIF('1月'!AW4:AW34,$B4)+COUNTIF('1月'!AX4:AX34,$B4)+COUNTIF('1月'!BB4:BB34,$B4)+COUNTIF('1月'!BC4:BC34,$B4)+COUNTIF('1月'!BG4:BG34,$B4)+COUNTIF('1月'!BH4:BH34,$B4)+COUNTIF('1月'!BL4:BL34,$B4)+COUNTIF('1月'!BM4:BM34,$B4)+COUNTIF('1月'!BQ4:BQ34,$B4)+COUNTIF('1月'!BR4:BR34,$B4)+COUNTIF('1月'!BV4:BV34,$B4)+COUNTIF('1月'!BW4:BW34,$B4)+COUNTIF('1月'!CA4:CA34,$B4)+COUNTIF('1月'!CB4:CB34,$B4)+COUNTIF('1月'!CF4:CF34,$B4)+COUNTIF('1月'!CG4:CG34,$B4)+COUNTIF('1月'!CK4:CK34,$B4)+COUNTIF('1月'!CL4:CL34,$B4)+COUNTIF('1月'!CP4:CP34,$B4)+COUNTIF('1月'!CQ4:CQ34,$B4)+COUNTIF('1月'!CU4:CU34,$B4)+COUNTIF('1月'!CV4:CV34,$B4)+COUNTIF('1月'!CZ4:CZ34,$B4)+COUNTIF('1月'!DA4:DA34,$B4)+COUNTIF('1月'!DE4:DE34,$B4)+COUNTIF('1月'!DF4:DF34,$B4)+COUNTIF('1月'!DJ4:DJ34,$B4)+COUNTIF('1月'!DK4:DK34,$B4)+COUNTIF('1月'!DO4:DO34,$B4)+COUNTIF('1月'!DP4:DP34,$B4)+COUNTIF('1月'!DT4:DT34,$B4)+COUNTIF('1月'!DU4:DU34,$B4)+COUNTIF('1月'!DY4:DY34,$B4)+COUNTIF('1月'!DZ4:DZ34,$B4)+COUNTIF('1月'!ED4:ED34,$B4)+COUNTIF('1月'!EE4:EE34,$B4)+COUNTIF('1月'!EI4:EI34,$B4)+COUNTIF('1月'!EJ4:EJ34,$B4)+COUNTIF('1月'!EN4:EN34,$B4)+COUNTIF('1月'!EO4:EO34,$B4)+COUNTIF('1月'!ES4:ES34,$B4)+COUNTIF('1月'!ET4:ET34,$B4)),0)</f>
        <v>0</v>
      </c>
      <c r="D4" s="76">
        <f>IFERROR(IF($B4="","",COUNTIF('2月'!D4:D34,$B4)+COUNTIF('2月'!E4:E34,$B4)+COUNTIF('2月'!I4:I34,$B4)+COUNTIF('2月'!J4:J34,$B4)+COUNTIF('2月'!N4:N34,$B4)+COUNTIF('2月'!O4:O34,$B4)+COUNTIF('2月'!S4:S34,$B4)+COUNTIF('2月'!T4:T34,$B4)+COUNTIF('2月'!X4:X34,$B4)+COUNTIF('2月'!Y4:Y34,$B4)+COUNTIF('2月'!AC4:AC34,$B4)+COUNTIF('2月'!AD4:AD34,$B4)+COUNTIF('2月'!AH4:AH34,$B4)+COUNTIF('2月'!AI4:AI34,$B4)+COUNTIF('2月'!AM4:AM34,$B4)+COUNTIF('2月'!AN4:AN34,$B4)+COUNTIF('2月'!AR4:AR34,$B4)+COUNTIF('2月'!AS4:AS34,$B4)+COUNTIF('2月'!AW4:AW34,$B4)+COUNTIF('2月'!AX4:AX34,$B4)+COUNTIF('2月'!BB4:BB34,$B4)+COUNTIF('2月'!BC4:BC34,$B4)+COUNTIF('2月'!BG4:BG34,$B4)+COUNTIF('2月'!BH4:BH34,$B4)+COUNTIF('2月'!BL4:BL34,$B4)+COUNTIF('2月'!BM4:BM34,$B4)+COUNTIF('2月'!BQ4:BQ34,$B4)+COUNTIF('2月'!BR4:BR34,$B4)+COUNTIF('2月'!BV4:BV34,$B4)+COUNTIF('2月'!BW4:BW34,$B4)+COUNTIF('2月'!CA4:CA34,$B4)+COUNTIF('2月'!CB4:CB34,$B4)+COUNTIF('2月'!CF4:CF34,$B4)+COUNTIF('2月'!CG4:CG34,$B4)+COUNTIF('2月'!CK4:CK34,$B4)+COUNTIF('2月'!CL4:CL34,$B4)+COUNTIF('2月'!CP4:CP34,$B4)+COUNTIF('2月'!CQ4:CQ34,$B4)+COUNTIF('2月'!CU4:CU34,$B4)+COUNTIF('2月'!CV4:CV34,$B4)+COUNTIF('2月'!CZ4:CZ34,$B4)+COUNTIF('2月'!DA4:DA34,$B4)+COUNTIF('2月'!DE4:DE34,$B4)+COUNTIF('2月'!DF4:DF34,$B4)+COUNTIF('2月'!DJ4:DJ34,$B4)+COUNTIF('2月'!DK4:DK34,$B4)+COUNTIF('2月'!DO4:DO34,$B4)+COUNTIF('2月'!DP4:DP34,$B4)+COUNTIF('2月'!DT4:DT34,$B4)+COUNTIF('2月'!DU4:DU34,$B4)+COUNTIF('2月'!DY4:DY34,$B4)+COUNTIF('2月'!DZ4:DZ34,$B4)+COUNTIF('2月'!ED4:ED34,$B4)+COUNTIF('2月'!EE4:EE34,$B4)+COUNTIF('2月'!EI4:EI34,$B4)+COUNTIF('2月'!EJ4:EJ34,$B4)+COUNTIF('2月'!EN4:EN34,$B4)+COUNTIF('2月'!EO4:EO34,$B4)+COUNTIF('2月'!ES4:ES34,$B4)+COUNTIF('2月'!ET4:ET34,$B4)),0)</f>
        <v>0</v>
      </c>
      <c r="E4" s="76">
        <f>IFERROR(IF($B4="","",COUNTIF('3月'!D4:D34,$B4)+COUNTIF('3月'!E4:E34,$B4)+COUNTIF('3月'!I4:I34,$B4)+COUNTIF('3月'!J4:J34,$B4)+COUNTIF('3月'!N4:N34,$B4)+COUNTIF('3月'!O4:O34,$B4)+COUNTIF('3月'!S4:S34,$B4)+COUNTIF('3月'!T4:T34,$B4)+COUNTIF('3月'!X4:X34,$B4)+COUNTIF('3月'!Y4:Y34,$B4)+COUNTIF('3月'!AC4:AC34,$B4)+COUNTIF('3月'!AD4:AD34,$B4)+COUNTIF('3月'!AH4:AH34,$B4)+COUNTIF('3月'!AI4:AI34,$B4)+COUNTIF('3月'!AM4:AM34,$B4)+COUNTIF('3月'!AN4:AN34,$B4)+COUNTIF('3月'!AR4:AR34,$B4)+COUNTIF('3月'!AS4:AS34,$B4)+COUNTIF('3月'!AW4:AW34,$B4)+COUNTIF('3月'!AX4:AX34,$B4)+COUNTIF('3月'!BB4:BB34,$B4)+COUNTIF('3月'!BC4:BC34,$B4)+COUNTIF('3月'!BG4:BG34,$B4)+COUNTIF('3月'!BH4:BH34,$B4)+COUNTIF('3月'!BL4:BL34,$B4)+COUNTIF('3月'!BM4:BM34,$B4)+COUNTIF('3月'!BQ4:BQ34,$B4)+COUNTIF('3月'!BR4:BR34,$B4)+COUNTIF('3月'!BV4:BV34,$B4)+COUNTIF('3月'!BW4:BW34,$B4)+COUNTIF('3月'!CA4:CA34,$B4)+COUNTIF('3月'!CB4:CB34,$B4)+COUNTIF('3月'!CF4:CF34,$B4)+COUNTIF('3月'!CG4:CG34,$B4)+COUNTIF('3月'!CK4:CK34,$B4)+COUNTIF('3月'!CL4:CL34,$B4)+COUNTIF('3月'!CP4:CP34,$B4)+COUNTIF('3月'!CQ4:CQ34,$B4)+COUNTIF('3月'!CU4:CU34,$B4)+COUNTIF('3月'!CV4:CV34,$B4)+COUNTIF('3月'!CZ4:CZ34,$B4)+COUNTIF('3月'!DA4:DA34,$B4)+COUNTIF('3月'!DE4:DE34,$B4)+COUNTIF('3月'!DF4:DF34,$B4)+COUNTIF('3月'!DJ4:DJ34,$B4)+COUNTIF('3月'!DK4:DK34,$B4)+COUNTIF('3月'!DO4:DO34,$B4)+COUNTIF('3月'!DP4:DP34,$B4)+COUNTIF('3月'!DT4:DT34,$B4)+COUNTIF('3月'!DU4:DU34,$B4)+COUNTIF('3月'!DY4:DY34,$B4)+COUNTIF('3月'!DZ4:DZ34,$B4)+COUNTIF('3月'!ED4:ED34,$B4)+COUNTIF('3月'!EE4:EE34,$B4)+COUNTIF('3月'!EI4:EI34,$B4)+COUNTIF('3月'!EJ4:EJ34,$B4)+COUNTIF('3月'!EN4:EN34,$B4)+COUNTIF('3月'!EO4:EO34,$B4)+COUNTIF('3月'!ES4:ES34,$B4)+COUNTIF('3月'!ET4:ET34,$B4)),0)</f>
        <v>0</v>
      </c>
      <c r="F4" s="76">
        <f>IFERROR(IF($B4="","",COUNTIF('4月'!D4:D34,$B4)+COUNTIF('4月'!E4:E34,$B4)+COUNTIF('4月'!I4:I34,$B4)+COUNTIF('4月'!J4:J34,$B4)+COUNTIF('4月'!N4:N34,$B4)+COUNTIF('4月'!O4:O34,$B4)+COUNTIF('4月'!S4:S34,$B4)+COUNTIF('4月'!T4:T34,$B4)+COUNTIF('4月'!X4:X34,$B4)+COUNTIF('4月'!Y4:Y34,$B4)+COUNTIF('4月'!AC4:AC34,$B4)+COUNTIF('4月'!AD4:AD34,$B4)+COUNTIF('4月'!AH4:AH34,$B4)+COUNTIF('4月'!AI4:AI34,$B4)+COUNTIF('4月'!AM4:AM34,$B4)+COUNTIF('4月'!AN4:AN34,$B4)+COUNTIF('4月'!AR4:AR34,$B4)+COUNTIF('4月'!AS4:AS34,$B4)+COUNTIF('4月'!AW4:AW34,$B4)+COUNTIF('4月'!AX4:AX34,$B4)+COUNTIF('4月'!BB4:BB34,$B4)+COUNTIF('4月'!BC4:BC34,$B4)+COUNTIF('4月'!BG4:BG34,$B4)+COUNTIF('4月'!BH4:BH34,$B4)+COUNTIF('4月'!BL4:BL34,$B4)+COUNTIF('4月'!BM4:BM34,$B4)+COUNTIF('4月'!BQ4:BQ34,$B4)+COUNTIF('4月'!BR4:BR34,$B4)+COUNTIF('4月'!BV4:BV34,$B4)+COUNTIF('4月'!BW4:BW34,$B4)+COUNTIF('4月'!CA4:CA34,$B4)+COUNTIF('4月'!CB4:CB34,$B4)+COUNTIF('4月'!CF4:CF34,$B4)+COUNTIF('4月'!CG4:CG34,$B4)+COUNTIF('4月'!CK4:CK34,$B4)+COUNTIF('4月'!CL4:CL34,$B4)+COUNTIF('4月'!CP4:CP34,$B4)+COUNTIF('4月'!CQ4:CQ34,$B4)+COUNTIF('4月'!CU4:CU34,$B4)+COUNTIF('4月'!CV4:CV34,$B4)+COUNTIF('4月'!CZ4:CZ34,$B4)+COUNTIF('4月'!DA4:DA34,$B4)+COUNTIF('4月'!DE4:DE34,$B4)+COUNTIF('4月'!DF4:DF34,$B4)+COUNTIF('4月'!DJ4:DJ34,$B4)+COUNTIF('4月'!DK4:DK34,$B4)+COUNTIF('4月'!DO4:DO34,$B4)+COUNTIF('4月'!DP4:DP34,$B4)+COUNTIF('4月'!DT4:DT34,$B4)+COUNTIF('4月'!DU4:DU34,$B4)+COUNTIF('4月'!DY4:DY34,$B4)+COUNTIF('4月'!DZ4:DZ34,$B4)+COUNTIF('4月'!ED4:ED34,$B4)+COUNTIF('4月'!EE4:EE34,$B4)+COUNTIF('4月'!EI4:EI34,$B4)+COUNTIF('4月'!EJ4:EJ34,$B4)+COUNTIF('4月'!EN4:EN34,$B4)+COUNTIF('4月'!EO4:EO34,$B4)+COUNTIF('4月'!ES4:ES34,$B4)+COUNTIF('4月'!ET4:ET34,$B4)),0)</f>
        <v>0</v>
      </c>
      <c r="G4" s="76">
        <f>IFERROR(IF($B4="","",COUNTIF('5月'!D4:D34,$B4)+COUNTIF('5月'!E4:E34,$B4)+COUNTIF('5月'!I4:I34,$B4)+COUNTIF('5月'!J4:J34,$B4)+COUNTIF('5月'!N4:N34,$B4)+COUNTIF('5月'!O4:O34,$B4)+COUNTIF('5月'!S4:S34,$B4)+COUNTIF('5月'!T4:T34,$B4)+COUNTIF('5月'!X4:X34,$B4)+COUNTIF('5月'!Y4:Y34,$B4)+COUNTIF('5月'!AC4:AC34,$B4)+COUNTIF('5月'!AD4:AD34,$B4)+COUNTIF('5月'!AH4:AH34,$B4)+COUNTIF('5月'!AI4:AI34,$B4)+COUNTIF('5月'!AM4:AM34,$B4)+COUNTIF('5月'!AN4:AN34,$B4)+COUNTIF('5月'!AR4:AR34,$B4)+COUNTIF('5月'!AS4:AS34,$B4)+COUNTIF('5月'!AW4:AW34,$B4)+COUNTIF('5月'!AX4:AX34,$B4)+COUNTIF('5月'!BB4:BB34,$B4)+COUNTIF('5月'!BC4:BC34,$B4)+COUNTIF('5月'!BG4:BG34,$B4)+COUNTIF('5月'!BH4:BH34,$B4)+COUNTIF('5月'!BL4:BL34,$B4)+COUNTIF('5月'!BM4:BM34,$B4)+COUNTIF('5月'!BQ4:BQ34,$B4)+COUNTIF('5月'!BR4:BR34,$B4)+COUNTIF('5月'!BV4:BV34,$B4)+COUNTIF('5月'!BW4:BW34,$B4)+COUNTIF('5月'!CA4:CA34,$B4)+COUNTIF('5月'!CB4:CB34,$B4)+COUNTIF('5月'!CF4:CF34,$B4)+COUNTIF('5月'!CG4:CG34,$B4)+COUNTIF('5月'!CK4:CK34,$B4)+COUNTIF('5月'!CL4:CL34,$B4)+COUNTIF('5月'!CP4:CP34,$B4)+COUNTIF('5月'!CQ4:CQ34,$B4)+COUNTIF('5月'!CU4:CU34,$B4)+COUNTIF('5月'!CV4:CV34,$B4)+COUNTIF('5月'!CZ4:CZ34,$B4)+COUNTIF('5月'!DA4:DA34,$B4)+COUNTIF('5月'!DE4:DE34,$B4)+COUNTIF('5月'!DF4:DF34,$B4)+COUNTIF('5月'!DJ4:DJ34,$B4)+COUNTIF('5月'!DK4:DK34,$B4)+COUNTIF('5月'!DO4:DO34,$B4)+COUNTIF('5月'!DP4:DP34,$B4)+COUNTIF('5月'!DT4:DT34,$B4)+COUNTIF('5月'!DU4:DU34,$B4)+COUNTIF('5月'!DY4:DY34,$B4)+COUNTIF('5月'!DZ4:DZ34,$B4)+COUNTIF('5月'!ED4:ED34,$B4)+COUNTIF('5月'!EE4:EE34,$B4)+COUNTIF('5月'!EI4:EI34,$B4)+COUNTIF('5月'!EJ4:EJ34,$B4)+COUNTIF('5月'!EN4:EN34,$B4)+COUNTIF('5月'!EO4:EO34,$B4)+COUNTIF('5月'!ES4:ES34,$B4)+COUNTIF('5月'!ET4:ET34,$B4)),0)</f>
        <v>0</v>
      </c>
      <c r="H4" s="76">
        <f>IFERROR(IF($B4="","",COUNTIF('6月'!D4:D34,$B4)+COUNTIF('6月'!E4:E34,$B4)+COUNTIF('6月'!I4:I34,$B4)+COUNTIF('6月'!J4:J34,$B4)+COUNTIF('6月'!N4:N34,$B4)+COUNTIF('6月'!O4:O34,$B4)+COUNTIF('6月'!S4:S34,$B4)+COUNTIF('6月'!T4:T34,$B4)+COUNTIF('6月'!X4:X34,$B4)+COUNTIF('6月'!Y4:Y34,$B4)+COUNTIF('6月'!AC4:AC34,$B4)+COUNTIF('6月'!AD4:AD34,$B4)+COUNTIF('6月'!AH4:AH34,$B4)+COUNTIF('6月'!AI4:AI34,$B4)+COUNTIF('6月'!AM4:AM34,$B4)+COUNTIF('6月'!AN4:AN34,$B4)+COUNTIF('6月'!AR4:AR34,$B4)+COUNTIF('6月'!AS4:AS34,$B4)+COUNTIF('6月'!AW4:AW34,$B4)+COUNTIF('6月'!AX4:AX34,$B4)+COUNTIF('6月'!BB4:BB34,$B4)+COUNTIF('6月'!BC4:BC34,$B4)+COUNTIF('6月'!BG4:BG34,$B4)+COUNTIF('6月'!BH4:BH34,$B4)+COUNTIF('6月'!BL4:BL34,$B4)+COUNTIF('6月'!BM4:BM34,$B4)+COUNTIF('6月'!BQ4:BQ34,$B4)+COUNTIF('6月'!BR4:BR34,$B4)+COUNTIF('6月'!BV4:BV34,$B4)+COUNTIF('6月'!BW4:BW34,$B4)+COUNTIF('6月'!CA4:CA34,$B4)+COUNTIF('6月'!CB4:CB34,$B4)+COUNTIF('6月'!CF4:CF34,$B4)+COUNTIF('6月'!CG4:CG34,$B4)+COUNTIF('6月'!CK4:CK34,$B4)+COUNTIF('6月'!CL4:CL34,$B4)+COUNTIF('6月'!CP4:CP34,$B4)+COUNTIF('6月'!CQ4:CQ34,$B4)+COUNTIF('6月'!CU4:CU34,$B4)+COUNTIF('6月'!CV4:CV34,$B4)+COUNTIF('6月'!CZ4:CZ34,$B4)+COUNTIF('6月'!DA4:DA34,$B4)+COUNTIF('6月'!DE4:DE34,$B4)+COUNTIF('6月'!DF4:DF34,$B4)+COUNTIF('6月'!DJ4:DJ34,$B4)+COUNTIF('6月'!DK4:DK34,$B4)+COUNTIF('6月'!DO4:DO34,$B4)+COUNTIF('6月'!DP4:DP34,$B4)+COUNTIF('6月'!DT4:DT34,$B4)+COUNTIF('6月'!DU4:DU34,$B4)+COUNTIF('6月'!DY4:DY34,$B4)+COUNTIF('6月'!DZ4:DZ34,$B4)+COUNTIF('6月'!ED4:ED34,$B4)+COUNTIF('6月'!EE4:EE34,$B4)+COUNTIF('6月'!EI4:EI34,$B4)+COUNTIF('6月'!EJ4:EJ34,$B4)+COUNTIF('6月'!EN4:EN34,$B4)+COUNTIF('6月'!EO4:EO34,$B4)+COUNTIF('6月'!ES4:ES34,$B4)+COUNTIF('6月'!ET4:ET34,$B4)),0)</f>
        <v>0</v>
      </c>
      <c r="I4" s="76">
        <f>IFERROR(IF($B4="","",COUNTIF('7月'!D4:D34,$B4)+COUNTIF('7月'!E4:E34,$B4)+COUNTIF('7月'!I4:I34,$B4)+COUNTIF('7月'!J4:J34,$B4)+COUNTIF('7月'!N4:N34,$B4)+COUNTIF('7月'!O4:O34,$B4)+COUNTIF('7月'!S4:S34,$B4)+COUNTIF('7月'!T4:T34,$B4)+COUNTIF('7月'!X4:X34,$B4)+COUNTIF('7月'!Y4:Y34,$B4)+COUNTIF('7月'!AC4:AC34,$B4)+COUNTIF('7月'!AD4:AD34,$B4)+COUNTIF('7月'!AH4:AH34,$B4)+COUNTIF('7月'!AI4:AI34,$B4)+COUNTIF('7月'!AM4:AM34,$B4)+COUNTIF('7月'!AN4:AN34,$B4)+COUNTIF('7月'!AR4:AR34,$B4)+COUNTIF('7月'!AS4:AS34,$B4)+COUNTIF('7月'!AW4:AW34,$B4)+COUNTIF('7月'!AX4:AX34,$B4)+COUNTIF('7月'!BB4:BB34,$B4)+COUNTIF('7月'!BC4:BC34,$B4)+COUNTIF('7月'!BG4:BG34,$B4)+COUNTIF('7月'!BH4:BH34,$B4)+COUNTIF('7月'!BL4:BL34,$B4)+COUNTIF('7月'!BM4:BM34,$B4)+COUNTIF('7月'!BQ4:BQ34,$B4)+COUNTIF('7月'!BR4:BR34,$B4)+COUNTIF('7月'!BV4:BV34,$B4)+COUNTIF('7月'!BW4:BW34,$B4)+COUNTIF('7月'!CA4:CA34,$B4)+COUNTIF('7月'!CB4:CB34,$B4)+COUNTIF('7月'!CF4:CF34,$B4)+COUNTIF('7月'!CG4:CG34,$B4)+COUNTIF('7月'!CK4:CK34,$B4)+COUNTIF('7月'!CL4:CL34,$B4)+COUNTIF('7月'!CP4:CP34,$B4)+COUNTIF('7月'!CQ4:CQ34,$B4)+COUNTIF('7月'!CU4:CU34,$B4)+COUNTIF('7月'!CV4:CV34,$B4)+COUNTIF('7月'!CZ4:CZ34,$B4)+COUNTIF('7月'!DA4:DA34,$B4)+COUNTIF('7月'!DE4:DE34,$B4)+COUNTIF('7月'!DF4:DF34,$B4)+COUNTIF('7月'!DJ4:DJ34,$B4)+COUNTIF('7月'!DK4:DK34,$B4)+COUNTIF('7月'!DO4:DO34,$B4)+COUNTIF('7月'!DP4:DP34,$B4)+COUNTIF('7月'!DT4:DT34,$B4)+COUNTIF('7月'!DU4:DU34,$B4)+COUNTIF('7月'!DY4:DY34,$B4)+COUNTIF('7月'!DZ4:DZ34,$B4)+COUNTIF('7月'!ED4:ED34,$B4)+COUNTIF('7月'!EE4:EE34,$B4)+COUNTIF('7月'!EI4:EI34,$B4)+COUNTIF('7月'!EJ4:EJ34,$B4)+COUNTIF('7月'!EN4:EN34,$B4)+COUNTIF('7月'!EO4:EO34,$B4)+COUNTIF('7月'!ES4:ES34,$B4)+COUNTIF('7月'!ET4:ET34,$B4)),0)</f>
        <v>0</v>
      </c>
      <c r="J4" s="76">
        <f>IFERROR(IF($B4="","",COUNTIF('8月'!D4:D34,$B4)+COUNTIF('8月'!E4:E34,$B4)+COUNTIF('8月'!I4:I34,$B4)+COUNTIF('8月'!J4:J34,$B4)+COUNTIF('8月'!N4:N34,$B4)+COUNTIF('8月'!O4:O34,$B4)+COUNTIF('8月'!S4:S34,$B4)+COUNTIF('8月'!T4:T34,$B4)+COUNTIF('8月'!X4:X34,$B4)+COUNTIF('8月'!Y4:Y34,$B4)+COUNTIF('8月'!AC4:AC34,$B4)+COUNTIF('8月'!AD4:AD34,$B4)+COUNTIF('8月'!AH4:AH34,$B4)+COUNTIF('8月'!AI4:AI34,$B4)+COUNTIF('8月'!AM4:AM34,$B4)+COUNTIF('8月'!AN4:AN34,$B4)+COUNTIF('8月'!AR4:AR34,$B4)+COUNTIF('8月'!AS4:AS34,$B4)+COUNTIF('8月'!AW4:AW34,$B4)+COUNTIF('8月'!AX4:AX34,$B4)+COUNTIF('8月'!BB4:BB34,$B4)+COUNTIF('8月'!BC4:BC34,$B4)+COUNTIF('8月'!BG4:BG34,$B4)+COUNTIF('8月'!BH4:BH34,$B4)+COUNTIF('8月'!BL4:BL34,$B4)+COUNTIF('8月'!BM4:BM34,$B4)+COUNTIF('8月'!BQ4:BQ34,$B4)+COUNTIF('8月'!BR4:BR34,$B4)+COUNTIF('8月'!BV4:BV34,$B4)+COUNTIF('8月'!BW4:BW34,$B4)+COUNTIF('8月'!CA4:CA34,$B4)+COUNTIF('8月'!CB4:CB34,$B4)+COUNTIF('8月'!CF4:CF34,$B4)+COUNTIF('8月'!CG4:CG34,$B4)+COUNTIF('8月'!CK4:CK34,$B4)+COUNTIF('8月'!CL4:CL34,$B4)+COUNTIF('8月'!CP4:CP34,$B4)+COUNTIF('8月'!CQ4:CQ34,$B4)+COUNTIF('8月'!CU4:CU34,$B4)+COUNTIF('8月'!CV4:CV34,$B4)+COUNTIF('8月'!CZ4:CZ34,$B4)+COUNTIF('8月'!DA4:DA34,$B4)+COUNTIF('8月'!DE4:DE34,$B4)+COUNTIF('8月'!DF4:DF34,$B4)+COUNTIF('8月'!DJ4:DJ34,$B4)+COUNTIF('8月'!DK4:DK34,$B4)+COUNTIF('8月'!DO4:DO34,$B4)+COUNTIF('8月'!DP4:DP34,$B4)+COUNTIF('8月'!DT4:DT34,$B4)+COUNTIF('8月'!DU4:DU34,$B4)+COUNTIF('8月'!DY4:DY34,$B4)+COUNTIF('8月'!DZ4:DZ34,$B4)+COUNTIF('8月'!ED4:ED34,$B4)+COUNTIF('8月'!EE4:EE34,$B4)+COUNTIF('8月'!EI4:EI34,$B4)+COUNTIF('8月'!EJ4:EJ34,$B4)+COUNTIF('8月'!EN4:EN34,$B4)+COUNTIF('8月'!EO4:EO34,$B4)+COUNTIF('8月'!ES4:ES34,$B4)+COUNTIF('8月'!ET4:ET34,$B4)),0)</f>
        <v>0</v>
      </c>
      <c r="K4" s="76">
        <f>IFERROR(IF($B4="","",COUNTIF('9月'!D4:D34,$B4)+COUNTIF('9月'!E4:E34,$B4)+COUNTIF('9月'!I4:I34,$B4)+COUNTIF('9月'!J4:J34,$B4)+COUNTIF('9月'!N4:N34,$B4)+COUNTIF('9月'!O4:O34,$B4)+COUNTIF('9月'!S4:S34,$B4)+COUNTIF('9月'!T4:T34,$B4)+COUNTIF('9月'!X4:X34,$B4)+COUNTIF('9月'!Y4:Y34,$B4)+COUNTIF('9月'!AC4:AC34,$B4)+COUNTIF('9月'!AD4:AD34,$B4)+COUNTIF('9月'!AH4:AH34,$B4)+COUNTIF('9月'!AI4:AI34,$B4)+COUNTIF('9月'!AM4:AM34,$B4)+COUNTIF('9月'!AN4:AN34,$B4)+COUNTIF('9月'!AR4:AR34,$B4)+COUNTIF('9月'!AS4:AS34,$B4)+COUNTIF('9月'!AW4:AW34,$B4)+COUNTIF('9月'!AX4:AX34,$B4)+COUNTIF('9月'!BB4:BB34,$B4)+COUNTIF('9月'!BC4:BC34,$B4)+COUNTIF('9月'!BG4:BG34,$B4)+COUNTIF('9月'!BH4:BH34,$B4)+COUNTIF('9月'!BL4:BL34,$B4)+COUNTIF('9月'!BM4:BM34,$B4)+COUNTIF('9月'!BQ4:BQ34,$B4)+COUNTIF('9月'!BR4:BR34,$B4)+COUNTIF('9月'!BV4:BV34,$B4)+COUNTIF('9月'!BW4:BW34,$B4)+COUNTIF('9月'!CA4:CA34,$B4)+COUNTIF('9月'!CB4:CB34,$B4)+COUNTIF('9月'!CF4:CF34,$B4)+COUNTIF('9月'!CG4:CG34,$B4)+COUNTIF('9月'!CK4:CK34,$B4)+COUNTIF('9月'!CL4:CL34,$B4)+COUNTIF('9月'!CP4:CP34,$B4)+COUNTIF('9月'!CQ4:CQ34,$B4)+COUNTIF('9月'!CU4:CU34,$B4)+COUNTIF('9月'!CV4:CV34,$B4)+COUNTIF('9月'!CZ4:CZ34,$B4)+COUNTIF('9月'!DA4:DA34,$B4)+COUNTIF('9月'!DE4:DE34,$B4)+COUNTIF('9月'!DF4:DF34,$B4)+COUNTIF('9月'!DJ4:DJ34,$B4)+COUNTIF('9月'!DK4:DK34,$B4)+COUNTIF('9月'!DO4:DO34,$B4)+COUNTIF('9月'!DP4:DP34,$B4)+COUNTIF('9月'!DT4:DT34,$B4)+COUNTIF('9月'!DU4:DU34,$B4)+COUNTIF('9月'!DY4:DY34,$B4)+COUNTIF('9月'!DZ4:DZ34,$B4)+COUNTIF('9月'!ED4:ED34,$B4)+COUNTIF('9月'!EE4:EE34,$B4)+COUNTIF('9月'!EI4:EI34,$B4)+COUNTIF('9月'!EJ4:EJ34,$B4)+COUNTIF('9月'!EN4:EN34,$B4)+COUNTIF('9月'!EO4:EO34,$B4)+COUNTIF('9月'!ES4:ES34,$B4)+COUNTIF('9月'!ET4:ET34,$B4)),0)</f>
        <v>0</v>
      </c>
      <c r="L4" s="76">
        <f>IFERROR(IF($B4="","",COUNTIF('10月'!D4:D34,$B4)+COUNTIF('10月'!E4:E34,$B4)+COUNTIF('10月'!I4:I34,$B4)+COUNTIF('10月'!J4:J34,$B4)+COUNTIF('10月'!N4:N34,$B4)+COUNTIF('10月'!O4:O34,$B4)+COUNTIF('10月'!S4:S34,$B4)+COUNTIF('10月'!T4:T34,$B4)+COUNTIF('10月'!X4:X34,$B4)+COUNTIF('10月'!Y4:Y34,$B4)+COUNTIF('10月'!AC4:AC34,$B4)+COUNTIF('10月'!AD4:AD34,$B4)+COUNTIF('10月'!AH4:AH34,$B4)+COUNTIF('10月'!AI4:AI34,$B4)+COUNTIF('10月'!AM4:AM34,$B4)+COUNTIF('10月'!AN4:AN34,$B4)+COUNTIF('10月'!AR4:AR34,$B4)+COUNTIF('10月'!AS4:AS34,$B4)+COUNTIF('10月'!AW4:AW34,$B4)+COUNTIF('10月'!AX4:AX34,$B4)+COUNTIF('10月'!BB4:BB34,$B4)+COUNTIF('10月'!BC4:BC34,$B4)+COUNTIF('10月'!BG4:BG34,$B4)+COUNTIF('10月'!BH4:BH34,$B4)+COUNTIF('10月'!BL4:BL34,$B4)+COUNTIF('10月'!BM4:BM34,$B4)+COUNTIF('10月'!BQ4:BQ34,$B4)+COUNTIF('10月'!BR4:BR34,$B4)+COUNTIF('10月'!BV4:BV34,$B4)+COUNTIF('10月'!BW4:BW34,$B4)+COUNTIF('10月'!CA4:CA34,$B4)+COUNTIF('10月'!CB4:CB34,$B4)+COUNTIF('10月'!CF4:CF34,$B4)+COUNTIF('10月'!CG4:CG34,$B4)+COUNTIF('10月'!CK4:CK34,$B4)+COUNTIF('10月'!CL4:CL34,$B4)+COUNTIF('10月'!CP4:CP34,$B4)+COUNTIF('10月'!CQ4:CQ34,$B4)+COUNTIF('10月'!CU4:CU34,$B4)+COUNTIF('10月'!CV4:CV34,$B4)+COUNTIF('10月'!CZ4:CZ34,$B4)+COUNTIF('10月'!DA4:DA34,$B4)+COUNTIF('10月'!DE4:DE34,$B4)+COUNTIF('10月'!DF4:DF34,$B4)+COUNTIF('10月'!DJ4:DJ34,$B4)+COUNTIF('10月'!DK4:DK34,$B4)+COUNTIF('10月'!DO4:DO34,$B4)+COUNTIF('10月'!DP4:DP34,$B4)+COUNTIF('10月'!DT4:DT34,$B4)+COUNTIF('10月'!DU4:DU34,$B4)+COUNTIF('10月'!DY4:DY34,$B4)+COUNTIF('10月'!DZ4:DZ34,$B4)+COUNTIF('10月'!ED4:ED34,$B4)+COUNTIF('10月'!EE4:EE34,$B4)+COUNTIF('10月'!EI4:EI34,$B4)+COUNTIF('10月'!EJ4:EJ34,$B4)+COUNTIF('10月'!EN4:EN34,$B4)+COUNTIF('10月'!EO4:EO34,$B4)+COUNTIF('10月'!ES4:ES34,$B4)+COUNTIF('10月'!ET4:ET34,$B4)),0)</f>
        <v>0</v>
      </c>
      <c r="M4" s="76">
        <f>IFERROR(IF($B4="","",COUNTIF('11月'!D4:D34,$B4)+COUNTIF('11月'!E4:E34,$B4)+COUNTIF('11月'!I4:I34,$B4)+COUNTIF('11月'!J4:J34,$B4)+COUNTIF('11月'!N4:N34,$B4)+COUNTIF('11月'!O4:O34,$B4)+COUNTIF('11月'!S4:S34,$B4)+COUNTIF('11月'!T4:T34,$B4)+COUNTIF('11月'!X4:X34,$B4)+COUNTIF('11月'!Y4:Y34,$B4)+COUNTIF('11月'!AC4:AC34,$B4)+COUNTIF('11月'!AD4:AD34,$B4)+COUNTIF('11月'!AH4:AH34,$B4)+COUNTIF('11月'!AI4:AI34,$B4)+COUNTIF('11月'!AM4:AM34,$B4)+COUNTIF('11月'!AN4:AN34,$B4)+COUNTIF('11月'!AR4:AR34,$B4)+COUNTIF('11月'!AS4:AS34,$B4)+COUNTIF('11月'!AW4:AW34,$B4)+COUNTIF('11月'!AX4:AX34,$B4)+COUNTIF('11月'!BB4:BB34,$B4)+COUNTIF('11月'!BC4:BC34,$B4)+COUNTIF('11月'!BG4:BG34,$B4)+COUNTIF('11月'!BH4:BH34,$B4)+COUNTIF('11月'!BL4:BL34,$B4)+COUNTIF('11月'!BM4:BM34,$B4)+COUNTIF('11月'!BQ4:BQ34,$B4)+COUNTIF('11月'!BR4:BR34,$B4)+COUNTIF('11月'!BV4:BV34,$B4)+COUNTIF('11月'!BW4:BW34,$B4)+COUNTIF('11月'!CA4:CA34,$B4)+COUNTIF('11月'!CB4:CB34,$B4)+COUNTIF('11月'!CF4:CF34,$B4)+COUNTIF('11月'!CG4:CG34,$B4)+COUNTIF('11月'!CK4:CK34,$B4)+COUNTIF('11月'!CL4:CL34,$B4)+COUNTIF('11月'!CP4:CP34,$B4)+COUNTIF('11月'!CQ4:CQ34,$B4)+COUNTIF('11月'!CU4:CU34,$B4)+COUNTIF('11月'!CV4:CV34,$B4)+COUNTIF('11月'!CZ4:CZ34,$B4)+COUNTIF('11月'!DA4:DA34,$B4)+COUNTIF('11月'!DE4:DE34,$B4)+COUNTIF('11月'!DF4:DF34,$B4)+COUNTIF('11月'!DJ4:DJ34,$B4)+COUNTIF('11月'!DK4:DK34,$B4)+COUNTIF('11月'!DO4:DO34,$B4)+COUNTIF('11月'!DP4:DP34,$B4)+COUNTIF('11月'!DT4:DT34,$B4)+COUNTIF('11月'!DU4:DU34,$B4)+COUNTIF('11月'!DY4:DY34,$B4)+COUNTIF('11月'!DZ4:DZ34,$B4)+COUNTIF('11月'!ED4:ED34,$B4)+COUNTIF('11月'!EE4:EE34,$B4)+COUNTIF('11月'!EI4:EI34,$B4)+COUNTIF('11月'!EJ4:EJ34,$B4)+COUNTIF('11月'!EN4:EN34,$B4)+COUNTIF('11月'!EO4:EO34,$B4)+COUNTIF('11月'!ES4:ES34,$B4)+COUNTIF('11月'!ET4:ET34,$B4)),0)</f>
        <v>0</v>
      </c>
      <c r="N4" s="76">
        <f>IFERROR(IF($B4="","",COUNTIF('12月'!D4:D34,$B4)+COUNTIF('12月'!E4:E34,$B4)+COUNTIF('12月'!I4:I34,$B4)+COUNTIF('12月'!J4:J34,$B4)+COUNTIF('12月'!N4:N34,$B4)+COUNTIF('12月'!O4:O34,$B4)+COUNTIF('12月'!S4:S34,$B4)+COUNTIF('12月'!T4:T34,$B4)+COUNTIF('12月'!X4:X34,$B4)+COUNTIF('12月'!Y4:Y34,$B4)+COUNTIF('12月'!AC4:AC34,$B4)+COUNTIF('12月'!AD4:AD34,$B4)+COUNTIF('12月'!AH4:AH34,$B4)+COUNTIF('12月'!AI4:AI34,$B4)+COUNTIF('12月'!AM4:AM34,$B4)+COUNTIF('12月'!AN4:AN34,$B4)+COUNTIF('12月'!AR4:AR34,$B4)+COUNTIF('12月'!AS4:AS34,$B4)+COUNTIF('12月'!AW4:AW34,$B4)+COUNTIF('12月'!AX4:AX34,$B4)+COUNTIF('12月'!BB4:BB34,$B4)+COUNTIF('12月'!BC4:BC34,$B4)+COUNTIF('12月'!BG4:BG34,$B4)+COUNTIF('12月'!BH4:BH34,$B4)+COUNTIF('12月'!BL4:BL34,$B4)+COUNTIF('12月'!BM4:BM34,$B4)+COUNTIF('12月'!BQ4:BQ34,$B4)+COUNTIF('12月'!BR4:BR34,$B4)+COUNTIF('12月'!BV4:BV34,$B4)+COUNTIF('12月'!BW4:BW34,$B4)+COUNTIF('12月'!CA4:CA34,$B4)+COUNTIF('12月'!CB4:CB34,$B4)+COUNTIF('12月'!CF4:CF34,$B4)+COUNTIF('12月'!CG4:CG34,$B4)+COUNTIF('12月'!CK4:CK34,$B4)+COUNTIF('12月'!CL4:CL34,$B4)+COUNTIF('12月'!CP4:CP34,$B4)+COUNTIF('12月'!CQ4:CQ34,$B4)+COUNTIF('12月'!CU4:CU34,$B4)+COUNTIF('12月'!CV4:CV34,$B4)+COUNTIF('12月'!CZ4:CZ34,$B4)+COUNTIF('12月'!DA4:DA34,$B4)+COUNTIF('12月'!DE4:DE34,$B4)+COUNTIF('12月'!DF4:DF34,$B4)+COUNTIF('12月'!DJ4:DJ34,$B4)+COUNTIF('12月'!DK4:DK34,$B4)+COUNTIF('12月'!DO4:DO34,$B4)+COUNTIF('12月'!DP4:DP34,$B4)+COUNTIF('12月'!DT4:DT34,$B4)+COUNTIF('12月'!DU4:DU34,$B4)+COUNTIF('12月'!DY4:DY34,$B4)+COUNTIF('12月'!DZ4:DZ34,$B4)+COUNTIF('12月'!ED4:ED34,$B4)+COUNTIF('12月'!EE4:EE34,$B4)+COUNTIF('12月'!EI4:EI34,$B4)+COUNTIF('12月'!EJ4:EJ34,$B4)+COUNTIF('12月'!EN4:EN34,$B4)+COUNTIF('12月'!EO4:EO34,$B4)+COUNTIF('12月'!ES4:ES34,$B4)+COUNTIF('12月'!ET4:ET34,$B4)),0)</f>
        <v>0</v>
      </c>
      <c r="O4" s="78">
        <f t="shared" si="0"/>
        <v>0</v>
      </c>
    </row>
    <row r="5" spans="1:15" ht="19.5" customHeight="1">
      <c r="A5" s="76">
        <v>3</v>
      </c>
      <c r="B5" s="77" t="str">
        <f>IFERROR(現場マスタ!$C$6,"")</f>
        <v>渋谷ヒカリエ</v>
      </c>
      <c r="C5" s="76">
        <f>IFERROR(IF($B5="","",COUNTIF('1月'!D4:D34,$B5)+COUNTIF('1月'!E4:E34,$B5)+COUNTIF('1月'!I4:I34,$B5)+COUNTIF('1月'!J4:J34,$B5)+COUNTIF('1月'!N4:N34,$B5)+COUNTIF('1月'!O4:O34,$B5)+COUNTIF('1月'!S4:S34,$B5)+COUNTIF('1月'!T4:T34,$B5)+COUNTIF('1月'!X4:X34,$B5)+COUNTIF('1月'!Y4:Y34,$B5)+COUNTIF('1月'!AC4:AC34,$B5)+COUNTIF('1月'!AD4:AD34,$B5)+COUNTIF('1月'!AH4:AH34,$B5)+COUNTIF('1月'!AI4:AI34,$B5)+COUNTIF('1月'!AM4:AM34,$B5)+COUNTIF('1月'!AN4:AN34,$B5)+COUNTIF('1月'!AR4:AR34,$B5)+COUNTIF('1月'!AS4:AS34,$B5)+COUNTIF('1月'!AW4:AW34,$B5)+COUNTIF('1月'!AX4:AX34,$B5)+COUNTIF('1月'!BB4:BB34,$B5)+COUNTIF('1月'!BC4:BC34,$B5)+COUNTIF('1月'!BG4:BG34,$B5)+COUNTIF('1月'!BH4:BH34,$B5)+COUNTIF('1月'!BL4:BL34,$B5)+COUNTIF('1月'!BM4:BM34,$B5)+COUNTIF('1月'!BQ4:BQ34,$B5)+COUNTIF('1月'!BR4:BR34,$B5)+COUNTIF('1月'!BV4:BV34,$B5)+COUNTIF('1月'!BW4:BW34,$B5)+COUNTIF('1月'!CA4:CA34,$B5)+COUNTIF('1月'!CB4:CB34,$B5)+COUNTIF('1月'!CF4:CF34,$B5)+COUNTIF('1月'!CG4:CG34,$B5)+COUNTIF('1月'!CK4:CK34,$B5)+COUNTIF('1月'!CL4:CL34,$B5)+COUNTIF('1月'!CP4:CP34,$B5)+COUNTIF('1月'!CQ4:CQ34,$B5)+COUNTIF('1月'!CU4:CU34,$B5)+COUNTIF('1月'!CV4:CV34,$B5)+COUNTIF('1月'!CZ4:CZ34,$B5)+COUNTIF('1月'!DA4:DA34,$B5)+COUNTIF('1月'!DE4:DE34,$B5)+COUNTIF('1月'!DF4:DF34,$B5)+COUNTIF('1月'!DJ4:DJ34,$B5)+COUNTIF('1月'!DK4:DK34,$B5)+COUNTIF('1月'!DO4:DO34,$B5)+COUNTIF('1月'!DP4:DP34,$B5)+COUNTIF('1月'!DT4:DT34,$B5)+COUNTIF('1月'!DU4:DU34,$B5)+COUNTIF('1月'!DY4:DY34,$B5)+COUNTIF('1月'!DZ4:DZ34,$B5)+COUNTIF('1月'!ED4:ED34,$B5)+COUNTIF('1月'!EE4:EE34,$B5)+COUNTIF('1月'!EI4:EI34,$B5)+COUNTIF('1月'!EJ4:EJ34,$B5)+COUNTIF('1月'!EN4:EN34,$B5)+COUNTIF('1月'!EO4:EO34,$B5)+COUNTIF('1月'!ES4:ES34,$B5)+COUNTIF('1月'!ET4:ET34,$B5)),0)</f>
        <v>0</v>
      </c>
      <c r="D5" s="76">
        <f>IFERROR(IF($B5="","",COUNTIF('2月'!D4:D34,$B5)+COUNTIF('2月'!E4:E34,$B5)+COUNTIF('2月'!I4:I34,$B5)+COUNTIF('2月'!J4:J34,$B5)+COUNTIF('2月'!N4:N34,$B5)+COUNTIF('2月'!O4:O34,$B5)+COUNTIF('2月'!S4:S34,$B5)+COUNTIF('2月'!T4:T34,$B5)+COUNTIF('2月'!X4:X34,$B5)+COUNTIF('2月'!Y4:Y34,$B5)+COUNTIF('2月'!AC4:AC34,$B5)+COUNTIF('2月'!AD4:AD34,$B5)+COUNTIF('2月'!AH4:AH34,$B5)+COUNTIF('2月'!AI4:AI34,$B5)+COUNTIF('2月'!AM4:AM34,$B5)+COUNTIF('2月'!AN4:AN34,$B5)+COUNTIF('2月'!AR4:AR34,$B5)+COUNTIF('2月'!AS4:AS34,$B5)+COUNTIF('2月'!AW4:AW34,$B5)+COUNTIF('2月'!AX4:AX34,$B5)+COUNTIF('2月'!BB4:BB34,$B5)+COUNTIF('2月'!BC4:BC34,$B5)+COUNTIF('2月'!BG4:BG34,$B5)+COUNTIF('2月'!BH4:BH34,$B5)+COUNTIF('2月'!BL4:BL34,$B5)+COUNTIF('2月'!BM4:BM34,$B5)+COUNTIF('2月'!BQ4:BQ34,$B5)+COUNTIF('2月'!BR4:BR34,$B5)+COUNTIF('2月'!BV4:BV34,$B5)+COUNTIF('2月'!BW4:BW34,$B5)+COUNTIF('2月'!CA4:CA34,$B5)+COUNTIF('2月'!CB4:CB34,$B5)+COUNTIF('2月'!CF4:CF34,$B5)+COUNTIF('2月'!CG4:CG34,$B5)+COUNTIF('2月'!CK4:CK34,$B5)+COUNTIF('2月'!CL4:CL34,$B5)+COUNTIF('2月'!CP4:CP34,$B5)+COUNTIF('2月'!CQ4:CQ34,$B5)+COUNTIF('2月'!CU4:CU34,$B5)+COUNTIF('2月'!CV4:CV34,$B5)+COUNTIF('2月'!CZ4:CZ34,$B5)+COUNTIF('2月'!DA4:DA34,$B5)+COUNTIF('2月'!DE4:DE34,$B5)+COUNTIF('2月'!DF4:DF34,$B5)+COUNTIF('2月'!DJ4:DJ34,$B5)+COUNTIF('2月'!DK4:DK34,$B5)+COUNTIF('2月'!DO4:DO34,$B5)+COUNTIF('2月'!DP4:DP34,$B5)+COUNTIF('2月'!DT4:DT34,$B5)+COUNTIF('2月'!DU4:DU34,$B5)+COUNTIF('2月'!DY4:DY34,$B5)+COUNTIF('2月'!DZ4:DZ34,$B5)+COUNTIF('2月'!ED4:ED34,$B5)+COUNTIF('2月'!EE4:EE34,$B5)+COUNTIF('2月'!EI4:EI34,$B5)+COUNTIF('2月'!EJ4:EJ34,$B5)+COUNTIF('2月'!EN4:EN34,$B5)+COUNTIF('2月'!EO4:EO34,$B5)+COUNTIF('2月'!ES4:ES34,$B5)+COUNTIF('2月'!ET4:ET34,$B5)),0)</f>
        <v>0</v>
      </c>
      <c r="E5" s="76">
        <f>IFERROR(IF($B5="","",COUNTIF('3月'!D4:D34,$B5)+COUNTIF('3月'!E4:E34,$B5)+COUNTIF('3月'!I4:I34,$B5)+COUNTIF('3月'!J4:J34,$B5)+COUNTIF('3月'!N4:N34,$B5)+COUNTIF('3月'!O4:O34,$B5)+COUNTIF('3月'!S4:S34,$B5)+COUNTIF('3月'!T4:T34,$B5)+COUNTIF('3月'!X4:X34,$B5)+COUNTIF('3月'!Y4:Y34,$B5)+COUNTIF('3月'!AC4:AC34,$B5)+COUNTIF('3月'!AD4:AD34,$B5)+COUNTIF('3月'!AH4:AH34,$B5)+COUNTIF('3月'!AI4:AI34,$B5)+COUNTIF('3月'!AM4:AM34,$B5)+COUNTIF('3月'!AN4:AN34,$B5)+COUNTIF('3月'!AR4:AR34,$B5)+COUNTIF('3月'!AS4:AS34,$B5)+COUNTIF('3月'!AW4:AW34,$B5)+COUNTIF('3月'!AX4:AX34,$B5)+COUNTIF('3月'!BB4:BB34,$B5)+COUNTIF('3月'!BC4:BC34,$B5)+COUNTIF('3月'!BG4:BG34,$B5)+COUNTIF('3月'!BH4:BH34,$B5)+COUNTIF('3月'!BL4:BL34,$B5)+COUNTIF('3月'!BM4:BM34,$B5)+COUNTIF('3月'!BQ4:BQ34,$B5)+COUNTIF('3月'!BR4:BR34,$B5)+COUNTIF('3月'!BV4:BV34,$B5)+COUNTIF('3月'!BW4:BW34,$B5)+COUNTIF('3月'!CA4:CA34,$B5)+COUNTIF('3月'!CB4:CB34,$B5)+COUNTIF('3月'!CF4:CF34,$B5)+COUNTIF('3月'!CG4:CG34,$B5)+COUNTIF('3月'!CK4:CK34,$B5)+COUNTIF('3月'!CL4:CL34,$B5)+COUNTIF('3月'!CP4:CP34,$B5)+COUNTIF('3月'!CQ4:CQ34,$B5)+COUNTIF('3月'!CU4:CU34,$B5)+COUNTIF('3月'!CV4:CV34,$B5)+COUNTIF('3月'!CZ4:CZ34,$B5)+COUNTIF('3月'!DA4:DA34,$B5)+COUNTIF('3月'!DE4:DE34,$B5)+COUNTIF('3月'!DF4:DF34,$B5)+COUNTIF('3月'!DJ4:DJ34,$B5)+COUNTIF('3月'!DK4:DK34,$B5)+COUNTIF('3月'!DO4:DO34,$B5)+COUNTIF('3月'!DP4:DP34,$B5)+COUNTIF('3月'!DT4:DT34,$B5)+COUNTIF('3月'!DU4:DU34,$B5)+COUNTIF('3月'!DY4:DY34,$B5)+COUNTIF('3月'!DZ4:DZ34,$B5)+COUNTIF('3月'!ED4:ED34,$B5)+COUNTIF('3月'!EE4:EE34,$B5)+COUNTIF('3月'!EI4:EI34,$B5)+COUNTIF('3月'!EJ4:EJ34,$B5)+COUNTIF('3月'!EN4:EN34,$B5)+COUNTIF('3月'!EO4:EO34,$B5)+COUNTIF('3月'!ES4:ES34,$B5)+COUNTIF('3月'!ET4:ET34,$B5)),0)</f>
        <v>0</v>
      </c>
      <c r="F5" s="76">
        <f>IFERROR(IF($B5="","",COUNTIF('4月'!D4:D34,$B5)+COUNTIF('4月'!E4:E34,$B5)+COUNTIF('4月'!I4:I34,$B5)+COUNTIF('4月'!J4:J34,$B5)+COUNTIF('4月'!N4:N34,$B5)+COUNTIF('4月'!O4:O34,$B5)+COUNTIF('4月'!S4:S34,$B5)+COUNTIF('4月'!T4:T34,$B5)+COUNTIF('4月'!X4:X34,$B5)+COUNTIF('4月'!Y4:Y34,$B5)+COUNTIF('4月'!AC4:AC34,$B5)+COUNTIF('4月'!AD4:AD34,$B5)+COUNTIF('4月'!AH4:AH34,$B5)+COUNTIF('4月'!AI4:AI34,$B5)+COUNTIF('4月'!AM4:AM34,$B5)+COUNTIF('4月'!AN4:AN34,$B5)+COUNTIF('4月'!AR4:AR34,$B5)+COUNTIF('4月'!AS4:AS34,$B5)+COUNTIF('4月'!AW4:AW34,$B5)+COUNTIF('4月'!AX4:AX34,$B5)+COUNTIF('4月'!BB4:BB34,$B5)+COUNTIF('4月'!BC4:BC34,$B5)+COUNTIF('4月'!BG4:BG34,$B5)+COUNTIF('4月'!BH4:BH34,$B5)+COUNTIF('4月'!BL4:BL34,$B5)+COUNTIF('4月'!BM4:BM34,$B5)+COUNTIF('4月'!BQ4:BQ34,$B5)+COUNTIF('4月'!BR4:BR34,$B5)+COUNTIF('4月'!BV4:BV34,$B5)+COUNTIF('4月'!BW4:BW34,$B5)+COUNTIF('4月'!CA4:CA34,$B5)+COUNTIF('4月'!CB4:CB34,$B5)+COUNTIF('4月'!CF4:CF34,$B5)+COUNTIF('4月'!CG4:CG34,$B5)+COUNTIF('4月'!CK4:CK34,$B5)+COUNTIF('4月'!CL4:CL34,$B5)+COUNTIF('4月'!CP4:CP34,$B5)+COUNTIF('4月'!CQ4:CQ34,$B5)+COUNTIF('4月'!CU4:CU34,$B5)+COUNTIF('4月'!CV4:CV34,$B5)+COUNTIF('4月'!CZ4:CZ34,$B5)+COUNTIF('4月'!DA4:DA34,$B5)+COUNTIF('4月'!DE4:DE34,$B5)+COUNTIF('4月'!DF4:DF34,$B5)+COUNTIF('4月'!DJ4:DJ34,$B5)+COUNTIF('4月'!DK4:DK34,$B5)+COUNTIF('4月'!DO4:DO34,$B5)+COUNTIF('4月'!DP4:DP34,$B5)+COUNTIF('4月'!DT4:DT34,$B5)+COUNTIF('4月'!DU4:DU34,$B5)+COUNTIF('4月'!DY4:DY34,$B5)+COUNTIF('4月'!DZ4:DZ34,$B5)+COUNTIF('4月'!ED4:ED34,$B5)+COUNTIF('4月'!EE4:EE34,$B5)+COUNTIF('4月'!EI4:EI34,$B5)+COUNTIF('4月'!EJ4:EJ34,$B5)+COUNTIF('4月'!EN4:EN34,$B5)+COUNTIF('4月'!EO4:EO34,$B5)+COUNTIF('4月'!ES4:ES34,$B5)+COUNTIF('4月'!ET4:ET34,$B5)),0)</f>
        <v>0</v>
      </c>
      <c r="G5" s="76">
        <f>IFERROR(IF($B5="","",COUNTIF('5月'!D4:D34,$B5)+COUNTIF('5月'!E4:E34,$B5)+COUNTIF('5月'!I4:I34,$B5)+COUNTIF('5月'!J4:J34,$B5)+COUNTIF('5月'!N4:N34,$B5)+COUNTIF('5月'!O4:O34,$B5)+COUNTIF('5月'!S4:S34,$B5)+COUNTIF('5月'!T4:T34,$B5)+COUNTIF('5月'!X4:X34,$B5)+COUNTIF('5月'!Y4:Y34,$B5)+COUNTIF('5月'!AC4:AC34,$B5)+COUNTIF('5月'!AD4:AD34,$B5)+COUNTIF('5月'!AH4:AH34,$B5)+COUNTIF('5月'!AI4:AI34,$B5)+COUNTIF('5月'!AM4:AM34,$B5)+COUNTIF('5月'!AN4:AN34,$B5)+COUNTIF('5月'!AR4:AR34,$B5)+COUNTIF('5月'!AS4:AS34,$B5)+COUNTIF('5月'!AW4:AW34,$B5)+COUNTIF('5月'!AX4:AX34,$B5)+COUNTIF('5月'!BB4:BB34,$B5)+COUNTIF('5月'!BC4:BC34,$B5)+COUNTIF('5月'!BG4:BG34,$B5)+COUNTIF('5月'!BH4:BH34,$B5)+COUNTIF('5月'!BL4:BL34,$B5)+COUNTIF('5月'!BM4:BM34,$B5)+COUNTIF('5月'!BQ4:BQ34,$B5)+COUNTIF('5月'!BR4:BR34,$B5)+COUNTIF('5月'!BV4:BV34,$B5)+COUNTIF('5月'!BW4:BW34,$B5)+COUNTIF('5月'!CA4:CA34,$B5)+COUNTIF('5月'!CB4:CB34,$B5)+COUNTIF('5月'!CF4:CF34,$B5)+COUNTIF('5月'!CG4:CG34,$B5)+COUNTIF('5月'!CK4:CK34,$B5)+COUNTIF('5月'!CL4:CL34,$B5)+COUNTIF('5月'!CP4:CP34,$B5)+COUNTIF('5月'!CQ4:CQ34,$B5)+COUNTIF('5月'!CU4:CU34,$B5)+COUNTIF('5月'!CV4:CV34,$B5)+COUNTIF('5月'!CZ4:CZ34,$B5)+COUNTIF('5月'!DA4:DA34,$B5)+COUNTIF('5月'!DE4:DE34,$B5)+COUNTIF('5月'!DF4:DF34,$B5)+COUNTIF('5月'!DJ4:DJ34,$B5)+COUNTIF('5月'!DK4:DK34,$B5)+COUNTIF('5月'!DO4:DO34,$B5)+COUNTIF('5月'!DP4:DP34,$B5)+COUNTIF('5月'!DT4:DT34,$B5)+COUNTIF('5月'!DU4:DU34,$B5)+COUNTIF('5月'!DY4:DY34,$B5)+COUNTIF('5月'!DZ4:DZ34,$B5)+COUNTIF('5月'!ED4:ED34,$B5)+COUNTIF('5月'!EE4:EE34,$B5)+COUNTIF('5月'!EI4:EI34,$B5)+COUNTIF('5月'!EJ4:EJ34,$B5)+COUNTIF('5月'!EN4:EN34,$B5)+COUNTIF('5月'!EO4:EO34,$B5)+COUNTIF('5月'!ES4:ES34,$B5)+COUNTIF('5月'!ET4:ET34,$B5)),0)</f>
        <v>0</v>
      </c>
      <c r="H5" s="76">
        <f>IFERROR(IF($B5="","",COUNTIF('6月'!D4:D34,$B5)+COUNTIF('6月'!E4:E34,$B5)+COUNTIF('6月'!I4:I34,$B5)+COUNTIF('6月'!J4:J34,$B5)+COUNTIF('6月'!N4:N34,$B5)+COUNTIF('6月'!O4:O34,$B5)+COUNTIF('6月'!S4:S34,$B5)+COUNTIF('6月'!T4:T34,$B5)+COUNTIF('6月'!X4:X34,$B5)+COUNTIF('6月'!Y4:Y34,$B5)+COUNTIF('6月'!AC4:AC34,$B5)+COUNTIF('6月'!AD4:AD34,$B5)+COUNTIF('6月'!AH4:AH34,$B5)+COUNTIF('6月'!AI4:AI34,$B5)+COUNTIF('6月'!AM4:AM34,$B5)+COUNTIF('6月'!AN4:AN34,$B5)+COUNTIF('6月'!AR4:AR34,$B5)+COUNTIF('6月'!AS4:AS34,$B5)+COUNTIF('6月'!AW4:AW34,$B5)+COUNTIF('6月'!AX4:AX34,$B5)+COUNTIF('6月'!BB4:BB34,$B5)+COUNTIF('6月'!BC4:BC34,$B5)+COUNTIF('6月'!BG4:BG34,$B5)+COUNTIF('6月'!BH4:BH34,$B5)+COUNTIF('6月'!BL4:BL34,$B5)+COUNTIF('6月'!BM4:BM34,$B5)+COUNTIF('6月'!BQ4:BQ34,$B5)+COUNTIF('6月'!BR4:BR34,$B5)+COUNTIF('6月'!BV4:BV34,$B5)+COUNTIF('6月'!BW4:BW34,$B5)+COUNTIF('6月'!CA4:CA34,$B5)+COUNTIF('6月'!CB4:CB34,$B5)+COUNTIF('6月'!CF4:CF34,$B5)+COUNTIF('6月'!CG4:CG34,$B5)+COUNTIF('6月'!CK4:CK34,$B5)+COUNTIF('6月'!CL4:CL34,$B5)+COUNTIF('6月'!CP4:CP34,$B5)+COUNTIF('6月'!CQ4:CQ34,$B5)+COUNTIF('6月'!CU4:CU34,$B5)+COUNTIF('6月'!CV4:CV34,$B5)+COUNTIF('6月'!CZ4:CZ34,$B5)+COUNTIF('6月'!DA4:DA34,$B5)+COUNTIF('6月'!DE4:DE34,$B5)+COUNTIF('6月'!DF4:DF34,$B5)+COUNTIF('6月'!DJ4:DJ34,$B5)+COUNTIF('6月'!DK4:DK34,$B5)+COUNTIF('6月'!DO4:DO34,$B5)+COUNTIF('6月'!DP4:DP34,$B5)+COUNTIF('6月'!DT4:DT34,$B5)+COUNTIF('6月'!DU4:DU34,$B5)+COUNTIF('6月'!DY4:DY34,$B5)+COUNTIF('6月'!DZ4:DZ34,$B5)+COUNTIF('6月'!ED4:ED34,$B5)+COUNTIF('6月'!EE4:EE34,$B5)+COUNTIF('6月'!EI4:EI34,$B5)+COUNTIF('6月'!EJ4:EJ34,$B5)+COUNTIF('6月'!EN4:EN34,$B5)+COUNTIF('6月'!EO4:EO34,$B5)+COUNTIF('6月'!ES4:ES34,$B5)+COUNTIF('6月'!ET4:ET34,$B5)),0)</f>
        <v>0</v>
      </c>
      <c r="I5" s="76">
        <f>IFERROR(IF($B5="","",COUNTIF('7月'!D4:D34,$B5)+COUNTIF('7月'!E4:E34,$B5)+COUNTIF('7月'!I4:I34,$B5)+COUNTIF('7月'!J4:J34,$B5)+COUNTIF('7月'!N4:N34,$B5)+COUNTIF('7月'!O4:O34,$B5)+COUNTIF('7月'!S4:S34,$B5)+COUNTIF('7月'!T4:T34,$B5)+COUNTIF('7月'!X4:X34,$B5)+COUNTIF('7月'!Y4:Y34,$B5)+COUNTIF('7月'!AC4:AC34,$B5)+COUNTIF('7月'!AD4:AD34,$B5)+COUNTIF('7月'!AH4:AH34,$B5)+COUNTIF('7月'!AI4:AI34,$B5)+COUNTIF('7月'!AM4:AM34,$B5)+COUNTIF('7月'!AN4:AN34,$B5)+COUNTIF('7月'!AR4:AR34,$B5)+COUNTIF('7月'!AS4:AS34,$B5)+COUNTIF('7月'!AW4:AW34,$B5)+COUNTIF('7月'!AX4:AX34,$B5)+COUNTIF('7月'!BB4:BB34,$B5)+COUNTIF('7月'!BC4:BC34,$B5)+COUNTIF('7月'!BG4:BG34,$B5)+COUNTIF('7月'!BH4:BH34,$B5)+COUNTIF('7月'!BL4:BL34,$B5)+COUNTIF('7月'!BM4:BM34,$B5)+COUNTIF('7月'!BQ4:BQ34,$B5)+COUNTIF('7月'!BR4:BR34,$B5)+COUNTIF('7月'!BV4:BV34,$B5)+COUNTIF('7月'!BW4:BW34,$B5)+COUNTIF('7月'!CA4:CA34,$B5)+COUNTIF('7月'!CB4:CB34,$B5)+COUNTIF('7月'!CF4:CF34,$B5)+COUNTIF('7月'!CG4:CG34,$B5)+COUNTIF('7月'!CK4:CK34,$B5)+COUNTIF('7月'!CL4:CL34,$B5)+COUNTIF('7月'!CP4:CP34,$B5)+COUNTIF('7月'!CQ4:CQ34,$B5)+COUNTIF('7月'!CU4:CU34,$B5)+COUNTIF('7月'!CV4:CV34,$B5)+COUNTIF('7月'!CZ4:CZ34,$B5)+COUNTIF('7月'!DA4:DA34,$B5)+COUNTIF('7月'!DE4:DE34,$B5)+COUNTIF('7月'!DF4:DF34,$B5)+COUNTIF('7月'!DJ4:DJ34,$B5)+COUNTIF('7月'!DK4:DK34,$B5)+COUNTIF('7月'!DO4:DO34,$B5)+COUNTIF('7月'!DP4:DP34,$B5)+COUNTIF('7月'!DT4:DT34,$B5)+COUNTIF('7月'!DU4:DU34,$B5)+COUNTIF('7月'!DY4:DY34,$B5)+COUNTIF('7月'!DZ4:DZ34,$B5)+COUNTIF('7月'!ED4:ED34,$B5)+COUNTIF('7月'!EE4:EE34,$B5)+COUNTIF('7月'!EI4:EI34,$B5)+COUNTIF('7月'!EJ4:EJ34,$B5)+COUNTIF('7月'!EN4:EN34,$B5)+COUNTIF('7月'!EO4:EO34,$B5)+COUNTIF('7月'!ES4:ES34,$B5)+COUNTIF('7月'!ET4:ET34,$B5)),0)</f>
        <v>0</v>
      </c>
      <c r="J5" s="76">
        <f>IFERROR(IF($B5="","",COUNTIF('8月'!D4:D34,$B5)+COUNTIF('8月'!E4:E34,$B5)+COUNTIF('8月'!I4:I34,$B5)+COUNTIF('8月'!J4:J34,$B5)+COUNTIF('8月'!N4:N34,$B5)+COUNTIF('8月'!O4:O34,$B5)+COUNTIF('8月'!S4:S34,$B5)+COUNTIF('8月'!T4:T34,$B5)+COUNTIF('8月'!X4:X34,$B5)+COUNTIF('8月'!Y4:Y34,$B5)+COUNTIF('8月'!AC4:AC34,$B5)+COUNTIF('8月'!AD4:AD34,$B5)+COUNTIF('8月'!AH4:AH34,$B5)+COUNTIF('8月'!AI4:AI34,$B5)+COUNTIF('8月'!AM4:AM34,$B5)+COUNTIF('8月'!AN4:AN34,$B5)+COUNTIF('8月'!AR4:AR34,$B5)+COUNTIF('8月'!AS4:AS34,$B5)+COUNTIF('8月'!AW4:AW34,$B5)+COUNTIF('8月'!AX4:AX34,$B5)+COUNTIF('8月'!BB4:BB34,$B5)+COUNTIF('8月'!BC4:BC34,$B5)+COUNTIF('8月'!BG4:BG34,$B5)+COUNTIF('8月'!BH4:BH34,$B5)+COUNTIF('8月'!BL4:BL34,$B5)+COUNTIF('8月'!BM4:BM34,$B5)+COUNTIF('8月'!BQ4:BQ34,$B5)+COUNTIF('8月'!BR4:BR34,$B5)+COUNTIF('8月'!BV4:BV34,$B5)+COUNTIF('8月'!BW4:BW34,$B5)+COUNTIF('8月'!CA4:CA34,$B5)+COUNTIF('8月'!CB4:CB34,$B5)+COUNTIF('8月'!CF4:CF34,$B5)+COUNTIF('8月'!CG4:CG34,$B5)+COUNTIF('8月'!CK4:CK34,$B5)+COUNTIF('8月'!CL4:CL34,$B5)+COUNTIF('8月'!CP4:CP34,$B5)+COUNTIF('8月'!CQ4:CQ34,$B5)+COUNTIF('8月'!CU4:CU34,$B5)+COUNTIF('8月'!CV4:CV34,$B5)+COUNTIF('8月'!CZ4:CZ34,$B5)+COUNTIF('8月'!DA4:DA34,$B5)+COUNTIF('8月'!DE4:DE34,$B5)+COUNTIF('8月'!DF4:DF34,$B5)+COUNTIF('8月'!DJ4:DJ34,$B5)+COUNTIF('8月'!DK4:DK34,$B5)+COUNTIF('8月'!DO4:DO34,$B5)+COUNTIF('8月'!DP4:DP34,$B5)+COUNTIF('8月'!DT4:DT34,$B5)+COUNTIF('8月'!DU4:DU34,$B5)+COUNTIF('8月'!DY4:DY34,$B5)+COUNTIF('8月'!DZ4:DZ34,$B5)+COUNTIF('8月'!ED4:ED34,$B5)+COUNTIF('8月'!EE4:EE34,$B5)+COUNTIF('8月'!EI4:EI34,$B5)+COUNTIF('8月'!EJ4:EJ34,$B5)+COUNTIF('8月'!EN4:EN34,$B5)+COUNTIF('8月'!EO4:EO34,$B5)+COUNTIF('8月'!ES4:ES34,$B5)+COUNTIF('8月'!ET4:ET34,$B5)),0)</f>
        <v>0</v>
      </c>
      <c r="K5" s="76">
        <f>IFERROR(IF($B5="","",COUNTIF('9月'!D4:D34,$B5)+COUNTIF('9月'!E4:E34,$B5)+COUNTIF('9月'!I4:I34,$B5)+COUNTIF('9月'!J4:J34,$B5)+COUNTIF('9月'!N4:N34,$B5)+COUNTIF('9月'!O4:O34,$B5)+COUNTIF('9月'!S4:S34,$B5)+COUNTIF('9月'!T4:T34,$B5)+COUNTIF('9月'!X4:X34,$B5)+COUNTIF('9月'!Y4:Y34,$B5)+COUNTIF('9月'!AC4:AC34,$B5)+COUNTIF('9月'!AD4:AD34,$B5)+COUNTIF('9月'!AH4:AH34,$B5)+COUNTIF('9月'!AI4:AI34,$B5)+COUNTIF('9月'!AM4:AM34,$B5)+COUNTIF('9月'!AN4:AN34,$B5)+COUNTIF('9月'!AR4:AR34,$B5)+COUNTIF('9月'!AS4:AS34,$B5)+COUNTIF('9月'!AW4:AW34,$B5)+COUNTIF('9月'!AX4:AX34,$B5)+COUNTIF('9月'!BB4:BB34,$B5)+COUNTIF('9月'!BC4:BC34,$B5)+COUNTIF('9月'!BG4:BG34,$B5)+COUNTIF('9月'!BH4:BH34,$B5)+COUNTIF('9月'!BL4:BL34,$B5)+COUNTIF('9月'!BM4:BM34,$B5)+COUNTIF('9月'!BQ4:BQ34,$B5)+COUNTIF('9月'!BR4:BR34,$B5)+COUNTIF('9月'!BV4:BV34,$B5)+COUNTIF('9月'!BW4:BW34,$B5)+COUNTIF('9月'!CA4:CA34,$B5)+COUNTIF('9月'!CB4:CB34,$B5)+COUNTIF('9月'!CF4:CF34,$B5)+COUNTIF('9月'!CG4:CG34,$B5)+COUNTIF('9月'!CK4:CK34,$B5)+COUNTIF('9月'!CL4:CL34,$B5)+COUNTIF('9月'!CP4:CP34,$B5)+COUNTIF('9月'!CQ4:CQ34,$B5)+COUNTIF('9月'!CU4:CU34,$B5)+COUNTIF('9月'!CV4:CV34,$B5)+COUNTIF('9月'!CZ4:CZ34,$B5)+COUNTIF('9月'!DA4:DA34,$B5)+COUNTIF('9月'!DE4:DE34,$B5)+COUNTIF('9月'!DF4:DF34,$B5)+COUNTIF('9月'!DJ4:DJ34,$B5)+COUNTIF('9月'!DK4:DK34,$B5)+COUNTIF('9月'!DO4:DO34,$B5)+COUNTIF('9月'!DP4:DP34,$B5)+COUNTIF('9月'!DT4:DT34,$B5)+COUNTIF('9月'!DU4:DU34,$B5)+COUNTIF('9月'!DY4:DY34,$B5)+COUNTIF('9月'!DZ4:DZ34,$B5)+COUNTIF('9月'!ED4:ED34,$B5)+COUNTIF('9月'!EE4:EE34,$B5)+COUNTIF('9月'!EI4:EI34,$B5)+COUNTIF('9月'!EJ4:EJ34,$B5)+COUNTIF('9月'!EN4:EN34,$B5)+COUNTIF('9月'!EO4:EO34,$B5)+COUNTIF('9月'!ES4:ES34,$B5)+COUNTIF('9月'!ET4:ET34,$B5)),0)</f>
        <v>0</v>
      </c>
      <c r="L5" s="76">
        <f>IFERROR(IF($B5="","",COUNTIF('10月'!D4:D34,$B5)+COUNTIF('10月'!E4:E34,$B5)+COUNTIF('10月'!I4:I34,$B5)+COUNTIF('10月'!J4:J34,$B5)+COUNTIF('10月'!N4:N34,$B5)+COUNTIF('10月'!O4:O34,$B5)+COUNTIF('10月'!S4:S34,$B5)+COUNTIF('10月'!T4:T34,$B5)+COUNTIF('10月'!X4:X34,$B5)+COUNTIF('10月'!Y4:Y34,$B5)+COUNTIF('10月'!AC4:AC34,$B5)+COUNTIF('10月'!AD4:AD34,$B5)+COUNTIF('10月'!AH4:AH34,$B5)+COUNTIF('10月'!AI4:AI34,$B5)+COUNTIF('10月'!AM4:AM34,$B5)+COUNTIF('10月'!AN4:AN34,$B5)+COUNTIF('10月'!AR4:AR34,$B5)+COUNTIF('10月'!AS4:AS34,$B5)+COUNTIF('10月'!AW4:AW34,$B5)+COUNTIF('10月'!AX4:AX34,$B5)+COUNTIF('10月'!BB4:BB34,$B5)+COUNTIF('10月'!BC4:BC34,$B5)+COUNTIF('10月'!BG4:BG34,$B5)+COUNTIF('10月'!BH4:BH34,$B5)+COUNTIF('10月'!BL4:BL34,$B5)+COUNTIF('10月'!BM4:BM34,$B5)+COUNTIF('10月'!BQ4:BQ34,$B5)+COUNTIF('10月'!BR4:BR34,$B5)+COUNTIF('10月'!BV4:BV34,$B5)+COUNTIF('10月'!BW4:BW34,$B5)+COUNTIF('10月'!CA4:CA34,$B5)+COUNTIF('10月'!CB4:CB34,$B5)+COUNTIF('10月'!CF4:CF34,$B5)+COUNTIF('10月'!CG4:CG34,$B5)+COUNTIF('10月'!CK4:CK34,$B5)+COUNTIF('10月'!CL4:CL34,$B5)+COUNTIF('10月'!CP4:CP34,$B5)+COUNTIF('10月'!CQ4:CQ34,$B5)+COUNTIF('10月'!CU4:CU34,$B5)+COUNTIF('10月'!CV4:CV34,$B5)+COUNTIF('10月'!CZ4:CZ34,$B5)+COUNTIF('10月'!DA4:DA34,$B5)+COUNTIF('10月'!DE4:DE34,$B5)+COUNTIF('10月'!DF4:DF34,$B5)+COUNTIF('10月'!DJ4:DJ34,$B5)+COUNTIF('10月'!DK4:DK34,$B5)+COUNTIF('10月'!DO4:DO34,$B5)+COUNTIF('10月'!DP4:DP34,$B5)+COUNTIF('10月'!DT4:DT34,$B5)+COUNTIF('10月'!DU4:DU34,$B5)+COUNTIF('10月'!DY4:DY34,$B5)+COUNTIF('10月'!DZ4:DZ34,$B5)+COUNTIF('10月'!ED4:ED34,$B5)+COUNTIF('10月'!EE4:EE34,$B5)+COUNTIF('10月'!EI4:EI34,$B5)+COUNTIF('10月'!EJ4:EJ34,$B5)+COUNTIF('10月'!EN4:EN34,$B5)+COUNTIF('10月'!EO4:EO34,$B5)+COUNTIF('10月'!ES4:ES34,$B5)+COUNTIF('10月'!ET4:ET34,$B5)),0)</f>
        <v>0</v>
      </c>
      <c r="M5" s="76">
        <f>IFERROR(IF($B5="","",COUNTIF('11月'!D4:D34,$B5)+COUNTIF('11月'!E4:E34,$B5)+COUNTIF('11月'!I4:I34,$B5)+COUNTIF('11月'!J4:J34,$B5)+COUNTIF('11月'!N4:N34,$B5)+COUNTIF('11月'!O4:O34,$B5)+COUNTIF('11月'!S4:S34,$B5)+COUNTIF('11月'!T4:T34,$B5)+COUNTIF('11月'!X4:X34,$B5)+COUNTIF('11月'!Y4:Y34,$B5)+COUNTIF('11月'!AC4:AC34,$B5)+COUNTIF('11月'!AD4:AD34,$B5)+COUNTIF('11月'!AH4:AH34,$B5)+COUNTIF('11月'!AI4:AI34,$B5)+COUNTIF('11月'!AM4:AM34,$B5)+COUNTIF('11月'!AN4:AN34,$B5)+COUNTIF('11月'!AR4:AR34,$B5)+COUNTIF('11月'!AS4:AS34,$B5)+COUNTIF('11月'!AW4:AW34,$B5)+COUNTIF('11月'!AX4:AX34,$B5)+COUNTIF('11月'!BB4:BB34,$B5)+COUNTIF('11月'!BC4:BC34,$B5)+COUNTIF('11月'!BG4:BG34,$B5)+COUNTIF('11月'!BH4:BH34,$B5)+COUNTIF('11月'!BL4:BL34,$B5)+COUNTIF('11月'!BM4:BM34,$B5)+COUNTIF('11月'!BQ4:BQ34,$B5)+COUNTIF('11月'!BR4:BR34,$B5)+COUNTIF('11月'!BV4:BV34,$B5)+COUNTIF('11月'!BW4:BW34,$B5)+COUNTIF('11月'!CA4:CA34,$B5)+COUNTIF('11月'!CB4:CB34,$B5)+COUNTIF('11月'!CF4:CF34,$B5)+COUNTIF('11月'!CG4:CG34,$B5)+COUNTIF('11月'!CK4:CK34,$B5)+COUNTIF('11月'!CL4:CL34,$B5)+COUNTIF('11月'!CP4:CP34,$B5)+COUNTIF('11月'!CQ4:CQ34,$B5)+COUNTIF('11月'!CU4:CU34,$B5)+COUNTIF('11月'!CV4:CV34,$B5)+COUNTIF('11月'!CZ4:CZ34,$B5)+COUNTIF('11月'!DA4:DA34,$B5)+COUNTIF('11月'!DE4:DE34,$B5)+COUNTIF('11月'!DF4:DF34,$B5)+COUNTIF('11月'!DJ4:DJ34,$B5)+COUNTIF('11月'!DK4:DK34,$B5)+COUNTIF('11月'!DO4:DO34,$B5)+COUNTIF('11月'!DP4:DP34,$B5)+COUNTIF('11月'!DT4:DT34,$B5)+COUNTIF('11月'!DU4:DU34,$B5)+COUNTIF('11月'!DY4:DY34,$B5)+COUNTIF('11月'!DZ4:DZ34,$B5)+COUNTIF('11月'!ED4:ED34,$B5)+COUNTIF('11月'!EE4:EE34,$B5)+COUNTIF('11月'!EI4:EI34,$B5)+COUNTIF('11月'!EJ4:EJ34,$B5)+COUNTIF('11月'!EN4:EN34,$B5)+COUNTIF('11月'!EO4:EO34,$B5)+COUNTIF('11月'!ES4:ES34,$B5)+COUNTIF('11月'!ET4:ET34,$B5)),0)</f>
        <v>0</v>
      </c>
      <c r="N5" s="76">
        <f>IFERROR(IF($B5="","",COUNTIF('12月'!D4:D34,$B5)+COUNTIF('12月'!E4:E34,$B5)+COUNTIF('12月'!I4:I34,$B5)+COUNTIF('12月'!J4:J34,$B5)+COUNTIF('12月'!N4:N34,$B5)+COUNTIF('12月'!O4:O34,$B5)+COUNTIF('12月'!S4:S34,$B5)+COUNTIF('12月'!T4:T34,$B5)+COUNTIF('12月'!X4:X34,$B5)+COUNTIF('12月'!Y4:Y34,$B5)+COUNTIF('12月'!AC4:AC34,$B5)+COUNTIF('12月'!AD4:AD34,$B5)+COUNTIF('12月'!AH4:AH34,$B5)+COUNTIF('12月'!AI4:AI34,$B5)+COUNTIF('12月'!AM4:AM34,$B5)+COUNTIF('12月'!AN4:AN34,$B5)+COUNTIF('12月'!AR4:AR34,$B5)+COUNTIF('12月'!AS4:AS34,$B5)+COUNTIF('12月'!AW4:AW34,$B5)+COUNTIF('12月'!AX4:AX34,$B5)+COUNTIF('12月'!BB4:BB34,$B5)+COUNTIF('12月'!BC4:BC34,$B5)+COUNTIF('12月'!BG4:BG34,$B5)+COUNTIF('12月'!BH4:BH34,$B5)+COUNTIF('12月'!BL4:BL34,$B5)+COUNTIF('12月'!BM4:BM34,$B5)+COUNTIF('12月'!BQ4:BQ34,$B5)+COUNTIF('12月'!BR4:BR34,$B5)+COUNTIF('12月'!BV4:BV34,$B5)+COUNTIF('12月'!BW4:BW34,$B5)+COUNTIF('12月'!CA4:CA34,$B5)+COUNTIF('12月'!CB4:CB34,$B5)+COUNTIF('12月'!CF4:CF34,$B5)+COUNTIF('12月'!CG4:CG34,$B5)+COUNTIF('12月'!CK4:CK34,$B5)+COUNTIF('12月'!CL4:CL34,$B5)+COUNTIF('12月'!CP4:CP34,$B5)+COUNTIF('12月'!CQ4:CQ34,$B5)+COUNTIF('12月'!CU4:CU34,$B5)+COUNTIF('12月'!CV4:CV34,$B5)+COUNTIF('12月'!CZ4:CZ34,$B5)+COUNTIF('12月'!DA4:DA34,$B5)+COUNTIF('12月'!DE4:DE34,$B5)+COUNTIF('12月'!DF4:DF34,$B5)+COUNTIF('12月'!DJ4:DJ34,$B5)+COUNTIF('12月'!DK4:DK34,$B5)+COUNTIF('12月'!DO4:DO34,$B5)+COUNTIF('12月'!DP4:DP34,$B5)+COUNTIF('12月'!DT4:DT34,$B5)+COUNTIF('12月'!DU4:DU34,$B5)+COUNTIF('12月'!DY4:DY34,$B5)+COUNTIF('12月'!DZ4:DZ34,$B5)+COUNTIF('12月'!ED4:ED34,$B5)+COUNTIF('12月'!EE4:EE34,$B5)+COUNTIF('12月'!EI4:EI34,$B5)+COUNTIF('12月'!EJ4:EJ34,$B5)+COUNTIF('12月'!EN4:EN34,$B5)+COUNTIF('12月'!EO4:EO34,$B5)+COUNTIF('12月'!ES4:ES34,$B5)+COUNTIF('12月'!ET4:ET34,$B5)),0)</f>
        <v>0</v>
      </c>
      <c r="O5" s="78">
        <f t="shared" si="0"/>
        <v>0</v>
      </c>
    </row>
    <row r="6" spans="1:15" ht="19.5" customHeight="1">
      <c r="A6" s="76">
        <v>4</v>
      </c>
      <c r="B6" s="77" t="str">
        <f>IFERROR(現場マスタ!$C$7,"")</f>
        <v>六本木ヒルズ</v>
      </c>
      <c r="C6" s="76">
        <f>IFERROR(IF($B6="","",COUNTIF('1月'!D4:D34,$B6)+COUNTIF('1月'!E4:E34,$B6)+COUNTIF('1月'!I4:I34,$B6)+COUNTIF('1月'!J4:J34,$B6)+COUNTIF('1月'!N4:N34,$B6)+COUNTIF('1月'!O4:O34,$B6)+COUNTIF('1月'!S4:S34,$B6)+COUNTIF('1月'!T4:T34,$B6)+COUNTIF('1月'!X4:X34,$B6)+COUNTIF('1月'!Y4:Y34,$B6)+COUNTIF('1月'!AC4:AC34,$B6)+COUNTIF('1月'!AD4:AD34,$B6)+COUNTIF('1月'!AH4:AH34,$B6)+COUNTIF('1月'!AI4:AI34,$B6)+COUNTIF('1月'!AM4:AM34,$B6)+COUNTIF('1月'!AN4:AN34,$B6)+COUNTIF('1月'!AR4:AR34,$B6)+COUNTIF('1月'!AS4:AS34,$B6)+COUNTIF('1月'!AW4:AW34,$B6)+COUNTIF('1月'!AX4:AX34,$B6)+COUNTIF('1月'!BB4:BB34,$B6)+COUNTIF('1月'!BC4:BC34,$B6)+COUNTIF('1月'!BG4:BG34,$B6)+COUNTIF('1月'!BH4:BH34,$B6)+COUNTIF('1月'!BL4:BL34,$B6)+COUNTIF('1月'!BM4:BM34,$B6)+COUNTIF('1月'!BQ4:BQ34,$B6)+COUNTIF('1月'!BR4:BR34,$B6)+COUNTIF('1月'!BV4:BV34,$B6)+COUNTIF('1月'!BW4:BW34,$B6)+COUNTIF('1月'!CA4:CA34,$B6)+COUNTIF('1月'!CB4:CB34,$B6)+COUNTIF('1月'!CF4:CF34,$B6)+COUNTIF('1月'!CG4:CG34,$B6)+COUNTIF('1月'!CK4:CK34,$B6)+COUNTIF('1月'!CL4:CL34,$B6)+COUNTIF('1月'!CP4:CP34,$B6)+COUNTIF('1月'!CQ4:CQ34,$B6)+COUNTIF('1月'!CU4:CU34,$B6)+COUNTIF('1月'!CV4:CV34,$B6)+COUNTIF('1月'!CZ4:CZ34,$B6)+COUNTIF('1月'!DA4:DA34,$B6)+COUNTIF('1月'!DE4:DE34,$B6)+COUNTIF('1月'!DF4:DF34,$B6)+COUNTIF('1月'!DJ4:DJ34,$B6)+COUNTIF('1月'!DK4:DK34,$B6)+COUNTIF('1月'!DO4:DO34,$B6)+COUNTIF('1月'!DP4:DP34,$B6)+COUNTIF('1月'!DT4:DT34,$B6)+COUNTIF('1月'!DU4:DU34,$B6)+COUNTIF('1月'!DY4:DY34,$B6)+COUNTIF('1月'!DZ4:DZ34,$B6)+COUNTIF('1月'!ED4:ED34,$B6)+COUNTIF('1月'!EE4:EE34,$B6)+COUNTIF('1月'!EI4:EI34,$B6)+COUNTIF('1月'!EJ4:EJ34,$B6)+COUNTIF('1月'!EN4:EN34,$B6)+COUNTIF('1月'!EO4:EO34,$B6)+COUNTIF('1月'!ES4:ES34,$B6)+COUNTIF('1月'!ET4:ET34,$B6)),0)</f>
        <v>0</v>
      </c>
      <c r="D6" s="76">
        <f>IFERROR(IF($B6="","",COUNTIF('2月'!D4:D34,$B6)+COUNTIF('2月'!E4:E34,$B6)+COUNTIF('2月'!I4:I34,$B6)+COUNTIF('2月'!J4:J34,$B6)+COUNTIF('2月'!N4:N34,$B6)+COUNTIF('2月'!O4:O34,$B6)+COUNTIF('2月'!S4:S34,$B6)+COUNTIF('2月'!T4:T34,$B6)+COUNTIF('2月'!X4:X34,$B6)+COUNTIF('2月'!Y4:Y34,$B6)+COUNTIF('2月'!AC4:AC34,$B6)+COUNTIF('2月'!AD4:AD34,$B6)+COUNTIF('2月'!AH4:AH34,$B6)+COUNTIF('2月'!AI4:AI34,$B6)+COUNTIF('2月'!AM4:AM34,$B6)+COUNTIF('2月'!AN4:AN34,$B6)+COUNTIF('2月'!AR4:AR34,$B6)+COUNTIF('2月'!AS4:AS34,$B6)+COUNTIF('2月'!AW4:AW34,$B6)+COUNTIF('2月'!AX4:AX34,$B6)+COUNTIF('2月'!BB4:BB34,$B6)+COUNTIF('2月'!BC4:BC34,$B6)+COUNTIF('2月'!BG4:BG34,$B6)+COUNTIF('2月'!BH4:BH34,$B6)+COUNTIF('2月'!BL4:BL34,$B6)+COUNTIF('2月'!BM4:BM34,$B6)+COUNTIF('2月'!BQ4:BQ34,$B6)+COUNTIF('2月'!BR4:BR34,$B6)+COUNTIF('2月'!BV4:BV34,$B6)+COUNTIF('2月'!BW4:BW34,$B6)+COUNTIF('2月'!CA4:CA34,$B6)+COUNTIF('2月'!CB4:CB34,$B6)+COUNTIF('2月'!CF4:CF34,$B6)+COUNTIF('2月'!CG4:CG34,$B6)+COUNTIF('2月'!CK4:CK34,$B6)+COUNTIF('2月'!CL4:CL34,$B6)+COUNTIF('2月'!CP4:CP34,$B6)+COUNTIF('2月'!CQ4:CQ34,$B6)+COUNTIF('2月'!CU4:CU34,$B6)+COUNTIF('2月'!CV4:CV34,$B6)+COUNTIF('2月'!CZ4:CZ34,$B6)+COUNTIF('2月'!DA4:DA34,$B6)+COUNTIF('2月'!DE4:DE34,$B6)+COUNTIF('2月'!DF4:DF34,$B6)+COUNTIF('2月'!DJ4:DJ34,$B6)+COUNTIF('2月'!DK4:DK34,$B6)+COUNTIF('2月'!DO4:DO34,$B6)+COUNTIF('2月'!DP4:DP34,$B6)+COUNTIF('2月'!DT4:DT34,$B6)+COUNTIF('2月'!DU4:DU34,$B6)+COUNTIF('2月'!DY4:DY34,$B6)+COUNTIF('2月'!DZ4:DZ34,$B6)+COUNTIF('2月'!ED4:ED34,$B6)+COUNTIF('2月'!EE4:EE34,$B6)+COUNTIF('2月'!EI4:EI34,$B6)+COUNTIF('2月'!EJ4:EJ34,$B6)+COUNTIF('2月'!EN4:EN34,$B6)+COUNTIF('2月'!EO4:EO34,$B6)+COUNTIF('2月'!ES4:ES34,$B6)+COUNTIF('2月'!ET4:ET34,$B6)),0)</f>
        <v>0</v>
      </c>
      <c r="E6" s="76">
        <f>IFERROR(IF($B6="","",COUNTIF('3月'!D4:D34,$B6)+COUNTIF('3月'!E4:E34,$B6)+COUNTIF('3月'!I4:I34,$B6)+COUNTIF('3月'!J4:J34,$B6)+COUNTIF('3月'!N4:N34,$B6)+COUNTIF('3月'!O4:O34,$B6)+COUNTIF('3月'!S4:S34,$B6)+COUNTIF('3月'!T4:T34,$B6)+COUNTIF('3月'!X4:X34,$B6)+COUNTIF('3月'!Y4:Y34,$B6)+COUNTIF('3月'!AC4:AC34,$B6)+COUNTIF('3月'!AD4:AD34,$B6)+COUNTIF('3月'!AH4:AH34,$B6)+COUNTIF('3月'!AI4:AI34,$B6)+COUNTIF('3月'!AM4:AM34,$B6)+COUNTIF('3月'!AN4:AN34,$B6)+COUNTIF('3月'!AR4:AR34,$B6)+COUNTIF('3月'!AS4:AS34,$B6)+COUNTIF('3月'!AW4:AW34,$B6)+COUNTIF('3月'!AX4:AX34,$B6)+COUNTIF('3月'!BB4:BB34,$B6)+COUNTIF('3月'!BC4:BC34,$B6)+COUNTIF('3月'!BG4:BG34,$B6)+COUNTIF('3月'!BH4:BH34,$B6)+COUNTIF('3月'!BL4:BL34,$B6)+COUNTIF('3月'!BM4:BM34,$B6)+COUNTIF('3月'!BQ4:BQ34,$B6)+COUNTIF('3月'!BR4:BR34,$B6)+COUNTIF('3月'!BV4:BV34,$B6)+COUNTIF('3月'!BW4:BW34,$B6)+COUNTIF('3月'!CA4:CA34,$B6)+COUNTIF('3月'!CB4:CB34,$B6)+COUNTIF('3月'!CF4:CF34,$B6)+COUNTIF('3月'!CG4:CG34,$B6)+COUNTIF('3月'!CK4:CK34,$B6)+COUNTIF('3月'!CL4:CL34,$B6)+COUNTIF('3月'!CP4:CP34,$B6)+COUNTIF('3月'!CQ4:CQ34,$B6)+COUNTIF('3月'!CU4:CU34,$B6)+COUNTIF('3月'!CV4:CV34,$B6)+COUNTIF('3月'!CZ4:CZ34,$B6)+COUNTIF('3月'!DA4:DA34,$B6)+COUNTIF('3月'!DE4:DE34,$B6)+COUNTIF('3月'!DF4:DF34,$B6)+COUNTIF('3月'!DJ4:DJ34,$B6)+COUNTIF('3月'!DK4:DK34,$B6)+COUNTIF('3月'!DO4:DO34,$B6)+COUNTIF('3月'!DP4:DP34,$B6)+COUNTIF('3月'!DT4:DT34,$B6)+COUNTIF('3月'!DU4:DU34,$B6)+COUNTIF('3月'!DY4:DY34,$B6)+COUNTIF('3月'!DZ4:DZ34,$B6)+COUNTIF('3月'!ED4:ED34,$B6)+COUNTIF('3月'!EE4:EE34,$B6)+COUNTIF('3月'!EI4:EI34,$B6)+COUNTIF('3月'!EJ4:EJ34,$B6)+COUNTIF('3月'!EN4:EN34,$B6)+COUNTIF('3月'!EO4:EO34,$B6)+COUNTIF('3月'!ES4:ES34,$B6)+COUNTIF('3月'!ET4:ET34,$B6)),0)</f>
        <v>0</v>
      </c>
      <c r="F6" s="76">
        <f>IFERROR(IF($B6="","",COUNTIF('4月'!D4:D34,$B6)+COUNTIF('4月'!E4:E34,$B6)+COUNTIF('4月'!I4:I34,$B6)+COUNTIF('4月'!J4:J34,$B6)+COUNTIF('4月'!N4:N34,$B6)+COUNTIF('4月'!O4:O34,$B6)+COUNTIF('4月'!S4:S34,$B6)+COUNTIF('4月'!T4:T34,$B6)+COUNTIF('4月'!X4:X34,$B6)+COUNTIF('4月'!Y4:Y34,$B6)+COUNTIF('4月'!AC4:AC34,$B6)+COUNTIF('4月'!AD4:AD34,$B6)+COUNTIF('4月'!AH4:AH34,$B6)+COUNTIF('4月'!AI4:AI34,$B6)+COUNTIF('4月'!AM4:AM34,$B6)+COUNTIF('4月'!AN4:AN34,$B6)+COUNTIF('4月'!AR4:AR34,$B6)+COUNTIF('4月'!AS4:AS34,$B6)+COUNTIF('4月'!AW4:AW34,$B6)+COUNTIF('4月'!AX4:AX34,$B6)+COUNTIF('4月'!BB4:BB34,$B6)+COUNTIF('4月'!BC4:BC34,$B6)+COUNTIF('4月'!BG4:BG34,$B6)+COUNTIF('4月'!BH4:BH34,$B6)+COUNTIF('4月'!BL4:BL34,$B6)+COUNTIF('4月'!BM4:BM34,$B6)+COUNTIF('4月'!BQ4:BQ34,$B6)+COUNTIF('4月'!BR4:BR34,$B6)+COUNTIF('4月'!BV4:BV34,$B6)+COUNTIF('4月'!BW4:BW34,$B6)+COUNTIF('4月'!CA4:CA34,$B6)+COUNTIF('4月'!CB4:CB34,$B6)+COUNTIF('4月'!CF4:CF34,$B6)+COUNTIF('4月'!CG4:CG34,$B6)+COUNTIF('4月'!CK4:CK34,$B6)+COUNTIF('4月'!CL4:CL34,$B6)+COUNTIF('4月'!CP4:CP34,$B6)+COUNTIF('4月'!CQ4:CQ34,$B6)+COUNTIF('4月'!CU4:CU34,$B6)+COUNTIF('4月'!CV4:CV34,$B6)+COUNTIF('4月'!CZ4:CZ34,$B6)+COUNTIF('4月'!DA4:DA34,$B6)+COUNTIF('4月'!DE4:DE34,$B6)+COUNTIF('4月'!DF4:DF34,$B6)+COUNTIF('4月'!DJ4:DJ34,$B6)+COUNTIF('4月'!DK4:DK34,$B6)+COUNTIF('4月'!DO4:DO34,$B6)+COUNTIF('4月'!DP4:DP34,$B6)+COUNTIF('4月'!DT4:DT34,$B6)+COUNTIF('4月'!DU4:DU34,$B6)+COUNTIF('4月'!DY4:DY34,$B6)+COUNTIF('4月'!DZ4:DZ34,$B6)+COUNTIF('4月'!ED4:ED34,$B6)+COUNTIF('4月'!EE4:EE34,$B6)+COUNTIF('4月'!EI4:EI34,$B6)+COUNTIF('4月'!EJ4:EJ34,$B6)+COUNTIF('4月'!EN4:EN34,$B6)+COUNTIF('4月'!EO4:EO34,$B6)+COUNTIF('4月'!ES4:ES34,$B6)+COUNTIF('4月'!ET4:ET34,$B6)),0)</f>
        <v>0</v>
      </c>
      <c r="G6" s="76">
        <f>IFERROR(IF($B6="","",COUNTIF('5月'!D4:D34,$B6)+COUNTIF('5月'!E4:E34,$B6)+COUNTIF('5月'!I4:I34,$B6)+COUNTIF('5月'!J4:J34,$B6)+COUNTIF('5月'!N4:N34,$B6)+COUNTIF('5月'!O4:O34,$B6)+COUNTIF('5月'!S4:S34,$B6)+COUNTIF('5月'!T4:T34,$B6)+COUNTIF('5月'!X4:X34,$B6)+COUNTIF('5月'!Y4:Y34,$B6)+COUNTIF('5月'!AC4:AC34,$B6)+COUNTIF('5月'!AD4:AD34,$B6)+COUNTIF('5月'!AH4:AH34,$B6)+COUNTIF('5月'!AI4:AI34,$B6)+COUNTIF('5月'!AM4:AM34,$B6)+COUNTIF('5月'!AN4:AN34,$B6)+COUNTIF('5月'!AR4:AR34,$B6)+COUNTIF('5月'!AS4:AS34,$B6)+COUNTIF('5月'!AW4:AW34,$B6)+COUNTIF('5月'!AX4:AX34,$B6)+COUNTIF('5月'!BB4:BB34,$B6)+COUNTIF('5月'!BC4:BC34,$B6)+COUNTIF('5月'!BG4:BG34,$B6)+COUNTIF('5月'!BH4:BH34,$B6)+COUNTIF('5月'!BL4:BL34,$B6)+COUNTIF('5月'!BM4:BM34,$B6)+COUNTIF('5月'!BQ4:BQ34,$B6)+COUNTIF('5月'!BR4:BR34,$B6)+COUNTIF('5月'!BV4:BV34,$B6)+COUNTIF('5月'!BW4:BW34,$B6)+COUNTIF('5月'!CA4:CA34,$B6)+COUNTIF('5月'!CB4:CB34,$B6)+COUNTIF('5月'!CF4:CF34,$B6)+COUNTIF('5月'!CG4:CG34,$B6)+COUNTIF('5月'!CK4:CK34,$B6)+COUNTIF('5月'!CL4:CL34,$B6)+COUNTIF('5月'!CP4:CP34,$B6)+COUNTIF('5月'!CQ4:CQ34,$B6)+COUNTIF('5月'!CU4:CU34,$B6)+COUNTIF('5月'!CV4:CV34,$B6)+COUNTIF('5月'!CZ4:CZ34,$B6)+COUNTIF('5月'!DA4:DA34,$B6)+COUNTIF('5月'!DE4:DE34,$B6)+COUNTIF('5月'!DF4:DF34,$B6)+COUNTIF('5月'!DJ4:DJ34,$B6)+COUNTIF('5月'!DK4:DK34,$B6)+COUNTIF('5月'!DO4:DO34,$B6)+COUNTIF('5月'!DP4:DP34,$B6)+COUNTIF('5月'!DT4:DT34,$B6)+COUNTIF('5月'!DU4:DU34,$B6)+COUNTIF('5月'!DY4:DY34,$B6)+COUNTIF('5月'!DZ4:DZ34,$B6)+COUNTIF('5月'!ED4:ED34,$B6)+COUNTIF('5月'!EE4:EE34,$B6)+COUNTIF('5月'!EI4:EI34,$B6)+COUNTIF('5月'!EJ4:EJ34,$B6)+COUNTIF('5月'!EN4:EN34,$B6)+COUNTIF('5月'!EO4:EO34,$B6)+COUNTIF('5月'!ES4:ES34,$B6)+COUNTIF('5月'!ET4:ET34,$B6)),0)</f>
        <v>0</v>
      </c>
      <c r="H6" s="76">
        <f>IFERROR(IF($B6="","",COUNTIF('6月'!D4:D34,$B6)+COUNTIF('6月'!E4:E34,$B6)+COUNTIF('6月'!I4:I34,$B6)+COUNTIF('6月'!J4:J34,$B6)+COUNTIF('6月'!N4:N34,$B6)+COUNTIF('6月'!O4:O34,$B6)+COUNTIF('6月'!S4:S34,$B6)+COUNTIF('6月'!T4:T34,$B6)+COUNTIF('6月'!X4:X34,$B6)+COUNTIF('6月'!Y4:Y34,$B6)+COUNTIF('6月'!AC4:AC34,$B6)+COUNTIF('6月'!AD4:AD34,$B6)+COUNTIF('6月'!AH4:AH34,$B6)+COUNTIF('6月'!AI4:AI34,$B6)+COUNTIF('6月'!AM4:AM34,$B6)+COUNTIF('6月'!AN4:AN34,$B6)+COUNTIF('6月'!AR4:AR34,$B6)+COUNTIF('6月'!AS4:AS34,$B6)+COUNTIF('6月'!AW4:AW34,$B6)+COUNTIF('6月'!AX4:AX34,$B6)+COUNTIF('6月'!BB4:BB34,$B6)+COUNTIF('6月'!BC4:BC34,$B6)+COUNTIF('6月'!BG4:BG34,$B6)+COUNTIF('6月'!BH4:BH34,$B6)+COUNTIF('6月'!BL4:BL34,$B6)+COUNTIF('6月'!BM4:BM34,$B6)+COUNTIF('6月'!BQ4:BQ34,$B6)+COUNTIF('6月'!BR4:BR34,$B6)+COUNTIF('6月'!BV4:BV34,$B6)+COUNTIF('6月'!BW4:BW34,$B6)+COUNTIF('6月'!CA4:CA34,$B6)+COUNTIF('6月'!CB4:CB34,$B6)+COUNTIF('6月'!CF4:CF34,$B6)+COUNTIF('6月'!CG4:CG34,$B6)+COUNTIF('6月'!CK4:CK34,$B6)+COUNTIF('6月'!CL4:CL34,$B6)+COUNTIF('6月'!CP4:CP34,$B6)+COUNTIF('6月'!CQ4:CQ34,$B6)+COUNTIF('6月'!CU4:CU34,$B6)+COUNTIF('6月'!CV4:CV34,$B6)+COUNTIF('6月'!CZ4:CZ34,$B6)+COUNTIF('6月'!DA4:DA34,$B6)+COUNTIF('6月'!DE4:DE34,$B6)+COUNTIF('6月'!DF4:DF34,$B6)+COUNTIF('6月'!DJ4:DJ34,$B6)+COUNTIF('6月'!DK4:DK34,$B6)+COUNTIF('6月'!DO4:DO34,$B6)+COUNTIF('6月'!DP4:DP34,$B6)+COUNTIF('6月'!DT4:DT34,$B6)+COUNTIF('6月'!DU4:DU34,$B6)+COUNTIF('6月'!DY4:DY34,$B6)+COUNTIF('6月'!DZ4:DZ34,$B6)+COUNTIF('6月'!ED4:ED34,$B6)+COUNTIF('6月'!EE4:EE34,$B6)+COUNTIF('6月'!EI4:EI34,$B6)+COUNTIF('6月'!EJ4:EJ34,$B6)+COUNTIF('6月'!EN4:EN34,$B6)+COUNTIF('6月'!EO4:EO34,$B6)+COUNTIF('6月'!ES4:ES34,$B6)+COUNTIF('6月'!ET4:ET34,$B6)),0)</f>
        <v>0</v>
      </c>
      <c r="I6" s="76">
        <f>IFERROR(IF($B6="","",COUNTIF('7月'!D4:D34,$B6)+COUNTIF('7月'!E4:E34,$B6)+COUNTIF('7月'!I4:I34,$B6)+COUNTIF('7月'!J4:J34,$B6)+COUNTIF('7月'!N4:N34,$B6)+COUNTIF('7月'!O4:O34,$B6)+COUNTIF('7月'!S4:S34,$B6)+COUNTIF('7月'!T4:T34,$B6)+COUNTIF('7月'!X4:X34,$B6)+COUNTIF('7月'!Y4:Y34,$B6)+COUNTIF('7月'!AC4:AC34,$B6)+COUNTIF('7月'!AD4:AD34,$B6)+COUNTIF('7月'!AH4:AH34,$B6)+COUNTIF('7月'!AI4:AI34,$B6)+COUNTIF('7月'!AM4:AM34,$B6)+COUNTIF('7月'!AN4:AN34,$B6)+COUNTIF('7月'!AR4:AR34,$B6)+COUNTIF('7月'!AS4:AS34,$B6)+COUNTIF('7月'!AW4:AW34,$B6)+COUNTIF('7月'!AX4:AX34,$B6)+COUNTIF('7月'!BB4:BB34,$B6)+COUNTIF('7月'!BC4:BC34,$B6)+COUNTIF('7月'!BG4:BG34,$B6)+COUNTIF('7月'!BH4:BH34,$B6)+COUNTIF('7月'!BL4:BL34,$B6)+COUNTIF('7月'!BM4:BM34,$B6)+COUNTIF('7月'!BQ4:BQ34,$B6)+COUNTIF('7月'!BR4:BR34,$B6)+COUNTIF('7月'!BV4:BV34,$B6)+COUNTIF('7月'!BW4:BW34,$B6)+COUNTIF('7月'!CA4:CA34,$B6)+COUNTIF('7月'!CB4:CB34,$B6)+COUNTIF('7月'!CF4:CF34,$B6)+COUNTIF('7月'!CG4:CG34,$B6)+COUNTIF('7月'!CK4:CK34,$B6)+COUNTIF('7月'!CL4:CL34,$B6)+COUNTIF('7月'!CP4:CP34,$B6)+COUNTIF('7月'!CQ4:CQ34,$B6)+COUNTIF('7月'!CU4:CU34,$B6)+COUNTIF('7月'!CV4:CV34,$B6)+COUNTIF('7月'!CZ4:CZ34,$B6)+COUNTIF('7月'!DA4:DA34,$B6)+COUNTIF('7月'!DE4:DE34,$B6)+COUNTIF('7月'!DF4:DF34,$B6)+COUNTIF('7月'!DJ4:DJ34,$B6)+COUNTIF('7月'!DK4:DK34,$B6)+COUNTIF('7月'!DO4:DO34,$B6)+COUNTIF('7月'!DP4:DP34,$B6)+COUNTIF('7月'!DT4:DT34,$B6)+COUNTIF('7月'!DU4:DU34,$B6)+COUNTIF('7月'!DY4:DY34,$B6)+COUNTIF('7月'!DZ4:DZ34,$B6)+COUNTIF('7月'!ED4:ED34,$B6)+COUNTIF('7月'!EE4:EE34,$B6)+COUNTIF('7月'!EI4:EI34,$B6)+COUNTIF('7月'!EJ4:EJ34,$B6)+COUNTIF('7月'!EN4:EN34,$B6)+COUNTIF('7月'!EO4:EO34,$B6)+COUNTIF('7月'!ES4:ES34,$B6)+COUNTIF('7月'!ET4:ET34,$B6)),0)</f>
        <v>0</v>
      </c>
      <c r="J6" s="76">
        <f>IFERROR(IF($B6="","",COUNTIF('8月'!D4:D34,$B6)+COUNTIF('8月'!E4:E34,$B6)+COUNTIF('8月'!I4:I34,$B6)+COUNTIF('8月'!J4:J34,$B6)+COUNTIF('8月'!N4:N34,$B6)+COUNTIF('8月'!O4:O34,$B6)+COUNTIF('8月'!S4:S34,$B6)+COUNTIF('8月'!T4:T34,$B6)+COUNTIF('8月'!X4:X34,$B6)+COUNTIF('8月'!Y4:Y34,$B6)+COUNTIF('8月'!AC4:AC34,$B6)+COUNTIF('8月'!AD4:AD34,$B6)+COUNTIF('8月'!AH4:AH34,$B6)+COUNTIF('8月'!AI4:AI34,$B6)+COUNTIF('8月'!AM4:AM34,$B6)+COUNTIF('8月'!AN4:AN34,$B6)+COUNTIF('8月'!AR4:AR34,$B6)+COUNTIF('8月'!AS4:AS34,$B6)+COUNTIF('8月'!AW4:AW34,$B6)+COUNTIF('8月'!AX4:AX34,$B6)+COUNTIF('8月'!BB4:BB34,$B6)+COUNTIF('8月'!BC4:BC34,$B6)+COUNTIF('8月'!BG4:BG34,$B6)+COUNTIF('8月'!BH4:BH34,$B6)+COUNTIF('8月'!BL4:BL34,$B6)+COUNTIF('8月'!BM4:BM34,$B6)+COUNTIF('8月'!BQ4:BQ34,$B6)+COUNTIF('8月'!BR4:BR34,$B6)+COUNTIF('8月'!BV4:BV34,$B6)+COUNTIF('8月'!BW4:BW34,$B6)+COUNTIF('8月'!CA4:CA34,$B6)+COUNTIF('8月'!CB4:CB34,$B6)+COUNTIF('8月'!CF4:CF34,$B6)+COUNTIF('8月'!CG4:CG34,$B6)+COUNTIF('8月'!CK4:CK34,$B6)+COUNTIF('8月'!CL4:CL34,$B6)+COUNTIF('8月'!CP4:CP34,$B6)+COUNTIF('8月'!CQ4:CQ34,$B6)+COUNTIF('8月'!CU4:CU34,$B6)+COUNTIF('8月'!CV4:CV34,$B6)+COUNTIF('8月'!CZ4:CZ34,$B6)+COUNTIF('8月'!DA4:DA34,$B6)+COUNTIF('8月'!DE4:DE34,$B6)+COUNTIF('8月'!DF4:DF34,$B6)+COUNTIF('8月'!DJ4:DJ34,$B6)+COUNTIF('8月'!DK4:DK34,$B6)+COUNTIF('8月'!DO4:DO34,$B6)+COUNTIF('8月'!DP4:DP34,$B6)+COUNTIF('8月'!DT4:DT34,$B6)+COUNTIF('8月'!DU4:DU34,$B6)+COUNTIF('8月'!DY4:DY34,$B6)+COUNTIF('8月'!DZ4:DZ34,$B6)+COUNTIF('8月'!ED4:ED34,$B6)+COUNTIF('8月'!EE4:EE34,$B6)+COUNTIF('8月'!EI4:EI34,$B6)+COUNTIF('8月'!EJ4:EJ34,$B6)+COUNTIF('8月'!EN4:EN34,$B6)+COUNTIF('8月'!EO4:EO34,$B6)+COUNTIF('8月'!ES4:ES34,$B6)+COUNTIF('8月'!ET4:ET34,$B6)),0)</f>
        <v>0</v>
      </c>
      <c r="K6" s="76">
        <f>IFERROR(IF($B6="","",COUNTIF('9月'!D4:D34,$B6)+COUNTIF('9月'!E4:E34,$B6)+COUNTIF('9月'!I4:I34,$B6)+COUNTIF('9月'!J4:J34,$B6)+COUNTIF('9月'!N4:N34,$B6)+COUNTIF('9月'!O4:O34,$B6)+COUNTIF('9月'!S4:S34,$B6)+COUNTIF('9月'!T4:T34,$B6)+COUNTIF('9月'!X4:X34,$B6)+COUNTIF('9月'!Y4:Y34,$B6)+COUNTIF('9月'!AC4:AC34,$B6)+COUNTIF('9月'!AD4:AD34,$B6)+COUNTIF('9月'!AH4:AH34,$B6)+COUNTIF('9月'!AI4:AI34,$B6)+COUNTIF('9月'!AM4:AM34,$B6)+COUNTIF('9月'!AN4:AN34,$B6)+COUNTIF('9月'!AR4:AR34,$B6)+COUNTIF('9月'!AS4:AS34,$B6)+COUNTIF('9月'!AW4:AW34,$B6)+COUNTIF('9月'!AX4:AX34,$B6)+COUNTIF('9月'!BB4:BB34,$B6)+COUNTIF('9月'!BC4:BC34,$B6)+COUNTIF('9月'!BG4:BG34,$B6)+COUNTIF('9月'!BH4:BH34,$B6)+COUNTIF('9月'!BL4:BL34,$B6)+COUNTIF('9月'!BM4:BM34,$B6)+COUNTIF('9月'!BQ4:BQ34,$B6)+COUNTIF('9月'!BR4:BR34,$B6)+COUNTIF('9月'!BV4:BV34,$B6)+COUNTIF('9月'!BW4:BW34,$B6)+COUNTIF('9月'!CA4:CA34,$B6)+COUNTIF('9月'!CB4:CB34,$B6)+COUNTIF('9月'!CF4:CF34,$B6)+COUNTIF('9月'!CG4:CG34,$B6)+COUNTIF('9月'!CK4:CK34,$B6)+COUNTIF('9月'!CL4:CL34,$B6)+COUNTIF('9月'!CP4:CP34,$B6)+COUNTIF('9月'!CQ4:CQ34,$B6)+COUNTIF('9月'!CU4:CU34,$B6)+COUNTIF('9月'!CV4:CV34,$B6)+COUNTIF('9月'!CZ4:CZ34,$B6)+COUNTIF('9月'!DA4:DA34,$B6)+COUNTIF('9月'!DE4:DE34,$B6)+COUNTIF('9月'!DF4:DF34,$B6)+COUNTIF('9月'!DJ4:DJ34,$B6)+COUNTIF('9月'!DK4:DK34,$B6)+COUNTIF('9月'!DO4:DO34,$B6)+COUNTIF('9月'!DP4:DP34,$B6)+COUNTIF('9月'!DT4:DT34,$B6)+COUNTIF('9月'!DU4:DU34,$B6)+COUNTIF('9月'!DY4:DY34,$B6)+COUNTIF('9月'!DZ4:DZ34,$B6)+COUNTIF('9月'!ED4:ED34,$B6)+COUNTIF('9月'!EE4:EE34,$B6)+COUNTIF('9月'!EI4:EI34,$B6)+COUNTIF('9月'!EJ4:EJ34,$B6)+COUNTIF('9月'!EN4:EN34,$B6)+COUNTIF('9月'!EO4:EO34,$B6)+COUNTIF('9月'!ES4:ES34,$B6)+COUNTIF('9月'!ET4:ET34,$B6)),0)</f>
        <v>0</v>
      </c>
      <c r="L6" s="76">
        <f>IFERROR(IF($B6="","",COUNTIF('10月'!D4:D34,$B6)+COUNTIF('10月'!E4:E34,$B6)+COUNTIF('10月'!I4:I34,$B6)+COUNTIF('10月'!J4:J34,$B6)+COUNTIF('10月'!N4:N34,$B6)+COUNTIF('10月'!O4:O34,$B6)+COUNTIF('10月'!S4:S34,$B6)+COUNTIF('10月'!T4:T34,$B6)+COUNTIF('10月'!X4:X34,$B6)+COUNTIF('10月'!Y4:Y34,$B6)+COUNTIF('10月'!AC4:AC34,$B6)+COUNTIF('10月'!AD4:AD34,$B6)+COUNTIF('10月'!AH4:AH34,$B6)+COUNTIF('10月'!AI4:AI34,$B6)+COUNTIF('10月'!AM4:AM34,$B6)+COUNTIF('10月'!AN4:AN34,$B6)+COUNTIF('10月'!AR4:AR34,$B6)+COUNTIF('10月'!AS4:AS34,$B6)+COUNTIF('10月'!AW4:AW34,$B6)+COUNTIF('10月'!AX4:AX34,$B6)+COUNTIF('10月'!BB4:BB34,$B6)+COUNTIF('10月'!BC4:BC34,$B6)+COUNTIF('10月'!BG4:BG34,$B6)+COUNTIF('10月'!BH4:BH34,$B6)+COUNTIF('10月'!BL4:BL34,$B6)+COUNTIF('10月'!BM4:BM34,$B6)+COUNTIF('10月'!BQ4:BQ34,$B6)+COUNTIF('10月'!BR4:BR34,$B6)+COUNTIF('10月'!BV4:BV34,$B6)+COUNTIF('10月'!BW4:BW34,$B6)+COUNTIF('10月'!CA4:CA34,$B6)+COUNTIF('10月'!CB4:CB34,$B6)+COUNTIF('10月'!CF4:CF34,$B6)+COUNTIF('10月'!CG4:CG34,$B6)+COUNTIF('10月'!CK4:CK34,$B6)+COUNTIF('10月'!CL4:CL34,$B6)+COUNTIF('10月'!CP4:CP34,$B6)+COUNTIF('10月'!CQ4:CQ34,$B6)+COUNTIF('10月'!CU4:CU34,$B6)+COUNTIF('10月'!CV4:CV34,$B6)+COUNTIF('10月'!CZ4:CZ34,$B6)+COUNTIF('10月'!DA4:DA34,$B6)+COUNTIF('10月'!DE4:DE34,$B6)+COUNTIF('10月'!DF4:DF34,$B6)+COUNTIF('10月'!DJ4:DJ34,$B6)+COUNTIF('10月'!DK4:DK34,$B6)+COUNTIF('10月'!DO4:DO34,$B6)+COUNTIF('10月'!DP4:DP34,$B6)+COUNTIF('10月'!DT4:DT34,$B6)+COUNTIF('10月'!DU4:DU34,$B6)+COUNTIF('10月'!DY4:DY34,$B6)+COUNTIF('10月'!DZ4:DZ34,$B6)+COUNTIF('10月'!ED4:ED34,$B6)+COUNTIF('10月'!EE4:EE34,$B6)+COUNTIF('10月'!EI4:EI34,$B6)+COUNTIF('10月'!EJ4:EJ34,$B6)+COUNTIF('10月'!EN4:EN34,$B6)+COUNTIF('10月'!EO4:EO34,$B6)+COUNTIF('10月'!ES4:ES34,$B6)+COUNTIF('10月'!ET4:ET34,$B6)),0)</f>
        <v>0</v>
      </c>
      <c r="M6" s="76">
        <f>IFERROR(IF($B6="","",COUNTIF('11月'!D4:D34,$B6)+COUNTIF('11月'!E4:E34,$B6)+COUNTIF('11月'!I4:I34,$B6)+COUNTIF('11月'!J4:J34,$B6)+COUNTIF('11月'!N4:N34,$B6)+COUNTIF('11月'!O4:O34,$B6)+COUNTIF('11月'!S4:S34,$B6)+COUNTIF('11月'!T4:T34,$B6)+COUNTIF('11月'!X4:X34,$B6)+COUNTIF('11月'!Y4:Y34,$B6)+COUNTIF('11月'!AC4:AC34,$B6)+COUNTIF('11月'!AD4:AD34,$B6)+COUNTIF('11月'!AH4:AH34,$B6)+COUNTIF('11月'!AI4:AI34,$B6)+COUNTIF('11月'!AM4:AM34,$B6)+COUNTIF('11月'!AN4:AN34,$B6)+COUNTIF('11月'!AR4:AR34,$B6)+COUNTIF('11月'!AS4:AS34,$B6)+COUNTIF('11月'!AW4:AW34,$B6)+COUNTIF('11月'!AX4:AX34,$B6)+COUNTIF('11月'!BB4:BB34,$B6)+COUNTIF('11月'!BC4:BC34,$B6)+COUNTIF('11月'!BG4:BG34,$B6)+COUNTIF('11月'!BH4:BH34,$B6)+COUNTIF('11月'!BL4:BL34,$B6)+COUNTIF('11月'!BM4:BM34,$B6)+COUNTIF('11月'!BQ4:BQ34,$B6)+COUNTIF('11月'!BR4:BR34,$B6)+COUNTIF('11月'!BV4:BV34,$B6)+COUNTIF('11月'!BW4:BW34,$B6)+COUNTIF('11月'!CA4:CA34,$B6)+COUNTIF('11月'!CB4:CB34,$B6)+COUNTIF('11月'!CF4:CF34,$B6)+COUNTIF('11月'!CG4:CG34,$B6)+COUNTIF('11月'!CK4:CK34,$B6)+COUNTIF('11月'!CL4:CL34,$B6)+COUNTIF('11月'!CP4:CP34,$B6)+COUNTIF('11月'!CQ4:CQ34,$B6)+COUNTIF('11月'!CU4:CU34,$B6)+COUNTIF('11月'!CV4:CV34,$B6)+COUNTIF('11月'!CZ4:CZ34,$B6)+COUNTIF('11月'!DA4:DA34,$B6)+COUNTIF('11月'!DE4:DE34,$B6)+COUNTIF('11月'!DF4:DF34,$B6)+COUNTIF('11月'!DJ4:DJ34,$B6)+COUNTIF('11月'!DK4:DK34,$B6)+COUNTIF('11月'!DO4:DO34,$B6)+COUNTIF('11月'!DP4:DP34,$B6)+COUNTIF('11月'!DT4:DT34,$B6)+COUNTIF('11月'!DU4:DU34,$B6)+COUNTIF('11月'!DY4:DY34,$B6)+COUNTIF('11月'!DZ4:DZ34,$B6)+COUNTIF('11月'!ED4:ED34,$B6)+COUNTIF('11月'!EE4:EE34,$B6)+COUNTIF('11月'!EI4:EI34,$B6)+COUNTIF('11月'!EJ4:EJ34,$B6)+COUNTIF('11月'!EN4:EN34,$B6)+COUNTIF('11月'!EO4:EO34,$B6)+COUNTIF('11月'!ES4:ES34,$B6)+COUNTIF('11月'!ET4:ET34,$B6)),0)</f>
        <v>0</v>
      </c>
      <c r="N6" s="76">
        <f>IFERROR(IF($B6="","",COUNTIF('12月'!D4:D34,$B6)+COUNTIF('12月'!E4:E34,$B6)+COUNTIF('12月'!I4:I34,$B6)+COUNTIF('12月'!J4:J34,$B6)+COUNTIF('12月'!N4:N34,$B6)+COUNTIF('12月'!O4:O34,$B6)+COUNTIF('12月'!S4:S34,$B6)+COUNTIF('12月'!T4:T34,$B6)+COUNTIF('12月'!X4:X34,$B6)+COUNTIF('12月'!Y4:Y34,$B6)+COUNTIF('12月'!AC4:AC34,$B6)+COUNTIF('12月'!AD4:AD34,$B6)+COUNTIF('12月'!AH4:AH34,$B6)+COUNTIF('12月'!AI4:AI34,$B6)+COUNTIF('12月'!AM4:AM34,$B6)+COUNTIF('12月'!AN4:AN34,$B6)+COUNTIF('12月'!AR4:AR34,$B6)+COUNTIF('12月'!AS4:AS34,$B6)+COUNTIF('12月'!AW4:AW34,$B6)+COUNTIF('12月'!AX4:AX34,$B6)+COUNTIF('12月'!BB4:BB34,$B6)+COUNTIF('12月'!BC4:BC34,$B6)+COUNTIF('12月'!BG4:BG34,$B6)+COUNTIF('12月'!BH4:BH34,$B6)+COUNTIF('12月'!BL4:BL34,$B6)+COUNTIF('12月'!BM4:BM34,$B6)+COUNTIF('12月'!BQ4:BQ34,$B6)+COUNTIF('12月'!BR4:BR34,$B6)+COUNTIF('12月'!BV4:BV34,$B6)+COUNTIF('12月'!BW4:BW34,$B6)+COUNTIF('12月'!CA4:CA34,$B6)+COUNTIF('12月'!CB4:CB34,$B6)+COUNTIF('12月'!CF4:CF34,$B6)+COUNTIF('12月'!CG4:CG34,$B6)+COUNTIF('12月'!CK4:CK34,$B6)+COUNTIF('12月'!CL4:CL34,$B6)+COUNTIF('12月'!CP4:CP34,$B6)+COUNTIF('12月'!CQ4:CQ34,$B6)+COUNTIF('12月'!CU4:CU34,$B6)+COUNTIF('12月'!CV4:CV34,$B6)+COUNTIF('12月'!CZ4:CZ34,$B6)+COUNTIF('12月'!DA4:DA34,$B6)+COUNTIF('12月'!DE4:DE34,$B6)+COUNTIF('12月'!DF4:DF34,$B6)+COUNTIF('12月'!DJ4:DJ34,$B6)+COUNTIF('12月'!DK4:DK34,$B6)+COUNTIF('12月'!DO4:DO34,$B6)+COUNTIF('12月'!DP4:DP34,$B6)+COUNTIF('12月'!DT4:DT34,$B6)+COUNTIF('12月'!DU4:DU34,$B6)+COUNTIF('12月'!DY4:DY34,$B6)+COUNTIF('12月'!DZ4:DZ34,$B6)+COUNTIF('12月'!ED4:ED34,$B6)+COUNTIF('12月'!EE4:EE34,$B6)+COUNTIF('12月'!EI4:EI34,$B6)+COUNTIF('12月'!EJ4:EJ34,$B6)+COUNTIF('12月'!EN4:EN34,$B6)+COUNTIF('12月'!EO4:EO34,$B6)+COUNTIF('12月'!ES4:ES34,$B6)+COUNTIF('12月'!ET4:ET34,$B6)),0)</f>
        <v>0</v>
      </c>
      <c r="O6" s="78">
        <f t="shared" si="0"/>
        <v>0</v>
      </c>
    </row>
    <row r="7" spans="1:15" ht="19.5" customHeight="1">
      <c r="A7" s="76">
        <v>5</v>
      </c>
      <c r="B7" s="77">
        <f>IFERROR(現場マスタ!$C$8,"")</f>
        <v>0</v>
      </c>
      <c r="C7" s="76">
        <f>IFERROR(IF($B7="","",COUNTIF('1月'!D4:D34,$B7)+COUNTIF('1月'!E4:E34,$B7)+COUNTIF('1月'!I4:I34,$B7)+COUNTIF('1月'!J4:J34,$B7)+COUNTIF('1月'!N4:N34,$B7)+COUNTIF('1月'!O4:O34,$B7)+COUNTIF('1月'!S4:S34,$B7)+COUNTIF('1月'!T4:T34,$B7)+COUNTIF('1月'!X4:X34,$B7)+COUNTIF('1月'!Y4:Y34,$B7)+COUNTIF('1月'!AC4:AC34,$B7)+COUNTIF('1月'!AD4:AD34,$B7)+COUNTIF('1月'!AH4:AH34,$B7)+COUNTIF('1月'!AI4:AI34,$B7)+COUNTIF('1月'!AM4:AM34,$B7)+COUNTIF('1月'!AN4:AN34,$B7)+COUNTIF('1月'!AR4:AR34,$B7)+COUNTIF('1月'!AS4:AS34,$B7)+COUNTIF('1月'!AW4:AW34,$B7)+COUNTIF('1月'!AX4:AX34,$B7)+COUNTIF('1月'!BB4:BB34,$B7)+COUNTIF('1月'!BC4:BC34,$B7)+COUNTIF('1月'!BG4:BG34,$B7)+COUNTIF('1月'!BH4:BH34,$B7)+COUNTIF('1月'!BL4:BL34,$B7)+COUNTIF('1月'!BM4:BM34,$B7)+COUNTIF('1月'!BQ4:BQ34,$B7)+COUNTIF('1月'!BR4:BR34,$B7)+COUNTIF('1月'!BV4:BV34,$B7)+COUNTIF('1月'!BW4:BW34,$B7)+COUNTIF('1月'!CA4:CA34,$B7)+COUNTIF('1月'!CB4:CB34,$B7)+COUNTIF('1月'!CF4:CF34,$B7)+COUNTIF('1月'!CG4:CG34,$B7)+COUNTIF('1月'!CK4:CK34,$B7)+COUNTIF('1月'!CL4:CL34,$B7)+COUNTIF('1月'!CP4:CP34,$B7)+COUNTIF('1月'!CQ4:CQ34,$B7)+COUNTIF('1月'!CU4:CU34,$B7)+COUNTIF('1月'!CV4:CV34,$B7)+COUNTIF('1月'!CZ4:CZ34,$B7)+COUNTIF('1月'!DA4:DA34,$B7)+COUNTIF('1月'!DE4:DE34,$B7)+COUNTIF('1月'!DF4:DF34,$B7)+COUNTIF('1月'!DJ4:DJ34,$B7)+COUNTIF('1月'!DK4:DK34,$B7)+COUNTIF('1月'!DO4:DO34,$B7)+COUNTIF('1月'!DP4:DP34,$B7)+COUNTIF('1月'!DT4:DT34,$B7)+COUNTIF('1月'!DU4:DU34,$B7)+COUNTIF('1月'!DY4:DY34,$B7)+COUNTIF('1月'!DZ4:DZ34,$B7)+COUNTIF('1月'!ED4:ED34,$B7)+COUNTIF('1月'!EE4:EE34,$B7)+COUNTIF('1月'!EI4:EI34,$B7)+COUNTIF('1月'!EJ4:EJ34,$B7)+COUNTIF('1月'!EN4:EN34,$B7)+COUNTIF('1月'!EO4:EO34,$B7)+COUNTIF('1月'!ES4:ES34,$B7)+COUNTIF('1月'!ET4:ET34,$B7)),0)</f>
        <v>0</v>
      </c>
      <c r="D7" s="76">
        <f>IFERROR(IF($B7="","",COUNTIF('2月'!D4:D34,$B7)+COUNTIF('2月'!E4:E34,$B7)+COUNTIF('2月'!I4:I34,$B7)+COUNTIF('2月'!J4:J34,$B7)+COUNTIF('2月'!N4:N34,$B7)+COUNTIF('2月'!O4:O34,$B7)+COUNTIF('2月'!S4:S34,$B7)+COUNTIF('2月'!T4:T34,$B7)+COUNTIF('2月'!X4:X34,$B7)+COUNTIF('2月'!Y4:Y34,$B7)+COUNTIF('2月'!AC4:AC34,$B7)+COUNTIF('2月'!AD4:AD34,$B7)+COUNTIF('2月'!AH4:AH34,$B7)+COUNTIF('2月'!AI4:AI34,$B7)+COUNTIF('2月'!AM4:AM34,$B7)+COUNTIF('2月'!AN4:AN34,$B7)+COUNTIF('2月'!AR4:AR34,$B7)+COUNTIF('2月'!AS4:AS34,$B7)+COUNTIF('2月'!AW4:AW34,$B7)+COUNTIF('2月'!AX4:AX34,$B7)+COUNTIF('2月'!BB4:BB34,$B7)+COUNTIF('2月'!BC4:BC34,$B7)+COUNTIF('2月'!BG4:BG34,$B7)+COUNTIF('2月'!BH4:BH34,$B7)+COUNTIF('2月'!BL4:BL34,$B7)+COUNTIF('2月'!BM4:BM34,$B7)+COUNTIF('2月'!BQ4:BQ34,$B7)+COUNTIF('2月'!BR4:BR34,$B7)+COUNTIF('2月'!BV4:BV34,$B7)+COUNTIF('2月'!BW4:BW34,$B7)+COUNTIF('2月'!CA4:CA34,$B7)+COUNTIF('2月'!CB4:CB34,$B7)+COUNTIF('2月'!CF4:CF34,$B7)+COUNTIF('2月'!CG4:CG34,$B7)+COUNTIF('2月'!CK4:CK34,$B7)+COUNTIF('2月'!CL4:CL34,$B7)+COUNTIF('2月'!CP4:CP34,$B7)+COUNTIF('2月'!CQ4:CQ34,$B7)+COUNTIF('2月'!CU4:CU34,$B7)+COUNTIF('2月'!CV4:CV34,$B7)+COUNTIF('2月'!CZ4:CZ34,$B7)+COUNTIF('2月'!DA4:DA34,$B7)+COUNTIF('2月'!DE4:DE34,$B7)+COUNTIF('2月'!DF4:DF34,$B7)+COUNTIF('2月'!DJ4:DJ34,$B7)+COUNTIF('2月'!DK4:DK34,$B7)+COUNTIF('2月'!DO4:DO34,$B7)+COUNTIF('2月'!DP4:DP34,$B7)+COUNTIF('2月'!DT4:DT34,$B7)+COUNTIF('2月'!DU4:DU34,$B7)+COUNTIF('2月'!DY4:DY34,$B7)+COUNTIF('2月'!DZ4:DZ34,$B7)+COUNTIF('2月'!ED4:ED34,$B7)+COUNTIF('2月'!EE4:EE34,$B7)+COUNTIF('2月'!EI4:EI34,$B7)+COUNTIF('2月'!EJ4:EJ34,$B7)+COUNTIF('2月'!EN4:EN34,$B7)+COUNTIF('2月'!EO4:EO34,$B7)+COUNTIF('2月'!ES4:ES34,$B7)+COUNTIF('2月'!ET4:ET34,$B7)),0)</f>
        <v>0</v>
      </c>
      <c r="E7" s="76">
        <f>IFERROR(IF($B7="","",COUNTIF('3月'!D4:D34,$B7)+COUNTIF('3月'!E4:E34,$B7)+COUNTIF('3月'!I4:I34,$B7)+COUNTIF('3月'!J4:J34,$B7)+COUNTIF('3月'!N4:N34,$B7)+COUNTIF('3月'!O4:O34,$B7)+COUNTIF('3月'!S4:S34,$B7)+COUNTIF('3月'!T4:T34,$B7)+COUNTIF('3月'!X4:X34,$B7)+COUNTIF('3月'!Y4:Y34,$B7)+COUNTIF('3月'!AC4:AC34,$B7)+COUNTIF('3月'!AD4:AD34,$B7)+COUNTIF('3月'!AH4:AH34,$B7)+COUNTIF('3月'!AI4:AI34,$B7)+COUNTIF('3月'!AM4:AM34,$B7)+COUNTIF('3月'!AN4:AN34,$B7)+COUNTIF('3月'!AR4:AR34,$B7)+COUNTIF('3月'!AS4:AS34,$B7)+COUNTIF('3月'!AW4:AW34,$B7)+COUNTIF('3月'!AX4:AX34,$B7)+COUNTIF('3月'!BB4:BB34,$B7)+COUNTIF('3月'!BC4:BC34,$B7)+COUNTIF('3月'!BG4:BG34,$B7)+COUNTIF('3月'!BH4:BH34,$B7)+COUNTIF('3月'!BL4:BL34,$B7)+COUNTIF('3月'!BM4:BM34,$B7)+COUNTIF('3月'!BQ4:BQ34,$B7)+COUNTIF('3月'!BR4:BR34,$B7)+COUNTIF('3月'!BV4:BV34,$B7)+COUNTIF('3月'!BW4:BW34,$B7)+COUNTIF('3月'!CA4:CA34,$B7)+COUNTIF('3月'!CB4:CB34,$B7)+COUNTIF('3月'!CF4:CF34,$B7)+COUNTIF('3月'!CG4:CG34,$B7)+COUNTIF('3月'!CK4:CK34,$B7)+COUNTIF('3月'!CL4:CL34,$B7)+COUNTIF('3月'!CP4:CP34,$B7)+COUNTIF('3月'!CQ4:CQ34,$B7)+COUNTIF('3月'!CU4:CU34,$B7)+COUNTIF('3月'!CV4:CV34,$B7)+COUNTIF('3月'!CZ4:CZ34,$B7)+COUNTIF('3月'!DA4:DA34,$B7)+COUNTIF('3月'!DE4:DE34,$B7)+COUNTIF('3月'!DF4:DF34,$B7)+COUNTIF('3月'!DJ4:DJ34,$B7)+COUNTIF('3月'!DK4:DK34,$B7)+COUNTIF('3月'!DO4:DO34,$B7)+COUNTIF('3月'!DP4:DP34,$B7)+COUNTIF('3月'!DT4:DT34,$B7)+COUNTIF('3月'!DU4:DU34,$B7)+COUNTIF('3月'!DY4:DY34,$B7)+COUNTIF('3月'!DZ4:DZ34,$B7)+COUNTIF('3月'!ED4:ED34,$B7)+COUNTIF('3月'!EE4:EE34,$B7)+COUNTIF('3月'!EI4:EI34,$B7)+COUNTIF('3月'!EJ4:EJ34,$B7)+COUNTIF('3月'!EN4:EN34,$B7)+COUNTIF('3月'!EO4:EO34,$B7)+COUNTIF('3月'!ES4:ES34,$B7)+COUNTIF('3月'!ET4:ET34,$B7)),0)</f>
        <v>0</v>
      </c>
      <c r="F7" s="76">
        <f>IFERROR(IF($B7="","",COUNTIF('4月'!D4:D34,$B7)+COUNTIF('4月'!E4:E34,$B7)+COUNTIF('4月'!I4:I34,$B7)+COUNTIF('4月'!J4:J34,$B7)+COUNTIF('4月'!N4:N34,$B7)+COUNTIF('4月'!O4:O34,$B7)+COUNTIF('4月'!S4:S34,$B7)+COUNTIF('4月'!T4:T34,$B7)+COUNTIF('4月'!X4:X34,$B7)+COUNTIF('4月'!Y4:Y34,$B7)+COUNTIF('4月'!AC4:AC34,$B7)+COUNTIF('4月'!AD4:AD34,$B7)+COUNTIF('4月'!AH4:AH34,$B7)+COUNTIF('4月'!AI4:AI34,$B7)+COUNTIF('4月'!AM4:AM34,$B7)+COUNTIF('4月'!AN4:AN34,$B7)+COUNTIF('4月'!AR4:AR34,$B7)+COUNTIF('4月'!AS4:AS34,$B7)+COUNTIF('4月'!AW4:AW34,$B7)+COUNTIF('4月'!AX4:AX34,$B7)+COUNTIF('4月'!BB4:BB34,$B7)+COUNTIF('4月'!BC4:BC34,$B7)+COUNTIF('4月'!BG4:BG34,$B7)+COUNTIF('4月'!BH4:BH34,$B7)+COUNTIF('4月'!BL4:BL34,$B7)+COUNTIF('4月'!BM4:BM34,$B7)+COUNTIF('4月'!BQ4:BQ34,$B7)+COUNTIF('4月'!BR4:BR34,$B7)+COUNTIF('4月'!BV4:BV34,$B7)+COUNTIF('4月'!BW4:BW34,$B7)+COUNTIF('4月'!CA4:CA34,$B7)+COUNTIF('4月'!CB4:CB34,$B7)+COUNTIF('4月'!CF4:CF34,$B7)+COUNTIF('4月'!CG4:CG34,$B7)+COUNTIF('4月'!CK4:CK34,$B7)+COUNTIF('4月'!CL4:CL34,$B7)+COUNTIF('4月'!CP4:CP34,$B7)+COUNTIF('4月'!CQ4:CQ34,$B7)+COUNTIF('4月'!CU4:CU34,$B7)+COUNTIF('4月'!CV4:CV34,$B7)+COUNTIF('4月'!CZ4:CZ34,$B7)+COUNTIF('4月'!DA4:DA34,$B7)+COUNTIF('4月'!DE4:DE34,$B7)+COUNTIF('4月'!DF4:DF34,$B7)+COUNTIF('4月'!DJ4:DJ34,$B7)+COUNTIF('4月'!DK4:DK34,$B7)+COUNTIF('4月'!DO4:DO34,$B7)+COUNTIF('4月'!DP4:DP34,$B7)+COUNTIF('4月'!DT4:DT34,$B7)+COUNTIF('4月'!DU4:DU34,$B7)+COUNTIF('4月'!DY4:DY34,$B7)+COUNTIF('4月'!DZ4:DZ34,$B7)+COUNTIF('4月'!ED4:ED34,$B7)+COUNTIF('4月'!EE4:EE34,$B7)+COUNTIF('4月'!EI4:EI34,$B7)+COUNTIF('4月'!EJ4:EJ34,$B7)+COUNTIF('4月'!EN4:EN34,$B7)+COUNTIF('4月'!EO4:EO34,$B7)+COUNTIF('4月'!ES4:ES34,$B7)+COUNTIF('4月'!ET4:ET34,$B7)),0)</f>
        <v>0</v>
      </c>
      <c r="G7" s="76">
        <f>IFERROR(IF($B7="","",COUNTIF('5月'!D4:D34,$B7)+COUNTIF('5月'!E4:E34,$B7)+COUNTIF('5月'!I4:I34,$B7)+COUNTIF('5月'!J4:J34,$B7)+COUNTIF('5月'!N4:N34,$B7)+COUNTIF('5月'!O4:O34,$B7)+COUNTIF('5月'!S4:S34,$B7)+COUNTIF('5月'!T4:T34,$B7)+COUNTIF('5月'!X4:X34,$B7)+COUNTIF('5月'!Y4:Y34,$B7)+COUNTIF('5月'!AC4:AC34,$B7)+COUNTIF('5月'!AD4:AD34,$B7)+COUNTIF('5月'!AH4:AH34,$B7)+COUNTIF('5月'!AI4:AI34,$B7)+COUNTIF('5月'!AM4:AM34,$B7)+COUNTIF('5月'!AN4:AN34,$B7)+COUNTIF('5月'!AR4:AR34,$B7)+COUNTIF('5月'!AS4:AS34,$B7)+COUNTIF('5月'!AW4:AW34,$B7)+COUNTIF('5月'!AX4:AX34,$B7)+COUNTIF('5月'!BB4:BB34,$B7)+COUNTIF('5月'!BC4:BC34,$B7)+COUNTIF('5月'!BG4:BG34,$B7)+COUNTIF('5月'!BH4:BH34,$B7)+COUNTIF('5月'!BL4:BL34,$B7)+COUNTIF('5月'!BM4:BM34,$B7)+COUNTIF('5月'!BQ4:BQ34,$B7)+COUNTIF('5月'!BR4:BR34,$B7)+COUNTIF('5月'!BV4:BV34,$B7)+COUNTIF('5月'!BW4:BW34,$B7)+COUNTIF('5月'!CA4:CA34,$B7)+COUNTIF('5月'!CB4:CB34,$B7)+COUNTIF('5月'!CF4:CF34,$B7)+COUNTIF('5月'!CG4:CG34,$B7)+COUNTIF('5月'!CK4:CK34,$B7)+COUNTIF('5月'!CL4:CL34,$B7)+COUNTIF('5月'!CP4:CP34,$B7)+COUNTIF('5月'!CQ4:CQ34,$B7)+COUNTIF('5月'!CU4:CU34,$B7)+COUNTIF('5月'!CV4:CV34,$B7)+COUNTIF('5月'!CZ4:CZ34,$B7)+COUNTIF('5月'!DA4:DA34,$B7)+COUNTIF('5月'!DE4:DE34,$B7)+COUNTIF('5月'!DF4:DF34,$B7)+COUNTIF('5月'!DJ4:DJ34,$B7)+COUNTIF('5月'!DK4:DK34,$B7)+COUNTIF('5月'!DO4:DO34,$B7)+COUNTIF('5月'!DP4:DP34,$B7)+COUNTIF('5月'!DT4:DT34,$B7)+COUNTIF('5月'!DU4:DU34,$B7)+COUNTIF('5月'!DY4:DY34,$B7)+COUNTIF('5月'!DZ4:DZ34,$B7)+COUNTIF('5月'!ED4:ED34,$B7)+COUNTIF('5月'!EE4:EE34,$B7)+COUNTIF('5月'!EI4:EI34,$B7)+COUNTIF('5月'!EJ4:EJ34,$B7)+COUNTIF('5月'!EN4:EN34,$B7)+COUNTIF('5月'!EO4:EO34,$B7)+COUNTIF('5月'!ES4:ES34,$B7)+COUNTIF('5月'!ET4:ET34,$B7)),0)</f>
        <v>0</v>
      </c>
      <c r="H7" s="76">
        <f>IFERROR(IF($B7="","",COUNTIF('6月'!D4:D34,$B7)+COUNTIF('6月'!E4:E34,$B7)+COUNTIF('6月'!I4:I34,$B7)+COUNTIF('6月'!J4:J34,$B7)+COUNTIF('6月'!N4:N34,$B7)+COUNTIF('6月'!O4:O34,$B7)+COUNTIF('6月'!S4:S34,$B7)+COUNTIF('6月'!T4:T34,$B7)+COUNTIF('6月'!X4:X34,$B7)+COUNTIF('6月'!Y4:Y34,$B7)+COUNTIF('6月'!AC4:AC34,$B7)+COUNTIF('6月'!AD4:AD34,$B7)+COUNTIF('6月'!AH4:AH34,$B7)+COUNTIF('6月'!AI4:AI34,$B7)+COUNTIF('6月'!AM4:AM34,$B7)+COUNTIF('6月'!AN4:AN34,$B7)+COUNTIF('6月'!AR4:AR34,$B7)+COUNTIF('6月'!AS4:AS34,$B7)+COUNTIF('6月'!AW4:AW34,$B7)+COUNTIF('6月'!AX4:AX34,$B7)+COUNTIF('6月'!BB4:BB34,$B7)+COUNTIF('6月'!BC4:BC34,$B7)+COUNTIF('6月'!BG4:BG34,$B7)+COUNTIF('6月'!BH4:BH34,$B7)+COUNTIF('6月'!BL4:BL34,$B7)+COUNTIF('6月'!BM4:BM34,$B7)+COUNTIF('6月'!BQ4:BQ34,$B7)+COUNTIF('6月'!BR4:BR34,$B7)+COUNTIF('6月'!BV4:BV34,$B7)+COUNTIF('6月'!BW4:BW34,$B7)+COUNTIF('6月'!CA4:CA34,$B7)+COUNTIF('6月'!CB4:CB34,$B7)+COUNTIF('6月'!CF4:CF34,$B7)+COUNTIF('6月'!CG4:CG34,$B7)+COUNTIF('6月'!CK4:CK34,$B7)+COUNTIF('6月'!CL4:CL34,$B7)+COUNTIF('6月'!CP4:CP34,$B7)+COUNTIF('6月'!CQ4:CQ34,$B7)+COUNTIF('6月'!CU4:CU34,$B7)+COUNTIF('6月'!CV4:CV34,$B7)+COUNTIF('6月'!CZ4:CZ34,$B7)+COUNTIF('6月'!DA4:DA34,$B7)+COUNTIF('6月'!DE4:DE34,$B7)+COUNTIF('6月'!DF4:DF34,$B7)+COUNTIF('6月'!DJ4:DJ34,$B7)+COUNTIF('6月'!DK4:DK34,$B7)+COUNTIF('6月'!DO4:DO34,$B7)+COUNTIF('6月'!DP4:DP34,$B7)+COUNTIF('6月'!DT4:DT34,$B7)+COUNTIF('6月'!DU4:DU34,$B7)+COUNTIF('6月'!DY4:DY34,$B7)+COUNTIF('6月'!DZ4:DZ34,$B7)+COUNTIF('6月'!ED4:ED34,$B7)+COUNTIF('6月'!EE4:EE34,$B7)+COUNTIF('6月'!EI4:EI34,$B7)+COUNTIF('6月'!EJ4:EJ34,$B7)+COUNTIF('6月'!EN4:EN34,$B7)+COUNTIF('6月'!EO4:EO34,$B7)+COUNTIF('6月'!ES4:ES34,$B7)+COUNTIF('6月'!ET4:ET34,$B7)),0)</f>
        <v>0</v>
      </c>
      <c r="I7" s="76">
        <f>IFERROR(IF($B7="","",COUNTIF('7月'!D4:D34,$B7)+COUNTIF('7月'!E4:E34,$B7)+COUNTIF('7月'!I4:I34,$B7)+COUNTIF('7月'!J4:J34,$B7)+COUNTIF('7月'!N4:N34,$B7)+COUNTIF('7月'!O4:O34,$B7)+COUNTIF('7月'!S4:S34,$B7)+COUNTIF('7月'!T4:T34,$B7)+COUNTIF('7月'!X4:X34,$B7)+COUNTIF('7月'!Y4:Y34,$B7)+COUNTIF('7月'!AC4:AC34,$B7)+COUNTIF('7月'!AD4:AD34,$B7)+COUNTIF('7月'!AH4:AH34,$B7)+COUNTIF('7月'!AI4:AI34,$B7)+COUNTIF('7月'!AM4:AM34,$B7)+COUNTIF('7月'!AN4:AN34,$B7)+COUNTIF('7月'!AR4:AR34,$B7)+COUNTIF('7月'!AS4:AS34,$B7)+COUNTIF('7月'!AW4:AW34,$B7)+COUNTIF('7月'!AX4:AX34,$B7)+COUNTIF('7月'!BB4:BB34,$B7)+COUNTIF('7月'!BC4:BC34,$B7)+COUNTIF('7月'!BG4:BG34,$B7)+COUNTIF('7月'!BH4:BH34,$B7)+COUNTIF('7月'!BL4:BL34,$B7)+COUNTIF('7月'!BM4:BM34,$B7)+COUNTIF('7月'!BQ4:BQ34,$B7)+COUNTIF('7月'!BR4:BR34,$B7)+COUNTIF('7月'!BV4:BV34,$B7)+COUNTIF('7月'!BW4:BW34,$B7)+COUNTIF('7月'!CA4:CA34,$B7)+COUNTIF('7月'!CB4:CB34,$B7)+COUNTIF('7月'!CF4:CF34,$B7)+COUNTIF('7月'!CG4:CG34,$B7)+COUNTIF('7月'!CK4:CK34,$B7)+COUNTIF('7月'!CL4:CL34,$B7)+COUNTIF('7月'!CP4:CP34,$B7)+COUNTIF('7月'!CQ4:CQ34,$B7)+COUNTIF('7月'!CU4:CU34,$B7)+COUNTIF('7月'!CV4:CV34,$B7)+COUNTIF('7月'!CZ4:CZ34,$B7)+COUNTIF('7月'!DA4:DA34,$B7)+COUNTIF('7月'!DE4:DE34,$B7)+COUNTIF('7月'!DF4:DF34,$B7)+COUNTIF('7月'!DJ4:DJ34,$B7)+COUNTIF('7月'!DK4:DK34,$B7)+COUNTIF('7月'!DO4:DO34,$B7)+COUNTIF('7月'!DP4:DP34,$B7)+COUNTIF('7月'!DT4:DT34,$B7)+COUNTIF('7月'!DU4:DU34,$B7)+COUNTIF('7月'!DY4:DY34,$B7)+COUNTIF('7月'!DZ4:DZ34,$B7)+COUNTIF('7月'!ED4:ED34,$B7)+COUNTIF('7月'!EE4:EE34,$B7)+COUNTIF('7月'!EI4:EI34,$B7)+COUNTIF('7月'!EJ4:EJ34,$B7)+COUNTIF('7月'!EN4:EN34,$B7)+COUNTIF('7月'!EO4:EO34,$B7)+COUNTIF('7月'!ES4:ES34,$B7)+COUNTIF('7月'!ET4:ET34,$B7)),0)</f>
        <v>0</v>
      </c>
      <c r="J7" s="76">
        <f>IFERROR(IF($B7="","",COUNTIF('8月'!D4:D34,$B7)+COUNTIF('8月'!E4:E34,$B7)+COUNTIF('8月'!I4:I34,$B7)+COUNTIF('8月'!J4:J34,$B7)+COUNTIF('8月'!N4:N34,$B7)+COUNTIF('8月'!O4:O34,$B7)+COUNTIF('8月'!S4:S34,$B7)+COUNTIF('8月'!T4:T34,$B7)+COUNTIF('8月'!X4:X34,$B7)+COUNTIF('8月'!Y4:Y34,$B7)+COUNTIF('8月'!AC4:AC34,$B7)+COUNTIF('8月'!AD4:AD34,$B7)+COUNTIF('8月'!AH4:AH34,$B7)+COUNTIF('8月'!AI4:AI34,$B7)+COUNTIF('8月'!AM4:AM34,$B7)+COUNTIF('8月'!AN4:AN34,$B7)+COUNTIF('8月'!AR4:AR34,$B7)+COUNTIF('8月'!AS4:AS34,$B7)+COUNTIF('8月'!AW4:AW34,$B7)+COUNTIF('8月'!AX4:AX34,$B7)+COUNTIF('8月'!BB4:BB34,$B7)+COUNTIF('8月'!BC4:BC34,$B7)+COUNTIF('8月'!BG4:BG34,$B7)+COUNTIF('8月'!BH4:BH34,$B7)+COUNTIF('8月'!BL4:BL34,$B7)+COUNTIF('8月'!BM4:BM34,$B7)+COUNTIF('8月'!BQ4:BQ34,$B7)+COUNTIF('8月'!BR4:BR34,$B7)+COUNTIF('8月'!BV4:BV34,$B7)+COUNTIF('8月'!BW4:BW34,$B7)+COUNTIF('8月'!CA4:CA34,$B7)+COUNTIF('8月'!CB4:CB34,$B7)+COUNTIF('8月'!CF4:CF34,$B7)+COUNTIF('8月'!CG4:CG34,$B7)+COUNTIF('8月'!CK4:CK34,$B7)+COUNTIF('8月'!CL4:CL34,$B7)+COUNTIF('8月'!CP4:CP34,$B7)+COUNTIF('8月'!CQ4:CQ34,$B7)+COUNTIF('8月'!CU4:CU34,$B7)+COUNTIF('8月'!CV4:CV34,$B7)+COUNTIF('8月'!CZ4:CZ34,$B7)+COUNTIF('8月'!DA4:DA34,$B7)+COUNTIF('8月'!DE4:DE34,$B7)+COUNTIF('8月'!DF4:DF34,$B7)+COUNTIF('8月'!DJ4:DJ34,$B7)+COUNTIF('8月'!DK4:DK34,$B7)+COUNTIF('8月'!DO4:DO34,$B7)+COUNTIF('8月'!DP4:DP34,$B7)+COUNTIF('8月'!DT4:DT34,$B7)+COUNTIF('8月'!DU4:DU34,$B7)+COUNTIF('8月'!DY4:DY34,$B7)+COUNTIF('8月'!DZ4:DZ34,$B7)+COUNTIF('8月'!ED4:ED34,$B7)+COUNTIF('8月'!EE4:EE34,$B7)+COUNTIF('8月'!EI4:EI34,$B7)+COUNTIF('8月'!EJ4:EJ34,$B7)+COUNTIF('8月'!EN4:EN34,$B7)+COUNTIF('8月'!EO4:EO34,$B7)+COUNTIF('8月'!ES4:ES34,$B7)+COUNTIF('8月'!ET4:ET34,$B7)),0)</f>
        <v>0</v>
      </c>
      <c r="K7" s="76">
        <f>IFERROR(IF($B7="","",COUNTIF('9月'!D4:D34,$B7)+COUNTIF('9月'!E4:E34,$B7)+COUNTIF('9月'!I4:I34,$B7)+COUNTIF('9月'!J4:J34,$B7)+COUNTIF('9月'!N4:N34,$B7)+COUNTIF('9月'!O4:O34,$B7)+COUNTIF('9月'!S4:S34,$B7)+COUNTIF('9月'!T4:T34,$B7)+COUNTIF('9月'!X4:X34,$B7)+COUNTIF('9月'!Y4:Y34,$B7)+COUNTIF('9月'!AC4:AC34,$B7)+COUNTIF('9月'!AD4:AD34,$B7)+COUNTIF('9月'!AH4:AH34,$B7)+COUNTIF('9月'!AI4:AI34,$B7)+COUNTIF('9月'!AM4:AM34,$B7)+COUNTIF('9月'!AN4:AN34,$B7)+COUNTIF('9月'!AR4:AR34,$B7)+COUNTIF('9月'!AS4:AS34,$B7)+COUNTIF('9月'!AW4:AW34,$B7)+COUNTIF('9月'!AX4:AX34,$B7)+COUNTIF('9月'!BB4:BB34,$B7)+COUNTIF('9月'!BC4:BC34,$B7)+COUNTIF('9月'!BG4:BG34,$B7)+COUNTIF('9月'!BH4:BH34,$B7)+COUNTIF('9月'!BL4:BL34,$B7)+COUNTIF('9月'!BM4:BM34,$B7)+COUNTIF('9月'!BQ4:BQ34,$B7)+COUNTIF('9月'!BR4:BR34,$B7)+COUNTIF('9月'!BV4:BV34,$B7)+COUNTIF('9月'!BW4:BW34,$B7)+COUNTIF('9月'!CA4:CA34,$B7)+COUNTIF('9月'!CB4:CB34,$B7)+COUNTIF('9月'!CF4:CF34,$B7)+COUNTIF('9月'!CG4:CG34,$B7)+COUNTIF('9月'!CK4:CK34,$B7)+COUNTIF('9月'!CL4:CL34,$B7)+COUNTIF('9月'!CP4:CP34,$B7)+COUNTIF('9月'!CQ4:CQ34,$B7)+COUNTIF('9月'!CU4:CU34,$B7)+COUNTIF('9月'!CV4:CV34,$B7)+COUNTIF('9月'!CZ4:CZ34,$B7)+COUNTIF('9月'!DA4:DA34,$B7)+COUNTIF('9月'!DE4:DE34,$B7)+COUNTIF('9月'!DF4:DF34,$B7)+COUNTIF('9月'!DJ4:DJ34,$B7)+COUNTIF('9月'!DK4:DK34,$B7)+COUNTIF('9月'!DO4:DO34,$B7)+COUNTIF('9月'!DP4:DP34,$B7)+COUNTIF('9月'!DT4:DT34,$B7)+COUNTIF('9月'!DU4:DU34,$B7)+COUNTIF('9月'!DY4:DY34,$B7)+COUNTIF('9月'!DZ4:DZ34,$B7)+COUNTIF('9月'!ED4:ED34,$B7)+COUNTIF('9月'!EE4:EE34,$B7)+COUNTIF('9月'!EI4:EI34,$B7)+COUNTIF('9月'!EJ4:EJ34,$B7)+COUNTIF('9月'!EN4:EN34,$B7)+COUNTIF('9月'!EO4:EO34,$B7)+COUNTIF('9月'!ES4:ES34,$B7)+COUNTIF('9月'!ET4:ET34,$B7)),0)</f>
        <v>0</v>
      </c>
      <c r="L7" s="76">
        <f>IFERROR(IF($B7="","",COUNTIF('10月'!D4:D34,$B7)+COUNTIF('10月'!E4:E34,$B7)+COUNTIF('10月'!I4:I34,$B7)+COUNTIF('10月'!J4:J34,$B7)+COUNTIF('10月'!N4:N34,$B7)+COUNTIF('10月'!O4:O34,$B7)+COUNTIF('10月'!S4:S34,$B7)+COUNTIF('10月'!T4:T34,$B7)+COUNTIF('10月'!X4:X34,$B7)+COUNTIF('10月'!Y4:Y34,$B7)+COUNTIF('10月'!AC4:AC34,$B7)+COUNTIF('10月'!AD4:AD34,$B7)+COUNTIF('10月'!AH4:AH34,$B7)+COUNTIF('10月'!AI4:AI34,$B7)+COUNTIF('10月'!AM4:AM34,$B7)+COUNTIF('10月'!AN4:AN34,$B7)+COUNTIF('10月'!AR4:AR34,$B7)+COUNTIF('10月'!AS4:AS34,$B7)+COUNTIF('10月'!AW4:AW34,$B7)+COUNTIF('10月'!AX4:AX34,$B7)+COUNTIF('10月'!BB4:BB34,$B7)+COUNTIF('10月'!BC4:BC34,$B7)+COUNTIF('10月'!BG4:BG34,$B7)+COUNTIF('10月'!BH4:BH34,$B7)+COUNTIF('10月'!BL4:BL34,$B7)+COUNTIF('10月'!BM4:BM34,$B7)+COUNTIF('10月'!BQ4:BQ34,$B7)+COUNTIF('10月'!BR4:BR34,$B7)+COUNTIF('10月'!BV4:BV34,$B7)+COUNTIF('10月'!BW4:BW34,$B7)+COUNTIF('10月'!CA4:CA34,$B7)+COUNTIF('10月'!CB4:CB34,$B7)+COUNTIF('10月'!CF4:CF34,$B7)+COUNTIF('10月'!CG4:CG34,$B7)+COUNTIF('10月'!CK4:CK34,$B7)+COUNTIF('10月'!CL4:CL34,$B7)+COUNTIF('10月'!CP4:CP34,$B7)+COUNTIF('10月'!CQ4:CQ34,$B7)+COUNTIF('10月'!CU4:CU34,$B7)+COUNTIF('10月'!CV4:CV34,$B7)+COUNTIF('10月'!CZ4:CZ34,$B7)+COUNTIF('10月'!DA4:DA34,$B7)+COUNTIF('10月'!DE4:DE34,$B7)+COUNTIF('10月'!DF4:DF34,$B7)+COUNTIF('10月'!DJ4:DJ34,$B7)+COUNTIF('10月'!DK4:DK34,$B7)+COUNTIF('10月'!DO4:DO34,$B7)+COUNTIF('10月'!DP4:DP34,$B7)+COUNTIF('10月'!DT4:DT34,$B7)+COUNTIF('10月'!DU4:DU34,$B7)+COUNTIF('10月'!DY4:DY34,$B7)+COUNTIF('10月'!DZ4:DZ34,$B7)+COUNTIF('10月'!ED4:ED34,$B7)+COUNTIF('10月'!EE4:EE34,$B7)+COUNTIF('10月'!EI4:EI34,$B7)+COUNTIF('10月'!EJ4:EJ34,$B7)+COUNTIF('10月'!EN4:EN34,$B7)+COUNTIF('10月'!EO4:EO34,$B7)+COUNTIF('10月'!ES4:ES34,$B7)+COUNTIF('10月'!ET4:ET34,$B7)),0)</f>
        <v>0</v>
      </c>
      <c r="M7" s="76">
        <f>IFERROR(IF($B7="","",COUNTIF('11月'!D4:D34,$B7)+COUNTIF('11月'!E4:E34,$B7)+COUNTIF('11月'!I4:I34,$B7)+COUNTIF('11月'!J4:J34,$B7)+COUNTIF('11月'!N4:N34,$B7)+COUNTIF('11月'!O4:O34,$B7)+COUNTIF('11月'!S4:S34,$B7)+COUNTIF('11月'!T4:T34,$B7)+COUNTIF('11月'!X4:X34,$B7)+COUNTIF('11月'!Y4:Y34,$B7)+COUNTIF('11月'!AC4:AC34,$B7)+COUNTIF('11月'!AD4:AD34,$B7)+COUNTIF('11月'!AH4:AH34,$B7)+COUNTIF('11月'!AI4:AI34,$B7)+COUNTIF('11月'!AM4:AM34,$B7)+COUNTIF('11月'!AN4:AN34,$B7)+COUNTIF('11月'!AR4:AR34,$B7)+COUNTIF('11月'!AS4:AS34,$B7)+COUNTIF('11月'!AW4:AW34,$B7)+COUNTIF('11月'!AX4:AX34,$B7)+COUNTIF('11月'!BB4:BB34,$B7)+COUNTIF('11月'!BC4:BC34,$B7)+COUNTIF('11月'!BG4:BG34,$B7)+COUNTIF('11月'!BH4:BH34,$B7)+COUNTIF('11月'!BL4:BL34,$B7)+COUNTIF('11月'!BM4:BM34,$B7)+COUNTIF('11月'!BQ4:BQ34,$B7)+COUNTIF('11月'!BR4:BR34,$B7)+COUNTIF('11月'!BV4:BV34,$B7)+COUNTIF('11月'!BW4:BW34,$B7)+COUNTIF('11月'!CA4:CA34,$B7)+COUNTIF('11月'!CB4:CB34,$B7)+COUNTIF('11月'!CF4:CF34,$B7)+COUNTIF('11月'!CG4:CG34,$B7)+COUNTIF('11月'!CK4:CK34,$B7)+COUNTIF('11月'!CL4:CL34,$B7)+COUNTIF('11月'!CP4:CP34,$B7)+COUNTIF('11月'!CQ4:CQ34,$B7)+COUNTIF('11月'!CU4:CU34,$B7)+COUNTIF('11月'!CV4:CV34,$B7)+COUNTIF('11月'!CZ4:CZ34,$B7)+COUNTIF('11月'!DA4:DA34,$B7)+COUNTIF('11月'!DE4:DE34,$B7)+COUNTIF('11月'!DF4:DF34,$B7)+COUNTIF('11月'!DJ4:DJ34,$B7)+COUNTIF('11月'!DK4:DK34,$B7)+COUNTIF('11月'!DO4:DO34,$B7)+COUNTIF('11月'!DP4:DP34,$B7)+COUNTIF('11月'!DT4:DT34,$B7)+COUNTIF('11月'!DU4:DU34,$B7)+COUNTIF('11月'!DY4:DY34,$B7)+COUNTIF('11月'!DZ4:DZ34,$B7)+COUNTIF('11月'!ED4:ED34,$B7)+COUNTIF('11月'!EE4:EE34,$B7)+COUNTIF('11月'!EI4:EI34,$B7)+COUNTIF('11月'!EJ4:EJ34,$B7)+COUNTIF('11月'!EN4:EN34,$B7)+COUNTIF('11月'!EO4:EO34,$B7)+COUNTIF('11月'!ES4:ES34,$B7)+COUNTIF('11月'!ET4:ET34,$B7)),0)</f>
        <v>0</v>
      </c>
      <c r="N7" s="76">
        <f>IFERROR(IF($B7="","",COUNTIF('12月'!D4:D34,$B7)+COUNTIF('12月'!E4:E34,$B7)+COUNTIF('12月'!I4:I34,$B7)+COUNTIF('12月'!J4:J34,$B7)+COUNTIF('12月'!N4:N34,$B7)+COUNTIF('12月'!O4:O34,$B7)+COUNTIF('12月'!S4:S34,$B7)+COUNTIF('12月'!T4:T34,$B7)+COUNTIF('12月'!X4:X34,$B7)+COUNTIF('12月'!Y4:Y34,$B7)+COUNTIF('12月'!AC4:AC34,$B7)+COUNTIF('12月'!AD4:AD34,$B7)+COUNTIF('12月'!AH4:AH34,$B7)+COUNTIF('12月'!AI4:AI34,$B7)+COUNTIF('12月'!AM4:AM34,$B7)+COUNTIF('12月'!AN4:AN34,$B7)+COUNTIF('12月'!AR4:AR34,$B7)+COUNTIF('12月'!AS4:AS34,$B7)+COUNTIF('12月'!AW4:AW34,$B7)+COUNTIF('12月'!AX4:AX34,$B7)+COUNTIF('12月'!BB4:BB34,$B7)+COUNTIF('12月'!BC4:BC34,$B7)+COUNTIF('12月'!BG4:BG34,$B7)+COUNTIF('12月'!BH4:BH34,$B7)+COUNTIF('12月'!BL4:BL34,$B7)+COUNTIF('12月'!BM4:BM34,$B7)+COUNTIF('12月'!BQ4:BQ34,$B7)+COUNTIF('12月'!BR4:BR34,$B7)+COUNTIF('12月'!BV4:BV34,$B7)+COUNTIF('12月'!BW4:BW34,$B7)+COUNTIF('12月'!CA4:CA34,$B7)+COUNTIF('12月'!CB4:CB34,$B7)+COUNTIF('12月'!CF4:CF34,$B7)+COUNTIF('12月'!CG4:CG34,$B7)+COUNTIF('12月'!CK4:CK34,$B7)+COUNTIF('12月'!CL4:CL34,$B7)+COUNTIF('12月'!CP4:CP34,$B7)+COUNTIF('12月'!CQ4:CQ34,$B7)+COUNTIF('12月'!CU4:CU34,$B7)+COUNTIF('12月'!CV4:CV34,$B7)+COUNTIF('12月'!CZ4:CZ34,$B7)+COUNTIF('12月'!DA4:DA34,$B7)+COUNTIF('12月'!DE4:DE34,$B7)+COUNTIF('12月'!DF4:DF34,$B7)+COUNTIF('12月'!DJ4:DJ34,$B7)+COUNTIF('12月'!DK4:DK34,$B7)+COUNTIF('12月'!DO4:DO34,$B7)+COUNTIF('12月'!DP4:DP34,$B7)+COUNTIF('12月'!DT4:DT34,$B7)+COUNTIF('12月'!DU4:DU34,$B7)+COUNTIF('12月'!DY4:DY34,$B7)+COUNTIF('12月'!DZ4:DZ34,$B7)+COUNTIF('12月'!ED4:ED34,$B7)+COUNTIF('12月'!EE4:EE34,$B7)+COUNTIF('12月'!EI4:EI34,$B7)+COUNTIF('12月'!EJ4:EJ34,$B7)+COUNTIF('12月'!EN4:EN34,$B7)+COUNTIF('12月'!EO4:EO34,$B7)+COUNTIF('12月'!ES4:ES34,$B7)+COUNTIF('12月'!ET4:ET34,$B7)),0)</f>
        <v>0</v>
      </c>
      <c r="O7" s="78">
        <f t="shared" si="0"/>
        <v>0</v>
      </c>
    </row>
    <row r="8" spans="1:15" ht="19.5" customHeight="1">
      <c r="A8" s="76">
        <v>6</v>
      </c>
      <c r="B8" s="77" t="str">
        <f>IFERROR(現場マスタ!$C$9,"")</f>
        <v>事務所</v>
      </c>
      <c r="C8" s="76">
        <f>IFERROR(IF($B8="","",COUNTIF('1月'!D4:D34,$B8)+COUNTIF('1月'!E4:E34,$B8)+COUNTIF('1月'!I4:I34,$B8)+COUNTIF('1月'!J4:J34,$B8)+COUNTIF('1月'!N4:N34,$B8)+COUNTIF('1月'!O4:O34,$B8)+COUNTIF('1月'!S4:S34,$B8)+COUNTIF('1月'!T4:T34,$B8)+COUNTIF('1月'!X4:X34,$B8)+COUNTIF('1月'!Y4:Y34,$B8)+COUNTIF('1月'!AC4:AC34,$B8)+COUNTIF('1月'!AD4:AD34,$B8)+COUNTIF('1月'!AH4:AH34,$B8)+COUNTIF('1月'!AI4:AI34,$B8)+COUNTIF('1月'!AM4:AM34,$B8)+COUNTIF('1月'!AN4:AN34,$B8)+COUNTIF('1月'!AR4:AR34,$B8)+COUNTIF('1月'!AS4:AS34,$B8)+COUNTIF('1月'!AW4:AW34,$B8)+COUNTIF('1月'!AX4:AX34,$B8)+COUNTIF('1月'!BB4:BB34,$B8)+COUNTIF('1月'!BC4:BC34,$B8)+COUNTIF('1月'!BG4:BG34,$B8)+COUNTIF('1月'!BH4:BH34,$B8)+COUNTIF('1月'!BL4:BL34,$B8)+COUNTIF('1月'!BM4:BM34,$B8)+COUNTIF('1月'!BQ4:BQ34,$B8)+COUNTIF('1月'!BR4:BR34,$B8)+COUNTIF('1月'!BV4:BV34,$B8)+COUNTIF('1月'!BW4:BW34,$B8)+COUNTIF('1月'!CA4:CA34,$B8)+COUNTIF('1月'!CB4:CB34,$B8)+COUNTIF('1月'!CF4:CF34,$B8)+COUNTIF('1月'!CG4:CG34,$B8)+COUNTIF('1月'!CK4:CK34,$B8)+COUNTIF('1月'!CL4:CL34,$B8)+COUNTIF('1月'!CP4:CP34,$B8)+COUNTIF('1月'!CQ4:CQ34,$B8)+COUNTIF('1月'!CU4:CU34,$B8)+COUNTIF('1月'!CV4:CV34,$B8)+COUNTIF('1月'!CZ4:CZ34,$B8)+COUNTIF('1月'!DA4:DA34,$B8)+COUNTIF('1月'!DE4:DE34,$B8)+COUNTIF('1月'!DF4:DF34,$B8)+COUNTIF('1月'!DJ4:DJ34,$B8)+COUNTIF('1月'!DK4:DK34,$B8)+COUNTIF('1月'!DO4:DO34,$B8)+COUNTIF('1月'!DP4:DP34,$B8)+COUNTIF('1月'!DT4:DT34,$B8)+COUNTIF('1月'!DU4:DU34,$B8)+COUNTIF('1月'!DY4:DY34,$B8)+COUNTIF('1月'!DZ4:DZ34,$B8)+COUNTIF('1月'!ED4:ED34,$B8)+COUNTIF('1月'!EE4:EE34,$B8)+COUNTIF('1月'!EI4:EI34,$B8)+COUNTIF('1月'!EJ4:EJ34,$B8)+COUNTIF('1月'!EN4:EN34,$B8)+COUNTIF('1月'!EO4:EO34,$B8)+COUNTIF('1月'!ES4:ES34,$B8)+COUNTIF('1月'!ET4:ET34,$B8)),0)</f>
        <v>8</v>
      </c>
      <c r="D8" s="76">
        <f>IFERROR(IF($B8="","",COUNTIF('2月'!D4:D34,$B8)+COUNTIF('2月'!E4:E34,$B8)+COUNTIF('2月'!I4:I34,$B8)+COUNTIF('2月'!J4:J34,$B8)+COUNTIF('2月'!N4:N34,$B8)+COUNTIF('2月'!O4:O34,$B8)+COUNTIF('2月'!S4:S34,$B8)+COUNTIF('2月'!T4:T34,$B8)+COUNTIF('2月'!X4:X34,$B8)+COUNTIF('2月'!Y4:Y34,$B8)+COUNTIF('2月'!AC4:AC34,$B8)+COUNTIF('2月'!AD4:AD34,$B8)+COUNTIF('2月'!AH4:AH34,$B8)+COUNTIF('2月'!AI4:AI34,$B8)+COUNTIF('2月'!AM4:AM34,$B8)+COUNTIF('2月'!AN4:AN34,$B8)+COUNTIF('2月'!AR4:AR34,$B8)+COUNTIF('2月'!AS4:AS34,$B8)+COUNTIF('2月'!AW4:AW34,$B8)+COUNTIF('2月'!AX4:AX34,$B8)+COUNTIF('2月'!BB4:BB34,$B8)+COUNTIF('2月'!BC4:BC34,$B8)+COUNTIF('2月'!BG4:BG34,$B8)+COUNTIF('2月'!BH4:BH34,$B8)+COUNTIF('2月'!BL4:BL34,$B8)+COUNTIF('2月'!BM4:BM34,$B8)+COUNTIF('2月'!BQ4:BQ34,$B8)+COUNTIF('2月'!BR4:BR34,$B8)+COUNTIF('2月'!BV4:BV34,$B8)+COUNTIF('2月'!BW4:BW34,$B8)+COUNTIF('2月'!CA4:CA34,$B8)+COUNTIF('2月'!CB4:CB34,$B8)+COUNTIF('2月'!CF4:CF34,$B8)+COUNTIF('2月'!CG4:CG34,$B8)+COUNTIF('2月'!CK4:CK34,$B8)+COUNTIF('2月'!CL4:CL34,$B8)+COUNTIF('2月'!CP4:CP34,$B8)+COUNTIF('2月'!CQ4:CQ34,$B8)+COUNTIF('2月'!CU4:CU34,$B8)+COUNTIF('2月'!CV4:CV34,$B8)+COUNTIF('2月'!CZ4:CZ34,$B8)+COUNTIF('2月'!DA4:DA34,$B8)+COUNTIF('2月'!DE4:DE34,$B8)+COUNTIF('2月'!DF4:DF34,$B8)+COUNTIF('2月'!DJ4:DJ34,$B8)+COUNTIF('2月'!DK4:DK34,$B8)+COUNTIF('2月'!DO4:DO34,$B8)+COUNTIF('2月'!DP4:DP34,$B8)+COUNTIF('2月'!DT4:DT34,$B8)+COUNTIF('2月'!DU4:DU34,$B8)+COUNTIF('2月'!DY4:DY34,$B8)+COUNTIF('2月'!DZ4:DZ34,$B8)+COUNTIF('2月'!ED4:ED34,$B8)+COUNTIF('2月'!EE4:EE34,$B8)+COUNTIF('2月'!EI4:EI34,$B8)+COUNTIF('2月'!EJ4:EJ34,$B8)+COUNTIF('2月'!EN4:EN34,$B8)+COUNTIF('2月'!EO4:EO34,$B8)+COUNTIF('2月'!ES4:ES34,$B8)+COUNTIF('2月'!ET4:ET34,$B8)),0)</f>
        <v>0</v>
      </c>
      <c r="E8" s="76">
        <f>IFERROR(IF($B8="","",COUNTIF('3月'!D4:D34,$B8)+COUNTIF('3月'!E4:E34,$B8)+COUNTIF('3月'!I4:I34,$B8)+COUNTIF('3月'!J4:J34,$B8)+COUNTIF('3月'!N4:N34,$B8)+COUNTIF('3月'!O4:O34,$B8)+COUNTIF('3月'!S4:S34,$B8)+COUNTIF('3月'!T4:T34,$B8)+COUNTIF('3月'!X4:X34,$B8)+COUNTIF('3月'!Y4:Y34,$B8)+COUNTIF('3月'!AC4:AC34,$B8)+COUNTIF('3月'!AD4:AD34,$B8)+COUNTIF('3月'!AH4:AH34,$B8)+COUNTIF('3月'!AI4:AI34,$B8)+COUNTIF('3月'!AM4:AM34,$B8)+COUNTIF('3月'!AN4:AN34,$B8)+COUNTIF('3月'!AR4:AR34,$B8)+COUNTIF('3月'!AS4:AS34,$B8)+COUNTIF('3月'!AW4:AW34,$B8)+COUNTIF('3月'!AX4:AX34,$B8)+COUNTIF('3月'!BB4:BB34,$B8)+COUNTIF('3月'!BC4:BC34,$B8)+COUNTIF('3月'!BG4:BG34,$B8)+COUNTIF('3月'!BH4:BH34,$B8)+COUNTIF('3月'!BL4:BL34,$B8)+COUNTIF('3月'!BM4:BM34,$B8)+COUNTIF('3月'!BQ4:BQ34,$B8)+COUNTIF('3月'!BR4:BR34,$B8)+COUNTIF('3月'!BV4:BV34,$B8)+COUNTIF('3月'!BW4:BW34,$B8)+COUNTIF('3月'!CA4:CA34,$B8)+COUNTIF('3月'!CB4:CB34,$B8)+COUNTIF('3月'!CF4:CF34,$B8)+COUNTIF('3月'!CG4:CG34,$B8)+COUNTIF('3月'!CK4:CK34,$B8)+COUNTIF('3月'!CL4:CL34,$B8)+COUNTIF('3月'!CP4:CP34,$B8)+COUNTIF('3月'!CQ4:CQ34,$B8)+COUNTIF('3月'!CU4:CU34,$B8)+COUNTIF('3月'!CV4:CV34,$B8)+COUNTIF('3月'!CZ4:CZ34,$B8)+COUNTIF('3月'!DA4:DA34,$B8)+COUNTIF('3月'!DE4:DE34,$B8)+COUNTIF('3月'!DF4:DF34,$B8)+COUNTIF('3月'!DJ4:DJ34,$B8)+COUNTIF('3月'!DK4:DK34,$B8)+COUNTIF('3月'!DO4:DO34,$B8)+COUNTIF('3月'!DP4:DP34,$B8)+COUNTIF('3月'!DT4:DT34,$B8)+COUNTIF('3月'!DU4:DU34,$B8)+COUNTIF('3月'!DY4:DY34,$B8)+COUNTIF('3月'!DZ4:DZ34,$B8)+COUNTIF('3月'!ED4:ED34,$B8)+COUNTIF('3月'!EE4:EE34,$B8)+COUNTIF('3月'!EI4:EI34,$B8)+COUNTIF('3月'!EJ4:EJ34,$B8)+COUNTIF('3月'!EN4:EN34,$B8)+COUNTIF('3月'!EO4:EO34,$B8)+COUNTIF('3月'!ES4:ES34,$B8)+COUNTIF('3月'!ET4:ET34,$B8)),0)</f>
        <v>0</v>
      </c>
      <c r="F8" s="76">
        <f>IFERROR(IF($B8="","",COUNTIF('4月'!D4:D34,$B8)+COUNTIF('4月'!E4:E34,$B8)+COUNTIF('4月'!I4:I34,$B8)+COUNTIF('4月'!J4:J34,$B8)+COUNTIF('4月'!N4:N34,$B8)+COUNTIF('4月'!O4:O34,$B8)+COUNTIF('4月'!S4:S34,$B8)+COUNTIF('4月'!T4:T34,$B8)+COUNTIF('4月'!X4:X34,$B8)+COUNTIF('4月'!Y4:Y34,$B8)+COUNTIF('4月'!AC4:AC34,$B8)+COUNTIF('4月'!AD4:AD34,$B8)+COUNTIF('4月'!AH4:AH34,$B8)+COUNTIF('4月'!AI4:AI34,$B8)+COUNTIF('4月'!AM4:AM34,$B8)+COUNTIF('4月'!AN4:AN34,$B8)+COUNTIF('4月'!AR4:AR34,$B8)+COUNTIF('4月'!AS4:AS34,$B8)+COUNTIF('4月'!AW4:AW34,$B8)+COUNTIF('4月'!AX4:AX34,$B8)+COUNTIF('4月'!BB4:BB34,$B8)+COUNTIF('4月'!BC4:BC34,$B8)+COUNTIF('4月'!BG4:BG34,$B8)+COUNTIF('4月'!BH4:BH34,$B8)+COUNTIF('4月'!BL4:BL34,$B8)+COUNTIF('4月'!BM4:BM34,$B8)+COUNTIF('4月'!BQ4:BQ34,$B8)+COUNTIF('4月'!BR4:BR34,$B8)+COUNTIF('4月'!BV4:BV34,$B8)+COUNTIF('4月'!BW4:BW34,$B8)+COUNTIF('4月'!CA4:CA34,$B8)+COUNTIF('4月'!CB4:CB34,$B8)+COUNTIF('4月'!CF4:CF34,$B8)+COUNTIF('4月'!CG4:CG34,$B8)+COUNTIF('4月'!CK4:CK34,$B8)+COUNTIF('4月'!CL4:CL34,$B8)+COUNTIF('4月'!CP4:CP34,$B8)+COUNTIF('4月'!CQ4:CQ34,$B8)+COUNTIF('4月'!CU4:CU34,$B8)+COUNTIF('4月'!CV4:CV34,$B8)+COUNTIF('4月'!CZ4:CZ34,$B8)+COUNTIF('4月'!DA4:DA34,$B8)+COUNTIF('4月'!DE4:DE34,$B8)+COUNTIF('4月'!DF4:DF34,$B8)+COUNTIF('4月'!DJ4:DJ34,$B8)+COUNTIF('4月'!DK4:DK34,$B8)+COUNTIF('4月'!DO4:DO34,$B8)+COUNTIF('4月'!DP4:DP34,$B8)+COUNTIF('4月'!DT4:DT34,$B8)+COUNTIF('4月'!DU4:DU34,$B8)+COUNTIF('4月'!DY4:DY34,$B8)+COUNTIF('4月'!DZ4:DZ34,$B8)+COUNTIF('4月'!ED4:ED34,$B8)+COUNTIF('4月'!EE4:EE34,$B8)+COUNTIF('4月'!EI4:EI34,$B8)+COUNTIF('4月'!EJ4:EJ34,$B8)+COUNTIF('4月'!EN4:EN34,$B8)+COUNTIF('4月'!EO4:EO34,$B8)+COUNTIF('4月'!ES4:ES34,$B8)+COUNTIF('4月'!ET4:ET34,$B8)),0)</f>
        <v>0</v>
      </c>
      <c r="G8" s="76">
        <f>IFERROR(IF($B8="","",COUNTIF('5月'!D4:D34,$B8)+COUNTIF('5月'!E4:E34,$B8)+COUNTIF('5月'!I4:I34,$B8)+COUNTIF('5月'!J4:J34,$B8)+COUNTIF('5月'!N4:N34,$B8)+COUNTIF('5月'!O4:O34,$B8)+COUNTIF('5月'!S4:S34,$B8)+COUNTIF('5月'!T4:T34,$B8)+COUNTIF('5月'!X4:X34,$B8)+COUNTIF('5月'!Y4:Y34,$B8)+COUNTIF('5月'!AC4:AC34,$B8)+COUNTIF('5月'!AD4:AD34,$B8)+COUNTIF('5月'!AH4:AH34,$B8)+COUNTIF('5月'!AI4:AI34,$B8)+COUNTIF('5月'!AM4:AM34,$B8)+COUNTIF('5月'!AN4:AN34,$B8)+COUNTIF('5月'!AR4:AR34,$B8)+COUNTIF('5月'!AS4:AS34,$B8)+COUNTIF('5月'!AW4:AW34,$B8)+COUNTIF('5月'!AX4:AX34,$B8)+COUNTIF('5月'!BB4:BB34,$B8)+COUNTIF('5月'!BC4:BC34,$B8)+COUNTIF('5月'!BG4:BG34,$B8)+COUNTIF('5月'!BH4:BH34,$B8)+COUNTIF('5月'!BL4:BL34,$B8)+COUNTIF('5月'!BM4:BM34,$B8)+COUNTIF('5月'!BQ4:BQ34,$B8)+COUNTIF('5月'!BR4:BR34,$B8)+COUNTIF('5月'!BV4:BV34,$B8)+COUNTIF('5月'!BW4:BW34,$B8)+COUNTIF('5月'!CA4:CA34,$B8)+COUNTIF('5月'!CB4:CB34,$B8)+COUNTIF('5月'!CF4:CF34,$B8)+COUNTIF('5月'!CG4:CG34,$B8)+COUNTIF('5月'!CK4:CK34,$B8)+COUNTIF('5月'!CL4:CL34,$B8)+COUNTIF('5月'!CP4:CP34,$B8)+COUNTIF('5月'!CQ4:CQ34,$B8)+COUNTIF('5月'!CU4:CU34,$B8)+COUNTIF('5月'!CV4:CV34,$B8)+COUNTIF('5月'!CZ4:CZ34,$B8)+COUNTIF('5月'!DA4:DA34,$B8)+COUNTIF('5月'!DE4:DE34,$B8)+COUNTIF('5月'!DF4:DF34,$B8)+COUNTIF('5月'!DJ4:DJ34,$B8)+COUNTIF('5月'!DK4:DK34,$B8)+COUNTIF('5月'!DO4:DO34,$B8)+COUNTIF('5月'!DP4:DP34,$B8)+COUNTIF('5月'!DT4:DT34,$B8)+COUNTIF('5月'!DU4:DU34,$B8)+COUNTIF('5月'!DY4:DY34,$B8)+COUNTIF('5月'!DZ4:DZ34,$B8)+COUNTIF('5月'!ED4:ED34,$B8)+COUNTIF('5月'!EE4:EE34,$B8)+COUNTIF('5月'!EI4:EI34,$B8)+COUNTIF('5月'!EJ4:EJ34,$B8)+COUNTIF('5月'!EN4:EN34,$B8)+COUNTIF('5月'!EO4:EO34,$B8)+COUNTIF('5月'!ES4:ES34,$B8)+COUNTIF('5月'!ET4:ET34,$B8)),0)</f>
        <v>0</v>
      </c>
      <c r="H8" s="76">
        <f>IFERROR(IF($B8="","",COUNTIF('6月'!D4:D34,$B8)+COUNTIF('6月'!E4:E34,$B8)+COUNTIF('6月'!I4:I34,$B8)+COUNTIF('6月'!J4:J34,$B8)+COUNTIF('6月'!N4:N34,$B8)+COUNTIF('6月'!O4:O34,$B8)+COUNTIF('6月'!S4:S34,$B8)+COUNTIF('6月'!T4:T34,$B8)+COUNTIF('6月'!X4:X34,$B8)+COUNTIF('6月'!Y4:Y34,$B8)+COUNTIF('6月'!AC4:AC34,$B8)+COUNTIF('6月'!AD4:AD34,$B8)+COUNTIF('6月'!AH4:AH34,$B8)+COUNTIF('6月'!AI4:AI34,$B8)+COUNTIF('6月'!AM4:AM34,$B8)+COUNTIF('6月'!AN4:AN34,$B8)+COUNTIF('6月'!AR4:AR34,$B8)+COUNTIF('6月'!AS4:AS34,$B8)+COUNTIF('6月'!AW4:AW34,$B8)+COUNTIF('6月'!AX4:AX34,$B8)+COUNTIF('6月'!BB4:BB34,$B8)+COUNTIF('6月'!BC4:BC34,$B8)+COUNTIF('6月'!BG4:BG34,$B8)+COUNTIF('6月'!BH4:BH34,$B8)+COUNTIF('6月'!BL4:BL34,$B8)+COUNTIF('6月'!BM4:BM34,$B8)+COUNTIF('6月'!BQ4:BQ34,$B8)+COUNTIF('6月'!BR4:BR34,$B8)+COUNTIF('6月'!BV4:BV34,$B8)+COUNTIF('6月'!BW4:BW34,$B8)+COUNTIF('6月'!CA4:CA34,$B8)+COUNTIF('6月'!CB4:CB34,$B8)+COUNTIF('6月'!CF4:CF34,$B8)+COUNTIF('6月'!CG4:CG34,$B8)+COUNTIF('6月'!CK4:CK34,$B8)+COUNTIF('6月'!CL4:CL34,$B8)+COUNTIF('6月'!CP4:CP34,$B8)+COUNTIF('6月'!CQ4:CQ34,$B8)+COUNTIF('6月'!CU4:CU34,$B8)+COUNTIF('6月'!CV4:CV34,$B8)+COUNTIF('6月'!CZ4:CZ34,$B8)+COUNTIF('6月'!DA4:DA34,$B8)+COUNTIF('6月'!DE4:DE34,$B8)+COUNTIF('6月'!DF4:DF34,$B8)+COUNTIF('6月'!DJ4:DJ34,$B8)+COUNTIF('6月'!DK4:DK34,$B8)+COUNTIF('6月'!DO4:DO34,$B8)+COUNTIF('6月'!DP4:DP34,$B8)+COUNTIF('6月'!DT4:DT34,$B8)+COUNTIF('6月'!DU4:DU34,$B8)+COUNTIF('6月'!DY4:DY34,$B8)+COUNTIF('6月'!DZ4:DZ34,$B8)+COUNTIF('6月'!ED4:ED34,$B8)+COUNTIF('6月'!EE4:EE34,$B8)+COUNTIF('6月'!EI4:EI34,$B8)+COUNTIF('6月'!EJ4:EJ34,$B8)+COUNTIF('6月'!EN4:EN34,$B8)+COUNTIF('6月'!EO4:EO34,$B8)+COUNTIF('6月'!ES4:ES34,$B8)+COUNTIF('6月'!ET4:ET34,$B8)),0)</f>
        <v>0</v>
      </c>
      <c r="I8" s="76">
        <f>IFERROR(IF($B8="","",COUNTIF('7月'!D4:D34,$B8)+COUNTIF('7月'!E4:E34,$B8)+COUNTIF('7月'!I4:I34,$B8)+COUNTIF('7月'!J4:J34,$B8)+COUNTIF('7月'!N4:N34,$B8)+COUNTIF('7月'!O4:O34,$B8)+COUNTIF('7月'!S4:S34,$B8)+COUNTIF('7月'!T4:T34,$B8)+COUNTIF('7月'!X4:X34,$B8)+COUNTIF('7月'!Y4:Y34,$B8)+COUNTIF('7月'!AC4:AC34,$B8)+COUNTIF('7月'!AD4:AD34,$B8)+COUNTIF('7月'!AH4:AH34,$B8)+COUNTIF('7月'!AI4:AI34,$B8)+COUNTIF('7月'!AM4:AM34,$B8)+COUNTIF('7月'!AN4:AN34,$B8)+COUNTIF('7月'!AR4:AR34,$B8)+COUNTIF('7月'!AS4:AS34,$B8)+COUNTIF('7月'!AW4:AW34,$B8)+COUNTIF('7月'!AX4:AX34,$B8)+COUNTIF('7月'!BB4:BB34,$B8)+COUNTIF('7月'!BC4:BC34,$B8)+COUNTIF('7月'!BG4:BG34,$B8)+COUNTIF('7月'!BH4:BH34,$B8)+COUNTIF('7月'!BL4:BL34,$B8)+COUNTIF('7月'!BM4:BM34,$B8)+COUNTIF('7月'!BQ4:BQ34,$B8)+COUNTIF('7月'!BR4:BR34,$B8)+COUNTIF('7月'!BV4:BV34,$B8)+COUNTIF('7月'!BW4:BW34,$B8)+COUNTIF('7月'!CA4:CA34,$B8)+COUNTIF('7月'!CB4:CB34,$B8)+COUNTIF('7月'!CF4:CF34,$B8)+COUNTIF('7月'!CG4:CG34,$B8)+COUNTIF('7月'!CK4:CK34,$B8)+COUNTIF('7月'!CL4:CL34,$B8)+COUNTIF('7月'!CP4:CP34,$B8)+COUNTIF('7月'!CQ4:CQ34,$B8)+COUNTIF('7月'!CU4:CU34,$B8)+COUNTIF('7月'!CV4:CV34,$B8)+COUNTIF('7月'!CZ4:CZ34,$B8)+COUNTIF('7月'!DA4:DA34,$B8)+COUNTIF('7月'!DE4:DE34,$B8)+COUNTIF('7月'!DF4:DF34,$B8)+COUNTIF('7月'!DJ4:DJ34,$B8)+COUNTIF('7月'!DK4:DK34,$B8)+COUNTIF('7月'!DO4:DO34,$B8)+COUNTIF('7月'!DP4:DP34,$B8)+COUNTIF('7月'!DT4:DT34,$B8)+COUNTIF('7月'!DU4:DU34,$B8)+COUNTIF('7月'!DY4:DY34,$B8)+COUNTIF('7月'!DZ4:DZ34,$B8)+COUNTIF('7月'!ED4:ED34,$B8)+COUNTIF('7月'!EE4:EE34,$B8)+COUNTIF('7月'!EI4:EI34,$B8)+COUNTIF('7月'!EJ4:EJ34,$B8)+COUNTIF('7月'!EN4:EN34,$B8)+COUNTIF('7月'!EO4:EO34,$B8)+COUNTIF('7月'!ES4:ES34,$B8)+COUNTIF('7月'!ET4:ET34,$B8)),0)</f>
        <v>0</v>
      </c>
      <c r="J8" s="76">
        <f>IFERROR(IF($B8="","",COUNTIF('8月'!D4:D34,$B8)+COUNTIF('8月'!E4:E34,$B8)+COUNTIF('8月'!I4:I34,$B8)+COUNTIF('8月'!J4:J34,$B8)+COUNTIF('8月'!N4:N34,$B8)+COUNTIF('8月'!O4:O34,$B8)+COUNTIF('8月'!S4:S34,$B8)+COUNTIF('8月'!T4:T34,$B8)+COUNTIF('8月'!X4:X34,$B8)+COUNTIF('8月'!Y4:Y34,$B8)+COUNTIF('8月'!AC4:AC34,$B8)+COUNTIF('8月'!AD4:AD34,$B8)+COUNTIF('8月'!AH4:AH34,$B8)+COUNTIF('8月'!AI4:AI34,$B8)+COUNTIF('8月'!AM4:AM34,$B8)+COUNTIF('8月'!AN4:AN34,$B8)+COUNTIF('8月'!AR4:AR34,$B8)+COUNTIF('8月'!AS4:AS34,$B8)+COUNTIF('8月'!AW4:AW34,$B8)+COUNTIF('8月'!AX4:AX34,$B8)+COUNTIF('8月'!BB4:BB34,$B8)+COUNTIF('8月'!BC4:BC34,$B8)+COUNTIF('8月'!BG4:BG34,$B8)+COUNTIF('8月'!BH4:BH34,$B8)+COUNTIF('8月'!BL4:BL34,$B8)+COUNTIF('8月'!BM4:BM34,$B8)+COUNTIF('8月'!BQ4:BQ34,$B8)+COUNTIF('8月'!BR4:BR34,$B8)+COUNTIF('8月'!BV4:BV34,$B8)+COUNTIF('8月'!BW4:BW34,$B8)+COUNTIF('8月'!CA4:CA34,$B8)+COUNTIF('8月'!CB4:CB34,$B8)+COUNTIF('8月'!CF4:CF34,$B8)+COUNTIF('8月'!CG4:CG34,$B8)+COUNTIF('8月'!CK4:CK34,$B8)+COUNTIF('8月'!CL4:CL34,$B8)+COUNTIF('8月'!CP4:CP34,$B8)+COUNTIF('8月'!CQ4:CQ34,$B8)+COUNTIF('8月'!CU4:CU34,$B8)+COUNTIF('8月'!CV4:CV34,$B8)+COUNTIF('8月'!CZ4:CZ34,$B8)+COUNTIF('8月'!DA4:DA34,$B8)+COUNTIF('8月'!DE4:DE34,$B8)+COUNTIF('8月'!DF4:DF34,$B8)+COUNTIF('8月'!DJ4:DJ34,$B8)+COUNTIF('8月'!DK4:DK34,$B8)+COUNTIF('8月'!DO4:DO34,$B8)+COUNTIF('8月'!DP4:DP34,$B8)+COUNTIF('8月'!DT4:DT34,$B8)+COUNTIF('8月'!DU4:DU34,$B8)+COUNTIF('8月'!DY4:DY34,$B8)+COUNTIF('8月'!DZ4:DZ34,$B8)+COUNTIF('8月'!ED4:ED34,$B8)+COUNTIF('8月'!EE4:EE34,$B8)+COUNTIF('8月'!EI4:EI34,$B8)+COUNTIF('8月'!EJ4:EJ34,$B8)+COUNTIF('8月'!EN4:EN34,$B8)+COUNTIF('8月'!EO4:EO34,$B8)+COUNTIF('8月'!ES4:ES34,$B8)+COUNTIF('8月'!ET4:ET34,$B8)),0)</f>
        <v>0</v>
      </c>
      <c r="K8" s="76">
        <f>IFERROR(IF($B8="","",COUNTIF('9月'!D4:D34,$B8)+COUNTIF('9月'!E4:E34,$B8)+COUNTIF('9月'!I4:I34,$B8)+COUNTIF('9月'!J4:J34,$B8)+COUNTIF('9月'!N4:N34,$B8)+COUNTIF('9月'!O4:O34,$B8)+COUNTIF('9月'!S4:S34,$B8)+COUNTIF('9月'!T4:T34,$B8)+COUNTIF('9月'!X4:X34,$B8)+COUNTIF('9月'!Y4:Y34,$B8)+COUNTIF('9月'!AC4:AC34,$B8)+COUNTIF('9月'!AD4:AD34,$B8)+COUNTIF('9月'!AH4:AH34,$B8)+COUNTIF('9月'!AI4:AI34,$B8)+COUNTIF('9月'!AM4:AM34,$B8)+COUNTIF('9月'!AN4:AN34,$B8)+COUNTIF('9月'!AR4:AR34,$B8)+COUNTIF('9月'!AS4:AS34,$B8)+COUNTIF('9月'!AW4:AW34,$B8)+COUNTIF('9月'!AX4:AX34,$B8)+COUNTIF('9月'!BB4:BB34,$B8)+COUNTIF('9月'!BC4:BC34,$B8)+COUNTIF('9月'!BG4:BG34,$B8)+COUNTIF('9月'!BH4:BH34,$B8)+COUNTIF('9月'!BL4:BL34,$B8)+COUNTIF('9月'!BM4:BM34,$B8)+COUNTIF('9月'!BQ4:BQ34,$B8)+COUNTIF('9月'!BR4:BR34,$B8)+COUNTIF('9月'!BV4:BV34,$B8)+COUNTIF('9月'!BW4:BW34,$B8)+COUNTIF('9月'!CA4:CA34,$B8)+COUNTIF('9月'!CB4:CB34,$B8)+COUNTIF('9月'!CF4:CF34,$B8)+COUNTIF('9月'!CG4:CG34,$B8)+COUNTIF('9月'!CK4:CK34,$B8)+COUNTIF('9月'!CL4:CL34,$B8)+COUNTIF('9月'!CP4:CP34,$B8)+COUNTIF('9月'!CQ4:CQ34,$B8)+COUNTIF('9月'!CU4:CU34,$B8)+COUNTIF('9月'!CV4:CV34,$B8)+COUNTIF('9月'!CZ4:CZ34,$B8)+COUNTIF('9月'!DA4:DA34,$B8)+COUNTIF('9月'!DE4:DE34,$B8)+COUNTIF('9月'!DF4:DF34,$B8)+COUNTIF('9月'!DJ4:DJ34,$B8)+COUNTIF('9月'!DK4:DK34,$B8)+COUNTIF('9月'!DO4:DO34,$B8)+COUNTIF('9月'!DP4:DP34,$B8)+COUNTIF('9月'!DT4:DT34,$B8)+COUNTIF('9月'!DU4:DU34,$B8)+COUNTIF('9月'!DY4:DY34,$B8)+COUNTIF('9月'!DZ4:DZ34,$B8)+COUNTIF('9月'!ED4:ED34,$B8)+COUNTIF('9月'!EE4:EE34,$B8)+COUNTIF('9月'!EI4:EI34,$B8)+COUNTIF('9月'!EJ4:EJ34,$B8)+COUNTIF('9月'!EN4:EN34,$B8)+COUNTIF('9月'!EO4:EO34,$B8)+COUNTIF('9月'!ES4:ES34,$B8)+COUNTIF('9月'!ET4:ET34,$B8)),0)</f>
        <v>0</v>
      </c>
      <c r="L8" s="76">
        <f>IFERROR(IF($B8="","",COUNTIF('10月'!D4:D34,$B8)+COUNTIF('10月'!E4:E34,$B8)+COUNTIF('10月'!I4:I34,$B8)+COUNTIF('10月'!J4:J34,$B8)+COUNTIF('10月'!N4:N34,$B8)+COUNTIF('10月'!O4:O34,$B8)+COUNTIF('10月'!S4:S34,$B8)+COUNTIF('10月'!T4:T34,$B8)+COUNTIF('10月'!X4:X34,$B8)+COUNTIF('10月'!Y4:Y34,$B8)+COUNTIF('10月'!AC4:AC34,$B8)+COUNTIF('10月'!AD4:AD34,$B8)+COUNTIF('10月'!AH4:AH34,$B8)+COUNTIF('10月'!AI4:AI34,$B8)+COUNTIF('10月'!AM4:AM34,$B8)+COUNTIF('10月'!AN4:AN34,$B8)+COUNTIF('10月'!AR4:AR34,$B8)+COUNTIF('10月'!AS4:AS34,$B8)+COUNTIF('10月'!AW4:AW34,$B8)+COUNTIF('10月'!AX4:AX34,$B8)+COUNTIF('10月'!BB4:BB34,$B8)+COUNTIF('10月'!BC4:BC34,$B8)+COUNTIF('10月'!BG4:BG34,$B8)+COUNTIF('10月'!BH4:BH34,$B8)+COUNTIF('10月'!BL4:BL34,$B8)+COUNTIF('10月'!BM4:BM34,$B8)+COUNTIF('10月'!BQ4:BQ34,$B8)+COUNTIF('10月'!BR4:BR34,$B8)+COUNTIF('10月'!BV4:BV34,$B8)+COUNTIF('10月'!BW4:BW34,$B8)+COUNTIF('10月'!CA4:CA34,$B8)+COUNTIF('10月'!CB4:CB34,$B8)+COUNTIF('10月'!CF4:CF34,$B8)+COUNTIF('10月'!CG4:CG34,$B8)+COUNTIF('10月'!CK4:CK34,$B8)+COUNTIF('10月'!CL4:CL34,$B8)+COUNTIF('10月'!CP4:CP34,$B8)+COUNTIF('10月'!CQ4:CQ34,$B8)+COUNTIF('10月'!CU4:CU34,$B8)+COUNTIF('10月'!CV4:CV34,$B8)+COUNTIF('10月'!CZ4:CZ34,$B8)+COUNTIF('10月'!DA4:DA34,$B8)+COUNTIF('10月'!DE4:DE34,$B8)+COUNTIF('10月'!DF4:DF34,$B8)+COUNTIF('10月'!DJ4:DJ34,$B8)+COUNTIF('10月'!DK4:DK34,$B8)+COUNTIF('10月'!DO4:DO34,$B8)+COUNTIF('10月'!DP4:DP34,$B8)+COUNTIF('10月'!DT4:DT34,$B8)+COUNTIF('10月'!DU4:DU34,$B8)+COUNTIF('10月'!DY4:DY34,$B8)+COUNTIF('10月'!DZ4:DZ34,$B8)+COUNTIF('10月'!ED4:ED34,$B8)+COUNTIF('10月'!EE4:EE34,$B8)+COUNTIF('10月'!EI4:EI34,$B8)+COUNTIF('10月'!EJ4:EJ34,$B8)+COUNTIF('10月'!EN4:EN34,$B8)+COUNTIF('10月'!EO4:EO34,$B8)+COUNTIF('10月'!ES4:ES34,$B8)+COUNTIF('10月'!ET4:ET34,$B8)),0)</f>
        <v>0</v>
      </c>
      <c r="M8" s="76">
        <f>IFERROR(IF($B8="","",COUNTIF('11月'!D4:D34,$B8)+COUNTIF('11月'!E4:E34,$B8)+COUNTIF('11月'!I4:I34,$B8)+COUNTIF('11月'!J4:J34,$B8)+COUNTIF('11月'!N4:N34,$B8)+COUNTIF('11月'!O4:O34,$B8)+COUNTIF('11月'!S4:S34,$B8)+COUNTIF('11月'!T4:T34,$B8)+COUNTIF('11月'!X4:X34,$B8)+COUNTIF('11月'!Y4:Y34,$B8)+COUNTIF('11月'!AC4:AC34,$B8)+COUNTIF('11月'!AD4:AD34,$B8)+COUNTIF('11月'!AH4:AH34,$B8)+COUNTIF('11月'!AI4:AI34,$B8)+COUNTIF('11月'!AM4:AM34,$B8)+COUNTIF('11月'!AN4:AN34,$B8)+COUNTIF('11月'!AR4:AR34,$B8)+COUNTIF('11月'!AS4:AS34,$B8)+COUNTIF('11月'!AW4:AW34,$B8)+COUNTIF('11月'!AX4:AX34,$B8)+COUNTIF('11月'!BB4:BB34,$B8)+COUNTIF('11月'!BC4:BC34,$B8)+COUNTIF('11月'!BG4:BG34,$B8)+COUNTIF('11月'!BH4:BH34,$B8)+COUNTIF('11月'!BL4:BL34,$B8)+COUNTIF('11月'!BM4:BM34,$B8)+COUNTIF('11月'!BQ4:BQ34,$B8)+COUNTIF('11月'!BR4:BR34,$B8)+COUNTIF('11月'!BV4:BV34,$B8)+COUNTIF('11月'!BW4:BW34,$B8)+COUNTIF('11月'!CA4:CA34,$B8)+COUNTIF('11月'!CB4:CB34,$B8)+COUNTIF('11月'!CF4:CF34,$B8)+COUNTIF('11月'!CG4:CG34,$B8)+COUNTIF('11月'!CK4:CK34,$B8)+COUNTIF('11月'!CL4:CL34,$B8)+COUNTIF('11月'!CP4:CP34,$B8)+COUNTIF('11月'!CQ4:CQ34,$B8)+COUNTIF('11月'!CU4:CU34,$B8)+COUNTIF('11月'!CV4:CV34,$B8)+COUNTIF('11月'!CZ4:CZ34,$B8)+COUNTIF('11月'!DA4:DA34,$B8)+COUNTIF('11月'!DE4:DE34,$B8)+COUNTIF('11月'!DF4:DF34,$B8)+COUNTIF('11月'!DJ4:DJ34,$B8)+COUNTIF('11月'!DK4:DK34,$B8)+COUNTIF('11月'!DO4:DO34,$B8)+COUNTIF('11月'!DP4:DP34,$B8)+COUNTIF('11月'!DT4:DT34,$B8)+COUNTIF('11月'!DU4:DU34,$B8)+COUNTIF('11月'!DY4:DY34,$B8)+COUNTIF('11月'!DZ4:DZ34,$B8)+COUNTIF('11月'!ED4:ED34,$B8)+COUNTIF('11月'!EE4:EE34,$B8)+COUNTIF('11月'!EI4:EI34,$B8)+COUNTIF('11月'!EJ4:EJ34,$B8)+COUNTIF('11月'!EN4:EN34,$B8)+COUNTIF('11月'!EO4:EO34,$B8)+COUNTIF('11月'!ES4:ES34,$B8)+COUNTIF('11月'!ET4:ET34,$B8)),0)</f>
        <v>0</v>
      </c>
      <c r="N8" s="76">
        <f>IFERROR(IF($B8="","",COUNTIF('12月'!D4:D34,$B8)+COUNTIF('12月'!E4:E34,$B8)+COUNTIF('12月'!I4:I34,$B8)+COUNTIF('12月'!J4:J34,$B8)+COUNTIF('12月'!N4:N34,$B8)+COUNTIF('12月'!O4:O34,$B8)+COUNTIF('12月'!S4:S34,$B8)+COUNTIF('12月'!T4:T34,$B8)+COUNTIF('12月'!X4:X34,$B8)+COUNTIF('12月'!Y4:Y34,$B8)+COUNTIF('12月'!AC4:AC34,$B8)+COUNTIF('12月'!AD4:AD34,$B8)+COUNTIF('12月'!AH4:AH34,$B8)+COUNTIF('12月'!AI4:AI34,$B8)+COUNTIF('12月'!AM4:AM34,$B8)+COUNTIF('12月'!AN4:AN34,$B8)+COUNTIF('12月'!AR4:AR34,$B8)+COUNTIF('12月'!AS4:AS34,$B8)+COUNTIF('12月'!AW4:AW34,$B8)+COUNTIF('12月'!AX4:AX34,$B8)+COUNTIF('12月'!BB4:BB34,$B8)+COUNTIF('12月'!BC4:BC34,$B8)+COUNTIF('12月'!BG4:BG34,$B8)+COUNTIF('12月'!BH4:BH34,$B8)+COUNTIF('12月'!BL4:BL34,$B8)+COUNTIF('12月'!BM4:BM34,$B8)+COUNTIF('12月'!BQ4:BQ34,$B8)+COUNTIF('12月'!BR4:BR34,$B8)+COUNTIF('12月'!BV4:BV34,$B8)+COUNTIF('12月'!BW4:BW34,$B8)+COUNTIF('12月'!CA4:CA34,$B8)+COUNTIF('12月'!CB4:CB34,$B8)+COUNTIF('12月'!CF4:CF34,$B8)+COUNTIF('12月'!CG4:CG34,$B8)+COUNTIF('12月'!CK4:CK34,$B8)+COUNTIF('12月'!CL4:CL34,$B8)+COUNTIF('12月'!CP4:CP34,$B8)+COUNTIF('12月'!CQ4:CQ34,$B8)+COUNTIF('12月'!CU4:CU34,$B8)+COUNTIF('12月'!CV4:CV34,$B8)+COUNTIF('12月'!CZ4:CZ34,$B8)+COUNTIF('12月'!DA4:DA34,$B8)+COUNTIF('12月'!DE4:DE34,$B8)+COUNTIF('12月'!DF4:DF34,$B8)+COUNTIF('12月'!DJ4:DJ34,$B8)+COUNTIF('12月'!DK4:DK34,$B8)+COUNTIF('12月'!DO4:DO34,$B8)+COUNTIF('12月'!DP4:DP34,$B8)+COUNTIF('12月'!DT4:DT34,$B8)+COUNTIF('12月'!DU4:DU34,$B8)+COUNTIF('12月'!DY4:DY34,$B8)+COUNTIF('12月'!DZ4:DZ34,$B8)+COUNTIF('12月'!ED4:ED34,$B8)+COUNTIF('12月'!EE4:EE34,$B8)+COUNTIF('12月'!EI4:EI34,$B8)+COUNTIF('12月'!EJ4:EJ34,$B8)+COUNTIF('12月'!EN4:EN34,$B8)+COUNTIF('12月'!EO4:EO34,$B8)+COUNTIF('12月'!ES4:ES34,$B8)+COUNTIF('12月'!ET4:ET34,$B8)),0)</f>
        <v>0</v>
      </c>
      <c r="O8" s="78">
        <f t="shared" si="0"/>
        <v>8</v>
      </c>
    </row>
    <row r="9" spans="1:15" ht="19.5" customHeight="1">
      <c r="A9" s="76">
        <v>7</v>
      </c>
      <c r="B9" s="77" t="str">
        <f>IFERROR(現場マスタ!$C$10,"")</f>
        <v>有給</v>
      </c>
      <c r="C9" s="76">
        <f>IFERROR(IF($B9="","",COUNTIF('1月'!D4:D34,$B9)+COUNTIF('1月'!E4:E34,$B9)+COUNTIF('1月'!I4:I34,$B9)+COUNTIF('1月'!J4:J34,$B9)+COUNTIF('1月'!N4:N34,$B9)+COUNTIF('1月'!O4:O34,$B9)+COUNTIF('1月'!S4:S34,$B9)+COUNTIF('1月'!T4:T34,$B9)+COUNTIF('1月'!X4:X34,$B9)+COUNTIF('1月'!Y4:Y34,$B9)+COUNTIF('1月'!AC4:AC34,$B9)+COUNTIF('1月'!AD4:AD34,$B9)+COUNTIF('1月'!AH4:AH34,$B9)+COUNTIF('1月'!AI4:AI34,$B9)+COUNTIF('1月'!AM4:AM34,$B9)+COUNTIF('1月'!AN4:AN34,$B9)+COUNTIF('1月'!AR4:AR34,$B9)+COUNTIF('1月'!AS4:AS34,$B9)+COUNTIF('1月'!AW4:AW34,$B9)+COUNTIF('1月'!AX4:AX34,$B9)+COUNTIF('1月'!BB4:BB34,$B9)+COUNTIF('1月'!BC4:BC34,$B9)+COUNTIF('1月'!BG4:BG34,$B9)+COUNTIF('1月'!BH4:BH34,$B9)+COUNTIF('1月'!BL4:BL34,$B9)+COUNTIF('1月'!BM4:BM34,$B9)+COUNTIF('1月'!BQ4:BQ34,$B9)+COUNTIF('1月'!BR4:BR34,$B9)+COUNTIF('1月'!BV4:BV34,$B9)+COUNTIF('1月'!BW4:BW34,$B9)+COUNTIF('1月'!CA4:CA34,$B9)+COUNTIF('1月'!CB4:CB34,$B9)+COUNTIF('1月'!CF4:CF34,$B9)+COUNTIF('1月'!CG4:CG34,$B9)+COUNTIF('1月'!CK4:CK34,$B9)+COUNTIF('1月'!CL4:CL34,$B9)+COUNTIF('1月'!CP4:CP34,$B9)+COUNTIF('1月'!CQ4:CQ34,$B9)+COUNTIF('1月'!CU4:CU34,$B9)+COUNTIF('1月'!CV4:CV34,$B9)+COUNTIF('1月'!CZ4:CZ34,$B9)+COUNTIF('1月'!DA4:DA34,$B9)+COUNTIF('1月'!DE4:DE34,$B9)+COUNTIF('1月'!DF4:DF34,$B9)+COUNTIF('1月'!DJ4:DJ34,$B9)+COUNTIF('1月'!DK4:DK34,$B9)+COUNTIF('1月'!DO4:DO34,$B9)+COUNTIF('1月'!DP4:DP34,$B9)+COUNTIF('1月'!DT4:DT34,$B9)+COUNTIF('1月'!DU4:DU34,$B9)+COUNTIF('1月'!DY4:DY34,$B9)+COUNTIF('1月'!DZ4:DZ34,$B9)+COUNTIF('1月'!ED4:ED34,$B9)+COUNTIF('1月'!EE4:EE34,$B9)+COUNTIF('1月'!EI4:EI34,$B9)+COUNTIF('1月'!EJ4:EJ34,$B9)+COUNTIF('1月'!EN4:EN34,$B9)+COUNTIF('1月'!EO4:EO34,$B9)+COUNTIF('1月'!ES4:ES34,$B9)+COUNTIF('1月'!ET4:ET34,$B9)),0)</f>
        <v>1</v>
      </c>
      <c r="D9" s="76">
        <f>IFERROR(IF($B9="","",COUNTIF('2月'!D4:D34,$B9)+COUNTIF('2月'!E4:E34,$B9)+COUNTIF('2月'!I4:I34,$B9)+COUNTIF('2月'!J4:J34,$B9)+COUNTIF('2月'!N4:N34,$B9)+COUNTIF('2月'!O4:O34,$B9)+COUNTIF('2月'!S4:S34,$B9)+COUNTIF('2月'!T4:T34,$B9)+COUNTIF('2月'!X4:X34,$B9)+COUNTIF('2月'!Y4:Y34,$B9)+COUNTIF('2月'!AC4:AC34,$B9)+COUNTIF('2月'!AD4:AD34,$B9)+COUNTIF('2月'!AH4:AH34,$B9)+COUNTIF('2月'!AI4:AI34,$B9)+COUNTIF('2月'!AM4:AM34,$B9)+COUNTIF('2月'!AN4:AN34,$B9)+COUNTIF('2月'!AR4:AR34,$B9)+COUNTIF('2月'!AS4:AS34,$B9)+COUNTIF('2月'!AW4:AW34,$B9)+COUNTIF('2月'!AX4:AX34,$B9)+COUNTIF('2月'!BB4:BB34,$B9)+COUNTIF('2月'!BC4:BC34,$B9)+COUNTIF('2月'!BG4:BG34,$B9)+COUNTIF('2月'!BH4:BH34,$B9)+COUNTIF('2月'!BL4:BL34,$B9)+COUNTIF('2月'!BM4:BM34,$B9)+COUNTIF('2月'!BQ4:BQ34,$B9)+COUNTIF('2月'!BR4:BR34,$B9)+COUNTIF('2月'!BV4:BV34,$B9)+COUNTIF('2月'!BW4:BW34,$B9)+COUNTIF('2月'!CA4:CA34,$B9)+COUNTIF('2月'!CB4:CB34,$B9)+COUNTIF('2月'!CF4:CF34,$B9)+COUNTIF('2月'!CG4:CG34,$B9)+COUNTIF('2月'!CK4:CK34,$B9)+COUNTIF('2月'!CL4:CL34,$B9)+COUNTIF('2月'!CP4:CP34,$B9)+COUNTIF('2月'!CQ4:CQ34,$B9)+COUNTIF('2月'!CU4:CU34,$B9)+COUNTIF('2月'!CV4:CV34,$B9)+COUNTIF('2月'!CZ4:CZ34,$B9)+COUNTIF('2月'!DA4:DA34,$B9)+COUNTIF('2月'!DE4:DE34,$B9)+COUNTIF('2月'!DF4:DF34,$B9)+COUNTIF('2月'!DJ4:DJ34,$B9)+COUNTIF('2月'!DK4:DK34,$B9)+COUNTIF('2月'!DO4:DO34,$B9)+COUNTIF('2月'!DP4:DP34,$B9)+COUNTIF('2月'!DT4:DT34,$B9)+COUNTIF('2月'!DU4:DU34,$B9)+COUNTIF('2月'!DY4:DY34,$B9)+COUNTIF('2月'!DZ4:DZ34,$B9)+COUNTIF('2月'!ED4:ED34,$B9)+COUNTIF('2月'!EE4:EE34,$B9)+COUNTIF('2月'!EI4:EI34,$B9)+COUNTIF('2月'!EJ4:EJ34,$B9)+COUNTIF('2月'!EN4:EN34,$B9)+COUNTIF('2月'!EO4:EO34,$B9)+COUNTIF('2月'!ES4:ES34,$B9)+COUNTIF('2月'!ET4:ET34,$B9)),0)</f>
        <v>0</v>
      </c>
      <c r="E9" s="76">
        <f>IFERROR(IF($B9="","",COUNTIF('3月'!D4:D34,$B9)+COUNTIF('3月'!E4:E34,$B9)+COUNTIF('3月'!I4:I34,$B9)+COUNTIF('3月'!J4:J34,$B9)+COUNTIF('3月'!N4:N34,$B9)+COUNTIF('3月'!O4:O34,$B9)+COUNTIF('3月'!S4:S34,$B9)+COUNTIF('3月'!T4:T34,$B9)+COUNTIF('3月'!X4:X34,$B9)+COUNTIF('3月'!Y4:Y34,$B9)+COUNTIF('3月'!AC4:AC34,$B9)+COUNTIF('3月'!AD4:AD34,$B9)+COUNTIF('3月'!AH4:AH34,$B9)+COUNTIF('3月'!AI4:AI34,$B9)+COUNTIF('3月'!AM4:AM34,$B9)+COUNTIF('3月'!AN4:AN34,$B9)+COUNTIF('3月'!AR4:AR34,$B9)+COUNTIF('3月'!AS4:AS34,$B9)+COUNTIF('3月'!AW4:AW34,$B9)+COUNTIF('3月'!AX4:AX34,$B9)+COUNTIF('3月'!BB4:BB34,$B9)+COUNTIF('3月'!BC4:BC34,$B9)+COUNTIF('3月'!BG4:BG34,$B9)+COUNTIF('3月'!BH4:BH34,$B9)+COUNTIF('3月'!BL4:BL34,$B9)+COUNTIF('3月'!BM4:BM34,$B9)+COUNTIF('3月'!BQ4:BQ34,$B9)+COUNTIF('3月'!BR4:BR34,$B9)+COUNTIF('3月'!BV4:BV34,$B9)+COUNTIF('3月'!BW4:BW34,$B9)+COUNTIF('3月'!CA4:CA34,$B9)+COUNTIF('3月'!CB4:CB34,$B9)+COUNTIF('3月'!CF4:CF34,$B9)+COUNTIF('3月'!CG4:CG34,$B9)+COUNTIF('3月'!CK4:CK34,$B9)+COUNTIF('3月'!CL4:CL34,$B9)+COUNTIF('3月'!CP4:CP34,$B9)+COUNTIF('3月'!CQ4:CQ34,$B9)+COUNTIF('3月'!CU4:CU34,$B9)+COUNTIF('3月'!CV4:CV34,$B9)+COUNTIF('3月'!CZ4:CZ34,$B9)+COUNTIF('3月'!DA4:DA34,$B9)+COUNTIF('3月'!DE4:DE34,$B9)+COUNTIF('3月'!DF4:DF34,$B9)+COUNTIF('3月'!DJ4:DJ34,$B9)+COUNTIF('3月'!DK4:DK34,$B9)+COUNTIF('3月'!DO4:DO34,$B9)+COUNTIF('3月'!DP4:DP34,$B9)+COUNTIF('3月'!DT4:DT34,$B9)+COUNTIF('3月'!DU4:DU34,$B9)+COUNTIF('3月'!DY4:DY34,$B9)+COUNTIF('3月'!DZ4:DZ34,$B9)+COUNTIF('3月'!ED4:ED34,$B9)+COUNTIF('3月'!EE4:EE34,$B9)+COUNTIF('3月'!EI4:EI34,$B9)+COUNTIF('3月'!EJ4:EJ34,$B9)+COUNTIF('3月'!EN4:EN34,$B9)+COUNTIF('3月'!EO4:EO34,$B9)+COUNTIF('3月'!ES4:ES34,$B9)+COUNTIF('3月'!ET4:ET34,$B9)),0)</f>
        <v>0</v>
      </c>
      <c r="F9" s="76">
        <f>IFERROR(IF($B9="","",COUNTIF('4月'!D4:D34,$B9)+COUNTIF('4月'!E4:E34,$B9)+COUNTIF('4月'!I4:I34,$B9)+COUNTIF('4月'!J4:J34,$B9)+COUNTIF('4月'!N4:N34,$B9)+COUNTIF('4月'!O4:O34,$B9)+COUNTIF('4月'!S4:S34,$B9)+COUNTIF('4月'!T4:T34,$B9)+COUNTIF('4月'!X4:X34,$B9)+COUNTIF('4月'!Y4:Y34,$B9)+COUNTIF('4月'!AC4:AC34,$B9)+COUNTIF('4月'!AD4:AD34,$B9)+COUNTIF('4月'!AH4:AH34,$B9)+COUNTIF('4月'!AI4:AI34,$B9)+COUNTIF('4月'!AM4:AM34,$B9)+COUNTIF('4月'!AN4:AN34,$B9)+COUNTIF('4月'!AR4:AR34,$B9)+COUNTIF('4月'!AS4:AS34,$B9)+COUNTIF('4月'!AW4:AW34,$B9)+COUNTIF('4月'!AX4:AX34,$B9)+COUNTIF('4月'!BB4:BB34,$B9)+COUNTIF('4月'!BC4:BC34,$B9)+COUNTIF('4月'!BG4:BG34,$B9)+COUNTIF('4月'!BH4:BH34,$B9)+COUNTIF('4月'!BL4:BL34,$B9)+COUNTIF('4月'!BM4:BM34,$B9)+COUNTIF('4月'!BQ4:BQ34,$B9)+COUNTIF('4月'!BR4:BR34,$B9)+COUNTIF('4月'!BV4:BV34,$B9)+COUNTIF('4月'!BW4:BW34,$B9)+COUNTIF('4月'!CA4:CA34,$B9)+COUNTIF('4月'!CB4:CB34,$B9)+COUNTIF('4月'!CF4:CF34,$B9)+COUNTIF('4月'!CG4:CG34,$B9)+COUNTIF('4月'!CK4:CK34,$B9)+COUNTIF('4月'!CL4:CL34,$B9)+COUNTIF('4月'!CP4:CP34,$B9)+COUNTIF('4月'!CQ4:CQ34,$B9)+COUNTIF('4月'!CU4:CU34,$B9)+COUNTIF('4月'!CV4:CV34,$B9)+COUNTIF('4月'!CZ4:CZ34,$B9)+COUNTIF('4月'!DA4:DA34,$B9)+COUNTIF('4月'!DE4:DE34,$B9)+COUNTIF('4月'!DF4:DF34,$B9)+COUNTIF('4月'!DJ4:DJ34,$B9)+COUNTIF('4月'!DK4:DK34,$B9)+COUNTIF('4月'!DO4:DO34,$B9)+COUNTIF('4月'!DP4:DP34,$B9)+COUNTIF('4月'!DT4:DT34,$B9)+COUNTIF('4月'!DU4:DU34,$B9)+COUNTIF('4月'!DY4:DY34,$B9)+COUNTIF('4月'!DZ4:DZ34,$B9)+COUNTIF('4月'!ED4:ED34,$B9)+COUNTIF('4月'!EE4:EE34,$B9)+COUNTIF('4月'!EI4:EI34,$B9)+COUNTIF('4月'!EJ4:EJ34,$B9)+COUNTIF('4月'!EN4:EN34,$B9)+COUNTIF('4月'!EO4:EO34,$B9)+COUNTIF('4月'!ES4:ES34,$B9)+COUNTIF('4月'!ET4:ET34,$B9)),0)</f>
        <v>0</v>
      </c>
      <c r="G9" s="76">
        <f>IFERROR(IF($B9="","",COUNTIF('5月'!D4:D34,$B9)+COUNTIF('5月'!E4:E34,$B9)+COUNTIF('5月'!I4:I34,$B9)+COUNTIF('5月'!J4:J34,$B9)+COUNTIF('5月'!N4:N34,$B9)+COUNTIF('5月'!O4:O34,$B9)+COUNTIF('5月'!S4:S34,$B9)+COUNTIF('5月'!T4:T34,$B9)+COUNTIF('5月'!X4:X34,$B9)+COUNTIF('5月'!Y4:Y34,$B9)+COUNTIF('5月'!AC4:AC34,$B9)+COUNTIF('5月'!AD4:AD34,$B9)+COUNTIF('5月'!AH4:AH34,$B9)+COUNTIF('5月'!AI4:AI34,$B9)+COUNTIF('5月'!AM4:AM34,$B9)+COUNTIF('5月'!AN4:AN34,$B9)+COUNTIF('5月'!AR4:AR34,$B9)+COUNTIF('5月'!AS4:AS34,$B9)+COUNTIF('5月'!AW4:AW34,$B9)+COUNTIF('5月'!AX4:AX34,$B9)+COUNTIF('5月'!BB4:BB34,$B9)+COUNTIF('5月'!BC4:BC34,$B9)+COUNTIF('5月'!BG4:BG34,$B9)+COUNTIF('5月'!BH4:BH34,$B9)+COUNTIF('5月'!BL4:BL34,$B9)+COUNTIF('5月'!BM4:BM34,$B9)+COUNTIF('5月'!BQ4:BQ34,$B9)+COUNTIF('5月'!BR4:BR34,$B9)+COUNTIF('5月'!BV4:BV34,$B9)+COUNTIF('5月'!BW4:BW34,$B9)+COUNTIF('5月'!CA4:CA34,$B9)+COUNTIF('5月'!CB4:CB34,$B9)+COUNTIF('5月'!CF4:CF34,$B9)+COUNTIF('5月'!CG4:CG34,$B9)+COUNTIF('5月'!CK4:CK34,$B9)+COUNTIF('5月'!CL4:CL34,$B9)+COUNTIF('5月'!CP4:CP34,$B9)+COUNTIF('5月'!CQ4:CQ34,$B9)+COUNTIF('5月'!CU4:CU34,$B9)+COUNTIF('5月'!CV4:CV34,$B9)+COUNTIF('5月'!CZ4:CZ34,$B9)+COUNTIF('5月'!DA4:DA34,$B9)+COUNTIF('5月'!DE4:DE34,$B9)+COUNTIF('5月'!DF4:DF34,$B9)+COUNTIF('5月'!DJ4:DJ34,$B9)+COUNTIF('5月'!DK4:DK34,$B9)+COUNTIF('5月'!DO4:DO34,$B9)+COUNTIF('5月'!DP4:DP34,$B9)+COUNTIF('5月'!DT4:DT34,$B9)+COUNTIF('5月'!DU4:DU34,$B9)+COUNTIF('5月'!DY4:DY34,$B9)+COUNTIF('5月'!DZ4:DZ34,$B9)+COUNTIF('5月'!ED4:ED34,$B9)+COUNTIF('5月'!EE4:EE34,$B9)+COUNTIF('5月'!EI4:EI34,$B9)+COUNTIF('5月'!EJ4:EJ34,$B9)+COUNTIF('5月'!EN4:EN34,$B9)+COUNTIF('5月'!EO4:EO34,$B9)+COUNTIF('5月'!ES4:ES34,$B9)+COUNTIF('5月'!ET4:ET34,$B9)),0)</f>
        <v>0</v>
      </c>
      <c r="H9" s="76">
        <f>IFERROR(IF($B9="","",COUNTIF('6月'!D4:D34,$B9)+COUNTIF('6月'!E4:E34,$B9)+COUNTIF('6月'!I4:I34,$B9)+COUNTIF('6月'!J4:J34,$B9)+COUNTIF('6月'!N4:N34,$B9)+COUNTIF('6月'!O4:O34,$B9)+COUNTIF('6月'!S4:S34,$B9)+COUNTIF('6月'!T4:T34,$B9)+COUNTIF('6月'!X4:X34,$B9)+COUNTIF('6月'!Y4:Y34,$B9)+COUNTIF('6月'!AC4:AC34,$B9)+COUNTIF('6月'!AD4:AD34,$B9)+COUNTIF('6月'!AH4:AH34,$B9)+COUNTIF('6月'!AI4:AI34,$B9)+COUNTIF('6月'!AM4:AM34,$B9)+COUNTIF('6月'!AN4:AN34,$B9)+COUNTIF('6月'!AR4:AR34,$B9)+COUNTIF('6月'!AS4:AS34,$B9)+COUNTIF('6月'!AW4:AW34,$B9)+COUNTIF('6月'!AX4:AX34,$B9)+COUNTIF('6月'!BB4:BB34,$B9)+COUNTIF('6月'!BC4:BC34,$B9)+COUNTIF('6月'!BG4:BG34,$B9)+COUNTIF('6月'!BH4:BH34,$B9)+COUNTIF('6月'!BL4:BL34,$B9)+COUNTIF('6月'!BM4:BM34,$B9)+COUNTIF('6月'!BQ4:BQ34,$B9)+COUNTIF('6月'!BR4:BR34,$B9)+COUNTIF('6月'!BV4:BV34,$B9)+COUNTIF('6月'!BW4:BW34,$B9)+COUNTIF('6月'!CA4:CA34,$B9)+COUNTIF('6月'!CB4:CB34,$B9)+COUNTIF('6月'!CF4:CF34,$B9)+COUNTIF('6月'!CG4:CG34,$B9)+COUNTIF('6月'!CK4:CK34,$B9)+COUNTIF('6月'!CL4:CL34,$B9)+COUNTIF('6月'!CP4:CP34,$B9)+COUNTIF('6月'!CQ4:CQ34,$B9)+COUNTIF('6月'!CU4:CU34,$B9)+COUNTIF('6月'!CV4:CV34,$B9)+COUNTIF('6月'!CZ4:CZ34,$B9)+COUNTIF('6月'!DA4:DA34,$B9)+COUNTIF('6月'!DE4:DE34,$B9)+COUNTIF('6月'!DF4:DF34,$B9)+COUNTIF('6月'!DJ4:DJ34,$B9)+COUNTIF('6月'!DK4:DK34,$B9)+COUNTIF('6月'!DO4:DO34,$B9)+COUNTIF('6月'!DP4:DP34,$B9)+COUNTIF('6月'!DT4:DT34,$B9)+COUNTIF('6月'!DU4:DU34,$B9)+COUNTIF('6月'!DY4:DY34,$B9)+COUNTIF('6月'!DZ4:DZ34,$B9)+COUNTIF('6月'!ED4:ED34,$B9)+COUNTIF('6月'!EE4:EE34,$B9)+COUNTIF('6月'!EI4:EI34,$B9)+COUNTIF('6月'!EJ4:EJ34,$B9)+COUNTIF('6月'!EN4:EN34,$B9)+COUNTIF('6月'!EO4:EO34,$B9)+COUNTIF('6月'!ES4:ES34,$B9)+COUNTIF('6月'!ET4:ET34,$B9)),0)</f>
        <v>0</v>
      </c>
      <c r="I9" s="76">
        <f>IFERROR(IF($B9="","",COUNTIF('7月'!D4:D34,$B9)+COUNTIF('7月'!E4:E34,$B9)+COUNTIF('7月'!I4:I34,$B9)+COUNTIF('7月'!J4:J34,$B9)+COUNTIF('7月'!N4:N34,$B9)+COUNTIF('7月'!O4:O34,$B9)+COUNTIF('7月'!S4:S34,$B9)+COUNTIF('7月'!T4:T34,$B9)+COUNTIF('7月'!X4:X34,$B9)+COUNTIF('7月'!Y4:Y34,$B9)+COUNTIF('7月'!AC4:AC34,$B9)+COUNTIF('7月'!AD4:AD34,$B9)+COUNTIF('7月'!AH4:AH34,$B9)+COUNTIF('7月'!AI4:AI34,$B9)+COUNTIF('7月'!AM4:AM34,$B9)+COUNTIF('7月'!AN4:AN34,$B9)+COUNTIF('7月'!AR4:AR34,$B9)+COUNTIF('7月'!AS4:AS34,$B9)+COUNTIF('7月'!AW4:AW34,$B9)+COUNTIF('7月'!AX4:AX34,$B9)+COUNTIF('7月'!BB4:BB34,$B9)+COUNTIF('7月'!BC4:BC34,$B9)+COUNTIF('7月'!BG4:BG34,$B9)+COUNTIF('7月'!BH4:BH34,$B9)+COUNTIF('7月'!BL4:BL34,$B9)+COUNTIF('7月'!BM4:BM34,$B9)+COUNTIF('7月'!BQ4:BQ34,$B9)+COUNTIF('7月'!BR4:BR34,$B9)+COUNTIF('7月'!BV4:BV34,$B9)+COUNTIF('7月'!BW4:BW34,$B9)+COUNTIF('7月'!CA4:CA34,$B9)+COUNTIF('7月'!CB4:CB34,$B9)+COUNTIF('7月'!CF4:CF34,$B9)+COUNTIF('7月'!CG4:CG34,$B9)+COUNTIF('7月'!CK4:CK34,$B9)+COUNTIF('7月'!CL4:CL34,$B9)+COUNTIF('7月'!CP4:CP34,$B9)+COUNTIF('7月'!CQ4:CQ34,$B9)+COUNTIF('7月'!CU4:CU34,$B9)+COUNTIF('7月'!CV4:CV34,$B9)+COUNTIF('7月'!CZ4:CZ34,$B9)+COUNTIF('7月'!DA4:DA34,$B9)+COUNTIF('7月'!DE4:DE34,$B9)+COUNTIF('7月'!DF4:DF34,$B9)+COUNTIF('7月'!DJ4:DJ34,$B9)+COUNTIF('7月'!DK4:DK34,$B9)+COUNTIF('7月'!DO4:DO34,$B9)+COUNTIF('7月'!DP4:DP34,$B9)+COUNTIF('7月'!DT4:DT34,$B9)+COUNTIF('7月'!DU4:DU34,$B9)+COUNTIF('7月'!DY4:DY34,$B9)+COUNTIF('7月'!DZ4:DZ34,$B9)+COUNTIF('7月'!ED4:ED34,$B9)+COUNTIF('7月'!EE4:EE34,$B9)+COUNTIF('7月'!EI4:EI34,$B9)+COUNTIF('7月'!EJ4:EJ34,$B9)+COUNTIF('7月'!EN4:EN34,$B9)+COUNTIF('7月'!EO4:EO34,$B9)+COUNTIF('7月'!ES4:ES34,$B9)+COUNTIF('7月'!ET4:ET34,$B9)),0)</f>
        <v>0</v>
      </c>
      <c r="J9" s="76">
        <f>IFERROR(IF($B9="","",COUNTIF('8月'!D4:D34,$B9)+COUNTIF('8月'!E4:E34,$B9)+COUNTIF('8月'!I4:I34,$B9)+COUNTIF('8月'!J4:J34,$B9)+COUNTIF('8月'!N4:N34,$B9)+COUNTIF('8月'!O4:O34,$B9)+COUNTIF('8月'!S4:S34,$B9)+COUNTIF('8月'!T4:T34,$B9)+COUNTIF('8月'!X4:X34,$B9)+COUNTIF('8月'!Y4:Y34,$B9)+COUNTIF('8月'!AC4:AC34,$B9)+COUNTIF('8月'!AD4:AD34,$B9)+COUNTIF('8月'!AH4:AH34,$B9)+COUNTIF('8月'!AI4:AI34,$B9)+COUNTIF('8月'!AM4:AM34,$B9)+COUNTIF('8月'!AN4:AN34,$B9)+COUNTIF('8月'!AR4:AR34,$B9)+COUNTIF('8月'!AS4:AS34,$B9)+COUNTIF('8月'!AW4:AW34,$B9)+COUNTIF('8月'!AX4:AX34,$B9)+COUNTIF('8月'!BB4:BB34,$B9)+COUNTIF('8月'!BC4:BC34,$B9)+COUNTIF('8月'!BG4:BG34,$B9)+COUNTIF('8月'!BH4:BH34,$B9)+COUNTIF('8月'!BL4:BL34,$B9)+COUNTIF('8月'!BM4:BM34,$B9)+COUNTIF('8月'!BQ4:BQ34,$B9)+COUNTIF('8月'!BR4:BR34,$B9)+COUNTIF('8月'!BV4:BV34,$B9)+COUNTIF('8月'!BW4:BW34,$B9)+COUNTIF('8月'!CA4:CA34,$B9)+COUNTIF('8月'!CB4:CB34,$B9)+COUNTIF('8月'!CF4:CF34,$B9)+COUNTIF('8月'!CG4:CG34,$B9)+COUNTIF('8月'!CK4:CK34,$B9)+COUNTIF('8月'!CL4:CL34,$B9)+COUNTIF('8月'!CP4:CP34,$B9)+COUNTIF('8月'!CQ4:CQ34,$B9)+COUNTIF('8月'!CU4:CU34,$B9)+COUNTIF('8月'!CV4:CV34,$B9)+COUNTIF('8月'!CZ4:CZ34,$B9)+COUNTIF('8月'!DA4:DA34,$B9)+COUNTIF('8月'!DE4:DE34,$B9)+COUNTIF('8月'!DF4:DF34,$B9)+COUNTIF('8月'!DJ4:DJ34,$B9)+COUNTIF('8月'!DK4:DK34,$B9)+COUNTIF('8月'!DO4:DO34,$B9)+COUNTIF('8月'!DP4:DP34,$B9)+COUNTIF('8月'!DT4:DT34,$B9)+COUNTIF('8月'!DU4:DU34,$B9)+COUNTIF('8月'!DY4:DY34,$B9)+COUNTIF('8月'!DZ4:DZ34,$B9)+COUNTIF('8月'!ED4:ED34,$B9)+COUNTIF('8月'!EE4:EE34,$B9)+COUNTIF('8月'!EI4:EI34,$B9)+COUNTIF('8月'!EJ4:EJ34,$B9)+COUNTIF('8月'!EN4:EN34,$B9)+COUNTIF('8月'!EO4:EO34,$B9)+COUNTIF('8月'!ES4:ES34,$B9)+COUNTIF('8月'!ET4:ET34,$B9)),0)</f>
        <v>0</v>
      </c>
      <c r="K9" s="76">
        <f>IFERROR(IF($B9="","",COUNTIF('9月'!D4:D34,$B9)+COUNTIF('9月'!E4:E34,$B9)+COUNTIF('9月'!I4:I34,$B9)+COUNTIF('9月'!J4:J34,$B9)+COUNTIF('9月'!N4:N34,$B9)+COUNTIF('9月'!O4:O34,$B9)+COUNTIF('9月'!S4:S34,$B9)+COUNTIF('9月'!T4:T34,$B9)+COUNTIF('9月'!X4:X34,$B9)+COUNTIF('9月'!Y4:Y34,$B9)+COUNTIF('9月'!AC4:AC34,$B9)+COUNTIF('9月'!AD4:AD34,$B9)+COUNTIF('9月'!AH4:AH34,$B9)+COUNTIF('9月'!AI4:AI34,$B9)+COUNTIF('9月'!AM4:AM34,$B9)+COUNTIF('9月'!AN4:AN34,$B9)+COUNTIF('9月'!AR4:AR34,$B9)+COUNTIF('9月'!AS4:AS34,$B9)+COUNTIF('9月'!AW4:AW34,$B9)+COUNTIF('9月'!AX4:AX34,$B9)+COUNTIF('9月'!BB4:BB34,$B9)+COUNTIF('9月'!BC4:BC34,$B9)+COUNTIF('9月'!BG4:BG34,$B9)+COUNTIF('9月'!BH4:BH34,$B9)+COUNTIF('9月'!BL4:BL34,$B9)+COUNTIF('9月'!BM4:BM34,$B9)+COUNTIF('9月'!BQ4:BQ34,$B9)+COUNTIF('9月'!BR4:BR34,$B9)+COUNTIF('9月'!BV4:BV34,$B9)+COUNTIF('9月'!BW4:BW34,$B9)+COUNTIF('9月'!CA4:CA34,$B9)+COUNTIF('9月'!CB4:CB34,$B9)+COUNTIF('9月'!CF4:CF34,$B9)+COUNTIF('9月'!CG4:CG34,$B9)+COUNTIF('9月'!CK4:CK34,$B9)+COUNTIF('9月'!CL4:CL34,$B9)+COUNTIF('9月'!CP4:CP34,$B9)+COUNTIF('9月'!CQ4:CQ34,$B9)+COUNTIF('9月'!CU4:CU34,$B9)+COUNTIF('9月'!CV4:CV34,$B9)+COUNTIF('9月'!CZ4:CZ34,$B9)+COUNTIF('9月'!DA4:DA34,$B9)+COUNTIF('9月'!DE4:DE34,$B9)+COUNTIF('9月'!DF4:DF34,$B9)+COUNTIF('9月'!DJ4:DJ34,$B9)+COUNTIF('9月'!DK4:DK34,$B9)+COUNTIF('9月'!DO4:DO34,$B9)+COUNTIF('9月'!DP4:DP34,$B9)+COUNTIF('9月'!DT4:DT34,$B9)+COUNTIF('9月'!DU4:DU34,$B9)+COUNTIF('9月'!DY4:DY34,$B9)+COUNTIF('9月'!DZ4:DZ34,$B9)+COUNTIF('9月'!ED4:ED34,$B9)+COUNTIF('9月'!EE4:EE34,$B9)+COUNTIF('9月'!EI4:EI34,$B9)+COUNTIF('9月'!EJ4:EJ34,$B9)+COUNTIF('9月'!EN4:EN34,$B9)+COUNTIF('9月'!EO4:EO34,$B9)+COUNTIF('9月'!ES4:ES34,$B9)+COUNTIF('9月'!ET4:ET34,$B9)),0)</f>
        <v>0</v>
      </c>
      <c r="L9" s="76">
        <f>IFERROR(IF($B9="","",COUNTIF('10月'!D4:D34,$B9)+COUNTIF('10月'!E4:E34,$B9)+COUNTIF('10月'!I4:I34,$B9)+COUNTIF('10月'!J4:J34,$B9)+COUNTIF('10月'!N4:N34,$B9)+COUNTIF('10月'!O4:O34,$B9)+COUNTIF('10月'!S4:S34,$B9)+COUNTIF('10月'!T4:T34,$B9)+COUNTIF('10月'!X4:X34,$B9)+COUNTIF('10月'!Y4:Y34,$B9)+COUNTIF('10月'!AC4:AC34,$B9)+COUNTIF('10月'!AD4:AD34,$B9)+COUNTIF('10月'!AH4:AH34,$B9)+COUNTIF('10月'!AI4:AI34,$B9)+COUNTIF('10月'!AM4:AM34,$B9)+COUNTIF('10月'!AN4:AN34,$B9)+COUNTIF('10月'!AR4:AR34,$B9)+COUNTIF('10月'!AS4:AS34,$B9)+COUNTIF('10月'!AW4:AW34,$B9)+COUNTIF('10月'!AX4:AX34,$B9)+COUNTIF('10月'!BB4:BB34,$B9)+COUNTIF('10月'!BC4:BC34,$B9)+COUNTIF('10月'!BG4:BG34,$B9)+COUNTIF('10月'!BH4:BH34,$B9)+COUNTIF('10月'!BL4:BL34,$B9)+COUNTIF('10月'!BM4:BM34,$B9)+COUNTIF('10月'!BQ4:BQ34,$B9)+COUNTIF('10月'!BR4:BR34,$B9)+COUNTIF('10月'!BV4:BV34,$B9)+COUNTIF('10月'!BW4:BW34,$B9)+COUNTIF('10月'!CA4:CA34,$B9)+COUNTIF('10月'!CB4:CB34,$B9)+COUNTIF('10月'!CF4:CF34,$B9)+COUNTIF('10月'!CG4:CG34,$B9)+COUNTIF('10月'!CK4:CK34,$B9)+COUNTIF('10月'!CL4:CL34,$B9)+COUNTIF('10月'!CP4:CP34,$B9)+COUNTIF('10月'!CQ4:CQ34,$B9)+COUNTIF('10月'!CU4:CU34,$B9)+COUNTIF('10月'!CV4:CV34,$B9)+COUNTIF('10月'!CZ4:CZ34,$B9)+COUNTIF('10月'!DA4:DA34,$B9)+COUNTIF('10月'!DE4:DE34,$B9)+COUNTIF('10月'!DF4:DF34,$B9)+COUNTIF('10月'!DJ4:DJ34,$B9)+COUNTIF('10月'!DK4:DK34,$B9)+COUNTIF('10月'!DO4:DO34,$B9)+COUNTIF('10月'!DP4:DP34,$B9)+COUNTIF('10月'!DT4:DT34,$B9)+COUNTIF('10月'!DU4:DU34,$B9)+COUNTIF('10月'!DY4:DY34,$B9)+COUNTIF('10月'!DZ4:DZ34,$B9)+COUNTIF('10月'!ED4:ED34,$B9)+COUNTIF('10月'!EE4:EE34,$B9)+COUNTIF('10月'!EI4:EI34,$B9)+COUNTIF('10月'!EJ4:EJ34,$B9)+COUNTIF('10月'!EN4:EN34,$B9)+COUNTIF('10月'!EO4:EO34,$B9)+COUNTIF('10月'!ES4:ES34,$B9)+COUNTIF('10月'!ET4:ET34,$B9)),0)</f>
        <v>0</v>
      </c>
      <c r="M9" s="76">
        <f>IFERROR(IF($B9="","",COUNTIF('11月'!D4:D34,$B9)+COUNTIF('11月'!E4:E34,$B9)+COUNTIF('11月'!I4:I34,$B9)+COUNTIF('11月'!J4:J34,$B9)+COUNTIF('11月'!N4:N34,$B9)+COUNTIF('11月'!O4:O34,$B9)+COUNTIF('11月'!S4:S34,$B9)+COUNTIF('11月'!T4:T34,$B9)+COUNTIF('11月'!X4:X34,$B9)+COUNTIF('11月'!Y4:Y34,$B9)+COUNTIF('11月'!AC4:AC34,$B9)+COUNTIF('11月'!AD4:AD34,$B9)+COUNTIF('11月'!AH4:AH34,$B9)+COUNTIF('11月'!AI4:AI34,$B9)+COUNTIF('11月'!AM4:AM34,$B9)+COUNTIF('11月'!AN4:AN34,$B9)+COUNTIF('11月'!AR4:AR34,$B9)+COUNTIF('11月'!AS4:AS34,$B9)+COUNTIF('11月'!AW4:AW34,$B9)+COUNTIF('11月'!AX4:AX34,$B9)+COUNTIF('11月'!BB4:BB34,$B9)+COUNTIF('11月'!BC4:BC34,$B9)+COUNTIF('11月'!BG4:BG34,$B9)+COUNTIF('11月'!BH4:BH34,$B9)+COUNTIF('11月'!BL4:BL34,$B9)+COUNTIF('11月'!BM4:BM34,$B9)+COUNTIF('11月'!BQ4:BQ34,$B9)+COUNTIF('11月'!BR4:BR34,$B9)+COUNTIF('11月'!BV4:BV34,$B9)+COUNTIF('11月'!BW4:BW34,$B9)+COUNTIF('11月'!CA4:CA34,$B9)+COUNTIF('11月'!CB4:CB34,$B9)+COUNTIF('11月'!CF4:CF34,$B9)+COUNTIF('11月'!CG4:CG34,$B9)+COUNTIF('11月'!CK4:CK34,$B9)+COUNTIF('11月'!CL4:CL34,$B9)+COUNTIF('11月'!CP4:CP34,$B9)+COUNTIF('11月'!CQ4:CQ34,$B9)+COUNTIF('11月'!CU4:CU34,$B9)+COUNTIF('11月'!CV4:CV34,$B9)+COUNTIF('11月'!CZ4:CZ34,$B9)+COUNTIF('11月'!DA4:DA34,$B9)+COUNTIF('11月'!DE4:DE34,$B9)+COUNTIF('11月'!DF4:DF34,$B9)+COUNTIF('11月'!DJ4:DJ34,$B9)+COUNTIF('11月'!DK4:DK34,$B9)+COUNTIF('11月'!DO4:DO34,$B9)+COUNTIF('11月'!DP4:DP34,$B9)+COUNTIF('11月'!DT4:DT34,$B9)+COUNTIF('11月'!DU4:DU34,$B9)+COUNTIF('11月'!DY4:DY34,$B9)+COUNTIF('11月'!DZ4:DZ34,$B9)+COUNTIF('11月'!ED4:ED34,$B9)+COUNTIF('11月'!EE4:EE34,$B9)+COUNTIF('11月'!EI4:EI34,$B9)+COUNTIF('11月'!EJ4:EJ34,$B9)+COUNTIF('11月'!EN4:EN34,$B9)+COUNTIF('11月'!EO4:EO34,$B9)+COUNTIF('11月'!ES4:ES34,$B9)+COUNTIF('11月'!ET4:ET34,$B9)),0)</f>
        <v>0</v>
      </c>
      <c r="N9" s="76">
        <f>IFERROR(IF($B9="","",COUNTIF('12月'!D4:D34,$B9)+COUNTIF('12月'!E4:E34,$B9)+COUNTIF('12月'!I4:I34,$B9)+COUNTIF('12月'!J4:J34,$B9)+COUNTIF('12月'!N4:N34,$B9)+COUNTIF('12月'!O4:O34,$B9)+COUNTIF('12月'!S4:S34,$B9)+COUNTIF('12月'!T4:T34,$B9)+COUNTIF('12月'!X4:X34,$B9)+COUNTIF('12月'!Y4:Y34,$B9)+COUNTIF('12月'!AC4:AC34,$B9)+COUNTIF('12月'!AD4:AD34,$B9)+COUNTIF('12月'!AH4:AH34,$B9)+COUNTIF('12月'!AI4:AI34,$B9)+COUNTIF('12月'!AM4:AM34,$B9)+COUNTIF('12月'!AN4:AN34,$B9)+COUNTIF('12月'!AR4:AR34,$B9)+COUNTIF('12月'!AS4:AS34,$B9)+COUNTIF('12月'!AW4:AW34,$B9)+COUNTIF('12月'!AX4:AX34,$B9)+COUNTIF('12月'!BB4:BB34,$B9)+COUNTIF('12月'!BC4:BC34,$B9)+COUNTIF('12月'!BG4:BG34,$B9)+COUNTIF('12月'!BH4:BH34,$B9)+COUNTIF('12月'!BL4:BL34,$B9)+COUNTIF('12月'!BM4:BM34,$B9)+COUNTIF('12月'!BQ4:BQ34,$B9)+COUNTIF('12月'!BR4:BR34,$B9)+COUNTIF('12月'!BV4:BV34,$B9)+COUNTIF('12月'!BW4:BW34,$B9)+COUNTIF('12月'!CA4:CA34,$B9)+COUNTIF('12月'!CB4:CB34,$B9)+COUNTIF('12月'!CF4:CF34,$B9)+COUNTIF('12月'!CG4:CG34,$B9)+COUNTIF('12月'!CK4:CK34,$B9)+COUNTIF('12月'!CL4:CL34,$B9)+COUNTIF('12月'!CP4:CP34,$B9)+COUNTIF('12月'!CQ4:CQ34,$B9)+COUNTIF('12月'!CU4:CU34,$B9)+COUNTIF('12月'!CV4:CV34,$B9)+COUNTIF('12月'!CZ4:CZ34,$B9)+COUNTIF('12月'!DA4:DA34,$B9)+COUNTIF('12月'!DE4:DE34,$B9)+COUNTIF('12月'!DF4:DF34,$B9)+COUNTIF('12月'!DJ4:DJ34,$B9)+COUNTIF('12月'!DK4:DK34,$B9)+COUNTIF('12月'!DO4:DO34,$B9)+COUNTIF('12月'!DP4:DP34,$B9)+COUNTIF('12月'!DT4:DT34,$B9)+COUNTIF('12月'!DU4:DU34,$B9)+COUNTIF('12月'!DY4:DY34,$B9)+COUNTIF('12月'!DZ4:DZ34,$B9)+COUNTIF('12月'!ED4:ED34,$B9)+COUNTIF('12月'!EE4:EE34,$B9)+COUNTIF('12月'!EI4:EI34,$B9)+COUNTIF('12月'!EJ4:EJ34,$B9)+COUNTIF('12月'!EN4:EN34,$B9)+COUNTIF('12月'!EO4:EO34,$B9)+COUNTIF('12月'!ES4:ES34,$B9)+COUNTIF('12月'!ET4:ET34,$B9)),0)</f>
        <v>0</v>
      </c>
      <c r="O9" s="78">
        <f t="shared" si="0"/>
        <v>1</v>
      </c>
    </row>
    <row r="10" spans="1:15" ht="19.5" customHeight="1">
      <c r="A10" s="76">
        <v>8</v>
      </c>
      <c r="B10" s="77">
        <f>IFERROR(現場マスタ!$C$11,"")</f>
        <v>0</v>
      </c>
      <c r="C10" s="76">
        <f>IFERROR(IF($B10="","",COUNTIF('1月'!D4:D34,$B10)+COUNTIF('1月'!E4:E34,$B10)+COUNTIF('1月'!I4:I34,$B10)+COUNTIF('1月'!J4:J34,$B10)+COUNTIF('1月'!N4:N34,$B10)+COUNTIF('1月'!O4:O34,$B10)+COUNTIF('1月'!S4:S34,$B10)+COUNTIF('1月'!T4:T34,$B10)+COUNTIF('1月'!X4:X34,$B10)+COUNTIF('1月'!Y4:Y34,$B10)+COUNTIF('1月'!AC4:AC34,$B10)+COUNTIF('1月'!AD4:AD34,$B10)+COUNTIF('1月'!AH4:AH34,$B10)+COUNTIF('1月'!AI4:AI34,$B10)+COUNTIF('1月'!AM4:AM34,$B10)+COUNTIF('1月'!AN4:AN34,$B10)+COUNTIF('1月'!AR4:AR34,$B10)+COUNTIF('1月'!AS4:AS34,$B10)+COUNTIF('1月'!AW4:AW34,$B10)+COUNTIF('1月'!AX4:AX34,$B10)+COUNTIF('1月'!BB4:BB34,$B10)+COUNTIF('1月'!BC4:BC34,$B10)+COUNTIF('1月'!BG4:BG34,$B10)+COUNTIF('1月'!BH4:BH34,$B10)+COUNTIF('1月'!BL4:BL34,$B10)+COUNTIF('1月'!BM4:BM34,$B10)+COUNTIF('1月'!BQ4:BQ34,$B10)+COUNTIF('1月'!BR4:BR34,$B10)+COUNTIF('1月'!BV4:BV34,$B10)+COUNTIF('1月'!BW4:BW34,$B10)+COUNTIF('1月'!CA4:CA34,$B10)+COUNTIF('1月'!CB4:CB34,$B10)+COUNTIF('1月'!CF4:CF34,$B10)+COUNTIF('1月'!CG4:CG34,$B10)+COUNTIF('1月'!CK4:CK34,$B10)+COUNTIF('1月'!CL4:CL34,$B10)+COUNTIF('1月'!CP4:CP34,$B10)+COUNTIF('1月'!CQ4:CQ34,$B10)+COUNTIF('1月'!CU4:CU34,$B10)+COUNTIF('1月'!CV4:CV34,$B10)+COUNTIF('1月'!CZ4:CZ34,$B10)+COUNTIF('1月'!DA4:DA34,$B10)+COUNTIF('1月'!DE4:DE34,$B10)+COUNTIF('1月'!DF4:DF34,$B10)+COUNTIF('1月'!DJ4:DJ34,$B10)+COUNTIF('1月'!DK4:DK34,$B10)+COUNTIF('1月'!DO4:DO34,$B10)+COUNTIF('1月'!DP4:DP34,$B10)+COUNTIF('1月'!DT4:DT34,$B10)+COUNTIF('1月'!DU4:DU34,$B10)+COUNTIF('1月'!DY4:DY34,$B10)+COUNTIF('1月'!DZ4:DZ34,$B10)+COUNTIF('1月'!ED4:ED34,$B10)+COUNTIF('1月'!EE4:EE34,$B10)+COUNTIF('1月'!EI4:EI34,$B10)+COUNTIF('1月'!EJ4:EJ34,$B10)+COUNTIF('1月'!EN4:EN34,$B10)+COUNTIF('1月'!EO4:EO34,$B10)+COUNTIF('1月'!ES4:ES34,$B10)+COUNTIF('1月'!ET4:ET34,$B10)),0)</f>
        <v>0</v>
      </c>
      <c r="D10" s="76">
        <f>IFERROR(IF($B10="","",COUNTIF('2月'!D4:D34,$B10)+COUNTIF('2月'!E4:E34,$B10)+COUNTIF('2月'!I4:I34,$B10)+COUNTIF('2月'!J4:J34,$B10)+COUNTIF('2月'!N4:N34,$B10)+COUNTIF('2月'!O4:O34,$B10)+COUNTIF('2月'!S4:S34,$B10)+COUNTIF('2月'!T4:T34,$B10)+COUNTIF('2月'!X4:X34,$B10)+COUNTIF('2月'!Y4:Y34,$B10)+COUNTIF('2月'!AC4:AC34,$B10)+COUNTIF('2月'!AD4:AD34,$B10)+COUNTIF('2月'!AH4:AH34,$B10)+COUNTIF('2月'!AI4:AI34,$B10)+COUNTIF('2月'!AM4:AM34,$B10)+COUNTIF('2月'!AN4:AN34,$B10)+COUNTIF('2月'!AR4:AR34,$B10)+COUNTIF('2月'!AS4:AS34,$B10)+COUNTIF('2月'!AW4:AW34,$B10)+COUNTIF('2月'!AX4:AX34,$B10)+COUNTIF('2月'!BB4:BB34,$B10)+COUNTIF('2月'!BC4:BC34,$B10)+COUNTIF('2月'!BG4:BG34,$B10)+COUNTIF('2月'!BH4:BH34,$B10)+COUNTIF('2月'!BL4:BL34,$B10)+COUNTIF('2月'!BM4:BM34,$B10)+COUNTIF('2月'!BQ4:BQ34,$B10)+COUNTIF('2月'!BR4:BR34,$B10)+COUNTIF('2月'!BV4:BV34,$B10)+COUNTIF('2月'!BW4:BW34,$B10)+COUNTIF('2月'!CA4:CA34,$B10)+COUNTIF('2月'!CB4:CB34,$B10)+COUNTIF('2月'!CF4:CF34,$B10)+COUNTIF('2月'!CG4:CG34,$B10)+COUNTIF('2月'!CK4:CK34,$B10)+COUNTIF('2月'!CL4:CL34,$B10)+COUNTIF('2月'!CP4:CP34,$B10)+COUNTIF('2月'!CQ4:CQ34,$B10)+COUNTIF('2月'!CU4:CU34,$B10)+COUNTIF('2月'!CV4:CV34,$B10)+COUNTIF('2月'!CZ4:CZ34,$B10)+COUNTIF('2月'!DA4:DA34,$B10)+COUNTIF('2月'!DE4:DE34,$B10)+COUNTIF('2月'!DF4:DF34,$B10)+COUNTIF('2月'!DJ4:DJ34,$B10)+COUNTIF('2月'!DK4:DK34,$B10)+COUNTIF('2月'!DO4:DO34,$B10)+COUNTIF('2月'!DP4:DP34,$B10)+COUNTIF('2月'!DT4:DT34,$B10)+COUNTIF('2月'!DU4:DU34,$B10)+COUNTIF('2月'!DY4:DY34,$B10)+COUNTIF('2月'!DZ4:DZ34,$B10)+COUNTIF('2月'!ED4:ED34,$B10)+COUNTIF('2月'!EE4:EE34,$B10)+COUNTIF('2月'!EI4:EI34,$B10)+COUNTIF('2月'!EJ4:EJ34,$B10)+COUNTIF('2月'!EN4:EN34,$B10)+COUNTIF('2月'!EO4:EO34,$B10)+COUNTIF('2月'!ES4:ES34,$B10)+COUNTIF('2月'!ET4:ET34,$B10)),0)</f>
        <v>0</v>
      </c>
      <c r="E10" s="76">
        <f>IFERROR(IF($B10="","",COUNTIF('3月'!D4:D34,$B10)+COUNTIF('3月'!E4:E34,$B10)+COUNTIF('3月'!I4:I34,$B10)+COUNTIF('3月'!J4:J34,$B10)+COUNTIF('3月'!N4:N34,$B10)+COUNTIF('3月'!O4:O34,$B10)+COUNTIF('3月'!S4:S34,$B10)+COUNTIF('3月'!T4:T34,$B10)+COUNTIF('3月'!X4:X34,$B10)+COUNTIF('3月'!Y4:Y34,$B10)+COUNTIF('3月'!AC4:AC34,$B10)+COUNTIF('3月'!AD4:AD34,$B10)+COUNTIF('3月'!AH4:AH34,$B10)+COUNTIF('3月'!AI4:AI34,$B10)+COUNTIF('3月'!AM4:AM34,$B10)+COUNTIF('3月'!AN4:AN34,$B10)+COUNTIF('3月'!AR4:AR34,$B10)+COUNTIF('3月'!AS4:AS34,$B10)+COUNTIF('3月'!AW4:AW34,$B10)+COUNTIF('3月'!AX4:AX34,$B10)+COUNTIF('3月'!BB4:BB34,$B10)+COUNTIF('3月'!BC4:BC34,$B10)+COUNTIF('3月'!BG4:BG34,$B10)+COUNTIF('3月'!BH4:BH34,$B10)+COUNTIF('3月'!BL4:BL34,$B10)+COUNTIF('3月'!BM4:BM34,$B10)+COUNTIF('3月'!BQ4:BQ34,$B10)+COUNTIF('3月'!BR4:BR34,$B10)+COUNTIF('3月'!BV4:BV34,$B10)+COUNTIF('3月'!BW4:BW34,$B10)+COUNTIF('3月'!CA4:CA34,$B10)+COUNTIF('3月'!CB4:CB34,$B10)+COUNTIF('3月'!CF4:CF34,$B10)+COUNTIF('3月'!CG4:CG34,$B10)+COUNTIF('3月'!CK4:CK34,$B10)+COUNTIF('3月'!CL4:CL34,$B10)+COUNTIF('3月'!CP4:CP34,$B10)+COUNTIF('3月'!CQ4:CQ34,$B10)+COUNTIF('3月'!CU4:CU34,$B10)+COUNTIF('3月'!CV4:CV34,$B10)+COUNTIF('3月'!CZ4:CZ34,$B10)+COUNTIF('3月'!DA4:DA34,$B10)+COUNTIF('3月'!DE4:DE34,$B10)+COUNTIF('3月'!DF4:DF34,$B10)+COUNTIF('3月'!DJ4:DJ34,$B10)+COUNTIF('3月'!DK4:DK34,$B10)+COUNTIF('3月'!DO4:DO34,$B10)+COUNTIF('3月'!DP4:DP34,$B10)+COUNTIF('3月'!DT4:DT34,$B10)+COUNTIF('3月'!DU4:DU34,$B10)+COUNTIF('3月'!DY4:DY34,$B10)+COUNTIF('3月'!DZ4:DZ34,$B10)+COUNTIF('3月'!ED4:ED34,$B10)+COUNTIF('3月'!EE4:EE34,$B10)+COUNTIF('3月'!EI4:EI34,$B10)+COUNTIF('3月'!EJ4:EJ34,$B10)+COUNTIF('3月'!EN4:EN34,$B10)+COUNTIF('3月'!EO4:EO34,$B10)+COUNTIF('3月'!ES4:ES34,$B10)+COUNTIF('3月'!ET4:ET34,$B10)),0)</f>
        <v>0</v>
      </c>
      <c r="F10" s="76">
        <f>IFERROR(IF($B10="","",COUNTIF('4月'!D4:D34,$B10)+COUNTIF('4月'!E4:E34,$B10)+COUNTIF('4月'!I4:I34,$B10)+COUNTIF('4月'!J4:J34,$B10)+COUNTIF('4月'!N4:N34,$B10)+COUNTIF('4月'!O4:O34,$B10)+COUNTIF('4月'!S4:S34,$B10)+COUNTIF('4月'!T4:T34,$B10)+COUNTIF('4月'!X4:X34,$B10)+COUNTIF('4月'!Y4:Y34,$B10)+COUNTIF('4月'!AC4:AC34,$B10)+COUNTIF('4月'!AD4:AD34,$B10)+COUNTIF('4月'!AH4:AH34,$B10)+COUNTIF('4月'!AI4:AI34,$B10)+COUNTIF('4月'!AM4:AM34,$B10)+COUNTIF('4月'!AN4:AN34,$B10)+COUNTIF('4月'!AR4:AR34,$B10)+COUNTIF('4月'!AS4:AS34,$B10)+COUNTIF('4月'!AW4:AW34,$B10)+COUNTIF('4月'!AX4:AX34,$B10)+COUNTIF('4月'!BB4:BB34,$B10)+COUNTIF('4月'!BC4:BC34,$B10)+COUNTIF('4月'!BG4:BG34,$B10)+COUNTIF('4月'!BH4:BH34,$B10)+COUNTIF('4月'!BL4:BL34,$B10)+COUNTIF('4月'!BM4:BM34,$B10)+COUNTIF('4月'!BQ4:BQ34,$B10)+COUNTIF('4月'!BR4:BR34,$B10)+COUNTIF('4月'!BV4:BV34,$B10)+COUNTIF('4月'!BW4:BW34,$B10)+COUNTIF('4月'!CA4:CA34,$B10)+COUNTIF('4月'!CB4:CB34,$B10)+COUNTIF('4月'!CF4:CF34,$B10)+COUNTIF('4月'!CG4:CG34,$B10)+COUNTIF('4月'!CK4:CK34,$B10)+COUNTIF('4月'!CL4:CL34,$B10)+COUNTIF('4月'!CP4:CP34,$B10)+COUNTIF('4月'!CQ4:CQ34,$B10)+COUNTIF('4月'!CU4:CU34,$B10)+COUNTIF('4月'!CV4:CV34,$B10)+COUNTIF('4月'!CZ4:CZ34,$B10)+COUNTIF('4月'!DA4:DA34,$B10)+COUNTIF('4月'!DE4:DE34,$B10)+COUNTIF('4月'!DF4:DF34,$B10)+COUNTIF('4月'!DJ4:DJ34,$B10)+COUNTIF('4月'!DK4:DK34,$B10)+COUNTIF('4月'!DO4:DO34,$B10)+COUNTIF('4月'!DP4:DP34,$B10)+COUNTIF('4月'!DT4:DT34,$B10)+COUNTIF('4月'!DU4:DU34,$B10)+COUNTIF('4月'!DY4:DY34,$B10)+COUNTIF('4月'!DZ4:DZ34,$B10)+COUNTIF('4月'!ED4:ED34,$B10)+COUNTIF('4月'!EE4:EE34,$B10)+COUNTIF('4月'!EI4:EI34,$B10)+COUNTIF('4月'!EJ4:EJ34,$B10)+COUNTIF('4月'!EN4:EN34,$B10)+COUNTIF('4月'!EO4:EO34,$B10)+COUNTIF('4月'!ES4:ES34,$B10)+COUNTIF('4月'!ET4:ET34,$B10)),0)</f>
        <v>0</v>
      </c>
      <c r="G10" s="76">
        <f>IFERROR(IF($B10="","",COUNTIF('5月'!D4:D34,$B10)+COUNTIF('5月'!E4:E34,$B10)+COUNTIF('5月'!I4:I34,$B10)+COUNTIF('5月'!J4:J34,$B10)+COUNTIF('5月'!N4:N34,$B10)+COUNTIF('5月'!O4:O34,$B10)+COUNTIF('5月'!S4:S34,$B10)+COUNTIF('5月'!T4:T34,$B10)+COUNTIF('5月'!X4:X34,$B10)+COUNTIF('5月'!Y4:Y34,$B10)+COUNTIF('5月'!AC4:AC34,$B10)+COUNTIF('5月'!AD4:AD34,$B10)+COUNTIF('5月'!AH4:AH34,$B10)+COUNTIF('5月'!AI4:AI34,$B10)+COUNTIF('5月'!AM4:AM34,$B10)+COUNTIF('5月'!AN4:AN34,$B10)+COUNTIF('5月'!AR4:AR34,$B10)+COUNTIF('5月'!AS4:AS34,$B10)+COUNTIF('5月'!AW4:AW34,$B10)+COUNTIF('5月'!AX4:AX34,$B10)+COUNTIF('5月'!BB4:BB34,$B10)+COUNTIF('5月'!BC4:BC34,$B10)+COUNTIF('5月'!BG4:BG34,$B10)+COUNTIF('5月'!BH4:BH34,$B10)+COUNTIF('5月'!BL4:BL34,$B10)+COUNTIF('5月'!BM4:BM34,$B10)+COUNTIF('5月'!BQ4:BQ34,$B10)+COUNTIF('5月'!BR4:BR34,$B10)+COUNTIF('5月'!BV4:BV34,$B10)+COUNTIF('5月'!BW4:BW34,$B10)+COUNTIF('5月'!CA4:CA34,$B10)+COUNTIF('5月'!CB4:CB34,$B10)+COUNTIF('5月'!CF4:CF34,$B10)+COUNTIF('5月'!CG4:CG34,$B10)+COUNTIF('5月'!CK4:CK34,$B10)+COUNTIF('5月'!CL4:CL34,$B10)+COUNTIF('5月'!CP4:CP34,$B10)+COUNTIF('5月'!CQ4:CQ34,$B10)+COUNTIF('5月'!CU4:CU34,$B10)+COUNTIF('5月'!CV4:CV34,$B10)+COUNTIF('5月'!CZ4:CZ34,$B10)+COUNTIF('5月'!DA4:DA34,$B10)+COUNTIF('5月'!DE4:DE34,$B10)+COUNTIF('5月'!DF4:DF34,$B10)+COUNTIF('5月'!DJ4:DJ34,$B10)+COUNTIF('5月'!DK4:DK34,$B10)+COUNTIF('5月'!DO4:DO34,$B10)+COUNTIF('5月'!DP4:DP34,$B10)+COUNTIF('5月'!DT4:DT34,$B10)+COUNTIF('5月'!DU4:DU34,$B10)+COUNTIF('5月'!DY4:DY34,$B10)+COUNTIF('5月'!DZ4:DZ34,$B10)+COUNTIF('5月'!ED4:ED34,$B10)+COUNTIF('5月'!EE4:EE34,$B10)+COUNTIF('5月'!EI4:EI34,$B10)+COUNTIF('5月'!EJ4:EJ34,$B10)+COUNTIF('5月'!EN4:EN34,$B10)+COUNTIF('5月'!EO4:EO34,$B10)+COUNTIF('5月'!ES4:ES34,$B10)+COUNTIF('5月'!ET4:ET34,$B10)),0)</f>
        <v>0</v>
      </c>
      <c r="H10" s="76">
        <f>IFERROR(IF($B10="","",COUNTIF('6月'!D4:D34,$B10)+COUNTIF('6月'!E4:E34,$B10)+COUNTIF('6月'!I4:I34,$B10)+COUNTIF('6月'!J4:J34,$B10)+COUNTIF('6月'!N4:N34,$B10)+COUNTIF('6月'!O4:O34,$B10)+COUNTIF('6月'!S4:S34,$B10)+COUNTIF('6月'!T4:T34,$B10)+COUNTIF('6月'!X4:X34,$B10)+COUNTIF('6月'!Y4:Y34,$B10)+COUNTIF('6月'!AC4:AC34,$B10)+COUNTIF('6月'!AD4:AD34,$B10)+COUNTIF('6月'!AH4:AH34,$B10)+COUNTIF('6月'!AI4:AI34,$B10)+COUNTIF('6月'!AM4:AM34,$B10)+COUNTIF('6月'!AN4:AN34,$B10)+COUNTIF('6月'!AR4:AR34,$B10)+COUNTIF('6月'!AS4:AS34,$B10)+COUNTIF('6月'!AW4:AW34,$B10)+COUNTIF('6月'!AX4:AX34,$B10)+COUNTIF('6月'!BB4:BB34,$B10)+COUNTIF('6月'!BC4:BC34,$B10)+COUNTIF('6月'!BG4:BG34,$B10)+COUNTIF('6月'!BH4:BH34,$B10)+COUNTIF('6月'!BL4:BL34,$B10)+COUNTIF('6月'!BM4:BM34,$B10)+COUNTIF('6月'!BQ4:BQ34,$B10)+COUNTIF('6月'!BR4:BR34,$B10)+COUNTIF('6月'!BV4:BV34,$B10)+COUNTIF('6月'!BW4:BW34,$B10)+COUNTIF('6月'!CA4:CA34,$B10)+COUNTIF('6月'!CB4:CB34,$B10)+COUNTIF('6月'!CF4:CF34,$B10)+COUNTIF('6月'!CG4:CG34,$B10)+COUNTIF('6月'!CK4:CK34,$B10)+COUNTIF('6月'!CL4:CL34,$B10)+COUNTIF('6月'!CP4:CP34,$B10)+COUNTIF('6月'!CQ4:CQ34,$B10)+COUNTIF('6月'!CU4:CU34,$B10)+COUNTIF('6月'!CV4:CV34,$B10)+COUNTIF('6月'!CZ4:CZ34,$B10)+COUNTIF('6月'!DA4:DA34,$B10)+COUNTIF('6月'!DE4:DE34,$B10)+COUNTIF('6月'!DF4:DF34,$B10)+COUNTIF('6月'!DJ4:DJ34,$B10)+COUNTIF('6月'!DK4:DK34,$B10)+COUNTIF('6月'!DO4:DO34,$B10)+COUNTIF('6月'!DP4:DP34,$B10)+COUNTIF('6月'!DT4:DT34,$B10)+COUNTIF('6月'!DU4:DU34,$B10)+COUNTIF('6月'!DY4:DY34,$B10)+COUNTIF('6月'!DZ4:DZ34,$B10)+COUNTIF('6月'!ED4:ED34,$B10)+COUNTIF('6月'!EE4:EE34,$B10)+COUNTIF('6月'!EI4:EI34,$B10)+COUNTIF('6月'!EJ4:EJ34,$B10)+COUNTIF('6月'!EN4:EN34,$B10)+COUNTIF('6月'!EO4:EO34,$B10)+COUNTIF('6月'!ES4:ES34,$B10)+COUNTIF('6月'!ET4:ET34,$B10)),0)</f>
        <v>0</v>
      </c>
      <c r="I10" s="76">
        <f>IFERROR(IF($B10="","",COUNTIF('7月'!D4:D34,$B10)+COUNTIF('7月'!E4:E34,$B10)+COUNTIF('7月'!I4:I34,$B10)+COUNTIF('7月'!J4:J34,$B10)+COUNTIF('7月'!N4:N34,$B10)+COUNTIF('7月'!O4:O34,$B10)+COUNTIF('7月'!S4:S34,$B10)+COUNTIF('7月'!T4:T34,$B10)+COUNTIF('7月'!X4:X34,$B10)+COUNTIF('7月'!Y4:Y34,$B10)+COUNTIF('7月'!AC4:AC34,$B10)+COUNTIF('7月'!AD4:AD34,$B10)+COUNTIF('7月'!AH4:AH34,$B10)+COUNTIF('7月'!AI4:AI34,$B10)+COUNTIF('7月'!AM4:AM34,$B10)+COUNTIF('7月'!AN4:AN34,$B10)+COUNTIF('7月'!AR4:AR34,$B10)+COUNTIF('7月'!AS4:AS34,$B10)+COUNTIF('7月'!AW4:AW34,$B10)+COUNTIF('7月'!AX4:AX34,$B10)+COUNTIF('7月'!BB4:BB34,$B10)+COUNTIF('7月'!BC4:BC34,$B10)+COUNTIF('7月'!BG4:BG34,$B10)+COUNTIF('7月'!BH4:BH34,$B10)+COUNTIF('7月'!BL4:BL34,$B10)+COUNTIF('7月'!BM4:BM34,$B10)+COUNTIF('7月'!BQ4:BQ34,$B10)+COUNTIF('7月'!BR4:BR34,$B10)+COUNTIF('7月'!BV4:BV34,$B10)+COUNTIF('7月'!BW4:BW34,$B10)+COUNTIF('7月'!CA4:CA34,$B10)+COUNTIF('7月'!CB4:CB34,$B10)+COUNTIF('7月'!CF4:CF34,$B10)+COUNTIF('7月'!CG4:CG34,$B10)+COUNTIF('7月'!CK4:CK34,$B10)+COUNTIF('7月'!CL4:CL34,$B10)+COUNTIF('7月'!CP4:CP34,$B10)+COUNTIF('7月'!CQ4:CQ34,$B10)+COUNTIF('7月'!CU4:CU34,$B10)+COUNTIF('7月'!CV4:CV34,$B10)+COUNTIF('7月'!CZ4:CZ34,$B10)+COUNTIF('7月'!DA4:DA34,$B10)+COUNTIF('7月'!DE4:DE34,$B10)+COUNTIF('7月'!DF4:DF34,$B10)+COUNTIF('7月'!DJ4:DJ34,$B10)+COUNTIF('7月'!DK4:DK34,$B10)+COUNTIF('7月'!DO4:DO34,$B10)+COUNTIF('7月'!DP4:DP34,$B10)+COUNTIF('7月'!DT4:DT34,$B10)+COUNTIF('7月'!DU4:DU34,$B10)+COUNTIF('7月'!DY4:DY34,$B10)+COUNTIF('7月'!DZ4:DZ34,$B10)+COUNTIF('7月'!ED4:ED34,$B10)+COUNTIF('7月'!EE4:EE34,$B10)+COUNTIF('7月'!EI4:EI34,$B10)+COUNTIF('7月'!EJ4:EJ34,$B10)+COUNTIF('7月'!EN4:EN34,$B10)+COUNTIF('7月'!EO4:EO34,$B10)+COUNTIF('7月'!ES4:ES34,$B10)+COUNTIF('7月'!ET4:ET34,$B10)),0)</f>
        <v>0</v>
      </c>
      <c r="J10" s="76">
        <f>IFERROR(IF($B10="","",COUNTIF('8月'!D4:D34,$B10)+COUNTIF('8月'!E4:E34,$B10)+COUNTIF('8月'!I4:I34,$B10)+COUNTIF('8月'!J4:J34,$B10)+COUNTIF('8月'!N4:N34,$B10)+COUNTIF('8月'!O4:O34,$B10)+COUNTIF('8月'!S4:S34,$B10)+COUNTIF('8月'!T4:T34,$B10)+COUNTIF('8月'!X4:X34,$B10)+COUNTIF('8月'!Y4:Y34,$B10)+COUNTIF('8月'!AC4:AC34,$B10)+COUNTIF('8月'!AD4:AD34,$B10)+COUNTIF('8月'!AH4:AH34,$B10)+COUNTIF('8月'!AI4:AI34,$B10)+COUNTIF('8月'!AM4:AM34,$B10)+COUNTIF('8月'!AN4:AN34,$B10)+COUNTIF('8月'!AR4:AR34,$B10)+COUNTIF('8月'!AS4:AS34,$B10)+COUNTIF('8月'!AW4:AW34,$B10)+COUNTIF('8月'!AX4:AX34,$B10)+COUNTIF('8月'!BB4:BB34,$B10)+COUNTIF('8月'!BC4:BC34,$B10)+COUNTIF('8月'!BG4:BG34,$B10)+COUNTIF('8月'!BH4:BH34,$B10)+COUNTIF('8月'!BL4:BL34,$B10)+COUNTIF('8月'!BM4:BM34,$B10)+COUNTIF('8月'!BQ4:BQ34,$B10)+COUNTIF('8月'!BR4:BR34,$B10)+COUNTIF('8月'!BV4:BV34,$B10)+COUNTIF('8月'!BW4:BW34,$B10)+COUNTIF('8月'!CA4:CA34,$B10)+COUNTIF('8月'!CB4:CB34,$B10)+COUNTIF('8月'!CF4:CF34,$B10)+COUNTIF('8月'!CG4:CG34,$B10)+COUNTIF('8月'!CK4:CK34,$B10)+COUNTIF('8月'!CL4:CL34,$B10)+COUNTIF('8月'!CP4:CP34,$B10)+COUNTIF('8月'!CQ4:CQ34,$B10)+COUNTIF('8月'!CU4:CU34,$B10)+COUNTIF('8月'!CV4:CV34,$B10)+COUNTIF('8月'!CZ4:CZ34,$B10)+COUNTIF('8月'!DA4:DA34,$B10)+COUNTIF('8月'!DE4:DE34,$B10)+COUNTIF('8月'!DF4:DF34,$B10)+COUNTIF('8月'!DJ4:DJ34,$B10)+COUNTIF('8月'!DK4:DK34,$B10)+COUNTIF('8月'!DO4:DO34,$B10)+COUNTIF('8月'!DP4:DP34,$B10)+COUNTIF('8月'!DT4:DT34,$B10)+COUNTIF('8月'!DU4:DU34,$B10)+COUNTIF('8月'!DY4:DY34,$B10)+COUNTIF('8月'!DZ4:DZ34,$B10)+COUNTIF('8月'!ED4:ED34,$B10)+COUNTIF('8月'!EE4:EE34,$B10)+COUNTIF('8月'!EI4:EI34,$B10)+COUNTIF('8月'!EJ4:EJ34,$B10)+COUNTIF('8月'!EN4:EN34,$B10)+COUNTIF('8月'!EO4:EO34,$B10)+COUNTIF('8月'!ES4:ES34,$B10)+COUNTIF('8月'!ET4:ET34,$B10)),0)</f>
        <v>0</v>
      </c>
      <c r="K10" s="76">
        <f>IFERROR(IF($B10="","",COUNTIF('9月'!D4:D34,$B10)+COUNTIF('9月'!E4:E34,$B10)+COUNTIF('9月'!I4:I34,$B10)+COUNTIF('9月'!J4:J34,$B10)+COUNTIF('9月'!N4:N34,$B10)+COUNTIF('9月'!O4:O34,$B10)+COUNTIF('9月'!S4:S34,$B10)+COUNTIF('9月'!T4:T34,$B10)+COUNTIF('9月'!X4:X34,$B10)+COUNTIF('9月'!Y4:Y34,$B10)+COUNTIF('9月'!AC4:AC34,$B10)+COUNTIF('9月'!AD4:AD34,$B10)+COUNTIF('9月'!AH4:AH34,$B10)+COUNTIF('9月'!AI4:AI34,$B10)+COUNTIF('9月'!AM4:AM34,$B10)+COUNTIF('9月'!AN4:AN34,$B10)+COUNTIF('9月'!AR4:AR34,$B10)+COUNTIF('9月'!AS4:AS34,$B10)+COUNTIF('9月'!AW4:AW34,$B10)+COUNTIF('9月'!AX4:AX34,$B10)+COUNTIF('9月'!BB4:BB34,$B10)+COUNTIF('9月'!BC4:BC34,$B10)+COUNTIF('9月'!BG4:BG34,$B10)+COUNTIF('9月'!BH4:BH34,$B10)+COUNTIF('9月'!BL4:BL34,$B10)+COUNTIF('9月'!BM4:BM34,$B10)+COUNTIF('9月'!BQ4:BQ34,$B10)+COUNTIF('9月'!BR4:BR34,$B10)+COUNTIF('9月'!BV4:BV34,$B10)+COUNTIF('9月'!BW4:BW34,$B10)+COUNTIF('9月'!CA4:CA34,$B10)+COUNTIF('9月'!CB4:CB34,$B10)+COUNTIF('9月'!CF4:CF34,$B10)+COUNTIF('9月'!CG4:CG34,$B10)+COUNTIF('9月'!CK4:CK34,$B10)+COUNTIF('9月'!CL4:CL34,$B10)+COUNTIF('9月'!CP4:CP34,$B10)+COUNTIF('9月'!CQ4:CQ34,$B10)+COUNTIF('9月'!CU4:CU34,$B10)+COUNTIF('9月'!CV4:CV34,$B10)+COUNTIF('9月'!CZ4:CZ34,$B10)+COUNTIF('9月'!DA4:DA34,$B10)+COUNTIF('9月'!DE4:DE34,$B10)+COUNTIF('9月'!DF4:DF34,$B10)+COUNTIF('9月'!DJ4:DJ34,$B10)+COUNTIF('9月'!DK4:DK34,$B10)+COUNTIF('9月'!DO4:DO34,$B10)+COUNTIF('9月'!DP4:DP34,$B10)+COUNTIF('9月'!DT4:DT34,$B10)+COUNTIF('9月'!DU4:DU34,$B10)+COUNTIF('9月'!DY4:DY34,$B10)+COUNTIF('9月'!DZ4:DZ34,$B10)+COUNTIF('9月'!ED4:ED34,$B10)+COUNTIF('9月'!EE4:EE34,$B10)+COUNTIF('9月'!EI4:EI34,$B10)+COUNTIF('9月'!EJ4:EJ34,$B10)+COUNTIF('9月'!EN4:EN34,$B10)+COUNTIF('9月'!EO4:EO34,$B10)+COUNTIF('9月'!ES4:ES34,$B10)+COUNTIF('9月'!ET4:ET34,$B10)),0)</f>
        <v>0</v>
      </c>
      <c r="L10" s="76">
        <f>IFERROR(IF($B10="","",COUNTIF('10月'!D4:D34,$B10)+COUNTIF('10月'!E4:E34,$B10)+COUNTIF('10月'!I4:I34,$B10)+COUNTIF('10月'!J4:J34,$B10)+COUNTIF('10月'!N4:N34,$B10)+COUNTIF('10月'!O4:O34,$B10)+COUNTIF('10月'!S4:S34,$B10)+COUNTIF('10月'!T4:T34,$B10)+COUNTIF('10月'!X4:X34,$B10)+COUNTIF('10月'!Y4:Y34,$B10)+COUNTIF('10月'!AC4:AC34,$B10)+COUNTIF('10月'!AD4:AD34,$B10)+COUNTIF('10月'!AH4:AH34,$B10)+COUNTIF('10月'!AI4:AI34,$B10)+COUNTIF('10月'!AM4:AM34,$B10)+COUNTIF('10月'!AN4:AN34,$B10)+COUNTIF('10月'!AR4:AR34,$B10)+COUNTIF('10月'!AS4:AS34,$B10)+COUNTIF('10月'!AW4:AW34,$B10)+COUNTIF('10月'!AX4:AX34,$B10)+COUNTIF('10月'!BB4:BB34,$B10)+COUNTIF('10月'!BC4:BC34,$B10)+COUNTIF('10月'!BG4:BG34,$B10)+COUNTIF('10月'!BH4:BH34,$B10)+COUNTIF('10月'!BL4:BL34,$B10)+COUNTIF('10月'!BM4:BM34,$B10)+COUNTIF('10月'!BQ4:BQ34,$B10)+COUNTIF('10月'!BR4:BR34,$B10)+COUNTIF('10月'!BV4:BV34,$B10)+COUNTIF('10月'!BW4:BW34,$B10)+COUNTIF('10月'!CA4:CA34,$B10)+COUNTIF('10月'!CB4:CB34,$B10)+COUNTIF('10月'!CF4:CF34,$B10)+COUNTIF('10月'!CG4:CG34,$B10)+COUNTIF('10月'!CK4:CK34,$B10)+COUNTIF('10月'!CL4:CL34,$B10)+COUNTIF('10月'!CP4:CP34,$B10)+COUNTIF('10月'!CQ4:CQ34,$B10)+COUNTIF('10月'!CU4:CU34,$B10)+COUNTIF('10月'!CV4:CV34,$B10)+COUNTIF('10月'!CZ4:CZ34,$B10)+COUNTIF('10月'!DA4:DA34,$B10)+COUNTIF('10月'!DE4:DE34,$B10)+COUNTIF('10月'!DF4:DF34,$B10)+COUNTIF('10月'!DJ4:DJ34,$B10)+COUNTIF('10月'!DK4:DK34,$B10)+COUNTIF('10月'!DO4:DO34,$B10)+COUNTIF('10月'!DP4:DP34,$B10)+COUNTIF('10月'!DT4:DT34,$B10)+COUNTIF('10月'!DU4:DU34,$B10)+COUNTIF('10月'!DY4:DY34,$B10)+COUNTIF('10月'!DZ4:DZ34,$B10)+COUNTIF('10月'!ED4:ED34,$B10)+COUNTIF('10月'!EE4:EE34,$B10)+COUNTIF('10月'!EI4:EI34,$B10)+COUNTIF('10月'!EJ4:EJ34,$B10)+COUNTIF('10月'!EN4:EN34,$B10)+COUNTIF('10月'!EO4:EO34,$B10)+COUNTIF('10月'!ES4:ES34,$B10)+COUNTIF('10月'!ET4:ET34,$B10)),0)</f>
        <v>0</v>
      </c>
      <c r="M10" s="76">
        <f>IFERROR(IF($B10="","",COUNTIF('11月'!D4:D34,$B10)+COUNTIF('11月'!E4:E34,$B10)+COUNTIF('11月'!I4:I34,$B10)+COUNTIF('11月'!J4:J34,$B10)+COUNTIF('11月'!N4:N34,$B10)+COUNTIF('11月'!O4:O34,$B10)+COUNTIF('11月'!S4:S34,$B10)+COUNTIF('11月'!T4:T34,$B10)+COUNTIF('11月'!X4:X34,$B10)+COUNTIF('11月'!Y4:Y34,$B10)+COUNTIF('11月'!AC4:AC34,$B10)+COUNTIF('11月'!AD4:AD34,$B10)+COUNTIF('11月'!AH4:AH34,$B10)+COUNTIF('11月'!AI4:AI34,$B10)+COUNTIF('11月'!AM4:AM34,$B10)+COUNTIF('11月'!AN4:AN34,$B10)+COUNTIF('11月'!AR4:AR34,$B10)+COUNTIF('11月'!AS4:AS34,$B10)+COUNTIF('11月'!AW4:AW34,$B10)+COUNTIF('11月'!AX4:AX34,$B10)+COUNTIF('11月'!BB4:BB34,$B10)+COUNTIF('11月'!BC4:BC34,$B10)+COUNTIF('11月'!BG4:BG34,$B10)+COUNTIF('11月'!BH4:BH34,$B10)+COUNTIF('11月'!BL4:BL34,$B10)+COUNTIF('11月'!BM4:BM34,$B10)+COUNTIF('11月'!BQ4:BQ34,$B10)+COUNTIF('11月'!BR4:BR34,$B10)+COUNTIF('11月'!BV4:BV34,$B10)+COUNTIF('11月'!BW4:BW34,$B10)+COUNTIF('11月'!CA4:CA34,$B10)+COUNTIF('11月'!CB4:CB34,$B10)+COUNTIF('11月'!CF4:CF34,$B10)+COUNTIF('11月'!CG4:CG34,$B10)+COUNTIF('11月'!CK4:CK34,$B10)+COUNTIF('11月'!CL4:CL34,$B10)+COUNTIF('11月'!CP4:CP34,$B10)+COUNTIF('11月'!CQ4:CQ34,$B10)+COUNTIF('11月'!CU4:CU34,$B10)+COUNTIF('11月'!CV4:CV34,$B10)+COUNTIF('11月'!CZ4:CZ34,$B10)+COUNTIF('11月'!DA4:DA34,$B10)+COUNTIF('11月'!DE4:DE34,$B10)+COUNTIF('11月'!DF4:DF34,$B10)+COUNTIF('11月'!DJ4:DJ34,$B10)+COUNTIF('11月'!DK4:DK34,$B10)+COUNTIF('11月'!DO4:DO34,$B10)+COUNTIF('11月'!DP4:DP34,$B10)+COUNTIF('11月'!DT4:DT34,$B10)+COUNTIF('11月'!DU4:DU34,$B10)+COUNTIF('11月'!DY4:DY34,$B10)+COUNTIF('11月'!DZ4:DZ34,$B10)+COUNTIF('11月'!ED4:ED34,$B10)+COUNTIF('11月'!EE4:EE34,$B10)+COUNTIF('11月'!EI4:EI34,$B10)+COUNTIF('11月'!EJ4:EJ34,$B10)+COUNTIF('11月'!EN4:EN34,$B10)+COUNTIF('11月'!EO4:EO34,$B10)+COUNTIF('11月'!ES4:ES34,$B10)+COUNTIF('11月'!ET4:ET34,$B10)),0)</f>
        <v>0</v>
      </c>
      <c r="N10" s="76">
        <f>IFERROR(IF($B10="","",COUNTIF('12月'!D4:D34,$B10)+COUNTIF('12月'!E4:E34,$B10)+COUNTIF('12月'!I4:I34,$B10)+COUNTIF('12月'!J4:J34,$B10)+COUNTIF('12月'!N4:N34,$B10)+COUNTIF('12月'!O4:O34,$B10)+COUNTIF('12月'!S4:S34,$B10)+COUNTIF('12月'!T4:T34,$B10)+COUNTIF('12月'!X4:X34,$B10)+COUNTIF('12月'!Y4:Y34,$B10)+COUNTIF('12月'!AC4:AC34,$B10)+COUNTIF('12月'!AD4:AD34,$B10)+COUNTIF('12月'!AH4:AH34,$B10)+COUNTIF('12月'!AI4:AI34,$B10)+COUNTIF('12月'!AM4:AM34,$B10)+COUNTIF('12月'!AN4:AN34,$B10)+COUNTIF('12月'!AR4:AR34,$B10)+COUNTIF('12月'!AS4:AS34,$B10)+COUNTIF('12月'!AW4:AW34,$B10)+COUNTIF('12月'!AX4:AX34,$B10)+COUNTIF('12月'!BB4:BB34,$B10)+COUNTIF('12月'!BC4:BC34,$B10)+COUNTIF('12月'!BG4:BG34,$B10)+COUNTIF('12月'!BH4:BH34,$B10)+COUNTIF('12月'!BL4:BL34,$B10)+COUNTIF('12月'!BM4:BM34,$B10)+COUNTIF('12月'!BQ4:BQ34,$B10)+COUNTIF('12月'!BR4:BR34,$B10)+COUNTIF('12月'!BV4:BV34,$B10)+COUNTIF('12月'!BW4:BW34,$B10)+COUNTIF('12月'!CA4:CA34,$B10)+COUNTIF('12月'!CB4:CB34,$B10)+COUNTIF('12月'!CF4:CF34,$B10)+COUNTIF('12月'!CG4:CG34,$B10)+COUNTIF('12月'!CK4:CK34,$B10)+COUNTIF('12月'!CL4:CL34,$B10)+COUNTIF('12月'!CP4:CP34,$B10)+COUNTIF('12月'!CQ4:CQ34,$B10)+COUNTIF('12月'!CU4:CU34,$B10)+COUNTIF('12月'!CV4:CV34,$B10)+COUNTIF('12月'!CZ4:CZ34,$B10)+COUNTIF('12月'!DA4:DA34,$B10)+COUNTIF('12月'!DE4:DE34,$B10)+COUNTIF('12月'!DF4:DF34,$B10)+COUNTIF('12月'!DJ4:DJ34,$B10)+COUNTIF('12月'!DK4:DK34,$B10)+COUNTIF('12月'!DO4:DO34,$B10)+COUNTIF('12月'!DP4:DP34,$B10)+COUNTIF('12月'!DT4:DT34,$B10)+COUNTIF('12月'!DU4:DU34,$B10)+COUNTIF('12月'!DY4:DY34,$B10)+COUNTIF('12月'!DZ4:DZ34,$B10)+COUNTIF('12月'!ED4:ED34,$B10)+COUNTIF('12月'!EE4:EE34,$B10)+COUNTIF('12月'!EI4:EI34,$B10)+COUNTIF('12月'!EJ4:EJ34,$B10)+COUNTIF('12月'!EN4:EN34,$B10)+COUNTIF('12月'!EO4:EO34,$B10)+COUNTIF('12月'!ES4:ES34,$B10)+COUNTIF('12月'!ET4:ET34,$B10)),0)</f>
        <v>0</v>
      </c>
      <c r="O10" s="78">
        <f t="shared" si="0"/>
        <v>0</v>
      </c>
    </row>
    <row r="11" spans="1:15" ht="19.5" customHeight="1">
      <c r="A11" s="76">
        <v>9</v>
      </c>
      <c r="B11" s="77">
        <f>IFERROR(現場マスタ!$C$12,"")</f>
        <v>0</v>
      </c>
      <c r="C11" s="76">
        <f>IFERROR(IF($B11="","",COUNTIF('1月'!D4:D34,$B11)+COUNTIF('1月'!E4:E34,$B11)+COUNTIF('1月'!I4:I34,$B11)+COUNTIF('1月'!J4:J34,$B11)+COUNTIF('1月'!N4:N34,$B11)+COUNTIF('1月'!O4:O34,$B11)+COUNTIF('1月'!S4:S34,$B11)+COUNTIF('1月'!T4:T34,$B11)+COUNTIF('1月'!X4:X34,$B11)+COUNTIF('1月'!Y4:Y34,$B11)+COUNTIF('1月'!AC4:AC34,$B11)+COUNTIF('1月'!AD4:AD34,$B11)+COUNTIF('1月'!AH4:AH34,$B11)+COUNTIF('1月'!AI4:AI34,$B11)+COUNTIF('1月'!AM4:AM34,$B11)+COUNTIF('1月'!AN4:AN34,$B11)+COUNTIF('1月'!AR4:AR34,$B11)+COUNTIF('1月'!AS4:AS34,$B11)+COUNTIF('1月'!AW4:AW34,$B11)+COUNTIF('1月'!AX4:AX34,$B11)+COUNTIF('1月'!BB4:BB34,$B11)+COUNTIF('1月'!BC4:BC34,$B11)+COUNTIF('1月'!BG4:BG34,$B11)+COUNTIF('1月'!BH4:BH34,$B11)+COUNTIF('1月'!BL4:BL34,$B11)+COUNTIF('1月'!BM4:BM34,$B11)+COUNTIF('1月'!BQ4:BQ34,$B11)+COUNTIF('1月'!BR4:BR34,$B11)+COUNTIF('1月'!BV4:BV34,$B11)+COUNTIF('1月'!BW4:BW34,$B11)+COUNTIF('1月'!CA4:CA34,$B11)+COUNTIF('1月'!CB4:CB34,$B11)+COUNTIF('1月'!CF4:CF34,$B11)+COUNTIF('1月'!CG4:CG34,$B11)+COUNTIF('1月'!CK4:CK34,$B11)+COUNTIF('1月'!CL4:CL34,$B11)+COUNTIF('1月'!CP4:CP34,$B11)+COUNTIF('1月'!CQ4:CQ34,$B11)+COUNTIF('1月'!CU4:CU34,$B11)+COUNTIF('1月'!CV4:CV34,$B11)+COUNTIF('1月'!CZ4:CZ34,$B11)+COUNTIF('1月'!DA4:DA34,$B11)+COUNTIF('1月'!DE4:DE34,$B11)+COUNTIF('1月'!DF4:DF34,$B11)+COUNTIF('1月'!DJ4:DJ34,$B11)+COUNTIF('1月'!DK4:DK34,$B11)+COUNTIF('1月'!DO4:DO34,$B11)+COUNTIF('1月'!DP4:DP34,$B11)+COUNTIF('1月'!DT4:DT34,$B11)+COUNTIF('1月'!DU4:DU34,$B11)+COUNTIF('1月'!DY4:DY34,$B11)+COUNTIF('1月'!DZ4:DZ34,$B11)+COUNTIF('1月'!ED4:ED34,$B11)+COUNTIF('1月'!EE4:EE34,$B11)+COUNTIF('1月'!EI4:EI34,$B11)+COUNTIF('1月'!EJ4:EJ34,$B11)+COUNTIF('1月'!EN4:EN34,$B11)+COUNTIF('1月'!EO4:EO34,$B11)+COUNTIF('1月'!ES4:ES34,$B11)+COUNTIF('1月'!ET4:ET34,$B11)),0)</f>
        <v>0</v>
      </c>
      <c r="D11" s="76">
        <f>IFERROR(IF($B11="","",COUNTIF('2月'!D4:D34,$B11)+COUNTIF('2月'!E4:E34,$B11)+COUNTIF('2月'!I4:I34,$B11)+COUNTIF('2月'!J4:J34,$B11)+COUNTIF('2月'!N4:N34,$B11)+COUNTIF('2月'!O4:O34,$B11)+COUNTIF('2月'!S4:S34,$B11)+COUNTIF('2月'!T4:T34,$B11)+COUNTIF('2月'!X4:X34,$B11)+COUNTIF('2月'!Y4:Y34,$B11)+COUNTIF('2月'!AC4:AC34,$B11)+COUNTIF('2月'!AD4:AD34,$B11)+COUNTIF('2月'!AH4:AH34,$B11)+COUNTIF('2月'!AI4:AI34,$B11)+COUNTIF('2月'!AM4:AM34,$B11)+COUNTIF('2月'!AN4:AN34,$B11)+COUNTIF('2月'!AR4:AR34,$B11)+COUNTIF('2月'!AS4:AS34,$B11)+COUNTIF('2月'!AW4:AW34,$B11)+COUNTIF('2月'!AX4:AX34,$B11)+COUNTIF('2月'!BB4:BB34,$B11)+COUNTIF('2月'!BC4:BC34,$B11)+COUNTIF('2月'!BG4:BG34,$B11)+COUNTIF('2月'!BH4:BH34,$B11)+COUNTIF('2月'!BL4:BL34,$B11)+COUNTIF('2月'!BM4:BM34,$B11)+COUNTIF('2月'!BQ4:BQ34,$B11)+COUNTIF('2月'!BR4:BR34,$B11)+COUNTIF('2月'!BV4:BV34,$B11)+COUNTIF('2月'!BW4:BW34,$B11)+COUNTIF('2月'!CA4:CA34,$B11)+COUNTIF('2月'!CB4:CB34,$B11)+COUNTIF('2月'!CF4:CF34,$B11)+COUNTIF('2月'!CG4:CG34,$B11)+COUNTIF('2月'!CK4:CK34,$B11)+COUNTIF('2月'!CL4:CL34,$B11)+COUNTIF('2月'!CP4:CP34,$B11)+COUNTIF('2月'!CQ4:CQ34,$B11)+COUNTIF('2月'!CU4:CU34,$B11)+COUNTIF('2月'!CV4:CV34,$B11)+COUNTIF('2月'!CZ4:CZ34,$B11)+COUNTIF('2月'!DA4:DA34,$B11)+COUNTIF('2月'!DE4:DE34,$B11)+COUNTIF('2月'!DF4:DF34,$B11)+COUNTIF('2月'!DJ4:DJ34,$B11)+COUNTIF('2月'!DK4:DK34,$B11)+COUNTIF('2月'!DO4:DO34,$B11)+COUNTIF('2月'!DP4:DP34,$B11)+COUNTIF('2月'!DT4:DT34,$B11)+COUNTIF('2月'!DU4:DU34,$B11)+COUNTIF('2月'!DY4:DY34,$B11)+COUNTIF('2月'!DZ4:DZ34,$B11)+COUNTIF('2月'!ED4:ED34,$B11)+COUNTIF('2月'!EE4:EE34,$B11)+COUNTIF('2月'!EI4:EI34,$B11)+COUNTIF('2月'!EJ4:EJ34,$B11)+COUNTIF('2月'!EN4:EN34,$B11)+COUNTIF('2月'!EO4:EO34,$B11)+COUNTIF('2月'!ES4:ES34,$B11)+COUNTIF('2月'!ET4:ET34,$B11)),0)</f>
        <v>0</v>
      </c>
      <c r="E11" s="76">
        <f>IFERROR(IF($B11="","",COUNTIF('3月'!D4:D34,$B11)+COUNTIF('3月'!E4:E34,$B11)+COUNTIF('3月'!I4:I34,$B11)+COUNTIF('3月'!J4:J34,$B11)+COUNTIF('3月'!N4:N34,$B11)+COUNTIF('3月'!O4:O34,$B11)+COUNTIF('3月'!S4:S34,$B11)+COUNTIF('3月'!T4:T34,$B11)+COUNTIF('3月'!X4:X34,$B11)+COUNTIF('3月'!Y4:Y34,$B11)+COUNTIF('3月'!AC4:AC34,$B11)+COUNTIF('3月'!AD4:AD34,$B11)+COUNTIF('3月'!AH4:AH34,$B11)+COUNTIF('3月'!AI4:AI34,$B11)+COUNTIF('3月'!AM4:AM34,$B11)+COUNTIF('3月'!AN4:AN34,$B11)+COUNTIF('3月'!AR4:AR34,$B11)+COUNTIF('3月'!AS4:AS34,$B11)+COUNTIF('3月'!AW4:AW34,$B11)+COUNTIF('3月'!AX4:AX34,$B11)+COUNTIF('3月'!BB4:BB34,$B11)+COUNTIF('3月'!BC4:BC34,$B11)+COUNTIF('3月'!BG4:BG34,$B11)+COUNTIF('3月'!BH4:BH34,$B11)+COUNTIF('3月'!BL4:BL34,$B11)+COUNTIF('3月'!BM4:BM34,$B11)+COUNTIF('3月'!BQ4:BQ34,$B11)+COUNTIF('3月'!BR4:BR34,$B11)+COUNTIF('3月'!BV4:BV34,$B11)+COUNTIF('3月'!BW4:BW34,$B11)+COUNTIF('3月'!CA4:CA34,$B11)+COUNTIF('3月'!CB4:CB34,$B11)+COUNTIF('3月'!CF4:CF34,$B11)+COUNTIF('3月'!CG4:CG34,$B11)+COUNTIF('3月'!CK4:CK34,$B11)+COUNTIF('3月'!CL4:CL34,$B11)+COUNTIF('3月'!CP4:CP34,$B11)+COUNTIF('3月'!CQ4:CQ34,$B11)+COUNTIF('3月'!CU4:CU34,$B11)+COUNTIF('3月'!CV4:CV34,$B11)+COUNTIF('3月'!CZ4:CZ34,$B11)+COUNTIF('3月'!DA4:DA34,$B11)+COUNTIF('3月'!DE4:DE34,$B11)+COUNTIF('3月'!DF4:DF34,$B11)+COUNTIF('3月'!DJ4:DJ34,$B11)+COUNTIF('3月'!DK4:DK34,$B11)+COUNTIF('3月'!DO4:DO34,$B11)+COUNTIF('3月'!DP4:DP34,$B11)+COUNTIF('3月'!DT4:DT34,$B11)+COUNTIF('3月'!DU4:DU34,$B11)+COUNTIF('3月'!DY4:DY34,$B11)+COUNTIF('3月'!DZ4:DZ34,$B11)+COUNTIF('3月'!ED4:ED34,$B11)+COUNTIF('3月'!EE4:EE34,$B11)+COUNTIF('3月'!EI4:EI34,$B11)+COUNTIF('3月'!EJ4:EJ34,$B11)+COUNTIF('3月'!EN4:EN34,$B11)+COUNTIF('3月'!EO4:EO34,$B11)+COUNTIF('3月'!ES4:ES34,$B11)+COUNTIF('3月'!ET4:ET34,$B11)),0)</f>
        <v>0</v>
      </c>
      <c r="F11" s="76">
        <f>IFERROR(IF($B11="","",COUNTIF('4月'!D4:D34,$B11)+COUNTIF('4月'!E4:E34,$B11)+COUNTIF('4月'!I4:I34,$B11)+COUNTIF('4月'!J4:J34,$B11)+COUNTIF('4月'!N4:N34,$B11)+COUNTIF('4月'!O4:O34,$B11)+COUNTIF('4月'!S4:S34,$B11)+COUNTIF('4月'!T4:T34,$B11)+COUNTIF('4月'!X4:X34,$B11)+COUNTIF('4月'!Y4:Y34,$B11)+COUNTIF('4月'!AC4:AC34,$B11)+COUNTIF('4月'!AD4:AD34,$B11)+COUNTIF('4月'!AH4:AH34,$B11)+COUNTIF('4月'!AI4:AI34,$B11)+COUNTIF('4月'!AM4:AM34,$B11)+COUNTIF('4月'!AN4:AN34,$B11)+COUNTIF('4月'!AR4:AR34,$B11)+COUNTIF('4月'!AS4:AS34,$B11)+COUNTIF('4月'!AW4:AW34,$B11)+COUNTIF('4月'!AX4:AX34,$B11)+COUNTIF('4月'!BB4:BB34,$B11)+COUNTIF('4月'!BC4:BC34,$B11)+COUNTIF('4月'!BG4:BG34,$B11)+COUNTIF('4月'!BH4:BH34,$B11)+COUNTIF('4月'!BL4:BL34,$B11)+COUNTIF('4月'!BM4:BM34,$B11)+COUNTIF('4月'!BQ4:BQ34,$B11)+COUNTIF('4月'!BR4:BR34,$B11)+COUNTIF('4月'!BV4:BV34,$B11)+COUNTIF('4月'!BW4:BW34,$B11)+COUNTIF('4月'!CA4:CA34,$B11)+COUNTIF('4月'!CB4:CB34,$B11)+COUNTIF('4月'!CF4:CF34,$B11)+COUNTIF('4月'!CG4:CG34,$B11)+COUNTIF('4月'!CK4:CK34,$B11)+COUNTIF('4月'!CL4:CL34,$B11)+COUNTIF('4月'!CP4:CP34,$B11)+COUNTIF('4月'!CQ4:CQ34,$B11)+COUNTIF('4月'!CU4:CU34,$B11)+COUNTIF('4月'!CV4:CV34,$B11)+COUNTIF('4月'!CZ4:CZ34,$B11)+COUNTIF('4月'!DA4:DA34,$B11)+COUNTIF('4月'!DE4:DE34,$B11)+COUNTIF('4月'!DF4:DF34,$B11)+COUNTIF('4月'!DJ4:DJ34,$B11)+COUNTIF('4月'!DK4:DK34,$B11)+COUNTIF('4月'!DO4:DO34,$B11)+COUNTIF('4月'!DP4:DP34,$B11)+COUNTIF('4月'!DT4:DT34,$B11)+COUNTIF('4月'!DU4:DU34,$B11)+COUNTIF('4月'!DY4:DY34,$B11)+COUNTIF('4月'!DZ4:DZ34,$B11)+COUNTIF('4月'!ED4:ED34,$B11)+COUNTIF('4月'!EE4:EE34,$B11)+COUNTIF('4月'!EI4:EI34,$B11)+COUNTIF('4月'!EJ4:EJ34,$B11)+COUNTIF('4月'!EN4:EN34,$B11)+COUNTIF('4月'!EO4:EO34,$B11)+COUNTIF('4月'!ES4:ES34,$B11)+COUNTIF('4月'!ET4:ET34,$B11)),0)</f>
        <v>0</v>
      </c>
      <c r="G11" s="76">
        <f>IFERROR(IF($B11="","",COUNTIF('5月'!D4:D34,$B11)+COUNTIF('5月'!E4:E34,$B11)+COUNTIF('5月'!I4:I34,$B11)+COUNTIF('5月'!J4:J34,$B11)+COUNTIF('5月'!N4:N34,$B11)+COUNTIF('5月'!O4:O34,$B11)+COUNTIF('5月'!S4:S34,$B11)+COUNTIF('5月'!T4:T34,$B11)+COUNTIF('5月'!X4:X34,$B11)+COUNTIF('5月'!Y4:Y34,$B11)+COUNTIF('5月'!AC4:AC34,$B11)+COUNTIF('5月'!AD4:AD34,$B11)+COUNTIF('5月'!AH4:AH34,$B11)+COUNTIF('5月'!AI4:AI34,$B11)+COUNTIF('5月'!AM4:AM34,$B11)+COUNTIF('5月'!AN4:AN34,$B11)+COUNTIF('5月'!AR4:AR34,$B11)+COUNTIF('5月'!AS4:AS34,$B11)+COUNTIF('5月'!AW4:AW34,$B11)+COUNTIF('5月'!AX4:AX34,$B11)+COUNTIF('5月'!BB4:BB34,$B11)+COUNTIF('5月'!BC4:BC34,$B11)+COUNTIF('5月'!BG4:BG34,$B11)+COUNTIF('5月'!BH4:BH34,$B11)+COUNTIF('5月'!BL4:BL34,$B11)+COUNTIF('5月'!BM4:BM34,$B11)+COUNTIF('5月'!BQ4:BQ34,$B11)+COUNTIF('5月'!BR4:BR34,$B11)+COUNTIF('5月'!BV4:BV34,$B11)+COUNTIF('5月'!BW4:BW34,$B11)+COUNTIF('5月'!CA4:CA34,$B11)+COUNTIF('5月'!CB4:CB34,$B11)+COUNTIF('5月'!CF4:CF34,$B11)+COUNTIF('5月'!CG4:CG34,$B11)+COUNTIF('5月'!CK4:CK34,$B11)+COUNTIF('5月'!CL4:CL34,$B11)+COUNTIF('5月'!CP4:CP34,$B11)+COUNTIF('5月'!CQ4:CQ34,$B11)+COUNTIF('5月'!CU4:CU34,$B11)+COUNTIF('5月'!CV4:CV34,$B11)+COUNTIF('5月'!CZ4:CZ34,$B11)+COUNTIF('5月'!DA4:DA34,$B11)+COUNTIF('5月'!DE4:DE34,$B11)+COUNTIF('5月'!DF4:DF34,$B11)+COUNTIF('5月'!DJ4:DJ34,$B11)+COUNTIF('5月'!DK4:DK34,$B11)+COUNTIF('5月'!DO4:DO34,$B11)+COUNTIF('5月'!DP4:DP34,$B11)+COUNTIF('5月'!DT4:DT34,$B11)+COUNTIF('5月'!DU4:DU34,$B11)+COUNTIF('5月'!DY4:DY34,$B11)+COUNTIF('5月'!DZ4:DZ34,$B11)+COUNTIF('5月'!ED4:ED34,$B11)+COUNTIF('5月'!EE4:EE34,$B11)+COUNTIF('5月'!EI4:EI34,$B11)+COUNTIF('5月'!EJ4:EJ34,$B11)+COUNTIF('5月'!EN4:EN34,$B11)+COUNTIF('5月'!EO4:EO34,$B11)+COUNTIF('5月'!ES4:ES34,$B11)+COUNTIF('5月'!ET4:ET34,$B11)),0)</f>
        <v>0</v>
      </c>
      <c r="H11" s="76">
        <f>IFERROR(IF($B11="","",COUNTIF('6月'!D4:D34,$B11)+COUNTIF('6月'!E4:E34,$B11)+COUNTIF('6月'!I4:I34,$B11)+COUNTIF('6月'!J4:J34,$B11)+COUNTIF('6月'!N4:N34,$B11)+COUNTIF('6月'!O4:O34,$B11)+COUNTIF('6月'!S4:S34,$B11)+COUNTIF('6月'!T4:T34,$B11)+COUNTIF('6月'!X4:X34,$B11)+COUNTIF('6月'!Y4:Y34,$B11)+COUNTIF('6月'!AC4:AC34,$B11)+COUNTIF('6月'!AD4:AD34,$B11)+COUNTIF('6月'!AH4:AH34,$B11)+COUNTIF('6月'!AI4:AI34,$B11)+COUNTIF('6月'!AM4:AM34,$B11)+COUNTIF('6月'!AN4:AN34,$B11)+COUNTIF('6月'!AR4:AR34,$B11)+COUNTIF('6月'!AS4:AS34,$B11)+COUNTIF('6月'!AW4:AW34,$B11)+COUNTIF('6月'!AX4:AX34,$B11)+COUNTIF('6月'!BB4:BB34,$B11)+COUNTIF('6月'!BC4:BC34,$B11)+COUNTIF('6月'!BG4:BG34,$B11)+COUNTIF('6月'!BH4:BH34,$B11)+COUNTIF('6月'!BL4:BL34,$B11)+COUNTIF('6月'!BM4:BM34,$B11)+COUNTIF('6月'!BQ4:BQ34,$B11)+COUNTIF('6月'!BR4:BR34,$B11)+COUNTIF('6月'!BV4:BV34,$B11)+COUNTIF('6月'!BW4:BW34,$B11)+COUNTIF('6月'!CA4:CA34,$B11)+COUNTIF('6月'!CB4:CB34,$B11)+COUNTIF('6月'!CF4:CF34,$B11)+COUNTIF('6月'!CG4:CG34,$B11)+COUNTIF('6月'!CK4:CK34,$B11)+COUNTIF('6月'!CL4:CL34,$B11)+COUNTIF('6月'!CP4:CP34,$B11)+COUNTIF('6月'!CQ4:CQ34,$B11)+COUNTIF('6月'!CU4:CU34,$B11)+COUNTIF('6月'!CV4:CV34,$B11)+COUNTIF('6月'!CZ4:CZ34,$B11)+COUNTIF('6月'!DA4:DA34,$B11)+COUNTIF('6月'!DE4:DE34,$B11)+COUNTIF('6月'!DF4:DF34,$B11)+COUNTIF('6月'!DJ4:DJ34,$B11)+COUNTIF('6月'!DK4:DK34,$B11)+COUNTIF('6月'!DO4:DO34,$B11)+COUNTIF('6月'!DP4:DP34,$B11)+COUNTIF('6月'!DT4:DT34,$B11)+COUNTIF('6月'!DU4:DU34,$B11)+COUNTIF('6月'!DY4:DY34,$B11)+COUNTIF('6月'!DZ4:DZ34,$B11)+COUNTIF('6月'!ED4:ED34,$B11)+COUNTIF('6月'!EE4:EE34,$B11)+COUNTIF('6月'!EI4:EI34,$B11)+COUNTIF('6月'!EJ4:EJ34,$B11)+COUNTIF('6月'!EN4:EN34,$B11)+COUNTIF('6月'!EO4:EO34,$B11)+COUNTIF('6月'!ES4:ES34,$B11)+COUNTIF('6月'!ET4:ET34,$B11)),0)</f>
        <v>0</v>
      </c>
      <c r="I11" s="76">
        <f>IFERROR(IF($B11="","",COUNTIF('7月'!D4:D34,$B11)+COUNTIF('7月'!E4:E34,$B11)+COUNTIF('7月'!I4:I34,$B11)+COUNTIF('7月'!J4:J34,$B11)+COUNTIF('7月'!N4:N34,$B11)+COUNTIF('7月'!O4:O34,$B11)+COUNTIF('7月'!S4:S34,$B11)+COUNTIF('7月'!T4:T34,$B11)+COUNTIF('7月'!X4:X34,$B11)+COUNTIF('7月'!Y4:Y34,$B11)+COUNTIF('7月'!AC4:AC34,$B11)+COUNTIF('7月'!AD4:AD34,$B11)+COUNTIF('7月'!AH4:AH34,$B11)+COUNTIF('7月'!AI4:AI34,$B11)+COUNTIF('7月'!AM4:AM34,$B11)+COUNTIF('7月'!AN4:AN34,$B11)+COUNTIF('7月'!AR4:AR34,$B11)+COUNTIF('7月'!AS4:AS34,$B11)+COUNTIF('7月'!AW4:AW34,$B11)+COUNTIF('7月'!AX4:AX34,$B11)+COUNTIF('7月'!BB4:BB34,$B11)+COUNTIF('7月'!BC4:BC34,$B11)+COUNTIF('7月'!BG4:BG34,$B11)+COUNTIF('7月'!BH4:BH34,$B11)+COUNTIF('7月'!BL4:BL34,$B11)+COUNTIF('7月'!BM4:BM34,$B11)+COUNTIF('7月'!BQ4:BQ34,$B11)+COUNTIF('7月'!BR4:BR34,$B11)+COUNTIF('7月'!BV4:BV34,$B11)+COUNTIF('7月'!BW4:BW34,$B11)+COUNTIF('7月'!CA4:CA34,$B11)+COUNTIF('7月'!CB4:CB34,$B11)+COUNTIF('7月'!CF4:CF34,$B11)+COUNTIF('7月'!CG4:CG34,$B11)+COUNTIF('7月'!CK4:CK34,$B11)+COUNTIF('7月'!CL4:CL34,$B11)+COUNTIF('7月'!CP4:CP34,$B11)+COUNTIF('7月'!CQ4:CQ34,$B11)+COUNTIF('7月'!CU4:CU34,$B11)+COUNTIF('7月'!CV4:CV34,$B11)+COUNTIF('7月'!CZ4:CZ34,$B11)+COUNTIF('7月'!DA4:DA34,$B11)+COUNTIF('7月'!DE4:DE34,$B11)+COUNTIF('7月'!DF4:DF34,$B11)+COUNTIF('7月'!DJ4:DJ34,$B11)+COUNTIF('7月'!DK4:DK34,$B11)+COUNTIF('7月'!DO4:DO34,$B11)+COUNTIF('7月'!DP4:DP34,$B11)+COUNTIF('7月'!DT4:DT34,$B11)+COUNTIF('7月'!DU4:DU34,$B11)+COUNTIF('7月'!DY4:DY34,$B11)+COUNTIF('7月'!DZ4:DZ34,$B11)+COUNTIF('7月'!ED4:ED34,$B11)+COUNTIF('7月'!EE4:EE34,$B11)+COUNTIF('7月'!EI4:EI34,$B11)+COUNTIF('7月'!EJ4:EJ34,$B11)+COUNTIF('7月'!EN4:EN34,$B11)+COUNTIF('7月'!EO4:EO34,$B11)+COUNTIF('7月'!ES4:ES34,$B11)+COUNTIF('7月'!ET4:ET34,$B11)),0)</f>
        <v>0</v>
      </c>
      <c r="J11" s="76">
        <f>IFERROR(IF($B11="","",COUNTIF('8月'!D4:D34,$B11)+COUNTIF('8月'!E4:E34,$B11)+COUNTIF('8月'!I4:I34,$B11)+COUNTIF('8月'!J4:J34,$B11)+COUNTIF('8月'!N4:N34,$B11)+COUNTIF('8月'!O4:O34,$B11)+COUNTIF('8月'!S4:S34,$B11)+COUNTIF('8月'!T4:T34,$B11)+COUNTIF('8月'!X4:X34,$B11)+COUNTIF('8月'!Y4:Y34,$B11)+COUNTIF('8月'!AC4:AC34,$B11)+COUNTIF('8月'!AD4:AD34,$B11)+COUNTIF('8月'!AH4:AH34,$B11)+COUNTIF('8月'!AI4:AI34,$B11)+COUNTIF('8月'!AM4:AM34,$B11)+COUNTIF('8月'!AN4:AN34,$B11)+COUNTIF('8月'!AR4:AR34,$B11)+COUNTIF('8月'!AS4:AS34,$B11)+COUNTIF('8月'!AW4:AW34,$B11)+COUNTIF('8月'!AX4:AX34,$B11)+COUNTIF('8月'!BB4:BB34,$B11)+COUNTIF('8月'!BC4:BC34,$B11)+COUNTIF('8月'!BG4:BG34,$B11)+COUNTIF('8月'!BH4:BH34,$B11)+COUNTIF('8月'!BL4:BL34,$B11)+COUNTIF('8月'!BM4:BM34,$B11)+COUNTIF('8月'!BQ4:BQ34,$B11)+COUNTIF('8月'!BR4:BR34,$B11)+COUNTIF('8月'!BV4:BV34,$B11)+COUNTIF('8月'!BW4:BW34,$B11)+COUNTIF('8月'!CA4:CA34,$B11)+COUNTIF('8月'!CB4:CB34,$B11)+COUNTIF('8月'!CF4:CF34,$B11)+COUNTIF('8月'!CG4:CG34,$B11)+COUNTIF('8月'!CK4:CK34,$B11)+COUNTIF('8月'!CL4:CL34,$B11)+COUNTIF('8月'!CP4:CP34,$B11)+COUNTIF('8月'!CQ4:CQ34,$B11)+COUNTIF('8月'!CU4:CU34,$B11)+COUNTIF('8月'!CV4:CV34,$B11)+COUNTIF('8月'!CZ4:CZ34,$B11)+COUNTIF('8月'!DA4:DA34,$B11)+COUNTIF('8月'!DE4:DE34,$B11)+COUNTIF('8月'!DF4:DF34,$B11)+COUNTIF('8月'!DJ4:DJ34,$B11)+COUNTIF('8月'!DK4:DK34,$B11)+COUNTIF('8月'!DO4:DO34,$B11)+COUNTIF('8月'!DP4:DP34,$B11)+COUNTIF('8月'!DT4:DT34,$B11)+COUNTIF('8月'!DU4:DU34,$B11)+COUNTIF('8月'!DY4:DY34,$B11)+COUNTIF('8月'!DZ4:DZ34,$B11)+COUNTIF('8月'!ED4:ED34,$B11)+COUNTIF('8月'!EE4:EE34,$B11)+COUNTIF('8月'!EI4:EI34,$B11)+COUNTIF('8月'!EJ4:EJ34,$B11)+COUNTIF('8月'!EN4:EN34,$B11)+COUNTIF('8月'!EO4:EO34,$B11)+COUNTIF('8月'!ES4:ES34,$B11)+COUNTIF('8月'!ET4:ET34,$B11)),0)</f>
        <v>0</v>
      </c>
      <c r="K11" s="76">
        <f>IFERROR(IF($B11="","",COUNTIF('9月'!D4:D34,$B11)+COUNTIF('9月'!E4:E34,$B11)+COUNTIF('9月'!I4:I34,$B11)+COUNTIF('9月'!J4:J34,$B11)+COUNTIF('9月'!N4:N34,$B11)+COUNTIF('9月'!O4:O34,$B11)+COUNTIF('9月'!S4:S34,$B11)+COUNTIF('9月'!T4:T34,$B11)+COUNTIF('9月'!X4:X34,$B11)+COUNTIF('9月'!Y4:Y34,$B11)+COUNTIF('9月'!AC4:AC34,$B11)+COUNTIF('9月'!AD4:AD34,$B11)+COUNTIF('9月'!AH4:AH34,$B11)+COUNTIF('9月'!AI4:AI34,$B11)+COUNTIF('9月'!AM4:AM34,$B11)+COUNTIF('9月'!AN4:AN34,$B11)+COUNTIF('9月'!AR4:AR34,$B11)+COUNTIF('9月'!AS4:AS34,$B11)+COUNTIF('9月'!AW4:AW34,$B11)+COUNTIF('9月'!AX4:AX34,$B11)+COUNTIF('9月'!BB4:BB34,$B11)+COUNTIF('9月'!BC4:BC34,$B11)+COUNTIF('9月'!BG4:BG34,$B11)+COUNTIF('9月'!BH4:BH34,$B11)+COUNTIF('9月'!BL4:BL34,$B11)+COUNTIF('9月'!BM4:BM34,$B11)+COUNTIF('9月'!BQ4:BQ34,$B11)+COUNTIF('9月'!BR4:BR34,$B11)+COUNTIF('9月'!BV4:BV34,$B11)+COUNTIF('9月'!BW4:BW34,$B11)+COUNTIF('9月'!CA4:CA34,$B11)+COUNTIF('9月'!CB4:CB34,$B11)+COUNTIF('9月'!CF4:CF34,$B11)+COUNTIF('9月'!CG4:CG34,$B11)+COUNTIF('9月'!CK4:CK34,$B11)+COUNTIF('9月'!CL4:CL34,$B11)+COUNTIF('9月'!CP4:CP34,$B11)+COUNTIF('9月'!CQ4:CQ34,$B11)+COUNTIF('9月'!CU4:CU34,$B11)+COUNTIF('9月'!CV4:CV34,$B11)+COUNTIF('9月'!CZ4:CZ34,$B11)+COUNTIF('9月'!DA4:DA34,$B11)+COUNTIF('9月'!DE4:DE34,$B11)+COUNTIF('9月'!DF4:DF34,$B11)+COUNTIF('9月'!DJ4:DJ34,$B11)+COUNTIF('9月'!DK4:DK34,$B11)+COUNTIF('9月'!DO4:DO34,$B11)+COUNTIF('9月'!DP4:DP34,$B11)+COUNTIF('9月'!DT4:DT34,$B11)+COUNTIF('9月'!DU4:DU34,$B11)+COUNTIF('9月'!DY4:DY34,$B11)+COUNTIF('9月'!DZ4:DZ34,$B11)+COUNTIF('9月'!ED4:ED34,$B11)+COUNTIF('9月'!EE4:EE34,$B11)+COUNTIF('9月'!EI4:EI34,$B11)+COUNTIF('9月'!EJ4:EJ34,$B11)+COUNTIF('9月'!EN4:EN34,$B11)+COUNTIF('9月'!EO4:EO34,$B11)+COUNTIF('9月'!ES4:ES34,$B11)+COUNTIF('9月'!ET4:ET34,$B11)),0)</f>
        <v>0</v>
      </c>
      <c r="L11" s="76">
        <f>IFERROR(IF($B11="","",COUNTIF('10月'!D4:D34,$B11)+COUNTIF('10月'!E4:E34,$B11)+COUNTIF('10月'!I4:I34,$B11)+COUNTIF('10月'!J4:J34,$B11)+COUNTIF('10月'!N4:N34,$B11)+COUNTIF('10月'!O4:O34,$B11)+COUNTIF('10月'!S4:S34,$B11)+COUNTIF('10月'!T4:T34,$B11)+COUNTIF('10月'!X4:X34,$B11)+COUNTIF('10月'!Y4:Y34,$B11)+COUNTIF('10月'!AC4:AC34,$B11)+COUNTIF('10月'!AD4:AD34,$B11)+COUNTIF('10月'!AH4:AH34,$B11)+COUNTIF('10月'!AI4:AI34,$B11)+COUNTIF('10月'!AM4:AM34,$B11)+COUNTIF('10月'!AN4:AN34,$B11)+COUNTIF('10月'!AR4:AR34,$B11)+COUNTIF('10月'!AS4:AS34,$B11)+COUNTIF('10月'!AW4:AW34,$B11)+COUNTIF('10月'!AX4:AX34,$B11)+COUNTIF('10月'!BB4:BB34,$B11)+COUNTIF('10月'!BC4:BC34,$B11)+COUNTIF('10月'!BG4:BG34,$B11)+COUNTIF('10月'!BH4:BH34,$B11)+COUNTIF('10月'!BL4:BL34,$B11)+COUNTIF('10月'!BM4:BM34,$B11)+COUNTIF('10月'!BQ4:BQ34,$B11)+COUNTIF('10月'!BR4:BR34,$B11)+COUNTIF('10月'!BV4:BV34,$B11)+COUNTIF('10月'!BW4:BW34,$B11)+COUNTIF('10月'!CA4:CA34,$B11)+COUNTIF('10月'!CB4:CB34,$B11)+COUNTIF('10月'!CF4:CF34,$B11)+COUNTIF('10月'!CG4:CG34,$B11)+COUNTIF('10月'!CK4:CK34,$B11)+COUNTIF('10月'!CL4:CL34,$B11)+COUNTIF('10月'!CP4:CP34,$B11)+COUNTIF('10月'!CQ4:CQ34,$B11)+COUNTIF('10月'!CU4:CU34,$B11)+COUNTIF('10月'!CV4:CV34,$B11)+COUNTIF('10月'!CZ4:CZ34,$B11)+COUNTIF('10月'!DA4:DA34,$B11)+COUNTIF('10月'!DE4:DE34,$B11)+COUNTIF('10月'!DF4:DF34,$B11)+COUNTIF('10月'!DJ4:DJ34,$B11)+COUNTIF('10月'!DK4:DK34,$B11)+COUNTIF('10月'!DO4:DO34,$B11)+COUNTIF('10月'!DP4:DP34,$B11)+COUNTIF('10月'!DT4:DT34,$B11)+COUNTIF('10月'!DU4:DU34,$B11)+COUNTIF('10月'!DY4:DY34,$B11)+COUNTIF('10月'!DZ4:DZ34,$B11)+COUNTIF('10月'!ED4:ED34,$B11)+COUNTIF('10月'!EE4:EE34,$B11)+COUNTIF('10月'!EI4:EI34,$B11)+COUNTIF('10月'!EJ4:EJ34,$B11)+COUNTIF('10月'!EN4:EN34,$B11)+COUNTIF('10月'!EO4:EO34,$B11)+COUNTIF('10月'!ES4:ES34,$B11)+COUNTIF('10月'!ET4:ET34,$B11)),0)</f>
        <v>0</v>
      </c>
      <c r="M11" s="76">
        <f>IFERROR(IF($B11="","",COUNTIF('11月'!D4:D34,$B11)+COUNTIF('11月'!E4:E34,$B11)+COUNTIF('11月'!I4:I34,$B11)+COUNTIF('11月'!J4:J34,$B11)+COUNTIF('11月'!N4:N34,$B11)+COUNTIF('11月'!O4:O34,$B11)+COUNTIF('11月'!S4:S34,$B11)+COUNTIF('11月'!T4:T34,$B11)+COUNTIF('11月'!X4:X34,$B11)+COUNTIF('11月'!Y4:Y34,$B11)+COUNTIF('11月'!AC4:AC34,$B11)+COUNTIF('11月'!AD4:AD34,$B11)+COUNTIF('11月'!AH4:AH34,$B11)+COUNTIF('11月'!AI4:AI34,$B11)+COUNTIF('11月'!AM4:AM34,$B11)+COUNTIF('11月'!AN4:AN34,$B11)+COUNTIF('11月'!AR4:AR34,$B11)+COUNTIF('11月'!AS4:AS34,$B11)+COUNTIF('11月'!AW4:AW34,$B11)+COUNTIF('11月'!AX4:AX34,$B11)+COUNTIF('11月'!BB4:BB34,$B11)+COUNTIF('11月'!BC4:BC34,$B11)+COUNTIF('11月'!BG4:BG34,$B11)+COUNTIF('11月'!BH4:BH34,$B11)+COUNTIF('11月'!BL4:BL34,$B11)+COUNTIF('11月'!BM4:BM34,$B11)+COUNTIF('11月'!BQ4:BQ34,$B11)+COUNTIF('11月'!BR4:BR34,$B11)+COUNTIF('11月'!BV4:BV34,$B11)+COUNTIF('11月'!BW4:BW34,$B11)+COUNTIF('11月'!CA4:CA34,$B11)+COUNTIF('11月'!CB4:CB34,$B11)+COUNTIF('11月'!CF4:CF34,$B11)+COUNTIF('11月'!CG4:CG34,$B11)+COUNTIF('11月'!CK4:CK34,$B11)+COUNTIF('11月'!CL4:CL34,$B11)+COUNTIF('11月'!CP4:CP34,$B11)+COUNTIF('11月'!CQ4:CQ34,$B11)+COUNTIF('11月'!CU4:CU34,$B11)+COUNTIF('11月'!CV4:CV34,$B11)+COUNTIF('11月'!CZ4:CZ34,$B11)+COUNTIF('11月'!DA4:DA34,$B11)+COUNTIF('11月'!DE4:DE34,$B11)+COUNTIF('11月'!DF4:DF34,$B11)+COUNTIF('11月'!DJ4:DJ34,$B11)+COUNTIF('11月'!DK4:DK34,$B11)+COUNTIF('11月'!DO4:DO34,$B11)+COUNTIF('11月'!DP4:DP34,$B11)+COUNTIF('11月'!DT4:DT34,$B11)+COUNTIF('11月'!DU4:DU34,$B11)+COUNTIF('11月'!DY4:DY34,$B11)+COUNTIF('11月'!DZ4:DZ34,$B11)+COUNTIF('11月'!ED4:ED34,$B11)+COUNTIF('11月'!EE4:EE34,$B11)+COUNTIF('11月'!EI4:EI34,$B11)+COUNTIF('11月'!EJ4:EJ34,$B11)+COUNTIF('11月'!EN4:EN34,$B11)+COUNTIF('11月'!EO4:EO34,$B11)+COUNTIF('11月'!ES4:ES34,$B11)+COUNTIF('11月'!ET4:ET34,$B11)),0)</f>
        <v>0</v>
      </c>
      <c r="N11" s="76">
        <f>IFERROR(IF($B11="","",COUNTIF('12月'!D4:D34,$B11)+COUNTIF('12月'!E4:E34,$B11)+COUNTIF('12月'!I4:I34,$B11)+COUNTIF('12月'!J4:J34,$B11)+COUNTIF('12月'!N4:N34,$B11)+COUNTIF('12月'!O4:O34,$B11)+COUNTIF('12月'!S4:S34,$B11)+COUNTIF('12月'!T4:T34,$B11)+COUNTIF('12月'!X4:X34,$B11)+COUNTIF('12月'!Y4:Y34,$B11)+COUNTIF('12月'!AC4:AC34,$B11)+COUNTIF('12月'!AD4:AD34,$B11)+COUNTIF('12月'!AH4:AH34,$B11)+COUNTIF('12月'!AI4:AI34,$B11)+COUNTIF('12月'!AM4:AM34,$B11)+COUNTIF('12月'!AN4:AN34,$B11)+COUNTIF('12月'!AR4:AR34,$B11)+COUNTIF('12月'!AS4:AS34,$B11)+COUNTIF('12月'!AW4:AW34,$B11)+COUNTIF('12月'!AX4:AX34,$B11)+COUNTIF('12月'!BB4:BB34,$B11)+COUNTIF('12月'!BC4:BC34,$B11)+COUNTIF('12月'!BG4:BG34,$B11)+COUNTIF('12月'!BH4:BH34,$B11)+COUNTIF('12月'!BL4:BL34,$B11)+COUNTIF('12月'!BM4:BM34,$B11)+COUNTIF('12月'!BQ4:BQ34,$B11)+COUNTIF('12月'!BR4:BR34,$B11)+COUNTIF('12月'!BV4:BV34,$B11)+COUNTIF('12月'!BW4:BW34,$B11)+COUNTIF('12月'!CA4:CA34,$B11)+COUNTIF('12月'!CB4:CB34,$B11)+COUNTIF('12月'!CF4:CF34,$B11)+COUNTIF('12月'!CG4:CG34,$B11)+COUNTIF('12月'!CK4:CK34,$B11)+COUNTIF('12月'!CL4:CL34,$B11)+COUNTIF('12月'!CP4:CP34,$B11)+COUNTIF('12月'!CQ4:CQ34,$B11)+COUNTIF('12月'!CU4:CU34,$B11)+COUNTIF('12月'!CV4:CV34,$B11)+COUNTIF('12月'!CZ4:CZ34,$B11)+COUNTIF('12月'!DA4:DA34,$B11)+COUNTIF('12月'!DE4:DE34,$B11)+COUNTIF('12月'!DF4:DF34,$B11)+COUNTIF('12月'!DJ4:DJ34,$B11)+COUNTIF('12月'!DK4:DK34,$B11)+COUNTIF('12月'!DO4:DO34,$B11)+COUNTIF('12月'!DP4:DP34,$B11)+COUNTIF('12月'!DT4:DT34,$B11)+COUNTIF('12月'!DU4:DU34,$B11)+COUNTIF('12月'!DY4:DY34,$B11)+COUNTIF('12月'!DZ4:DZ34,$B11)+COUNTIF('12月'!ED4:ED34,$B11)+COUNTIF('12月'!EE4:EE34,$B11)+COUNTIF('12月'!EI4:EI34,$B11)+COUNTIF('12月'!EJ4:EJ34,$B11)+COUNTIF('12月'!EN4:EN34,$B11)+COUNTIF('12月'!EO4:EO34,$B11)+COUNTIF('12月'!ES4:ES34,$B11)+COUNTIF('12月'!ET4:ET34,$B11)),0)</f>
        <v>0</v>
      </c>
      <c r="O11" s="78">
        <f t="shared" si="0"/>
        <v>0</v>
      </c>
    </row>
    <row r="12" spans="1:15" ht="19.5" customHeight="1">
      <c r="A12" s="76">
        <v>10</v>
      </c>
      <c r="B12" s="77">
        <f>IFERROR(現場マスタ!$C$13,"")</f>
        <v>0</v>
      </c>
      <c r="C12" s="76">
        <f>IFERROR(IF($B12="","",COUNTIF('1月'!D4:D34,$B12)+COUNTIF('1月'!E4:E34,$B12)+COUNTIF('1月'!I4:I34,$B12)+COUNTIF('1月'!J4:J34,$B12)+COUNTIF('1月'!N4:N34,$B12)+COUNTIF('1月'!O4:O34,$B12)+COUNTIF('1月'!S4:S34,$B12)+COUNTIF('1月'!T4:T34,$B12)+COUNTIF('1月'!X4:X34,$B12)+COUNTIF('1月'!Y4:Y34,$B12)+COUNTIF('1月'!AC4:AC34,$B12)+COUNTIF('1月'!AD4:AD34,$B12)+COUNTIF('1月'!AH4:AH34,$B12)+COUNTIF('1月'!AI4:AI34,$B12)+COUNTIF('1月'!AM4:AM34,$B12)+COUNTIF('1月'!AN4:AN34,$B12)+COUNTIF('1月'!AR4:AR34,$B12)+COUNTIF('1月'!AS4:AS34,$B12)+COUNTIF('1月'!AW4:AW34,$B12)+COUNTIF('1月'!AX4:AX34,$B12)+COUNTIF('1月'!BB4:BB34,$B12)+COUNTIF('1月'!BC4:BC34,$B12)+COUNTIF('1月'!BG4:BG34,$B12)+COUNTIF('1月'!BH4:BH34,$B12)+COUNTIF('1月'!BL4:BL34,$B12)+COUNTIF('1月'!BM4:BM34,$B12)+COUNTIF('1月'!BQ4:BQ34,$B12)+COUNTIF('1月'!BR4:BR34,$B12)+COUNTIF('1月'!BV4:BV34,$B12)+COUNTIF('1月'!BW4:BW34,$B12)+COUNTIF('1月'!CA4:CA34,$B12)+COUNTIF('1月'!CB4:CB34,$B12)+COUNTIF('1月'!CF4:CF34,$B12)+COUNTIF('1月'!CG4:CG34,$B12)+COUNTIF('1月'!CK4:CK34,$B12)+COUNTIF('1月'!CL4:CL34,$B12)+COUNTIF('1月'!CP4:CP34,$B12)+COUNTIF('1月'!CQ4:CQ34,$B12)+COUNTIF('1月'!CU4:CU34,$B12)+COUNTIF('1月'!CV4:CV34,$B12)+COUNTIF('1月'!CZ4:CZ34,$B12)+COUNTIF('1月'!DA4:DA34,$B12)+COUNTIF('1月'!DE4:DE34,$B12)+COUNTIF('1月'!DF4:DF34,$B12)+COUNTIF('1月'!DJ4:DJ34,$B12)+COUNTIF('1月'!DK4:DK34,$B12)+COUNTIF('1月'!DO4:DO34,$B12)+COUNTIF('1月'!DP4:DP34,$B12)+COUNTIF('1月'!DT4:DT34,$B12)+COUNTIF('1月'!DU4:DU34,$B12)+COUNTIF('1月'!DY4:DY34,$B12)+COUNTIF('1月'!DZ4:DZ34,$B12)+COUNTIF('1月'!ED4:ED34,$B12)+COUNTIF('1月'!EE4:EE34,$B12)+COUNTIF('1月'!EI4:EI34,$B12)+COUNTIF('1月'!EJ4:EJ34,$B12)+COUNTIF('1月'!EN4:EN34,$B12)+COUNTIF('1月'!EO4:EO34,$B12)+COUNTIF('1月'!ES4:ES34,$B12)+COUNTIF('1月'!ET4:ET34,$B12)),0)</f>
        <v>0</v>
      </c>
      <c r="D12" s="76">
        <f>IFERROR(IF($B12="","",COUNTIF('2月'!D4:D34,$B12)+COUNTIF('2月'!E4:E34,$B12)+COUNTIF('2月'!I4:I34,$B12)+COUNTIF('2月'!J4:J34,$B12)+COUNTIF('2月'!N4:N34,$B12)+COUNTIF('2月'!O4:O34,$B12)+COUNTIF('2月'!S4:S34,$B12)+COUNTIF('2月'!T4:T34,$B12)+COUNTIF('2月'!X4:X34,$B12)+COUNTIF('2月'!Y4:Y34,$B12)+COUNTIF('2月'!AC4:AC34,$B12)+COUNTIF('2月'!AD4:AD34,$B12)+COUNTIF('2月'!AH4:AH34,$B12)+COUNTIF('2月'!AI4:AI34,$B12)+COUNTIF('2月'!AM4:AM34,$B12)+COUNTIF('2月'!AN4:AN34,$B12)+COUNTIF('2月'!AR4:AR34,$B12)+COUNTIF('2月'!AS4:AS34,$B12)+COUNTIF('2月'!AW4:AW34,$B12)+COUNTIF('2月'!AX4:AX34,$B12)+COUNTIF('2月'!BB4:BB34,$B12)+COUNTIF('2月'!BC4:BC34,$B12)+COUNTIF('2月'!BG4:BG34,$B12)+COUNTIF('2月'!BH4:BH34,$B12)+COUNTIF('2月'!BL4:BL34,$B12)+COUNTIF('2月'!BM4:BM34,$B12)+COUNTIF('2月'!BQ4:BQ34,$B12)+COUNTIF('2月'!BR4:BR34,$B12)+COUNTIF('2月'!BV4:BV34,$B12)+COUNTIF('2月'!BW4:BW34,$B12)+COUNTIF('2月'!CA4:CA34,$B12)+COUNTIF('2月'!CB4:CB34,$B12)+COUNTIF('2月'!CF4:CF34,$B12)+COUNTIF('2月'!CG4:CG34,$B12)+COUNTIF('2月'!CK4:CK34,$B12)+COUNTIF('2月'!CL4:CL34,$B12)+COUNTIF('2月'!CP4:CP34,$B12)+COUNTIF('2月'!CQ4:CQ34,$B12)+COUNTIF('2月'!CU4:CU34,$B12)+COUNTIF('2月'!CV4:CV34,$B12)+COUNTIF('2月'!CZ4:CZ34,$B12)+COUNTIF('2月'!DA4:DA34,$B12)+COUNTIF('2月'!DE4:DE34,$B12)+COUNTIF('2月'!DF4:DF34,$B12)+COUNTIF('2月'!DJ4:DJ34,$B12)+COUNTIF('2月'!DK4:DK34,$B12)+COUNTIF('2月'!DO4:DO34,$B12)+COUNTIF('2月'!DP4:DP34,$B12)+COUNTIF('2月'!DT4:DT34,$B12)+COUNTIF('2月'!DU4:DU34,$B12)+COUNTIF('2月'!DY4:DY34,$B12)+COUNTIF('2月'!DZ4:DZ34,$B12)+COUNTIF('2月'!ED4:ED34,$B12)+COUNTIF('2月'!EE4:EE34,$B12)+COUNTIF('2月'!EI4:EI34,$B12)+COUNTIF('2月'!EJ4:EJ34,$B12)+COUNTIF('2月'!EN4:EN34,$B12)+COUNTIF('2月'!EO4:EO34,$B12)+COUNTIF('2月'!ES4:ES34,$B12)+COUNTIF('2月'!ET4:ET34,$B12)),0)</f>
        <v>0</v>
      </c>
      <c r="E12" s="76">
        <f>IFERROR(IF($B12="","",COUNTIF('3月'!D4:D34,$B12)+COUNTIF('3月'!E4:E34,$B12)+COUNTIF('3月'!I4:I34,$B12)+COUNTIF('3月'!J4:J34,$B12)+COUNTIF('3月'!N4:N34,$B12)+COUNTIF('3月'!O4:O34,$B12)+COUNTIF('3月'!S4:S34,$B12)+COUNTIF('3月'!T4:T34,$B12)+COUNTIF('3月'!X4:X34,$B12)+COUNTIF('3月'!Y4:Y34,$B12)+COUNTIF('3月'!AC4:AC34,$B12)+COUNTIF('3月'!AD4:AD34,$B12)+COUNTIF('3月'!AH4:AH34,$B12)+COUNTIF('3月'!AI4:AI34,$B12)+COUNTIF('3月'!AM4:AM34,$B12)+COUNTIF('3月'!AN4:AN34,$B12)+COUNTIF('3月'!AR4:AR34,$B12)+COUNTIF('3月'!AS4:AS34,$B12)+COUNTIF('3月'!AW4:AW34,$B12)+COUNTIF('3月'!AX4:AX34,$B12)+COUNTIF('3月'!BB4:BB34,$B12)+COUNTIF('3月'!BC4:BC34,$B12)+COUNTIF('3月'!BG4:BG34,$B12)+COUNTIF('3月'!BH4:BH34,$B12)+COUNTIF('3月'!BL4:BL34,$B12)+COUNTIF('3月'!BM4:BM34,$B12)+COUNTIF('3月'!BQ4:BQ34,$B12)+COUNTIF('3月'!BR4:BR34,$B12)+COUNTIF('3月'!BV4:BV34,$B12)+COUNTIF('3月'!BW4:BW34,$B12)+COUNTIF('3月'!CA4:CA34,$B12)+COUNTIF('3月'!CB4:CB34,$B12)+COUNTIF('3月'!CF4:CF34,$B12)+COUNTIF('3月'!CG4:CG34,$B12)+COUNTIF('3月'!CK4:CK34,$B12)+COUNTIF('3月'!CL4:CL34,$B12)+COUNTIF('3月'!CP4:CP34,$B12)+COUNTIF('3月'!CQ4:CQ34,$B12)+COUNTIF('3月'!CU4:CU34,$B12)+COUNTIF('3月'!CV4:CV34,$B12)+COUNTIF('3月'!CZ4:CZ34,$B12)+COUNTIF('3月'!DA4:DA34,$B12)+COUNTIF('3月'!DE4:DE34,$B12)+COUNTIF('3月'!DF4:DF34,$B12)+COUNTIF('3月'!DJ4:DJ34,$B12)+COUNTIF('3月'!DK4:DK34,$B12)+COUNTIF('3月'!DO4:DO34,$B12)+COUNTIF('3月'!DP4:DP34,$B12)+COUNTIF('3月'!DT4:DT34,$B12)+COUNTIF('3月'!DU4:DU34,$B12)+COUNTIF('3月'!DY4:DY34,$B12)+COUNTIF('3月'!DZ4:DZ34,$B12)+COUNTIF('3月'!ED4:ED34,$B12)+COUNTIF('3月'!EE4:EE34,$B12)+COUNTIF('3月'!EI4:EI34,$B12)+COUNTIF('3月'!EJ4:EJ34,$B12)+COUNTIF('3月'!EN4:EN34,$B12)+COUNTIF('3月'!EO4:EO34,$B12)+COUNTIF('3月'!ES4:ES34,$B12)+COUNTIF('3月'!ET4:ET34,$B12)),0)</f>
        <v>0</v>
      </c>
      <c r="F12" s="76">
        <f>IFERROR(IF($B12="","",COUNTIF('4月'!D4:D34,$B12)+COUNTIF('4月'!E4:E34,$B12)+COUNTIF('4月'!I4:I34,$B12)+COUNTIF('4月'!J4:J34,$B12)+COUNTIF('4月'!N4:N34,$B12)+COUNTIF('4月'!O4:O34,$B12)+COUNTIF('4月'!S4:S34,$B12)+COUNTIF('4月'!T4:T34,$B12)+COUNTIF('4月'!X4:X34,$B12)+COUNTIF('4月'!Y4:Y34,$B12)+COUNTIF('4月'!AC4:AC34,$B12)+COUNTIF('4月'!AD4:AD34,$B12)+COUNTIF('4月'!AH4:AH34,$B12)+COUNTIF('4月'!AI4:AI34,$B12)+COUNTIF('4月'!AM4:AM34,$B12)+COUNTIF('4月'!AN4:AN34,$B12)+COUNTIF('4月'!AR4:AR34,$B12)+COUNTIF('4月'!AS4:AS34,$B12)+COUNTIF('4月'!AW4:AW34,$B12)+COUNTIF('4月'!AX4:AX34,$B12)+COUNTIF('4月'!BB4:BB34,$B12)+COUNTIF('4月'!BC4:BC34,$B12)+COUNTIF('4月'!BG4:BG34,$B12)+COUNTIF('4月'!BH4:BH34,$B12)+COUNTIF('4月'!BL4:BL34,$B12)+COUNTIF('4月'!BM4:BM34,$B12)+COUNTIF('4月'!BQ4:BQ34,$B12)+COUNTIF('4月'!BR4:BR34,$B12)+COUNTIF('4月'!BV4:BV34,$B12)+COUNTIF('4月'!BW4:BW34,$B12)+COUNTIF('4月'!CA4:CA34,$B12)+COUNTIF('4月'!CB4:CB34,$B12)+COUNTIF('4月'!CF4:CF34,$B12)+COUNTIF('4月'!CG4:CG34,$B12)+COUNTIF('4月'!CK4:CK34,$B12)+COUNTIF('4月'!CL4:CL34,$B12)+COUNTIF('4月'!CP4:CP34,$B12)+COUNTIF('4月'!CQ4:CQ34,$B12)+COUNTIF('4月'!CU4:CU34,$B12)+COUNTIF('4月'!CV4:CV34,$B12)+COUNTIF('4月'!CZ4:CZ34,$B12)+COUNTIF('4月'!DA4:DA34,$B12)+COUNTIF('4月'!DE4:DE34,$B12)+COUNTIF('4月'!DF4:DF34,$B12)+COUNTIF('4月'!DJ4:DJ34,$B12)+COUNTIF('4月'!DK4:DK34,$B12)+COUNTIF('4月'!DO4:DO34,$B12)+COUNTIF('4月'!DP4:DP34,$B12)+COUNTIF('4月'!DT4:DT34,$B12)+COUNTIF('4月'!DU4:DU34,$B12)+COUNTIF('4月'!DY4:DY34,$B12)+COUNTIF('4月'!DZ4:DZ34,$B12)+COUNTIF('4月'!ED4:ED34,$B12)+COUNTIF('4月'!EE4:EE34,$B12)+COUNTIF('4月'!EI4:EI34,$B12)+COUNTIF('4月'!EJ4:EJ34,$B12)+COUNTIF('4月'!EN4:EN34,$B12)+COUNTIF('4月'!EO4:EO34,$B12)+COUNTIF('4月'!ES4:ES34,$B12)+COUNTIF('4月'!ET4:ET34,$B12)),0)</f>
        <v>0</v>
      </c>
      <c r="G12" s="76">
        <f>IFERROR(IF($B12="","",COUNTIF('5月'!D4:D34,$B12)+COUNTIF('5月'!E4:E34,$B12)+COUNTIF('5月'!I4:I34,$B12)+COUNTIF('5月'!J4:J34,$B12)+COUNTIF('5月'!N4:N34,$B12)+COUNTIF('5月'!O4:O34,$B12)+COUNTIF('5月'!S4:S34,$B12)+COUNTIF('5月'!T4:T34,$B12)+COUNTIF('5月'!X4:X34,$B12)+COUNTIF('5月'!Y4:Y34,$B12)+COUNTIF('5月'!AC4:AC34,$B12)+COUNTIF('5月'!AD4:AD34,$B12)+COUNTIF('5月'!AH4:AH34,$B12)+COUNTIF('5月'!AI4:AI34,$B12)+COUNTIF('5月'!AM4:AM34,$B12)+COUNTIF('5月'!AN4:AN34,$B12)+COUNTIF('5月'!AR4:AR34,$B12)+COUNTIF('5月'!AS4:AS34,$B12)+COUNTIF('5月'!AW4:AW34,$B12)+COUNTIF('5月'!AX4:AX34,$B12)+COUNTIF('5月'!BB4:BB34,$B12)+COUNTIF('5月'!BC4:BC34,$B12)+COUNTIF('5月'!BG4:BG34,$B12)+COUNTIF('5月'!BH4:BH34,$B12)+COUNTIF('5月'!BL4:BL34,$B12)+COUNTIF('5月'!BM4:BM34,$B12)+COUNTIF('5月'!BQ4:BQ34,$B12)+COUNTIF('5月'!BR4:BR34,$B12)+COUNTIF('5月'!BV4:BV34,$B12)+COUNTIF('5月'!BW4:BW34,$B12)+COUNTIF('5月'!CA4:CA34,$B12)+COUNTIF('5月'!CB4:CB34,$B12)+COUNTIF('5月'!CF4:CF34,$B12)+COUNTIF('5月'!CG4:CG34,$B12)+COUNTIF('5月'!CK4:CK34,$B12)+COUNTIF('5月'!CL4:CL34,$B12)+COUNTIF('5月'!CP4:CP34,$B12)+COUNTIF('5月'!CQ4:CQ34,$B12)+COUNTIF('5月'!CU4:CU34,$B12)+COUNTIF('5月'!CV4:CV34,$B12)+COUNTIF('5月'!CZ4:CZ34,$B12)+COUNTIF('5月'!DA4:DA34,$B12)+COUNTIF('5月'!DE4:DE34,$B12)+COUNTIF('5月'!DF4:DF34,$B12)+COUNTIF('5月'!DJ4:DJ34,$B12)+COUNTIF('5月'!DK4:DK34,$B12)+COUNTIF('5月'!DO4:DO34,$B12)+COUNTIF('5月'!DP4:DP34,$B12)+COUNTIF('5月'!DT4:DT34,$B12)+COUNTIF('5月'!DU4:DU34,$B12)+COUNTIF('5月'!DY4:DY34,$B12)+COUNTIF('5月'!DZ4:DZ34,$B12)+COUNTIF('5月'!ED4:ED34,$B12)+COUNTIF('5月'!EE4:EE34,$B12)+COUNTIF('5月'!EI4:EI34,$B12)+COUNTIF('5月'!EJ4:EJ34,$B12)+COUNTIF('5月'!EN4:EN34,$B12)+COUNTIF('5月'!EO4:EO34,$B12)+COUNTIF('5月'!ES4:ES34,$B12)+COUNTIF('5月'!ET4:ET34,$B12)),0)</f>
        <v>0</v>
      </c>
      <c r="H12" s="76">
        <f>IFERROR(IF($B12="","",COUNTIF('6月'!D4:D34,$B12)+COUNTIF('6月'!E4:E34,$B12)+COUNTIF('6月'!I4:I34,$B12)+COUNTIF('6月'!J4:J34,$B12)+COUNTIF('6月'!N4:N34,$B12)+COUNTIF('6月'!O4:O34,$B12)+COUNTIF('6月'!S4:S34,$B12)+COUNTIF('6月'!T4:T34,$B12)+COUNTIF('6月'!X4:X34,$B12)+COUNTIF('6月'!Y4:Y34,$B12)+COUNTIF('6月'!AC4:AC34,$B12)+COUNTIF('6月'!AD4:AD34,$B12)+COUNTIF('6月'!AH4:AH34,$B12)+COUNTIF('6月'!AI4:AI34,$B12)+COUNTIF('6月'!AM4:AM34,$B12)+COUNTIF('6月'!AN4:AN34,$B12)+COUNTIF('6月'!AR4:AR34,$B12)+COUNTIF('6月'!AS4:AS34,$B12)+COUNTIF('6月'!AW4:AW34,$B12)+COUNTIF('6月'!AX4:AX34,$B12)+COUNTIF('6月'!BB4:BB34,$B12)+COUNTIF('6月'!BC4:BC34,$B12)+COUNTIF('6月'!BG4:BG34,$B12)+COUNTIF('6月'!BH4:BH34,$B12)+COUNTIF('6月'!BL4:BL34,$B12)+COUNTIF('6月'!BM4:BM34,$B12)+COUNTIF('6月'!BQ4:BQ34,$B12)+COUNTIF('6月'!BR4:BR34,$B12)+COUNTIF('6月'!BV4:BV34,$B12)+COUNTIF('6月'!BW4:BW34,$B12)+COUNTIF('6月'!CA4:CA34,$B12)+COUNTIF('6月'!CB4:CB34,$B12)+COUNTIF('6月'!CF4:CF34,$B12)+COUNTIF('6月'!CG4:CG34,$B12)+COUNTIF('6月'!CK4:CK34,$B12)+COUNTIF('6月'!CL4:CL34,$B12)+COUNTIF('6月'!CP4:CP34,$B12)+COUNTIF('6月'!CQ4:CQ34,$B12)+COUNTIF('6月'!CU4:CU34,$B12)+COUNTIF('6月'!CV4:CV34,$B12)+COUNTIF('6月'!CZ4:CZ34,$B12)+COUNTIF('6月'!DA4:DA34,$B12)+COUNTIF('6月'!DE4:DE34,$B12)+COUNTIF('6月'!DF4:DF34,$B12)+COUNTIF('6月'!DJ4:DJ34,$B12)+COUNTIF('6月'!DK4:DK34,$B12)+COUNTIF('6月'!DO4:DO34,$B12)+COUNTIF('6月'!DP4:DP34,$B12)+COUNTIF('6月'!DT4:DT34,$B12)+COUNTIF('6月'!DU4:DU34,$B12)+COUNTIF('6月'!DY4:DY34,$B12)+COUNTIF('6月'!DZ4:DZ34,$B12)+COUNTIF('6月'!ED4:ED34,$B12)+COUNTIF('6月'!EE4:EE34,$B12)+COUNTIF('6月'!EI4:EI34,$B12)+COUNTIF('6月'!EJ4:EJ34,$B12)+COUNTIF('6月'!EN4:EN34,$B12)+COUNTIF('6月'!EO4:EO34,$B12)+COUNTIF('6月'!ES4:ES34,$B12)+COUNTIF('6月'!ET4:ET34,$B12)),0)</f>
        <v>0</v>
      </c>
      <c r="I12" s="76">
        <f>IFERROR(IF($B12="","",COUNTIF('7月'!D4:D34,$B12)+COUNTIF('7月'!E4:E34,$B12)+COUNTIF('7月'!I4:I34,$B12)+COUNTIF('7月'!J4:J34,$B12)+COUNTIF('7月'!N4:N34,$B12)+COUNTIF('7月'!O4:O34,$B12)+COUNTIF('7月'!S4:S34,$B12)+COUNTIF('7月'!T4:T34,$B12)+COUNTIF('7月'!X4:X34,$B12)+COUNTIF('7月'!Y4:Y34,$B12)+COUNTIF('7月'!AC4:AC34,$B12)+COUNTIF('7月'!AD4:AD34,$B12)+COUNTIF('7月'!AH4:AH34,$B12)+COUNTIF('7月'!AI4:AI34,$B12)+COUNTIF('7月'!AM4:AM34,$B12)+COUNTIF('7月'!AN4:AN34,$B12)+COUNTIF('7月'!AR4:AR34,$B12)+COUNTIF('7月'!AS4:AS34,$B12)+COUNTIF('7月'!AW4:AW34,$B12)+COUNTIF('7月'!AX4:AX34,$B12)+COUNTIF('7月'!BB4:BB34,$B12)+COUNTIF('7月'!BC4:BC34,$B12)+COUNTIF('7月'!BG4:BG34,$B12)+COUNTIF('7月'!BH4:BH34,$B12)+COUNTIF('7月'!BL4:BL34,$B12)+COUNTIF('7月'!BM4:BM34,$B12)+COUNTIF('7月'!BQ4:BQ34,$B12)+COUNTIF('7月'!BR4:BR34,$B12)+COUNTIF('7月'!BV4:BV34,$B12)+COUNTIF('7月'!BW4:BW34,$B12)+COUNTIF('7月'!CA4:CA34,$B12)+COUNTIF('7月'!CB4:CB34,$B12)+COUNTIF('7月'!CF4:CF34,$B12)+COUNTIF('7月'!CG4:CG34,$B12)+COUNTIF('7月'!CK4:CK34,$B12)+COUNTIF('7月'!CL4:CL34,$B12)+COUNTIF('7月'!CP4:CP34,$B12)+COUNTIF('7月'!CQ4:CQ34,$B12)+COUNTIF('7月'!CU4:CU34,$B12)+COUNTIF('7月'!CV4:CV34,$B12)+COUNTIF('7月'!CZ4:CZ34,$B12)+COUNTIF('7月'!DA4:DA34,$B12)+COUNTIF('7月'!DE4:DE34,$B12)+COUNTIF('7月'!DF4:DF34,$B12)+COUNTIF('7月'!DJ4:DJ34,$B12)+COUNTIF('7月'!DK4:DK34,$B12)+COUNTIF('7月'!DO4:DO34,$B12)+COUNTIF('7月'!DP4:DP34,$B12)+COUNTIF('7月'!DT4:DT34,$B12)+COUNTIF('7月'!DU4:DU34,$B12)+COUNTIF('7月'!DY4:DY34,$B12)+COUNTIF('7月'!DZ4:DZ34,$B12)+COUNTIF('7月'!ED4:ED34,$B12)+COUNTIF('7月'!EE4:EE34,$B12)+COUNTIF('7月'!EI4:EI34,$B12)+COUNTIF('7月'!EJ4:EJ34,$B12)+COUNTIF('7月'!EN4:EN34,$B12)+COUNTIF('7月'!EO4:EO34,$B12)+COUNTIF('7月'!ES4:ES34,$B12)+COUNTIF('7月'!ET4:ET34,$B12)),0)</f>
        <v>0</v>
      </c>
      <c r="J12" s="76">
        <f>IFERROR(IF($B12="","",COUNTIF('8月'!D4:D34,$B12)+COUNTIF('8月'!E4:E34,$B12)+COUNTIF('8月'!I4:I34,$B12)+COUNTIF('8月'!J4:J34,$B12)+COUNTIF('8月'!N4:N34,$B12)+COUNTIF('8月'!O4:O34,$B12)+COUNTIF('8月'!S4:S34,$B12)+COUNTIF('8月'!T4:T34,$B12)+COUNTIF('8月'!X4:X34,$B12)+COUNTIF('8月'!Y4:Y34,$B12)+COUNTIF('8月'!AC4:AC34,$B12)+COUNTIF('8月'!AD4:AD34,$B12)+COUNTIF('8月'!AH4:AH34,$B12)+COUNTIF('8月'!AI4:AI34,$B12)+COUNTIF('8月'!AM4:AM34,$B12)+COUNTIF('8月'!AN4:AN34,$B12)+COUNTIF('8月'!AR4:AR34,$B12)+COUNTIF('8月'!AS4:AS34,$B12)+COUNTIF('8月'!AW4:AW34,$B12)+COUNTIF('8月'!AX4:AX34,$B12)+COUNTIF('8月'!BB4:BB34,$B12)+COUNTIF('8月'!BC4:BC34,$B12)+COUNTIF('8月'!BG4:BG34,$B12)+COUNTIF('8月'!BH4:BH34,$B12)+COUNTIF('8月'!BL4:BL34,$B12)+COUNTIF('8月'!BM4:BM34,$B12)+COUNTIF('8月'!BQ4:BQ34,$B12)+COUNTIF('8月'!BR4:BR34,$B12)+COUNTIF('8月'!BV4:BV34,$B12)+COUNTIF('8月'!BW4:BW34,$B12)+COUNTIF('8月'!CA4:CA34,$B12)+COUNTIF('8月'!CB4:CB34,$B12)+COUNTIF('8月'!CF4:CF34,$B12)+COUNTIF('8月'!CG4:CG34,$B12)+COUNTIF('8月'!CK4:CK34,$B12)+COUNTIF('8月'!CL4:CL34,$B12)+COUNTIF('8月'!CP4:CP34,$B12)+COUNTIF('8月'!CQ4:CQ34,$B12)+COUNTIF('8月'!CU4:CU34,$B12)+COUNTIF('8月'!CV4:CV34,$B12)+COUNTIF('8月'!CZ4:CZ34,$B12)+COUNTIF('8月'!DA4:DA34,$B12)+COUNTIF('8月'!DE4:DE34,$B12)+COUNTIF('8月'!DF4:DF34,$B12)+COUNTIF('8月'!DJ4:DJ34,$B12)+COUNTIF('8月'!DK4:DK34,$B12)+COUNTIF('8月'!DO4:DO34,$B12)+COUNTIF('8月'!DP4:DP34,$B12)+COUNTIF('8月'!DT4:DT34,$B12)+COUNTIF('8月'!DU4:DU34,$B12)+COUNTIF('8月'!DY4:DY34,$B12)+COUNTIF('8月'!DZ4:DZ34,$B12)+COUNTIF('8月'!ED4:ED34,$B12)+COUNTIF('8月'!EE4:EE34,$B12)+COUNTIF('8月'!EI4:EI34,$B12)+COUNTIF('8月'!EJ4:EJ34,$B12)+COUNTIF('8月'!EN4:EN34,$B12)+COUNTIF('8月'!EO4:EO34,$B12)+COUNTIF('8月'!ES4:ES34,$B12)+COUNTIF('8月'!ET4:ET34,$B12)),0)</f>
        <v>0</v>
      </c>
      <c r="K12" s="76">
        <f>IFERROR(IF($B12="","",COUNTIF('9月'!D4:D34,$B12)+COUNTIF('9月'!E4:E34,$B12)+COUNTIF('9月'!I4:I34,$B12)+COUNTIF('9月'!J4:J34,$B12)+COUNTIF('9月'!N4:N34,$B12)+COUNTIF('9月'!O4:O34,$B12)+COUNTIF('9月'!S4:S34,$B12)+COUNTIF('9月'!T4:T34,$B12)+COUNTIF('9月'!X4:X34,$B12)+COUNTIF('9月'!Y4:Y34,$B12)+COUNTIF('9月'!AC4:AC34,$B12)+COUNTIF('9月'!AD4:AD34,$B12)+COUNTIF('9月'!AH4:AH34,$B12)+COUNTIF('9月'!AI4:AI34,$B12)+COUNTIF('9月'!AM4:AM34,$B12)+COUNTIF('9月'!AN4:AN34,$B12)+COUNTIF('9月'!AR4:AR34,$B12)+COUNTIF('9月'!AS4:AS34,$B12)+COUNTIF('9月'!AW4:AW34,$B12)+COUNTIF('9月'!AX4:AX34,$B12)+COUNTIF('9月'!BB4:BB34,$B12)+COUNTIF('9月'!BC4:BC34,$B12)+COUNTIF('9月'!BG4:BG34,$B12)+COUNTIF('9月'!BH4:BH34,$B12)+COUNTIF('9月'!BL4:BL34,$B12)+COUNTIF('9月'!BM4:BM34,$B12)+COUNTIF('9月'!BQ4:BQ34,$B12)+COUNTIF('9月'!BR4:BR34,$B12)+COUNTIF('9月'!BV4:BV34,$B12)+COUNTIF('9月'!BW4:BW34,$B12)+COUNTIF('9月'!CA4:CA34,$B12)+COUNTIF('9月'!CB4:CB34,$B12)+COUNTIF('9月'!CF4:CF34,$B12)+COUNTIF('9月'!CG4:CG34,$B12)+COUNTIF('9月'!CK4:CK34,$B12)+COUNTIF('9月'!CL4:CL34,$B12)+COUNTIF('9月'!CP4:CP34,$B12)+COUNTIF('9月'!CQ4:CQ34,$B12)+COUNTIF('9月'!CU4:CU34,$B12)+COUNTIF('9月'!CV4:CV34,$B12)+COUNTIF('9月'!CZ4:CZ34,$B12)+COUNTIF('9月'!DA4:DA34,$B12)+COUNTIF('9月'!DE4:DE34,$B12)+COUNTIF('9月'!DF4:DF34,$B12)+COUNTIF('9月'!DJ4:DJ34,$B12)+COUNTIF('9月'!DK4:DK34,$B12)+COUNTIF('9月'!DO4:DO34,$B12)+COUNTIF('9月'!DP4:DP34,$B12)+COUNTIF('9月'!DT4:DT34,$B12)+COUNTIF('9月'!DU4:DU34,$B12)+COUNTIF('9月'!DY4:DY34,$B12)+COUNTIF('9月'!DZ4:DZ34,$B12)+COUNTIF('9月'!ED4:ED34,$B12)+COUNTIF('9月'!EE4:EE34,$B12)+COUNTIF('9月'!EI4:EI34,$B12)+COUNTIF('9月'!EJ4:EJ34,$B12)+COUNTIF('9月'!EN4:EN34,$B12)+COUNTIF('9月'!EO4:EO34,$B12)+COUNTIF('9月'!ES4:ES34,$B12)+COUNTIF('9月'!ET4:ET34,$B12)),0)</f>
        <v>0</v>
      </c>
      <c r="L12" s="76">
        <f>IFERROR(IF($B12="","",COUNTIF('10月'!D4:D34,$B12)+COUNTIF('10月'!E4:E34,$B12)+COUNTIF('10月'!I4:I34,$B12)+COUNTIF('10月'!J4:J34,$B12)+COUNTIF('10月'!N4:N34,$B12)+COUNTIF('10月'!O4:O34,$B12)+COUNTIF('10月'!S4:S34,$B12)+COUNTIF('10月'!T4:T34,$B12)+COUNTIF('10月'!X4:X34,$B12)+COUNTIF('10月'!Y4:Y34,$B12)+COUNTIF('10月'!AC4:AC34,$B12)+COUNTIF('10月'!AD4:AD34,$B12)+COUNTIF('10月'!AH4:AH34,$B12)+COUNTIF('10月'!AI4:AI34,$B12)+COUNTIF('10月'!AM4:AM34,$B12)+COUNTIF('10月'!AN4:AN34,$B12)+COUNTIF('10月'!AR4:AR34,$B12)+COUNTIF('10月'!AS4:AS34,$B12)+COUNTIF('10月'!AW4:AW34,$B12)+COUNTIF('10月'!AX4:AX34,$B12)+COUNTIF('10月'!BB4:BB34,$B12)+COUNTIF('10月'!BC4:BC34,$B12)+COUNTIF('10月'!BG4:BG34,$B12)+COUNTIF('10月'!BH4:BH34,$B12)+COUNTIF('10月'!BL4:BL34,$B12)+COUNTIF('10月'!BM4:BM34,$B12)+COUNTIF('10月'!BQ4:BQ34,$B12)+COUNTIF('10月'!BR4:BR34,$B12)+COUNTIF('10月'!BV4:BV34,$B12)+COUNTIF('10月'!BW4:BW34,$B12)+COUNTIF('10月'!CA4:CA34,$B12)+COUNTIF('10月'!CB4:CB34,$B12)+COUNTIF('10月'!CF4:CF34,$B12)+COUNTIF('10月'!CG4:CG34,$B12)+COUNTIF('10月'!CK4:CK34,$B12)+COUNTIF('10月'!CL4:CL34,$B12)+COUNTIF('10月'!CP4:CP34,$B12)+COUNTIF('10月'!CQ4:CQ34,$B12)+COUNTIF('10月'!CU4:CU34,$B12)+COUNTIF('10月'!CV4:CV34,$B12)+COUNTIF('10月'!CZ4:CZ34,$B12)+COUNTIF('10月'!DA4:DA34,$B12)+COUNTIF('10月'!DE4:DE34,$B12)+COUNTIF('10月'!DF4:DF34,$B12)+COUNTIF('10月'!DJ4:DJ34,$B12)+COUNTIF('10月'!DK4:DK34,$B12)+COUNTIF('10月'!DO4:DO34,$B12)+COUNTIF('10月'!DP4:DP34,$B12)+COUNTIF('10月'!DT4:DT34,$B12)+COUNTIF('10月'!DU4:DU34,$B12)+COUNTIF('10月'!DY4:DY34,$B12)+COUNTIF('10月'!DZ4:DZ34,$B12)+COUNTIF('10月'!ED4:ED34,$B12)+COUNTIF('10月'!EE4:EE34,$B12)+COUNTIF('10月'!EI4:EI34,$B12)+COUNTIF('10月'!EJ4:EJ34,$B12)+COUNTIF('10月'!EN4:EN34,$B12)+COUNTIF('10月'!EO4:EO34,$B12)+COUNTIF('10月'!ES4:ES34,$B12)+COUNTIF('10月'!ET4:ET34,$B12)),0)</f>
        <v>0</v>
      </c>
      <c r="M12" s="76">
        <f>IFERROR(IF($B12="","",COUNTIF('11月'!D4:D34,$B12)+COUNTIF('11月'!E4:E34,$B12)+COUNTIF('11月'!I4:I34,$B12)+COUNTIF('11月'!J4:J34,$B12)+COUNTIF('11月'!N4:N34,$B12)+COUNTIF('11月'!O4:O34,$B12)+COUNTIF('11月'!S4:S34,$B12)+COUNTIF('11月'!T4:T34,$B12)+COUNTIF('11月'!X4:X34,$B12)+COUNTIF('11月'!Y4:Y34,$B12)+COUNTIF('11月'!AC4:AC34,$B12)+COUNTIF('11月'!AD4:AD34,$B12)+COUNTIF('11月'!AH4:AH34,$B12)+COUNTIF('11月'!AI4:AI34,$B12)+COUNTIF('11月'!AM4:AM34,$B12)+COUNTIF('11月'!AN4:AN34,$B12)+COUNTIF('11月'!AR4:AR34,$B12)+COUNTIF('11月'!AS4:AS34,$B12)+COUNTIF('11月'!AW4:AW34,$B12)+COUNTIF('11月'!AX4:AX34,$B12)+COUNTIF('11月'!BB4:BB34,$B12)+COUNTIF('11月'!BC4:BC34,$B12)+COUNTIF('11月'!BG4:BG34,$B12)+COUNTIF('11月'!BH4:BH34,$B12)+COUNTIF('11月'!BL4:BL34,$B12)+COUNTIF('11月'!BM4:BM34,$B12)+COUNTIF('11月'!BQ4:BQ34,$B12)+COUNTIF('11月'!BR4:BR34,$B12)+COUNTIF('11月'!BV4:BV34,$B12)+COUNTIF('11月'!BW4:BW34,$B12)+COUNTIF('11月'!CA4:CA34,$B12)+COUNTIF('11月'!CB4:CB34,$B12)+COUNTIF('11月'!CF4:CF34,$B12)+COUNTIF('11月'!CG4:CG34,$B12)+COUNTIF('11月'!CK4:CK34,$B12)+COUNTIF('11月'!CL4:CL34,$B12)+COUNTIF('11月'!CP4:CP34,$B12)+COUNTIF('11月'!CQ4:CQ34,$B12)+COUNTIF('11月'!CU4:CU34,$B12)+COUNTIF('11月'!CV4:CV34,$B12)+COUNTIF('11月'!CZ4:CZ34,$B12)+COUNTIF('11月'!DA4:DA34,$B12)+COUNTIF('11月'!DE4:DE34,$B12)+COUNTIF('11月'!DF4:DF34,$B12)+COUNTIF('11月'!DJ4:DJ34,$B12)+COUNTIF('11月'!DK4:DK34,$B12)+COUNTIF('11月'!DO4:DO34,$B12)+COUNTIF('11月'!DP4:DP34,$B12)+COUNTIF('11月'!DT4:DT34,$B12)+COUNTIF('11月'!DU4:DU34,$B12)+COUNTIF('11月'!DY4:DY34,$B12)+COUNTIF('11月'!DZ4:DZ34,$B12)+COUNTIF('11月'!ED4:ED34,$B12)+COUNTIF('11月'!EE4:EE34,$B12)+COUNTIF('11月'!EI4:EI34,$B12)+COUNTIF('11月'!EJ4:EJ34,$B12)+COUNTIF('11月'!EN4:EN34,$B12)+COUNTIF('11月'!EO4:EO34,$B12)+COUNTIF('11月'!ES4:ES34,$B12)+COUNTIF('11月'!ET4:ET34,$B12)),0)</f>
        <v>0</v>
      </c>
      <c r="N12" s="76">
        <f>IFERROR(IF($B12="","",COUNTIF('12月'!D4:D34,$B12)+COUNTIF('12月'!E4:E34,$B12)+COUNTIF('12月'!I4:I34,$B12)+COUNTIF('12月'!J4:J34,$B12)+COUNTIF('12月'!N4:N34,$B12)+COUNTIF('12月'!O4:O34,$B12)+COUNTIF('12月'!S4:S34,$B12)+COUNTIF('12月'!T4:T34,$B12)+COUNTIF('12月'!X4:X34,$B12)+COUNTIF('12月'!Y4:Y34,$B12)+COUNTIF('12月'!AC4:AC34,$B12)+COUNTIF('12月'!AD4:AD34,$B12)+COUNTIF('12月'!AH4:AH34,$B12)+COUNTIF('12月'!AI4:AI34,$B12)+COUNTIF('12月'!AM4:AM34,$B12)+COUNTIF('12月'!AN4:AN34,$B12)+COUNTIF('12月'!AR4:AR34,$B12)+COUNTIF('12月'!AS4:AS34,$B12)+COUNTIF('12月'!AW4:AW34,$B12)+COUNTIF('12月'!AX4:AX34,$B12)+COUNTIF('12月'!BB4:BB34,$B12)+COUNTIF('12月'!BC4:BC34,$B12)+COUNTIF('12月'!BG4:BG34,$B12)+COUNTIF('12月'!BH4:BH34,$B12)+COUNTIF('12月'!BL4:BL34,$B12)+COUNTIF('12月'!BM4:BM34,$B12)+COUNTIF('12月'!BQ4:BQ34,$B12)+COUNTIF('12月'!BR4:BR34,$B12)+COUNTIF('12月'!BV4:BV34,$B12)+COUNTIF('12月'!BW4:BW34,$B12)+COUNTIF('12月'!CA4:CA34,$B12)+COUNTIF('12月'!CB4:CB34,$B12)+COUNTIF('12月'!CF4:CF34,$B12)+COUNTIF('12月'!CG4:CG34,$B12)+COUNTIF('12月'!CK4:CK34,$B12)+COUNTIF('12月'!CL4:CL34,$B12)+COUNTIF('12月'!CP4:CP34,$B12)+COUNTIF('12月'!CQ4:CQ34,$B12)+COUNTIF('12月'!CU4:CU34,$B12)+COUNTIF('12月'!CV4:CV34,$B12)+COUNTIF('12月'!CZ4:CZ34,$B12)+COUNTIF('12月'!DA4:DA34,$B12)+COUNTIF('12月'!DE4:DE34,$B12)+COUNTIF('12月'!DF4:DF34,$B12)+COUNTIF('12月'!DJ4:DJ34,$B12)+COUNTIF('12月'!DK4:DK34,$B12)+COUNTIF('12月'!DO4:DO34,$B12)+COUNTIF('12月'!DP4:DP34,$B12)+COUNTIF('12月'!DT4:DT34,$B12)+COUNTIF('12月'!DU4:DU34,$B12)+COUNTIF('12月'!DY4:DY34,$B12)+COUNTIF('12月'!DZ4:DZ34,$B12)+COUNTIF('12月'!ED4:ED34,$B12)+COUNTIF('12月'!EE4:EE34,$B12)+COUNTIF('12月'!EI4:EI34,$B12)+COUNTIF('12月'!EJ4:EJ34,$B12)+COUNTIF('12月'!EN4:EN34,$B12)+COUNTIF('12月'!EO4:EO34,$B12)+COUNTIF('12月'!ES4:ES34,$B12)+COUNTIF('12月'!ET4:ET34,$B12)),0)</f>
        <v>0</v>
      </c>
      <c r="O12" s="78">
        <f t="shared" si="0"/>
        <v>0</v>
      </c>
    </row>
    <row r="13" spans="1:15" ht="19.5" customHeight="1">
      <c r="A13" s="76">
        <v>11</v>
      </c>
      <c r="B13" s="77">
        <f>IFERROR(現場マスタ!$C$14,"")</f>
        <v>0</v>
      </c>
      <c r="C13" s="76">
        <f>IFERROR(IF($B13="","",COUNTIF('1月'!D4:D34,$B13)+COUNTIF('1月'!E4:E34,$B13)+COUNTIF('1月'!I4:I34,$B13)+COUNTIF('1月'!J4:J34,$B13)+COUNTIF('1月'!N4:N34,$B13)+COUNTIF('1月'!O4:O34,$B13)+COUNTIF('1月'!S4:S34,$B13)+COUNTIF('1月'!T4:T34,$B13)+COUNTIF('1月'!X4:X34,$B13)+COUNTIF('1月'!Y4:Y34,$B13)+COUNTIF('1月'!AC4:AC34,$B13)+COUNTIF('1月'!AD4:AD34,$B13)+COUNTIF('1月'!AH4:AH34,$B13)+COUNTIF('1月'!AI4:AI34,$B13)+COUNTIF('1月'!AM4:AM34,$B13)+COUNTIF('1月'!AN4:AN34,$B13)+COUNTIF('1月'!AR4:AR34,$B13)+COUNTIF('1月'!AS4:AS34,$B13)+COUNTIF('1月'!AW4:AW34,$B13)+COUNTIF('1月'!AX4:AX34,$B13)+COUNTIF('1月'!BB4:BB34,$B13)+COUNTIF('1月'!BC4:BC34,$B13)+COUNTIF('1月'!BG4:BG34,$B13)+COUNTIF('1月'!BH4:BH34,$B13)+COUNTIF('1月'!BL4:BL34,$B13)+COUNTIF('1月'!BM4:BM34,$B13)+COUNTIF('1月'!BQ4:BQ34,$B13)+COUNTIF('1月'!BR4:BR34,$B13)+COUNTIF('1月'!BV4:BV34,$B13)+COUNTIF('1月'!BW4:BW34,$B13)+COUNTIF('1月'!CA4:CA34,$B13)+COUNTIF('1月'!CB4:CB34,$B13)+COUNTIF('1月'!CF4:CF34,$B13)+COUNTIF('1月'!CG4:CG34,$B13)+COUNTIF('1月'!CK4:CK34,$B13)+COUNTIF('1月'!CL4:CL34,$B13)+COUNTIF('1月'!CP4:CP34,$B13)+COUNTIF('1月'!CQ4:CQ34,$B13)+COUNTIF('1月'!CU4:CU34,$B13)+COUNTIF('1月'!CV4:CV34,$B13)+COUNTIF('1月'!CZ4:CZ34,$B13)+COUNTIF('1月'!DA4:DA34,$B13)+COUNTIF('1月'!DE4:DE34,$B13)+COUNTIF('1月'!DF4:DF34,$B13)+COUNTIF('1月'!DJ4:DJ34,$B13)+COUNTIF('1月'!DK4:DK34,$B13)+COUNTIF('1月'!DO4:DO34,$B13)+COUNTIF('1月'!DP4:DP34,$B13)+COUNTIF('1月'!DT4:DT34,$B13)+COUNTIF('1月'!DU4:DU34,$B13)+COUNTIF('1月'!DY4:DY34,$B13)+COUNTIF('1月'!DZ4:DZ34,$B13)+COUNTIF('1月'!ED4:ED34,$B13)+COUNTIF('1月'!EE4:EE34,$B13)+COUNTIF('1月'!EI4:EI34,$B13)+COUNTIF('1月'!EJ4:EJ34,$B13)+COUNTIF('1月'!EN4:EN34,$B13)+COUNTIF('1月'!EO4:EO34,$B13)+COUNTIF('1月'!ES4:ES34,$B13)+COUNTIF('1月'!ET4:ET34,$B13)),0)</f>
        <v>0</v>
      </c>
      <c r="D13" s="76">
        <f>IFERROR(IF($B13="","",COUNTIF('2月'!D4:D34,$B13)+COUNTIF('2月'!E4:E34,$B13)+COUNTIF('2月'!I4:I34,$B13)+COUNTIF('2月'!J4:J34,$B13)+COUNTIF('2月'!N4:N34,$B13)+COUNTIF('2月'!O4:O34,$B13)+COUNTIF('2月'!S4:S34,$B13)+COUNTIF('2月'!T4:T34,$B13)+COUNTIF('2月'!X4:X34,$B13)+COUNTIF('2月'!Y4:Y34,$B13)+COUNTIF('2月'!AC4:AC34,$B13)+COUNTIF('2月'!AD4:AD34,$B13)+COUNTIF('2月'!AH4:AH34,$B13)+COUNTIF('2月'!AI4:AI34,$B13)+COUNTIF('2月'!AM4:AM34,$B13)+COUNTIF('2月'!AN4:AN34,$B13)+COUNTIF('2月'!AR4:AR34,$B13)+COUNTIF('2月'!AS4:AS34,$B13)+COUNTIF('2月'!AW4:AW34,$B13)+COUNTIF('2月'!AX4:AX34,$B13)+COUNTIF('2月'!BB4:BB34,$B13)+COUNTIF('2月'!BC4:BC34,$B13)+COUNTIF('2月'!BG4:BG34,$B13)+COUNTIF('2月'!BH4:BH34,$B13)+COUNTIF('2月'!BL4:BL34,$B13)+COUNTIF('2月'!BM4:BM34,$B13)+COUNTIF('2月'!BQ4:BQ34,$B13)+COUNTIF('2月'!BR4:BR34,$B13)+COUNTIF('2月'!BV4:BV34,$B13)+COUNTIF('2月'!BW4:BW34,$B13)+COUNTIF('2月'!CA4:CA34,$B13)+COUNTIF('2月'!CB4:CB34,$B13)+COUNTIF('2月'!CF4:CF34,$B13)+COUNTIF('2月'!CG4:CG34,$B13)+COUNTIF('2月'!CK4:CK34,$B13)+COUNTIF('2月'!CL4:CL34,$B13)+COUNTIF('2月'!CP4:CP34,$B13)+COUNTIF('2月'!CQ4:CQ34,$B13)+COUNTIF('2月'!CU4:CU34,$B13)+COUNTIF('2月'!CV4:CV34,$B13)+COUNTIF('2月'!CZ4:CZ34,$B13)+COUNTIF('2月'!DA4:DA34,$B13)+COUNTIF('2月'!DE4:DE34,$B13)+COUNTIF('2月'!DF4:DF34,$B13)+COUNTIF('2月'!DJ4:DJ34,$B13)+COUNTIF('2月'!DK4:DK34,$B13)+COUNTIF('2月'!DO4:DO34,$B13)+COUNTIF('2月'!DP4:DP34,$B13)+COUNTIF('2月'!DT4:DT34,$B13)+COUNTIF('2月'!DU4:DU34,$B13)+COUNTIF('2月'!DY4:DY34,$B13)+COUNTIF('2月'!DZ4:DZ34,$B13)+COUNTIF('2月'!ED4:ED34,$B13)+COUNTIF('2月'!EE4:EE34,$B13)+COUNTIF('2月'!EI4:EI34,$B13)+COUNTIF('2月'!EJ4:EJ34,$B13)+COUNTIF('2月'!EN4:EN34,$B13)+COUNTIF('2月'!EO4:EO34,$B13)+COUNTIF('2月'!ES4:ES34,$B13)+COUNTIF('2月'!ET4:ET34,$B13)),0)</f>
        <v>0</v>
      </c>
      <c r="E13" s="76">
        <f>IFERROR(IF($B13="","",COUNTIF('3月'!D4:D34,$B13)+COUNTIF('3月'!E4:E34,$B13)+COUNTIF('3月'!I4:I34,$B13)+COUNTIF('3月'!J4:J34,$B13)+COUNTIF('3月'!N4:N34,$B13)+COUNTIF('3月'!O4:O34,$B13)+COUNTIF('3月'!S4:S34,$B13)+COUNTIF('3月'!T4:T34,$B13)+COUNTIF('3月'!X4:X34,$B13)+COUNTIF('3月'!Y4:Y34,$B13)+COUNTIF('3月'!AC4:AC34,$B13)+COUNTIF('3月'!AD4:AD34,$B13)+COUNTIF('3月'!AH4:AH34,$B13)+COUNTIF('3月'!AI4:AI34,$B13)+COUNTIF('3月'!AM4:AM34,$B13)+COUNTIF('3月'!AN4:AN34,$B13)+COUNTIF('3月'!AR4:AR34,$B13)+COUNTIF('3月'!AS4:AS34,$B13)+COUNTIF('3月'!AW4:AW34,$B13)+COUNTIF('3月'!AX4:AX34,$B13)+COUNTIF('3月'!BB4:BB34,$B13)+COUNTIF('3月'!BC4:BC34,$B13)+COUNTIF('3月'!BG4:BG34,$B13)+COUNTIF('3月'!BH4:BH34,$B13)+COUNTIF('3月'!BL4:BL34,$B13)+COUNTIF('3月'!BM4:BM34,$B13)+COUNTIF('3月'!BQ4:BQ34,$B13)+COUNTIF('3月'!BR4:BR34,$B13)+COUNTIF('3月'!BV4:BV34,$B13)+COUNTIF('3月'!BW4:BW34,$B13)+COUNTIF('3月'!CA4:CA34,$B13)+COUNTIF('3月'!CB4:CB34,$B13)+COUNTIF('3月'!CF4:CF34,$B13)+COUNTIF('3月'!CG4:CG34,$B13)+COUNTIF('3月'!CK4:CK34,$B13)+COUNTIF('3月'!CL4:CL34,$B13)+COUNTIF('3月'!CP4:CP34,$B13)+COUNTIF('3月'!CQ4:CQ34,$B13)+COUNTIF('3月'!CU4:CU34,$B13)+COUNTIF('3月'!CV4:CV34,$B13)+COUNTIF('3月'!CZ4:CZ34,$B13)+COUNTIF('3月'!DA4:DA34,$B13)+COUNTIF('3月'!DE4:DE34,$B13)+COUNTIF('3月'!DF4:DF34,$B13)+COUNTIF('3月'!DJ4:DJ34,$B13)+COUNTIF('3月'!DK4:DK34,$B13)+COUNTIF('3月'!DO4:DO34,$B13)+COUNTIF('3月'!DP4:DP34,$B13)+COUNTIF('3月'!DT4:DT34,$B13)+COUNTIF('3月'!DU4:DU34,$B13)+COUNTIF('3月'!DY4:DY34,$B13)+COUNTIF('3月'!DZ4:DZ34,$B13)+COUNTIF('3月'!ED4:ED34,$B13)+COUNTIF('3月'!EE4:EE34,$B13)+COUNTIF('3月'!EI4:EI34,$B13)+COUNTIF('3月'!EJ4:EJ34,$B13)+COUNTIF('3月'!EN4:EN34,$B13)+COUNTIF('3月'!EO4:EO34,$B13)+COUNTIF('3月'!ES4:ES34,$B13)+COUNTIF('3月'!ET4:ET34,$B13)),0)</f>
        <v>0</v>
      </c>
      <c r="F13" s="76">
        <f>IFERROR(IF($B13="","",COUNTIF('4月'!D4:D34,$B13)+COUNTIF('4月'!E4:E34,$B13)+COUNTIF('4月'!I4:I34,$B13)+COUNTIF('4月'!J4:J34,$B13)+COUNTIF('4月'!N4:N34,$B13)+COUNTIF('4月'!O4:O34,$B13)+COUNTIF('4月'!S4:S34,$B13)+COUNTIF('4月'!T4:T34,$B13)+COUNTIF('4月'!X4:X34,$B13)+COUNTIF('4月'!Y4:Y34,$B13)+COUNTIF('4月'!AC4:AC34,$B13)+COUNTIF('4月'!AD4:AD34,$B13)+COUNTIF('4月'!AH4:AH34,$B13)+COUNTIF('4月'!AI4:AI34,$B13)+COUNTIF('4月'!AM4:AM34,$B13)+COUNTIF('4月'!AN4:AN34,$B13)+COUNTIF('4月'!AR4:AR34,$B13)+COUNTIF('4月'!AS4:AS34,$B13)+COUNTIF('4月'!AW4:AW34,$B13)+COUNTIF('4月'!AX4:AX34,$B13)+COUNTIF('4月'!BB4:BB34,$B13)+COUNTIF('4月'!BC4:BC34,$B13)+COUNTIF('4月'!BG4:BG34,$B13)+COUNTIF('4月'!BH4:BH34,$B13)+COUNTIF('4月'!BL4:BL34,$B13)+COUNTIF('4月'!BM4:BM34,$B13)+COUNTIF('4月'!BQ4:BQ34,$B13)+COUNTIF('4月'!BR4:BR34,$B13)+COUNTIF('4月'!BV4:BV34,$B13)+COUNTIF('4月'!BW4:BW34,$B13)+COUNTIF('4月'!CA4:CA34,$B13)+COUNTIF('4月'!CB4:CB34,$B13)+COUNTIF('4月'!CF4:CF34,$B13)+COUNTIF('4月'!CG4:CG34,$B13)+COUNTIF('4月'!CK4:CK34,$B13)+COUNTIF('4月'!CL4:CL34,$B13)+COUNTIF('4月'!CP4:CP34,$B13)+COUNTIF('4月'!CQ4:CQ34,$B13)+COUNTIF('4月'!CU4:CU34,$B13)+COUNTIF('4月'!CV4:CV34,$B13)+COUNTIF('4月'!CZ4:CZ34,$B13)+COUNTIF('4月'!DA4:DA34,$B13)+COUNTIF('4月'!DE4:DE34,$B13)+COUNTIF('4月'!DF4:DF34,$B13)+COUNTIF('4月'!DJ4:DJ34,$B13)+COUNTIF('4月'!DK4:DK34,$B13)+COUNTIF('4月'!DO4:DO34,$B13)+COUNTIF('4月'!DP4:DP34,$B13)+COUNTIF('4月'!DT4:DT34,$B13)+COUNTIF('4月'!DU4:DU34,$B13)+COUNTIF('4月'!DY4:DY34,$B13)+COUNTIF('4月'!DZ4:DZ34,$B13)+COUNTIF('4月'!ED4:ED34,$B13)+COUNTIF('4月'!EE4:EE34,$B13)+COUNTIF('4月'!EI4:EI34,$B13)+COUNTIF('4月'!EJ4:EJ34,$B13)+COUNTIF('4月'!EN4:EN34,$B13)+COUNTIF('4月'!EO4:EO34,$B13)+COUNTIF('4月'!ES4:ES34,$B13)+COUNTIF('4月'!ET4:ET34,$B13)),0)</f>
        <v>0</v>
      </c>
      <c r="G13" s="76">
        <f>IFERROR(IF($B13="","",COUNTIF('5月'!D4:D34,$B13)+COUNTIF('5月'!E4:E34,$B13)+COUNTIF('5月'!I4:I34,$B13)+COUNTIF('5月'!J4:J34,$B13)+COUNTIF('5月'!N4:N34,$B13)+COUNTIF('5月'!O4:O34,$B13)+COUNTIF('5月'!S4:S34,$B13)+COUNTIF('5月'!T4:T34,$B13)+COUNTIF('5月'!X4:X34,$B13)+COUNTIF('5月'!Y4:Y34,$B13)+COUNTIF('5月'!AC4:AC34,$B13)+COUNTIF('5月'!AD4:AD34,$B13)+COUNTIF('5月'!AH4:AH34,$B13)+COUNTIF('5月'!AI4:AI34,$B13)+COUNTIF('5月'!AM4:AM34,$B13)+COUNTIF('5月'!AN4:AN34,$B13)+COUNTIF('5月'!AR4:AR34,$B13)+COUNTIF('5月'!AS4:AS34,$B13)+COUNTIF('5月'!AW4:AW34,$B13)+COUNTIF('5月'!AX4:AX34,$B13)+COUNTIF('5月'!BB4:BB34,$B13)+COUNTIF('5月'!BC4:BC34,$B13)+COUNTIF('5月'!BG4:BG34,$B13)+COUNTIF('5月'!BH4:BH34,$B13)+COUNTIF('5月'!BL4:BL34,$B13)+COUNTIF('5月'!BM4:BM34,$B13)+COUNTIF('5月'!BQ4:BQ34,$B13)+COUNTIF('5月'!BR4:BR34,$B13)+COUNTIF('5月'!BV4:BV34,$B13)+COUNTIF('5月'!BW4:BW34,$B13)+COUNTIF('5月'!CA4:CA34,$B13)+COUNTIF('5月'!CB4:CB34,$B13)+COUNTIF('5月'!CF4:CF34,$B13)+COUNTIF('5月'!CG4:CG34,$B13)+COUNTIF('5月'!CK4:CK34,$B13)+COUNTIF('5月'!CL4:CL34,$B13)+COUNTIF('5月'!CP4:CP34,$B13)+COUNTIF('5月'!CQ4:CQ34,$B13)+COUNTIF('5月'!CU4:CU34,$B13)+COUNTIF('5月'!CV4:CV34,$B13)+COUNTIF('5月'!CZ4:CZ34,$B13)+COUNTIF('5月'!DA4:DA34,$B13)+COUNTIF('5月'!DE4:DE34,$B13)+COUNTIF('5月'!DF4:DF34,$B13)+COUNTIF('5月'!DJ4:DJ34,$B13)+COUNTIF('5月'!DK4:DK34,$B13)+COUNTIF('5月'!DO4:DO34,$B13)+COUNTIF('5月'!DP4:DP34,$B13)+COUNTIF('5月'!DT4:DT34,$B13)+COUNTIF('5月'!DU4:DU34,$B13)+COUNTIF('5月'!DY4:DY34,$B13)+COUNTIF('5月'!DZ4:DZ34,$B13)+COUNTIF('5月'!ED4:ED34,$B13)+COUNTIF('5月'!EE4:EE34,$B13)+COUNTIF('5月'!EI4:EI34,$B13)+COUNTIF('5月'!EJ4:EJ34,$B13)+COUNTIF('5月'!EN4:EN34,$B13)+COUNTIF('5月'!EO4:EO34,$B13)+COUNTIF('5月'!ES4:ES34,$B13)+COUNTIF('5月'!ET4:ET34,$B13)),0)</f>
        <v>0</v>
      </c>
      <c r="H13" s="76">
        <f>IFERROR(IF($B13="","",COUNTIF('6月'!D4:D34,$B13)+COUNTIF('6月'!E4:E34,$B13)+COUNTIF('6月'!I4:I34,$B13)+COUNTIF('6月'!J4:J34,$B13)+COUNTIF('6月'!N4:N34,$B13)+COUNTIF('6月'!O4:O34,$B13)+COUNTIF('6月'!S4:S34,$B13)+COUNTIF('6月'!T4:T34,$B13)+COUNTIF('6月'!X4:X34,$B13)+COUNTIF('6月'!Y4:Y34,$B13)+COUNTIF('6月'!AC4:AC34,$B13)+COUNTIF('6月'!AD4:AD34,$B13)+COUNTIF('6月'!AH4:AH34,$B13)+COUNTIF('6月'!AI4:AI34,$B13)+COUNTIF('6月'!AM4:AM34,$B13)+COUNTIF('6月'!AN4:AN34,$B13)+COUNTIF('6月'!AR4:AR34,$B13)+COUNTIF('6月'!AS4:AS34,$B13)+COUNTIF('6月'!AW4:AW34,$B13)+COUNTIF('6月'!AX4:AX34,$B13)+COUNTIF('6月'!BB4:BB34,$B13)+COUNTIF('6月'!BC4:BC34,$B13)+COUNTIF('6月'!BG4:BG34,$B13)+COUNTIF('6月'!BH4:BH34,$B13)+COUNTIF('6月'!BL4:BL34,$B13)+COUNTIF('6月'!BM4:BM34,$B13)+COUNTIF('6月'!BQ4:BQ34,$B13)+COUNTIF('6月'!BR4:BR34,$B13)+COUNTIF('6月'!BV4:BV34,$B13)+COUNTIF('6月'!BW4:BW34,$B13)+COUNTIF('6月'!CA4:CA34,$B13)+COUNTIF('6月'!CB4:CB34,$B13)+COUNTIF('6月'!CF4:CF34,$B13)+COUNTIF('6月'!CG4:CG34,$B13)+COUNTIF('6月'!CK4:CK34,$B13)+COUNTIF('6月'!CL4:CL34,$B13)+COUNTIF('6月'!CP4:CP34,$B13)+COUNTIF('6月'!CQ4:CQ34,$B13)+COUNTIF('6月'!CU4:CU34,$B13)+COUNTIF('6月'!CV4:CV34,$B13)+COUNTIF('6月'!CZ4:CZ34,$B13)+COUNTIF('6月'!DA4:DA34,$B13)+COUNTIF('6月'!DE4:DE34,$B13)+COUNTIF('6月'!DF4:DF34,$B13)+COUNTIF('6月'!DJ4:DJ34,$B13)+COUNTIF('6月'!DK4:DK34,$B13)+COUNTIF('6月'!DO4:DO34,$B13)+COUNTIF('6月'!DP4:DP34,$B13)+COUNTIF('6月'!DT4:DT34,$B13)+COUNTIF('6月'!DU4:DU34,$B13)+COUNTIF('6月'!DY4:DY34,$B13)+COUNTIF('6月'!DZ4:DZ34,$B13)+COUNTIF('6月'!ED4:ED34,$B13)+COUNTIF('6月'!EE4:EE34,$B13)+COUNTIF('6月'!EI4:EI34,$B13)+COUNTIF('6月'!EJ4:EJ34,$B13)+COUNTIF('6月'!EN4:EN34,$B13)+COUNTIF('6月'!EO4:EO34,$B13)+COUNTIF('6月'!ES4:ES34,$B13)+COUNTIF('6月'!ET4:ET34,$B13)),0)</f>
        <v>0</v>
      </c>
      <c r="I13" s="76">
        <f>IFERROR(IF($B13="","",COUNTIF('7月'!D4:D34,$B13)+COUNTIF('7月'!E4:E34,$B13)+COUNTIF('7月'!I4:I34,$B13)+COUNTIF('7月'!J4:J34,$B13)+COUNTIF('7月'!N4:N34,$B13)+COUNTIF('7月'!O4:O34,$B13)+COUNTIF('7月'!S4:S34,$B13)+COUNTIF('7月'!T4:T34,$B13)+COUNTIF('7月'!X4:X34,$B13)+COUNTIF('7月'!Y4:Y34,$B13)+COUNTIF('7月'!AC4:AC34,$B13)+COUNTIF('7月'!AD4:AD34,$B13)+COUNTIF('7月'!AH4:AH34,$B13)+COUNTIF('7月'!AI4:AI34,$B13)+COUNTIF('7月'!AM4:AM34,$B13)+COUNTIF('7月'!AN4:AN34,$B13)+COUNTIF('7月'!AR4:AR34,$B13)+COUNTIF('7月'!AS4:AS34,$B13)+COUNTIF('7月'!AW4:AW34,$B13)+COUNTIF('7月'!AX4:AX34,$B13)+COUNTIF('7月'!BB4:BB34,$B13)+COUNTIF('7月'!BC4:BC34,$B13)+COUNTIF('7月'!BG4:BG34,$B13)+COUNTIF('7月'!BH4:BH34,$B13)+COUNTIF('7月'!BL4:BL34,$B13)+COUNTIF('7月'!BM4:BM34,$B13)+COUNTIF('7月'!BQ4:BQ34,$B13)+COUNTIF('7月'!BR4:BR34,$B13)+COUNTIF('7月'!BV4:BV34,$B13)+COUNTIF('7月'!BW4:BW34,$B13)+COUNTIF('7月'!CA4:CA34,$B13)+COUNTIF('7月'!CB4:CB34,$B13)+COUNTIF('7月'!CF4:CF34,$B13)+COUNTIF('7月'!CG4:CG34,$B13)+COUNTIF('7月'!CK4:CK34,$B13)+COUNTIF('7月'!CL4:CL34,$B13)+COUNTIF('7月'!CP4:CP34,$B13)+COUNTIF('7月'!CQ4:CQ34,$B13)+COUNTIF('7月'!CU4:CU34,$B13)+COUNTIF('7月'!CV4:CV34,$B13)+COUNTIF('7月'!CZ4:CZ34,$B13)+COUNTIF('7月'!DA4:DA34,$B13)+COUNTIF('7月'!DE4:DE34,$B13)+COUNTIF('7月'!DF4:DF34,$B13)+COUNTIF('7月'!DJ4:DJ34,$B13)+COUNTIF('7月'!DK4:DK34,$B13)+COUNTIF('7月'!DO4:DO34,$B13)+COUNTIF('7月'!DP4:DP34,$B13)+COUNTIF('7月'!DT4:DT34,$B13)+COUNTIF('7月'!DU4:DU34,$B13)+COUNTIF('7月'!DY4:DY34,$B13)+COUNTIF('7月'!DZ4:DZ34,$B13)+COUNTIF('7月'!ED4:ED34,$B13)+COUNTIF('7月'!EE4:EE34,$B13)+COUNTIF('7月'!EI4:EI34,$B13)+COUNTIF('7月'!EJ4:EJ34,$B13)+COUNTIF('7月'!EN4:EN34,$B13)+COUNTIF('7月'!EO4:EO34,$B13)+COUNTIF('7月'!ES4:ES34,$B13)+COUNTIF('7月'!ET4:ET34,$B13)),0)</f>
        <v>0</v>
      </c>
      <c r="J13" s="76">
        <f>IFERROR(IF($B13="","",COUNTIF('8月'!D4:D34,$B13)+COUNTIF('8月'!E4:E34,$B13)+COUNTIF('8月'!I4:I34,$B13)+COUNTIF('8月'!J4:J34,$B13)+COUNTIF('8月'!N4:N34,$B13)+COUNTIF('8月'!O4:O34,$B13)+COUNTIF('8月'!S4:S34,$B13)+COUNTIF('8月'!T4:T34,$B13)+COUNTIF('8月'!X4:X34,$B13)+COUNTIF('8月'!Y4:Y34,$B13)+COUNTIF('8月'!AC4:AC34,$B13)+COUNTIF('8月'!AD4:AD34,$B13)+COUNTIF('8月'!AH4:AH34,$B13)+COUNTIF('8月'!AI4:AI34,$B13)+COUNTIF('8月'!AM4:AM34,$B13)+COUNTIF('8月'!AN4:AN34,$B13)+COUNTIF('8月'!AR4:AR34,$B13)+COUNTIF('8月'!AS4:AS34,$B13)+COUNTIF('8月'!AW4:AW34,$B13)+COUNTIF('8月'!AX4:AX34,$B13)+COUNTIF('8月'!BB4:BB34,$B13)+COUNTIF('8月'!BC4:BC34,$B13)+COUNTIF('8月'!BG4:BG34,$B13)+COUNTIF('8月'!BH4:BH34,$B13)+COUNTIF('8月'!BL4:BL34,$B13)+COUNTIF('8月'!BM4:BM34,$B13)+COUNTIF('8月'!BQ4:BQ34,$B13)+COUNTIF('8月'!BR4:BR34,$B13)+COUNTIF('8月'!BV4:BV34,$B13)+COUNTIF('8月'!BW4:BW34,$B13)+COUNTIF('8月'!CA4:CA34,$B13)+COUNTIF('8月'!CB4:CB34,$B13)+COUNTIF('8月'!CF4:CF34,$B13)+COUNTIF('8月'!CG4:CG34,$B13)+COUNTIF('8月'!CK4:CK34,$B13)+COUNTIF('8月'!CL4:CL34,$B13)+COUNTIF('8月'!CP4:CP34,$B13)+COUNTIF('8月'!CQ4:CQ34,$B13)+COUNTIF('8月'!CU4:CU34,$B13)+COUNTIF('8月'!CV4:CV34,$B13)+COUNTIF('8月'!CZ4:CZ34,$B13)+COUNTIF('8月'!DA4:DA34,$B13)+COUNTIF('8月'!DE4:DE34,$B13)+COUNTIF('8月'!DF4:DF34,$B13)+COUNTIF('8月'!DJ4:DJ34,$B13)+COUNTIF('8月'!DK4:DK34,$B13)+COUNTIF('8月'!DO4:DO34,$B13)+COUNTIF('8月'!DP4:DP34,$B13)+COUNTIF('8月'!DT4:DT34,$B13)+COUNTIF('8月'!DU4:DU34,$B13)+COUNTIF('8月'!DY4:DY34,$B13)+COUNTIF('8月'!DZ4:DZ34,$B13)+COUNTIF('8月'!ED4:ED34,$B13)+COUNTIF('8月'!EE4:EE34,$B13)+COUNTIF('8月'!EI4:EI34,$B13)+COUNTIF('8月'!EJ4:EJ34,$B13)+COUNTIF('8月'!EN4:EN34,$B13)+COUNTIF('8月'!EO4:EO34,$B13)+COUNTIF('8月'!ES4:ES34,$B13)+COUNTIF('8月'!ET4:ET34,$B13)),0)</f>
        <v>0</v>
      </c>
      <c r="K13" s="76">
        <f>IFERROR(IF($B13="","",COUNTIF('9月'!D4:D34,$B13)+COUNTIF('9月'!E4:E34,$B13)+COUNTIF('9月'!I4:I34,$B13)+COUNTIF('9月'!J4:J34,$B13)+COUNTIF('9月'!N4:N34,$B13)+COUNTIF('9月'!O4:O34,$B13)+COUNTIF('9月'!S4:S34,$B13)+COUNTIF('9月'!T4:T34,$B13)+COUNTIF('9月'!X4:X34,$B13)+COUNTIF('9月'!Y4:Y34,$B13)+COUNTIF('9月'!AC4:AC34,$B13)+COUNTIF('9月'!AD4:AD34,$B13)+COUNTIF('9月'!AH4:AH34,$B13)+COUNTIF('9月'!AI4:AI34,$B13)+COUNTIF('9月'!AM4:AM34,$B13)+COUNTIF('9月'!AN4:AN34,$B13)+COUNTIF('9月'!AR4:AR34,$B13)+COUNTIF('9月'!AS4:AS34,$B13)+COUNTIF('9月'!AW4:AW34,$B13)+COUNTIF('9月'!AX4:AX34,$B13)+COUNTIF('9月'!BB4:BB34,$B13)+COUNTIF('9月'!BC4:BC34,$B13)+COUNTIF('9月'!BG4:BG34,$B13)+COUNTIF('9月'!BH4:BH34,$B13)+COUNTIF('9月'!BL4:BL34,$B13)+COUNTIF('9月'!BM4:BM34,$B13)+COUNTIF('9月'!BQ4:BQ34,$B13)+COUNTIF('9月'!BR4:BR34,$B13)+COUNTIF('9月'!BV4:BV34,$B13)+COUNTIF('9月'!BW4:BW34,$B13)+COUNTIF('9月'!CA4:CA34,$B13)+COUNTIF('9月'!CB4:CB34,$B13)+COUNTIF('9月'!CF4:CF34,$B13)+COUNTIF('9月'!CG4:CG34,$B13)+COUNTIF('9月'!CK4:CK34,$B13)+COUNTIF('9月'!CL4:CL34,$B13)+COUNTIF('9月'!CP4:CP34,$B13)+COUNTIF('9月'!CQ4:CQ34,$B13)+COUNTIF('9月'!CU4:CU34,$B13)+COUNTIF('9月'!CV4:CV34,$B13)+COUNTIF('9月'!CZ4:CZ34,$B13)+COUNTIF('9月'!DA4:DA34,$B13)+COUNTIF('9月'!DE4:DE34,$B13)+COUNTIF('9月'!DF4:DF34,$B13)+COUNTIF('9月'!DJ4:DJ34,$B13)+COUNTIF('9月'!DK4:DK34,$B13)+COUNTIF('9月'!DO4:DO34,$B13)+COUNTIF('9月'!DP4:DP34,$B13)+COUNTIF('9月'!DT4:DT34,$B13)+COUNTIF('9月'!DU4:DU34,$B13)+COUNTIF('9月'!DY4:DY34,$B13)+COUNTIF('9月'!DZ4:DZ34,$B13)+COUNTIF('9月'!ED4:ED34,$B13)+COUNTIF('9月'!EE4:EE34,$B13)+COUNTIF('9月'!EI4:EI34,$B13)+COUNTIF('9月'!EJ4:EJ34,$B13)+COUNTIF('9月'!EN4:EN34,$B13)+COUNTIF('9月'!EO4:EO34,$B13)+COUNTIF('9月'!ES4:ES34,$B13)+COUNTIF('9月'!ET4:ET34,$B13)),0)</f>
        <v>0</v>
      </c>
      <c r="L13" s="76">
        <f>IFERROR(IF($B13="","",COUNTIF('10月'!D4:D34,$B13)+COUNTIF('10月'!E4:E34,$B13)+COUNTIF('10月'!I4:I34,$B13)+COUNTIF('10月'!J4:J34,$B13)+COUNTIF('10月'!N4:N34,$B13)+COUNTIF('10月'!O4:O34,$B13)+COUNTIF('10月'!S4:S34,$B13)+COUNTIF('10月'!T4:T34,$B13)+COUNTIF('10月'!X4:X34,$B13)+COUNTIF('10月'!Y4:Y34,$B13)+COUNTIF('10月'!AC4:AC34,$B13)+COUNTIF('10月'!AD4:AD34,$B13)+COUNTIF('10月'!AH4:AH34,$B13)+COUNTIF('10月'!AI4:AI34,$B13)+COUNTIF('10月'!AM4:AM34,$B13)+COUNTIF('10月'!AN4:AN34,$B13)+COUNTIF('10月'!AR4:AR34,$B13)+COUNTIF('10月'!AS4:AS34,$B13)+COUNTIF('10月'!AW4:AW34,$B13)+COUNTIF('10月'!AX4:AX34,$B13)+COUNTIF('10月'!BB4:BB34,$B13)+COUNTIF('10月'!BC4:BC34,$B13)+COUNTIF('10月'!BG4:BG34,$B13)+COUNTIF('10月'!BH4:BH34,$B13)+COUNTIF('10月'!BL4:BL34,$B13)+COUNTIF('10月'!BM4:BM34,$B13)+COUNTIF('10月'!BQ4:BQ34,$B13)+COUNTIF('10月'!BR4:BR34,$B13)+COUNTIF('10月'!BV4:BV34,$B13)+COUNTIF('10月'!BW4:BW34,$B13)+COUNTIF('10月'!CA4:CA34,$B13)+COUNTIF('10月'!CB4:CB34,$B13)+COUNTIF('10月'!CF4:CF34,$B13)+COUNTIF('10月'!CG4:CG34,$B13)+COUNTIF('10月'!CK4:CK34,$B13)+COUNTIF('10月'!CL4:CL34,$B13)+COUNTIF('10月'!CP4:CP34,$B13)+COUNTIF('10月'!CQ4:CQ34,$B13)+COUNTIF('10月'!CU4:CU34,$B13)+COUNTIF('10月'!CV4:CV34,$B13)+COUNTIF('10月'!CZ4:CZ34,$B13)+COUNTIF('10月'!DA4:DA34,$B13)+COUNTIF('10月'!DE4:DE34,$B13)+COUNTIF('10月'!DF4:DF34,$B13)+COUNTIF('10月'!DJ4:DJ34,$B13)+COUNTIF('10月'!DK4:DK34,$B13)+COUNTIF('10月'!DO4:DO34,$B13)+COUNTIF('10月'!DP4:DP34,$B13)+COUNTIF('10月'!DT4:DT34,$B13)+COUNTIF('10月'!DU4:DU34,$B13)+COUNTIF('10月'!DY4:DY34,$B13)+COUNTIF('10月'!DZ4:DZ34,$B13)+COUNTIF('10月'!ED4:ED34,$B13)+COUNTIF('10月'!EE4:EE34,$B13)+COUNTIF('10月'!EI4:EI34,$B13)+COUNTIF('10月'!EJ4:EJ34,$B13)+COUNTIF('10月'!EN4:EN34,$B13)+COUNTIF('10月'!EO4:EO34,$B13)+COUNTIF('10月'!ES4:ES34,$B13)+COUNTIF('10月'!ET4:ET34,$B13)),0)</f>
        <v>0</v>
      </c>
      <c r="M13" s="76">
        <f>IFERROR(IF($B13="","",COUNTIF('11月'!D4:D34,$B13)+COUNTIF('11月'!E4:E34,$B13)+COUNTIF('11月'!I4:I34,$B13)+COUNTIF('11月'!J4:J34,$B13)+COUNTIF('11月'!N4:N34,$B13)+COUNTIF('11月'!O4:O34,$B13)+COUNTIF('11月'!S4:S34,$B13)+COUNTIF('11月'!T4:T34,$B13)+COUNTIF('11月'!X4:X34,$B13)+COUNTIF('11月'!Y4:Y34,$B13)+COUNTIF('11月'!AC4:AC34,$B13)+COUNTIF('11月'!AD4:AD34,$B13)+COUNTIF('11月'!AH4:AH34,$B13)+COUNTIF('11月'!AI4:AI34,$B13)+COUNTIF('11月'!AM4:AM34,$B13)+COUNTIF('11月'!AN4:AN34,$B13)+COUNTIF('11月'!AR4:AR34,$B13)+COUNTIF('11月'!AS4:AS34,$B13)+COUNTIF('11月'!AW4:AW34,$B13)+COUNTIF('11月'!AX4:AX34,$B13)+COUNTIF('11月'!BB4:BB34,$B13)+COUNTIF('11月'!BC4:BC34,$B13)+COUNTIF('11月'!BG4:BG34,$B13)+COUNTIF('11月'!BH4:BH34,$B13)+COUNTIF('11月'!BL4:BL34,$B13)+COUNTIF('11月'!BM4:BM34,$B13)+COUNTIF('11月'!BQ4:BQ34,$B13)+COUNTIF('11月'!BR4:BR34,$B13)+COUNTIF('11月'!BV4:BV34,$B13)+COUNTIF('11月'!BW4:BW34,$B13)+COUNTIF('11月'!CA4:CA34,$B13)+COUNTIF('11月'!CB4:CB34,$B13)+COUNTIF('11月'!CF4:CF34,$B13)+COUNTIF('11月'!CG4:CG34,$B13)+COUNTIF('11月'!CK4:CK34,$B13)+COUNTIF('11月'!CL4:CL34,$B13)+COUNTIF('11月'!CP4:CP34,$B13)+COUNTIF('11月'!CQ4:CQ34,$B13)+COUNTIF('11月'!CU4:CU34,$B13)+COUNTIF('11月'!CV4:CV34,$B13)+COUNTIF('11月'!CZ4:CZ34,$B13)+COUNTIF('11月'!DA4:DA34,$B13)+COUNTIF('11月'!DE4:DE34,$B13)+COUNTIF('11月'!DF4:DF34,$B13)+COUNTIF('11月'!DJ4:DJ34,$B13)+COUNTIF('11月'!DK4:DK34,$B13)+COUNTIF('11月'!DO4:DO34,$B13)+COUNTIF('11月'!DP4:DP34,$B13)+COUNTIF('11月'!DT4:DT34,$B13)+COUNTIF('11月'!DU4:DU34,$B13)+COUNTIF('11月'!DY4:DY34,$B13)+COUNTIF('11月'!DZ4:DZ34,$B13)+COUNTIF('11月'!ED4:ED34,$B13)+COUNTIF('11月'!EE4:EE34,$B13)+COUNTIF('11月'!EI4:EI34,$B13)+COUNTIF('11月'!EJ4:EJ34,$B13)+COUNTIF('11月'!EN4:EN34,$B13)+COUNTIF('11月'!EO4:EO34,$B13)+COUNTIF('11月'!ES4:ES34,$B13)+COUNTIF('11月'!ET4:ET34,$B13)),0)</f>
        <v>0</v>
      </c>
      <c r="N13" s="76">
        <f>IFERROR(IF($B13="","",COUNTIF('12月'!D4:D34,$B13)+COUNTIF('12月'!E4:E34,$B13)+COUNTIF('12月'!I4:I34,$B13)+COUNTIF('12月'!J4:J34,$B13)+COUNTIF('12月'!N4:N34,$B13)+COUNTIF('12月'!O4:O34,$B13)+COUNTIF('12月'!S4:S34,$B13)+COUNTIF('12月'!T4:T34,$B13)+COUNTIF('12月'!X4:X34,$B13)+COUNTIF('12月'!Y4:Y34,$B13)+COUNTIF('12月'!AC4:AC34,$B13)+COUNTIF('12月'!AD4:AD34,$B13)+COUNTIF('12月'!AH4:AH34,$B13)+COUNTIF('12月'!AI4:AI34,$B13)+COUNTIF('12月'!AM4:AM34,$B13)+COUNTIF('12月'!AN4:AN34,$B13)+COUNTIF('12月'!AR4:AR34,$B13)+COUNTIF('12月'!AS4:AS34,$B13)+COUNTIF('12月'!AW4:AW34,$B13)+COUNTIF('12月'!AX4:AX34,$B13)+COUNTIF('12月'!BB4:BB34,$B13)+COUNTIF('12月'!BC4:BC34,$B13)+COUNTIF('12月'!BG4:BG34,$B13)+COUNTIF('12月'!BH4:BH34,$B13)+COUNTIF('12月'!BL4:BL34,$B13)+COUNTIF('12月'!BM4:BM34,$B13)+COUNTIF('12月'!BQ4:BQ34,$B13)+COUNTIF('12月'!BR4:BR34,$B13)+COUNTIF('12月'!BV4:BV34,$B13)+COUNTIF('12月'!BW4:BW34,$B13)+COUNTIF('12月'!CA4:CA34,$B13)+COUNTIF('12月'!CB4:CB34,$B13)+COUNTIF('12月'!CF4:CF34,$B13)+COUNTIF('12月'!CG4:CG34,$B13)+COUNTIF('12月'!CK4:CK34,$B13)+COUNTIF('12月'!CL4:CL34,$B13)+COUNTIF('12月'!CP4:CP34,$B13)+COUNTIF('12月'!CQ4:CQ34,$B13)+COUNTIF('12月'!CU4:CU34,$B13)+COUNTIF('12月'!CV4:CV34,$B13)+COUNTIF('12月'!CZ4:CZ34,$B13)+COUNTIF('12月'!DA4:DA34,$B13)+COUNTIF('12月'!DE4:DE34,$B13)+COUNTIF('12月'!DF4:DF34,$B13)+COUNTIF('12月'!DJ4:DJ34,$B13)+COUNTIF('12月'!DK4:DK34,$B13)+COUNTIF('12月'!DO4:DO34,$B13)+COUNTIF('12月'!DP4:DP34,$B13)+COUNTIF('12月'!DT4:DT34,$B13)+COUNTIF('12月'!DU4:DU34,$B13)+COUNTIF('12月'!DY4:DY34,$B13)+COUNTIF('12月'!DZ4:DZ34,$B13)+COUNTIF('12月'!ED4:ED34,$B13)+COUNTIF('12月'!EE4:EE34,$B13)+COUNTIF('12月'!EI4:EI34,$B13)+COUNTIF('12月'!EJ4:EJ34,$B13)+COUNTIF('12月'!EN4:EN34,$B13)+COUNTIF('12月'!EO4:EO34,$B13)+COUNTIF('12月'!ES4:ES34,$B13)+COUNTIF('12月'!ET4:ET34,$B13)),0)</f>
        <v>0</v>
      </c>
      <c r="O13" s="78">
        <f t="shared" si="0"/>
        <v>0</v>
      </c>
    </row>
    <row r="14" spans="1:15" ht="19.5" customHeight="1">
      <c r="A14" s="76">
        <v>12</v>
      </c>
      <c r="B14" s="77">
        <f>IFERROR(現場マスタ!$C$15,"")</f>
        <v>0</v>
      </c>
      <c r="C14" s="76">
        <f>IFERROR(IF($B14="","",COUNTIF('1月'!D4:D34,$B14)+COUNTIF('1月'!E4:E34,$B14)+COUNTIF('1月'!I4:I34,$B14)+COUNTIF('1月'!J4:J34,$B14)+COUNTIF('1月'!N4:N34,$B14)+COUNTIF('1月'!O4:O34,$B14)+COUNTIF('1月'!S4:S34,$B14)+COUNTIF('1月'!T4:T34,$B14)+COUNTIF('1月'!X4:X34,$B14)+COUNTIF('1月'!Y4:Y34,$B14)+COUNTIF('1月'!AC4:AC34,$B14)+COUNTIF('1月'!AD4:AD34,$B14)+COUNTIF('1月'!AH4:AH34,$B14)+COUNTIF('1月'!AI4:AI34,$B14)+COUNTIF('1月'!AM4:AM34,$B14)+COUNTIF('1月'!AN4:AN34,$B14)+COUNTIF('1月'!AR4:AR34,$B14)+COUNTIF('1月'!AS4:AS34,$B14)+COUNTIF('1月'!AW4:AW34,$B14)+COUNTIF('1月'!AX4:AX34,$B14)+COUNTIF('1月'!BB4:BB34,$B14)+COUNTIF('1月'!BC4:BC34,$B14)+COUNTIF('1月'!BG4:BG34,$B14)+COUNTIF('1月'!BH4:BH34,$B14)+COUNTIF('1月'!BL4:BL34,$B14)+COUNTIF('1月'!BM4:BM34,$B14)+COUNTIF('1月'!BQ4:BQ34,$B14)+COUNTIF('1月'!BR4:BR34,$B14)+COUNTIF('1月'!BV4:BV34,$B14)+COUNTIF('1月'!BW4:BW34,$B14)+COUNTIF('1月'!CA4:CA34,$B14)+COUNTIF('1月'!CB4:CB34,$B14)+COUNTIF('1月'!CF4:CF34,$B14)+COUNTIF('1月'!CG4:CG34,$B14)+COUNTIF('1月'!CK4:CK34,$B14)+COUNTIF('1月'!CL4:CL34,$B14)+COUNTIF('1月'!CP4:CP34,$B14)+COUNTIF('1月'!CQ4:CQ34,$B14)+COUNTIF('1月'!CU4:CU34,$B14)+COUNTIF('1月'!CV4:CV34,$B14)+COUNTIF('1月'!CZ4:CZ34,$B14)+COUNTIF('1月'!DA4:DA34,$B14)+COUNTIF('1月'!DE4:DE34,$B14)+COUNTIF('1月'!DF4:DF34,$B14)+COUNTIF('1月'!DJ4:DJ34,$B14)+COUNTIF('1月'!DK4:DK34,$B14)+COUNTIF('1月'!DO4:DO34,$B14)+COUNTIF('1月'!DP4:DP34,$B14)+COUNTIF('1月'!DT4:DT34,$B14)+COUNTIF('1月'!DU4:DU34,$B14)+COUNTIF('1月'!DY4:DY34,$B14)+COUNTIF('1月'!DZ4:DZ34,$B14)+COUNTIF('1月'!ED4:ED34,$B14)+COUNTIF('1月'!EE4:EE34,$B14)+COUNTIF('1月'!EI4:EI34,$B14)+COUNTIF('1月'!EJ4:EJ34,$B14)+COUNTIF('1月'!EN4:EN34,$B14)+COUNTIF('1月'!EO4:EO34,$B14)+COUNTIF('1月'!ES4:ES34,$B14)+COUNTIF('1月'!ET4:ET34,$B14)),0)</f>
        <v>0</v>
      </c>
      <c r="D14" s="76">
        <f>IFERROR(IF($B14="","",COUNTIF('2月'!D4:D34,$B14)+COUNTIF('2月'!E4:E34,$B14)+COUNTIF('2月'!I4:I34,$B14)+COUNTIF('2月'!J4:J34,$B14)+COUNTIF('2月'!N4:N34,$B14)+COUNTIF('2月'!O4:O34,$B14)+COUNTIF('2月'!S4:S34,$B14)+COUNTIF('2月'!T4:T34,$B14)+COUNTIF('2月'!X4:X34,$B14)+COUNTIF('2月'!Y4:Y34,$B14)+COUNTIF('2月'!AC4:AC34,$B14)+COUNTIF('2月'!AD4:AD34,$B14)+COUNTIF('2月'!AH4:AH34,$B14)+COUNTIF('2月'!AI4:AI34,$B14)+COUNTIF('2月'!AM4:AM34,$B14)+COUNTIF('2月'!AN4:AN34,$B14)+COUNTIF('2月'!AR4:AR34,$B14)+COUNTIF('2月'!AS4:AS34,$B14)+COUNTIF('2月'!AW4:AW34,$B14)+COUNTIF('2月'!AX4:AX34,$B14)+COUNTIF('2月'!BB4:BB34,$B14)+COUNTIF('2月'!BC4:BC34,$B14)+COUNTIF('2月'!BG4:BG34,$B14)+COUNTIF('2月'!BH4:BH34,$B14)+COUNTIF('2月'!BL4:BL34,$B14)+COUNTIF('2月'!BM4:BM34,$B14)+COUNTIF('2月'!BQ4:BQ34,$B14)+COUNTIF('2月'!BR4:BR34,$B14)+COUNTIF('2月'!BV4:BV34,$B14)+COUNTIF('2月'!BW4:BW34,$B14)+COUNTIF('2月'!CA4:CA34,$B14)+COUNTIF('2月'!CB4:CB34,$B14)+COUNTIF('2月'!CF4:CF34,$B14)+COUNTIF('2月'!CG4:CG34,$B14)+COUNTIF('2月'!CK4:CK34,$B14)+COUNTIF('2月'!CL4:CL34,$B14)+COUNTIF('2月'!CP4:CP34,$B14)+COUNTIF('2月'!CQ4:CQ34,$B14)+COUNTIF('2月'!CU4:CU34,$B14)+COUNTIF('2月'!CV4:CV34,$B14)+COUNTIF('2月'!CZ4:CZ34,$B14)+COUNTIF('2月'!DA4:DA34,$B14)+COUNTIF('2月'!DE4:DE34,$B14)+COUNTIF('2月'!DF4:DF34,$B14)+COUNTIF('2月'!DJ4:DJ34,$B14)+COUNTIF('2月'!DK4:DK34,$B14)+COUNTIF('2月'!DO4:DO34,$B14)+COUNTIF('2月'!DP4:DP34,$B14)+COUNTIF('2月'!DT4:DT34,$B14)+COUNTIF('2月'!DU4:DU34,$B14)+COUNTIF('2月'!DY4:DY34,$B14)+COUNTIF('2月'!DZ4:DZ34,$B14)+COUNTIF('2月'!ED4:ED34,$B14)+COUNTIF('2月'!EE4:EE34,$B14)+COUNTIF('2月'!EI4:EI34,$B14)+COUNTIF('2月'!EJ4:EJ34,$B14)+COUNTIF('2月'!EN4:EN34,$B14)+COUNTIF('2月'!EO4:EO34,$B14)+COUNTIF('2月'!ES4:ES34,$B14)+COUNTIF('2月'!ET4:ET34,$B14)),0)</f>
        <v>0</v>
      </c>
      <c r="E14" s="76">
        <f>IFERROR(IF($B14="","",COUNTIF('3月'!D4:D34,$B14)+COUNTIF('3月'!E4:E34,$B14)+COUNTIF('3月'!I4:I34,$B14)+COUNTIF('3月'!J4:J34,$B14)+COUNTIF('3月'!N4:N34,$B14)+COUNTIF('3月'!O4:O34,$B14)+COUNTIF('3月'!S4:S34,$B14)+COUNTIF('3月'!T4:T34,$B14)+COUNTIF('3月'!X4:X34,$B14)+COUNTIF('3月'!Y4:Y34,$B14)+COUNTIF('3月'!AC4:AC34,$B14)+COUNTIF('3月'!AD4:AD34,$B14)+COUNTIF('3月'!AH4:AH34,$B14)+COUNTIF('3月'!AI4:AI34,$B14)+COUNTIF('3月'!AM4:AM34,$B14)+COUNTIF('3月'!AN4:AN34,$B14)+COUNTIF('3月'!AR4:AR34,$B14)+COUNTIF('3月'!AS4:AS34,$B14)+COUNTIF('3月'!AW4:AW34,$B14)+COUNTIF('3月'!AX4:AX34,$B14)+COUNTIF('3月'!BB4:BB34,$B14)+COUNTIF('3月'!BC4:BC34,$B14)+COUNTIF('3月'!BG4:BG34,$B14)+COUNTIF('3月'!BH4:BH34,$B14)+COUNTIF('3月'!BL4:BL34,$B14)+COUNTIF('3月'!BM4:BM34,$B14)+COUNTIF('3月'!BQ4:BQ34,$B14)+COUNTIF('3月'!BR4:BR34,$B14)+COUNTIF('3月'!BV4:BV34,$B14)+COUNTIF('3月'!BW4:BW34,$B14)+COUNTIF('3月'!CA4:CA34,$B14)+COUNTIF('3月'!CB4:CB34,$B14)+COUNTIF('3月'!CF4:CF34,$B14)+COUNTIF('3月'!CG4:CG34,$B14)+COUNTIF('3月'!CK4:CK34,$B14)+COUNTIF('3月'!CL4:CL34,$B14)+COUNTIF('3月'!CP4:CP34,$B14)+COUNTIF('3月'!CQ4:CQ34,$B14)+COUNTIF('3月'!CU4:CU34,$B14)+COUNTIF('3月'!CV4:CV34,$B14)+COUNTIF('3月'!CZ4:CZ34,$B14)+COUNTIF('3月'!DA4:DA34,$B14)+COUNTIF('3月'!DE4:DE34,$B14)+COUNTIF('3月'!DF4:DF34,$B14)+COUNTIF('3月'!DJ4:DJ34,$B14)+COUNTIF('3月'!DK4:DK34,$B14)+COUNTIF('3月'!DO4:DO34,$B14)+COUNTIF('3月'!DP4:DP34,$B14)+COUNTIF('3月'!DT4:DT34,$B14)+COUNTIF('3月'!DU4:DU34,$B14)+COUNTIF('3月'!DY4:DY34,$B14)+COUNTIF('3月'!DZ4:DZ34,$B14)+COUNTIF('3月'!ED4:ED34,$B14)+COUNTIF('3月'!EE4:EE34,$B14)+COUNTIF('3月'!EI4:EI34,$B14)+COUNTIF('3月'!EJ4:EJ34,$B14)+COUNTIF('3月'!EN4:EN34,$B14)+COUNTIF('3月'!EO4:EO34,$B14)+COUNTIF('3月'!ES4:ES34,$B14)+COUNTIF('3月'!ET4:ET34,$B14)),0)</f>
        <v>0</v>
      </c>
      <c r="F14" s="76">
        <f>IFERROR(IF($B14="","",COUNTIF('4月'!D4:D34,$B14)+COUNTIF('4月'!E4:E34,$B14)+COUNTIF('4月'!I4:I34,$B14)+COUNTIF('4月'!J4:J34,$B14)+COUNTIF('4月'!N4:N34,$B14)+COUNTIF('4月'!O4:O34,$B14)+COUNTIF('4月'!S4:S34,$B14)+COUNTIF('4月'!T4:T34,$B14)+COUNTIF('4月'!X4:X34,$B14)+COUNTIF('4月'!Y4:Y34,$B14)+COUNTIF('4月'!AC4:AC34,$B14)+COUNTIF('4月'!AD4:AD34,$B14)+COUNTIF('4月'!AH4:AH34,$B14)+COUNTIF('4月'!AI4:AI34,$B14)+COUNTIF('4月'!AM4:AM34,$B14)+COUNTIF('4月'!AN4:AN34,$B14)+COUNTIF('4月'!AR4:AR34,$B14)+COUNTIF('4月'!AS4:AS34,$B14)+COUNTIF('4月'!AW4:AW34,$B14)+COUNTIF('4月'!AX4:AX34,$B14)+COUNTIF('4月'!BB4:BB34,$B14)+COUNTIF('4月'!BC4:BC34,$B14)+COUNTIF('4月'!BG4:BG34,$B14)+COUNTIF('4月'!BH4:BH34,$B14)+COUNTIF('4月'!BL4:BL34,$B14)+COUNTIF('4月'!BM4:BM34,$B14)+COUNTIF('4月'!BQ4:BQ34,$B14)+COUNTIF('4月'!BR4:BR34,$B14)+COUNTIF('4月'!BV4:BV34,$B14)+COUNTIF('4月'!BW4:BW34,$B14)+COUNTIF('4月'!CA4:CA34,$B14)+COUNTIF('4月'!CB4:CB34,$B14)+COUNTIF('4月'!CF4:CF34,$B14)+COUNTIF('4月'!CG4:CG34,$B14)+COUNTIF('4月'!CK4:CK34,$B14)+COUNTIF('4月'!CL4:CL34,$B14)+COUNTIF('4月'!CP4:CP34,$B14)+COUNTIF('4月'!CQ4:CQ34,$B14)+COUNTIF('4月'!CU4:CU34,$B14)+COUNTIF('4月'!CV4:CV34,$B14)+COUNTIF('4月'!CZ4:CZ34,$B14)+COUNTIF('4月'!DA4:DA34,$B14)+COUNTIF('4月'!DE4:DE34,$B14)+COUNTIF('4月'!DF4:DF34,$B14)+COUNTIF('4月'!DJ4:DJ34,$B14)+COUNTIF('4月'!DK4:DK34,$B14)+COUNTIF('4月'!DO4:DO34,$B14)+COUNTIF('4月'!DP4:DP34,$B14)+COUNTIF('4月'!DT4:DT34,$B14)+COUNTIF('4月'!DU4:DU34,$B14)+COUNTIF('4月'!DY4:DY34,$B14)+COUNTIF('4月'!DZ4:DZ34,$B14)+COUNTIF('4月'!ED4:ED34,$B14)+COUNTIF('4月'!EE4:EE34,$B14)+COUNTIF('4月'!EI4:EI34,$B14)+COUNTIF('4月'!EJ4:EJ34,$B14)+COUNTIF('4月'!EN4:EN34,$B14)+COUNTIF('4月'!EO4:EO34,$B14)+COUNTIF('4月'!ES4:ES34,$B14)+COUNTIF('4月'!ET4:ET34,$B14)),0)</f>
        <v>0</v>
      </c>
      <c r="G14" s="76">
        <f>IFERROR(IF($B14="","",COUNTIF('5月'!D4:D34,$B14)+COUNTIF('5月'!E4:E34,$B14)+COUNTIF('5月'!I4:I34,$B14)+COUNTIF('5月'!J4:J34,$B14)+COUNTIF('5月'!N4:N34,$B14)+COUNTIF('5月'!O4:O34,$B14)+COUNTIF('5月'!S4:S34,$B14)+COUNTIF('5月'!T4:T34,$B14)+COUNTIF('5月'!X4:X34,$B14)+COUNTIF('5月'!Y4:Y34,$B14)+COUNTIF('5月'!AC4:AC34,$B14)+COUNTIF('5月'!AD4:AD34,$B14)+COUNTIF('5月'!AH4:AH34,$B14)+COUNTIF('5月'!AI4:AI34,$B14)+COUNTIF('5月'!AM4:AM34,$B14)+COUNTIF('5月'!AN4:AN34,$B14)+COUNTIF('5月'!AR4:AR34,$B14)+COUNTIF('5月'!AS4:AS34,$B14)+COUNTIF('5月'!AW4:AW34,$B14)+COUNTIF('5月'!AX4:AX34,$B14)+COUNTIF('5月'!BB4:BB34,$B14)+COUNTIF('5月'!BC4:BC34,$B14)+COUNTIF('5月'!BG4:BG34,$B14)+COUNTIF('5月'!BH4:BH34,$B14)+COUNTIF('5月'!BL4:BL34,$B14)+COUNTIF('5月'!BM4:BM34,$B14)+COUNTIF('5月'!BQ4:BQ34,$B14)+COUNTIF('5月'!BR4:BR34,$B14)+COUNTIF('5月'!BV4:BV34,$B14)+COUNTIF('5月'!BW4:BW34,$B14)+COUNTIF('5月'!CA4:CA34,$B14)+COUNTIF('5月'!CB4:CB34,$B14)+COUNTIF('5月'!CF4:CF34,$B14)+COUNTIF('5月'!CG4:CG34,$B14)+COUNTIF('5月'!CK4:CK34,$B14)+COUNTIF('5月'!CL4:CL34,$B14)+COUNTIF('5月'!CP4:CP34,$B14)+COUNTIF('5月'!CQ4:CQ34,$B14)+COUNTIF('5月'!CU4:CU34,$B14)+COUNTIF('5月'!CV4:CV34,$B14)+COUNTIF('5月'!CZ4:CZ34,$B14)+COUNTIF('5月'!DA4:DA34,$B14)+COUNTIF('5月'!DE4:DE34,$B14)+COUNTIF('5月'!DF4:DF34,$B14)+COUNTIF('5月'!DJ4:DJ34,$B14)+COUNTIF('5月'!DK4:DK34,$B14)+COUNTIF('5月'!DO4:DO34,$B14)+COUNTIF('5月'!DP4:DP34,$B14)+COUNTIF('5月'!DT4:DT34,$B14)+COUNTIF('5月'!DU4:DU34,$B14)+COUNTIF('5月'!DY4:DY34,$B14)+COUNTIF('5月'!DZ4:DZ34,$B14)+COUNTIF('5月'!ED4:ED34,$B14)+COUNTIF('5月'!EE4:EE34,$B14)+COUNTIF('5月'!EI4:EI34,$B14)+COUNTIF('5月'!EJ4:EJ34,$B14)+COUNTIF('5月'!EN4:EN34,$B14)+COUNTIF('5月'!EO4:EO34,$B14)+COUNTIF('5月'!ES4:ES34,$B14)+COUNTIF('5月'!ET4:ET34,$B14)),0)</f>
        <v>0</v>
      </c>
      <c r="H14" s="76">
        <f>IFERROR(IF($B14="","",COUNTIF('6月'!D4:D34,$B14)+COUNTIF('6月'!E4:E34,$B14)+COUNTIF('6月'!I4:I34,$B14)+COUNTIF('6月'!J4:J34,$B14)+COUNTIF('6月'!N4:N34,$B14)+COUNTIF('6月'!O4:O34,$B14)+COUNTIF('6月'!S4:S34,$B14)+COUNTIF('6月'!T4:T34,$B14)+COUNTIF('6月'!X4:X34,$B14)+COUNTIF('6月'!Y4:Y34,$B14)+COUNTIF('6月'!AC4:AC34,$B14)+COUNTIF('6月'!AD4:AD34,$B14)+COUNTIF('6月'!AH4:AH34,$B14)+COUNTIF('6月'!AI4:AI34,$B14)+COUNTIF('6月'!AM4:AM34,$B14)+COUNTIF('6月'!AN4:AN34,$B14)+COUNTIF('6月'!AR4:AR34,$B14)+COUNTIF('6月'!AS4:AS34,$B14)+COUNTIF('6月'!AW4:AW34,$B14)+COUNTIF('6月'!AX4:AX34,$B14)+COUNTIF('6月'!BB4:BB34,$B14)+COUNTIF('6月'!BC4:BC34,$B14)+COUNTIF('6月'!BG4:BG34,$B14)+COUNTIF('6月'!BH4:BH34,$B14)+COUNTIF('6月'!BL4:BL34,$B14)+COUNTIF('6月'!BM4:BM34,$B14)+COUNTIF('6月'!BQ4:BQ34,$B14)+COUNTIF('6月'!BR4:BR34,$B14)+COUNTIF('6月'!BV4:BV34,$B14)+COUNTIF('6月'!BW4:BW34,$B14)+COUNTIF('6月'!CA4:CA34,$B14)+COUNTIF('6月'!CB4:CB34,$B14)+COUNTIF('6月'!CF4:CF34,$B14)+COUNTIF('6月'!CG4:CG34,$B14)+COUNTIF('6月'!CK4:CK34,$B14)+COUNTIF('6月'!CL4:CL34,$B14)+COUNTIF('6月'!CP4:CP34,$B14)+COUNTIF('6月'!CQ4:CQ34,$B14)+COUNTIF('6月'!CU4:CU34,$B14)+COUNTIF('6月'!CV4:CV34,$B14)+COUNTIF('6月'!CZ4:CZ34,$B14)+COUNTIF('6月'!DA4:DA34,$B14)+COUNTIF('6月'!DE4:DE34,$B14)+COUNTIF('6月'!DF4:DF34,$B14)+COUNTIF('6月'!DJ4:DJ34,$B14)+COUNTIF('6月'!DK4:DK34,$B14)+COUNTIF('6月'!DO4:DO34,$B14)+COUNTIF('6月'!DP4:DP34,$B14)+COUNTIF('6月'!DT4:DT34,$B14)+COUNTIF('6月'!DU4:DU34,$B14)+COUNTIF('6月'!DY4:DY34,$B14)+COUNTIF('6月'!DZ4:DZ34,$B14)+COUNTIF('6月'!ED4:ED34,$B14)+COUNTIF('6月'!EE4:EE34,$B14)+COUNTIF('6月'!EI4:EI34,$B14)+COUNTIF('6月'!EJ4:EJ34,$B14)+COUNTIF('6月'!EN4:EN34,$B14)+COUNTIF('6月'!EO4:EO34,$B14)+COUNTIF('6月'!ES4:ES34,$B14)+COUNTIF('6月'!ET4:ET34,$B14)),0)</f>
        <v>0</v>
      </c>
      <c r="I14" s="76">
        <f>IFERROR(IF($B14="","",COUNTIF('7月'!D4:D34,$B14)+COUNTIF('7月'!E4:E34,$B14)+COUNTIF('7月'!I4:I34,$B14)+COUNTIF('7月'!J4:J34,$B14)+COUNTIF('7月'!N4:N34,$B14)+COUNTIF('7月'!O4:O34,$B14)+COUNTIF('7月'!S4:S34,$B14)+COUNTIF('7月'!T4:T34,$B14)+COUNTIF('7月'!X4:X34,$B14)+COUNTIF('7月'!Y4:Y34,$B14)+COUNTIF('7月'!AC4:AC34,$B14)+COUNTIF('7月'!AD4:AD34,$B14)+COUNTIF('7月'!AH4:AH34,$B14)+COUNTIF('7月'!AI4:AI34,$B14)+COUNTIF('7月'!AM4:AM34,$B14)+COUNTIF('7月'!AN4:AN34,$B14)+COUNTIF('7月'!AR4:AR34,$B14)+COUNTIF('7月'!AS4:AS34,$B14)+COUNTIF('7月'!AW4:AW34,$B14)+COUNTIF('7月'!AX4:AX34,$B14)+COUNTIF('7月'!BB4:BB34,$B14)+COUNTIF('7月'!BC4:BC34,$B14)+COUNTIF('7月'!BG4:BG34,$B14)+COUNTIF('7月'!BH4:BH34,$B14)+COUNTIF('7月'!BL4:BL34,$B14)+COUNTIF('7月'!BM4:BM34,$B14)+COUNTIF('7月'!BQ4:BQ34,$B14)+COUNTIF('7月'!BR4:BR34,$B14)+COUNTIF('7月'!BV4:BV34,$B14)+COUNTIF('7月'!BW4:BW34,$B14)+COUNTIF('7月'!CA4:CA34,$B14)+COUNTIF('7月'!CB4:CB34,$B14)+COUNTIF('7月'!CF4:CF34,$B14)+COUNTIF('7月'!CG4:CG34,$B14)+COUNTIF('7月'!CK4:CK34,$B14)+COUNTIF('7月'!CL4:CL34,$B14)+COUNTIF('7月'!CP4:CP34,$B14)+COUNTIF('7月'!CQ4:CQ34,$B14)+COUNTIF('7月'!CU4:CU34,$B14)+COUNTIF('7月'!CV4:CV34,$B14)+COUNTIF('7月'!CZ4:CZ34,$B14)+COUNTIF('7月'!DA4:DA34,$B14)+COUNTIF('7月'!DE4:DE34,$B14)+COUNTIF('7月'!DF4:DF34,$B14)+COUNTIF('7月'!DJ4:DJ34,$B14)+COUNTIF('7月'!DK4:DK34,$B14)+COUNTIF('7月'!DO4:DO34,$B14)+COUNTIF('7月'!DP4:DP34,$B14)+COUNTIF('7月'!DT4:DT34,$B14)+COUNTIF('7月'!DU4:DU34,$B14)+COUNTIF('7月'!DY4:DY34,$B14)+COUNTIF('7月'!DZ4:DZ34,$B14)+COUNTIF('7月'!ED4:ED34,$B14)+COUNTIF('7月'!EE4:EE34,$B14)+COUNTIF('7月'!EI4:EI34,$B14)+COUNTIF('7月'!EJ4:EJ34,$B14)+COUNTIF('7月'!EN4:EN34,$B14)+COUNTIF('7月'!EO4:EO34,$B14)+COUNTIF('7月'!ES4:ES34,$B14)+COUNTIF('7月'!ET4:ET34,$B14)),0)</f>
        <v>0</v>
      </c>
      <c r="J14" s="76">
        <f>IFERROR(IF($B14="","",COUNTIF('8月'!D4:D34,$B14)+COUNTIF('8月'!E4:E34,$B14)+COUNTIF('8月'!I4:I34,$B14)+COUNTIF('8月'!J4:J34,$B14)+COUNTIF('8月'!N4:N34,$B14)+COUNTIF('8月'!O4:O34,$B14)+COUNTIF('8月'!S4:S34,$B14)+COUNTIF('8月'!T4:T34,$B14)+COUNTIF('8月'!X4:X34,$B14)+COUNTIF('8月'!Y4:Y34,$B14)+COUNTIF('8月'!AC4:AC34,$B14)+COUNTIF('8月'!AD4:AD34,$B14)+COUNTIF('8月'!AH4:AH34,$B14)+COUNTIF('8月'!AI4:AI34,$B14)+COUNTIF('8月'!AM4:AM34,$B14)+COUNTIF('8月'!AN4:AN34,$B14)+COUNTIF('8月'!AR4:AR34,$B14)+COUNTIF('8月'!AS4:AS34,$B14)+COUNTIF('8月'!AW4:AW34,$B14)+COUNTIF('8月'!AX4:AX34,$B14)+COUNTIF('8月'!BB4:BB34,$B14)+COUNTIF('8月'!BC4:BC34,$B14)+COUNTIF('8月'!BG4:BG34,$B14)+COUNTIF('8月'!BH4:BH34,$B14)+COUNTIF('8月'!BL4:BL34,$B14)+COUNTIF('8月'!BM4:BM34,$B14)+COUNTIF('8月'!BQ4:BQ34,$B14)+COUNTIF('8月'!BR4:BR34,$B14)+COUNTIF('8月'!BV4:BV34,$B14)+COUNTIF('8月'!BW4:BW34,$B14)+COUNTIF('8月'!CA4:CA34,$B14)+COUNTIF('8月'!CB4:CB34,$B14)+COUNTIF('8月'!CF4:CF34,$B14)+COUNTIF('8月'!CG4:CG34,$B14)+COUNTIF('8月'!CK4:CK34,$B14)+COUNTIF('8月'!CL4:CL34,$B14)+COUNTIF('8月'!CP4:CP34,$B14)+COUNTIF('8月'!CQ4:CQ34,$B14)+COUNTIF('8月'!CU4:CU34,$B14)+COUNTIF('8月'!CV4:CV34,$B14)+COUNTIF('8月'!CZ4:CZ34,$B14)+COUNTIF('8月'!DA4:DA34,$B14)+COUNTIF('8月'!DE4:DE34,$B14)+COUNTIF('8月'!DF4:DF34,$B14)+COUNTIF('8月'!DJ4:DJ34,$B14)+COUNTIF('8月'!DK4:DK34,$B14)+COUNTIF('8月'!DO4:DO34,$B14)+COUNTIF('8月'!DP4:DP34,$B14)+COUNTIF('8月'!DT4:DT34,$B14)+COUNTIF('8月'!DU4:DU34,$B14)+COUNTIF('8月'!DY4:DY34,$B14)+COUNTIF('8月'!DZ4:DZ34,$B14)+COUNTIF('8月'!ED4:ED34,$B14)+COUNTIF('8月'!EE4:EE34,$B14)+COUNTIF('8月'!EI4:EI34,$B14)+COUNTIF('8月'!EJ4:EJ34,$B14)+COUNTIF('8月'!EN4:EN34,$B14)+COUNTIF('8月'!EO4:EO34,$B14)+COUNTIF('8月'!ES4:ES34,$B14)+COUNTIF('8月'!ET4:ET34,$B14)),0)</f>
        <v>0</v>
      </c>
      <c r="K14" s="76">
        <f>IFERROR(IF($B14="","",COUNTIF('9月'!D4:D34,$B14)+COUNTIF('9月'!E4:E34,$B14)+COUNTIF('9月'!I4:I34,$B14)+COUNTIF('9月'!J4:J34,$B14)+COUNTIF('9月'!N4:N34,$B14)+COUNTIF('9月'!O4:O34,$B14)+COUNTIF('9月'!S4:S34,$B14)+COUNTIF('9月'!T4:T34,$B14)+COUNTIF('9月'!X4:X34,$B14)+COUNTIF('9月'!Y4:Y34,$B14)+COUNTIF('9月'!AC4:AC34,$B14)+COUNTIF('9月'!AD4:AD34,$B14)+COUNTIF('9月'!AH4:AH34,$B14)+COUNTIF('9月'!AI4:AI34,$B14)+COUNTIF('9月'!AM4:AM34,$B14)+COUNTIF('9月'!AN4:AN34,$B14)+COUNTIF('9月'!AR4:AR34,$B14)+COUNTIF('9月'!AS4:AS34,$B14)+COUNTIF('9月'!AW4:AW34,$B14)+COUNTIF('9月'!AX4:AX34,$B14)+COUNTIF('9月'!BB4:BB34,$B14)+COUNTIF('9月'!BC4:BC34,$B14)+COUNTIF('9月'!BG4:BG34,$B14)+COUNTIF('9月'!BH4:BH34,$B14)+COUNTIF('9月'!BL4:BL34,$B14)+COUNTIF('9月'!BM4:BM34,$B14)+COUNTIF('9月'!BQ4:BQ34,$B14)+COUNTIF('9月'!BR4:BR34,$B14)+COUNTIF('9月'!BV4:BV34,$B14)+COUNTIF('9月'!BW4:BW34,$B14)+COUNTIF('9月'!CA4:CA34,$B14)+COUNTIF('9月'!CB4:CB34,$B14)+COUNTIF('9月'!CF4:CF34,$B14)+COUNTIF('9月'!CG4:CG34,$B14)+COUNTIF('9月'!CK4:CK34,$B14)+COUNTIF('9月'!CL4:CL34,$B14)+COUNTIF('9月'!CP4:CP34,$B14)+COUNTIF('9月'!CQ4:CQ34,$B14)+COUNTIF('9月'!CU4:CU34,$B14)+COUNTIF('9月'!CV4:CV34,$B14)+COUNTIF('9月'!CZ4:CZ34,$B14)+COUNTIF('9月'!DA4:DA34,$B14)+COUNTIF('9月'!DE4:DE34,$B14)+COUNTIF('9月'!DF4:DF34,$B14)+COUNTIF('9月'!DJ4:DJ34,$B14)+COUNTIF('9月'!DK4:DK34,$B14)+COUNTIF('9月'!DO4:DO34,$B14)+COUNTIF('9月'!DP4:DP34,$B14)+COUNTIF('9月'!DT4:DT34,$B14)+COUNTIF('9月'!DU4:DU34,$B14)+COUNTIF('9月'!DY4:DY34,$B14)+COUNTIF('9月'!DZ4:DZ34,$B14)+COUNTIF('9月'!ED4:ED34,$B14)+COUNTIF('9月'!EE4:EE34,$B14)+COUNTIF('9月'!EI4:EI34,$B14)+COUNTIF('9月'!EJ4:EJ34,$B14)+COUNTIF('9月'!EN4:EN34,$B14)+COUNTIF('9月'!EO4:EO34,$B14)+COUNTIF('9月'!ES4:ES34,$B14)+COUNTIF('9月'!ET4:ET34,$B14)),0)</f>
        <v>0</v>
      </c>
      <c r="L14" s="76">
        <f>IFERROR(IF($B14="","",COUNTIF('10月'!D4:D34,$B14)+COUNTIF('10月'!E4:E34,$B14)+COUNTIF('10月'!I4:I34,$B14)+COUNTIF('10月'!J4:J34,$B14)+COUNTIF('10月'!N4:N34,$B14)+COUNTIF('10月'!O4:O34,$B14)+COUNTIF('10月'!S4:S34,$B14)+COUNTIF('10月'!T4:T34,$B14)+COUNTIF('10月'!X4:X34,$B14)+COUNTIF('10月'!Y4:Y34,$B14)+COUNTIF('10月'!AC4:AC34,$B14)+COUNTIF('10月'!AD4:AD34,$B14)+COUNTIF('10月'!AH4:AH34,$B14)+COUNTIF('10月'!AI4:AI34,$B14)+COUNTIF('10月'!AM4:AM34,$B14)+COUNTIF('10月'!AN4:AN34,$B14)+COUNTIF('10月'!AR4:AR34,$B14)+COUNTIF('10月'!AS4:AS34,$B14)+COUNTIF('10月'!AW4:AW34,$B14)+COUNTIF('10月'!AX4:AX34,$B14)+COUNTIF('10月'!BB4:BB34,$B14)+COUNTIF('10月'!BC4:BC34,$B14)+COUNTIF('10月'!BG4:BG34,$B14)+COUNTIF('10月'!BH4:BH34,$B14)+COUNTIF('10月'!BL4:BL34,$B14)+COUNTIF('10月'!BM4:BM34,$B14)+COUNTIF('10月'!BQ4:BQ34,$B14)+COUNTIF('10月'!BR4:BR34,$B14)+COUNTIF('10月'!BV4:BV34,$B14)+COUNTIF('10月'!BW4:BW34,$B14)+COUNTIF('10月'!CA4:CA34,$B14)+COUNTIF('10月'!CB4:CB34,$B14)+COUNTIF('10月'!CF4:CF34,$B14)+COUNTIF('10月'!CG4:CG34,$B14)+COUNTIF('10月'!CK4:CK34,$B14)+COUNTIF('10月'!CL4:CL34,$B14)+COUNTIF('10月'!CP4:CP34,$B14)+COUNTIF('10月'!CQ4:CQ34,$B14)+COUNTIF('10月'!CU4:CU34,$B14)+COUNTIF('10月'!CV4:CV34,$B14)+COUNTIF('10月'!CZ4:CZ34,$B14)+COUNTIF('10月'!DA4:DA34,$B14)+COUNTIF('10月'!DE4:DE34,$B14)+COUNTIF('10月'!DF4:DF34,$B14)+COUNTIF('10月'!DJ4:DJ34,$B14)+COUNTIF('10月'!DK4:DK34,$B14)+COUNTIF('10月'!DO4:DO34,$B14)+COUNTIF('10月'!DP4:DP34,$B14)+COUNTIF('10月'!DT4:DT34,$B14)+COUNTIF('10月'!DU4:DU34,$B14)+COUNTIF('10月'!DY4:DY34,$B14)+COUNTIF('10月'!DZ4:DZ34,$B14)+COUNTIF('10月'!ED4:ED34,$B14)+COUNTIF('10月'!EE4:EE34,$B14)+COUNTIF('10月'!EI4:EI34,$B14)+COUNTIF('10月'!EJ4:EJ34,$B14)+COUNTIF('10月'!EN4:EN34,$B14)+COUNTIF('10月'!EO4:EO34,$B14)+COUNTIF('10月'!ES4:ES34,$B14)+COUNTIF('10月'!ET4:ET34,$B14)),0)</f>
        <v>0</v>
      </c>
      <c r="M14" s="76">
        <f>IFERROR(IF($B14="","",COUNTIF('11月'!D4:D34,$B14)+COUNTIF('11月'!E4:E34,$B14)+COUNTIF('11月'!I4:I34,$B14)+COUNTIF('11月'!J4:J34,$B14)+COUNTIF('11月'!N4:N34,$B14)+COUNTIF('11月'!O4:O34,$B14)+COUNTIF('11月'!S4:S34,$B14)+COUNTIF('11月'!T4:T34,$B14)+COUNTIF('11月'!X4:X34,$B14)+COUNTIF('11月'!Y4:Y34,$B14)+COUNTIF('11月'!AC4:AC34,$B14)+COUNTIF('11月'!AD4:AD34,$B14)+COUNTIF('11月'!AH4:AH34,$B14)+COUNTIF('11月'!AI4:AI34,$B14)+COUNTIF('11月'!AM4:AM34,$B14)+COUNTIF('11月'!AN4:AN34,$B14)+COUNTIF('11月'!AR4:AR34,$B14)+COUNTIF('11月'!AS4:AS34,$B14)+COUNTIF('11月'!AW4:AW34,$B14)+COUNTIF('11月'!AX4:AX34,$B14)+COUNTIF('11月'!BB4:BB34,$B14)+COUNTIF('11月'!BC4:BC34,$B14)+COUNTIF('11月'!BG4:BG34,$B14)+COUNTIF('11月'!BH4:BH34,$B14)+COUNTIF('11月'!BL4:BL34,$B14)+COUNTIF('11月'!BM4:BM34,$B14)+COUNTIF('11月'!BQ4:BQ34,$B14)+COUNTIF('11月'!BR4:BR34,$B14)+COUNTIF('11月'!BV4:BV34,$B14)+COUNTIF('11月'!BW4:BW34,$B14)+COUNTIF('11月'!CA4:CA34,$B14)+COUNTIF('11月'!CB4:CB34,$B14)+COUNTIF('11月'!CF4:CF34,$B14)+COUNTIF('11月'!CG4:CG34,$B14)+COUNTIF('11月'!CK4:CK34,$B14)+COUNTIF('11月'!CL4:CL34,$B14)+COUNTIF('11月'!CP4:CP34,$B14)+COUNTIF('11月'!CQ4:CQ34,$B14)+COUNTIF('11月'!CU4:CU34,$B14)+COUNTIF('11月'!CV4:CV34,$B14)+COUNTIF('11月'!CZ4:CZ34,$B14)+COUNTIF('11月'!DA4:DA34,$B14)+COUNTIF('11月'!DE4:DE34,$B14)+COUNTIF('11月'!DF4:DF34,$B14)+COUNTIF('11月'!DJ4:DJ34,$B14)+COUNTIF('11月'!DK4:DK34,$B14)+COUNTIF('11月'!DO4:DO34,$B14)+COUNTIF('11月'!DP4:DP34,$B14)+COUNTIF('11月'!DT4:DT34,$B14)+COUNTIF('11月'!DU4:DU34,$B14)+COUNTIF('11月'!DY4:DY34,$B14)+COUNTIF('11月'!DZ4:DZ34,$B14)+COUNTIF('11月'!ED4:ED34,$B14)+COUNTIF('11月'!EE4:EE34,$B14)+COUNTIF('11月'!EI4:EI34,$B14)+COUNTIF('11月'!EJ4:EJ34,$B14)+COUNTIF('11月'!EN4:EN34,$B14)+COUNTIF('11月'!EO4:EO34,$B14)+COUNTIF('11月'!ES4:ES34,$B14)+COUNTIF('11月'!ET4:ET34,$B14)),0)</f>
        <v>0</v>
      </c>
      <c r="N14" s="76">
        <f>IFERROR(IF($B14="","",COUNTIF('12月'!D4:D34,$B14)+COUNTIF('12月'!E4:E34,$B14)+COUNTIF('12月'!I4:I34,$B14)+COUNTIF('12月'!J4:J34,$B14)+COUNTIF('12月'!N4:N34,$B14)+COUNTIF('12月'!O4:O34,$B14)+COUNTIF('12月'!S4:S34,$B14)+COUNTIF('12月'!T4:T34,$B14)+COUNTIF('12月'!X4:X34,$B14)+COUNTIF('12月'!Y4:Y34,$B14)+COUNTIF('12月'!AC4:AC34,$B14)+COUNTIF('12月'!AD4:AD34,$B14)+COUNTIF('12月'!AH4:AH34,$B14)+COUNTIF('12月'!AI4:AI34,$B14)+COUNTIF('12月'!AM4:AM34,$B14)+COUNTIF('12月'!AN4:AN34,$B14)+COUNTIF('12月'!AR4:AR34,$B14)+COUNTIF('12月'!AS4:AS34,$B14)+COUNTIF('12月'!AW4:AW34,$B14)+COUNTIF('12月'!AX4:AX34,$B14)+COUNTIF('12月'!BB4:BB34,$B14)+COUNTIF('12月'!BC4:BC34,$B14)+COUNTIF('12月'!BG4:BG34,$B14)+COUNTIF('12月'!BH4:BH34,$B14)+COUNTIF('12月'!BL4:BL34,$B14)+COUNTIF('12月'!BM4:BM34,$B14)+COUNTIF('12月'!BQ4:BQ34,$B14)+COUNTIF('12月'!BR4:BR34,$B14)+COUNTIF('12月'!BV4:BV34,$B14)+COUNTIF('12月'!BW4:BW34,$B14)+COUNTIF('12月'!CA4:CA34,$B14)+COUNTIF('12月'!CB4:CB34,$B14)+COUNTIF('12月'!CF4:CF34,$B14)+COUNTIF('12月'!CG4:CG34,$B14)+COUNTIF('12月'!CK4:CK34,$B14)+COUNTIF('12月'!CL4:CL34,$B14)+COUNTIF('12月'!CP4:CP34,$B14)+COUNTIF('12月'!CQ4:CQ34,$B14)+COUNTIF('12月'!CU4:CU34,$B14)+COUNTIF('12月'!CV4:CV34,$B14)+COUNTIF('12月'!CZ4:CZ34,$B14)+COUNTIF('12月'!DA4:DA34,$B14)+COUNTIF('12月'!DE4:DE34,$B14)+COUNTIF('12月'!DF4:DF34,$B14)+COUNTIF('12月'!DJ4:DJ34,$B14)+COUNTIF('12月'!DK4:DK34,$B14)+COUNTIF('12月'!DO4:DO34,$B14)+COUNTIF('12月'!DP4:DP34,$B14)+COUNTIF('12月'!DT4:DT34,$B14)+COUNTIF('12月'!DU4:DU34,$B14)+COUNTIF('12月'!DY4:DY34,$B14)+COUNTIF('12月'!DZ4:DZ34,$B14)+COUNTIF('12月'!ED4:ED34,$B14)+COUNTIF('12月'!EE4:EE34,$B14)+COUNTIF('12月'!EI4:EI34,$B14)+COUNTIF('12月'!EJ4:EJ34,$B14)+COUNTIF('12月'!EN4:EN34,$B14)+COUNTIF('12月'!EO4:EO34,$B14)+COUNTIF('12月'!ES4:ES34,$B14)+COUNTIF('12月'!ET4:ET34,$B14)),0)</f>
        <v>0</v>
      </c>
      <c r="O14" s="78">
        <f t="shared" si="0"/>
        <v>0</v>
      </c>
    </row>
    <row r="15" spans="1:15" ht="19.5" customHeight="1">
      <c r="A15" s="76">
        <v>13</v>
      </c>
      <c r="B15" s="77">
        <f>IFERROR(現場マスタ!$C$16,"")</f>
        <v>0</v>
      </c>
      <c r="C15" s="76">
        <f>IFERROR(IF($B15="","",COUNTIF('1月'!D4:D34,$B15)+COUNTIF('1月'!E4:E34,$B15)+COUNTIF('1月'!I4:I34,$B15)+COUNTIF('1月'!J4:J34,$B15)+COUNTIF('1月'!N4:N34,$B15)+COUNTIF('1月'!O4:O34,$B15)+COUNTIF('1月'!S4:S34,$B15)+COUNTIF('1月'!T4:T34,$B15)+COUNTIF('1月'!X4:X34,$B15)+COUNTIF('1月'!Y4:Y34,$B15)+COUNTIF('1月'!AC4:AC34,$B15)+COUNTIF('1月'!AD4:AD34,$B15)+COUNTIF('1月'!AH4:AH34,$B15)+COUNTIF('1月'!AI4:AI34,$B15)+COUNTIF('1月'!AM4:AM34,$B15)+COUNTIF('1月'!AN4:AN34,$B15)+COUNTIF('1月'!AR4:AR34,$B15)+COUNTIF('1月'!AS4:AS34,$B15)+COUNTIF('1月'!AW4:AW34,$B15)+COUNTIF('1月'!AX4:AX34,$B15)+COUNTIF('1月'!BB4:BB34,$B15)+COUNTIF('1月'!BC4:BC34,$B15)+COUNTIF('1月'!BG4:BG34,$B15)+COUNTIF('1月'!BH4:BH34,$B15)+COUNTIF('1月'!BL4:BL34,$B15)+COUNTIF('1月'!BM4:BM34,$B15)+COUNTIF('1月'!BQ4:BQ34,$B15)+COUNTIF('1月'!BR4:BR34,$B15)+COUNTIF('1月'!BV4:BV34,$B15)+COUNTIF('1月'!BW4:BW34,$B15)+COUNTIF('1月'!CA4:CA34,$B15)+COUNTIF('1月'!CB4:CB34,$B15)+COUNTIF('1月'!CF4:CF34,$B15)+COUNTIF('1月'!CG4:CG34,$B15)+COUNTIF('1月'!CK4:CK34,$B15)+COUNTIF('1月'!CL4:CL34,$B15)+COUNTIF('1月'!CP4:CP34,$B15)+COUNTIF('1月'!CQ4:CQ34,$B15)+COUNTIF('1月'!CU4:CU34,$B15)+COUNTIF('1月'!CV4:CV34,$B15)+COUNTIF('1月'!CZ4:CZ34,$B15)+COUNTIF('1月'!DA4:DA34,$B15)+COUNTIF('1月'!DE4:DE34,$B15)+COUNTIF('1月'!DF4:DF34,$B15)+COUNTIF('1月'!DJ4:DJ34,$B15)+COUNTIF('1月'!DK4:DK34,$B15)+COUNTIF('1月'!DO4:DO34,$B15)+COUNTIF('1月'!DP4:DP34,$B15)+COUNTIF('1月'!DT4:DT34,$B15)+COUNTIF('1月'!DU4:DU34,$B15)+COUNTIF('1月'!DY4:DY34,$B15)+COUNTIF('1月'!DZ4:DZ34,$B15)+COUNTIF('1月'!ED4:ED34,$B15)+COUNTIF('1月'!EE4:EE34,$B15)+COUNTIF('1月'!EI4:EI34,$B15)+COUNTIF('1月'!EJ4:EJ34,$B15)+COUNTIF('1月'!EN4:EN34,$B15)+COUNTIF('1月'!EO4:EO34,$B15)+COUNTIF('1月'!ES4:ES34,$B15)+COUNTIF('1月'!ET4:ET34,$B15)),0)</f>
        <v>0</v>
      </c>
      <c r="D15" s="76">
        <f>IFERROR(IF($B15="","",COUNTIF('2月'!D4:D34,$B15)+COUNTIF('2月'!E4:E34,$B15)+COUNTIF('2月'!I4:I34,$B15)+COUNTIF('2月'!J4:J34,$B15)+COUNTIF('2月'!N4:N34,$B15)+COUNTIF('2月'!O4:O34,$B15)+COUNTIF('2月'!S4:S34,$B15)+COUNTIF('2月'!T4:T34,$B15)+COUNTIF('2月'!X4:X34,$B15)+COUNTIF('2月'!Y4:Y34,$B15)+COUNTIF('2月'!AC4:AC34,$B15)+COUNTIF('2月'!AD4:AD34,$B15)+COUNTIF('2月'!AH4:AH34,$B15)+COUNTIF('2月'!AI4:AI34,$B15)+COUNTIF('2月'!AM4:AM34,$B15)+COUNTIF('2月'!AN4:AN34,$B15)+COUNTIF('2月'!AR4:AR34,$B15)+COUNTIF('2月'!AS4:AS34,$B15)+COUNTIF('2月'!AW4:AW34,$B15)+COUNTIF('2月'!AX4:AX34,$B15)+COUNTIF('2月'!BB4:BB34,$B15)+COUNTIF('2月'!BC4:BC34,$B15)+COUNTIF('2月'!BG4:BG34,$B15)+COUNTIF('2月'!BH4:BH34,$B15)+COUNTIF('2月'!BL4:BL34,$B15)+COUNTIF('2月'!BM4:BM34,$B15)+COUNTIF('2月'!BQ4:BQ34,$B15)+COUNTIF('2月'!BR4:BR34,$B15)+COUNTIF('2月'!BV4:BV34,$B15)+COUNTIF('2月'!BW4:BW34,$B15)+COUNTIF('2月'!CA4:CA34,$B15)+COUNTIF('2月'!CB4:CB34,$B15)+COUNTIF('2月'!CF4:CF34,$B15)+COUNTIF('2月'!CG4:CG34,$B15)+COUNTIF('2月'!CK4:CK34,$B15)+COUNTIF('2月'!CL4:CL34,$B15)+COUNTIF('2月'!CP4:CP34,$B15)+COUNTIF('2月'!CQ4:CQ34,$B15)+COUNTIF('2月'!CU4:CU34,$B15)+COUNTIF('2月'!CV4:CV34,$B15)+COUNTIF('2月'!CZ4:CZ34,$B15)+COUNTIF('2月'!DA4:DA34,$B15)+COUNTIF('2月'!DE4:DE34,$B15)+COUNTIF('2月'!DF4:DF34,$B15)+COUNTIF('2月'!DJ4:DJ34,$B15)+COUNTIF('2月'!DK4:DK34,$B15)+COUNTIF('2月'!DO4:DO34,$B15)+COUNTIF('2月'!DP4:DP34,$B15)+COUNTIF('2月'!DT4:DT34,$B15)+COUNTIF('2月'!DU4:DU34,$B15)+COUNTIF('2月'!DY4:DY34,$B15)+COUNTIF('2月'!DZ4:DZ34,$B15)+COUNTIF('2月'!ED4:ED34,$B15)+COUNTIF('2月'!EE4:EE34,$B15)+COUNTIF('2月'!EI4:EI34,$B15)+COUNTIF('2月'!EJ4:EJ34,$B15)+COUNTIF('2月'!EN4:EN34,$B15)+COUNTIF('2月'!EO4:EO34,$B15)+COUNTIF('2月'!ES4:ES34,$B15)+COUNTIF('2月'!ET4:ET34,$B15)),0)</f>
        <v>0</v>
      </c>
      <c r="E15" s="76">
        <f>IFERROR(IF($B15="","",COUNTIF('3月'!D4:D34,$B15)+COUNTIF('3月'!E4:E34,$B15)+COUNTIF('3月'!I4:I34,$B15)+COUNTIF('3月'!J4:J34,$B15)+COUNTIF('3月'!N4:N34,$B15)+COUNTIF('3月'!O4:O34,$B15)+COUNTIF('3月'!S4:S34,$B15)+COUNTIF('3月'!T4:T34,$B15)+COUNTIF('3月'!X4:X34,$B15)+COUNTIF('3月'!Y4:Y34,$B15)+COUNTIF('3月'!AC4:AC34,$B15)+COUNTIF('3月'!AD4:AD34,$B15)+COUNTIF('3月'!AH4:AH34,$B15)+COUNTIF('3月'!AI4:AI34,$B15)+COUNTIF('3月'!AM4:AM34,$B15)+COUNTIF('3月'!AN4:AN34,$B15)+COUNTIF('3月'!AR4:AR34,$B15)+COUNTIF('3月'!AS4:AS34,$B15)+COUNTIF('3月'!AW4:AW34,$B15)+COUNTIF('3月'!AX4:AX34,$B15)+COUNTIF('3月'!BB4:BB34,$B15)+COUNTIF('3月'!BC4:BC34,$B15)+COUNTIF('3月'!BG4:BG34,$B15)+COUNTIF('3月'!BH4:BH34,$B15)+COUNTIF('3月'!BL4:BL34,$B15)+COUNTIF('3月'!BM4:BM34,$B15)+COUNTIF('3月'!BQ4:BQ34,$B15)+COUNTIF('3月'!BR4:BR34,$B15)+COUNTIF('3月'!BV4:BV34,$B15)+COUNTIF('3月'!BW4:BW34,$B15)+COUNTIF('3月'!CA4:CA34,$B15)+COUNTIF('3月'!CB4:CB34,$B15)+COUNTIF('3月'!CF4:CF34,$B15)+COUNTIF('3月'!CG4:CG34,$B15)+COUNTIF('3月'!CK4:CK34,$B15)+COUNTIF('3月'!CL4:CL34,$B15)+COUNTIF('3月'!CP4:CP34,$B15)+COUNTIF('3月'!CQ4:CQ34,$B15)+COUNTIF('3月'!CU4:CU34,$B15)+COUNTIF('3月'!CV4:CV34,$B15)+COUNTIF('3月'!CZ4:CZ34,$B15)+COUNTIF('3月'!DA4:DA34,$B15)+COUNTIF('3月'!DE4:DE34,$B15)+COUNTIF('3月'!DF4:DF34,$B15)+COUNTIF('3月'!DJ4:DJ34,$B15)+COUNTIF('3月'!DK4:DK34,$B15)+COUNTIF('3月'!DO4:DO34,$B15)+COUNTIF('3月'!DP4:DP34,$B15)+COUNTIF('3月'!DT4:DT34,$B15)+COUNTIF('3月'!DU4:DU34,$B15)+COUNTIF('3月'!DY4:DY34,$B15)+COUNTIF('3月'!DZ4:DZ34,$B15)+COUNTIF('3月'!ED4:ED34,$B15)+COUNTIF('3月'!EE4:EE34,$B15)+COUNTIF('3月'!EI4:EI34,$B15)+COUNTIF('3月'!EJ4:EJ34,$B15)+COUNTIF('3月'!EN4:EN34,$B15)+COUNTIF('3月'!EO4:EO34,$B15)+COUNTIF('3月'!ES4:ES34,$B15)+COUNTIF('3月'!ET4:ET34,$B15)),0)</f>
        <v>0</v>
      </c>
      <c r="F15" s="76">
        <f>IFERROR(IF($B15="","",COUNTIF('4月'!D4:D34,$B15)+COUNTIF('4月'!E4:E34,$B15)+COUNTIF('4月'!I4:I34,$B15)+COUNTIF('4月'!J4:J34,$B15)+COUNTIF('4月'!N4:N34,$B15)+COUNTIF('4月'!O4:O34,$B15)+COUNTIF('4月'!S4:S34,$B15)+COUNTIF('4月'!T4:T34,$B15)+COUNTIF('4月'!X4:X34,$B15)+COUNTIF('4月'!Y4:Y34,$B15)+COUNTIF('4月'!AC4:AC34,$B15)+COUNTIF('4月'!AD4:AD34,$B15)+COUNTIF('4月'!AH4:AH34,$B15)+COUNTIF('4月'!AI4:AI34,$B15)+COUNTIF('4月'!AM4:AM34,$B15)+COUNTIF('4月'!AN4:AN34,$B15)+COUNTIF('4月'!AR4:AR34,$B15)+COUNTIF('4月'!AS4:AS34,$B15)+COUNTIF('4月'!AW4:AW34,$B15)+COUNTIF('4月'!AX4:AX34,$B15)+COUNTIF('4月'!BB4:BB34,$B15)+COUNTIF('4月'!BC4:BC34,$B15)+COUNTIF('4月'!BG4:BG34,$B15)+COUNTIF('4月'!BH4:BH34,$B15)+COUNTIF('4月'!BL4:BL34,$B15)+COUNTIF('4月'!BM4:BM34,$B15)+COUNTIF('4月'!BQ4:BQ34,$B15)+COUNTIF('4月'!BR4:BR34,$B15)+COUNTIF('4月'!BV4:BV34,$B15)+COUNTIF('4月'!BW4:BW34,$B15)+COUNTIF('4月'!CA4:CA34,$B15)+COUNTIF('4月'!CB4:CB34,$B15)+COUNTIF('4月'!CF4:CF34,$B15)+COUNTIF('4月'!CG4:CG34,$B15)+COUNTIF('4月'!CK4:CK34,$B15)+COUNTIF('4月'!CL4:CL34,$B15)+COUNTIF('4月'!CP4:CP34,$B15)+COUNTIF('4月'!CQ4:CQ34,$B15)+COUNTIF('4月'!CU4:CU34,$B15)+COUNTIF('4月'!CV4:CV34,$B15)+COUNTIF('4月'!CZ4:CZ34,$B15)+COUNTIF('4月'!DA4:DA34,$B15)+COUNTIF('4月'!DE4:DE34,$B15)+COUNTIF('4月'!DF4:DF34,$B15)+COUNTIF('4月'!DJ4:DJ34,$B15)+COUNTIF('4月'!DK4:DK34,$B15)+COUNTIF('4月'!DO4:DO34,$B15)+COUNTIF('4月'!DP4:DP34,$B15)+COUNTIF('4月'!DT4:DT34,$B15)+COUNTIF('4月'!DU4:DU34,$B15)+COUNTIF('4月'!DY4:DY34,$B15)+COUNTIF('4月'!DZ4:DZ34,$B15)+COUNTIF('4月'!ED4:ED34,$B15)+COUNTIF('4月'!EE4:EE34,$B15)+COUNTIF('4月'!EI4:EI34,$B15)+COUNTIF('4月'!EJ4:EJ34,$B15)+COUNTIF('4月'!EN4:EN34,$B15)+COUNTIF('4月'!EO4:EO34,$B15)+COUNTIF('4月'!ES4:ES34,$B15)+COUNTIF('4月'!ET4:ET34,$B15)),0)</f>
        <v>0</v>
      </c>
      <c r="G15" s="76">
        <f>IFERROR(IF($B15="","",COUNTIF('5月'!D4:D34,$B15)+COUNTIF('5月'!E4:E34,$B15)+COUNTIF('5月'!I4:I34,$B15)+COUNTIF('5月'!J4:J34,$B15)+COUNTIF('5月'!N4:N34,$B15)+COUNTIF('5月'!O4:O34,$B15)+COUNTIF('5月'!S4:S34,$B15)+COUNTIF('5月'!T4:T34,$B15)+COUNTIF('5月'!X4:X34,$B15)+COUNTIF('5月'!Y4:Y34,$B15)+COUNTIF('5月'!AC4:AC34,$B15)+COUNTIF('5月'!AD4:AD34,$B15)+COUNTIF('5月'!AH4:AH34,$B15)+COUNTIF('5月'!AI4:AI34,$B15)+COUNTIF('5月'!AM4:AM34,$B15)+COUNTIF('5月'!AN4:AN34,$B15)+COUNTIF('5月'!AR4:AR34,$B15)+COUNTIF('5月'!AS4:AS34,$B15)+COUNTIF('5月'!AW4:AW34,$B15)+COUNTIF('5月'!AX4:AX34,$B15)+COUNTIF('5月'!BB4:BB34,$B15)+COUNTIF('5月'!BC4:BC34,$B15)+COUNTIF('5月'!BG4:BG34,$B15)+COUNTIF('5月'!BH4:BH34,$B15)+COUNTIF('5月'!BL4:BL34,$B15)+COUNTIF('5月'!BM4:BM34,$B15)+COUNTIF('5月'!BQ4:BQ34,$B15)+COUNTIF('5月'!BR4:BR34,$B15)+COUNTIF('5月'!BV4:BV34,$B15)+COUNTIF('5月'!BW4:BW34,$B15)+COUNTIF('5月'!CA4:CA34,$B15)+COUNTIF('5月'!CB4:CB34,$B15)+COUNTIF('5月'!CF4:CF34,$B15)+COUNTIF('5月'!CG4:CG34,$B15)+COUNTIF('5月'!CK4:CK34,$B15)+COUNTIF('5月'!CL4:CL34,$B15)+COUNTIF('5月'!CP4:CP34,$B15)+COUNTIF('5月'!CQ4:CQ34,$B15)+COUNTIF('5月'!CU4:CU34,$B15)+COUNTIF('5月'!CV4:CV34,$B15)+COUNTIF('5月'!CZ4:CZ34,$B15)+COUNTIF('5月'!DA4:DA34,$B15)+COUNTIF('5月'!DE4:DE34,$B15)+COUNTIF('5月'!DF4:DF34,$B15)+COUNTIF('5月'!DJ4:DJ34,$B15)+COUNTIF('5月'!DK4:DK34,$B15)+COUNTIF('5月'!DO4:DO34,$B15)+COUNTIF('5月'!DP4:DP34,$B15)+COUNTIF('5月'!DT4:DT34,$B15)+COUNTIF('5月'!DU4:DU34,$B15)+COUNTIF('5月'!DY4:DY34,$B15)+COUNTIF('5月'!DZ4:DZ34,$B15)+COUNTIF('5月'!ED4:ED34,$B15)+COUNTIF('5月'!EE4:EE34,$B15)+COUNTIF('5月'!EI4:EI34,$B15)+COUNTIF('5月'!EJ4:EJ34,$B15)+COUNTIF('5月'!EN4:EN34,$B15)+COUNTIF('5月'!EO4:EO34,$B15)+COUNTIF('5月'!ES4:ES34,$B15)+COUNTIF('5月'!ET4:ET34,$B15)),0)</f>
        <v>0</v>
      </c>
      <c r="H15" s="76">
        <f>IFERROR(IF($B15="","",COUNTIF('6月'!D4:D34,$B15)+COUNTIF('6月'!E4:E34,$B15)+COUNTIF('6月'!I4:I34,$B15)+COUNTIF('6月'!J4:J34,$B15)+COUNTIF('6月'!N4:N34,$B15)+COUNTIF('6月'!O4:O34,$B15)+COUNTIF('6月'!S4:S34,$B15)+COUNTIF('6月'!T4:T34,$B15)+COUNTIF('6月'!X4:X34,$B15)+COUNTIF('6月'!Y4:Y34,$B15)+COUNTIF('6月'!AC4:AC34,$B15)+COUNTIF('6月'!AD4:AD34,$B15)+COUNTIF('6月'!AH4:AH34,$B15)+COUNTIF('6月'!AI4:AI34,$B15)+COUNTIF('6月'!AM4:AM34,$B15)+COUNTIF('6月'!AN4:AN34,$B15)+COUNTIF('6月'!AR4:AR34,$B15)+COUNTIF('6月'!AS4:AS34,$B15)+COUNTIF('6月'!AW4:AW34,$B15)+COUNTIF('6月'!AX4:AX34,$B15)+COUNTIF('6月'!BB4:BB34,$B15)+COUNTIF('6月'!BC4:BC34,$B15)+COUNTIF('6月'!BG4:BG34,$B15)+COUNTIF('6月'!BH4:BH34,$B15)+COUNTIF('6月'!BL4:BL34,$B15)+COUNTIF('6月'!BM4:BM34,$B15)+COUNTIF('6月'!BQ4:BQ34,$B15)+COUNTIF('6月'!BR4:BR34,$B15)+COUNTIF('6月'!BV4:BV34,$B15)+COUNTIF('6月'!BW4:BW34,$B15)+COUNTIF('6月'!CA4:CA34,$B15)+COUNTIF('6月'!CB4:CB34,$B15)+COUNTIF('6月'!CF4:CF34,$B15)+COUNTIF('6月'!CG4:CG34,$B15)+COUNTIF('6月'!CK4:CK34,$B15)+COUNTIF('6月'!CL4:CL34,$B15)+COUNTIF('6月'!CP4:CP34,$B15)+COUNTIF('6月'!CQ4:CQ34,$B15)+COUNTIF('6月'!CU4:CU34,$B15)+COUNTIF('6月'!CV4:CV34,$B15)+COUNTIF('6月'!CZ4:CZ34,$B15)+COUNTIF('6月'!DA4:DA34,$B15)+COUNTIF('6月'!DE4:DE34,$B15)+COUNTIF('6月'!DF4:DF34,$B15)+COUNTIF('6月'!DJ4:DJ34,$B15)+COUNTIF('6月'!DK4:DK34,$B15)+COUNTIF('6月'!DO4:DO34,$B15)+COUNTIF('6月'!DP4:DP34,$B15)+COUNTIF('6月'!DT4:DT34,$B15)+COUNTIF('6月'!DU4:DU34,$B15)+COUNTIF('6月'!DY4:DY34,$B15)+COUNTIF('6月'!DZ4:DZ34,$B15)+COUNTIF('6月'!ED4:ED34,$B15)+COUNTIF('6月'!EE4:EE34,$B15)+COUNTIF('6月'!EI4:EI34,$B15)+COUNTIF('6月'!EJ4:EJ34,$B15)+COUNTIF('6月'!EN4:EN34,$B15)+COUNTIF('6月'!EO4:EO34,$B15)+COUNTIF('6月'!ES4:ES34,$B15)+COUNTIF('6月'!ET4:ET34,$B15)),0)</f>
        <v>0</v>
      </c>
      <c r="I15" s="76">
        <f>IFERROR(IF($B15="","",COUNTIF('7月'!D4:D34,$B15)+COUNTIF('7月'!E4:E34,$B15)+COUNTIF('7月'!I4:I34,$B15)+COUNTIF('7月'!J4:J34,$B15)+COUNTIF('7月'!N4:N34,$B15)+COUNTIF('7月'!O4:O34,$B15)+COUNTIF('7月'!S4:S34,$B15)+COUNTIF('7月'!T4:T34,$B15)+COUNTIF('7月'!X4:X34,$B15)+COUNTIF('7月'!Y4:Y34,$B15)+COUNTIF('7月'!AC4:AC34,$B15)+COUNTIF('7月'!AD4:AD34,$B15)+COUNTIF('7月'!AH4:AH34,$B15)+COUNTIF('7月'!AI4:AI34,$B15)+COUNTIF('7月'!AM4:AM34,$B15)+COUNTIF('7月'!AN4:AN34,$B15)+COUNTIF('7月'!AR4:AR34,$B15)+COUNTIF('7月'!AS4:AS34,$B15)+COUNTIF('7月'!AW4:AW34,$B15)+COUNTIF('7月'!AX4:AX34,$B15)+COUNTIF('7月'!BB4:BB34,$B15)+COUNTIF('7月'!BC4:BC34,$B15)+COUNTIF('7月'!BG4:BG34,$B15)+COUNTIF('7月'!BH4:BH34,$B15)+COUNTIF('7月'!BL4:BL34,$B15)+COUNTIF('7月'!BM4:BM34,$B15)+COUNTIF('7月'!BQ4:BQ34,$B15)+COUNTIF('7月'!BR4:BR34,$B15)+COUNTIF('7月'!BV4:BV34,$B15)+COUNTIF('7月'!BW4:BW34,$B15)+COUNTIF('7月'!CA4:CA34,$B15)+COUNTIF('7月'!CB4:CB34,$B15)+COUNTIF('7月'!CF4:CF34,$B15)+COUNTIF('7月'!CG4:CG34,$B15)+COUNTIF('7月'!CK4:CK34,$B15)+COUNTIF('7月'!CL4:CL34,$B15)+COUNTIF('7月'!CP4:CP34,$B15)+COUNTIF('7月'!CQ4:CQ34,$B15)+COUNTIF('7月'!CU4:CU34,$B15)+COUNTIF('7月'!CV4:CV34,$B15)+COUNTIF('7月'!CZ4:CZ34,$B15)+COUNTIF('7月'!DA4:DA34,$B15)+COUNTIF('7月'!DE4:DE34,$B15)+COUNTIF('7月'!DF4:DF34,$B15)+COUNTIF('7月'!DJ4:DJ34,$B15)+COUNTIF('7月'!DK4:DK34,$B15)+COUNTIF('7月'!DO4:DO34,$B15)+COUNTIF('7月'!DP4:DP34,$B15)+COUNTIF('7月'!DT4:DT34,$B15)+COUNTIF('7月'!DU4:DU34,$B15)+COUNTIF('7月'!DY4:DY34,$B15)+COUNTIF('7月'!DZ4:DZ34,$B15)+COUNTIF('7月'!ED4:ED34,$B15)+COUNTIF('7月'!EE4:EE34,$B15)+COUNTIF('7月'!EI4:EI34,$B15)+COUNTIF('7月'!EJ4:EJ34,$B15)+COUNTIF('7月'!EN4:EN34,$B15)+COUNTIF('7月'!EO4:EO34,$B15)+COUNTIF('7月'!ES4:ES34,$B15)+COUNTIF('7月'!ET4:ET34,$B15)),0)</f>
        <v>0</v>
      </c>
      <c r="J15" s="76">
        <f>IFERROR(IF($B15="","",COUNTIF('8月'!D4:D34,$B15)+COUNTIF('8月'!E4:E34,$B15)+COUNTIF('8月'!I4:I34,$B15)+COUNTIF('8月'!J4:J34,$B15)+COUNTIF('8月'!N4:N34,$B15)+COUNTIF('8月'!O4:O34,$B15)+COUNTIF('8月'!S4:S34,$B15)+COUNTIF('8月'!T4:T34,$B15)+COUNTIF('8月'!X4:X34,$B15)+COUNTIF('8月'!Y4:Y34,$B15)+COUNTIF('8月'!AC4:AC34,$B15)+COUNTIF('8月'!AD4:AD34,$B15)+COUNTIF('8月'!AH4:AH34,$B15)+COUNTIF('8月'!AI4:AI34,$B15)+COUNTIF('8月'!AM4:AM34,$B15)+COUNTIF('8月'!AN4:AN34,$B15)+COUNTIF('8月'!AR4:AR34,$B15)+COUNTIF('8月'!AS4:AS34,$B15)+COUNTIF('8月'!AW4:AW34,$B15)+COUNTIF('8月'!AX4:AX34,$B15)+COUNTIF('8月'!BB4:BB34,$B15)+COUNTIF('8月'!BC4:BC34,$B15)+COUNTIF('8月'!BG4:BG34,$B15)+COUNTIF('8月'!BH4:BH34,$B15)+COUNTIF('8月'!BL4:BL34,$B15)+COUNTIF('8月'!BM4:BM34,$B15)+COUNTIF('8月'!BQ4:BQ34,$B15)+COUNTIF('8月'!BR4:BR34,$B15)+COUNTIF('8月'!BV4:BV34,$B15)+COUNTIF('8月'!BW4:BW34,$B15)+COUNTIF('8月'!CA4:CA34,$B15)+COUNTIF('8月'!CB4:CB34,$B15)+COUNTIF('8月'!CF4:CF34,$B15)+COUNTIF('8月'!CG4:CG34,$B15)+COUNTIF('8月'!CK4:CK34,$B15)+COUNTIF('8月'!CL4:CL34,$B15)+COUNTIF('8月'!CP4:CP34,$B15)+COUNTIF('8月'!CQ4:CQ34,$B15)+COUNTIF('8月'!CU4:CU34,$B15)+COUNTIF('8月'!CV4:CV34,$B15)+COUNTIF('8月'!CZ4:CZ34,$B15)+COUNTIF('8月'!DA4:DA34,$B15)+COUNTIF('8月'!DE4:DE34,$B15)+COUNTIF('8月'!DF4:DF34,$B15)+COUNTIF('8月'!DJ4:DJ34,$B15)+COUNTIF('8月'!DK4:DK34,$B15)+COUNTIF('8月'!DO4:DO34,$B15)+COUNTIF('8月'!DP4:DP34,$B15)+COUNTIF('8月'!DT4:DT34,$B15)+COUNTIF('8月'!DU4:DU34,$B15)+COUNTIF('8月'!DY4:DY34,$B15)+COUNTIF('8月'!DZ4:DZ34,$B15)+COUNTIF('8月'!ED4:ED34,$B15)+COUNTIF('8月'!EE4:EE34,$B15)+COUNTIF('8月'!EI4:EI34,$B15)+COUNTIF('8月'!EJ4:EJ34,$B15)+COUNTIF('8月'!EN4:EN34,$B15)+COUNTIF('8月'!EO4:EO34,$B15)+COUNTIF('8月'!ES4:ES34,$B15)+COUNTIF('8月'!ET4:ET34,$B15)),0)</f>
        <v>0</v>
      </c>
      <c r="K15" s="76">
        <f>IFERROR(IF($B15="","",COUNTIF('9月'!D4:D34,$B15)+COUNTIF('9月'!E4:E34,$B15)+COUNTIF('9月'!I4:I34,$B15)+COUNTIF('9月'!J4:J34,$B15)+COUNTIF('9月'!N4:N34,$B15)+COUNTIF('9月'!O4:O34,$B15)+COUNTIF('9月'!S4:S34,$B15)+COUNTIF('9月'!T4:T34,$B15)+COUNTIF('9月'!X4:X34,$B15)+COUNTIF('9月'!Y4:Y34,$B15)+COUNTIF('9月'!AC4:AC34,$B15)+COUNTIF('9月'!AD4:AD34,$B15)+COUNTIF('9月'!AH4:AH34,$B15)+COUNTIF('9月'!AI4:AI34,$B15)+COUNTIF('9月'!AM4:AM34,$B15)+COUNTIF('9月'!AN4:AN34,$B15)+COUNTIF('9月'!AR4:AR34,$B15)+COUNTIF('9月'!AS4:AS34,$B15)+COUNTIF('9月'!AW4:AW34,$B15)+COUNTIF('9月'!AX4:AX34,$B15)+COUNTIF('9月'!BB4:BB34,$B15)+COUNTIF('9月'!BC4:BC34,$B15)+COUNTIF('9月'!BG4:BG34,$B15)+COUNTIF('9月'!BH4:BH34,$B15)+COUNTIF('9月'!BL4:BL34,$B15)+COUNTIF('9月'!BM4:BM34,$B15)+COUNTIF('9月'!BQ4:BQ34,$B15)+COUNTIF('9月'!BR4:BR34,$B15)+COUNTIF('9月'!BV4:BV34,$B15)+COUNTIF('9月'!BW4:BW34,$B15)+COUNTIF('9月'!CA4:CA34,$B15)+COUNTIF('9月'!CB4:CB34,$B15)+COUNTIF('9月'!CF4:CF34,$B15)+COUNTIF('9月'!CG4:CG34,$B15)+COUNTIF('9月'!CK4:CK34,$B15)+COUNTIF('9月'!CL4:CL34,$B15)+COUNTIF('9月'!CP4:CP34,$B15)+COUNTIF('9月'!CQ4:CQ34,$B15)+COUNTIF('9月'!CU4:CU34,$B15)+COUNTIF('9月'!CV4:CV34,$B15)+COUNTIF('9月'!CZ4:CZ34,$B15)+COUNTIF('9月'!DA4:DA34,$B15)+COUNTIF('9月'!DE4:DE34,$B15)+COUNTIF('9月'!DF4:DF34,$B15)+COUNTIF('9月'!DJ4:DJ34,$B15)+COUNTIF('9月'!DK4:DK34,$B15)+COUNTIF('9月'!DO4:DO34,$B15)+COUNTIF('9月'!DP4:DP34,$B15)+COUNTIF('9月'!DT4:DT34,$B15)+COUNTIF('9月'!DU4:DU34,$B15)+COUNTIF('9月'!DY4:DY34,$B15)+COUNTIF('9月'!DZ4:DZ34,$B15)+COUNTIF('9月'!ED4:ED34,$B15)+COUNTIF('9月'!EE4:EE34,$B15)+COUNTIF('9月'!EI4:EI34,$B15)+COUNTIF('9月'!EJ4:EJ34,$B15)+COUNTIF('9月'!EN4:EN34,$B15)+COUNTIF('9月'!EO4:EO34,$B15)+COUNTIF('9月'!ES4:ES34,$B15)+COUNTIF('9月'!ET4:ET34,$B15)),0)</f>
        <v>0</v>
      </c>
      <c r="L15" s="76">
        <f>IFERROR(IF($B15="","",COUNTIF('10月'!D4:D34,$B15)+COUNTIF('10月'!E4:E34,$B15)+COUNTIF('10月'!I4:I34,$B15)+COUNTIF('10月'!J4:J34,$B15)+COUNTIF('10月'!N4:N34,$B15)+COUNTIF('10月'!O4:O34,$B15)+COUNTIF('10月'!S4:S34,$B15)+COUNTIF('10月'!T4:T34,$B15)+COUNTIF('10月'!X4:X34,$B15)+COUNTIF('10月'!Y4:Y34,$B15)+COUNTIF('10月'!AC4:AC34,$B15)+COUNTIF('10月'!AD4:AD34,$B15)+COUNTIF('10月'!AH4:AH34,$B15)+COUNTIF('10月'!AI4:AI34,$B15)+COUNTIF('10月'!AM4:AM34,$B15)+COUNTIF('10月'!AN4:AN34,$B15)+COUNTIF('10月'!AR4:AR34,$B15)+COUNTIF('10月'!AS4:AS34,$B15)+COUNTIF('10月'!AW4:AW34,$B15)+COUNTIF('10月'!AX4:AX34,$B15)+COUNTIF('10月'!BB4:BB34,$B15)+COUNTIF('10月'!BC4:BC34,$B15)+COUNTIF('10月'!BG4:BG34,$B15)+COUNTIF('10月'!BH4:BH34,$B15)+COUNTIF('10月'!BL4:BL34,$B15)+COUNTIF('10月'!BM4:BM34,$B15)+COUNTIF('10月'!BQ4:BQ34,$B15)+COUNTIF('10月'!BR4:BR34,$B15)+COUNTIF('10月'!BV4:BV34,$B15)+COUNTIF('10月'!BW4:BW34,$B15)+COUNTIF('10月'!CA4:CA34,$B15)+COUNTIF('10月'!CB4:CB34,$B15)+COUNTIF('10月'!CF4:CF34,$B15)+COUNTIF('10月'!CG4:CG34,$B15)+COUNTIF('10月'!CK4:CK34,$B15)+COUNTIF('10月'!CL4:CL34,$B15)+COUNTIF('10月'!CP4:CP34,$B15)+COUNTIF('10月'!CQ4:CQ34,$B15)+COUNTIF('10月'!CU4:CU34,$B15)+COUNTIF('10月'!CV4:CV34,$B15)+COUNTIF('10月'!CZ4:CZ34,$B15)+COUNTIF('10月'!DA4:DA34,$B15)+COUNTIF('10月'!DE4:DE34,$B15)+COUNTIF('10月'!DF4:DF34,$B15)+COUNTIF('10月'!DJ4:DJ34,$B15)+COUNTIF('10月'!DK4:DK34,$B15)+COUNTIF('10月'!DO4:DO34,$B15)+COUNTIF('10月'!DP4:DP34,$B15)+COUNTIF('10月'!DT4:DT34,$B15)+COUNTIF('10月'!DU4:DU34,$B15)+COUNTIF('10月'!DY4:DY34,$B15)+COUNTIF('10月'!DZ4:DZ34,$B15)+COUNTIF('10月'!ED4:ED34,$B15)+COUNTIF('10月'!EE4:EE34,$B15)+COUNTIF('10月'!EI4:EI34,$B15)+COUNTIF('10月'!EJ4:EJ34,$B15)+COUNTIF('10月'!EN4:EN34,$B15)+COUNTIF('10月'!EO4:EO34,$B15)+COUNTIF('10月'!ES4:ES34,$B15)+COUNTIF('10月'!ET4:ET34,$B15)),0)</f>
        <v>0</v>
      </c>
      <c r="M15" s="76">
        <f>IFERROR(IF($B15="","",COUNTIF('11月'!D4:D34,$B15)+COUNTIF('11月'!E4:E34,$B15)+COUNTIF('11月'!I4:I34,$B15)+COUNTIF('11月'!J4:J34,$B15)+COUNTIF('11月'!N4:N34,$B15)+COUNTIF('11月'!O4:O34,$B15)+COUNTIF('11月'!S4:S34,$B15)+COUNTIF('11月'!T4:T34,$B15)+COUNTIF('11月'!X4:X34,$B15)+COUNTIF('11月'!Y4:Y34,$B15)+COUNTIF('11月'!AC4:AC34,$B15)+COUNTIF('11月'!AD4:AD34,$B15)+COUNTIF('11月'!AH4:AH34,$B15)+COUNTIF('11月'!AI4:AI34,$B15)+COUNTIF('11月'!AM4:AM34,$B15)+COUNTIF('11月'!AN4:AN34,$B15)+COUNTIF('11月'!AR4:AR34,$B15)+COUNTIF('11月'!AS4:AS34,$B15)+COUNTIF('11月'!AW4:AW34,$B15)+COUNTIF('11月'!AX4:AX34,$B15)+COUNTIF('11月'!BB4:BB34,$B15)+COUNTIF('11月'!BC4:BC34,$B15)+COUNTIF('11月'!BG4:BG34,$B15)+COUNTIF('11月'!BH4:BH34,$B15)+COUNTIF('11月'!BL4:BL34,$B15)+COUNTIF('11月'!BM4:BM34,$B15)+COUNTIF('11月'!BQ4:BQ34,$B15)+COUNTIF('11月'!BR4:BR34,$B15)+COUNTIF('11月'!BV4:BV34,$B15)+COUNTIF('11月'!BW4:BW34,$B15)+COUNTIF('11月'!CA4:CA34,$B15)+COUNTIF('11月'!CB4:CB34,$B15)+COUNTIF('11月'!CF4:CF34,$B15)+COUNTIF('11月'!CG4:CG34,$B15)+COUNTIF('11月'!CK4:CK34,$B15)+COUNTIF('11月'!CL4:CL34,$B15)+COUNTIF('11月'!CP4:CP34,$B15)+COUNTIF('11月'!CQ4:CQ34,$B15)+COUNTIF('11月'!CU4:CU34,$B15)+COUNTIF('11月'!CV4:CV34,$B15)+COUNTIF('11月'!CZ4:CZ34,$B15)+COUNTIF('11月'!DA4:DA34,$B15)+COUNTIF('11月'!DE4:DE34,$B15)+COUNTIF('11月'!DF4:DF34,$B15)+COUNTIF('11月'!DJ4:DJ34,$B15)+COUNTIF('11月'!DK4:DK34,$B15)+COUNTIF('11月'!DO4:DO34,$B15)+COUNTIF('11月'!DP4:DP34,$B15)+COUNTIF('11月'!DT4:DT34,$B15)+COUNTIF('11月'!DU4:DU34,$B15)+COUNTIF('11月'!DY4:DY34,$B15)+COUNTIF('11月'!DZ4:DZ34,$B15)+COUNTIF('11月'!ED4:ED34,$B15)+COUNTIF('11月'!EE4:EE34,$B15)+COUNTIF('11月'!EI4:EI34,$B15)+COUNTIF('11月'!EJ4:EJ34,$B15)+COUNTIF('11月'!EN4:EN34,$B15)+COUNTIF('11月'!EO4:EO34,$B15)+COUNTIF('11月'!ES4:ES34,$B15)+COUNTIF('11月'!ET4:ET34,$B15)),0)</f>
        <v>0</v>
      </c>
      <c r="N15" s="76">
        <f>IFERROR(IF($B15="","",COUNTIF('12月'!D4:D34,$B15)+COUNTIF('12月'!E4:E34,$B15)+COUNTIF('12月'!I4:I34,$B15)+COUNTIF('12月'!J4:J34,$B15)+COUNTIF('12月'!N4:N34,$B15)+COUNTIF('12月'!O4:O34,$B15)+COUNTIF('12月'!S4:S34,$B15)+COUNTIF('12月'!T4:T34,$B15)+COUNTIF('12月'!X4:X34,$B15)+COUNTIF('12月'!Y4:Y34,$B15)+COUNTIF('12月'!AC4:AC34,$B15)+COUNTIF('12月'!AD4:AD34,$B15)+COUNTIF('12月'!AH4:AH34,$B15)+COUNTIF('12月'!AI4:AI34,$B15)+COUNTIF('12月'!AM4:AM34,$B15)+COUNTIF('12月'!AN4:AN34,$B15)+COUNTIF('12月'!AR4:AR34,$B15)+COUNTIF('12月'!AS4:AS34,$B15)+COUNTIF('12月'!AW4:AW34,$B15)+COUNTIF('12月'!AX4:AX34,$B15)+COUNTIF('12月'!BB4:BB34,$B15)+COUNTIF('12月'!BC4:BC34,$B15)+COUNTIF('12月'!BG4:BG34,$B15)+COUNTIF('12月'!BH4:BH34,$B15)+COUNTIF('12月'!BL4:BL34,$B15)+COUNTIF('12月'!BM4:BM34,$B15)+COUNTIF('12月'!BQ4:BQ34,$B15)+COUNTIF('12月'!BR4:BR34,$B15)+COUNTIF('12月'!BV4:BV34,$B15)+COUNTIF('12月'!BW4:BW34,$B15)+COUNTIF('12月'!CA4:CA34,$B15)+COUNTIF('12月'!CB4:CB34,$B15)+COUNTIF('12月'!CF4:CF34,$B15)+COUNTIF('12月'!CG4:CG34,$B15)+COUNTIF('12月'!CK4:CK34,$B15)+COUNTIF('12月'!CL4:CL34,$B15)+COUNTIF('12月'!CP4:CP34,$B15)+COUNTIF('12月'!CQ4:CQ34,$B15)+COUNTIF('12月'!CU4:CU34,$B15)+COUNTIF('12月'!CV4:CV34,$B15)+COUNTIF('12月'!CZ4:CZ34,$B15)+COUNTIF('12月'!DA4:DA34,$B15)+COUNTIF('12月'!DE4:DE34,$B15)+COUNTIF('12月'!DF4:DF34,$B15)+COUNTIF('12月'!DJ4:DJ34,$B15)+COUNTIF('12月'!DK4:DK34,$B15)+COUNTIF('12月'!DO4:DO34,$B15)+COUNTIF('12月'!DP4:DP34,$B15)+COUNTIF('12月'!DT4:DT34,$B15)+COUNTIF('12月'!DU4:DU34,$B15)+COUNTIF('12月'!DY4:DY34,$B15)+COUNTIF('12月'!DZ4:DZ34,$B15)+COUNTIF('12月'!ED4:ED34,$B15)+COUNTIF('12月'!EE4:EE34,$B15)+COUNTIF('12月'!EI4:EI34,$B15)+COUNTIF('12月'!EJ4:EJ34,$B15)+COUNTIF('12月'!EN4:EN34,$B15)+COUNTIF('12月'!EO4:EO34,$B15)+COUNTIF('12月'!ES4:ES34,$B15)+COUNTIF('12月'!ET4:ET34,$B15)),0)</f>
        <v>0</v>
      </c>
      <c r="O15" s="78">
        <f t="shared" si="0"/>
        <v>0</v>
      </c>
    </row>
    <row r="16" spans="1:15" ht="19.5" customHeight="1">
      <c r="A16" s="76">
        <v>14</v>
      </c>
      <c r="B16" s="77">
        <f>IFERROR(現場マスタ!$C$17,"")</f>
        <v>0</v>
      </c>
      <c r="C16" s="76">
        <f>IFERROR(IF($B16="","",COUNTIF('1月'!D4:D34,$B16)+COUNTIF('1月'!E4:E34,$B16)+COUNTIF('1月'!I4:I34,$B16)+COUNTIF('1月'!J4:J34,$B16)+COUNTIF('1月'!N4:N34,$B16)+COUNTIF('1月'!O4:O34,$B16)+COUNTIF('1月'!S4:S34,$B16)+COUNTIF('1月'!T4:T34,$B16)+COUNTIF('1月'!X4:X34,$B16)+COUNTIF('1月'!Y4:Y34,$B16)+COUNTIF('1月'!AC4:AC34,$B16)+COUNTIF('1月'!AD4:AD34,$B16)+COUNTIF('1月'!AH4:AH34,$B16)+COUNTIF('1月'!AI4:AI34,$B16)+COUNTIF('1月'!AM4:AM34,$B16)+COUNTIF('1月'!AN4:AN34,$B16)+COUNTIF('1月'!AR4:AR34,$B16)+COUNTIF('1月'!AS4:AS34,$B16)+COUNTIF('1月'!AW4:AW34,$B16)+COUNTIF('1月'!AX4:AX34,$B16)+COUNTIF('1月'!BB4:BB34,$B16)+COUNTIF('1月'!BC4:BC34,$B16)+COUNTIF('1月'!BG4:BG34,$B16)+COUNTIF('1月'!BH4:BH34,$B16)+COUNTIF('1月'!BL4:BL34,$B16)+COUNTIF('1月'!BM4:BM34,$B16)+COUNTIF('1月'!BQ4:BQ34,$B16)+COUNTIF('1月'!BR4:BR34,$B16)+COUNTIF('1月'!BV4:BV34,$B16)+COUNTIF('1月'!BW4:BW34,$B16)+COUNTIF('1月'!CA4:CA34,$B16)+COUNTIF('1月'!CB4:CB34,$B16)+COUNTIF('1月'!CF4:CF34,$B16)+COUNTIF('1月'!CG4:CG34,$B16)+COUNTIF('1月'!CK4:CK34,$B16)+COUNTIF('1月'!CL4:CL34,$B16)+COUNTIF('1月'!CP4:CP34,$B16)+COUNTIF('1月'!CQ4:CQ34,$B16)+COUNTIF('1月'!CU4:CU34,$B16)+COUNTIF('1月'!CV4:CV34,$B16)+COUNTIF('1月'!CZ4:CZ34,$B16)+COUNTIF('1月'!DA4:DA34,$B16)+COUNTIF('1月'!DE4:DE34,$B16)+COUNTIF('1月'!DF4:DF34,$B16)+COUNTIF('1月'!DJ4:DJ34,$B16)+COUNTIF('1月'!DK4:DK34,$B16)+COUNTIF('1月'!DO4:DO34,$B16)+COUNTIF('1月'!DP4:DP34,$B16)+COUNTIF('1月'!DT4:DT34,$B16)+COUNTIF('1月'!DU4:DU34,$B16)+COUNTIF('1月'!DY4:DY34,$B16)+COUNTIF('1月'!DZ4:DZ34,$B16)+COUNTIF('1月'!ED4:ED34,$B16)+COUNTIF('1月'!EE4:EE34,$B16)+COUNTIF('1月'!EI4:EI34,$B16)+COUNTIF('1月'!EJ4:EJ34,$B16)+COUNTIF('1月'!EN4:EN34,$B16)+COUNTIF('1月'!EO4:EO34,$B16)+COUNTIF('1月'!ES4:ES34,$B16)+COUNTIF('1月'!ET4:ET34,$B16)),0)</f>
        <v>0</v>
      </c>
      <c r="D16" s="76">
        <f>IFERROR(IF($B16="","",COUNTIF('2月'!D4:D34,$B16)+COUNTIF('2月'!E4:E34,$B16)+COUNTIF('2月'!I4:I34,$B16)+COUNTIF('2月'!J4:J34,$B16)+COUNTIF('2月'!N4:N34,$B16)+COUNTIF('2月'!O4:O34,$B16)+COUNTIF('2月'!S4:S34,$B16)+COUNTIF('2月'!T4:T34,$B16)+COUNTIF('2月'!X4:X34,$B16)+COUNTIF('2月'!Y4:Y34,$B16)+COUNTIF('2月'!AC4:AC34,$B16)+COUNTIF('2月'!AD4:AD34,$B16)+COUNTIF('2月'!AH4:AH34,$B16)+COUNTIF('2月'!AI4:AI34,$B16)+COUNTIF('2月'!AM4:AM34,$B16)+COUNTIF('2月'!AN4:AN34,$B16)+COUNTIF('2月'!AR4:AR34,$B16)+COUNTIF('2月'!AS4:AS34,$B16)+COUNTIF('2月'!AW4:AW34,$B16)+COUNTIF('2月'!AX4:AX34,$B16)+COUNTIF('2月'!BB4:BB34,$B16)+COUNTIF('2月'!BC4:BC34,$B16)+COUNTIF('2月'!BG4:BG34,$B16)+COUNTIF('2月'!BH4:BH34,$B16)+COUNTIF('2月'!BL4:BL34,$B16)+COUNTIF('2月'!BM4:BM34,$B16)+COUNTIF('2月'!BQ4:BQ34,$B16)+COUNTIF('2月'!BR4:BR34,$B16)+COUNTIF('2月'!BV4:BV34,$B16)+COUNTIF('2月'!BW4:BW34,$B16)+COUNTIF('2月'!CA4:CA34,$B16)+COUNTIF('2月'!CB4:CB34,$B16)+COUNTIF('2月'!CF4:CF34,$B16)+COUNTIF('2月'!CG4:CG34,$B16)+COUNTIF('2月'!CK4:CK34,$B16)+COUNTIF('2月'!CL4:CL34,$B16)+COUNTIF('2月'!CP4:CP34,$B16)+COUNTIF('2月'!CQ4:CQ34,$B16)+COUNTIF('2月'!CU4:CU34,$B16)+COUNTIF('2月'!CV4:CV34,$B16)+COUNTIF('2月'!CZ4:CZ34,$B16)+COUNTIF('2月'!DA4:DA34,$B16)+COUNTIF('2月'!DE4:DE34,$B16)+COUNTIF('2月'!DF4:DF34,$B16)+COUNTIF('2月'!DJ4:DJ34,$B16)+COUNTIF('2月'!DK4:DK34,$B16)+COUNTIF('2月'!DO4:DO34,$B16)+COUNTIF('2月'!DP4:DP34,$B16)+COUNTIF('2月'!DT4:DT34,$B16)+COUNTIF('2月'!DU4:DU34,$B16)+COUNTIF('2月'!DY4:DY34,$B16)+COUNTIF('2月'!DZ4:DZ34,$B16)+COUNTIF('2月'!ED4:ED34,$B16)+COUNTIF('2月'!EE4:EE34,$B16)+COUNTIF('2月'!EI4:EI34,$B16)+COUNTIF('2月'!EJ4:EJ34,$B16)+COUNTIF('2月'!EN4:EN34,$B16)+COUNTIF('2月'!EO4:EO34,$B16)+COUNTIF('2月'!ES4:ES34,$B16)+COUNTIF('2月'!ET4:ET34,$B16)),0)</f>
        <v>0</v>
      </c>
      <c r="E16" s="76">
        <f>IFERROR(IF($B16="","",COUNTIF('3月'!D4:D34,$B16)+COUNTIF('3月'!E4:E34,$B16)+COUNTIF('3月'!I4:I34,$B16)+COUNTIF('3月'!J4:J34,$B16)+COUNTIF('3月'!N4:N34,$B16)+COUNTIF('3月'!O4:O34,$B16)+COUNTIF('3月'!S4:S34,$B16)+COUNTIF('3月'!T4:T34,$B16)+COUNTIF('3月'!X4:X34,$B16)+COUNTIF('3月'!Y4:Y34,$B16)+COUNTIF('3月'!AC4:AC34,$B16)+COUNTIF('3月'!AD4:AD34,$B16)+COUNTIF('3月'!AH4:AH34,$B16)+COUNTIF('3月'!AI4:AI34,$B16)+COUNTIF('3月'!AM4:AM34,$B16)+COUNTIF('3月'!AN4:AN34,$B16)+COUNTIF('3月'!AR4:AR34,$B16)+COUNTIF('3月'!AS4:AS34,$B16)+COUNTIF('3月'!AW4:AW34,$B16)+COUNTIF('3月'!AX4:AX34,$B16)+COUNTIF('3月'!BB4:BB34,$B16)+COUNTIF('3月'!BC4:BC34,$B16)+COUNTIF('3月'!BG4:BG34,$B16)+COUNTIF('3月'!BH4:BH34,$B16)+COUNTIF('3月'!BL4:BL34,$B16)+COUNTIF('3月'!BM4:BM34,$B16)+COUNTIF('3月'!BQ4:BQ34,$B16)+COUNTIF('3月'!BR4:BR34,$B16)+COUNTIF('3月'!BV4:BV34,$B16)+COUNTIF('3月'!BW4:BW34,$B16)+COUNTIF('3月'!CA4:CA34,$B16)+COUNTIF('3月'!CB4:CB34,$B16)+COUNTIF('3月'!CF4:CF34,$B16)+COUNTIF('3月'!CG4:CG34,$B16)+COUNTIF('3月'!CK4:CK34,$B16)+COUNTIF('3月'!CL4:CL34,$B16)+COUNTIF('3月'!CP4:CP34,$B16)+COUNTIF('3月'!CQ4:CQ34,$B16)+COUNTIF('3月'!CU4:CU34,$B16)+COUNTIF('3月'!CV4:CV34,$B16)+COUNTIF('3月'!CZ4:CZ34,$B16)+COUNTIF('3月'!DA4:DA34,$B16)+COUNTIF('3月'!DE4:DE34,$B16)+COUNTIF('3月'!DF4:DF34,$B16)+COUNTIF('3月'!DJ4:DJ34,$B16)+COUNTIF('3月'!DK4:DK34,$B16)+COUNTIF('3月'!DO4:DO34,$B16)+COUNTIF('3月'!DP4:DP34,$B16)+COUNTIF('3月'!DT4:DT34,$B16)+COUNTIF('3月'!DU4:DU34,$B16)+COUNTIF('3月'!DY4:DY34,$B16)+COUNTIF('3月'!DZ4:DZ34,$B16)+COUNTIF('3月'!ED4:ED34,$B16)+COUNTIF('3月'!EE4:EE34,$B16)+COUNTIF('3月'!EI4:EI34,$B16)+COUNTIF('3月'!EJ4:EJ34,$B16)+COUNTIF('3月'!EN4:EN34,$B16)+COUNTIF('3月'!EO4:EO34,$B16)+COUNTIF('3月'!ES4:ES34,$B16)+COUNTIF('3月'!ET4:ET34,$B16)),0)</f>
        <v>0</v>
      </c>
      <c r="F16" s="76">
        <f>IFERROR(IF($B16="","",COUNTIF('4月'!D4:D34,$B16)+COUNTIF('4月'!E4:E34,$B16)+COUNTIF('4月'!I4:I34,$B16)+COUNTIF('4月'!J4:J34,$B16)+COUNTIF('4月'!N4:N34,$B16)+COUNTIF('4月'!O4:O34,$B16)+COUNTIF('4月'!S4:S34,$B16)+COUNTIF('4月'!T4:T34,$B16)+COUNTIF('4月'!X4:X34,$B16)+COUNTIF('4月'!Y4:Y34,$B16)+COUNTIF('4月'!AC4:AC34,$B16)+COUNTIF('4月'!AD4:AD34,$B16)+COUNTIF('4月'!AH4:AH34,$B16)+COUNTIF('4月'!AI4:AI34,$B16)+COUNTIF('4月'!AM4:AM34,$B16)+COUNTIF('4月'!AN4:AN34,$B16)+COUNTIF('4月'!AR4:AR34,$B16)+COUNTIF('4月'!AS4:AS34,$B16)+COUNTIF('4月'!AW4:AW34,$B16)+COUNTIF('4月'!AX4:AX34,$B16)+COUNTIF('4月'!BB4:BB34,$B16)+COUNTIF('4月'!BC4:BC34,$B16)+COUNTIF('4月'!BG4:BG34,$B16)+COUNTIF('4月'!BH4:BH34,$B16)+COUNTIF('4月'!BL4:BL34,$B16)+COUNTIF('4月'!BM4:BM34,$B16)+COUNTIF('4月'!BQ4:BQ34,$B16)+COUNTIF('4月'!BR4:BR34,$B16)+COUNTIF('4月'!BV4:BV34,$B16)+COUNTIF('4月'!BW4:BW34,$B16)+COUNTIF('4月'!CA4:CA34,$B16)+COUNTIF('4月'!CB4:CB34,$B16)+COUNTIF('4月'!CF4:CF34,$B16)+COUNTIF('4月'!CG4:CG34,$B16)+COUNTIF('4月'!CK4:CK34,$B16)+COUNTIF('4月'!CL4:CL34,$B16)+COUNTIF('4月'!CP4:CP34,$B16)+COUNTIF('4月'!CQ4:CQ34,$B16)+COUNTIF('4月'!CU4:CU34,$B16)+COUNTIF('4月'!CV4:CV34,$B16)+COUNTIF('4月'!CZ4:CZ34,$B16)+COUNTIF('4月'!DA4:DA34,$B16)+COUNTIF('4月'!DE4:DE34,$B16)+COUNTIF('4月'!DF4:DF34,$B16)+COUNTIF('4月'!DJ4:DJ34,$B16)+COUNTIF('4月'!DK4:DK34,$B16)+COUNTIF('4月'!DO4:DO34,$B16)+COUNTIF('4月'!DP4:DP34,$B16)+COUNTIF('4月'!DT4:DT34,$B16)+COUNTIF('4月'!DU4:DU34,$B16)+COUNTIF('4月'!DY4:DY34,$B16)+COUNTIF('4月'!DZ4:DZ34,$B16)+COUNTIF('4月'!ED4:ED34,$B16)+COUNTIF('4月'!EE4:EE34,$B16)+COUNTIF('4月'!EI4:EI34,$B16)+COUNTIF('4月'!EJ4:EJ34,$B16)+COUNTIF('4月'!EN4:EN34,$B16)+COUNTIF('4月'!EO4:EO34,$B16)+COUNTIF('4月'!ES4:ES34,$B16)+COUNTIF('4月'!ET4:ET34,$B16)),0)</f>
        <v>0</v>
      </c>
      <c r="G16" s="76">
        <f>IFERROR(IF($B16="","",COUNTIF('5月'!D4:D34,$B16)+COUNTIF('5月'!E4:E34,$B16)+COUNTIF('5月'!I4:I34,$B16)+COUNTIF('5月'!J4:J34,$B16)+COUNTIF('5月'!N4:N34,$B16)+COUNTIF('5月'!O4:O34,$B16)+COUNTIF('5月'!S4:S34,$B16)+COUNTIF('5月'!T4:T34,$B16)+COUNTIF('5月'!X4:X34,$B16)+COUNTIF('5月'!Y4:Y34,$B16)+COUNTIF('5月'!AC4:AC34,$B16)+COUNTIF('5月'!AD4:AD34,$B16)+COUNTIF('5月'!AH4:AH34,$B16)+COUNTIF('5月'!AI4:AI34,$B16)+COUNTIF('5月'!AM4:AM34,$B16)+COUNTIF('5月'!AN4:AN34,$B16)+COUNTIF('5月'!AR4:AR34,$B16)+COUNTIF('5月'!AS4:AS34,$B16)+COUNTIF('5月'!AW4:AW34,$B16)+COUNTIF('5月'!AX4:AX34,$B16)+COUNTIF('5月'!BB4:BB34,$B16)+COUNTIF('5月'!BC4:BC34,$B16)+COUNTIF('5月'!BG4:BG34,$B16)+COUNTIF('5月'!BH4:BH34,$B16)+COUNTIF('5月'!BL4:BL34,$B16)+COUNTIF('5月'!BM4:BM34,$B16)+COUNTIF('5月'!BQ4:BQ34,$B16)+COUNTIF('5月'!BR4:BR34,$B16)+COUNTIF('5月'!BV4:BV34,$B16)+COUNTIF('5月'!BW4:BW34,$B16)+COUNTIF('5月'!CA4:CA34,$B16)+COUNTIF('5月'!CB4:CB34,$B16)+COUNTIF('5月'!CF4:CF34,$B16)+COUNTIF('5月'!CG4:CG34,$B16)+COUNTIF('5月'!CK4:CK34,$B16)+COUNTIF('5月'!CL4:CL34,$B16)+COUNTIF('5月'!CP4:CP34,$B16)+COUNTIF('5月'!CQ4:CQ34,$B16)+COUNTIF('5月'!CU4:CU34,$B16)+COUNTIF('5月'!CV4:CV34,$B16)+COUNTIF('5月'!CZ4:CZ34,$B16)+COUNTIF('5月'!DA4:DA34,$B16)+COUNTIF('5月'!DE4:DE34,$B16)+COUNTIF('5月'!DF4:DF34,$B16)+COUNTIF('5月'!DJ4:DJ34,$B16)+COUNTIF('5月'!DK4:DK34,$B16)+COUNTIF('5月'!DO4:DO34,$B16)+COUNTIF('5月'!DP4:DP34,$B16)+COUNTIF('5月'!DT4:DT34,$B16)+COUNTIF('5月'!DU4:DU34,$B16)+COUNTIF('5月'!DY4:DY34,$B16)+COUNTIF('5月'!DZ4:DZ34,$B16)+COUNTIF('5月'!ED4:ED34,$B16)+COUNTIF('5月'!EE4:EE34,$B16)+COUNTIF('5月'!EI4:EI34,$B16)+COUNTIF('5月'!EJ4:EJ34,$B16)+COUNTIF('5月'!EN4:EN34,$B16)+COUNTIF('5月'!EO4:EO34,$B16)+COUNTIF('5月'!ES4:ES34,$B16)+COUNTIF('5月'!ET4:ET34,$B16)),0)</f>
        <v>0</v>
      </c>
      <c r="H16" s="76">
        <f>IFERROR(IF($B16="","",COUNTIF('6月'!D4:D34,$B16)+COUNTIF('6月'!E4:E34,$B16)+COUNTIF('6月'!I4:I34,$B16)+COUNTIF('6月'!J4:J34,$B16)+COUNTIF('6月'!N4:N34,$B16)+COUNTIF('6月'!O4:O34,$B16)+COUNTIF('6月'!S4:S34,$B16)+COUNTIF('6月'!T4:T34,$B16)+COUNTIF('6月'!X4:X34,$B16)+COUNTIF('6月'!Y4:Y34,$B16)+COUNTIF('6月'!AC4:AC34,$B16)+COUNTIF('6月'!AD4:AD34,$B16)+COUNTIF('6月'!AH4:AH34,$B16)+COUNTIF('6月'!AI4:AI34,$B16)+COUNTIF('6月'!AM4:AM34,$B16)+COUNTIF('6月'!AN4:AN34,$B16)+COUNTIF('6月'!AR4:AR34,$B16)+COUNTIF('6月'!AS4:AS34,$B16)+COUNTIF('6月'!AW4:AW34,$B16)+COUNTIF('6月'!AX4:AX34,$B16)+COUNTIF('6月'!BB4:BB34,$B16)+COUNTIF('6月'!BC4:BC34,$B16)+COUNTIF('6月'!BG4:BG34,$B16)+COUNTIF('6月'!BH4:BH34,$B16)+COUNTIF('6月'!BL4:BL34,$B16)+COUNTIF('6月'!BM4:BM34,$B16)+COUNTIF('6月'!BQ4:BQ34,$B16)+COUNTIF('6月'!BR4:BR34,$B16)+COUNTIF('6月'!BV4:BV34,$B16)+COUNTIF('6月'!BW4:BW34,$B16)+COUNTIF('6月'!CA4:CA34,$B16)+COUNTIF('6月'!CB4:CB34,$B16)+COUNTIF('6月'!CF4:CF34,$B16)+COUNTIF('6月'!CG4:CG34,$B16)+COUNTIF('6月'!CK4:CK34,$B16)+COUNTIF('6月'!CL4:CL34,$B16)+COUNTIF('6月'!CP4:CP34,$B16)+COUNTIF('6月'!CQ4:CQ34,$B16)+COUNTIF('6月'!CU4:CU34,$B16)+COUNTIF('6月'!CV4:CV34,$B16)+COUNTIF('6月'!CZ4:CZ34,$B16)+COUNTIF('6月'!DA4:DA34,$B16)+COUNTIF('6月'!DE4:DE34,$B16)+COUNTIF('6月'!DF4:DF34,$B16)+COUNTIF('6月'!DJ4:DJ34,$B16)+COUNTIF('6月'!DK4:DK34,$B16)+COUNTIF('6月'!DO4:DO34,$B16)+COUNTIF('6月'!DP4:DP34,$B16)+COUNTIF('6月'!DT4:DT34,$B16)+COUNTIF('6月'!DU4:DU34,$B16)+COUNTIF('6月'!DY4:DY34,$B16)+COUNTIF('6月'!DZ4:DZ34,$B16)+COUNTIF('6月'!ED4:ED34,$B16)+COUNTIF('6月'!EE4:EE34,$B16)+COUNTIF('6月'!EI4:EI34,$B16)+COUNTIF('6月'!EJ4:EJ34,$B16)+COUNTIF('6月'!EN4:EN34,$B16)+COUNTIF('6月'!EO4:EO34,$B16)+COUNTIF('6月'!ES4:ES34,$B16)+COUNTIF('6月'!ET4:ET34,$B16)),0)</f>
        <v>0</v>
      </c>
      <c r="I16" s="76">
        <f>IFERROR(IF($B16="","",COUNTIF('7月'!D4:D34,$B16)+COUNTIF('7月'!E4:E34,$B16)+COUNTIF('7月'!I4:I34,$B16)+COUNTIF('7月'!J4:J34,$B16)+COUNTIF('7月'!N4:N34,$B16)+COUNTIF('7月'!O4:O34,$B16)+COUNTIF('7月'!S4:S34,$B16)+COUNTIF('7月'!T4:T34,$B16)+COUNTIF('7月'!X4:X34,$B16)+COUNTIF('7月'!Y4:Y34,$B16)+COUNTIF('7月'!AC4:AC34,$B16)+COUNTIF('7月'!AD4:AD34,$B16)+COUNTIF('7月'!AH4:AH34,$B16)+COUNTIF('7月'!AI4:AI34,$B16)+COUNTIF('7月'!AM4:AM34,$B16)+COUNTIF('7月'!AN4:AN34,$B16)+COUNTIF('7月'!AR4:AR34,$B16)+COUNTIF('7月'!AS4:AS34,$B16)+COUNTIF('7月'!AW4:AW34,$B16)+COUNTIF('7月'!AX4:AX34,$B16)+COUNTIF('7月'!BB4:BB34,$B16)+COUNTIF('7月'!BC4:BC34,$B16)+COUNTIF('7月'!BG4:BG34,$B16)+COUNTIF('7月'!BH4:BH34,$B16)+COUNTIF('7月'!BL4:BL34,$B16)+COUNTIF('7月'!BM4:BM34,$B16)+COUNTIF('7月'!BQ4:BQ34,$B16)+COUNTIF('7月'!BR4:BR34,$B16)+COUNTIF('7月'!BV4:BV34,$B16)+COUNTIF('7月'!BW4:BW34,$B16)+COUNTIF('7月'!CA4:CA34,$B16)+COUNTIF('7月'!CB4:CB34,$B16)+COUNTIF('7月'!CF4:CF34,$B16)+COUNTIF('7月'!CG4:CG34,$B16)+COUNTIF('7月'!CK4:CK34,$B16)+COUNTIF('7月'!CL4:CL34,$B16)+COUNTIF('7月'!CP4:CP34,$B16)+COUNTIF('7月'!CQ4:CQ34,$B16)+COUNTIF('7月'!CU4:CU34,$B16)+COUNTIF('7月'!CV4:CV34,$B16)+COUNTIF('7月'!CZ4:CZ34,$B16)+COUNTIF('7月'!DA4:DA34,$B16)+COUNTIF('7月'!DE4:DE34,$B16)+COUNTIF('7月'!DF4:DF34,$B16)+COUNTIF('7月'!DJ4:DJ34,$B16)+COUNTIF('7月'!DK4:DK34,$B16)+COUNTIF('7月'!DO4:DO34,$B16)+COUNTIF('7月'!DP4:DP34,$B16)+COUNTIF('7月'!DT4:DT34,$B16)+COUNTIF('7月'!DU4:DU34,$B16)+COUNTIF('7月'!DY4:DY34,$B16)+COUNTIF('7月'!DZ4:DZ34,$B16)+COUNTIF('7月'!ED4:ED34,$B16)+COUNTIF('7月'!EE4:EE34,$B16)+COUNTIF('7月'!EI4:EI34,$B16)+COUNTIF('7月'!EJ4:EJ34,$B16)+COUNTIF('7月'!EN4:EN34,$B16)+COUNTIF('7月'!EO4:EO34,$B16)+COUNTIF('7月'!ES4:ES34,$B16)+COUNTIF('7月'!ET4:ET34,$B16)),0)</f>
        <v>0</v>
      </c>
      <c r="J16" s="76">
        <f>IFERROR(IF($B16="","",COUNTIF('8月'!D4:D34,$B16)+COUNTIF('8月'!E4:E34,$B16)+COUNTIF('8月'!I4:I34,$B16)+COUNTIF('8月'!J4:J34,$B16)+COUNTIF('8月'!N4:N34,$B16)+COUNTIF('8月'!O4:O34,$B16)+COUNTIF('8月'!S4:S34,$B16)+COUNTIF('8月'!T4:T34,$B16)+COUNTIF('8月'!X4:X34,$B16)+COUNTIF('8月'!Y4:Y34,$B16)+COUNTIF('8月'!AC4:AC34,$B16)+COUNTIF('8月'!AD4:AD34,$B16)+COUNTIF('8月'!AH4:AH34,$B16)+COUNTIF('8月'!AI4:AI34,$B16)+COUNTIF('8月'!AM4:AM34,$B16)+COUNTIF('8月'!AN4:AN34,$B16)+COUNTIF('8月'!AR4:AR34,$B16)+COUNTIF('8月'!AS4:AS34,$B16)+COUNTIF('8月'!AW4:AW34,$B16)+COUNTIF('8月'!AX4:AX34,$B16)+COUNTIF('8月'!BB4:BB34,$B16)+COUNTIF('8月'!BC4:BC34,$B16)+COUNTIF('8月'!BG4:BG34,$B16)+COUNTIF('8月'!BH4:BH34,$B16)+COUNTIF('8月'!BL4:BL34,$B16)+COUNTIF('8月'!BM4:BM34,$B16)+COUNTIF('8月'!BQ4:BQ34,$B16)+COUNTIF('8月'!BR4:BR34,$B16)+COUNTIF('8月'!BV4:BV34,$B16)+COUNTIF('8月'!BW4:BW34,$B16)+COUNTIF('8月'!CA4:CA34,$B16)+COUNTIF('8月'!CB4:CB34,$B16)+COUNTIF('8月'!CF4:CF34,$B16)+COUNTIF('8月'!CG4:CG34,$B16)+COUNTIF('8月'!CK4:CK34,$B16)+COUNTIF('8月'!CL4:CL34,$B16)+COUNTIF('8月'!CP4:CP34,$B16)+COUNTIF('8月'!CQ4:CQ34,$B16)+COUNTIF('8月'!CU4:CU34,$B16)+COUNTIF('8月'!CV4:CV34,$B16)+COUNTIF('8月'!CZ4:CZ34,$B16)+COUNTIF('8月'!DA4:DA34,$B16)+COUNTIF('8月'!DE4:DE34,$B16)+COUNTIF('8月'!DF4:DF34,$B16)+COUNTIF('8月'!DJ4:DJ34,$B16)+COUNTIF('8月'!DK4:DK34,$B16)+COUNTIF('8月'!DO4:DO34,$B16)+COUNTIF('8月'!DP4:DP34,$B16)+COUNTIF('8月'!DT4:DT34,$B16)+COUNTIF('8月'!DU4:DU34,$B16)+COUNTIF('8月'!DY4:DY34,$B16)+COUNTIF('8月'!DZ4:DZ34,$B16)+COUNTIF('8月'!ED4:ED34,$B16)+COUNTIF('8月'!EE4:EE34,$B16)+COUNTIF('8月'!EI4:EI34,$B16)+COUNTIF('8月'!EJ4:EJ34,$B16)+COUNTIF('8月'!EN4:EN34,$B16)+COUNTIF('8月'!EO4:EO34,$B16)+COUNTIF('8月'!ES4:ES34,$B16)+COUNTIF('8月'!ET4:ET34,$B16)),0)</f>
        <v>0</v>
      </c>
      <c r="K16" s="76">
        <f>IFERROR(IF($B16="","",COUNTIF('9月'!D4:D34,$B16)+COUNTIF('9月'!E4:E34,$B16)+COUNTIF('9月'!I4:I34,$B16)+COUNTIF('9月'!J4:J34,$B16)+COUNTIF('9月'!N4:N34,$B16)+COUNTIF('9月'!O4:O34,$B16)+COUNTIF('9月'!S4:S34,$B16)+COUNTIF('9月'!T4:T34,$B16)+COUNTIF('9月'!X4:X34,$B16)+COUNTIF('9月'!Y4:Y34,$B16)+COUNTIF('9月'!AC4:AC34,$B16)+COUNTIF('9月'!AD4:AD34,$B16)+COUNTIF('9月'!AH4:AH34,$B16)+COUNTIF('9月'!AI4:AI34,$B16)+COUNTIF('9月'!AM4:AM34,$B16)+COUNTIF('9月'!AN4:AN34,$B16)+COUNTIF('9月'!AR4:AR34,$B16)+COUNTIF('9月'!AS4:AS34,$B16)+COUNTIF('9月'!AW4:AW34,$B16)+COUNTIF('9月'!AX4:AX34,$B16)+COUNTIF('9月'!BB4:BB34,$B16)+COUNTIF('9月'!BC4:BC34,$B16)+COUNTIF('9月'!BG4:BG34,$B16)+COUNTIF('9月'!BH4:BH34,$B16)+COUNTIF('9月'!BL4:BL34,$B16)+COUNTIF('9月'!BM4:BM34,$B16)+COUNTIF('9月'!BQ4:BQ34,$B16)+COUNTIF('9月'!BR4:BR34,$B16)+COUNTIF('9月'!BV4:BV34,$B16)+COUNTIF('9月'!BW4:BW34,$B16)+COUNTIF('9月'!CA4:CA34,$B16)+COUNTIF('9月'!CB4:CB34,$B16)+COUNTIF('9月'!CF4:CF34,$B16)+COUNTIF('9月'!CG4:CG34,$B16)+COUNTIF('9月'!CK4:CK34,$B16)+COUNTIF('9月'!CL4:CL34,$B16)+COUNTIF('9月'!CP4:CP34,$B16)+COUNTIF('9月'!CQ4:CQ34,$B16)+COUNTIF('9月'!CU4:CU34,$B16)+COUNTIF('9月'!CV4:CV34,$B16)+COUNTIF('9月'!CZ4:CZ34,$B16)+COUNTIF('9月'!DA4:DA34,$B16)+COUNTIF('9月'!DE4:DE34,$B16)+COUNTIF('9月'!DF4:DF34,$B16)+COUNTIF('9月'!DJ4:DJ34,$B16)+COUNTIF('9月'!DK4:DK34,$B16)+COUNTIF('9月'!DO4:DO34,$B16)+COUNTIF('9月'!DP4:DP34,$B16)+COUNTIF('9月'!DT4:DT34,$B16)+COUNTIF('9月'!DU4:DU34,$B16)+COUNTIF('9月'!DY4:DY34,$B16)+COUNTIF('9月'!DZ4:DZ34,$B16)+COUNTIF('9月'!ED4:ED34,$B16)+COUNTIF('9月'!EE4:EE34,$B16)+COUNTIF('9月'!EI4:EI34,$B16)+COUNTIF('9月'!EJ4:EJ34,$B16)+COUNTIF('9月'!EN4:EN34,$B16)+COUNTIF('9月'!EO4:EO34,$B16)+COUNTIF('9月'!ES4:ES34,$B16)+COUNTIF('9月'!ET4:ET34,$B16)),0)</f>
        <v>0</v>
      </c>
      <c r="L16" s="76">
        <f>IFERROR(IF($B16="","",COUNTIF('10月'!D4:D34,$B16)+COUNTIF('10月'!E4:E34,$B16)+COUNTIF('10月'!I4:I34,$B16)+COUNTIF('10月'!J4:J34,$B16)+COUNTIF('10月'!N4:N34,$B16)+COUNTIF('10月'!O4:O34,$B16)+COUNTIF('10月'!S4:S34,$B16)+COUNTIF('10月'!T4:T34,$B16)+COUNTIF('10月'!X4:X34,$B16)+COUNTIF('10月'!Y4:Y34,$B16)+COUNTIF('10月'!AC4:AC34,$B16)+COUNTIF('10月'!AD4:AD34,$B16)+COUNTIF('10月'!AH4:AH34,$B16)+COUNTIF('10月'!AI4:AI34,$B16)+COUNTIF('10月'!AM4:AM34,$B16)+COUNTIF('10月'!AN4:AN34,$B16)+COUNTIF('10月'!AR4:AR34,$B16)+COUNTIF('10月'!AS4:AS34,$B16)+COUNTIF('10月'!AW4:AW34,$B16)+COUNTIF('10月'!AX4:AX34,$B16)+COUNTIF('10月'!BB4:BB34,$B16)+COUNTIF('10月'!BC4:BC34,$B16)+COUNTIF('10月'!BG4:BG34,$B16)+COUNTIF('10月'!BH4:BH34,$B16)+COUNTIF('10月'!BL4:BL34,$B16)+COUNTIF('10月'!BM4:BM34,$B16)+COUNTIF('10月'!BQ4:BQ34,$B16)+COUNTIF('10月'!BR4:BR34,$B16)+COUNTIF('10月'!BV4:BV34,$B16)+COUNTIF('10月'!BW4:BW34,$B16)+COUNTIF('10月'!CA4:CA34,$B16)+COUNTIF('10月'!CB4:CB34,$B16)+COUNTIF('10月'!CF4:CF34,$B16)+COUNTIF('10月'!CG4:CG34,$B16)+COUNTIF('10月'!CK4:CK34,$B16)+COUNTIF('10月'!CL4:CL34,$B16)+COUNTIF('10月'!CP4:CP34,$B16)+COUNTIF('10月'!CQ4:CQ34,$B16)+COUNTIF('10月'!CU4:CU34,$B16)+COUNTIF('10月'!CV4:CV34,$B16)+COUNTIF('10月'!CZ4:CZ34,$B16)+COUNTIF('10月'!DA4:DA34,$B16)+COUNTIF('10月'!DE4:DE34,$B16)+COUNTIF('10月'!DF4:DF34,$B16)+COUNTIF('10月'!DJ4:DJ34,$B16)+COUNTIF('10月'!DK4:DK34,$B16)+COUNTIF('10月'!DO4:DO34,$B16)+COUNTIF('10月'!DP4:DP34,$B16)+COUNTIF('10月'!DT4:DT34,$B16)+COUNTIF('10月'!DU4:DU34,$B16)+COUNTIF('10月'!DY4:DY34,$B16)+COUNTIF('10月'!DZ4:DZ34,$B16)+COUNTIF('10月'!ED4:ED34,$B16)+COUNTIF('10月'!EE4:EE34,$B16)+COUNTIF('10月'!EI4:EI34,$B16)+COUNTIF('10月'!EJ4:EJ34,$B16)+COUNTIF('10月'!EN4:EN34,$B16)+COUNTIF('10月'!EO4:EO34,$B16)+COUNTIF('10月'!ES4:ES34,$B16)+COUNTIF('10月'!ET4:ET34,$B16)),0)</f>
        <v>0</v>
      </c>
      <c r="M16" s="76">
        <f>IFERROR(IF($B16="","",COUNTIF('11月'!D4:D34,$B16)+COUNTIF('11月'!E4:E34,$B16)+COUNTIF('11月'!I4:I34,$B16)+COUNTIF('11月'!J4:J34,$B16)+COUNTIF('11月'!N4:N34,$B16)+COUNTIF('11月'!O4:O34,$B16)+COUNTIF('11月'!S4:S34,$B16)+COUNTIF('11月'!T4:T34,$B16)+COUNTIF('11月'!X4:X34,$B16)+COUNTIF('11月'!Y4:Y34,$B16)+COUNTIF('11月'!AC4:AC34,$B16)+COUNTIF('11月'!AD4:AD34,$B16)+COUNTIF('11月'!AH4:AH34,$B16)+COUNTIF('11月'!AI4:AI34,$B16)+COUNTIF('11月'!AM4:AM34,$B16)+COUNTIF('11月'!AN4:AN34,$B16)+COUNTIF('11月'!AR4:AR34,$B16)+COUNTIF('11月'!AS4:AS34,$B16)+COUNTIF('11月'!AW4:AW34,$B16)+COUNTIF('11月'!AX4:AX34,$B16)+COUNTIF('11月'!BB4:BB34,$B16)+COUNTIF('11月'!BC4:BC34,$B16)+COUNTIF('11月'!BG4:BG34,$B16)+COUNTIF('11月'!BH4:BH34,$B16)+COUNTIF('11月'!BL4:BL34,$B16)+COUNTIF('11月'!BM4:BM34,$B16)+COUNTIF('11月'!BQ4:BQ34,$B16)+COUNTIF('11月'!BR4:BR34,$B16)+COUNTIF('11月'!BV4:BV34,$B16)+COUNTIF('11月'!BW4:BW34,$B16)+COUNTIF('11月'!CA4:CA34,$B16)+COUNTIF('11月'!CB4:CB34,$B16)+COUNTIF('11月'!CF4:CF34,$B16)+COUNTIF('11月'!CG4:CG34,$B16)+COUNTIF('11月'!CK4:CK34,$B16)+COUNTIF('11月'!CL4:CL34,$B16)+COUNTIF('11月'!CP4:CP34,$B16)+COUNTIF('11月'!CQ4:CQ34,$B16)+COUNTIF('11月'!CU4:CU34,$B16)+COUNTIF('11月'!CV4:CV34,$B16)+COUNTIF('11月'!CZ4:CZ34,$B16)+COUNTIF('11月'!DA4:DA34,$B16)+COUNTIF('11月'!DE4:DE34,$B16)+COUNTIF('11月'!DF4:DF34,$B16)+COUNTIF('11月'!DJ4:DJ34,$B16)+COUNTIF('11月'!DK4:DK34,$B16)+COUNTIF('11月'!DO4:DO34,$B16)+COUNTIF('11月'!DP4:DP34,$B16)+COUNTIF('11月'!DT4:DT34,$B16)+COUNTIF('11月'!DU4:DU34,$B16)+COUNTIF('11月'!DY4:DY34,$B16)+COUNTIF('11月'!DZ4:DZ34,$B16)+COUNTIF('11月'!ED4:ED34,$B16)+COUNTIF('11月'!EE4:EE34,$B16)+COUNTIF('11月'!EI4:EI34,$B16)+COUNTIF('11月'!EJ4:EJ34,$B16)+COUNTIF('11月'!EN4:EN34,$B16)+COUNTIF('11月'!EO4:EO34,$B16)+COUNTIF('11月'!ES4:ES34,$B16)+COUNTIF('11月'!ET4:ET34,$B16)),0)</f>
        <v>0</v>
      </c>
      <c r="N16" s="76">
        <f>IFERROR(IF($B16="","",COUNTIF('12月'!D4:D34,$B16)+COUNTIF('12月'!E4:E34,$B16)+COUNTIF('12月'!I4:I34,$B16)+COUNTIF('12月'!J4:J34,$B16)+COUNTIF('12月'!N4:N34,$B16)+COUNTIF('12月'!O4:O34,$B16)+COUNTIF('12月'!S4:S34,$B16)+COUNTIF('12月'!T4:T34,$B16)+COUNTIF('12月'!X4:X34,$B16)+COUNTIF('12月'!Y4:Y34,$B16)+COUNTIF('12月'!AC4:AC34,$B16)+COUNTIF('12月'!AD4:AD34,$B16)+COUNTIF('12月'!AH4:AH34,$B16)+COUNTIF('12月'!AI4:AI34,$B16)+COUNTIF('12月'!AM4:AM34,$B16)+COUNTIF('12月'!AN4:AN34,$B16)+COUNTIF('12月'!AR4:AR34,$B16)+COUNTIF('12月'!AS4:AS34,$B16)+COUNTIF('12月'!AW4:AW34,$B16)+COUNTIF('12月'!AX4:AX34,$B16)+COUNTIF('12月'!BB4:BB34,$B16)+COUNTIF('12月'!BC4:BC34,$B16)+COUNTIF('12月'!BG4:BG34,$B16)+COUNTIF('12月'!BH4:BH34,$B16)+COUNTIF('12月'!BL4:BL34,$B16)+COUNTIF('12月'!BM4:BM34,$B16)+COUNTIF('12月'!BQ4:BQ34,$B16)+COUNTIF('12月'!BR4:BR34,$B16)+COUNTIF('12月'!BV4:BV34,$B16)+COUNTIF('12月'!BW4:BW34,$B16)+COUNTIF('12月'!CA4:CA34,$B16)+COUNTIF('12月'!CB4:CB34,$B16)+COUNTIF('12月'!CF4:CF34,$B16)+COUNTIF('12月'!CG4:CG34,$B16)+COUNTIF('12月'!CK4:CK34,$B16)+COUNTIF('12月'!CL4:CL34,$B16)+COUNTIF('12月'!CP4:CP34,$B16)+COUNTIF('12月'!CQ4:CQ34,$B16)+COUNTIF('12月'!CU4:CU34,$B16)+COUNTIF('12月'!CV4:CV34,$B16)+COUNTIF('12月'!CZ4:CZ34,$B16)+COUNTIF('12月'!DA4:DA34,$B16)+COUNTIF('12月'!DE4:DE34,$B16)+COUNTIF('12月'!DF4:DF34,$B16)+COUNTIF('12月'!DJ4:DJ34,$B16)+COUNTIF('12月'!DK4:DK34,$B16)+COUNTIF('12月'!DO4:DO34,$B16)+COUNTIF('12月'!DP4:DP34,$B16)+COUNTIF('12月'!DT4:DT34,$B16)+COUNTIF('12月'!DU4:DU34,$B16)+COUNTIF('12月'!DY4:DY34,$B16)+COUNTIF('12月'!DZ4:DZ34,$B16)+COUNTIF('12月'!ED4:ED34,$B16)+COUNTIF('12月'!EE4:EE34,$B16)+COUNTIF('12月'!EI4:EI34,$B16)+COUNTIF('12月'!EJ4:EJ34,$B16)+COUNTIF('12月'!EN4:EN34,$B16)+COUNTIF('12月'!EO4:EO34,$B16)+COUNTIF('12月'!ES4:ES34,$B16)+COUNTIF('12月'!ET4:ET34,$B16)),0)</f>
        <v>0</v>
      </c>
      <c r="O16" s="78">
        <f t="shared" si="0"/>
        <v>0</v>
      </c>
    </row>
    <row r="17" spans="1:15" ht="19.5" customHeight="1">
      <c r="A17" s="76">
        <v>15</v>
      </c>
      <c r="B17" s="77">
        <f>IFERROR(現場マスタ!$C$18,"")</f>
        <v>0</v>
      </c>
      <c r="C17" s="76">
        <f>IFERROR(IF($B17="","",COUNTIF('1月'!D4:D34,$B17)+COUNTIF('1月'!E4:E34,$B17)+COUNTIF('1月'!I4:I34,$B17)+COUNTIF('1月'!J4:J34,$B17)+COUNTIF('1月'!N4:N34,$B17)+COUNTIF('1月'!O4:O34,$B17)+COUNTIF('1月'!S4:S34,$B17)+COUNTIF('1月'!T4:T34,$B17)+COUNTIF('1月'!X4:X34,$B17)+COUNTIF('1月'!Y4:Y34,$B17)+COUNTIF('1月'!AC4:AC34,$B17)+COUNTIF('1月'!AD4:AD34,$B17)+COUNTIF('1月'!AH4:AH34,$B17)+COUNTIF('1月'!AI4:AI34,$B17)+COUNTIF('1月'!AM4:AM34,$B17)+COUNTIF('1月'!AN4:AN34,$B17)+COUNTIF('1月'!AR4:AR34,$B17)+COUNTIF('1月'!AS4:AS34,$B17)+COUNTIF('1月'!AW4:AW34,$B17)+COUNTIF('1月'!AX4:AX34,$B17)+COUNTIF('1月'!BB4:BB34,$B17)+COUNTIF('1月'!BC4:BC34,$B17)+COUNTIF('1月'!BG4:BG34,$B17)+COUNTIF('1月'!BH4:BH34,$B17)+COUNTIF('1月'!BL4:BL34,$B17)+COUNTIF('1月'!BM4:BM34,$B17)+COUNTIF('1月'!BQ4:BQ34,$B17)+COUNTIF('1月'!BR4:BR34,$B17)+COUNTIF('1月'!BV4:BV34,$B17)+COUNTIF('1月'!BW4:BW34,$B17)+COUNTIF('1月'!CA4:CA34,$B17)+COUNTIF('1月'!CB4:CB34,$B17)+COUNTIF('1月'!CF4:CF34,$B17)+COUNTIF('1月'!CG4:CG34,$B17)+COUNTIF('1月'!CK4:CK34,$B17)+COUNTIF('1月'!CL4:CL34,$B17)+COUNTIF('1月'!CP4:CP34,$B17)+COUNTIF('1月'!CQ4:CQ34,$B17)+COUNTIF('1月'!CU4:CU34,$B17)+COUNTIF('1月'!CV4:CV34,$B17)+COUNTIF('1月'!CZ4:CZ34,$B17)+COUNTIF('1月'!DA4:DA34,$B17)+COUNTIF('1月'!DE4:DE34,$B17)+COUNTIF('1月'!DF4:DF34,$B17)+COUNTIF('1月'!DJ4:DJ34,$B17)+COUNTIF('1月'!DK4:DK34,$B17)+COUNTIF('1月'!DO4:DO34,$B17)+COUNTIF('1月'!DP4:DP34,$B17)+COUNTIF('1月'!DT4:DT34,$B17)+COUNTIF('1月'!DU4:DU34,$B17)+COUNTIF('1月'!DY4:DY34,$B17)+COUNTIF('1月'!DZ4:DZ34,$B17)+COUNTIF('1月'!ED4:ED34,$B17)+COUNTIF('1月'!EE4:EE34,$B17)+COUNTIF('1月'!EI4:EI34,$B17)+COUNTIF('1月'!EJ4:EJ34,$B17)+COUNTIF('1月'!EN4:EN34,$B17)+COUNTIF('1月'!EO4:EO34,$B17)+COUNTIF('1月'!ES4:ES34,$B17)+COUNTIF('1月'!ET4:ET34,$B17)),0)</f>
        <v>0</v>
      </c>
      <c r="D17" s="76">
        <f>IFERROR(IF($B17="","",COUNTIF('2月'!D4:D34,$B17)+COUNTIF('2月'!E4:E34,$B17)+COUNTIF('2月'!I4:I34,$B17)+COUNTIF('2月'!J4:J34,$B17)+COUNTIF('2月'!N4:N34,$B17)+COUNTIF('2月'!O4:O34,$B17)+COUNTIF('2月'!S4:S34,$B17)+COUNTIF('2月'!T4:T34,$B17)+COUNTIF('2月'!X4:X34,$B17)+COUNTIF('2月'!Y4:Y34,$B17)+COUNTIF('2月'!AC4:AC34,$B17)+COUNTIF('2月'!AD4:AD34,$B17)+COUNTIF('2月'!AH4:AH34,$B17)+COUNTIF('2月'!AI4:AI34,$B17)+COUNTIF('2月'!AM4:AM34,$B17)+COUNTIF('2月'!AN4:AN34,$B17)+COUNTIF('2月'!AR4:AR34,$B17)+COUNTIF('2月'!AS4:AS34,$B17)+COUNTIF('2月'!AW4:AW34,$B17)+COUNTIF('2月'!AX4:AX34,$B17)+COUNTIF('2月'!BB4:BB34,$B17)+COUNTIF('2月'!BC4:BC34,$B17)+COUNTIF('2月'!BG4:BG34,$B17)+COUNTIF('2月'!BH4:BH34,$B17)+COUNTIF('2月'!BL4:BL34,$B17)+COUNTIF('2月'!BM4:BM34,$B17)+COUNTIF('2月'!BQ4:BQ34,$B17)+COUNTIF('2月'!BR4:BR34,$B17)+COUNTIF('2月'!BV4:BV34,$B17)+COUNTIF('2月'!BW4:BW34,$B17)+COUNTIF('2月'!CA4:CA34,$B17)+COUNTIF('2月'!CB4:CB34,$B17)+COUNTIF('2月'!CF4:CF34,$B17)+COUNTIF('2月'!CG4:CG34,$B17)+COUNTIF('2月'!CK4:CK34,$B17)+COUNTIF('2月'!CL4:CL34,$B17)+COUNTIF('2月'!CP4:CP34,$B17)+COUNTIF('2月'!CQ4:CQ34,$B17)+COUNTIF('2月'!CU4:CU34,$B17)+COUNTIF('2月'!CV4:CV34,$B17)+COUNTIF('2月'!CZ4:CZ34,$B17)+COUNTIF('2月'!DA4:DA34,$B17)+COUNTIF('2月'!DE4:DE34,$B17)+COUNTIF('2月'!DF4:DF34,$B17)+COUNTIF('2月'!DJ4:DJ34,$B17)+COUNTIF('2月'!DK4:DK34,$B17)+COUNTIF('2月'!DO4:DO34,$B17)+COUNTIF('2月'!DP4:DP34,$B17)+COUNTIF('2月'!DT4:DT34,$B17)+COUNTIF('2月'!DU4:DU34,$B17)+COUNTIF('2月'!DY4:DY34,$B17)+COUNTIF('2月'!DZ4:DZ34,$B17)+COUNTIF('2月'!ED4:ED34,$B17)+COUNTIF('2月'!EE4:EE34,$B17)+COUNTIF('2月'!EI4:EI34,$B17)+COUNTIF('2月'!EJ4:EJ34,$B17)+COUNTIF('2月'!EN4:EN34,$B17)+COUNTIF('2月'!EO4:EO34,$B17)+COUNTIF('2月'!ES4:ES34,$B17)+COUNTIF('2月'!ET4:ET34,$B17)),0)</f>
        <v>0</v>
      </c>
      <c r="E17" s="76">
        <f>IFERROR(IF($B17="","",COUNTIF('3月'!D4:D34,$B17)+COUNTIF('3月'!E4:E34,$B17)+COUNTIF('3月'!I4:I34,$B17)+COUNTIF('3月'!J4:J34,$B17)+COUNTIF('3月'!N4:N34,$B17)+COUNTIF('3月'!O4:O34,$B17)+COUNTIF('3月'!S4:S34,$B17)+COUNTIF('3月'!T4:T34,$B17)+COUNTIF('3月'!X4:X34,$B17)+COUNTIF('3月'!Y4:Y34,$B17)+COUNTIF('3月'!AC4:AC34,$B17)+COUNTIF('3月'!AD4:AD34,$B17)+COUNTIF('3月'!AH4:AH34,$B17)+COUNTIF('3月'!AI4:AI34,$B17)+COUNTIF('3月'!AM4:AM34,$B17)+COUNTIF('3月'!AN4:AN34,$B17)+COUNTIF('3月'!AR4:AR34,$B17)+COUNTIF('3月'!AS4:AS34,$B17)+COUNTIF('3月'!AW4:AW34,$B17)+COUNTIF('3月'!AX4:AX34,$B17)+COUNTIF('3月'!BB4:BB34,$B17)+COUNTIF('3月'!BC4:BC34,$B17)+COUNTIF('3月'!BG4:BG34,$B17)+COUNTIF('3月'!BH4:BH34,$B17)+COUNTIF('3月'!BL4:BL34,$B17)+COUNTIF('3月'!BM4:BM34,$B17)+COUNTIF('3月'!BQ4:BQ34,$B17)+COUNTIF('3月'!BR4:BR34,$B17)+COUNTIF('3月'!BV4:BV34,$B17)+COUNTIF('3月'!BW4:BW34,$B17)+COUNTIF('3月'!CA4:CA34,$B17)+COUNTIF('3月'!CB4:CB34,$B17)+COUNTIF('3月'!CF4:CF34,$B17)+COUNTIF('3月'!CG4:CG34,$B17)+COUNTIF('3月'!CK4:CK34,$B17)+COUNTIF('3月'!CL4:CL34,$B17)+COUNTIF('3月'!CP4:CP34,$B17)+COUNTIF('3月'!CQ4:CQ34,$B17)+COUNTIF('3月'!CU4:CU34,$B17)+COUNTIF('3月'!CV4:CV34,$B17)+COUNTIF('3月'!CZ4:CZ34,$B17)+COUNTIF('3月'!DA4:DA34,$B17)+COUNTIF('3月'!DE4:DE34,$B17)+COUNTIF('3月'!DF4:DF34,$B17)+COUNTIF('3月'!DJ4:DJ34,$B17)+COUNTIF('3月'!DK4:DK34,$B17)+COUNTIF('3月'!DO4:DO34,$B17)+COUNTIF('3月'!DP4:DP34,$B17)+COUNTIF('3月'!DT4:DT34,$B17)+COUNTIF('3月'!DU4:DU34,$B17)+COUNTIF('3月'!DY4:DY34,$B17)+COUNTIF('3月'!DZ4:DZ34,$B17)+COUNTIF('3月'!ED4:ED34,$B17)+COUNTIF('3月'!EE4:EE34,$B17)+COUNTIF('3月'!EI4:EI34,$B17)+COUNTIF('3月'!EJ4:EJ34,$B17)+COUNTIF('3月'!EN4:EN34,$B17)+COUNTIF('3月'!EO4:EO34,$B17)+COUNTIF('3月'!ES4:ES34,$B17)+COUNTIF('3月'!ET4:ET34,$B17)),0)</f>
        <v>0</v>
      </c>
      <c r="F17" s="76">
        <f>IFERROR(IF($B17="","",COUNTIF('4月'!D4:D34,$B17)+COUNTIF('4月'!E4:E34,$B17)+COUNTIF('4月'!I4:I34,$B17)+COUNTIF('4月'!J4:J34,$B17)+COUNTIF('4月'!N4:N34,$B17)+COUNTIF('4月'!O4:O34,$B17)+COUNTIF('4月'!S4:S34,$B17)+COUNTIF('4月'!T4:T34,$B17)+COUNTIF('4月'!X4:X34,$B17)+COUNTIF('4月'!Y4:Y34,$B17)+COUNTIF('4月'!AC4:AC34,$B17)+COUNTIF('4月'!AD4:AD34,$B17)+COUNTIF('4月'!AH4:AH34,$B17)+COUNTIF('4月'!AI4:AI34,$B17)+COUNTIF('4月'!AM4:AM34,$B17)+COUNTIF('4月'!AN4:AN34,$B17)+COUNTIF('4月'!AR4:AR34,$B17)+COUNTIF('4月'!AS4:AS34,$B17)+COUNTIF('4月'!AW4:AW34,$B17)+COUNTIF('4月'!AX4:AX34,$B17)+COUNTIF('4月'!BB4:BB34,$B17)+COUNTIF('4月'!BC4:BC34,$B17)+COUNTIF('4月'!BG4:BG34,$B17)+COUNTIF('4月'!BH4:BH34,$B17)+COUNTIF('4月'!BL4:BL34,$B17)+COUNTIF('4月'!BM4:BM34,$B17)+COUNTIF('4月'!BQ4:BQ34,$B17)+COUNTIF('4月'!BR4:BR34,$B17)+COUNTIF('4月'!BV4:BV34,$B17)+COUNTIF('4月'!BW4:BW34,$B17)+COUNTIF('4月'!CA4:CA34,$B17)+COUNTIF('4月'!CB4:CB34,$B17)+COUNTIF('4月'!CF4:CF34,$B17)+COUNTIF('4月'!CG4:CG34,$B17)+COUNTIF('4月'!CK4:CK34,$B17)+COUNTIF('4月'!CL4:CL34,$B17)+COUNTIF('4月'!CP4:CP34,$B17)+COUNTIF('4月'!CQ4:CQ34,$B17)+COUNTIF('4月'!CU4:CU34,$B17)+COUNTIF('4月'!CV4:CV34,$B17)+COUNTIF('4月'!CZ4:CZ34,$B17)+COUNTIF('4月'!DA4:DA34,$B17)+COUNTIF('4月'!DE4:DE34,$B17)+COUNTIF('4月'!DF4:DF34,$B17)+COUNTIF('4月'!DJ4:DJ34,$B17)+COUNTIF('4月'!DK4:DK34,$B17)+COUNTIF('4月'!DO4:DO34,$B17)+COUNTIF('4月'!DP4:DP34,$B17)+COUNTIF('4月'!DT4:DT34,$B17)+COUNTIF('4月'!DU4:DU34,$B17)+COUNTIF('4月'!DY4:DY34,$B17)+COUNTIF('4月'!DZ4:DZ34,$B17)+COUNTIF('4月'!ED4:ED34,$B17)+COUNTIF('4月'!EE4:EE34,$B17)+COUNTIF('4月'!EI4:EI34,$B17)+COUNTIF('4月'!EJ4:EJ34,$B17)+COUNTIF('4月'!EN4:EN34,$B17)+COUNTIF('4月'!EO4:EO34,$B17)+COUNTIF('4月'!ES4:ES34,$B17)+COUNTIF('4月'!ET4:ET34,$B17)),0)</f>
        <v>0</v>
      </c>
      <c r="G17" s="76">
        <f>IFERROR(IF($B17="","",COUNTIF('5月'!D4:D34,$B17)+COUNTIF('5月'!E4:E34,$B17)+COUNTIF('5月'!I4:I34,$B17)+COUNTIF('5月'!J4:J34,$B17)+COUNTIF('5月'!N4:N34,$B17)+COUNTIF('5月'!O4:O34,$B17)+COUNTIF('5月'!S4:S34,$B17)+COUNTIF('5月'!T4:T34,$B17)+COUNTIF('5月'!X4:X34,$B17)+COUNTIF('5月'!Y4:Y34,$B17)+COUNTIF('5月'!AC4:AC34,$B17)+COUNTIF('5月'!AD4:AD34,$B17)+COUNTIF('5月'!AH4:AH34,$B17)+COUNTIF('5月'!AI4:AI34,$B17)+COUNTIF('5月'!AM4:AM34,$B17)+COUNTIF('5月'!AN4:AN34,$B17)+COUNTIF('5月'!AR4:AR34,$B17)+COUNTIF('5月'!AS4:AS34,$B17)+COUNTIF('5月'!AW4:AW34,$B17)+COUNTIF('5月'!AX4:AX34,$B17)+COUNTIF('5月'!BB4:BB34,$B17)+COUNTIF('5月'!BC4:BC34,$B17)+COUNTIF('5月'!BG4:BG34,$B17)+COUNTIF('5月'!BH4:BH34,$B17)+COUNTIF('5月'!BL4:BL34,$B17)+COUNTIF('5月'!BM4:BM34,$B17)+COUNTIF('5月'!BQ4:BQ34,$B17)+COUNTIF('5月'!BR4:BR34,$B17)+COUNTIF('5月'!BV4:BV34,$B17)+COUNTIF('5月'!BW4:BW34,$B17)+COUNTIF('5月'!CA4:CA34,$B17)+COUNTIF('5月'!CB4:CB34,$B17)+COUNTIF('5月'!CF4:CF34,$B17)+COUNTIF('5月'!CG4:CG34,$B17)+COUNTIF('5月'!CK4:CK34,$B17)+COUNTIF('5月'!CL4:CL34,$B17)+COUNTIF('5月'!CP4:CP34,$B17)+COUNTIF('5月'!CQ4:CQ34,$B17)+COUNTIF('5月'!CU4:CU34,$B17)+COUNTIF('5月'!CV4:CV34,$B17)+COUNTIF('5月'!CZ4:CZ34,$B17)+COUNTIF('5月'!DA4:DA34,$B17)+COUNTIF('5月'!DE4:DE34,$B17)+COUNTIF('5月'!DF4:DF34,$B17)+COUNTIF('5月'!DJ4:DJ34,$B17)+COUNTIF('5月'!DK4:DK34,$B17)+COUNTIF('5月'!DO4:DO34,$B17)+COUNTIF('5月'!DP4:DP34,$B17)+COUNTIF('5月'!DT4:DT34,$B17)+COUNTIF('5月'!DU4:DU34,$B17)+COUNTIF('5月'!DY4:DY34,$B17)+COUNTIF('5月'!DZ4:DZ34,$B17)+COUNTIF('5月'!ED4:ED34,$B17)+COUNTIF('5月'!EE4:EE34,$B17)+COUNTIF('5月'!EI4:EI34,$B17)+COUNTIF('5月'!EJ4:EJ34,$B17)+COUNTIF('5月'!EN4:EN34,$B17)+COUNTIF('5月'!EO4:EO34,$B17)+COUNTIF('5月'!ES4:ES34,$B17)+COUNTIF('5月'!ET4:ET34,$B17)),0)</f>
        <v>0</v>
      </c>
      <c r="H17" s="76">
        <f>IFERROR(IF($B17="","",COUNTIF('6月'!D4:D34,$B17)+COUNTIF('6月'!E4:E34,$B17)+COUNTIF('6月'!I4:I34,$B17)+COUNTIF('6月'!J4:J34,$B17)+COUNTIF('6月'!N4:N34,$B17)+COUNTIF('6月'!O4:O34,$B17)+COUNTIF('6月'!S4:S34,$B17)+COUNTIF('6月'!T4:T34,$B17)+COUNTIF('6月'!X4:X34,$B17)+COUNTIF('6月'!Y4:Y34,$B17)+COUNTIF('6月'!AC4:AC34,$B17)+COUNTIF('6月'!AD4:AD34,$B17)+COUNTIF('6月'!AH4:AH34,$B17)+COUNTIF('6月'!AI4:AI34,$B17)+COUNTIF('6月'!AM4:AM34,$B17)+COUNTIF('6月'!AN4:AN34,$B17)+COUNTIF('6月'!AR4:AR34,$B17)+COUNTIF('6月'!AS4:AS34,$B17)+COUNTIF('6月'!AW4:AW34,$B17)+COUNTIF('6月'!AX4:AX34,$B17)+COUNTIF('6月'!BB4:BB34,$B17)+COUNTIF('6月'!BC4:BC34,$B17)+COUNTIF('6月'!BG4:BG34,$B17)+COUNTIF('6月'!BH4:BH34,$B17)+COUNTIF('6月'!BL4:BL34,$B17)+COUNTIF('6月'!BM4:BM34,$B17)+COUNTIF('6月'!BQ4:BQ34,$B17)+COUNTIF('6月'!BR4:BR34,$B17)+COUNTIF('6月'!BV4:BV34,$B17)+COUNTIF('6月'!BW4:BW34,$B17)+COUNTIF('6月'!CA4:CA34,$B17)+COUNTIF('6月'!CB4:CB34,$B17)+COUNTIF('6月'!CF4:CF34,$B17)+COUNTIF('6月'!CG4:CG34,$B17)+COUNTIF('6月'!CK4:CK34,$B17)+COUNTIF('6月'!CL4:CL34,$B17)+COUNTIF('6月'!CP4:CP34,$B17)+COUNTIF('6月'!CQ4:CQ34,$B17)+COUNTIF('6月'!CU4:CU34,$B17)+COUNTIF('6月'!CV4:CV34,$B17)+COUNTIF('6月'!CZ4:CZ34,$B17)+COUNTIF('6月'!DA4:DA34,$B17)+COUNTIF('6月'!DE4:DE34,$B17)+COUNTIF('6月'!DF4:DF34,$B17)+COUNTIF('6月'!DJ4:DJ34,$B17)+COUNTIF('6月'!DK4:DK34,$B17)+COUNTIF('6月'!DO4:DO34,$B17)+COUNTIF('6月'!DP4:DP34,$B17)+COUNTIF('6月'!DT4:DT34,$B17)+COUNTIF('6月'!DU4:DU34,$B17)+COUNTIF('6月'!DY4:DY34,$B17)+COUNTIF('6月'!DZ4:DZ34,$B17)+COUNTIF('6月'!ED4:ED34,$B17)+COUNTIF('6月'!EE4:EE34,$B17)+COUNTIF('6月'!EI4:EI34,$B17)+COUNTIF('6月'!EJ4:EJ34,$B17)+COUNTIF('6月'!EN4:EN34,$B17)+COUNTIF('6月'!EO4:EO34,$B17)+COUNTIF('6月'!ES4:ES34,$B17)+COUNTIF('6月'!ET4:ET34,$B17)),0)</f>
        <v>0</v>
      </c>
      <c r="I17" s="76">
        <f>IFERROR(IF($B17="","",COUNTIF('7月'!D4:D34,$B17)+COUNTIF('7月'!E4:E34,$B17)+COUNTIF('7月'!I4:I34,$B17)+COUNTIF('7月'!J4:J34,$B17)+COUNTIF('7月'!N4:N34,$B17)+COUNTIF('7月'!O4:O34,$B17)+COUNTIF('7月'!S4:S34,$B17)+COUNTIF('7月'!T4:T34,$B17)+COUNTIF('7月'!X4:X34,$B17)+COUNTIF('7月'!Y4:Y34,$B17)+COUNTIF('7月'!AC4:AC34,$B17)+COUNTIF('7月'!AD4:AD34,$B17)+COUNTIF('7月'!AH4:AH34,$B17)+COUNTIF('7月'!AI4:AI34,$B17)+COUNTIF('7月'!AM4:AM34,$B17)+COUNTIF('7月'!AN4:AN34,$B17)+COUNTIF('7月'!AR4:AR34,$B17)+COUNTIF('7月'!AS4:AS34,$B17)+COUNTIF('7月'!AW4:AW34,$B17)+COUNTIF('7月'!AX4:AX34,$B17)+COUNTIF('7月'!BB4:BB34,$B17)+COUNTIF('7月'!BC4:BC34,$B17)+COUNTIF('7月'!BG4:BG34,$B17)+COUNTIF('7月'!BH4:BH34,$B17)+COUNTIF('7月'!BL4:BL34,$B17)+COUNTIF('7月'!BM4:BM34,$B17)+COUNTIF('7月'!BQ4:BQ34,$B17)+COUNTIF('7月'!BR4:BR34,$B17)+COUNTIF('7月'!BV4:BV34,$B17)+COUNTIF('7月'!BW4:BW34,$B17)+COUNTIF('7月'!CA4:CA34,$B17)+COUNTIF('7月'!CB4:CB34,$B17)+COUNTIF('7月'!CF4:CF34,$B17)+COUNTIF('7月'!CG4:CG34,$B17)+COUNTIF('7月'!CK4:CK34,$B17)+COUNTIF('7月'!CL4:CL34,$B17)+COUNTIF('7月'!CP4:CP34,$B17)+COUNTIF('7月'!CQ4:CQ34,$B17)+COUNTIF('7月'!CU4:CU34,$B17)+COUNTIF('7月'!CV4:CV34,$B17)+COUNTIF('7月'!CZ4:CZ34,$B17)+COUNTIF('7月'!DA4:DA34,$B17)+COUNTIF('7月'!DE4:DE34,$B17)+COUNTIF('7月'!DF4:DF34,$B17)+COUNTIF('7月'!DJ4:DJ34,$B17)+COUNTIF('7月'!DK4:DK34,$B17)+COUNTIF('7月'!DO4:DO34,$B17)+COUNTIF('7月'!DP4:DP34,$B17)+COUNTIF('7月'!DT4:DT34,$B17)+COUNTIF('7月'!DU4:DU34,$B17)+COUNTIF('7月'!DY4:DY34,$B17)+COUNTIF('7月'!DZ4:DZ34,$B17)+COUNTIF('7月'!ED4:ED34,$B17)+COUNTIF('7月'!EE4:EE34,$B17)+COUNTIF('7月'!EI4:EI34,$B17)+COUNTIF('7月'!EJ4:EJ34,$B17)+COUNTIF('7月'!EN4:EN34,$B17)+COUNTIF('7月'!EO4:EO34,$B17)+COUNTIF('7月'!ES4:ES34,$B17)+COUNTIF('7月'!ET4:ET34,$B17)),0)</f>
        <v>0</v>
      </c>
      <c r="J17" s="76">
        <f>IFERROR(IF($B17="","",COUNTIF('8月'!D4:D34,$B17)+COUNTIF('8月'!E4:E34,$B17)+COUNTIF('8月'!I4:I34,$B17)+COUNTIF('8月'!J4:J34,$B17)+COUNTIF('8月'!N4:N34,$B17)+COUNTIF('8月'!O4:O34,$B17)+COUNTIF('8月'!S4:S34,$B17)+COUNTIF('8月'!T4:T34,$B17)+COUNTIF('8月'!X4:X34,$B17)+COUNTIF('8月'!Y4:Y34,$B17)+COUNTIF('8月'!AC4:AC34,$B17)+COUNTIF('8月'!AD4:AD34,$B17)+COUNTIF('8月'!AH4:AH34,$B17)+COUNTIF('8月'!AI4:AI34,$B17)+COUNTIF('8月'!AM4:AM34,$B17)+COUNTIF('8月'!AN4:AN34,$B17)+COUNTIF('8月'!AR4:AR34,$B17)+COUNTIF('8月'!AS4:AS34,$B17)+COUNTIF('8月'!AW4:AW34,$B17)+COUNTIF('8月'!AX4:AX34,$B17)+COUNTIF('8月'!BB4:BB34,$B17)+COUNTIF('8月'!BC4:BC34,$B17)+COUNTIF('8月'!BG4:BG34,$B17)+COUNTIF('8月'!BH4:BH34,$B17)+COUNTIF('8月'!BL4:BL34,$B17)+COUNTIF('8月'!BM4:BM34,$B17)+COUNTIF('8月'!BQ4:BQ34,$B17)+COUNTIF('8月'!BR4:BR34,$B17)+COUNTIF('8月'!BV4:BV34,$B17)+COUNTIF('8月'!BW4:BW34,$B17)+COUNTIF('8月'!CA4:CA34,$B17)+COUNTIF('8月'!CB4:CB34,$B17)+COUNTIF('8月'!CF4:CF34,$B17)+COUNTIF('8月'!CG4:CG34,$B17)+COUNTIF('8月'!CK4:CK34,$B17)+COUNTIF('8月'!CL4:CL34,$B17)+COUNTIF('8月'!CP4:CP34,$B17)+COUNTIF('8月'!CQ4:CQ34,$B17)+COUNTIF('8月'!CU4:CU34,$B17)+COUNTIF('8月'!CV4:CV34,$B17)+COUNTIF('8月'!CZ4:CZ34,$B17)+COUNTIF('8月'!DA4:DA34,$B17)+COUNTIF('8月'!DE4:DE34,$B17)+COUNTIF('8月'!DF4:DF34,$B17)+COUNTIF('8月'!DJ4:DJ34,$B17)+COUNTIF('8月'!DK4:DK34,$B17)+COUNTIF('8月'!DO4:DO34,$B17)+COUNTIF('8月'!DP4:DP34,$B17)+COUNTIF('8月'!DT4:DT34,$B17)+COUNTIF('8月'!DU4:DU34,$B17)+COUNTIF('8月'!DY4:DY34,$B17)+COUNTIF('8月'!DZ4:DZ34,$B17)+COUNTIF('8月'!ED4:ED34,$B17)+COUNTIF('8月'!EE4:EE34,$B17)+COUNTIF('8月'!EI4:EI34,$B17)+COUNTIF('8月'!EJ4:EJ34,$B17)+COUNTIF('8月'!EN4:EN34,$B17)+COUNTIF('8月'!EO4:EO34,$B17)+COUNTIF('8月'!ES4:ES34,$B17)+COUNTIF('8月'!ET4:ET34,$B17)),0)</f>
        <v>0</v>
      </c>
      <c r="K17" s="76">
        <f>IFERROR(IF($B17="","",COUNTIF('9月'!D4:D34,$B17)+COUNTIF('9月'!E4:E34,$B17)+COUNTIF('9月'!I4:I34,$B17)+COUNTIF('9月'!J4:J34,$B17)+COUNTIF('9月'!N4:N34,$B17)+COUNTIF('9月'!O4:O34,$B17)+COUNTIF('9月'!S4:S34,$B17)+COUNTIF('9月'!T4:T34,$B17)+COUNTIF('9月'!X4:X34,$B17)+COUNTIF('9月'!Y4:Y34,$B17)+COUNTIF('9月'!AC4:AC34,$B17)+COUNTIF('9月'!AD4:AD34,$B17)+COUNTIF('9月'!AH4:AH34,$B17)+COUNTIF('9月'!AI4:AI34,$B17)+COUNTIF('9月'!AM4:AM34,$B17)+COUNTIF('9月'!AN4:AN34,$B17)+COUNTIF('9月'!AR4:AR34,$B17)+COUNTIF('9月'!AS4:AS34,$B17)+COUNTIF('9月'!AW4:AW34,$B17)+COUNTIF('9月'!AX4:AX34,$B17)+COUNTIF('9月'!BB4:BB34,$B17)+COUNTIF('9月'!BC4:BC34,$B17)+COUNTIF('9月'!BG4:BG34,$B17)+COUNTIF('9月'!BH4:BH34,$B17)+COUNTIF('9月'!BL4:BL34,$B17)+COUNTIF('9月'!BM4:BM34,$B17)+COUNTIF('9月'!BQ4:BQ34,$B17)+COUNTIF('9月'!BR4:BR34,$B17)+COUNTIF('9月'!BV4:BV34,$B17)+COUNTIF('9月'!BW4:BW34,$B17)+COUNTIF('9月'!CA4:CA34,$B17)+COUNTIF('9月'!CB4:CB34,$B17)+COUNTIF('9月'!CF4:CF34,$B17)+COUNTIF('9月'!CG4:CG34,$B17)+COUNTIF('9月'!CK4:CK34,$B17)+COUNTIF('9月'!CL4:CL34,$B17)+COUNTIF('9月'!CP4:CP34,$B17)+COUNTIF('9月'!CQ4:CQ34,$B17)+COUNTIF('9月'!CU4:CU34,$B17)+COUNTIF('9月'!CV4:CV34,$B17)+COUNTIF('9月'!CZ4:CZ34,$B17)+COUNTIF('9月'!DA4:DA34,$B17)+COUNTIF('9月'!DE4:DE34,$B17)+COUNTIF('9月'!DF4:DF34,$B17)+COUNTIF('9月'!DJ4:DJ34,$B17)+COUNTIF('9月'!DK4:DK34,$B17)+COUNTIF('9月'!DO4:DO34,$B17)+COUNTIF('9月'!DP4:DP34,$B17)+COUNTIF('9月'!DT4:DT34,$B17)+COUNTIF('9月'!DU4:DU34,$B17)+COUNTIF('9月'!DY4:DY34,$B17)+COUNTIF('9月'!DZ4:DZ34,$B17)+COUNTIF('9月'!ED4:ED34,$B17)+COUNTIF('9月'!EE4:EE34,$B17)+COUNTIF('9月'!EI4:EI34,$B17)+COUNTIF('9月'!EJ4:EJ34,$B17)+COUNTIF('9月'!EN4:EN34,$B17)+COUNTIF('9月'!EO4:EO34,$B17)+COUNTIF('9月'!ES4:ES34,$B17)+COUNTIF('9月'!ET4:ET34,$B17)),0)</f>
        <v>0</v>
      </c>
      <c r="L17" s="76">
        <f>IFERROR(IF($B17="","",COUNTIF('10月'!D4:D34,$B17)+COUNTIF('10月'!E4:E34,$B17)+COUNTIF('10月'!I4:I34,$B17)+COUNTIF('10月'!J4:J34,$B17)+COUNTIF('10月'!N4:N34,$B17)+COUNTIF('10月'!O4:O34,$B17)+COUNTIF('10月'!S4:S34,$B17)+COUNTIF('10月'!T4:T34,$B17)+COUNTIF('10月'!X4:X34,$B17)+COUNTIF('10月'!Y4:Y34,$B17)+COUNTIF('10月'!AC4:AC34,$B17)+COUNTIF('10月'!AD4:AD34,$B17)+COUNTIF('10月'!AH4:AH34,$B17)+COUNTIF('10月'!AI4:AI34,$B17)+COUNTIF('10月'!AM4:AM34,$B17)+COUNTIF('10月'!AN4:AN34,$B17)+COUNTIF('10月'!AR4:AR34,$B17)+COUNTIF('10月'!AS4:AS34,$B17)+COUNTIF('10月'!AW4:AW34,$B17)+COUNTIF('10月'!AX4:AX34,$B17)+COUNTIF('10月'!BB4:BB34,$B17)+COUNTIF('10月'!BC4:BC34,$B17)+COUNTIF('10月'!BG4:BG34,$B17)+COUNTIF('10月'!BH4:BH34,$B17)+COUNTIF('10月'!BL4:BL34,$B17)+COUNTIF('10月'!BM4:BM34,$B17)+COUNTIF('10月'!BQ4:BQ34,$B17)+COUNTIF('10月'!BR4:BR34,$B17)+COUNTIF('10月'!BV4:BV34,$B17)+COUNTIF('10月'!BW4:BW34,$B17)+COUNTIF('10月'!CA4:CA34,$B17)+COUNTIF('10月'!CB4:CB34,$B17)+COUNTIF('10月'!CF4:CF34,$B17)+COUNTIF('10月'!CG4:CG34,$B17)+COUNTIF('10月'!CK4:CK34,$B17)+COUNTIF('10月'!CL4:CL34,$B17)+COUNTIF('10月'!CP4:CP34,$B17)+COUNTIF('10月'!CQ4:CQ34,$B17)+COUNTIF('10月'!CU4:CU34,$B17)+COUNTIF('10月'!CV4:CV34,$B17)+COUNTIF('10月'!CZ4:CZ34,$B17)+COUNTIF('10月'!DA4:DA34,$B17)+COUNTIF('10月'!DE4:DE34,$B17)+COUNTIF('10月'!DF4:DF34,$B17)+COUNTIF('10月'!DJ4:DJ34,$B17)+COUNTIF('10月'!DK4:DK34,$B17)+COUNTIF('10月'!DO4:DO34,$B17)+COUNTIF('10月'!DP4:DP34,$B17)+COUNTIF('10月'!DT4:DT34,$B17)+COUNTIF('10月'!DU4:DU34,$B17)+COUNTIF('10月'!DY4:DY34,$B17)+COUNTIF('10月'!DZ4:DZ34,$B17)+COUNTIF('10月'!ED4:ED34,$B17)+COUNTIF('10月'!EE4:EE34,$B17)+COUNTIF('10月'!EI4:EI34,$B17)+COUNTIF('10月'!EJ4:EJ34,$B17)+COUNTIF('10月'!EN4:EN34,$B17)+COUNTIF('10月'!EO4:EO34,$B17)+COUNTIF('10月'!ES4:ES34,$B17)+COUNTIF('10月'!ET4:ET34,$B17)),0)</f>
        <v>0</v>
      </c>
      <c r="M17" s="76">
        <f>IFERROR(IF($B17="","",COUNTIF('11月'!D4:D34,$B17)+COUNTIF('11月'!E4:E34,$B17)+COUNTIF('11月'!I4:I34,$B17)+COUNTIF('11月'!J4:J34,$B17)+COUNTIF('11月'!N4:N34,$B17)+COUNTIF('11月'!O4:O34,$B17)+COUNTIF('11月'!S4:S34,$B17)+COUNTIF('11月'!T4:T34,$B17)+COUNTIF('11月'!X4:X34,$B17)+COUNTIF('11月'!Y4:Y34,$B17)+COUNTIF('11月'!AC4:AC34,$B17)+COUNTIF('11月'!AD4:AD34,$B17)+COUNTIF('11月'!AH4:AH34,$B17)+COUNTIF('11月'!AI4:AI34,$B17)+COUNTIF('11月'!AM4:AM34,$B17)+COUNTIF('11月'!AN4:AN34,$B17)+COUNTIF('11月'!AR4:AR34,$B17)+COUNTIF('11月'!AS4:AS34,$B17)+COUNTIF('11月'!AW4:AW34,$B17)+COUNTIF('11月'!AX4:AX34,$B17)+COUNTIF('11月'!BB4:BB34,$B17)+COUNTIF('11月'!BC4:BC34,$B17)+COUNTIF('11月'!BG4:BG34,$B17)+COUNTIF('11月'!BH4:BH34,$B17)+COUNTIF('11月'!BL4:BL34,$B17)+COUNTIF('11月'!BM4:BM34,$B17)+COUNTIF('11月'!BQ4:BQ34,$B17)+COUNTIF('11月'!BR4:BR34,$B17)+COUNTIF('11月'!BV4:BV34,$B17)+COUNTIF('11月'!BW4:BW34,$B17)+COUNTIF('11月'!CA4:CA34,$B17)+COUNTIF('11月'!CB4:CB34,$B17)+COUNTIF('11月'!CF4:CF34,$B17)+COUNTIF('11月'!CG4:CG34,$B17)+COUNTIF('11月'!CK4:CK34,$B17)+COUNTIF('11月'!CL4:CL34,$B17)+COUNTIF('11月'!CP4:CP34,$B17)+COUNTIF('11月'!CQ4:CQ34,$B17)+COUNTIF('11月'!CU4:CU34,$B17)+COUNTIF('11月'!CV4:CV34,$B17)+COUNTIF('11月'!CZ4:CZ34,$B17)+COUNTIF('11月'!DA4:DA34,$B17)+COUNTIF('11月'!DE4:DE34,$B17)+COUNTIF('11月'!DF4:DF34,$B17)+COUNTIF('11月'!DJ4:DJ34,$B17)+COUNTIF('11月'!DK4:DK34,$B17)+COUNTIF('11月'!DO4:DO34,$B17)+COUNTIF('11月'!DP4:DP34,$B17)+COUNTIF('11月'!DT4:DT34,$B17)+COUNTIF('11月'!DU4:DU34,$B17)+COUNTIF('11月'!DY4:DY34,$B17)+COUNTIF('11月'!DZ4:DZ34,$B17)+COUNTIF('11月'!ED4:ED34,$B17)+COUNTIF('11月'!EE4:EE34,$B17)+COUNTIF('11月'!EI4:EI34,$B17)+COUNTIF('11月'!EJ4:EJ34,$B17)+COUNTIF('11月'!EN4:EN34,$B17)+COUNTIF('11月'!EO4:EO34,$B17)+COUNTIF('11月'!ES4:ES34,$B17)+COUNTIF('11月'!ET4:ET34,$B17)),0)</f>
        <v>0</v>
      </c>
      <c r="N17" s="76">
        <f>IFERROR(IF($B17="","",COUNTIF('12月'!D4:D34,$B17)+COUNTIF('12月'!E4:E34,$B17)+COUNTIF('12月'!I4:I34,$B17)+COUNTIF('12月'!J4:J34,$B17)+COUNTIF('12月'!N4:N34,$B17)+COUNTIF('12月'!O4:O34,$B17)+COUNTIF('12月'!S4:S34,$B17)+COUNTIF('12月'!T4:T34,$B17)+COUNTIF('12月'!X4:X34,$B17)+COUNTIF('12月'!Y4:Y34,$B17)+COUNTIF('12月'!AC4:AC34,$B17)+COUNTIF('12月'!AD4:AD34,$B17)+COUNTIF('12月'!AH4:AH34,$B17)+COUNTIF('12月'!AI4:AI34,$B17)+COUNTIF('12月'!AM4:AM34,$B17)+COUNTIF('12月'!AN4:AN34,$B17)+COUNTIF('12月'!AR4:AR34,$B17)+COUNTIF('12月'!AS4:AS34,$B17)+COUNTIF('12月'!AW4:AW34,$B17)+COUNTIF('12月'!AX4:AX34,$B17)+COUNTIF('12月'!BB4:BB34,$B17)+COUNTIF('12月'!BC4:BC34,$B17)+COUNTIF('12月'!BG4:BG34,$B17)+COUNTIF('12月'!BH4:BH34,$B17)+COUNTIF('12月'!BL4:BL34,$B17)+COUNTIF('12月'!BM4:BM34,$B17)+COUNTIF('12月'!BQ4:BQ34,$B17)+COUNTIF('12月'!BR4:BR34,$B17)+COUNTIF('12月'!BV4:BV34,$B17)+COUNTIF('12月'!BW4:BW34,$B17)+COUNTIF('12月'!CA4:CA34,$B17)+COUNTIF('12月'!CB4:CB34,$B17)+COUNTIF('12月'!CF4:CF34,$B17)+COUNTIF('12月'!CG4:CG34,$B17)+COUNTIF('12月'!CK4:CK34,$B17)+COUNTIF('12月'!CL4:CL34,$B17)+COUNTIF('12月'!CP4:CP34,$B17)+COUNTIF('12月'!CQ4:CQ34,$B17)+COUNTIF('12月'!CU4:CU34,$B17)+COUNTIF('12月'!CV4:CV34,$B17)+COUNTIF('12月'!CZ4:CZ34,$B17)+COUNTIF('12月'!DA4:DA34,$B17)+COUNTIF('12月'!DE4:DE34,$B17)+COUNTIF('12月'!DF4:DF34,$B17)+COUNTIF('12月'!DJ4:DJ34,$B17)+COUNTIF('12月'!DK4:DK34,$B17)+COUNTIF('12月'!DO4:DO34,$B17)+COUNTIF('12月'!DP4:DP34,$B17)+COUNTIF('12月'!DT4:DT34,$B17)+COUNTIF('12月'!DU4:DU34,$B17)+COUNTIF('12月'!DY4:DY34,$B17)+COUNTIF('12月'!DZ4:DZ34,$B17)+COUNTIF('12月'!ED4:ED34,$B17)+COUNTIF('12月'!EE4:EE34,$B17)+COUNTIF('12月'!EI4:EI34,$B17)+COUNTIF('12月'!EJ4:EJ34,$B17)+COUNTIF('12月'!EN4:EN34,$B17)+COUNTIF('12月'!EO4:EO34,$B17)+COUNTIF('12月'!ES4:ES34,$B17)+COUNTIF('12月'!ET4:ET34,$B17)),0)</f>
        <v>0</v>
      </c>
      <c r="O17" s="78">
        <f t="shared" si="0"/>
        <v>0</v>
      </c>
    </row>
    <row r="18" spans="1:15" ht="19.5" customHeight="1">
      <c r="A18" s="76">
        <v>16</v>
      </c>
      <c r="B18" s="77">
        <f>IFERROR(現場マスタ!$C$19,"")</f>
        <v>0</v>
      </c>
      <c r="C18" s="76">
        <f>IFERROR(IF($B18="","",COUNTIF('1月'!D4:D34,$B18)+COUNTIF('1月'!E4:E34,$B18)+COUNTIF('1月'!I4:I34,$B18)+COUNTIF('1月'!J4:J34,$B18)+COUNTIF('1月'!N4:N34,$B18)+COUNTIF('1月'!O4:O34,$B18)+COUNTIF('1月'!S4:S34,$B18)+COUNTIF('1月'!T4:T34,$B18)+COUNTIF('1月'!X4:X34,$B18)+COUNTIF('1月'!Y4:Y34,$B18)+COUNTIF('1月'!AC4:AC34,$B18)+COUNTIF('1月'!AD4:AD34,$B18)+COUNTIF('1月'!AH4:AH34,$B18)+COUNTIF('1月'!AI4:AI34,$B18)+COUNTIF('1月'!AM4:AM34,$B18)+COUNTIF('1月'!AN4:AN34,$B18)+COUNTIF('1月'!AR4:AR34,$B18)+COUNTIF('1月'!AS4:AS34,$B18)+COUNTIF('1月'!AW4:AW34,$B18)+COUNTIF('1月'!AX4:AX34,$B18)+COUNTIF('1月'!BB4:BB34,$B18)+COUNTIF('1月'!BC4:BC34,$B18)+COUNTIF('1月'!BG4:BG34,$B18)+COUNTIF('1月'!BH4:BH34,$B18)+COUNTIF('1月'!BL4:BL34,$B18)+COUNTIF('1月'!BM4:BM34,$B18)+COUNTIF('1月'!BQ4:BQ34,$B18)+COUNTIF('1月'!BR4:BR34,$B18)+COUNTIF('1月'!BV4:BV34,$B18)+COUNTIF('1月'!BW4:BW34,$B18)+COUNTIF('1月'!CA4:CA34,$B18)+COUNTIF('1月'!CB4:CB34,$B18)+COUNTIF('1月'!CF4:CF34,$B18)+COUNTIF('1月'!CG4:CG34,$B18)+COUNTIF('1月'!CK4:CK34,$B18)+COUNTIF('1月'!CL4:CL34,$B18)+COUNTIF('1月'!CP4:CP34,$B18)+COUNTIF('1月'!CQ4:CQ34,$B18)+COUNTIF('1月'!CU4:CU34,$B18)+COUNTIF('1月'!CV4:CV34,$B18)+COUNTIF('1月'!CZ4:CZ34,$B18)+COUNTIF('1月'!DA4:DA34,$B18)+COUNTIF('1月'!DE4:DE34,$B18)+COUNTIF('1月'!DF4:DF34,$B18)+COUNTIF('1月'!DJ4:DJ34,$B18)+COUNTIF('1月'!DK4:DK34,$B18)+COUNTIF('1月'!DO4:DO34,$B18)+COUNTIF('1月'!DP4:DP34,$B18)+COUNTIF('1月'!DT4:DT34,$B18)+COUNTIF('1月'!DU4:DU34,$B18)+COUNTIF('1月'!DY4:DY34,$B18)+COUNTIF('1月'!DZ4:DZ34,$B18)+COUNTIF('1月'!ED4:ED34,$B18)+COUNTIF('1月'!EE4:EE34,$B18)+COUNTIF('1月'!EI4:EI34,$B18)+COUNTIF('1月'!EJ4:EJ34,$B18)+COUNTIF('1月'!EN4:EN34,$B18)+COUNTIF('1月'!EO4:EO34,$B18)+COUNTIF('1月'!ES4:ES34,$B18)+COUNTIF('1月'!ET4:ET34,$B18)),0)</f>
        <v>0</v>
      </c>
      <c r="D18" s="76">
        <f>IFERROR(IF($B18="","",COUNTIF('2月'!D4:D34,$B18)+COUNTIF('2月'!E4:E34,$B18)+COUNTIF('2月'!I4:I34,$B18)+COUNTIF('2月'!J4:J34,$B18)+COUNTIF('2月'!N4:N34,$B18)+COUNTIF('2月'!O4:O34,$B18)+COUNTIF('2月'!S4:S34,$B18)+COUNTIF('2月'!T4:T34,$B18)+COUNTIF('2月'!X4:X34,$B18)+COUNTIF('2月'!Y4:Y34,$B18)+COUNTIF('2月'!AC4:AC34,$B18)+COUNTIF('2月'!AD4:AD34,$B18)+COUNTIF('2月'!AH4:AH34,$B18)+COUNTIF('2月'!AI4:AI34,$B18)+COUNTIF('2月'!AM4:AM34,$B18)+COUNTIF('2月'!AN4:AN34,$B18)+COUNTIF('2月'!AR4:AR34,$B18)+COUNTIF('2月'!AS4:AS34,$B18)+COUNTIF('2月'!AW4:AW34,$B18)+COUNTIF('2月'!AX4:AX34,$B18)+COUNTIF('2月'!BB4:BB34,$B18)+COUNTIF('2月'!BC4:BC34,$B18)+COUNTIF('2月'!BG4:BG34,$B18)+COUNTIF('2月'!BH4:BH34,$B18)+COUNTIF('2月'!BL4:BL34,$B18)+COUNTIF('2月'!BM4:BM34,$B18)+COUNTIF('2月'!BQ4:BQ34,$B18)+COUNTIF('2月'!BR4:BR34,$B18)+COUNTIF('2月'!BV4:BV34,$B18)+COUNTIF('2月'!BW4:BW34,$B18)+COUNTIF('2月'!CA4:CA34,$B18)+COUNTIF('2月'!CB4:CB34,$B18)+COUNTIF('2月'!CF4:CF34,$B18)+COUNTIF('2月'!CG4:CG34,$B18)+COUNTIF('2月'!CK4:CK34,$B18)+COUNTIF('2月'!CL4:CL34,$B18)+COUNTIF('2月'!CP4:CP34,$B18)+COUNTIF('2月'!CQ4:CQ34,$B18)+COUNTIF('2月'!CU4:CU34,$B18)+COUNTIF('2月'!CV4:CV34,$B18)+COUNTIF('2月'!CZ4:CZ34,$B18)+COUNTIF('2月'!DA4:DA34,$B18)+COUNTIF('2月'!DE4:DE34,$B18)+COUNTIF('2月'!DF4:DF34,$B18)+COUNTIF('2月'!DJ4:DJ34,$B18)+COUNTIF('2月'!DK4:DK34,$B18)+COUNTIF('2月'!DO4:DO34,$B18)+COUNTIF('2月'!DP4:DP34,$B18)+COUNTIF('2月'!DT4:DT34,$B18)+COUNTIF('2月'!DU4:DU34,$B18)+COUNTIF('2月'!DY4:DY34,$B18)+COUNTIF('2月'!DZ4:DZ34,$B18)+COUNTIF('2月'!ED4:ED34,$B18)+COUNTIF('2月'!EE4:EE34,$B18)+COUNTIF('2月'!EI4:EI34,$B18)+COUNTIF('2月'!EJ4:EJ34,$B18)+COUNTIF('2月'!EN4:EN34,$B18)+COUNTIF('2月'!EO4:EO34,$B18)+COUNTIF('2月'!ES4:ES34,$B18)+COUNTIF('2月'!ET4:ET34,$B18)),0)</f>
        <v>0</v>
      </c>
      <c r="E18" s="76">
        <f>IFERROR(IF($B18="","",COUNTIF('3月'!D4:D34,$B18)+COUNTIF('3月'!E4:E34,$B18)+COUNTIF('3月'!I4:I34,$B18)+COUNTIF('3月'!J4:J34,$B18)+COUNTIF('3月'!N4:N34,$B18)+COUNTIF('3月'!O4:O34,$B18)+COUNTIF('3月'!S4:S34,$B18)+COUNTIF('3月'!T4:T34,$B18)+COUNTIF('3月'!X4:X34,$B18)+COUNTIF('3月'!Y4:Y34,$B18)+COUNTIF('3月'!AC4:AC34,$B18)+COUNTIF('3月'!AD4:AD34,$B18)+COUNTIF('3月'!AH4:AH34,$B18)+COUNTIF('3月'!AI4:AI34,$B18)+COUNTIF('3月'!AM4:AM34,$B18)+COUNTIF('3月'!AN4:AN34,$B18)+COUNTIF('3月'!AR4:AR34,$B18)+COUNTIF('3月'!AS4:AS34,$B18)+COUNTIF('3月'!AW4:AW34,$B18)+COUNTIF('3月'!AX4:AX34,$B18)+COUNTIF('3月'!BB4:BB34,$B18)+COUNTIF('3月'!BC4:BC34,$B18)+COUNTIF('3月'!BG4:BG34,$B18)+COUNTIF('3月'!BH4:BH34,$B18)+COUNTIF('3月'!BL4:BL34,$B18)+COUNTIF('3月'!BM4:BM34,$B18)+COUNTIF('3月'!BQ4:BQ34,$B18)+COUNTIF('3月'!BR4:BR34,$B18)+COUNTIF('3月'!BV4:BV34,$B18)+COUNTIF('3月'!BW4:BW34,$B18)+COUNTIF('3月'!CA4:CA34,$B18)+COUNTIF('3月'!CB4:CB34,$B18)+COUNTIF('3月'!CF4:CF34,$B18)+COUNTIF('3月'!CG4:CG34,$B18)+COUNTIF('3月'!CK4:CK34,$B18)+COUNTIF('3月'!CL4:CL34,$B18)+COUNTIF('3月'!CP4:CP34,$B18)+COUNTIF('3月'!CQ4:CQ34,$B18)+COUNTIF('3月'!CU4:CU34,$B18)+COUNTIF('3月'!CV4:CV34,$B18)+COUNTIF('3月'!CZ4:CZ34,$B18)+COUNTIF('3月'!DA4:DA34,$B18)+COUNTIF('3月'!DE4:DE34,$B18)+COUNTIF('3月'!DF4:DF34,$B18)+COUNTIF('3月'!DJ4:DJ34,$B18)+COUNTIF('3月'!DK4:DK34,$B18)+COUNTIF('3月'!DO4:DO34,$B18)+COUNTIF('3月'!DP4:DP34,$B18)+COUNTIF('3月'!DT4:DT34,$B18)+COUNTIF('3月'!DU4:DU34,$B18)+COUNTIF('3月'!DY4:DY34,$B18)+COUNTIF('3月'!DZ4:DZ34,$B18)+COUNTIF('3月'!ED4:ED34,$B18)+COUNTIF('3月'!EE4:EE34,$B18)+COUNTIF('3月'!EI4:EI34,$B18)+COUNTIF('3月'!EJ4:EJ34,$B18)+COUNTIF('3月'!EN4:EN34,$B18)+COUNTIF('3月'!EO4:EO34,$B18)+COUNTIF('3月'!ES4:ES34,$B18)+COUNTIF('3月'!ET4:ET34,$B18)),0)</f>
        <v>0</v>
      </c>
      <c r="F18" s="76">
        <f>IFERROR(IF($B18="","",COUNTIF('4月'!D4:D34,$B18)+COUNTIF('4月'!E4:E34,$B18)+COUNTIF('4月'!I4:I34,$B18)+COUNTIF('4月'!J4:J34,$B18)+COUNTIF('4月'!N4:N34,$B18)+COUNTIF('4月'!O4:O34,$B18)+COUNTIF('4月'!S4:S34,$B18)+COUNTIF('4月'!T4:T34,$B18)+COUNTIF('4月'!X4:X34,$B18)+COUNTIF('4月'!Y4:Y34,$B18)+COUNTIF('4月'!AC4:AC34,$B18)+COUNTIF('4月'!AD4:AD34,$B18)+COUNTIF('4月'!AH4:AH34,$B18)+COUNTIF('4月'!AI4:AI34,$B18)+COUNTIF('4月'!AM4:AM34,$B18)+COUNTIF('4月'!AN4:AN34,$B18)+COUNTIF('4月'!AR4:AR34,$B18)+COUNTIF('4月'!AS4:AS34,$B18)+COUNTIF('4月'!AW4:AW34,$B18)+COUNTIF('4月'!AX4:AX34,$B18)+COUNTIF('4月'!BB4:BB34,$B18)+COUNTIF('4月'!BC4:BC34,$B18)+COUNTIF('4月'!BG4:BG34,$B18)+COUNTIF('4月'!BH4:BH34,$B18)+COUNTIF('4月'!BL4:BL34,$B18)+COUNTIF('4月'!BM4:BM34,$B18)+COUNTIF('4月'!BQ4:BQ34,$B18)+COUNTIF('4月'!BR4:BR34,$B18)+COUNTIF('4月'!BV4:BV34,$B18)+COUNTIF('4月'!BW4:BW34,$B18)+COUNTIF('4月'!CA4:CA34,$B18)+COUNTIF('4月'!CB4:CB34,$B18)+COUNTIF('4月'!CF4:CF34,$B18)+COUNTIF('4月'!CG4:CG34,$B18)+COUNTIF('4月'!CK4:CK34,$B18)+COUNTIF('4月'!CL4:CL34,$B18)+COUNTIF('4月'!CP4:CP34,$B18)+COUNTIF('4月'!CQ4:CQ34,$B18)+COUNTIF('4月'!CU4:CU34,$B18)+COUNTIF('4月'!CV4:CV34,$B18)+COUNTIF('4月'!CZ4:CZ34,$B18)+COUNTIF('4月'!DA4:DA34,$B18)+COUNTIF('4月'!DE4:DE34,$B18)+COUNTIF('4月'!DF4:DF34,$B18)+COUNTIF('4月'!DJ4:DJ34,$B18)+COUNTIF('4月'!DK4:DK34,$B18)+COUNTIF('4月'!DO4:DO34,$B18)+COUNTIF('4月'!DP4:DP34,$B18)+COUNTIF('4月'!DT4:DT34,$B18)+COUNTIF('4月'!DU4:DU34,$B18)+COUNTIF('4月'!DY4:DY34,$B18)+COUNTIF('4月'!DZ4:DZ34,$B18)+COUNTIF('4月'!ED4:ED34,$B18)+COUNTIF('4月'!EE4:EE34,$B18)+COUNTIF('4月'!EI4:EI34,$B18)+COUNTIF('4月'!EJ4:EJ34,$B18)+COUNTIF('4月'!EN4:EN34,$B18)+COUNTIF('4月'!EO4:EO34,$B18)+COUNTIF('4月'!ES4:ES34,$B18)+COUNTIF('4月'!ET4:ET34,$B18)),0)</f>
        <v>0</v>
      </c>
      <c r="G18" s="76">
        <f>IFERROR(IF($B18="","",COUNTIF('5月'!D4:D34,$B18)+COUNTIF('5月'!E4:E34,$B18)+COUNTIF('5月'!I4:I34,$B18)+COUNTIF('5月'!J4:J34,$B18)+COUNTIF('5月'!N4:N34,$B18)+COUNTIF('5月'!O4:O34,$B18)+COUNTIF('5月'!S4:S34,$B18)+COUNTIF('5月'!T4:T34,$B18)+COUNTIF('5月'!X4:X34,$B18)+COUNTIF('5月'!Y4:Y34,$B18)+COUNTIF('5月'!AC4:AC34,$B18)+COUNTIF('5月'!AD4:AD34,$B18)+COUNTIF('5月'!AH4:AH34,$B18)+COUNTIF('5月'!AI4:AI34,$B18)+COUNTIF('5月'!AM4:AM34,$B18)+COUNTIF('5月'!AN4:AN34,$B18)+COUNTIF('5月'!AR4:AR34,$B18)+COUNTIF('5月'!AS4:AS34,$B18)+COUNTIF('5月'!AW4:AW34,$B18)+COUNTIF('5月'!AX4:AX34,$B18)+COUNTIF('5月'!BB4:BB34,$B18)+COUNTIF('5月'!BC4:BC34,$B18)+COUNTIF('5月'!BG4:BG34,$B18)+COUNTIF('5月'!BH4:BH34,$B18)+COUNTIF('5月'!BL4:BL34,$B18)+COUNTIF('5月'!BM4:BM34,$B18)+COUNTIF('5月'!BQ4:BQ34,$B18)+COUNTIF('5月'!BR4:BR34,$B18)+COUNTIF('5月'!BV4:BV34,$B18)+COUNTIF('5月'!BW4:BW34,$B18)+COUNTIF('5月'!CA4:CA34,$B18)+COUNTIF('5月'!CB4:CB34,$B18)+COUNTIF('5月'!CF4:CF34,$B18)+COUNTIF('5月'!CG4:CG34,$B18)+COUNTIF('5月'!CK4:CK34,$B18)+COUNTIF('5月'!CL4:CL34,$B18)+COUNTIF('5月'!CP4:CP34,$B18)+COUNTIF('5月'!CQ4:CQ34,$B18)+COUNTIF('5月'!CU4:CU34,$B18)+COUNTIF('5月'!CV4:CV34,$B18)+COUNTIF('5月'!CZ4:CZ34,$B18)+COUNTIF('5月'!DA4:DA34,$B18)+COUNTIF('5月'!DE4:DE34,$B18)+COUNTIF('5月'!DF4:DF34,$B18)+COUNTIF('5月'!DJ4:DJ34,$B18)+COUNTIF('5月'!DK4:DK34,$B18)+COUNTIF('5月'!DO4:DO34,$B18)+COUNTIF('5月'!DP4:DP34,$B18)+COUNTIF('5月'!DT4:DT34,$B18)+COUNTIF('5月'!DU4:DU34,$B18)+COUNTIF('5月'!DY4:DY34,$B18)+COUNTIF('5月'!DZ4:DZ34,$B18)+COUNTIF('5月'!ED4:ED34,$B18)+COUNTIF('5月'!EE4:EE34,$B18)+COUNTIF('5月'!EI4:EI34,$B18)+COUNTIF('5月'!EJ4:EJ34,$B18)+COUNTIF('5月'!EN4:EN34,$B18)+COUNTIF('5月'!EO4:EO34,$B18)+COUNTIF('5月'!ES4:ES34,$B18)+COUNTIF('5月'!ET4:ET34,$B18)),0)</f>
        <v>0</v>
      </c>
      <c r="H18" s="76">
        <f>IFERROR(IF($B18="","",COUNTIF('6月'!D4:D34,$B18)+COUNTIF('6月'!E4:E34,$B18)+COUNTIF('6月'!I4:I34,$B18)+COUNTIF('6月'!J4:J34,$B18)+COUNTIF('6月'!N4:N34,$B18)+COUNTIF('6月'!O4:O34,$B18)+COUNTIF('6月'!S4:S34,$B18)+COUNTIF('6月'!T4:T34,$B18)+COUNTIF('6月'!X4:X34,$B18)+COUNTIF('6月'!Y4:Y34,$B18)+COUNTIF('6月'!AC4:AC34,$B18)+COUNTIF('6月'!AD4:AD34,$B18)+COUNTIF('6月'!AH4:AH34,$B18)+COUNTIF('6月'!AI4:AI34,$B18)+COUNTIF('6月'!AM4:AM34,$B18)+COUNTIF('6月'!AN4:AN34,$B18)+COUNTIF('6月'!AR4:AR34,$B18)+COUNTIF('6月'!AS4:AS34,$B18)+COUNTIF('6月'!AW4:AW34,$B18)+COUNTIF('6月'!AX4:AX34,$B18)+COUNTIF('6月'!BB4:BB34,$B18)+COUNTIF('6月'!BC4:BC34,$B18)+COUNTIF('6月'!BG4:BG34,$B18)+COUNTIF('6月'!BH4:BH34,$B18)+COUNTIF('6月'!BL4:BL34,$B18)+COUNTIF('6月'!BM4:BM34,$B18)+COUNTIF('6月'!BQ4:BQ34,$B18)+COUNTIF('6月'!BR4:BR34,$B18)+COUNTIF('6月'!BV4:BV34,$B18)+COUNTIF('6月'!BW4:BW34,$B18)+COUNTIF('6月'!CA4:CA34,$B18)+COUNTIF('6月'!CB4:CB34,$B18)+COUNTIF('6月'!CF4:CF34,$B18)+COUNTIF('6月'!CG4:CG34,$B18)+COUNTIF('6月'!CK4:CK34,$B18)+COUNTIF('6月'!CL4:CL34,$B18)+COUNTIF('6月'!CP4:CP34,$B18)+COUNTIF('6月'!CQ4:CQ34,$B18)+COUNTIF('6月'!CU4:CU34,$B18)+COUNTIF('6月'!CV4:CV34,$B18)+COUNTIF('6月'!CZ4:CZ34,$B18)+COUNTIF('6月'!DA4:DA34,$B18)+COUNTIF('6月'!DE4:DE34,$B18)+COUNTIF('6月'!DF4:DF34,$B18)+COUNTIF('6月'!DJ4:DJ34,$B18)+COUNTIF('6月'!DK4:DK34,$B18)+COUNTIF('6月'!DO4:DO34,$B18)+COUNTIF('6月'!DP4:DP34,$B18)+COUNTIF('6月'!DT4:DT34,$B18)+COUNTIF('6月'!DU4:DU34,$B18)+COUNTIF('6月'!DY4:DY34,$B18)+COUNTIF('6月'!DZ4:DZ34,$B18)+COUNTIF('6月'!ED4:ED34,$B18)+COUNTIF('6月'!EE4:EE34,$B18)+COUNTIF('6月'!EI4:EI34,$B18)+COUNTIF('6月'!EJ4:EJ34,$B18)+COUNTIF('6月'!EN4:EN34,$B18)+COUNTIF('6月'!EO4:EO34,$B18)+COUNTIF('6月'!ES4:ES34,$B18)+COUNTIF('6月'!ET4:ET34,$B18)),0)</f>
        <v>0</v>
      </c>
      <c r="I18" s="76">
        <f>IFERROR(IF($B18="","",COUNTIF('7月'!D4:D34,$B18)+COUNTIF('7月'!E4:E34,$B18)+COUNTIF('7月'!I4:I34,$B18)+COUNTIF('7月'!J4:J34,$B18)+COUNTIF('7月'!N4:N34,$B18)+COUNTIF('7月'!O4:O34,$B18)+COUNTIF('7月'!S4:S34,$B18)+COUNTIF('7月'!T4:T34,$B18)+COUNTIF('7月'!X4:X34,$B18)+COUNTIF('7月'!Y4:Y34,$B18)+COUNTIF('7月'!AC4:AC34,$B18)+COUNTIF('7月'!AD4:AD34,$B18)+COUNTIF('7月'!AH4:AH34,$B18)+COUNTIF('7月'!AI4:AI34,$B18)+COUNTIF('7月'!AM4:AM34,$B18)+COUNTIF('7月'!AN4:AN34,$B18)+COUNTIF('7月'!AR4:AR34,$B18)+COUNTIF('7月'!AS4:AS34,$B18)+COUNTIF('7月'!AW4:AW34,$B18)+COUNTIF('7月'!AX4:AX34,$B18)+COUNTIF('7月'!BB4:BB34,$B18)+COUNTIF('7月'!BC4:BC34,$B18)+COUNTIF('7月'!BG4:BG34,$B18)+COUNTIF('7月'!BH4:BH34,$B18)+COUNTIF('7月'!BL4:BL34,$B18)+COUNTIF('7月'!BM4:BM34,$B18)+COUNTIF('7月'!BQ4:BQ34,$B18)+COUNTIF('7月'!BR4:BR34,$B18)+COUNTIF('7月'!BV4:BV34,$B18)+COUNTIF('7月'!BW4:BW34,$B18)+COUNTIF('7月'!CA4:CA34,$B18)+COUNTIF('7月'!CB4:CB34,$B18)+COUNTIF('7月'!CF4:CF34,$B18)+COUNTIF('7月'!CG4:CG34,$B18)+COUNTIF('7月'!CK4:CK34,$B18)+COUNTIF('7月'!CL4:CL34,$B18)+COUNTIF('7月'!CP4:CP34,$B18)+COUNTIF('7月'!CQ4:CQ34,$B18)+COUNTIF('7月'!CU4:CU34,$B18)+COUNTIF('7月'!CV4:CV34,$B18)+COUNTIF('7月'!CZ4:CZ34,$B18)+COUNTIF('7月'!DA4:DA34,$B18)+COUNTIF('7月'!DE4:DE34,$B18)+COUNTIF('7月'!DF4:DF34,$B18)+COUNTIF('7月'!DJ4:DJ34,$B18)+COUNTIF('7月'!DK4:DK34,$B18)+COUNTIF('7月'!DO4:DO34,$B18)+COUNTIF('7月'!DP4:DP34,$B18)+COUNTIF('7月'!DT4:DT34,$B18)+COUNTIF('7月'!DU4:DU34,$B18)+COUNTIF('7月'!DY4:DY34,$B18)+COUNTIF('7月'!DZ4:DZ34,$B18)+COUNTIF('7月'!ED4:ED34,$B18)+COUNTIF('7月'!EE4:EE34,$B18)+COUNTIF('7月'!EI4:EI34,$B18)+COUNTIF('7月'!EJ4:EJ34,$B18)+COUNTIF('7月'!EN4:EN34,$B18)+COUNTIF('7月'!EO4:EO34,$B18)+COUNTIF('7月'!ES4:ES34,$B18)+COUNTIF('7月'!ET4:ET34,$B18)),0)</f>
        <v>0</v>
      </c>
      <c r="J18" s="76">
        <f>IFERROR(IF($B18="","",COUNTIF('8月'!D4:D34,$B18)+COUNTIF('8月'!E4:E34,$B18)+COUNTIF('8月'!I4:I34,$B18)+COUNTIF('8月'!J4:J34,$B18)+COUNTIF('8月'!N4:N34,$B18)+COUNTIF('8月'!O4:O34,$B18)+COUNTIF('8月'!S4:S34,$B18)+COUNTIF('8月'!T4:T34,$B18)+COUNTIF('8月'!X4:X34,$B18)+COUNTIF('8月'!Y4:Y34,$B18)+COUNTIF('8月'!AC4:AC34,$B18)+COUNTIF('8月'!AD4:AD34,$B18)+COUNTIF('8月'!AH4:AH34,$B18)+COUNTIF('8月'!AI4:AI34,$B18)+COUNTIF('8月'!AM4:AM34,$B18)+COUNTIF('8月'!AN4:AN34,$B18)+COUNTIF('8月'!AR4:AR34,$B18)+COUNTIF('8月'!AS4:AS34,$B18)+COUNTIF('8月'!AW4:AW34,$B18)+COUNTIF('8月'!AX4:AX34,$B18)+COUNTIF('8月'!BB4:BB34,$B18)+COUNTIF('8月'!BC4:BC34,$B18)+COUNTIF('8月'!BG4:BG34,$B18)+COUNTIF('8月'!BH4:BH34,$B18)+COUNTIF('8月'!BL4:BL34,$B18)+COUNTIF('8月'!BM4:BM34,$B18)+COUNTIF('8月'!BQ4:BQ34,$B18)+COUNTIF('8月'!BR4:BR34,$B18)+COUNTIF('8月'!BV4:BV34,$B18)+COUNTIF('8月'!BW4:BW34,$B18)+COUNTIF('8月'!CA4:CA34,$B18)+COUNTIF('8月'!CB4:CB34,$B18)+COUNTIF('8月'!CF4:CF34,$B18)+COUNTIF('8月'!CG4:CG34,$B18)+COUNTIF('8月'!CK4:CK34,$B18)+COUNTIF('8月'!CL4:CL34,$B18)+COUNTIF('8月'!CP4:CP34,$B18)+COUNTIF('8月'!CQ4:CQ34,$B18)+COUNTIF('8月'!CU4:CU34,$B18)+COUNTIF('8月'!CV4:CV34,$B18)+COUNTIF('8月'!CZ4:CZ34,$B18)+COUNTIF('8月'!DA4:DA34,$B18)+COUNTIF('8月'!DE4:DE34,$B18)+COUNTIF('8月'!DF4:DF34,$B18)+COUNTIF('8月'!DJ4:DJ34,$B18)+COUNTIF('8月'!DK4:DK34,$B18)+COUNTIF('8月'!DO4:DO34,$B18)+COUNTIF('8月'!DP4:DP34,$B18)+COUNTIF('8月'!DT4:DT34,$B18)+COUNTIF('8月'!DU4:DU34,$B18)+COUNTIF('8月'!DY4:DY34,$B18)+COUNTIF('8月'!DZ4:DZ34,$B18)+COUNTIF('8月'!ED4:ED34,$B18)+COUNTIF('8月'!EE4:EE34,$B18)+COUNTIF('8月'!EI4:EI34,$B18)+COUNTIF('8月'!EJ4:EJ34,$B18)+COUNTIF('8月'!EN4:EN34,$B18)+COUNTIF('8月'!EO4:EO34,$B18)+COUNTIF('8月'!ES4:ES34,$B18)+COUNTIF('8月'!ET4:ET34,$B18)),0)</f>
        <v>0</v>
      </c>
      <c r="K18" s="76">
        <f>IFERROR(IF($B18="","",COUNTIF('9月'!D4:D34,$B18)+COUNTIF('9月'!E4:E34,$B18)+COUNTIF('9月'!I4:I34,$B18)+COUNTIF('9月'!J4:J34,$B18)+COUNTIF('9月'!N4:N34,$B18)+COUNTIF('9月'!O4:O34,$B18)+COUNTIF('9月'!S4:S34,$B18)+COUNTIF('9月'!T4:T34,$B18)+COUNTIF('9月'!X4:X34,$B18)+COUNTIF('9月'!Y4:Y34,$B18)+COUNTIF('9月'!AC4:AC34,$B18)+COUNTIF('9月'!AD4:AD34,$B18)+COUNTIF('9月'!AH4:AH34,$B18)+COUNTIF('9月'!AI4:AI34,$B18)+COUNTIF('9月'!AM4:AM34,$B18)+COUNTIF('9月'!AN4:AN34,$B18)+COUNTIF('9月'!AR4:AR34,$B18)+COUNTIF('9月'!AS4:AS34,$B18)+COUNTIF('9月'!AW4:AW34,$B18)+COUNTIF('9月'!AX4:AX34,$B18)+COUNTIF('9月'!BB4:BB34,$B18)+COUNTIF('9月'!BC4:BC34,$B18)+COUNTIF('9月'!BG4:BG34,$B18)+COUNTIF('9月'!BH4:BH34,$B18)+COUNTIF('9月'!BL4:BL34,$B18)+COUNTIF('9月'!BM4:BM34,$B18)+COUNTIF('9月'!BQ4:BQ34,$B18)+COUNTIF('9月'!BR4:BR34,$B18)+COUNTIF('9月'!BV4:BV34,$B18)+COUNTIF('9月'!BW4:BW34,$B18)+COUNTIF('9月'!CA4:CA34,$B18)+COUNTIF('9月'!CB4:CB34,$B18)+COUNTIF('9月'!CF4:CF34,$B18)+COUNTIF('9月'!CG4:CG34,$B18)+COUNTIF('9月'!CK4:CK34,$B18)+COUNTIF('9月'!CL4:CL34,$B18)+COUNTIF('9月'!CP4:CP34,$B18)+COUNTIF('9月'!CQ4:CQ34,$B18)+COUNTIF('9月'!CU4:CU34,$B18)+COUNTIF('9月'!CV4:CV34,$B18)+COUNTIF('9月'!CZ4:CZ34,$B18)+COUNTIF('9月'!DA4:DA34,$B18)+COUNTIF('9月'!DE4:DE34,$B18)+COUNTIF('9月'!DF4:DF34,$B18)+COUNTIF('9月'!DJ4:DJ34,$B18)+COUNTIF('9月'!DK4:DK34,$B18)+COUNTIF('9月'!DO4:DO34,$B18)+COUNTIF('9月'!DP4:DP34,$B18)+COUNTIF('9月'!DT4:DT34,$B18)+COUNTIF('9月'!DU4:DU34,$B18)+COUNTIF('9月'!DY4:DY34,$B18)+COUNTIF('9月'!DZ4:DZ34,$B18)+COUNTIF('9月'!ED4:ED34,$B18)+COUNTIF('9月'!EE4:EE34,$B18)+COUNTIF('9月'!EI4:EI34,$B18)+COUNTIF('9月'!EJ4:EJ34,$B18)+COUNTIF('9月'!EN4:EN34,$B18)+COUNTIF('9月'!EO4:EO34,$B18)+COUNTIF('9月'!ES4:ES34,$B18)+COUNTIF('9月'!ET4:ET34,$B18)),0)</f>
        <v>0</v>
      </c>
      <c r="L18" s="76">
        <f>IFERROR(IF($B18="","",COUNTIF('10月'!D4:D34,$B18)+COUNTIF('10月'!E4:E34,$B18)+COUNTIF('10月'!I4:I34,$B18)+COUNTIF('10月'!J4:J34,$B18)+COUNTIF('10月'!N4:N34,$B18)+COUNTIF('10月'!O4:O34,$B18)+COUNTIF('10月'!S4:S34,$B18)+COUNTIF('10月'!T4:T34,$B18)+COUNTIF('10月'!X4:X34,$B18)+COUNTIF('10月'!Y4:Y34,$B18)+COUNTIF('10月'!AC4:AC34,$B18)+COUNTIF('10月'!AD4:AD34,$B18)+COUNTIF('10月'!AH4:AH34,$B18)+COUNTIF('10月'!AI4:AI34,$B18)+COUNTIF('10月'!AM4:AM34,$B18)+COUNTIF('10月'!AN4:AN34,$B18)+COUNTIF('10月'!AR4:AR34,$B18)+COUNTIF('10月'!AS4:AS34,$B18)+COUNTIF('10月'!AW4:AW34,$B18)+COUNTIF('10月'!AX4:AX34,$B18)+COUNTIF('10月'!BB4:BB34,$B18)+COUNTIF('10月'!BC4:BC34,$B18)+COUNTIF('10月'!BG4:BG34,$B18)+COUNTIF('10月'!BH4:BH34,$B18)+COUNTIF('10月'!BL4:BL34,$B18)+COUNTIF('10月'!BM4:BM34,$B18)+COUNTIF('10月'!BQ4:BQ34,$B18)+COUNTIF('10月'!BR4:BR34,$B18)+COUNTIF('10月'!BV4:BV34,$B18)+COUNTIF('10月'!BW4:BW34,$B18)+COUNTIF('10月'!CA4:CA34,$B18)+COUNTIF('10月'!CB4:CB34,$B18)+COUNTIF('10月'!CF4:CF34,$B18)+COUNTIF('10月'!CG4:CG34,$B18)+COUNTIF('10月'!CK4:CK34,$B18)+COUNTIF('10月'!CL4:CL34,$B18)+COUNTIF('10月'!CP4:CP34,$B18)+COUNTIF('10月'!CQ4:CQ34,$B18)+COUNTIF('10月'!CU4:CU34,$B18)+COUNTIF('10月'!CV4:CV34,$B18)+COUNTIF('10月'!CZ4:CZ34,$B18)+COUNTIF('10月'!DA4:DA34,$B18)+COUNTIF('10月'!DE4:DE34,$B18)+COUNTIF('10月'!DF4:DF34,$B18)+COUNTIF('10月'!DJ4:DJ34,$B18)+COUNTIF('10月'!DK4:DK34,$B18)+COUNTIF('10月'!DO4:DO34,$B18)+COUNTIF('10月'!DP4:DP34,$B18)+COUNTIF('10月'!DT4:DT34,$B18)+COUNTIF('10月'!DU4:DU34,$B18)+COUNTIF('10月'!DY4:DY34,$B18)+COUNTIF('10月'!DZ4:DZ34,$B18)+COUNTIF('10月'!ED4:ED34,$B18)+COUNTIF('10月'!EE4:EE34,$B18)+COUNTIF('10月'!EI4:EI34,$B18)+COUNTIF('10月'!EJ4:EJ34,$B18)+COUNTIF('10月'!EN4:EN34,$B18)+COUNTIF('10月'!EO4:EO34,$B18)+COUNTIF('10月'!ES4:ES34,$B18)+COUNTIF('10月'!ET4:ET34,$B18)),0)</f>
        <v>0</v>
      </c>
      <c r="M18" s="76">
        <f>IFERROR(IF($B18="","",COUNTIF('11月'!D4:D34,$B18)+COUNTIF('11月'!E4:E34,$B18)+COUNTIF('11月'!I4:I34,$B18)+COUNTIF('11月'!J4:J34,$B18)+COUNTIF('11月'!N4:N34,$B18)+COUNTIF('11月'!O4:O34,$B18)+COUNTIF('11月'!S4:S34,$B18)+COUNTIF('11月'!T4:T34,$B18)+COUNTIF('11月'!X4:X34,$B18)+COUNTIF('11月'!Y4:Y34,$B18)+COUNTIF('11月'!AC4:AC34,$B18)+COUNTIF('11月'!AD4:AD34,$B18)+COUNTIF('11月'!AH4:AH34,$B18)+COUNTIF('11月'!AI4:AI34,$B18)+COUNTIF('11月'!AM4:AM34,$B18)+COUNTIF('11月'!AN4:AN34,$B18)+COUNTIF('11月'!AR4:AR34,$B18)+COUNTIF('11月'!AS4:AS34,$B18)+COUNTIF('11月'!AW4:AW34,$B18)+COUNTIF('11月'!AX4:AX34,$B18)+COUNTIF('11月'!BB4:BB34,$B18)+COUNTIF('11月'!BC4:BC34,$B18)+COUNTIF('11月'!BG4:BG34,$B18)+COUNTIF('11月'!BH4:BH34,$B18)+COUNTIF('11月'!BL4:BL34,$B18)+COUNTIF('11月'!BM4:BM34,$B18)+COUNTIF('11月'!BQ4:BQ34,$B18)+COUNTIF('11月'!BR4:BR34,$B18)+COUNTIF('11月'!BV4:BV34,$B18)+COUNTIF('11月'!BW4:BW34,$B18)+COUNTIF('11月'!CA4:CA34,$B18)+COUNTIF('11月'!CB4:CB34,$B18)+COUNTIF('11月'!CF4:CF34,$B18)+COUNTIF('11月'!CG4:CG34,$B18)+COUNTIF('11月'!CK4:CK34,$B18)+COUNTIF('11月'!CL4:CL34,$B18)+COUNTIF('11月'!CP4:CP34,$B18)+COUNTIF('11月'!CQ4:CQ34,$B18)+COUNTIF('11月'!CU4:CU34,$B18)+COUNTIF('11月'!CV4:CV34,$B18)+COUNTIF('11月'!CZ4:CZ34,$B18)+COUNTIF('11月'!DA4:DA34,$B18)+COUNTIF('11月'!DE4:DE34,$B18)+COUNTIF('11月'!DF4:DF34,$B18)+COUNTIF('11月'!DJ4:DJ34,$B18)+COUNTIF('11月'!DK4:DK34,$B18)+COUNTIF('11月'!DO4:DO34,$B18)+COUNTIF('11月'!DP4:DP34,$B18)+COUNTIF('11月'!DT4:DT34,$B18)+COUNTIF('11月'!DU4:DU34,$B18)+COUNTIF('11月'!DY4:DY34,$B18)+COUNTIF('11月'!DZ4:DZ34,$B18)+COUNTIF('11月'!ED4:ED34,$B18)+COUNTIF('11月'!EE4:EE34,$B18)+COUNTIF('11月'!EI4:EI34,$B18)+COUNTIF('11月'!EJ4:EJ34,$B18)+COUNTIF('11月'!EN4:EN34,$B18)+COUNTIF('11月'!EO4:EO34,$B18)+COUNTIF('11月'!ES4:ES34,$B18)+COUNTIF('11月'!ET4:ET34,$B18)),0)</f>
        <v>0</v>
      </c>
      <c r="N18" s="76">
        <f>IFERROR(IF($B18="","",COUNTIF('12月'!D4:D34,$B18)+COUNTIF('12月'!E4:E34,$B18)+COUNTIF('12月'!I4:I34,$B18)+COUNTIF('12月'!J4:J34,$B18)+COUNTIF('12月'!N4:N34,$B18)+COUNTIF('12月'!O4:O34,$B18)+COUNTIF('12月'!S4:S34,$B18)+COUNTIF('12月'!T4:T34,$B18)+COUNTIF('12月'!X4:X34,$B18)+COUNTIF('12月'!Y4:Y34,$B18)+COUNTIF('12月'!AC4:AC34,$B18)+COUNTIF('12月'!AD4:AD34,$B18)+COUNTIF('12月'!AH4:AH34,$B18)+COUNTIF('12月'!AI4:AI34,$B18)+COUNTIF('12月'!AM4:AM34,$B18)+COUNTIF('12月'!AN4:AN34,$B18)+COUNTIF('12月'!AR4:AR34,$B18)+COUNTIF('12月'!AS4:AS34,$B18)+COUNTIF('12月'!AW4:AW34,$B18)+COUNTIF('12月'!AX4:AX34,$B18)+COUNTIF('12月'!BB4:BB34,$B18)+COUNTIF('12月'!BC4:BC34,$B18)+COUNTIF('12月'!BG4:BG34,$B18)+COUNTIF('12月'!BH4:BH34,$B18)+COUNTIF('12月'!BL4:BL34,$B18)+COUNTIF('12月'!BM4:BM34,$B18)+COUNTIF('12月'!BQ4:BQ34,$B18)+COUNTIF('12月'!BR4:BR34,$B18)+COUNTIF('12月'!BV4:BV34,$B18)+COUNTIF('12月'!BW4:BW34,$B18)+COUNTIF('12月'!CA4:CA34,$B18)+COUNTIF('12月'!CB4:CB34,$B18)+COUNTIF('12月'!CF4:CF34,$B18)+COUNTIF('12月'!CG4:CG34,$B18)+COUNTIF('12月'!CK4:CK34,$B18)+COUNTIF('12月'!CL4:CL34,$B18)+COUNTIF('12月'!CP4:CP34,$B18)+COUNTIF('12月'!CQ4:CQ34,$B18)+COUNTIF('12月'!CU4:CU34,$B18)+COUNTIF('12月'!CV4:CV34,$B18)+COUNTIF('12月'!CZ4:CZ34,$B18)+COUNTIF('12月'!DA4:DA34,$B18)+COUNTIF('12月'!DE4:DE34,$B18)+COUNTIF('12月'!DF4:DF34,$B18)+COUNTIF('12月'!DJ4:DJ34,$B18)+COUNTIF('12月'!DK4:DK34,$B18)+COUNTIF('12月'!DO4:DO34,$B18)+COUNTIF('12月'!DP4:DP34,$B18)+COUNTIF('12月'!DT4:DT34,$B18)+COUNTIF('12月'!DU4:DU34,$B18)+COUNTIF('12月'!DY4:DY34,$B18)+COUNTIF('12月'!DZ4:DZ34,$B18)+COUNTIF('12月'!ED4:ED34,$B18)+COUNTIF('12月'!EE4:EE34,$B18)+COUNTIF('12月'!EI4:EI34,$B18)+COUNTIF('12月'!EJ4:EJ34,$B18)+COUNTIF('12月'!EN4:EN34,$B18)+COUNTIF('12月'!EO4:EO34,$B18)+COUNTIF('12月'!ES4:ES34,$B18)+COUNTIF('12月'!ET4:ET34,$B18)),0)</f>
        <v>0</v>
      </c>
      <c r="O18" s="78">
        <f t="shared" si="0"/>
        <v>0</v>
      </c>
    </row>
    <row r="19" spans="1:15" ht="19.5" customHeight="1">
      <c r="A19" s="76">
        <v>17</v>
      </c>
      <c r="B19" s="77">
        <f>IFERROR(現場マスタ!$C$20,"")</f>
        <v>0</v>
      </c>
      <c r="C19" s="76">
        <f>IFERROR(IF($B19="","",COUNTIF('1月'!D4:D34,$B19)+COUNTIF('1月'!E4:E34,$B19)+COUNTIF('1月'!I4:I34,$B19)+COUNTIF('1月'!J4:J34,$B19)+COUNTIF('1月'!N4:N34,$B19)+COUNTIF('1月'!O4:O34,$B19)+COUNTIF('1月'!S4:S34,$B19)+COUNTIF('1月'!T4:T34,$B19)+COUNTIF('1月'!X4:X34,$B19)+COUNTIF('1月'!Y4:Y34,$B19)+COUNTIF('1月'!AC4:AC34,$B19)+COUNTIF('1月'!AD4:AD34,$B19)+COUNTIF('1月'!AH4:AH34,$B19)+COUNTIF('1月'!AI4:AI34,$B19)+COUNTIF('1月'!AM4:AM34,$B19)+COUNTIF('1月'!AN4:AN34,$B19)+COUNTIF('1月'!AR4:AR34,$B19)+COUNTIF('1月'!AS4:AS34,$B19)+COUNTIF('1月'!AW4:AW34,$B19)+COUNTIF('1月'!AX4:AX34,$B19)+COUNTIF('1月'!BB4:BB34,$B19)+COUNTIF('1月'!BC4:BC34,$B19)+COUNTIF('1月'!BG4:BG34,$B19)+COUNTIF('1月'!BH4:BH34,$B19)+COUNTIF('1月'!BL4:BL34,$B19)+COUNTIF('1月'!BM4:BM34,$B19)+COUNTIF('1月'!BQ4:BQ34,$B19)+COUNTIF('1月'!BR4:BR34,$B19)+COUNTIF('1月'!BV4:BV34,$B19)+COUNTIF('1月'!BW4:BW34,$B19)+COUNTIF('1月'!CA4:CA34,$B19)+COUNTIF('1月'!CB4:CB34,$B19)+COUNTIF('1月'!CF4:CF34,$B19)+COUNTIF('1月'!CG4:CG34,$B19)+COUNTIF('1月'!CK4:CK34,$B19)+COUNTIF('1月'!CL4:CL34,$B19)+COUNTIF('1月'!CP4:CP34,$B19)+COUNTIF('1月'!CQ4:CQ34,$B19)+COUNTIF('1月'!CU4:CU34,$B19)+COUNTIF('1月'!CV4:CV34,$B19)+COUNTIF('1月'!CZ4:CZ34,$B19)+COUNTIF('1月'!DA4:DA34,$B19)+COUNTIF('1月'!DE4:DE34,$B19)+COUNTIF('1月'!DF4:DF34,$B19)+COUNTIF('1月'!DJ4:DJ34,$B19)+COUNTIF('1月'!DK4:DK34,$B19)+COUNTIF('1月'!DO4:DO34,$B19)+COUNTIF('1月'!DP4:DP34,$B19)+COUNTIF('1月'!DT4:DT34,$B19)+COUNTIF('1月'!DU4:DU34,$B19)+COUNTIF('1月'!DY4:DY34,$B19)+COUNTIF('1月'!DZ4:DZ34,$B19)+COUNTIF('1月'!ED4:ED34,$B19)+COUNTIF('1月'!EE4:EE34,$B19)+COUNTIF('1月'!EI4:EI34,$B19)+COUNTIF('1月'!EJ4:EJ34,$B19)+COUNTIF('1月'!EN4:EN34,$B19)+COUNTIF('1月'!EO4:EO34,$B19)+COUNTIF('1月'!ES4:ES34,$B19)+COUNTIF('1月'!ET4:ET34,$B19)),0)</f>
        <v>0</v>
      </c>
      <c r="D19" s="76">
        <f>IFERROR(IF($B19="","",COUNTIF('2月'!D4:D34,$B19)+COUNTIF('2月'!E4:E34,$B19)+COUNTIF('2月'!I4:I34,$B19)+COUNTIF('2月'!J4:J34,$B19)+COUNTIF('2月'!N4:N34,$B19)+COUNTIF('2月'!O4:O34,$B19)+COUNTIF('2月'!S4:S34,$B19)+COUNTIF('2月'!T4:T34,$B19)+COUNTIF('2月'!X4:X34,$B19)+COUNTIF('2月'!Y4:Y34,$B19)+COUNTIF('2月'!AC4:AC34,$B19)+COUNTIF('2月'!AD4:AD34,$B19)+COUNTIF('2月'!AH4:AH34,$B19)+COUNTIF('2月'!AI4:AI34,$B19)+COUNTIF('2月'!AM4:AM34,$B19)+COUNTIF('2月'!AN4:AN34,$B19)+COUNTIF('2月'!AR4:AR34,$B19)+COUNTIF('2月'!AS4:AS34,$B19)+COUNTIF('2月'!AW4:AW34,$B19)+COUNTIF('2月'!AX4:AX34,$B19)+COUNTIF('2月'!BB4:BB34,$B19)+COUNTIF('2月'!BC4:BC34,$B19)+COUNTIF('2月'!BG4:BG34,$B19)+COUNTIF('2月'!BH4:BH34,$B19)+COUNTIF('2月'!BL4:BL34,$B19)+COUNTIF('2月'!BM4:BM34,$B19)+COUNTIF('2月'!BQ4:BQ34,$B19)+COUNTIF('2月'!BR4:BR34,$B19)+COUNTIF('2月'!BV4:BV34,$B19)+COUNTIF('2月'!BW4:BW34,$B19)+COUNTIF('2月'!CA4:CA34,$B19)+COUNTIF('2月'!CB4:CB34,$B19)+COUNTIF('2月'!CF4:CF34,$B19)+COUNTIF('2月'!CG4:CG34,$B19)+COUNTIF('2月'!CK4:CK34,$B19)+COUNTIF('2月'!CL4:CL34,$B19)+COUNTIF('2月'!CP4:CP34,$B19)+COUNTIF('2月'!CQ4:CQ34,$B19)+COUNTIF('2月'!CU4:CU34,$B19)+COUNTIF('2月'!CV4:CV34,$B19)+COUNTIF('2月'!CZ4:CZ34,$B19)+COUNTIF('2月'!DA4:DA34,$B19)+COUNTIF('2月'!DE4:DE34,$B19)+COUNTIF('2月'!DF4:DF34,$B19)+COUNTIF('2月'!DJ4:DJ34,$B19)+COUNTIF('2月'!DK4:DK34,$B19)+COUNTIF('2月'!DO4:DO34,$B19)+COUNTIF('2月'!DP4:DP34,$B19)+COUNTIF('2月'!DT4:DT34,$B19)+COUNTIF('2月'!DU4:DU34,$B19)+COUNTIF('2月'!DY4:DY34,$B19)+COUNTIF('2月'!DZ4:DZ34,$B19)+COUNTIF('2月'!ED4:ED34,$B19)+COUNTIF('2月'!EE4:EE34,$B19)+COUNTIF('2月'!EI4:EI34,$B19)+COUNTIF('2月'!EJ4:EJ34,$B19)+COUNTIF('2月'!EN4:EN34,$B19)+COUNTIF('2月'!EO4:EO34,$B19)+COUNTIF('2月'!ES4:ES34,$B19)+COUNTIF('2月'!ET4:ET34,$B19)),0)</f>
        <v>0</v>
      </c>
      <c r="E19" s="76">
        <f>IFERROR(IF($B19="","",COUNTIF('3月'!D4:D34,$B19)+COUNTIF('3月'!E4:E34,$B19)+COUNTIF('3月'!I4:I34,$B19)+COUNTIF('3月'!J4:J34,$B19)+COUNTIF('3月'!N4:N34,$B19)+COUNTIF('3月'!O4:O34,$B19)+COUNTIF('3月'!S4:S34,$B19)+COUNTIF('3月'!T4:T34,$B19)+COUNTIF('3月'!X4:X34,$B19)+COUNTIF('3月'!Y4:Y34,$B19)+COUNTIF('3月'!AC4:AC34,$B19)+COUNTIF('3月'!AD4:AD34,$B19)+COUNTIF('3月'!AH4:AH34,$B19)+COUNTIF('3月'!AI4:AI34,$B19)+COUNTIF('3月'!AM4:AM34,$B19)+COUNTIF('3月'!AN4:AN34,$B19)+COUNTIF('3月'!AR4:AR34,$B19)+COUNTIF('3月'!AS4:AS34,$B19)+COUNTIF('3月'!AW4:AW34,$B19)+COUNTIF('3月'!AX4:AX34,$B19)+COUNTIF('3月'!BB4:BB34,$B19)+COUNTIF('3月'!BC4:BC34,$B19)+COUNTIF('3月'!BG4:BG34,$B19)+COUNTIF('3月'!BH4:BH34,$B19)+COUNTIF('3月'!BL4:BL34,$B19)+COUNTIF('3月'!BM4:BM34,$B19)+COUNTIF('3月'!BQ4:BQ34,$B19)+COUNTIF('3月'!BR4:BR34,$B19)+COUNTIF('3月'!BV4:BV34,$B19)+COUNTIF('3月'!BW4:BW34,$B19)+COUNTIF('3月'!CA4:CA34,$B19)+COUNTIF('3月'!CB4:CB34,$B19)+COUNTIF('3月'!CF4:CF34,$B19)+COUNTIF('3月'!CG4:CG34,$B19)+COUNTIF('3月'!CK4:CK34,$B19)+COUNTIF('3月'!CL4:CL34,$B19)+COUNTIF('3月'!CP4:CP34,$B19)+COUNTIF('3月'!CQ4:CQ34,$B19)+COUNTIF('3月'!CU4:CU34,$B19)+COUNTIF('3月'!CV4:CV34,$B19)+COUNTIF('3月'!CZ4:CZ34,$B19)+COUNTIF('3月'!DA4:DA34,$B19)+COUNTIF('3月'!DE4:DE34,$B19)+COUNTIF('3月'!DF4:DF34,$B19)+COUNTIF('3月'!DJ4:DJ34,$B19)+COUNTIF('3月'!DK4:DK34,$B19)+COUNTIF('3月'!DO4:DO34,$B19)+COUNTIF('3月'!DP4:DP34,$B19)+COUNTIF('3月'!DT4:DT34,$B19)+COUNTIF('3月'!DU4:DU34,$B19)+COUNTIF('3月'!DY4:DY34,$B19)+COUNTIF('3月'!DZ4:DZ34,$B19)+COUNTIF('3月'!ED4:ED34,$B19)+COUNTIF('3月'!EE4:EE34,$B19)+COUNTIF('3月'!EI4:EI34,$B19)+COUNTIF('3月'!EJ4:EJ34,$B19)+COUNTIF('3月'!EN4:EN34,$B19)+COUNTIF('3月'!EO4:EO34,$B19)+COUNTIF('3月'!ES4:ES34,$B19)+COUNTIF('3月'!ET4:ET34,$B19)),0)</f>
        <v>0</v>
      </c>
      <c r="F19" s="76">
        <f>IFERROR(IF($B19="","",COUNTIF('4月'!D4:D34,$B19)+COUNTIF('4月'!E4:E34,$B19)+COUNTIF('4月'!I4:I34,$B19)+COUNTIF('4月'!J4:J34,$B19)+COUNTIF('4月'!N4:N34,$B19)+COUNTIF('4月'!O4:O34,$B19)+COUNTIF('4月'!S4:S34,$B19)+COUNTIF('4月'!T4:T34,$B19)+COUNTIF('4月'!X4:X34,$B19)+COUNTIF('4月'!Y4:Y34,$B19)+COUNTIF('4月'!AC4:AC34,$B19)+COUNTIF('4月'!AD4:AD34,$B19)+COUNTIF('4月'!AH4:AH34,$B19)+COUNTIF('4月'!AI4:AI34,$B19)+COUNTIF('4月'!AM4:AM34,$B19)+COUNTIF('4月'!AN4:AN34,$B19)+COUNTIF('4月'!AR4:AR34,$B19)+COUNTIF('4月'!AS4:AS34,$B19)+COUNTIF('4月'!AW4:AW34,$B19)+COUNTIF('4月'!AX4:AX34,$B19)+COUNTIF('4月'!BB4:BB34,$B19)+COUNTIF('4月'!BC4:BC34,$B19)+COUNTIF('4月'!BG4:BG34,$B19)+COUNTIF('4月'!BH4:BH34,$B19)+COUNTIF('4月'!BL4:BL34,$B19)+COUNTIF('4月'!BM4:BM34,$B19)+COUNTIF('4月'!BQ4:BQ34,$B19)+COUNTIF('4月'!BR4:BR34,$B19)+COUNTIF('4月'!BV4:BV34,$B19)+COUNTIF('4月'!BW4:BW34,$B19)+COUNTIF('4月'!CA4:CA34,$B19)+COUNTIF('4月'!CB4:CB34,$B19)+COUNTIF('4月'!CF4:CF34,$B19)+COUNTIF('4月'!CG4:CG34,$B19)+COUNTIF('4月'!CK4:CK34,$B19)+COUNTIF('4月'!CL4:CL34,$B19)+COUNTIF('4月'!CP4:CP34,$B19)+COUNTIF('4月'!CQ4:CQ34,$B19)+COUNTIF('4月'!CU4:CU34,$B19)+COUNTIF('4月'!CV4:CV34,$B19)+COUNTIF('4月'!CZ4:CZ34,$B19)+COUNTIF('4月'!DA4:DA34,$B19)+COUNTIF('4月'!DE4:DE34,$B19)+COUNTIF('4月'!DF4:DF34,$B19)+COUNTIF('4月'!DJ4:DJ34,$B19)+COUNTIF('4月'!DK4:DK34,$B19)+COUNTIF('4月'!DO4:DO34,$B19)+COUNTIF('4月'!DP4:DP34,$B19)+COUNTIF('4月'!DT4:DT34,$B19)+COUNTIF('4月'!DU4:DU34,$B19)+COUNTIF('4月'!DY4:DY34,$B19)+COUNTIF('4月'!DZ4:DZ34,$B19)+COUNTIF('4月'!ED4:ED34,$B19)+COUNTIF('4月'!EE4:EE34,$B19)+COUNTIF('4月'!EI4:EI34,$B19)+COUNTIF('4月'!EJ4:EJ34,$B19)+COUNTIF('4月'!EN4:EN34,$B19)+COUNTIF('4月'!EO4:EO34,$B19)+COUNTIF('4月'!ES4:ES34,$B19)+COUNTIF('4月'!ET4:ET34,$B19)),0)</f>
        <v>0</v>
      </c>
      <c r="G19" s="76">
        <f>IFERROR(IF($B19="","",COUNTIF('5月'!D4:D34,$B19)+COUNTIF('5月'!E4:E34,$B19)+COUNTIF('5月'!I4:I34,$B19)+COUNTIF('5月'!J4:J34,$B19)+COUNTIF('5月'!N4:N34,$B19)+COUNTIF('5月'!O4:O34,$B19)+COUNTIF('5月'!S4:S34,$B19)+COUNTIF('5月'!T4:T34,$B19)+COUNTIF('5月'!X4:X34,$B19)+COUNTIF('5月'!Y4:Y34,$B19)+COUNTIF('5月'!AC4:AC34,$B19)+COUNTIF('5月'!AD4:AD34,$B19)+COUNTIF('5月'!AH4:AH34,$B19)+COUNTIF('5月'!AI4:AI34,$B19)+COUNTIF('5月'!AM4:AM34,$B19)+COUNTIF('5月'!AN4:AN34,$B19)+COUNTIF('5月'!AR4:AR34,$B19)+COUNTIF('5月'!AS4:AS34,$B19)+COUNTIF('5月'!AW4:AW34,$B19)+COUNTIF('5月'!AX4:AX34,$B19)+COUNTIF('5月'!BB4:BB34,$B19)+COUNTIF('5月'!BC4:BC34,$B19)+COUNTIF('5月'!BG4:BG34,$B19)+COUNTIF('5月'!BH4:BH34,$B19)+COUNTIF('5月'!BL4:BL34,$B19)+COUNTIF('5月'!BM4:BM34,$B19)+COUNTIF('5月'!BQ4:BQ34,$B19)+COUNTIF('5月'!BR4:BR34,$B19)+COUNTIF('5月'!BV4:BV34,$B19)+COUNTIF('5月'!BW4:BW34,$B19)+COUNTIF('5月'!CA4:CA34,$B19)+COUNTIF('5月'!CB4:CB34,$B19)+COUNTIF('5月'!CF4:CF34,$B19)+COUNTIF('5月'!CG4:CG34,$B19)+COUNTIF('5月'!CK4:CK34,$B19)+COUNTIF('5月'!CL4:CL34,$B19)+COUNTIF('5月'!CP4:CP34,$B19)+COUNTIF('5月'!CQ4:CQ34,$B19)+COUNTIF('5月'!CU4:CU34,$B19)+COUNTIF('5月'!CV4:CV34,$B19)+COUNTIF('5月'!CZ4:CZ34,$B19)+COUNTIF('5月'!DA4:DA34,$B19)+COUNTIF('5月'!DE4:DE34,$B19)+COUNTIF('5月'!DF4:DF34,$B19)+COUNTIF('5月'!DJ4:DJ34,$B19)+COUNTIF('5月'!DK4:DK34,$B19)+COUNTIF('5月'!DO4:DO34,$B19)+COUNTIF('5月'!DP4:DP34,$B19)+COUNTIF('5月'!DT4:DT34,$B19)+COUNTIF('5月'!DU4:DU34,$B19)+COUNTIF('5月'!DY4:DY34,$B19)+COUNTIF('5月'!DZ4:DZ34,$B19)+COUNTIF('5月'!ED4:ED34,$B19)+COUNTIF('5月'!EE4:EE34,$B19)+COUNTIF('5月'!EI4:EI34,$B19)+COUNTIF('5月'!EJ4:EJ34,$B19)+COUNTIF('5月'!EN4:EN34,$B19)+COUNTIF('5月'!EO4:EO34,$B19)+COUNTIF('5月'!ES4:ES34,$B19)+COUNTIF('5月'!ET4:ET34,$B19)),0)</f>
        <v>0</v>
      </c>
      <c r="H19" s="76">
        <f>IFERROR(IF($B19="","",COUNTIF('6月'!D4:D34,$B19)+COUNTIF('6月'!E4:E34,$B19)+COUNTIF('6月'!I4:I34,$B19)+COUNTIF('6月'!J4:J34,$B19)+COUNTIF('6月'!N4:N34,$B19)+COUNTIF('6月'!O4:O34,$B19)+COUNTIF('6月'!S4:S34,$B19)+COUNTIF('6月'!T4:T34,$B19)+COUNTIF('6月'!X4:X34,$B19)+COUNTIF('6月'!Y4:Y34,$B19)+COUNTIF('6月'!AC4:AC34,$B19)+COUNTIF('6月'!AD4:AD34,$B19)+COUNTIF('6月'!AH4:AH34,$B19)+COUNTIF('6月'!AI4:AI34,$B19)+COUNTIF('6月'!AM4:AM34,$B19)+COUNTIF('6月'!AN4:AN34,$B19)+COUNTIF('6月'!AR4:AR34,$B19)+COUNTIF('6月'!AS4:AS34,$B19)+COUNTIF('6月'!AW4:AW34,$B19)+COUNTIF('6月'!AX4:AX34,$B19)+COUNTIF('6月'!BB4:BB34,$B19)+COUNTIF('6月'!BC4:BC34,$B19)+COUNTIF('6月'!BG4:BG34,$B19)+COUNTIF('6月'!BH4:BH34,$B19)+COUNTIF('6月'!BL4:BL34,$B19)+COUNTIF('6月'!BM4:BM34,$B19)+COUNTIF('6月'!BQ4:BQ34,$B19)+COUNTIF('6月'!BR4:BR34,$B19)+COUNTIF('6月'!BV4:BV34,$B19)+COUNTIF('6月'!BW4:BW34,$B19)+COUNTIF('6月'!CA4:CA34,$B19)+COUNTIF('6月'!CB4:CB34,$B19)+COUNTIF('6月'!CF4:CF34,$B19)+COUNTIF('6月'!CG4:CG34,$B19)+COUNTIF('6月'!CK4:CK34,$B19)+COUNTIF('6月'!CL4:CL34,$B19)+COUNTIF('6月'!CP4:CP34,$B19)+COUNTIF('6月'!CQ4:CQ34,$B19)+COUNTIF('6月'!CU4:CU34,$B19)+COUNTIF('6月'!CV4:CV34,$B19)+COUNTIF('6月'!CZ4:CZ34,$B19)+COUNTIF('6月'!DA4:DA34,$B19)+COUNTIF('6月'!DE4:DE34,$B19)+COUNTIF('6月'!DF4:DF34,$B19)+COUNTIF('6月'!DJ4:DJ34,$B19)+COUNTIF('6月'!DK4:DK34,$B19)+COUNTIF('6月'!DO4:DO34,$B19)+COUNTIF('6月'!DP4:DP34,$B19)+COUNTIF('6月'!DT4:DT34,$B19)+COUNTIF('6月'!DU4:DU34,$B19)+COUNTIF('6月'!DY4:DY34,$B19)+COUNTIF('6月'!DZ4:DZ34,$B19)+COUNTIF('6月'!ED4:ED34,$B19)+COUNTIF('6月'!EE4:EE34,$B19)+COUNTIF('6月'!EI4:EI34,$B19)+COUNTIF('6月'!EJ4:EJ34,$B19)+COUNTIF('6月'!EN4:EN34,$B19)+COUNTIF('6月'!EO4:EO34,$B19)+COUNTIF('6月'!ES4:ES34,$B19)+COUNTIF('6月'!ET4:ET34,$B19)),0)</f>
        <v>0</v>
      </c>
      <c r="I19" s="76">
        <f>IFERROR(IF($B19="","",COUNTIF('7月'!D4:D34,$B19)+COUNTIF('7月'!E4:E34,$B19)+COUNTIF('7月'!I4:I34,$B19)+COUNTIF('7月'!J4:J34,$B19)+COUNTIF('7月'!N4:N34,$B19)+COUNTIF('7月'!O4:O34,$B19)+COUNTIF('7月'!S4:S34,$B19)+COUNTIF('7月'!T4:T34,$B19)+COUNTIF('7月'!X4:X34,$B19)+COUNTIF('7月'!Y4:Y34,$B19)+COUNTIF('7月'!AC4:AC34,$B19)+COUNTIF('7月'!AD4:AD34,$B19)+COUNTIF('7月'!AH4:AH34,$B19)+COUNTIF('7月'!AI4:AI34,$B19)+COUNTIF('7月'!AM4:AM34,$B19)+COUNTIF('7月'!AN4:AN34,$B19)+COUNTIF('7月'!AR4:AR34,$B19)+COUNTIF('7月'!AS4:AS34,$B19)+COUNTIF('7月'!AW4:AW34,$B19)+COUNTIF('7月'!AX4:AX34,$B19)+COUNTIF('7月'!BB4:BB34,$B19)+COUNTIF('7月'!BC4:BC34,$B19)+COUNTIF('7月'!BG4:BG34,$B19)+COUNTIF('7月'!BH4:BH34,$B19)+COUNTIF('7月'!BL4:BL34,$B19)+COUNTIF('7月'!BM4:BM34,$B19)+COUNTIF('7月'!BQ4:BQ34,$B19)+COUNTIF('7月'!BR4:BR34,$B19)+COUNTIF('7月'!BV4:BV34,$B19)+COUNTIF('7月'!BW4:BW34,$B19)+COUNTIF('7月'!CA4:CA34,$B19)+COUNTIF('7月'!CB4:CB34,$B19)+COUNTIF('7月'!CF4:CF34,$B19)+COUNTIF('7月'!CG4:CG34,$B19)+COUNTIF('7月'!CK4:CK34,$B19)+COUNTIF('7月'!CL4:CL34,$B19)+COUNTIF('7月'!CP4:CP34,$B19)+COUNTIF('7月'!CQ4:CQ34,$B19)+COUNTIF('7月'!CU4:CU34,$B19)+COUNTIF('7月'!CV4:CV34,$B19)+COUNTIF('7月'!CZ4:CZ34,$B19)+COUNTIF('7月'!DA4:DA34,$B19)+COUNTIF('7月'!DE4:DE34,$B19)+COUNTIF('7月'!DF4:DF34,$B19)+COUNTIF('7月'!DJ4:DJ34,$B19)+COUNTIF('7月'!DK4:DK34,$B19)+COUNTIF('7月'!DO4:DO34,$B19)+COUNTIF('7月'!DP4:DP34,$B19)+COUNTIF('7月'!DT4:DT34,$B19)+COUNTIF('7月'!DU4:DU34,$B19)+COUNTIF('7月'!DY4:DY34,$B19)+COUNTIF('7月'!DZ4:DZ34,$B19)+COUNTIF('7月'!ED4:ED34,$B19)+COUNTIF('7月'!EE4:EE34,$B19)+COUNTIF('7月'!EI4:EI34,$B19)+COUNTIF('7月'!EJ4:EJ34,$B19)+COUNTIF('7月'!EN4:EN34,$B19)+COUNTIF('7月'!EO4:EO34,$B19)+COUNTIF('7月'!ES4:ES34,$B19)+COUNTIF('7月'!ET4:ET34,$B19)),0)</f>
        <v>0</v>
      </c>
      <c r="J19" s="76">
        <f>IFERROR(IF($B19="","",COUNTIF('8月'!D4:D34,$B19)+COUNTIF('8月'!E4:E34,$B19)+COUNTIF('8月'!I4:I34,$B19)+COUNTIF('8月'!J4:J34,$B19)+COUNTIF('8月'!N4:N34,$B19)+COUNTIF('8月'!O4:O34,$B19)+COUNTIF('8月'!S4:S34,$B19)+COUNTIF('8月'!T4:T34,$B19)+COUNTIF('8月'!X4:X34,$B19)+COUNTIF('8月'!Y4:Y34,$B19)+COUNTIF('8月'!AC4:AC34,$B19)+COUNTIF('8月'!AD4:AD34,$B19)+COUNTIF('8月'!AH4:AH34,$B19)+COUNTIF('8月'!AI4:AI34,$B19)+COUNTIF('8月'!AM4:AM34,$B19)+COUNTIF('8月'!AN4:AN34,$B19)+COUNTIF('8月'!AR4:AR34,$B19)+COUNTIF('8月'!AS4:AS34,$B19)+COUNTIF('8月'!AW4:AW34,$B19)+COUNTIF('8月'!AX4:AX34,$B19)+COUNTIF('8月'!BB4:BB34,$B19)+COUNTIF('8月'!BC4:BC34,$B19)+COUNTIF('8月'!BG4:BG34,$B19)+COUNTIF('8月'!BH4:BH34,$B19)+COUNTIF('8月'!BL4:BL34,$B19)+COUNTIF('8月'!BM4:BM34,$B19)+COUNTIF('8月'!BQ4:BQ34,$B19)+COUNTIF('8月'!BR4:BR34,$B19)+COUNTIF('8月'!BV4:BV34,$B19)+COUNTIF('8月'!BW4:BW34,$B19)+COUNTIF('8月'!CA4:CA34,$B19)+COUNTIF('8月'!CB4:CB34,$B19)+COUNTIF('8月'!CF4:CF34,$B19)+COUNTIF('8月'!CG4:CG34,$B19)+COUNTIF('8月'!CK4:CK34,$B19)+COUNTIF('8月'!CL4:CL34,$B19)+COUNTIF('8月'!CP4:CP34,$B19)+COUNTIF('8月'!CQ4:CQ34,$B19)+COUNTIF('8月'!CU4:CU34,$B19)+COUNTIF('8月'!CV4:CV34,$B19)+COUNTIF('8月'!CZ4:CZ34,$B19)+COUNTIF('8月'!DA4:DA34,$B19)+COUNTIF('8月'!DE4:DE34,$B19)+COUNTIF('8月'!DF4:DF34,$B19)+COUNTIF('8月'!DJ4:DJ34,$B19)+COUNTIF('8月'!DK4:DK34,$B19)+COUNTIF('8月'!DO4:DO34,$B19)+COUNTIF('8月'!DP4:DP34,$B19)+COUNTIF('8月'!DT4:DT34,$B19)+COUNTIF('8月'!DU4:DU34,$B19)+COUNTIF('8月'!DY4:DY34,$B19)+COUNTIF('8月'!DZ4:DZ34,$B19)+COUNTIF('8月'!ED4:ED34,$B19)+COUNTIF('8月'!EE4:EE34,$B19)+COUNTIF('8月'!EI4:EI34,$B19)+COUNTIF('8月'!EJ4:EJ34,$B19)+COUNTIF('8月'!EN4:EN34,$B19)+COUNTIF('8月'!EO4:EO34,$B19)+COUNTIF('8月'!ES4:ES34,$B19)+COUNTIF('8月'!ET4:ET34,$B19)),0)</f>
        <v>0</v>
      </c>
      <c r="K19" s="76">
        <f>IFERROR(IF($B19="","",COUNTIF('9月'!D4:D34,$B19)+COUNTIF('9月'!E4:E34,$B19)+COUNTIF('9月'!I4:I34,$B19)+COUNTIF('9月'!J4:J34,$B19)+COUNTIF('9月'!N4:N34,$B19)+COUNTIF('9月'!O4:O34,$B19)+COUNTIF('9月'!S4:S34,$B19)+COUNTIF('9月'!T4:T34,$B19)+COUNTIF('9月'!X4:X34,$B19)+COUNTIF('9月'!Y4:Y34,$B19)+COUNTIF('9月'!AC4:AC34,$B19)+COUNTIF('9月'!AD4:AD34,$B19)+COUNTIF('9月'!AH4:AH34,$B19)+COUNTIF('9月'!AI4:AI34,$B19)+COUNTIF('9月'!AM4:AM34,$B19)+COUNTIF('9月'!AN4:AN34,$B19)+COUNTIF('9月'!AR4:AR34,$B19)+COUNTIF('9月'!AS4:AS34,$B19)+COUNTIF('9月'!AW4:AW34,$B19)+COUNTIF('9月'!AX4:AX34,$B19)+COUNTIF('9月'!BB4:BB34,$B19)+COUNTIF('9月'!BC4:BC34,$B19)+COUNTIF('9月'!BG4:BG34,$B19)+COUNTIF('9月'!BH4:BH34,$B19)+COUNTIF('9月'!BL4:BL34,$B19)+COUNTIF('9月'!BM4:BM34,$B19)+COUNTIF('9月'!BQ4:BQ34,$B19)+COUNTIF('9月'!BR4:BR34,$B19)+COUNTIF('9月'!BV4:BV34,$B19)+COUNTIF('9月'!BW4:BW34,$B19)+COUNTIF('9月'!CA4:CA34,$B19)+COUNTIF('9月'!CB4:CB34,$B19)+COUNTIF('9月'!CF4:CF34,$B19)+COUNTIF('9月'!CG4:CG34,$B19)+COUNTIF('9月'!CK4:CK34,$B19)+COUNTIF('9月'!CL4:CL34,$B19)+COUNTIF('9月'!CP4:CP34,$B19)+COUNTIF('9月'!CQ4:CQ34,$B19)+COUNTIF('9月'!CU4:CU34,$B19)+COUNTIF('9月'!CV4:CV34,$B19)+COUNTIF('9月'!CZ4:CZ34,$B19)+COUNTIF('9月'!DA4:DA34,$B19)+COUNTIF('9月'!DE4:DE34,$B19)+COUNTIF('9月'!DF4:DF34,$B19)+COUNTIF('9月'!DJ4:DJ34,$B19)+COUNTIF('9月'!DK4:DK34,$B19)+COUNTIF('9月'!DO4:DO34,$B19)+COUNTIF('9月'!DP4:DP34,$B19)+COUNTIF('9月'!DT4:DT34,$B19)+COUNTIF('9月'!DU4:DU34,$B19)+COUNTIF('9月'!DY4:DY34,$B19)+COUNTIF('9月'!DZ4:DZ34,$B19)+COUNTIF('9月'!ED4:ED34,$B19)+COUNTIF('9月'!EE4:EE34,$B19)+COUNTIF('9月'!EI4:EI34,$B19)+COUNTIF('9月'!EJ4:EJ34,$B19)+COUNTIF('9月'!EN4:EN34,$B19)+COUNTIF('9月'!EO4:EO34,$B19)+COUNTIF('9月'!ES4:ES34,$B19)+COUNTIF('9月'!ET4:ET34,$B19)),0)</f>
        <v>0</v>
      </c>
      <c r="L19" s="76">
        <f>IFERROR(IF($B19="","",COUNTIF('10月'!D4:D34,$B19)+COUNTIF('10月'!E4:E34,$B19)+COUNTIF('10月'!I4:I34,$B19)+COUNTIF('10月'!J4:J34,$B19)+COUNTIF('10月'!N4:N34,$B19)+COUNTIF('10月'!O4:O34,$B19)+COUNTIF('10月'!S4:S34,$B19)+COUNTIF('10月'!T4:T34,$B19)+COUNTIF('10月'!X4:X34,$B19)+COUNTIF('10月'!Y4:Y34,$B19)+COUNTIF('10月'!AC4:AC34,$B19)+COUNTIF('10月'!AD4:AD34,$B19)+COUNTIF('10月'!AH4:AH34,$B19)+COUNTIF('10月'!AI4:AI34,$B19)+COUNTIF('10月'!AM4:AM34,$B19)+COUNTIF('10月'!AN4:AN34,$B19)+COUNTIF('10月'!AR4:AR34,$B19)+COUNTIF('10月'!AS4:AS34,$B19)+COUNTIF('10月'!AW4:AW34,$B19)+COUNTIF('10月'!AX4:AX34,$B19)+COUNTIF('10月'!BB4:BB34,$B19)+COUNTIF('10月'!BC4:BC34,$B19)+COUNTIF('10月'!BG4:BG34,$B19)+COUNTIF('10月'!BH4:BH34,$B19)+COUNTIF('10月'!BL4:BL34,$B19)+COUNTIF('10月'!BM4:BM34,$B19)+COUNTIF('10月'!BQ4:BQ34,$B19)+COUNTIF('10月'!BR4:BR34,$B19)+COUNTIF('10月'!BV4:BV34,$B19)+COUNTIF('10月'!BW4:BW34,$B19)+COUNTIF('10月'!CA4:CA34,$B19)+COUNTIF('10月'!CB4:CB34,$B19)+COUNTIF('10月'!CF4:CF34,$B19)+COUNTIF('10月'!CG4:CG34,$B19)+COUNTIF('10月'!CK4:CK34,$B19)+COUNTIF('10月'!CL4:CL34,$B19)+COUNTIF('10月'!CP4:CP34,$B19)+COUNTIF('10月'!CQ4:CQ34,$B19)+COUNTIF('10月'!CU4:CU34,$B19)+COUNTIF('10月'!CV4:CV34,$B19)+COUNTIF('10月'!CZ4:CZ34,$B19)+COUNTIF('10月'!DA4:DA34,$B19)+COUNTIF('10月'!DE4:DE34,$B19)+COUNTIF('10月'!DF4:DF34,$B19)+COUNTIF('10月'!DJ4:DJ34,$B19)+COUNTIF('10月'!DK4:DK34,$B19)+COUNTIF('10月'!DO4:DO34,$B19)+COUNTIF('10月'!DP4:DP34,$B19)+COUNTIF('10月'!DT4:DT34,$B19)+COUNTIF('10月'!DU4:DU34,$B19)+COUNTIF('10月'!DY4:DY34,$B19)+COUNTIF('10月'!DZ4:DZ34,$B19)+COUNTIF('10月'!ED4:ED34,$B19)+COUNTIF('10月'!EE4:EE34,$B19)+COUNTIF('10月'!EI4:EI34,$B19)+COUNTIF('10月'!EJ4:EJ34,$B19)+COUNTIF('10月'!EN4:EN34,$B19)+COUNTIF('10月'!EO4:EO34,$B19)+COUNTIF('10月'!ES4:ES34,$B19)+COUNTIF('10月'!ET4:ET34,$B19)),0)</f>
        <v>0</v>
      </c>
      <c r="M19" s="76">
        <f>IFERROR(IF($B19="","",COUNTIF('11月'!D4:D34,$B19)+COUNTIF('11月'!E4:E34,$B19)+COUNTIF('11月'!I4:I34,$B19)+COUNTIF('11月'!J4:J34,$B19)+COUNTIF('11月'!N4:N34,$B19)+COUNTIF('11月'!O4:O34,$B19)+COUNTIF('11月'!S4:S34,$B19)+COUNTIF('11月'!T4:T34,$B19)+COUNTIF('11月'!X4:X34,$B19)+COUNTIF('11月'!Y4:Y34,$B19)+COUNTIF('11月'!AC4:AC34,$B19)+COUNTIF('11月'!AD4:AD34,$B19)+COUNTIF('11月'!AH4:AH34,$B19)+COUNTIF('11月'!AI4:AI34,$B19)+COUNTIF('11月'!AM4:AM34,$B19)+COUNTIF('11月'!AN4:AN34,$B19)+COUNTIF('11月'!AR4:AR34,$B19)+COUNTIF('11月'!AS4:AS34,$B19)+COUNTIF('11月'!AW4:AW34,$B19)+COUNTIF('11月'!AX4:AX34,$B19)+COUNTIF('11月'!BB4:BB34,$B19)+COUNTIF('11月'!BC4:BC34,$B19)+COUNTIF('11月'!BG4:BG34,$B19)+COUNTIF('11月'!BH4:BH34,$B19)+COUNTIF('11月'!BL4:BL34,$B19)+COUNTIF('11月'!BM4:BM34,$B19)+COUNTIF('11月'!BQ4:BQ34,$B19)+COUNTIF('11月'!BR4:BR34,$B19)+COUNTIF('11月'!BV4:BV34,$B19)+COUNTIF('11月'!BW4:BW34,$B19)+COUNTIF('11月'!CA4:CA34,$B19)+COUNTIF('11月'!CB4:CB34,$B19)+COUNTIF('11月'!CF4:CF34,$B19)+COUNTIF('11月'!CG4:CG34,$B19)+COUNTIF('11月'!CK4:CK34,$B19)+COUNTIF('11月'!CL4:CL34,$B19)+COUNTIF('11月'!CP4:CP34,$B19)+COUNTIF('11月'!CQ4:CQ34,$B19)+COUNTIF('11月'!CU4:CU34,$B19)+COUNTIF('11月'!CV4:CV34,$B19)+COUNTIF('11月'!CZ4:CZ34,$B19)+COUNTIF('11月'!DA4:DA34,$B19)+COUNTIF('11月'!DE4:DE34,$B19)+COUNTIF('11月'!DF4:DF34,$B19)+COUNTIF('11月'!DJ4:DJ34,$B19)+COUNTIF('11月'!DK4:DK34,$B19)+COUNTIF('11月'!DO4:DO34,$B19)+COUNTIF('11月'!DP4:DP34,$B19)+COUNTIF('11月'!DT4:DT34,$B19)+COUNTIF('11月'!DU4:DU34,$B19)+COUNTIF('11月'!DY4:DY34,$B19)+COUNTIF('11月'!DZ4:DZ34,$B19)+COUNTIF('11月'!ED4:ED34,$B19)+COUNTIF('11月'!EE4:EE34,$B19)+COUNTIF('11月'!EI4:EI34,$B19)+COUNTIF('11月'!EJ4:EJ34,$B19)+COUNTIF('11月'!EN4:EN34,$B19)+COUNTIF('11月'!EO4:EO34,$B19)+COUNTIF('11月'!ES4:ES34,$B19)+COUNTIF('11月'!ET4:ET34,$B19)),0)</f>
        <v>0</v>
      </c>
      <c r="N19" s="76">
        <f>IFERROR(IF($B19="","",COUNTIF('12月'!D4:D34,$B19)+COUNTIF('12月'!E4:E34,$B19)+COUNTIF('12月'!I4:I34,$B19)+COUNTIF('12月'!J4:J34,$B19)+COUNTIF('12月'!N4:N34,$B19)+COUNTIF('12月'!O4:O34,$B19)+COUNTIF('12月'!S4:S34,$B19)+COUNTIF('12月'!T4:T34,$B19)+COUNTIF('12月'!X4:X34,$B19)+COUNTIF('12月'!Y4:Y34,$B19)+COUNTIF('12月'!AC4:AC34,$B19)+COUNTIF('12月'!AD4:AD34,$B19)+COUNTIF('12月'!AH4:AH34,$B19)+COUNTIF('12月'!AI4:AI34,$B19)+COUNTIF('12月'!AM4:AM34,$B19)+COUNTIF('12月'!AN4:AN34,$B19)+COUNTIF('12月'!AR4:AR34,$B19)+COUNTIF('12月'!AS4:AS34,$B19)+COUNTIF('12月'!AW4:AW34,$B19)+COUNTIF('12月'!AX4:AX34,$B19)+COUNTIF('12月'!BB4:BB34,$B19)+COUNTIF('12月'!BC4:BC34,$B19)+COUNTIF('12月'!BG4:BG34,$B19)+COUNTIF('12月'!BH4:BH34,$B19)+COUNTIF('12月'!BL4:BL34,$B19)+COUNTIF('12月'!BM4:BM34,$B19)+COUNTIF('12月'!BQ4:BQ34,$B19)+COUNTIF('12月'!BR4:BR34,$B19)+COUNTIF('12月'!BV4:BV34,$B19)+COUNTIF('12月'!BW4:BW34,$B19)+COUNTIF('12月'!CA4:CA34,$B19)+COUNTIF('12月'!CB4:CB34,$B19)+COUNTIF('12月'!CF4:CF34,$B19)+COUNTIF('12月'!CG4:CG34,$B19)+COUNTIF('12月'!CK4:CK34,$B19)+COUNTIF('12月'!CL4:CL34,$B19)+COUNTIF('12月'!CP4:CP34,$B19)+COUNTIF('12月'!CQ4:CQ34,$B19)+COUNTIF('12月'!CU4:CU34,$B19)+COUNTIF('12月'!CV4:CV34,$B19)+COUNTIF('12月'!CZ4:CZ34,$B19)+COUNTIF('12月'!DA4:DA34,$B19)+COUNTIF('12月'!DE4:DE34,$B19)+COUNTIF('12月'!DF4:DF34,$B19)+COUNTIF('12月'!DJ4:DJ34,$B19)+COUNTIF('12月'!DK4:DK34,$B19)+COUNTIF('12月'!DO4:DO34,$B19)+COUNTIF('12月'!DP4:DP34,$B19)+COUNTIF('12月'!DT4:DT34,$B19)+COUNTIF('12月'!DU4:DU34,$B19)+COUNTIF('12月'!DY4:DY34,$B19)+COUNTIF('12月'!DZ4:DZ34,$B19)+COUNTIF('12月'!ED4:ED34,$B19)+COUNTIF('12月'!EE4:EE34,$B19)+COUNTIF('12月'!EI4:EI34,$B19)+COUNTIF('12月'!EJ4:EJ34,$B19)+COUNTIF('12月'!EN4:EN34,$B19)+COUNTIF('12月'!EO4:EO34,$B19)+COUNTIF('12月'!ES4:ES34,$B19)+COUNTIF('12月'!ET4:ET34,$B19)),0)</f>
        <v>0</v>
      </c>
      <c r="O19" s="78">
        <f t="shared" si="0"/>
        <v>0</v>
      </c>
    </row>
    <row r="20" spans="1:15" ht="19.5" customHeight="1">
      <c r="A20" s="76">
        <v>18</v>
      </c>
      <c r="B20" s="77">
        <f>IFERROR(現場マスタ!$C$21,"")</f>
        <v>0</v>
      </c>
      <c r="C20" s="76">
        <f>IFERROR(IF($B20="","",COUNTIF('1月'!D4:D34,$B20)+COUNTIF('1月'!E4:E34,$B20)+COUNTIF('1月'!I4:I34,$B20)+COUNTIF('1月'!J4:J34,$B20)+COUNTIF('1月'!N4:N34,$B20)+COUNTIF('1月'!O4:O34,$B20)+COUNTIF('1月'!S4:S34,$B20)+COUNTIF('1月'!T4:T34,$B20)+COUNTIF('1月'!X4:X34,$B20)+COUNTIF('1月'!Y4:Y34,$B20)+COUNTIF('1月'!AC4:AC34,$B20)+COUNTIF('1月'!AD4:AD34,$B20)+COUNTIF('1月'!AH4:AH34,$B20)+COUNTIF('1月'!AI4:AI34,$B20)+COUNTIF('1月'!AM4:AM34,$B20)+COUNTIF('1月'!AN4:AN34,$B20)+COUNTIF('1月'!AR4:AR34,$B20)+COUNTIF('1月'!AS4:AS34,$B20)+COUNTIF('1月'!AW4:AW34,$B20)+COUNTIF('1月'!AX4:AX34,$B20)+COUNTIF('1月'!BB4:BB34,$B20)+COUNTIF('1月'!BC4:BC34,$B20)+COUNTIF('1月'!BG4:BG34,$B20)+COUNTIF('1月'!BH4:BH34,$B20)+COUNTIF('1月'!BL4:BL34,$B20)+COUNTIF('1月'!BM4:BM34,$B20)+COUNTIF('1月'!BQ4:BQ34,$B20)+COUNTIF('1月'!BR4:BR34,$B20)+COUNTIF('1月'!BV4:BV34,$B20)+COUNTIF('1月'!BW4:BW34,$B20)+COUNTIF('1月'!CA4:CA34,$B20)+COUNTIF('1月'!CB4:CB34,$B20)+COUNTIF('1月'!CF4:CF34,$B20)+COUNTIF('1月'!CG4:CG34,$B20)+COUNTIF('1月'!CK4:CK34,$B20)+COUNTIF('1月'!CL4:CL34,$B20)+COUNTIF('1月'!CP4:CP34,$B20)+COUNTIF('1月'!CQ4:CQ34,$B20)+COUNTIF('1月'!CU4:CU34,$B20)+COUNTIF('1月'!CV4:CV34,$B20)+COUNTIF('1月'!CZ4:CZ34,$B20)+COUNTIF('1月'!DA4:DA34,$B20)+COUNTIF('1月'!DE4:DE34,$B20)+COUNTIF('1月'!DF4:DF34,$B20)+COUNTIF('1月'!DJ4:DJ34,$B20)+COUNTIF('1月'!DK4:DK34,$B20)+COUNTIF('1月'!DO4:DO34,$B20)+COUNTIF('1月'!DP4:DP34,$B20)+COUNTIF('1月'!DT4:DT34,$B20)+COUNTIF('1月'!DU4:DU34,$B20)+COUNTIF('1月'!DY4:DY34,$B20)+COUNTIF('1月'!DZ4:DZ34,$B20)+COUNTIF('1月'!ED4:ED34,$B20)+COUNTIF('1月'!EE4:EE34,$B20)+COUNTIF('1月'!EI4:EI34,$B20)+COUNTIF('1月'!EJ4:EJ34,$B20)+COUNTIF('1月'!EN4:EN34,$B20)+COUNTIF('1月'!EO4:EO34,$B20)+COUNTIF('1月'!ES4:ES34,$B20)+COUNTIF('1月'!ET4:ET34,$B20)),0)</f>
        <v>0</v>
      </c>
      <c r="D20" s="76">
        <f>IFERROR(IF($B20="","",COUNTIF('2月'!D4:D34,$B20)+COUNTIF('2月'!E4:E34,$B20)+COUNTIF('2月'!I4:I34,$B20)+COUNTIF('2月'!J4:J34,$B20)+COUNTIF('2月'!N4:N34,$B20)+COUNTIF('2月'!O4:O34,$B20)+COUNTIF('2月'!S4:S34,$B20)+COUNTIF('2月'!T4:T34,$B20)+COUNTIF('2月'!X4:X34,$B20)+COUNTIF('2月'!Y4:Y34,$B20)+COUNTIF('2月'!AC4:AC34,$B20)+COUNTIF('2月'!AD4:AD34,$B20)+COUNTIF('2月'!AH4:AH34,$B20)+COUNTIF('2月'!AI4:AI34,$B20)+COUNTIF('2月'!AM4:AM34,$B20)+COUNTIF('2月'!AN4:AN34,$B20)+COUNTIF('2月'!AR4:AR34,$B20)+COUNTIF('2月'!AS4:AS34,$B20)+COUNTIF('2月'!AW4:AW34,$B20)+COUNTIF('2月'!AX4:AX34,$B20)+COUNTIF('2月'!BB4:BB34,$B20)+COUNTIF('2月'!BC4:BC34,$B20)+COUNTIF('2月'!BG4:BG34,$B20)+COUNTIF('2月'!BH4:BH34,$B20)+COUNTIF('2月'!BL4:BL34,$B20)+COUNTIF('2月'!BM4:BM34,$B20)+COUNTIF('2月'!BQ4:BQ34,$B20)+COUNTIF('2月'!BR4:BR34,$B20)+COUNTIF('2月'!BV4:BV34,$B20)+COUNTIF('2月'!BW4:BW34,$B20)+COUNTIF('2月'!CA4:CA34,$B20)+COUNTIF('2月'!CB4:CB34,$B20)+COUNTIF('2月'!CF4:CF34,$B20)+COUNTIF('2月'!CG4:CG34,$B20)+COUNTIF('2月'!CK4:CK34,$B20)+COUNTIF('2月'!CL4:CL34,$B20)+COUNTIF('2月'!CP4:CP34,$B20)+COUNTIF('2月'!CQ4:CQ34,$B20)+COUNTIF('2月'!CU4:CU34,$B20)+COUNTIF('2月'!CV4:CV34,$B20)+COUNTIF('2月'!CZ4:CZ34,$B20)+COUNTIF('2月'!DA4:DA34,$B20)+COUNTIF('2月'!DE4:DE34,$B20)+COUNTIF('2月'!DF4:DF34,$B20)+COUNTIF('2月'!DJ4:DJ34,$B20)+COUNTIF('2月'!DK4:DK34,$B20)+COUNTIF('2月'!DO4:DO34,$B20)+COUNTIF('2月'!DP4:DP34,$B20)+COUNTIF('2月'!DT4:DT34,$B20)+COUNTIF('2月'!DU4:DU34,$B20)+COUNTIF('2月'!DY4:DY34,$B20)+COUNTIF('2月'!DZ4:DZ34,$B20)+COUNTIF('2月'!ED4:ED34,$B20)+COUNTIF('2月'!EE4:EE34,$B20)+COUNTIF('2月'!EI4:EI34,$B20)+COUNTIF('2月'!EJ4:EJ34,$B20)+COUNTIF('2月'!EN4:EN34,$B20)+COUNTIF('2月'!EO4:EO34,$B20)+COUNTIF('2月'!ES4:ES34,$B20)+COUNTIF('2月'!ET4:ET34,$B20)),0)</f>
        <v>0</v>
      </c>
      <c r="E20" s="76">
        <f>IFERROR(IF($B20="","",COUNTIF('3月'!D4:D34,$B20)+COUNTIF('3月'!E4:E34,$B20)+COUNTIF('3月'!I4:I34,$B20)+COUNTIF('3月'!J4:J34,$B20)+COUNTIF('3月'!N4:N34,$B20)+COUNTIF('3月'!O4:O34,$B20)+COUNTIF('3月'!S4:S34,$B20)+COUNTIF('3月'!T4:T34,$B20)+COUNTIF('3月'!X4:X34,$B20)+COUNTIF('3月'!Y4:Y34,$B20)+COUNTIF('3月'!AC4:AC34,$B20)+COUNTIF('3月'!AD4:AD34,$B20)+COUNTIF('3月'!AH4:AH34,$B20)+COUNTIF('3月'!AI4:AI34,$B20)+COUNTIF('3月'!AM4:AM34,$B20)+COUNTIF('3月'!AN4:AN34,$B20)+COUNTIF('3月'!AR4:AR34,$B20)+COUNTIF('3月'!AS4:AS34,$B20)+COUNTIF('3月'!AW4:AW34,$B20)+COUNTIF('3月'!AX4:AX34,$B20)+COUNTIF('3月'!BB4:BB34,$B20)+COUNTIF('3月'!BC4:BC34,$B20)+COUNTIF('3月'!BG4:BG34,$B20)+COUNTIF('3月'!BH4:BH34,$B20)+COUNTIF('3月'!BL4:BL34,$B20)+COUNTIF('3月'!BM4:BM34,$B20)+COUNTIF('3月'!BQ4:BQ34,$B20)+COUNTIF('3月'!BR4:BR34,$B20)+COUNTIF('3月'!BV4:BV34,$B20)+COUNTIF('3月'!BW4:BW34,$B20)+COUNTIF('3月'!CA4:CA34,$B20)+COUNTIF('3月'!CB4:CB34,$B20)+COUNTIF('3月'!CF4:CF34,$B20)+COUNTIF('3月'!CG4:CG34,$B20)+COUNTIF('3月'!CK4:CK34,$B20)+COUNTIF('3月'!CL4:CL34,$B20)+COUNTIF('3月'!CP4:CP34,$B20)+COUNTIF('3月'!CQ4:CQ34,$B20)+COUNTIF('3月'!CU4:CU34,$B20)+COUNTIF('3月'!CV4:CV34,$B20)+COUNTIF('3月'!CZ4:CZ34,$B20)+COUNTIF('3月'!DA4:DA34,$B20)+COUNTIF('3月'!DE4:DE34,$B20)+COUNTIF('3月'!DF4:DF34,$B20)+COUNTIF('3月'!DJ4:DJ34,$B20)+COUNTIF('3月'!DK4:DK34,$B20)+COUNTIF('3月'!DO4:DO34,$B20)+COUNTIF('3月'!DP4:DP34,$B20)+COUNTIF('3月'!DT4:DT34,$B20)+COUNTIF('3月'!DU4:DU34,$B20)+COUNTIF('3月'!DY4:DY34,$B20)+COUNTIF('3月'!DZ4:DZ34,$B20)+COUNTIF('3月'!ED4:ED34,$B20)+COUNTIF('3月'!EE4:EE34,$B20)+COUNTIF('3月'!EI4:EI34,$B20)+COUNTIF('3月'!EJ4:EJ34,$B20)+COUNTIF('3月'!EN4:EN34,$B20)+COUNTIF('3月'!EO4:EO34,$B20)+COUNTIF('3月'!ES4:ES34,$B20)+COUNTIF('3月'!ET4:ET34,$B20)),0)</f>
        <v>0</v>
      </c>
      <c r="F20" s="76">
        <f>IFERROR(IF($B20="","",COUNTIF('4月'!D4:D34,$B20)+COUNTIF('4月'!E4:E34,$B20)+COUNTIF('4月'!I4:I34,$B20)+COUNTIF('4月'!J4:J34,$B20)+COUNTIF('4月'!N4:N34,$B20)+COUNTIF('4月'!O4:O34,$B20)+COUNTIF('4月'!S4:S34,$B20)+COUNTIF('4月'!T4:T34,$B20)+COUNTIF('4月'!X4:X34,$B20)+COUNTIF('4月'!Y4:Y34,$B20)+COUNTIF('4月'!AC4:AC34,$B20)+COUNTIF('4月'!AD4:AD34,$B20)+COUNTIF('4月'!AH4:AH34,$B20)+COUNTIF('4月'!AI4:AI34,$B20)+COUNTIF('4月'!AM4:AM34,$B20)+COUNTIF('4月'!AN4:AN34,$B20)+COUNTIF('4月'!AR4:AR34,$B20)+COUNTIF('4月'!AS4:AS34,$B20)+COUNTIF('4月'!AW4:AW34,$B20)+COUNTIF('4月'!AX4:AX34,$B20)+COUNTIF('4月'!BB4:BB34,$B20)+COUNTIF('4月'!BC4:BC34,$B20)+COUNTIF('4月'!BG4:BG34,$B20)+COUNTIF('4月'!BH4:BH34,$B20)+COUNTIF('4月'!BL4:BL34,$B20)+COUNTIF('4月'!BM4:BM34,$B20)+COUNTIF('4月'!BQ4:BQ34,$B20)+COUNTIF('4月'!BR4:BR34,$B20)+COUNTIF('4月'!BV4:BV34,$B20)+COUNTIF('4月'!BW4:BW34,$B20)+COUNTIF('4月'!CA4:CA34,$B20)+COUNTIF('4月'!CB4:CB34,$B20)+COUNTIF('4月'!CF4:CF34,$B20)+COUNTIF('4月'!CG4:CG34,$B20)+COUNTIF('4月'!CK4:CK34,$B20)+COUNTIF('4月'!CL4:CL34,$B20)+COUNTIF('4月'!CP4:CP34,$B20)+COUNTIF('4月'!CQ4:CQ34,$B20)+COUNTIF('4月'!CU4:CU34,$B20)+COUNTIF('4月'!CV4:CV34,$B20)+COUNTIF('4月'!CZ4:CZ34,$B20)+COUNTIF('4月'!DA4:DA34,$B20)+COUNTIF('4月'!DE4:DE34,$B20)+COUNTIF('4月'!DF4:DF34,$B20)+COUNTIF('4月'!DJ4:DJ34,$B20)+COUNTIF('4月'!DK4:DK34,$B20)+COUNTIF('4月'!DO4:DO34,$B20)+COUNTIF('4月'!DP4:DP34,$B20)+COUNTIF('4月'!DT4:DT34,$B20)+COUNTIF('4月'!DU4:DU34,$B20)+COUNTIF('4月'!DY4:DY34,$B20)+COUNTIF('4月'!DZ4:DZ34,$B20)+COUNTIF('4月'!ED4:ED34,$B20)+COUNTIF('4月'!EE4:EE34,$B20)+COUNTIF('4月'!EI4:EI34,$B20)+COUNTIF('4月'!EJ4:EJ34,$B20)+COUNTIF('4月'!EN4:EN34,$B20)+COUNTIF('4月'!EO4:EO34,$B20)+COUNTIF('4月'!ES4:ES34,$B20)+COUNTIF('4月'!ET4:ET34,$B20)),0)</f>
        <v>0</v>
      </c>
      <c r="G20" s="76">
        <f>IFERROR(IF($B20="","",COUNTIF('5月'!D4:D34,$B20)+COUNTIF('5月'!E4:E34,$B20)+COUNTIF('5月'!I4:I34,$B20)+COUNTIF('5月'!J4:J34,$B20)+COUNTIF('5月'!N4:N34,$B20)+COUNTIF('5月'!O4:O34,$B20)+COUNTIF('5月'!S4:S34,$B20)+COUNTIF('5月'!T4:T34,$B20)+COUNTIF('5月'!X4:X34,$B20)+COUNTIF('5月'!Y4:Y34,$B20)+COUNTIF('5月'!AC4:AC34,$B20)+COUNTIF('5月'!AD4:AD34,$B20)+COUNTIF('5月'!AH4:AH34,$B20)+COUNTIF('5月'!AI4:AI34,$B20)+COUNTIF('5月'!AM4:AM34,$B20)+COUNTIF('5月'!AN4:AN34,$B20)+COUNTIF('5月'!AR4:AR34,$B20)+COUNTIF('5月'!AS4:AS34,$B20)+COUNTIF('5月'!AW4:AW34,$B20)+COUNTIF('5月'!AX4:AX34,$B20)+COUNTIF('5月'!BB4:BB34,$B20)+COUNTIF('5月'!BC4:BC34,$B20)+COUNTIF('5月'!BG4:BG34,$B20)+COUNTIF('5月'!BH4:BH34,$B20)+COUNTIF('5月'!BL4:BL34,$B20)+COUNTIF('5月'!BM4:BM34,$B20)+COUNTIF('5月'!BQ4:BQ34,$B20)+COUNTIF('5月'!BR4:BR34,$B20)+COUNTIF('5月'!BV4:BV34,$B20)+COUNTIF('5月'!BW4:BW34,$B20)+COUNTIF('5月'!CA4:CA34,$B20)+COUNTIF('5月'!CB4:CB34,$B20)+COUNTIF('5月'!CF4:CF34,$B20)+COUNTIF('5月'!CG4:CG34,$B20)+COUNTIF('5月'!CK4:CK34,$B20)+COUNTIF('5月'!CL4:CL34,$B20)+COUNTIF('5月'!CP4:CP34,$B20)+COUNTIF('5月'!CQ4:CQ34,$B20)+COUNTIF('5月'!CU4:CU34,$B20)+COUNTIF('5月'!CV4:CV34,$B20)+COUNTIF('5月'!CZ4:CZ34,$B20)+COUNTIF('5月'!DA4:DA34,$B20)+COUNTIF('5月'!DE4:DE34,$B20)+COUNTIF('5月'!DF4:DF34,$B20)+COUNTIF('5月'!DJ4:DJ34,$B20)+COUNTIF('5月'!DK4:DK34,$B20)+COUNTIF('5月'!DO4:DO34,$B20)+COUNTIF('5月'!DP4:DP34,$B20)+COUNTIF('5月'!DT4:DT34,$B20)+COUNTIF('5月'!DU4:DU34,$B20)+COUNTIF('5月'!DY4:DY34,$B20)+COUNTIF('5月'!DZ4:DZ34,$B20)+COUNTIF('5月'!ED4:ED34,$B20)+COUNTIF('5月'!EE4:EE34,$B20)+COUNTIF('5月'!EI4:EI34,$B20)+COUNTIF('5月'!EJ4:EJ34,$B20)+COUNTIF('5月'!EN4:EN34,$B20)+COUNTIF('5月'!EO4:EO34,$B20)+COUNTIF('5月'!ES4:ES34,$B20)+COUNTIF('5月'!ET4:ET34,$B20)),0)</f>
        <v>0</v>
      </c>
      <c r="H20" s="76">
        <f>IFERROR(IF($B20="","",COUNTIF('6月'!D4:D34,$B20)+COUNTIF('6月'!E4:E34,$B20)+COUNTIF('6月'!I4:I34,$B20)+COUNTIF('6月'!J4:J34,$B20)+COUNTIF('6月'!N4:N34,$B20)+COUNTIF('6月'!O4:O34,$B20)+COUNTIF('6月'!S4:S34,$B20)+COUNTIF('6月'!T4:T34,$B20)+COUNTIF('6月'!X4:X34,$B20)+COUNTIF('6月'!Y4:Y34,$B20)+COUNTIF('6月'!AC4:AC34,$B20)+COUNTIF('6月'!AD4:AD34,$B20)+COUNTIF('6月'!AH4:AH34,$B20)+COUNTIF('6月'!AI4:AI34,$B20)+COUNTIF('6月'!AM4:AM34,$B20)+COUNTIF('6月'!AN4:AN34,$B20)+COUNTIF('6月'!AR4:AR34,$B20)+COUNTIF('6月'!AS4:AS34,$B20)+COUNTIF('6月'!AW4:AW34,$B20)+COUNTIF('6月'!AX4:AX34,$B20)+COUNTIF('6月'!BB4:BB34,$B20)+COUNTIF('6月'!BC4:BC34,$B20)+COUNTIF('6月'!BG4:BG34,$B20)+COUNTIF('6月'!BH4:BH34,$B20)+COUNTIF('6月'!BL4:BL34,$B20)+COUNTIF('6月'!BM4:BM34,$B20)+COUNTIF('6月'!BQ4:BQ34,$B20)+COUNTIF('6月'!BR4:BR34,$B20)+COUNTIF('6月'!BV4:BV34,$B20)+COUNTIF('6月'!BW4:BW34,$B20)+COUNTIF('6月'!CA4:CA34,$B20)+COUNTIF('6月'!CB4:CB34,$B20)+COUNTIF('6月'!CF4:CF34,$B20)+COUNTIF('6月'!CG4:CG34,$B20)+COUNTIF('6月'!CK4:CK34,$B20)+COUNTIF('6月'!CL4:CL34,$B20)+COUNTIF('6月'!CP4:CP34,$B20)+COUNTIF('6月'!CQ4:CQ34,$B20)+COUNTIF('6月'!CU4:CU34,$B20)+COUNTIF('6月'!CV4:CV34,$B20)+COUNTIF('6月'!CZ4:CZ34,$B20)+COUNTIF('6月'!DA4:DA34,$B20)+COUNTIF('6月'!DE4:DE34,$B20)+COUNTIF('6月'!DF4:DF34,$B20)+COUNTIF('6月'!DJ4:DJ34,$B20)+COUNTIF('6月'!DK4:DK34,$B20)+COUNTIF('6月'!DO4:DO34,$B20)+COUNTIF('6月'!DP4:DP34,$B20)+COUNTIF('6月'!DT4:DT34,$B20)+COUNTIF('6月'!DU4:DU34,$B20)+COUNTIF('6月'!DY4:DY34,$B20)+COUNTIF('6月'!DZ4:DZ34,$B20)+COUNTIF('6月'!ED4:ED34,$B20)+COUNTIF('6月'!EE4:EE34,$B20)+COUNTIF('6月'!EI4:EI34,$B20)+COUNTIF('6月'!EJ4:EJ34,$B20)+COUNTIF('6月'!EN4:EN34,$B20)+COUNTIF('6月'!EO4:EO34,$B20)+COUNTIF('6月'!ES4:ES34,$B20)+COUNTIF('6月'!ET4:ET34,$B20)),0)</f>
        <v>0</v>
      </c>
      <c r="I20" s="76">
        <f>IFERROR(IF($B20="","",COUNTIF('7月'!D4:D34,$B20)+COUNTIF('7月'!E4:E34,$B20)+COUNTIF('7月'!I4:I34,$B20)+COUNTIF('7月'!J4:J34,$B20)+COUNTIF('7月'!N4:N34,$B20)+COUNTIF('7月'!O4:O34,$B20)+COUNTIF('7月'!S4:S34,$B20)+COUNTIF('7月'!T4:T34,$B20)+COUNTIF('7月'!X4:X34,$B20)+COUNTIF('7月'!Y4:Y34,$B20)+COUNTIF('7月'!AC4:AC34,$B20)+COUNTIF('7月'!AD4:AD34,$B20)+COUNTIF('7月'!AH4:AH34,$B20)+COUNTIF('7月'!AI4:AI34,$B20)+COUNTIF('7月'!AM4:AM34,$B20)+COUNTIF('7月'!AN4:AN34,$B20)+COUNTIF('7月'!AR4:AR34,$B20)+COUNTIF('7月'!AS4:AS34,$B20)+COUNTIF('7月'!AW4:AW34,$B20)+COUNTIF('7月'!AX4:AX34,$B20)+COUNTIF('7月'!BB4:BB34,$B20)+COUNTIF('7月'!BC4:BC34,$B20)+COUNTIF('7月'!BG4:BG34,$B20)+COUNTIF('7月'!BH4:BH34,$B20)+COUNTIF('7月'!BL4:BL34,$B20)+COUNTIF('7月'!BM4:BM34,$B20)+COUNTIF('7月'!BQ4:BQ34,$B20)+COUNTIF('7月'!BR4:BR34,$B20)+COUNTIF('7月'!BV4:BV34,$B20)+COUNTIF('7月'!BW4:BW34,$B20)+COUNTIF('7月'!CA4:CA34,$B20)+COUNTIF('7月'!CB4:CB34,$B20)+COUNTIF('7月'!CF4:CF34,$B20)+COUNTIF('7月'!CG4:CG34,$B20)+COUNTIF('7月'!CK4:CK34,$B20)+COUNTIF('7月'!CL4:CL34,$B20)+COUNTIF('7月'!CP4:CP34,$B20)+COUNTIF('7月'!CQ4:CQ34,$B20)+COUNTIF('7月'!CU4:CU34,$B20)+COUNTIF('7月'!CV4:CV34,$B20)+COUNTIF('7月'!CZ4:CZ34,$B20)+COUNTIF('7月'!DA4:DA34,$B20)+COUNTIF('7月'!DE4:DE34,$B20)+COUNTIF('7月'!DF4:DF34,$B20)+COUNTIF('7月'!DJ4:DJ34,$B20)+COUNTIF('7月'!DK4:DK34,$B20)+COUNTIF('7月'!DO4:DO34,$B20)+COUNTIF('7月'!DP4:DP34,$B20)+COUNTIF('7月'!DT4:DT34,$B20)+COUNTIF('7月'!DU4:DU34,$B20)+COUNTIF('7月'!DY4:DY34,$B20)+COUNTIF('7月'!DZ4:DZ34,$B20)+COUNTIF('7月'!ED4:ED34,$B20)+COUNTIF('7月'!EE4:EE34,$B20)+COUNTIF('7月'!EI4:EI34,$B20)+COUNTIF('7月'!EJ4:EJ34,$B20)+COUNTIF('7月'!EN4:EN34,$B20)+COUNTIF('7月'!EO4:EO34,$B20)+COUNTIF('7月'!ES4:ES34,$B20)+COUNTIF('7月'!ET4:ET34,$B20)),0)</f>
        <v>0</v>
      </c>
      <c r="J20" s="76">
        <f>IFERROR(IF($B20="","",COUNTIF('8月'!D4:D34,$B20)+COUNTIF('8月'!E4:E34,$B20)+COUNTIF('8月'!I4:I34,$B20)+COUNTIF('8月'!J4:J34,$B20)+COUNTIF('8月'!N4:N34,$B20)+COUNTIF('8月'!O4:O34,$B20)+COUNTIF('8月'!S4:S34,$B20)+COUNTIF('8月'!T4:T34,$B20)+COUNTIF('8月'!X4:X34,$B20)+COUNTIF('8月'!Y4:Y34,$B20)+COUNTIF('8月'!AC4:AC34,$B20)+COUNTIF('8月'!AD4:AD34,$B20)+COUNTIF('8月'!AH4:AH34,$B20)+COUNTIF('8月'!AI4:AI34,$B20)+COUNTIF('8月'!AM4:AM34,$B20)+COUNTIF('8月'!AN4:AN34,$B20)+COUNTIF('8月'!AR4:AR34,$B20)+COUNTIF('8月'!AS4:AS34,$B20)+COUNTIF('8月'!AW4:AW34,$B20)+COUNTIF('8月'!AX4:AX34,$B20)+COUNTIF('8月'!BB4:BB34,$B20)+COUNTIF('8月'!BC4:BC34,$B20)+COUNTIF('8月'!BG4:BG34,$B20)+COUNTIF('8月'!BH4:BH34,$B20)+COUNTIF('8月'!BL4:BL34,$B20)+COUNTIF('8月'!BM4:BM34,$B20)+COUNTIF('8月'!BQ4:BQ34,$B20)+COUNTIF('8月'!BR4:BR34,$B20)+COUNTIF('8月'!BV4:BV34,$B20)+COUNTIF('8月'!BW4:BW34,$B20)+COUNTIF('8月'!CA4:CA34,$B20)+COUNTIF('8月'!CB4:CB34,$B20)+COUNTIF('8月'!CF4:CF34,$B20)+COUNTIF('8月'!CG4:CG34,$B20)+COUNTIF('8月'!CK4:CK34,$B20)+COUNTIF('8月'!CL4:CL34,$B20)+COUNTIF('8月'!CP4:CP34,$B20)+COUNTIF('8月'!CQ4:CQ34,$B20)+COUNTIF('8月'!CU4:CU34,$B20)+COUNTIF('8月'!CV4:CV34,$B20)+COUNTIF('8月'!CZ4:CZ34,$B20)+COUNTIF('8月'!DA4:DA34,$B20)+COUNTIF('8月'!DE4:DE34,$B20)+COUNTIF('8月'!DF4:DF34,$B20)+COUNTIF('8月'!DJ4:DJ34,$B20)+COUNTIF('8月'!DK4:DK34,$B20)+COUNTIF('8月'!DO4:DO34,$B20)+COUNTIF('8月'!DP4:DP34,$B20)+COUNTIF('8月'!DT4:DT34,$B20)+COUNTIF('8月'!DU4:DU34,$B20)+COUNTIF('8月'!DY4:DY34,$B20)+COUNTIF('8月'!DZ4:DZ34,$B20)+COUNTIF('8月'!ED4:ED34,$B20)+COUNTIF('8月'!EE4:EE34,$B20)+COUNTIF('8月'!EI4:EI34,$B20)+COUNTIF('8月'!EJ4:EJ34,$B20)+COUNTIF('8月'!EN4:EN34,$B20)+COUNTIF('8月'!EO4:EO34,$B20)+COUNTIF('8月'!ES4:ES34,$B20)+COUNTIF('8月'!ET4:ET34,$B20)),0)</f>
        <v>0</v>
      </c>
      <c r="K20" s="76">
        <f>IFERROR(IF($B20="","",COUNTIF('9月'!D4:D34,$B20)+COUNTIF('9月'!E4:E34,$B20)+COUNTIF('9月'!I4:I34,$B20)+COUNTIF('9月'!J4:J34,$B20)+COUNTIF('9月'!N4:N34,$B20)+COUNTIF('9月'!O4:O34,$B20)+COUNTIF('9月'!S4:S34,$B20)+COUNTIF('9月'!T4:T34,$B20)+COUNTIF('9月'!X4:X34,$B20)+COUNTIF('9月'!Y4:Y34,$B20)+COUNTIF('9月'!AC4:AC34,$B20)+COUNTIF('9月'!AD4:AD34,$B20)+COUNTIF('9月'!AH4:AH34,$B20)+COUNTIF('9月'!AI4:AI34,$B20)+COUNTIF('9月'!AM4:AM34,$B20)+COUNTIF('9月'!AN4:AN34,$B20)+COUNTIF('9月'!AR4:AR34,$B20)+COUNTIF('9月'!AS4:AS34,$B20)+COUNTIF('9月'!AW4:AW34,$B20)+COUNTIF('9月'!AX4:AX34,$B20)+COUNTIF('9月'!BB4:BB34,$B20)+COUNTIF('9月'!BC4:BC34,$B20)+COUNTIF('9月'!BG4:BG34,$B20)+COUNTIF('9月'!BH4:BH34,$B20)+COUNTIF('9月'!BL4:BL34,$B20)+COUNTIF('9月'!BM4:BM34,$B20)+COUNTIF('9月'!BQ4:BQ34,$B20)+COUNTIF('9月'!BR4:BR34,$B20)+COUNTIF('9月'!BV4:BV34,$B20)+COUNTIF('9月'!BW4:BW34,$B20)+COUNTIF('9月'!CA4:CA34,$B20)+COUNTIF('9月'!CB4:CB34,$B20)+COUNTIF('9月'!CF4:CF34,$B20)+COUNTIF('9月'!CG4:CG34,$B20)+COUNTIF('9月'!CK4:CK34,$B20)+COUNTIF('9月'!CL4:CL34,$B20)+COUNTIF('9月'!CP4:CP34,$B20)+COUNTIF('9月'!CQ4:CQ34,$B20)+COUNTIF('9月'!CU4:CU34,$B20)+COUNTIF('9月'!CV4:CV34,$B20)+COUNTIF('9月'!CZ4:CZ34,$B20)+COUNTIF('9月'!DA4:DA34,$B20)+COUNTIF('9月'!DE4:DE34,$B20)+COUNTIF('9月'!DF4:DF34,$B20)+COUNTIF('9月'!DJ4:DJ34,$B20)+COUNTIF('9月'!DK4:DK34,$B20)+COUNTIF('9月'!DO4:DO34,$B20)+COUNTIF('9月'!DP4:DP34,$B20)+COUNTIF('9月'!DT4:DT34,$B20)+COUNTIF('9月'!DU4:DU34,$B20)+COUNTIF('9月'!DY4:DY34,$B20)+COUNTIF('9月'!DZ4:DZ34,$B20)+COUNTIF('9月'!ED4:ED34,$B20)+COUNTIF('9月'!EE4:EE34,$B20)+COUNTIF('9月'!EI4:EI34,$B20)+COUNTIF('9月'!EJ4:EJ34,$B20)+COUNTIF('9月'!EN4:EN34,$B20)+COUNTIF('9月'!EO4:EO34,$B20)+COUNTIF('9月'!ES4:ES34,$B20)+COUNTIF('9月'!ET4:ET34,$B20)),0)</f>
        <v>0</v>
      </c>
      <c r="L20" s="76">
        <f>IFERROR(IF($B20="","",COUNTIF('10月'!D4:D34,$B20)+COUNTIF('10月'!E4:E34,$B20)+COUNTIF('10月'!I4:I34,$B20)+COUNTIF('10月'!J4:J34,$B20)+COUNTIF('10月'!N4:N34,$B20)+COUNTIF('10月'!O4:O34,$B20)+COUNTIF('10月'!S4:S34,$B20)+COUNTIF('10月'!T4:T34,$B20)+COUNTIF('10月'!X4:X34,$B20)+COUNTIF('10月'!Y4:Y34,$B20)+COUNTIF('10月'!AC4:AC34,$B20)+COUNTIF('10月'!AD4:AD34,$B20)+COUNTIF('10月'!AH4:AH34,$B20)+COUNTIF('10月'!AI4:AI34,$B20)+COUNTIF('10月'!AM4:AM34,$B20)+COUNTIF('10月'!AN4:AN34,$B20)+COUNTIF('10月'!AR4:AR34,$B20)+COUNTIF('10月'!AS4:AS34,$B20)+COUNTIF('10月'!AW4:AW34,$B20)+COUNTIF('10月'!AX4:AX34,$B20)+COUNTIF('10月'!BB4:BB34,$B20)+COUNTIF('10月'!BC4:BC34,$B20)+COUNTIF('10月'!BG4:BG34,$B20)+COUNTIF('10月'!BH4:BH34,$B20)+COUNTIF('10月'!BL4:BL34,$B20)+COUNTIF('10月'!BM4:BM34,$B20)+COUNTIF('10月'!BQ4:BQ34,$B20)+COUNTIF('10月'!BR4:BR34,$B20)+COUNTIF('10月'!BV4:BV34,$B20)+COUNTIF('10月'!BW4:BW34,$B20)+COUNTIF('10月'!CA4:CA34,$B20)+COUNTIF('10月'!CB4:CB34,$B20)+COUNTIF('10月'!CF4:CF34,$B20)+COUNTIF('10月'!CG4:CG34,$B20)+COUNTIF('10月'!CK4:CK34,$B20)+COUNTIF('10月'!CL4:CL34,$B20)+COUNTIF('10月'!CP4:CP34,$B20)+COUNTIF('10月'!CQ4:CQ34,$B20)+COUNTIF('10月'!CU4:CU34,$B20)+COUNTIF('10月'!CV4:CV34,$B20)+COUNTIF('10月'!CZ4:CZ34,$B20)+COUNTIF('10月'!DA4:DA34,$B20)+COUNTIF('10月'!DE4:DE34,$B20)+COUNTIF('10月'!DF4:DF34,$B20)+COUNTIF('10月'!DJ4:DJ34,$B20)+COUNTIF('10月'!DK4:DK34,$B20)+COUNTIF('10月'!DO4:DO34,$B20)+COUNTIF('10月'!DP4:DP34,$B20)+COUNTIF('10月'!DT4:DT34,$B20)+COUNTIF('10月'!DU4:DU34,$B20)+COUNTIF('10月'!DY4:DY34,$B20)+COUNTIF('10月'!DZ4:DZ34,$B20)+COUNTIF('10月'!ED4:ED34,$B20)+COUNTIF('10月'!EE4:EE34,$B20)+COUNTIF('10月'!EI4:EI34,$B20)+COUNTIF('10月'!EJ4:EJ34,$B20)+COUNTIF('10月'!EN4:EN34,$B20)+COUNTIF('10月'!EO4:EO34,$B20)+COUNTIF('10月'!ES4:ES34,$B20)+COUNTIF('10月'!ET4:ET34,$B20)),0)</f>
        <v>0</v>
      </c>
      <c r="M20" s="76">
        <f>IFERROR(IF($B20="","",COUNTIF('11月'!D4:D34,$B20)+COUNTIF('11月'!E4:E34,$B20)+COUNTIF('11月'!I4:I34,$B20)+COUNTIF('11月'!J4:J34,$B20)+COUNTIF('11月'!N4:N34,$B20)+COUNTIF('11月'!O4:O34,$B20)+COUNTIF('11月'!S4:S34,$B20)+COUNTIF('11月'!T4:T34,$B20)+COUNTIF('11月'!X4:X34,$B20)+COUNTIF('11月'!Y4:Y34,$B20)+COUNTIF('11月'!AC4:AC34,$B20)+COUNTIF('11月'!AD4:AD34,$B20)+COUNTIF('11月'!AH4:AH34,$B20)+COUNTIF('11月'!AI4:AI34,$B20)+COUNTIF('11月'!AM4:AM34,$B20)+COUNTIF('11月'!AN4:AN34,$B20)+COUNTIF('11月'!AR4:AR34,$B20)+COUNTIF('11月'!AS4:AS34,$B20)+COUNTIF('11月'!AW4:AW34,$B20)+COUNTIF('11月'!AX4:AX34,$B20)+COUNTIF('11月'!BB4:BB34,$B20)+COUNTIF('11月'!BC4:BC34,$B20)+COUNTIF('11月'!BG4:BG34,$B20)+COUNTIF('11月'!BH4:BH34,$B20)+COUNTIF('11月'!BL4:BL34,$B20)+COUNTIF('11月'!BM4:BM34,$B20)+COUNTIF('11月'!BQ4:BQ34,$B20)+COUNTIF('11月'!BR4:BR34,$B20)+COUNTIF('11月'!BV4:BV34,$B20)+COUNTIF('11月'!BW4:BW34,$B20)+COUNTIF('11月'!CA4:CA34,$B20)+COUNTIF('11月'!CB4:CB34,$B20)+COUNTIF('11月'!CF4:CF34,$B20)+COUNTIF('11月'!CG4:CG34,$B20)+COUNTIF('11月'!CK4:CK34,$B20)+COUNTIF('11月'!CL4:CL34,$B20)+COUNTIF('11月'!CP4:CP34,$B20)+COUNTIF('11月'!CQ4:CQ34,$B20)+COUNTIF('11月'!CU4:CU34,$B20)+COUNTIF('11月'!CV4:CV34,$B20)+COUNTIF('11月'!CZ4:CZ34,$B20)+COUNTIF('11月'!DA4:DA34,$B20)+COUNTIF('11月'!DE4:DE34,$B20)+COUNTIF('11月'!DF4:DF34,$B20)+COUNTIF('11月'!DJ4:DJ34,$B20)+COUNTIF('11月'!DK4:DK34,$B20)+COUNTIF('11月'!DO4:DO34,$B20)+COUNTIF('11月'!DP4:DP34,$B20)+COUNTIF('11月'!DT4:DT34,$B20)+COUNTIF('11月'!DU4:DU34,$B20)+COUNTIF('11月'!DY4:DY34,$B20)+COUNTIF('11月'!DZ4:DZ34,$B20)+COUNTIF('11月'!ED4:ED34,$B20)+COUNTIF('11月'!EE4:EE34,$B20)+COUNTIF('11月'!EI4:EI34,$B20)+COUNTIF('11月'!EJ4:EJ34,$B20)+COUNTIF('11月'!EN4:EN34,$B20)+COUNTIF('11月'!EO4:EO34,$B20)+COUNTIF('11月'!ES4:ES34,$B20)+COUNTIF('11月'!ET4:ET34,$B20)),0)</f>
        <v>0</v>
      </c>
      <c r="N20" s="76">
        <f>IFERROR(IF($B20="","",COUNTIF('12月'!D4:D34,$B20)+COUNTIF('12月'!E4:E34,$B20)+COUNTIF('12月'!I4:I34,$B20)+COUNTIF('12月'!J4:J34,$B20)+COUNTIF('12月'!N4:N34,$B20)+COUNTIF('12月'!O4:O34,$B20)+COUNTIF('12月'!S4:S34,$B20)+COUNTIF('12月'!T4:T34,$B20)+COUNTIF('12月'!X4:X34,$B20)+COUNTIF('12月'!Y4:Y34,$B20)+COUNTIF('12月'!AC4:AC34,$B20)+COUNTIF('12月'!AD4:AD34,$B20)+COUNTIF('12月'!AH4:AH34,$B20)+COUNTIF('12月'!AI4:AI34,$B20)+COUNTIF('12月'!AM4:AM34,$B20)+COUNTIF('12月'!AN4:AN34,$B20)+COUNTIF('12月'!AR4:AR34,$B20)+COUNTIF('12月'!AS4:AS34,$B20)+COUNTIF('12月'!AW4:AW34,$B20)+COUNTIF('12月'!AX4:AX34,$B20)+COUNTIF('12月'!BB4:BB34,$B20)+COUNTIF('12月'!BC4:BC34,$B20)+COUNTIF('12月'!BG4:BG34,$B20)+COUNTIF('12月'!BH4:BH34,$B20)+COUNTIF('12月'!BL4:BL34,$B20)+COUNTIF('12月'!BM4:BM34,$B20)+COUNTIF('12月'!BQ4:BQ34,$B20)+COUNTIF('12月'!BR4:BR34,$B20)+COUNTIF('12月'!BV4:BV34,$B20)+COUNTIF('12月'!BW4:BW34,$B20)+COUNTIF('12月'!CA4:CA34,$B20)+COUNTIF('12月'!CB4:CB34,$B20)+COUNTIF('12月'!CF4:CF34,$B20)+COUNTIF('12月'!CG4:CG34,$B20)+COUNTIF('12月'!CK4:CK34,$B20)+COUNTIF('12月'!CL4:CL34,$B20)+COUNTIF('12月'!CP4:CP34,$B20)+COUNTIF('12月'!CQ4:CQ34,$B20)+COUNTIF('12月'!CU4:CU34,$B20)+COUNTIF('12月'!CV4:CV34,$B20)+COUNTIF('12月'!CZ4:CZ34,$B20)+COUNTIF('12月'!DA4:DA34,$B20)+COUNTIF('12月'!DE4:DE34,$B20)+COUNTIF('12月'!DF4:DF34,$B20)+COUNTIF('12月'!DJ4:DJ34,$B20)+COUNTIF('12月'!DK4:DK34,$B20)+COUNTIF('12月'!DO4:DO34,$B20)+COUNTIF('12月'!DP4:DP34,$B20)+COUNTIF('12月'!DT4:DT34,$B20)+COUNTIF('12月'!DU4:DU34,$B20)+COUNTIF('12月'!DY4:DY34,$B20)+COUNTIF('12月'!DZ4:DZ34,$B20)+COUNTIF('12月'!ED4:ED34,$B20)+COUNTIF('12月'!EE4:EE34,$B20)+COUNTIF('12月'!EI4:EI34,$B20)+COUNTIF('12月'!EJ4:EJ34,$B20)+COUNTIF('12月'!EN4:EN34,$B20)+COUNTIF('12月'!EO4:EO34,$B20)+COUNTIF('12月'!ES4:ES34,$B20)+COUNTIF('12月'!ET4:ET34,$B20)),0)</f>
        <v>0</v>
      </c>
      <c r="O20" s="78">
        <f t="shared" si="0"/>
        <v>0</v>
      </c>
    </row>
    <row r="21" spans="1:15" ht="19.5" customHeight="1">
      <c r="A21" s="76">
        <v>19</v>
      </c>
      <c r="B21" s="77">
        <f>IFERROR(現場マスタ!$C$22,"")</f>
        <v>0</v>
      </c>
      <c r="C21" s="76">
        <f>IFERROR(IF($B21="","",COUNTIF('1月'!D4:D34,$B21)+COUNTIF('1月'!E4:E34,$B21)+COUNTIF('1月'!I4:I34,$B21)+COUNTIF('1月'!J4:J34,$B21)+COUNTIF('1月'!N4:N34,$B21)+COUNTIF('1月'!O4:O34,$B21)+COUNTIF('1月'!S4:S34,$B21)+COUNTIF('1月'!T4:T34,$B21)+COUNTIF('1月'!X4:X34,$B21)+COUNTIF('1月'!Y4:Y34,$B21)+COUNTIF('1月'!AC4:AC34,$B21)+COUNTIF('1月'!AD4:AD34,$B21)+COUNTIF('1月'!AH4:AH34,$B21)+COUNTIF('1月'!AI4:AI34,$B21)+COUNTIF('1月'!AM4:AM34,$B21)+COUNTIF('1月'!AN4:AN34,$B21)+COUNTIF('1月'!AR4:AR34,$B21)+COUNTIF('1月'!AS4:AS34,$B21)+COUNTIF('1月'!AW4:AW34,$B21)+COUNTIF('1月'!AX4:AX34,$B21)+COUNTIF('1月'!BB4:BB34,$B21)+COUNTIF('1月'!BC4:BC34,$B21)+COUNTIF('1月'!BG4:BG34,$B21)+COUNTIF('1月'!BH4:BH34,$B21)+COUNTIF('1月'!BL4:BL34,$B21)+COUNTIF('1月'!BM4:BM34,$B21)+COUNTIF('1月'!BQ4:BQ34,$B21)+COUNTIF('1月'!BR4:BR34,$B21)+COUNTIF('1月'!BV4:BV34,$B21)+COUNTIF('1月'!BW4:BW34,$B21)+COUNTIF('1月'!CA4:CA34,$B21)+COUNTIF('1月'!CB4:CB34,$B21)+COUNTIF('1月'!CF4:CF34,$B21)+COUNTIF('1月'!CG4:CG34,$B21)+COUNTIF('1月'!CK4:CK34,$B21)+COUNTIF('1月'!CL4:CL34,$B21)+COUNTIF('1月'!CP4:CP34,$B21)+COUNTIF('1月'!CQ4:CQ34,$B21)+COUNTIF('1月'!CU4:CU34,$B21)+COUNTIF('1月'!CV4:CV34,$B21)+COUNTIF('1月'!CZ4:CZ34,$B21)+COUNTIF('1月'!DA4:DA34,$B21)+COUNTIF('1月'!DE4:DE34,$B21)+COUNTIF('1月'!DF4:DF34,$B21)+COUNTIF('1月'!DJ4:DJ34,$B21)+COUNTIF('1月'!DK4:DK34,$B21)+COUNTIF('1月'!DO4:DO34,$B21)+COUNTIF('1月'!DP4:DP34,$B21)+COUNTIF('1月'!DT4:DT34,$B21)+COUNTIF('1月'!DU4:DU34,$B21)+COUNTIF('1月'!DY4:DY34,$B21)+COUNTIF('1月'!DZ4:DZ34,$B21)+COUNTIF('1月'!ED4:ED34,$B21)+COUNTIF('1月'!EE4:EE34,$B21)+COUNTIF('1月'!EI4:EI34,$B21)+COUNTIF('1月'!EJ4:EJ34,$B21)+COUNTIF('1月'!EN4:EN34,$B21)+COUNTIF('1月'!EO4:EO34,$B21)+COUNTIF('1月'!ES4:ES34,$B21)+COUNTIF('1月'!ET4:ET34,$B21)),0)</f>
        <v>0</v>
      </c>
      <c r="D21" s="76">
        <f>IFERROR(IF($B21="","",COUNTIF('2月'!D4:D34,$B21)+COUNTIF('2月'!E4:E34,$B21)+COUNTIF('2月'!I4:I34,$B21)+COUNTIF('2月'!J4:J34,$B21)+COUNTIF('2月'!N4:N34,$B21)+COUNTIF('2月'!O4:O34,$B21)+COUNTIF('2月'!S4:S34,$B21)+COUNTIF('2月'!T4:T34,$B21)+COUNTIF('2月'!X4:X34,$B21)+COUNTIF('2月'!Y4:Y34,$B21)+COUNTIF('2月'!AC4:AC34,$B21)+COUNTIF('2月'!AD4:AD34,$B21)+COUNTIF('2月'!AH4:AH34,$B21)+COUNTIF('2月'!AI4:AI34,$B21)+COUNTIF('2月'!AM4:AM34,$B21)+COUNTIF('2月'!AN4:AN34,$B21)+COUNTIF('2月'!AR4:AR34,$B21)+COUNTIF('2月'!AS4:AS34,$B21)+COUNTIF('2月'!AW4:AW34,$B21)+COUNTIF('2月'!AX4:AX34,$B21)+COUNTIF('2月'!BB4:BB34,$B21)+COUNTIF('2月'!BC4:BC34,$B21)+COUNTIF('2月'!BG4:BG34,$B21)+COUNTIF('2月'!BH4:BH34,$B21)+COUNTIF('2月'!BL4:BL34,$B21)+COUNTIF('2月'!BM4:BM34,$B21)+COUNTIF('2月'!BQ4:BQ34,$B21)+COUNTIF('2月'!BR4:BR34,$B21)+COUNTIF('2月'!BV4:BV34,$B21)+COUNTIF('2月'!BW4:BW34,$B21)+COUNTIF('2月'!CA4:CA34,$B21)+COUNTIF('2月'!CB4:CB34,$B21)+COUNTIF('2月'!CF4:CF34,$B21)+COUNTIF('2月'!CG4:CG34,$B21)+COUNTIF('2月'!CK4:CK34,$B21)+COUNTIF('2月'!CL4:CL34,$B21)+COUNTIF('2月'!CP4:CP34,$B21)+COUNTIF('2月'!CQ4:CQ34,$B21)+COUNTIF('2月'!CU4:CU34,$B21)+COUNTIF('2月'!CV4:CV34,$B21)+COUNTIF('2月'!CZ4:CZ34,$B21)+COUNTIF('2月'!DA4:DA34,$B21)+COUNTIF('2月'!DE4:DE34,$B21)+COUNTIF('2月'!DF4:DF34,$B21)+COUNTIF('2月'!DJ4:DJ34,$B21)+COUNTIF('2月'!DK4:DK34,$B21)+COUNTIF('2月'!DO4:DO34,$B21)+COUNTIF('2月'!DP4:DP34,$B21)+COUNTIF('2月'!DT4:DT34,$B21)+COUNTIF('2月'!DU4:DU34,$B21)+COUNTIF('2月'!DY4:DY34,$B21)+COUNTIF('2月'!DZ4:DZ34,$B21)+COUNTIF('2月'!ED4:ED34,$B21)+COUNTIF('2月'!EE4:EE34,$B21)+COUNTIF('2月'!EI4:EI34,$B21)+COUNTIF('2月'!EJ4:EJ34,$B21)+COUNTIF('2月'!EN4:EN34,$B21)+COUNTIF('2月'!EO4:EO34,$B21)+COUNTIF('2月'!ES4:ES34,$B21)+COUNTIF('2月'!ET4:ET34,$B21)),0)</f>
        <v>0</v>
      </c>
      <c r="E21" s="76">
        <f>IFERROR(IF($B21="","",COUNTIF('3月'!D4:D34,$B21)+COUNTIF('3月'!E4:E34,$B21)+COUNTIF('3月'!I4:I34,$B21)+COUNTIF('3月'!J4:J34,$B21)+COUNTIF('3月'!N4:N34,$B21)+COUNTIF('3月'!O4:O34,$B21)+COUNTIF('3月'!S4:S34,$B21)+COUNTIF('3月'!T4:T34,$B21)+COUNTIF('3月'!X4:X34,$B21)+COUNTIF('3月'!Y4:Y34,$B21)+COUNTIF('3月'!AC4:AC34,$B21)+COUNTIF('3月'!AD4:AD34,$B21)+COUNTIF('3月'!AH4:AH34,$B21)+COUNTIF('3月'!AI4:AI34,$B21)+COUNTIF('3月'!AM4:AM34,$B21)+COUNTIF('3月'!AN4:AN34,$B21)+COUNTIF('3月'!AR4:AR34,$B21)+COUNTIF('3月'!AS4:AS34,$B21)+COUNTIF('3月'!AW4:AW34,$B21)+COUNTIF('3月'!AX4:AX34,$B21)+COUNTIF('3月'!BB4:BB34,$B21)+COUNTIF('3月'!BC4:BC34,$B21)+COUNTIF('3月'!BG4:BG34,$B21)+COUNTIF('3月'!BH4:BH34,$B21)+COUNTIF('3月'!BL4:BL34,$B21)+COUNTIF('3月'!BM4:BM34,$B21)+COUNTIF('3月'!BQ4:BQ34,$B21)+COUNTIF('3月'!BR4:BR34,$B21)+COUNTIF('3月'!BV4:BV34,$B21)+COUNTIF('3月'!BW4:BW34,$B21)+COUNTIF('3月'!CA4:CA34,$B21)+COUNTIF('3月'!CB4:CB34,$B21)+COUNTIF('3月'!CF4:CF34,$B21)+COUNTIF('3月'!CG4:CG34,$B21)+COUNTIF('3月'!CK4:CK34,$B21)+COUNTIF('3月'!CL4:CL34,$B21)+COUNTIF('3月'!CP4:CP34,$B21)+COUNTIF('3月'!CQ4:CQ34,$B21)+COUNTIF('3月'!CU4:CU34,$B21)+COUNTIF('3月'!CV4:CV34,$B21)+COUNTIF('3月'!CZ4:CZ34,$B21)+COUNTIF('3月'!DA4:DA34,$B21)+COUNTIF('3月'!DE4:DE34,$B21)+COUNTIF('3月'!DF4:DF34,$B21)+COUNTIF('3月'!DJ4:DJ34,$B21)+COUNTIF('3月'!DK4:DK34,$B21)+COUNTIF('3月'!DO4:DO34,$B21)+COUNTIF('3月'!DP4:DP34,$B21)+COUNTIF('3月'!DT4:DT34,$B21)+COUNTIF('3月'!DU4:DU34,$B21)+COUNTIF('3月'!DY4:DY34,$B21)+COUNTIF('3月'!DZ4:DZ34,$B21)+COUNTIF('3月'!ED4:ED34,$B21)+COUNTIF('3月'!EE4:EE34,$B21)+COUNTIF('3月'!EI4:EI34,$B21)+COUNTIF('3月'!EJ4:EJ34,$B21)+COUNTIF('3月'!EN4:EN34,$B21)+COUNTIF('3月'!EO4:EO34,$B21)+COUNTIF('3月'!ES4:ES34,$B21)+COUNTIF('3月'!ET4:ET34,$B21)),0)</f>
        <v>0</v>
      </c>
      <c r="F21" s="76">
        <f>IFERROR(IF($B21="","",COUNTIF('4月'!D4:D34,$B21)+COUNTIF('4月'!E4:E34,$B21)+COUNTIF('4月'!I4:I34,$B21)+COUNTIF('4月'!J4:J34,$B21)+COUNTIF('4月'!N4:N34,$B21)+COUNTIF('4月'!O4:O34,$B21)+COUNTIF('4月'!S4:S34,$B21)+COUNTIF('4月'!T4:T34,$B21)+COUNTIF('4月'!X4:X34,$B21)+COUNTIF('4月'!Y4:Y34,$B21)+COUNTIF('4月'!AC4:AC34,$B21)+COUNTIF('4月'!AD4:AD34,$B21)+COUNTIF('4月'!AH4:AH34,$B21)+COUNTIF('4月'!AI4:AI34,$B21)+COUNTIF('4月'!AM4:AM34,$B21)+COUNTIF('4月'!AN4:AN34,$B21)+COUNTIF('4月'!AR4:AR34,$B21)+COUNTIF('4月'!AS4:AS34,$B21)+COUNTIF('4月'!AW4:AW34,$B21)+COUNTIF('4月'!AX4:AX34,$B21)+COUNTIF('4月'!BB4:BB34,$B21)+COUNTIF('4月'!BC4:BC34,$B21)+COUNTIF('4月'!BG4:BG34,$B21)+COUNTIF('4月'!BH4:BH34,$B21)+COUNTIF('4月'!BL4:BL34,$B21)+COUNTIF('4月'!BM4:BM34,$B21)+COUNTIF('4月'!BQ4:BQ34,$B21)+COUNTIF('4月'!BR4:BR34,$B21)+COUNTIF('4月'!BV4:BV34,$B21)+COUNTIF('4月'!BW4:BW34,$B21)+COUNTIF('4月'!CA4:CA34,$B21)+COUNTIF('4月'!CB4:CB34,$B21)+COUNTIF('4月'!CF4:CF34,$B21)+COUNTIF('4月'!CG4:CG34,$B21)+COUNTIF('4月'!CK4:CK34,$B21)+COUNTIF('4月'!CL4:CL34,$B21)+COUNTIF('4月'!CP4:CP34,$B21)+COUNTIF('4月'!CQ4:CQ34,$B21)+COUNTIF('4月'!CU4:CU34,$B21)+COUNTIF('4月'!CV4:CV34,$B21)+COUNTIF('4月'!CZ4:CZ34,$B21)+COUNTIF('4月'!DA4:DA34,$B21)+COUNTIF('4月'!DE4:DE34,$B21)+COUNTIF('4月'!DF4:DF34,$B21)+COUNTIF('4月'!DJ4:DJ34,$B21)+COUNTIF('4月'!DK4:DK34,$B21)+COUNTIF('4月'!DO4:DO34,$B21)+COUNTIF('4月'!DP4:DP34,$B21)+COUNTIF('4月'!DT4:DT34,$B21)+COUNTIF('4月'!DU4:DU34,$B21)+COUNTIF('4月'!DY4:DY34,$B21)+COUNTIF('4月'!DZ4:DZ34,$B21)+COUNTIF('4月'!ED4:ED34,$B21)+COUNTIF('4月'!EE4:EE34,$B21)+COUNTIF('4月'!EI4:EI34,$B21)+COUNTIF('4月'!EJ4:EJ34,$B21)+COUNTIF('4月'!EN4:EN34,$B21)+COUNTIF('4月'!EO4:EO34,$B21)+COUNTIF('4月'!ES4:ES34,$B21)+COUNTIF('4月'!ET4:ET34,$B21)),0)</f>
        <v>0</v>
      </c>
      <c r="G21" s="76">
        <f>IFERROR(IF($B21="","",COUNTIF('5月'!D4:D34,$B21)+COUNTIF('5月'!E4:E34,$B21)+COUNTIF('5月'!I4:I34,$B21)+COUNTIF('5月'!J4:J34,$B21)+COUNTIF('5月'!N4:N34,$B21)+COUNTIF('5月'!O4:O34,$B21)+COUNTIF('5月'!S4:S34,$B21)+COUNTIF('5月'!T4:T34,$B21)+COUNTIF('5月'!X4:X34,$B21)+COUNTIF('5月'!Y4:Y34,$B21)+COUNTIF('5月'!AC4:AC34,$B21)+COUNTIF('5月'!AD4:AD34,$B21)+COUNTIF('5月'!AH4:AH34,$B21)+COUNTIF('5月'!AI4:AI34,$B21)+COUNTIF('5月'!AM4:AM34,$B21)+COUNTIF('5月'!AN4:AN34,$B21)+COUNTIF('5月'!AR4:AR34,$B21)+COUNTIF('5月'!AS4:AS34,$B21)+COUNTIF('5月'!AW4:AW34,$B21)+COUNTIF('5月'!AX4:AX34,$B21)+COUNTIF('5月'!BB4:BB34,$B21)+COUNTIF('5月'!BC4:BC34,$B21)+COUNTIF('5月'!BG4:BG34,$B21)+COUNTIF('5月'!BH4:BH34,$B21)+COUNTIF('5月'!BL4:BL34,$B21)+COUNTIF('5月'!BM4:BM34,$B21)+COUNTIF('5月'!BQ4:BQ34,$B21)+COUNTIF('5月'!BR4:BR34,$B21)+COUNTIF('5月'!BV4:BV34,$B21)+COUNTIF('5月'!BW4:BW34,$B21)+COUNTIF('5月'!CA4:CA34,$B21)+COUNTIF('5月'!CB4:CB34,$B21)+COUNTIF('5月'!CF4:CF34,$B21)+COUNTIF('5月'!CG4:CG34,$B21)+COUNTIF('5月'!CK4:CK34,$B21)+COUNTIF('5月'!CL4:CL34,$B21)+COUNTIF('5月'!CP4:CP34,$B21)+COUNTIF('5月'!CQ4:CQ34,$B21)+COUNTIF('5月'!CU4:CU34,$B21)+COUNTIF('5月'!CV4:CV34,$B21)+COUNTIF('5月'!CZ4:CZ34,$B21)+COUNTIF('5月'!DA4:DA34,$B21)+COUNTIF('5月'!DE4:DE34,$B21)+COUNTIF('5月'!DF4:DF34,$B21)+COUNTIF('5月'!DJ4:DJ34,$B21)+COUNTIF('5月'!DK4:DK34,$B21)+COUNTIF('5月'!DO4:DO34,$B21)+COUNTIF('5月'!DP4:DP34,$B21)+COUNTIF('5月'!DT4:DT34,$B21)+COUNTIF('5月'!DU4:DU34,$B21)+COUNTIF('5月'!DY4:DY34,$B21)+COUNTIF('5月'!DZ4:DZ34,$B21)+COUNTIF('5月'!ED4:ED34,$B21)+COUNTIF('5月'!EE4:EE34,$B21)+COUNTIF('5月'!EI4:EI34,$B21)+COUNTIF('5月'!EJ4:EJ34,$B21)+COUNTIF('5月'!EN4:EN34,$B21)+COUNTIF('5月'!EO4:EO34,$B21)+COUNTIF('5月'!ES4:ES34,$B21)+COUNTIF('5月'!ET4:ET34,$B21)),0)</f>
        <v>0</v>
      </c>
      <c r="H21" s="76">
        <f>IFERROR(IF($B21="","",COUNTIF('6月'!D4:D34,$B21)+COUNTIF('6月'!E4:E34,$B21)+COUNTIF('6月'!I4:I34,$B21)+COUNTIF('6月'!J4:J34,$B21)+COUNTIF('6月'!N4:N34,$B21)+COUNTIF('6月'!O4:O34,$B21)+COUNTIF('6月'!S4:S34,$B21)+COUNTIF('6月'!T4:T34,$B21)+COUNTIF('6月'!X4:X34,$B21)+COUNTIF('6月'!Y4:Y34,$B21)+COUNTIF('6月'!AC4:AC34,$B21)+COUNTIF('6月'!AD4:AD34,$B21)+COUNTIF('6月'!AH4:AH34,$B21)+COUNTIF('6月'!AI4:AI34,$B21)+COUNTIF('6月'!AM4:AM34,$B21)+COUNTIF('6月'!AN4:AN34,$B21)+COUNTIF('6月'!AR4:AR34,$B21)+COUNTIF('6月'!AS4:AS34,$B21)+COUNTIF('6月'!AW4:AW34,$B21)+COUNTIF('6月'!AX4:AX34,$B21)+COUNTIF('6月'!BB4:BB34,$B21)+COUNTIF('6月'!BC4:BC34,$B21)+COUNTIF('6月'!BG4:BG34,$B21)+COUNTIF('6月'!BH4:BH34,$B21)+COUNTIF('6月'!BL4:BL34,$B21)+COUNTIF('6月'!BM4:BM34,$B21)+COUNTIF('6月'!BQ4:BQ34,$B21)+COUNTIF('6月'!BR4:BR34,$B21)+COUNTIF('6月'!BV4:BV34,$B21)+COUNTIF('6月'!BW4:BW34,$B21)+COUNTIF('6月'!CA4:CA34,$B21)+COUNTIF('6月'!CB4:CB34,$B21)+COUNTIF('6月'!CF4:CF34,$B21)+COUNTIF('6月'!CG4:CG34,$B21)+COUNTIF('6月'!CK4:CK34,$B21)+COUNTIF('6月'!CL4:CL34,$B21)+COUNTIF('6月'!CP4:CP34,$B21)+COUNTIF('6月'!CQ4:CQ34,$B21)+COUNTIF('6月'!CU4:CU34,$B21)+COUNTIF('6月'!CV4:CV34,$B21)+COUNTIF('6月'!CZ4:CZ34,$B21)+COUNTIF('6月'!DA4:DA34,$B21)+COUNTIF('6月'!DE4:DE34,$B21)+COUNTIF('6月'!DF4:DF34,$B21)+COUNTIF('6月'!DJ4:DJ34,$B21)+COUNTIF('6月'!DK4:DK34,$B21)+COUNTIF('6月'!DO4:DO34,$B21)+COUNTIF('6月'!DP4:DP34,$B21)+COUNTIF('6月'!DT4:DT34,$B21)+COUNTIF('6月'!DU4:DU34,$B21)+COUNTIF('6月'!DY4:DY34,$B21)+COUNTIF('6月'!DZ4:DZ34,$B21)+COUNTIF('6月'!ED4:ED34,$B21)+COUNTIF('6月'!EE4:EE34,$B21)+COUNTIF('6月'!EI4:EI34,$B21)+COUNTIF('6月'!EJ4:EJ34,$B21)+COUNTIF('6月'!EN4:EN34,$B21)+COUNTIF('6月'!EO4:EO34,$B21)+COUNTIF('6月'!ES4:ES34,$B21)+COUNTIF('6月'!ET4:ET34,$B21)),0)</f>
        <v>0</v>
      </c>
      <c r="I21" s="76">
        <f>IFERROR(IF($B21="","",COUNTIF('7月'!D4:D34,$B21)+COUNTIF('7月'!E4:E34,$B21)+COUNTIF('7月'!I4:I34,$B21)+COUNTIF('7月'!J4:J34,$B21)+COUNTIF('7月'!N4:N34,$B21)+COUNTIF('7月'!O4:O34,$B21)+COUNTIF('7月'!S4:S34,$B21)+COUNTIF('7月'!T4:T34,$B21)+COUNTIF('7月'!X4:X34,$B21)+COUNTIF('7月'!Y4:Y34,$B21)+COUNTIF('7月'!AC4:AC34,$B21)+COUNTIF('7月'!AD4:AD34,$B21)+COUNTIF('7月'!AH4:AH34,$B21)+COUNTIF('7月'!AI4:AI34,$B21)+COUNTIF('7月'!AM4:AM34,$B21)+COUNTIF('7月'!AN4:AN34,$B21)+COUNTIF('7月'!AR4:AR34,$B21)+COUNTIF('7月'!AS4:AS34,$B21)+COUNTIF('7月'!AW4:AW34,$B21)+COUNTIF('7月'!AX4:AX34,$B21)+COUNTIF('7月'!BB4:BB34,$B21)+COUNTIF('7月'!BC4:BC34,$B21)+COUNTIF('7月'!BG4:BG34,$B21)+COUNTIF('7月'!BH4:BH34,$B21)+COUNTIF('7月'!BL4:BL34,$B21)+COUNTIF('7月'!BM4:BM34,$B21)+COUNTIF('7月'!BQ4:BQ34,$B21)+COUNTIF('7月'!BR4:BR34,$B21)+COUNTIF('7月'!BV4:BV34,$B21)+COUNTIF('7月'!BW4:BW34,$B21)+COUNTIF('7月'!CA4:CA34,$B21)+COUNTIF('7月'!CB4:CB34,$B21)+COUNTIF('7月'!CF4:CF34,$B21)+COUNTIF('7月'!CG4:CG34,$B21)+COUNTIF('7月'!CK4:CK34,$B21)+COUNTIF('7月'!CL4:CL34,$B21)+COUNTIF('7月'!CP4:CP34,$B21)+COUNTIF('7月'!CQ4:CQ34,$B21)+COUNTIF('7月'!CU4:CU34,$B21)+COUNTIF('7月'!CV4:CV34,$B21)+COUNTIF('7月'!CZ4:CZ34,$B21)+COUNTIF('7月'!DA4:DA34,$B21)+COUNTIF('7月'!DE4:DE34,$B21)+COUNTIF('7月'!DF4:DF34,$B21)+COUNTIF('7月'!DJ4:DJ34,$B21)+COUNTIF('7月'!DK4:DK34,$B21)+COUNTIF('7月'!DO4:DO34,$B21)+COUNTIF('7月'!DP4:DP34,$B21)+COUNTIF('7月'!DT4:DT34,$B21)+COUNTIF('7月'!DU4:DU34,$B21)+COUNTIF('7月'!DY4:DY34,$B21)+COUNTIF('7月'!DZ4:DZ34,$B21)+COUNTIF('7月'!ED4:ED34,$B21)+COUNTIF('7月'!EE4:EE34,$B21)+COUNTIF('7月'!EI4:EI34,$B21)+COUNTIF('7月'!EJ4:EJ34,$B21)+COUNTIF('7月'!EN4:EN34,$B21)+COUNTIF('7月'!EO4:EO34,$B21)+COUNTIF('7月'!ES4:ES34,$B21)+COUNTIF('7月'!ET4:ET34,$B21)),0)</f>
        <v>0</v>
      </c>
      <c r="J21" s="76">
        <f>IFERROR(IF($B21="","",COUNTIF('8月'!D4:D34,$B21)+COUNTIF('8月'!E4:E34,$B21)+COUNTIF('8月'!I4:I34,$B21)+COUNTIF('8月'!J4:J34,$B21)+COUNTIF('8月'!N4:N34,$B21)+COUNTIF('8月'!O4:O34,$B21)+COUNTIF('8月'!S4:S34,$B21)+COUNTIF('8月'!T4:T34,$B21)+COUNTIF('8月'!X4:X34,$B21)+COUNTIF('8月'!Y4:Y34,$B21)+COUNTIF('8月'!AC4:AC34,$B21)+COUNTIF('8月'!AD4:AD34,$B21)+COUNTIF('8月'!AH4:AH34,$B21)+COUNTIF('8月'!AI4:AI34,$B21)+COUNTIF('8月'!AM4:AM34,$B21)+COUNTIF('8月'!AN4:AN34,$B21)+COUNTIF('8月'!AR4:AR34,$B21)+COUNTIF('8月'!AS4:AS34,$B21)+COUNTIF('8月'!AW4:AW34,$B21)+COUNTIF('8月'!AX4:AX34,$B21)+COUNTIF('8月'!BB4:BB34,$B21)+COUNTIF('8月'!BC4:BC34,$B21)+COUNTIF('8月'!BG4:BG34,$B21)+COUNTIF('8月'!BH4:BH34,$B21)+COUNTIF('8月'!BL4:BL34,$B21)+COUNTIF('8月'!BM4:BM34,$B21)+COUNTIF('8月'!BQ4:BQ34,$B21)+COUNTIF('8月'!BR4:BR34,$B21)+COUNTIF('8月'!BV4:BV34,$B21)+COUNTIF('8月'!BW4:BW34,$B21)+COUNTIF('8月'!CA4:CA34,$B21)+COUNTIF('8月'!CB4:CB34,$B21)+COUNTIF('8月'!CF4:CF34,$B21)+COUNTIF('8月'!CG4:CG34,$B21)+COUNTIF('8月'!CK4:CK34,$B21)+COUNTIF('8月'!CL4:CL34,$B21)+COUNTIF('8月'!CP4:CP34,$B21)+COUNTIF('8月'!CQ4:CQ34,$B21)+COUNTIF('8月'!CU4:CU34,$B21)+COUNTIF('8月'!CV4:CV34,$B21)+COUNTIF('8月'!CZ4:CZ34,$B21)+COUNTIF('8月'!DA4:DA34,$B21)+COUNTIF('8月'!DE4:DE34,$B21)+COUNTIF('8月'!DF4:DF34,$B21)+COUNTIF('8月'!DJ4:DJ34,$B21)+COUNTIF('8月'!DK4:DK34,$B21)+COUNTIF('8月'!DO4:DO34,$B21)+COUNTIF('8月'!DP4:DP34,$B21)+COUNTIF('8月'!DT4:DT34,$B21)+COUNTIF('8月'!DU4:DU34,$B21)+COUNTIF('8月'!DY4:DY34,$B21)+COUNTIF('8月'!DZ4:DZ34,$B21)+COUNTIF('8月'!ED4:ED34,$B21)+COUNTIF('8月'!EE4:EE34,$B21)+COUNTIF('8月'!EI4:EI34,$B21)+COUNTIF('8月'!EJ4:EJ34,$B21)+COUNTIF('8月'!EN4:EN34,$B21)+COUNTIF('8月'!EO4:EO34,$B21)+COUNTIF('8月'!ES4:ES34,$B21)+COUNTIF('8月'!ET4:ET34,$B21)),0)</f>
        <v>0</v>
      </c>
      <c r="K21" s="76">
        <f>IFERROR(IF($B21="","",COUNTIF('9月'!D4:D34,$B21)+COUNTIF('9月'!E4:E34,$B21)+COUNTIF('9月'!I4:I34,$B21)+COUNTIF('9月'!J4:J34,$B21)+COUNTIF('9月'!N4:N34,$B21)+COUNTIF('9月'!O4:O34,$B21)+COUNTIF('9月'!S4:S34,$B21)+COUNTIF('9月'!T4:T34,$B21)+COUNTIF('9月'!X4:X34,$B21)+COUNTIF('9月'!Y4:Y34,$B21)+COUNTIF('9月'!AC4:AC34,$B21)+COUNTIF('9月'!AD4:AD34,$B21)+COUNTIF('9月'!AH4:AH34,$B21)+COUNTIF('9月'!AI4:AI34,$B21)+COUNTIF('9月'!AM4:AM34,$B21)+COUNTIF('9月'!AN4:AN34,$B21)+COUNTIF('9月'!AR4:AR34,$B21)+COUNTIF('9月'!AS4:AS34,$B21)+COUNTIF('9月'!AW4:AW34,$B21)+COUNTIF('9月'!AX4:AX34,$B21)+COUNTIF('9月'!BB4:BB34,$B21)+COUNTIF('9月'!BC4:BC34,$B21)+COUNTIF('9月'!BG4:BG34,$B21)+COUNTIF('9月'!BH4:BH34,$B21)+COUNTIF('9月'!BL4:BL34,$B21)+COUNTIF('9月'!BM4:BM34,$B21)+COUNTIF('9月'!BQ4:BQ34,$B21)+COUNTIF('9月'!BR4:BR34,$B21)+COUNTIF('9月'!BV4:BV34,$B21)+COUNTIF('9月'!BW4:BW34,$B21)+COUNTIF('9月'!CA4:CA34,$B21)+COUNTIF('9月'!CB4:CB34,$B21)+COUNTIF('9月'!CF4:CF34,$B21)+COUNTIF('9月'!CG4:CG34,$B21)+COUNTIF('9月'!CK4:CK34,$B21)+COUNTIF('9月'!CL4:CL34,$B21)+COUNTIF('9月'!CP4:CP34,$B21)+COUNTIF('9月'!CQ4:CQ34,$B21)+COUNTIF('9月'!CU4:CU34,$B21)+COUNTIF('9月'!CV4:CV34,$B21)+COUNTIF('9月'!CZ4:CZ34,$B21)+COUNTIF('9月'!DA4:DA34,$B21)+COUNTIF('9月'!DE4:DE34,$B21)+COUNTIF('9月'!DF4:DF34,$B21)+COUNTIF('9月'!DJ4:DJ34,$B21)+COUNTIF('9月'!DK4:DK34,$B21)+COUNTIF('9月'!DO4:DO34,$B21)+COUNTIF('9月'!DP4:DP34,$B21)+COUNTIF('9月'!DT4:DT34,$B21)+COUNTIF('9月'!DU4:DU34,$B21)+COUNTIF('9月'!DY4:DY34,$B21)+COUNTIF('9月'!DZ4:DZ34,$B21)+COUNTIF('9月'!ED4:ED34,$B21)+COUNTIF('9月'!EE4:EE34,$B21)+COUNTIF('9月'!EI4:EI34,$B21)+COUNTIF('9月'!EJ4:EJ34,$B21)+COUNTIF('9月'!EN4:EN34,$B21)+COUNTIF('9月'!EO4:EO34,$B21)+COUNTIF('9月'!ES4:ES34,$B21)+COUNTIF('9月'!ET4:ET34,$B21)),0)</f>
        <v>0</v>
      </c>
      <c r="L21" s="76">
        <f>IFERROR(IF($B21="","",COUNTIF('10月'!D4:D34,$B21)+COUNTIF('10月'!E4:E34,$B21)+COUNTIF('10月'!I4:I34,$B21)+COUNTIF('10月'!J4:J34,$B21)+COUNTIF('10月'!N4:N34,$B21)+COUNTIF('10月'!O4:O34,$B21)+COUNTIF('10月'!S4:S34,$B21)+COUNTIF('10月'!T4:T34,$B21)+COUNTIF('10月'!X4:X34,$B21)+COUNTIF('10月'!Y4:Y34,$B21)+COUNTIF('10月'!AC4:AC34,$B21)+COUNTIF('10月'!AD4:AD34,$B21)+COUNTIF('10月'!AH4:AH34,$B21)+COUNTIF('10月'!AI4:AI34,$B21)+COUNTIF('10月'!AM4:AM34,$B21)+COUNTIF('10月'!AN4:AN34,$B21)+COUNTIF('10月'!AR4:AR34,$B21)+COUNTIF('10月'!AS4:AS34,$B21)+COUNTIF('10月'!AW4:AW34,$B21)+COUNTIF('10月'!AX4:AX34,$B21)+COUNTIF('10月'!BB4:BB34,$B21)+COUNTIF('10月'!BC4:BC34,$B21)+COUNTIF('10月'!BG4:BG34,$B21)+COUNTIF('10月'!BH4:BH34,$B21)+COUNTIF('10月'!BL4:BL34,$B21)+COUNTIF('10月'!BM4:BM34,$B21)+COUNTIF('10月'!BQ4:BQ34,$B21)+COUNTIF('10月'!BR4:BR34,$B21)+COUNTIF('10月'!BV4:BV34,$B21)+COUNTIF('10月'!BW4:BW34,$B21)+COUNTIF('10月'!CA4:CA34,$B21)+COUNTIF('10月'!CB4:CB34,$B21)+COUNTIF('10月'!CF4:CF34,$B21)+COUNTIF('10月'!CG4:CG34,$B21)+COUNTIF('10月'!CK4:CK34,$B21)+COUNTIF('10月'!CL4:CL34,$B21)+COUNTIF('10月'!CP4:CP34,$B21)+COUNTIF('10月'!CQ4:CQ34,$B21)+COUNTIF('10月'!CU4:CU34,$B21)+COUNTIF('10月'!CV4:CV34,$B21)+COUNTIF('10月'!CZ4:CZ34,$B21)+COUNTIF('10月'!DA4:DA34,$B21)+COUNTIF('10月'!DE4:DE34,$B21)+COUNTIF('10月'!DF4:DF34,$B21)+COUNTIF('10月'!DJ4:DJ34,$B21)+COUNTIF('10月'!DK4:DK34,$B21)+COUNTIF('10月'!DO4:DO34,$B21)+COUNTIF('10月'!DP4:DP34,$B21)+COUNTIF('10月'!DT4:DT34,$B21)+COUNTIF('10月'!DU4:DU34,$B21)+COUNTIF('10月'!DY4:DY34,$B21)+COUNTIF('10月'!DZ4:DZ34,$B21)+COUNTIF('10月'!ED4:ED34,$B21)+COUNTIF('10月'!EE4:EE34,$B21)+COUNTIF('10月'!EI4:EI34,$B21)+COUNTIF('10月'!EJ4:EJ34,$B21)+COUNTIF('10月'!EN4:EN34,$B21)+COUNTIF('10月'!EO4:EO34,$B21)+COUNTIF('10月'!ES4:ES34,$B21)+COUNTIF('10月'!ET4:ET34,$B21)),0)</f>
        <v>0</v>
      </c>
      <c r="M21" s="76">
        <f>IFERROR(IF($B21="","",COUNTIF('11月'!D4:D34,$B21)+COUNTIF('11月'!E4:E34,$B21)+COUNTIF('11月'!I4:I34,$B21)+COUNTIF('11月'!J4:J34,$B21)+COUNTIF('11月'!N4:N34,$B21)+COUNTIF('11月'!O4:O34,$B21)+COUNTIF('11月'!S4:S34,$B21)+COUNTIF('11月'!T4:T34,$B21)+COUNTIF('11月'!X4:X34,$B21)+COUNTIF('11月'!Y4:Y34,$B21)+COUNTIF('11月'!AC4:AC34,$B21)+COUNTIF('11月'!AD4:AD34,$B21)+COUNTIF('11月'!AH4:AH34,$B21)+COUNTIF('11月'!AI4:AI34,$B21)+COUNTIF('11月'!AM4:AM34,$B21)+COUNTIF('11月'!AN4:AN34,$B21)+COUNTIF('11月'!AR4:AR34,$B21)+COUNTIF('11月'!AS4:AS34,$B21)+COUNTIF('11月'!AW4:AW34,$B21)+COUNTIF('11月'!AX4:AX34,$B21)+COUNTIF('11月'!BB4:BB34,$B21)+COUNTIF('11月'!BC4:BC34,$B21)+COUNTIF('11月'!BG4:BG34,$B21)+COUNTIF('11月'!BH4:BH34,$B21)+COUNTIF('11月'!BL4:BL34,$B21)+COUNTIF('11月'!BM4:BM34,$B21)+COUNTIF('11月'!BQ4:BQ34,$B21)+COUNTIF('11月'!BR4:BR34,$B21)+COUNTIF('11月'!BV4:BV34,$B21)+COUNTIF('11月'!BW4:BW34,$B21)+COUNTIF('11月'!CA4:CA34,$B21)+COUNTIF('11月'!CB4:CB34,$B21)+COUNTIF('11月'!CF4:CF34,$B21)+COUNTIF('11月'!CG4:CG34,$B21)+COUNTIF('11月'!CK4:CK34,$B21)+COUNTIF('11月'!CL4:CL34,$B21)+COUNTIF('11月'!CP4:CP34,$B21)+COUNTIF('11月'!CQ4:CQ34,$B21)+COUNTIF('11月'!CU4:CU34,$B21)+COUNTIF('11月'!CV4:CV34,$B21)+COUNTIF('11月'!CZ4:CZ34,$B21)+COUNTIF('11月'!DA4:DA34,$B21)+COUNTIF('11月'!DE4:DE34,$B21)+COUNTIF('11月'!DF4:DF34,$B21)+COUNTIF('11月'!DJ4:DJ34,$B21)+COUNTIF('11月'!DK4:DK34,$B21)+COUNTIF('11月'!DO4:DO34,$B21)+COUNTIF('11月'!DP4:DP34,$B21)+COUNTIF('11月'!DT4:DT34,$B21)+COUNTIF('11月'!DU4:DU34,$B21)+COUNTIF('11月'!DY4:DY34,$B21)+COUNTIF('11月'!DZ4:DZ34,$B21)+COUNTIF('11月'!ED4:ED34,$B21)+COUNTIF('11月'!EE4:EE34,$B21)+COUNTIF('11月'!EI4:EI34,$B21)+COUNTIF('11月'!EJ4:EJ34,$B21)+COUNTIF('11月'!EN4:EN34,$B21)+COUNTIF('11月'!EO4:EO34,$B21)+COUNTIF('11月'!ES4:ES34,$B21)+COUNTIF('11月'!ET4:ET34,$B21)),0)</f>
        <v>0</v>
      </c>
      <c r="N21" s="76">
        <f>IFERROR(IF($B21="","",COUNTIF('12月'!D4:D34,$B21)+COUNTIF('12月'!E4:E34,$B21)+COUNTIF('12月'!I4:I34,$B21)+COUNTIF('12月'!J4:J34,$B21)+COUNTIF('12月'!N4:N34,$B21)+COUNTIF('12月'!O4:O34,$B21)+COUNTIF('12月'!S4:S34,$B21)+COUNTIF('12月'!T4:T34,$B21)+COUNTIF('12月'!X4:X34,$B21)+COUNTIF('12月'!Y4:Y34,$B21)+COUNTIF('12月'!AC4:AC34,$B21)+COUNTIF('12月'!AD4:AD34,$B21)+COUNTIF('12月'!AH4:AH34,$B21)+COUNTIF('12月'!AI4:AI34,$B21)+COUNTIF('12月'!AM4:AM34,$B21)+COUNTIF('12月'!AN4:AN34,$B21)+COUNTIF('12月'!AR4:AR34,$B21)+COUNTIF('12月'!AS4:AS34,$B21)+COUNTIF('12月'!AW4:AW34,$B21)+COUNTIF('12月'!AX4:AX34,$B21)+COUNTIF('12月'!BB4:BB34,$B21)+COUNTIF('12月'!BC4:BC34,$B21)+COUNTIF('12月'!BG4:BG34,$B21)+COUNTIF('12月'!BH4:BH34,$B21)+COUNTIF('12月'!BL4:BL34,$B21)+COUNTIF('12月'!BM4:BM34,$B21)+COUNTIF('12月'!BQ4:BQ34,$B21)+COUNTIF('12月'!BR4:BR34,$B21)+COUNTIF('12月'!BV4:BV34,$B21)+COUNTIF('12月'!BW4:BW34,$B21)+COUNTIF('12月'!CA4:CA34,$B21)+COUNTIF('12月'!CB4:CB34,$B21)+COUNTIF('12月'!CF4:CF34,$B21)+COUNTIF('12月'!CG4:CG34,$B21)+COUNTIF('12月'!CK4:CK34,$B21)+COUNTIF('12月'!CL4:CL34,$B21)+COUNTIF('12月'!CP4:CP34,$B21)+COUNTIF('12月'!CQ4:CQ34,$B21)+COUNTIF('12月'!CU4:CU34,$B21)+COUNTIF('12月'!CV4:CV34,$B21)+COUNTIF('12月'!CZ4:CZ34,$B21)+COUNTIF('12月'!DA4:DA34,$B21)+COUNTIF('12月'!DE4:DE34,$B21)+COUNTIF('12月'!DF4:DF34,$B21)+COUNTIF('12月'!DJ4:DJ34,$B21)+COUNTIF('12月'!DK4:DK34,$B21)+COUNTIF('12月'!DO4:DO34,$B21)+COUNTIF('12月'!DP4:DP34,$B21)+COUNTIF('12月'!DT4:DT34,$B21)+COUNTIF('12月'!DU4:DU34,$B21)+COUNTIF('12月'!DY4:DY34,$B21)+COUNTIF('12月'!DZ4:DZ34,$B21)+COUNTIF('12月'!ED4:ED34,$B21)+COUNTIF('12月'!EE4:EE34,$B21)+COUNTIF('12月'!EI4:EI34,$B21)+COUNTIF('12月'!EJ4:EJ34,$B21)+COUNTIF('12月'!EN4:EN34,$B21)+COUNTIF('12月'!EO4:EO34,$B21)+COUNTIF('12月'!ES4:ES34,$B21)+COUNTIF('12月'!ET4:ET34,$B21)),0)</f>
        <v>0</v>
      </c>
      <c r="O21" s="78">
        <f t="shared" si="0"/>
        <v>0</v>
      </c>
    </row>
    <row r="22" spans="1:15" ht="19.5" customHeight="1">
      <c r="A22" s="76">
        <v>20</v>
      </c>
      <c r="B22" s="77">
        <f>IFERROR(現場マスタ!$C$23,"")</f>
        <v>0</v>
      </c>
      <c r="C22" s="76">
        <f>IFERROR(IF($B22="","",COUNTIF('1月'!D4:D34,$B22)+COUNTIF('1月'!E4:E34,$B22)+COUNTIF('1月'!I4:I34,$B22)+COUNTIF('1月'!J4:J34,$B22)+COUNTIF('1月'!N4:N34,$B22)+COUNTIF('1月'!O4:O34,$B22)+COUNTIF('1月'!S4:S34,$B22)+COUNTIF('1月'!T4:T34,$B22)+COUNTIF('1月'!X4:X34,$B22)+COUNTIF('1月'!Y4:Y34,$B22)+COUNTIF('1月'!AC4:AC34,$B22)+COUNTIF('1月'!AD4:AD34,$B22)+COUNTIF('1月'!AH4:AH34,$B22)+COUNTIF('1月'!AI4:AI34,$B22)+COUNTIF('1月'!AM4:AM34,$B22)+COUNTIF('1月'!AN4:AN34,$B22)+COUNTIF('1月'!AR4:AR34,$B22)+COUNTIF('1月'!AS4:AS34,$B22)+COUNTIF('1月'!AW4:AW34,$B22)+COUNTIF('1月'!AX4:AX34,$B22)+COUNTIF('1月'!BB4:BB34,$B22)+COUNTIF('1月'!BC4:BC34,$B22)+COUNTIF('1月'!BG4:BG34,$B22)+COUNTIF('1月'!BH4:BH34,$B22)+COUNTIF('1月'!BL4:BL34,$B22)+COUNTIF('1月'!BM4:BM34,$B22)+COUNTIF('1月'!BQ4:BQ34,$B22)+COUNTIF('1月'!BR4:BR34,$B22)+COUNTIF('1月'!BV4:BV34,$B22)+COUNTIF('1月'!BW4:BW34,$B22)+COUNTIF('1月'!CA4:CA34,$B22)+COUNTIF('1月'!CB4:CB34,$B22)+COUNTIF('1月'!CF4:CF34,$B22)+COUNTIF('1月'!CG4:CG34,$B22)+COUNTIF('1月'!CK4:CK34,$B22)+COUNTIF('1月'!CL4:CL34,$B22)+COUNTIF('1月'!CP4:CP34,$B22)+COUNTIF('1月'!CQ4:CQ34,$B22)+COUNTIF('1月'!CU4:CU34,$B22)+COUNTIF('1月'!CV4:CV34,$B22)+COUNTIF('1月'!CZ4:CZ34,$B22)+COUNTIF('1月'!DA4:DA34,$B22)+COUNTIF('1月'!DE4:DE34,$B22)+COUNTIF('1月'!DF4:DF34,$B22)+COUNTIF('1月'!DJ4:DJ34,$B22)+COUNTIF('1月'!DK4:DK34,$B22)+COUNTIF('1月'!DO4:DO34,$B22)+COUNTIF('1月'!DP4:DP34,$B22)+COUNTIF('1月'!DT4:DT34,$B22)+COUNTIF('1月'!DU4:DU34,$B22)+COUNTIF('1月'!DY4:DY34,$B22)+COUNTIF('1月'!DZ4:DZ34,$B22)+COUNTIF('1月'!ED4:ED34,$B22)+COUNTIF('1月'!EE4:EE34,$B22)+COUNTIF('1月'!EI4:EI34,$B22)+COUNTIF('1月'!EJ4:EJ34,$B22)+COUNTIF('1月'!EN4:EN34,$B22)+COUNTIF('1月'!EO4:EO34,$B22)+COUNTIF('1月'!ES4:ES34,$B22)+COUNTIF('1月'!ET4:ET34,$B22)),0)</f>
        <v>0</v>
      </c>
      <c r="D22" s="76">
        <f>IFERROR(IF($B22="","",COUNTIF('2月'!D4:D34,$B22)+COUNTIF('2月'!E4:E34,$B22)+COUNTIF('2月'!I4:I34,$B22)+COUNTIF('2月'!J4:J34,$B22)+COUNTIF('2月'!N4:N34,$B22)+COUNTIF('2月'!O4:O34,$B22)+COUNTIF('2月'!S4:S34,$B22)+COUNTIF('2月'!T4:T34,$B22)+COUNTIF('2月'!X4:X34,$B22)+COUNTIF('2月'!Y4:Y34,$B22)+COUNTIF('2月'!AC4:AC34,$B22)+COUNTIF('2月'!AD4:AD34,$B22)+COUNTIF('2月'!AH4:AH34,$B22)+COUNTIF('2月'!AI4:AI34,$B22)+COUNTIF('2月'!AM4:AM34,$B22)+COUNTIF('2月'!AN4:AN34,$B22)+COUNTIF('2月'!AR4:AR34,$B22)+COUNTIF('2月'!AS4:AS34,$B22)+COUNTIF('2月'!AW4:AW34,$B22)+COUNTIF('2月'!AX4:AX34,$B22)+COUNTIF('2月'!BB4:BB34,$B22)+COUNTIF('2月'!BC4:BC34,$B22)+COUNTIF('2月'!BG4:BG34,$B22)+COUNTIF('2月'!BH4:BH34,$B22)+COUNTIF('2月'!BL4:BL34,$B22)+COUNTIF('2月'!BM4:BM34,$B22)+COUNTIF('2月'!BQ4:BQ34,$B22)+COUNTIF('2月'!BR4:BR34,$B22)+COUNTIF('2月'!BV4:BV34,$B22)+COUNTIF('2月'!BW4:BW34,$B22)+COUNTIF('2月'!CA4:CA34,$B22)+COUNTIF('2月'!CB4:CB34,$B22)+COUNTIF('2月'!CF4:CF34,$B22)+COUNTIF('2月'!CG4:CG34,$B22)+COUNTIF('2月'!CK4:CK34,$B22)+COUNTIF('2月'!CL4:CL34,$B22)+COUNTIF('2月'!CP4:CP34,$B22)+COUNTIF('2月'!CQ4:CQ34,$B22)+COUNTIF('2月'!CU4:CU34,$B22)+COUNTIF('2月'!CV4:CV34,$B22)+COUNTIF('2月'!CZ4:CZ34,$B22)+COUNTIF('2月'!DA4:DA34,$B22)+COUNTIF('2月'!DE4:DE34,$B22)+COUNTIF('2月'!DF4:DF34,$B22)+COUNTIF('2月'!DJ4:DJ34,$B22)+COUNTIF('2月'!DK4:DK34,$B22)+COUNTIF('2月'!DO4:DO34,$B22)+COUNTIF('2月'!DP4:DP34,$B22)+COUNTIF('2月'!DT4:DT34,$B22)+COUNTIF('2月'!DU4:DU34,$B22)+COUNTIF('2月'!DY4:DY34,$B22)+COUNTIF('2月'!DZ4:DZ34,$B22)+COUNTIF('2月'!ED4:ED34,$B22)+COUNTIF('2月'!EE4:EE34,$B22)+COUNTIF('2月'!EI4:EI34,$B22)+COUNTIF('2月'!EJ4:EJ34,$B22)+COUNTIF('2月'!EN4:EN34,$B22)+COUNTIF('2月'!EO4:EO34,$B22)+COUNTIF('2月'!ES4:ES34,$B22)+COUNTIF('2月'!ET4:ET34,$B22)),0)</f>
        <v>0</v>
      </c>
      <c r="E22" s="76">
        <f>IFERROR(IF($B22="","",COUNTIF('3月'!D4:D34,$B22)+COUNTIF('3月'!E4:E34,$B22)+COUNTIF('3月'!I4:I34,$B22)+COUNTIF('3月'!J4:J34,$B22)+COUNTIF('3月'!N4:N34,$B22)+COUNTIF('3月'!O4:O34,$B22)+COUNTIF('3月'!S4:S34,$B22)+COUNTIF('3月'!T4:T34,$B22)+COUNTIF('3月'!X4:X34,$B22)+COUNTIF('3月'!Y4:Y34,$B22)+COUNTIF('3月'!AC4:AC34,$B22)+COUNTIF('3月'!AD4:AD34,$B22)+COUNTIF('3月'!AH4:AH34,$B22)+COUNTIF('3月'!AI4:AI34,$B22)+COUNTIF('3月'!AM4:AM34,$B22)+COUNTIF('3月'!AN4:AN34,$B22)+COUNTIF('3月'!AR4:AR34,$B22)+COUNTIF('3月'!AS4:AS34,$B22)+COUNTIF('3月'!AW4:AW34,$B22)+COUNTIF('3月'!AX4:AX34,$B22)+COUNTIF('3月'!BB4:BB34,$B22)+COUNTIF('3月'!BC4:BC34,$B22)+COUNTIF('3月'!BG4:BG34,$B22)+COUNTIF('3月'!BH4:BH34,$B22)+COUNTIF('3月'!BL4:BL34,$B22)+COUNTIF('3月'!BM4:BM34,$B22)+COUNTIF('3月'!BQ4:BQ34,$B22)+COUNTIF('3月'!BR4:BR34,$B22)+COUNTIF('3月'!BV4:BV34,$B22)+COUNTIF('3月'!BW4:BW34,$B22)+COUNTIF('3月'!CA4:CA34,$B22)+COUNTIF('3月'!CB4:CB34,$B22)+COUNTIF('3月'!CF4:CF34,$B22)+COUNTIF('3月'!CG4:CG34,$B22)+COUNTIF('3月'!CK4:CK34,$B22)+COUNTIF('3月'!CL4:CL34,$B22)+COUNTIF('3月'!CP4:CP34,$B22)+COUNTIF('3月'!CQ4:CQ34,$B22)+COUNTIF('3月'!CU4:CU34,$B22)+COUNTIF('3月'!CV4:CV34,$B22)+COUNTIF('3月'!CZ4:CZ34,$B22)+COUNTIF('3月'!DA4:DA34,$B22)+COUNTIF('3月'!DE4:DE34,$B22)+COUNTIF('3月'!DF4:DF34,$B22)+COUNTIF('3月'!DJ4:DJ34,$B22)+COUNTIF('3月'!DK4:DK34,$B22)+COUNTIF('3月'!DO4:DO34,$B22)+COUNTIF('3月'!DP4:DP34,$B22)+COUNTIF('3月'!DT4:DT34,$B22)+COUNTIF('3月'!DU4:DU34,$B22)+COUNTIF('3月'!DY4:DY34,$B22)+COUNTIF('3月'!DZ4:DZ34,$B22)+COUNTIF('3月'!ED4:ED34,$B22)+COUNTIF('3月'!EE4:EE34,$B22)+COUNTIF('3月'!EI4:EI34,$B22)+COUNTIF('3月'!EJ4:EJ34,$B22)+COUNTIF('3月'!EN4:EN34,$B22)+COUNTIF('3月'!EO4:EO34,$B22)+COUNTIF('3月'!ES4:ES34,$B22)+COUNTIF('3月'!ET4:ET34,$B22)),0)</f>
        <v>0</v>
      </c>
      <c r="F22" s="76">
        <f>IFERROR(IF($B22="","",COUNTIF('4月'!D4:D34,$B22)+COUNTIF('4月'!E4:E34,$B22)+COUNTIF('4月'!I4:I34,$B22)+COUNTIF('4月'!J4:J34,$B22)+COUNTIF('4月'!N4:N34,$B22)+COUNTIF('4月'!O4:O34,$B22)+COUNTIF('4月'!S4:S34,$B22)+COUNTIF('4月'!T4:T34,$B22)+COUNTIF('4月'!X4:X34,$B22)+COUNTIF('4月'!Y4:Y34,$B22)+COUNTIF('4月'!AC4:AC34,$B22)+COUNTIF('4月'!AD4:AD34,$B22)+COUNTIF('4月'!AH4:AH34,$B22)+COUNTIF('4月'!AI4:AI34,$B22)+COUNTIF('4月'!AM4:AM34,$B22)+COUNTIF('4月'!AN4:AN34,$B22)+COUNTIF('4月'!AR4:AR34,$B22)+COUNTIF('4月'!AS4:AS34,$B22)+COUNTIF('4月'!AW4:AW34,$B22)+COUNTIF('4月'!AX4:AX34,$B22)+COUNTIF('4月'!BB4:BB34,$B22)+COUNTIF('4月'!BC4:BC34,$B22)+COUNTIF('4月'!BG4:BG34,$B22)+COUNTIF('4月'!BH4:BH34,$B22)+COUNTIF('4月'!BL4:BL34,$B22)+COUNTIF('4月'!BM4:BM34,$B22)+COUNTIF('4月'!BQ4:BQ34,$B22)+COUNTIF('4月'!BR4:BR34,$B22)+COUNTIF('4月'!BV4:BV34,$B22)+COUNTIF('4月'!BW4:BW34,$B22)+COUNTIF('4月'!CA4:CA34,$B22)+COUNTIF('4月'!CB4:CB34,$B22)+COUNTIF('4月'!CF4:CF34,$B22)+COUNTIF('4月'!CG4:CG34,$B22)+COUNTIF('4月'!CK4:CK34,$B22)+COUNTIF('4月'!CL4:CL34,$B22)+COUNTIF('4月'!CP4:CP34,$B22)+COUNTIF('4月'!CQ4:CQ34,$B22)+COUNTIF('4月'!CU4:CU34,$B22)+COUNTIF('4月'!CV4:CV34,$B22)+COUNTIF('4月'!CZ4:CZ34,$B22)+COUNTIF('4月'!DA4:DA34,$B22)+COUNTIF('4月'!DE4:DE34,$B22)+COUNTIF('4月'!DF4:DF34,$B22)+COUNTIF('4月'!DJ4:DJ34,$B22)+COUNTIF('4月'!DK4:DK34,$B22)+COUNTIF('4月'!DO4:DO34,$B22)+COUNTIF('4月'!DP4:DP34,$B22)+COUNTIF('4月'!DT4:DT34,$B22)+COUNTIF('4月'!DU4:DU34,$B22)+COUNTIF('4月'!DY4:DY34,$B22)+COUNTIF('4月'!DZ4:DZ34,$B22)+COUNTIF('4月'!ED4:ED34,$B22)+COUNTIF('4月'!EE4:EE34,$B22)+COUNTIF('4月'!EI4:EI34,$B22)+COUNTIF('4月'!EJ4:EJ34,$B22)+COUNTIF('4月'!EN4:EN34,$B22)+COUNTIF('4月'!EO4:EO34,$B22)+COUNTIF('4月'!ES4:ES34,$B22)+COUNTIF('4月'!ET4:ET34,$B22)),0)</f>
        <v>0</v>
      </c>
      <c r="G22" s="76">
        <f>IFERROR(IF($B22="","",COUNTIF('5月'!D4:D34,$B22)+COUNTIF('5月'!E4:E34,$B22)+COUNTIF('5月'!I4:I34,$B22)+COUNTIF('5月'!J4:J34,$B22)+COUNTIF('5月'!N4:N34,$B22)+COUNTIF('5月'!O4:O34,$B22)+COUNTIF('5月'!S4:S34,$B22)+COUNTIF('5月'!T4:T34,$B22)+COUNTIF('5月'!X4:X34,$B22)+COUNTIF('5月'!Y4:Y34,$B22)+COUNTIF('5月'!AC4:AC34,$B22)+COUNTIF('5月'!AD4:AD34,$B22)+COUNTIF('5月'!AH4:AH34,$B22)+COUNTIF('5月'!AI4:AI34,$B22)+COUNTIF('5月'!AM4:AM34,$B22)+COUNTIF('5月'!AN4:AN34,$B22)+COUNTIF('5月'!AR4:AR34,$B22)+COUNTIF('5月'!AS4:AS34,$B22)+COUNTIF('5月'!AW4:AW34,$B22)+COUNTIF('5月'!AX4:AX34,$B22)+COUNTIF('5月'!BB4:BB34,$B22)+COUNTIF('5月'!BC4:BC34,$B22)+COUNTIF('5月'!BG4:BG34,$B22)+COUNTIF('5月'!BH4:BH34,$B22)+COUNTIF('5月'!BL4:BL34,$B22)+COUNTIF('5月'!BM4:BM34,$B22)+COUNTIF('5月'!BQ4:BQ34,$B22)+COUNTIF('5月'!BR4:BR34,$B22)+COUNTIF('5月'!BV4:BV34,$B22)+COUNTIF('5月'!BW4:BW34,$B22)+COUNTIF('5月'!CA4:CA34,$B22)+COUNTIF('5月'!CB4:CB34,$B22)+COUNTIF('5月'!CF4:CF34,$B22)+COUNTIF('5月'!CG4:CG34,$B22)+COUNTIF('5月'!CK4:CK34,$B22)+COUNTIF('5月'!CL4:CL34,$B22)+COUNTIF('5月'!CP4:CP34,$B22)+COUNTIF('5月'!CQ4:CQ34,$B22)+COUNTIF('5月'!CU4:CU34,$B22)+COUNTIF('5月'!CV4:CV34,$B22)+COUNTIF('5月'!CZ4:CZ34,$B22)+COUNTIF('5月'!DA4:DA34,$B22)+COUNTIF('5月'!DE4:DE34,$B22)+COUNTIF('5月'!DF4:DF34,$B22)+COUNTIF('5月'!DJ4:DJ34,$B22)+COUNTIF('5月'!DK4:DK34,$B22)+COUNTIF('5月'!DO4:DO34,$B22)+COUNTIF('5月'!DP4:DP34,$B22)+COUNTIF('5月'!DT4:DT34,$B22)+COUNTIF('5月'!DU4:DU34,$B22)+COUNTIF('5月'!DY4:DY34,$B22)+COUNTIF('5月'!DZ4:DZ34,$B22)+COUNTIF('5月'!ED4:ED34,$B22)+COUNTIF('5月'!EE4:EE34,$B22)+COUNTIF('5月'!EI4:EI34,$B22)+COUNTIF('5月'!EJ4:EJ34,$B22)+COUNTIF('5月'!EN4:EN34,$B22)+COUNTIF('5月'!EO4:EO34,$B22)+COUNTIF('5月'!ES4:ES34,$B22)+COUNTIF('5月'!ET4:ET34,$B22)),0)</f>
        <v>0</v>
      </c>
      <c r="H22" s="76">
        <f>IFERROR(IF($B22="","",COUNTIF('6月'!D4:D34,$B22)+COUNTIF('6月'!E4:E34,$B22)+COUNTIF('6月'!I4:I34,$B22)+COUNTIF('6月'!J4:J34,$B22)+COUNTIF('6月'!N4:N34,$B22)+COUNTIF('6月'!O4:O34,$B22)+COUNTIF('6月'!S4:S34,$B22)+COUNTIF('6月'!T4:T34,$B22)+COUNTIF('6月'!X4:X34,$B22)+COUNTIF('6月'!Y4:Y34,$B22)+COUNTIF('6月'!AC4:AC34,$B22)+COUNTIF('6月'!AD4:AD34,$B22)+COUNTIF('6月'!AH4:AH34,$B22)+COUNTIF('6月'!AI4:AI34,$B22)+COUNTIF('6月'!AM4:AM34,$B22)+COUNTIF('6月'!AN4:AN34,$B22)+COUNTIF('6月'!AR4:AR34,$B22)+COUNTIF('6月'!AS4:AS34,$B22)+COUNTIF('6月'!AW4:AW34,$B22)+COUNTIF('6月'!AX4:AX34,$B22)+COUNTIF('6月'!BB4:BB34,$B22)+COUNTIF('6月'!BC4:BC34,$B22)+COUNTIF('6月'!BG4:BG34,$B22)+COUNTIF('6月'!BH4:BH34,$B22)+COUNTIF('6月'!BL4:BL34,$B22)+COUNTIF('6月'!BM4:BM34,$B22)+COUNTIF('6月'!BQ4:BQ34,$B22)+COUNTIF('6月'!BR4:BR34,$B22)+COUNTIF('6月'!BV4:BV34,$B22)+COUNTIF('6月'!BW4:BW34,$B22)+COUNTIF('6月'!CA4:CA34,$B22)+COUNTIF('6月'!CB4:CB34,$B22)+COUNTIF('6月'!CF4:CF34,$B22)+COUNTIF('6月'!CG4:CG34,$B22)+COUNTIF('6月'!CK4:CK34,$B22)+COUNTIF('6月'!CL4:CL34,$B22)+COUNTIF('6月'!CP4:CP34,$B22)+COUNTIF('6月'!CQ4:CQ34,$B22)+COUNTIF('6月'!CU4:CU34,$B22)+COUNTIF('6月'!CV4:CV34,$B22)+COUNTIF('6月'!CZ4:CZ34,$B22)+COUNTIF('6月'!DA4:DA34,$B22)+COUNTIF('6月'!DE4:DE34,$B22)+COUNTIF('6月'!DF4:DF34,$B22)+COUNTIF('6月'!DJ4:DJ34,$B22)+COUNTIF('6月'!DK4:DK34,$B22)+COUNTIF('6月'!DO4:DO34,$B22)+COUNTIF('6月'!DP4:DP34,$B22)+COUNTIF('6月'!DT4:DT34,$B22)+COUNTIF('6月'!DU4:DU34,$B22)+COUNTIF('6月'!DY4:DY34,$B22)+COUNTIF('6月'!DZ4:DZ34,$B22)+COUNTIF('6月'!ED4:ED34,$B22)+COUNTIF('6月'!EE4:EE34,$B22)+COUNTIF('6月'!EI4:EI34,$B22)+COUNTIF('6月'!EJ4:EJ34,$B22)+COUNTIF('6月'!EN4:EN34,$B22)+COUNTIF('6月'!EO4:EO34,$B22)+COUNTIF('6月'!ES4:ES34,$B22)+COUNTIF('6月'!ET4:ET34,$B22)),0)</f>
        <v>0</v>
      </c>
      <c r="I22" s="76">
        <f>IFERROR(IF($B22="","",COUNTIF('7月'!D4:D34,$B22)+COUNTIF('7月'!E4:E34,$B22)+COUNTIF('7月'!I4:I34,$B22)+COUNTIF('7月'!J4:J34,$B22)+COUNTIF('7月'!N4:N34,$B22)+COUNTIF('7月'!O4:O34,$B22)+COUNTIF('7月'!S4:S34,$B22)+COUNTIF('7月'!T4:T34,$B22)+COUNTIF('7月'!X4:X34,$B22)+COUNTIF('7月'!Y4:Y34,$B22)+COUNTIF('7月'!AC4:AC34,$B22)+COUNTIF('7月'!AD4:AD34,$B22)+COUNTIF('7月'!AH4:AH34,$B22)+COUNTIF('7月'!AI4:AI34,$B22)+COUNTIF('7月'!AM4:AM34,$B22)+COUNTIF('7月'!AN4:AN34,$B22)+COUNTIF('7月'!AR4:AR34,$B22)+COUNTIF('7月'!AS4:AS34,$B22)+COUNTIF('7月'!AW4:AW34,$B22)+COUNTIF('7月'!AX4:AX34,$B22)+COUNTIF('7月'!BB4:BB34,$B22)+COUNTIF('7月'!BC4:BC34,$B22)+COUNTIF('7月'!BG4:BG34,$B22)+COUNTIF('7月'!BH4:BH34,$B22)+COUNTIF('7月'!BL4:BL34,$B22)+COUNTIF('7月'!BM4:BM34,$B22)+COUNTIF('7月'!BQ4:BQ34,$B22)+COUNTIF('7月'!BR4:BR34,$B22)+COUNTIF('7月'!BV4:BV34,$B22)+COUNTIF('7月'!BW4:BW34,$B22)+COUNTIF('7月'!CA4:CA34,$B22)+COUNTIF('7月'!CB4:CB34,$B22)+COUNTIF('7月'!CF4:CF34,$B22)+COUNTIF('7月'!CG4:CG34,$B22)+COUNTIF('7月'!CK4:CK34,$B22)+COUNTIF('7月'!CL4:CL34,$B22)+COUNTIF('7月'!CP4:CP34,$B22)+COUNTIF('7月'!CQ4:CQ34,$B22)+COUNTIF('7月'!CU4:CU34,$B22)+COUNTIF('7月'!CV4:CV34,$B22)+COUNTIF('7月'!CZ4:CZ34,$B22)+COUNTIF('7月'!DA4:DA34,$B22)+COUNTIF('7月'!DE4:DE34,$B22)+COUNTIF('7月'!DF4:DF34,$B22)+COUNTIF('7月'!DJ4:DJ34,$B22)+COUNTIF('7月'!DK4:DK34,$B22)+COUNTIF('7月'!DO4:DO34,$B22)+COUNTIF('7月'!DP4:DP34,$B22)+COUNTIF('7月'!DT4:DT34,$B22)+COUNTIF('7月'!DU4:DU34,$B22)+COUNTIF('7月'!DY4:DY34,$B22)+COUNTIF('7月'!DZ4:DZ34,$B22)+COUNTIF('7月'!ED4:ED34,$B22)+COUNTIF('7月'!EE4:EE34,$B22)+COUNTIF('7月'!EI4:EI34,$B22)+COUNTIF('7月'!EJ4:EJ34,$B22)+COUNTIF('7月'!EN4:EN34,$B22)+COUNTIF('7月'!EO4:EO34,$B22)+COUNTIF('7月'!ES4:ES34,$B22)+COUNTIF('7月'!ET4:ET34,$B22)),0)</f>
        <v>0</v>
      </c>
      <c r="J22" s="76">
        <f>IFERROR(IF($B22="","",COUNTIF('8月'!D4:D34,$B22)+COUNTIF('8月'!E4:E34,$B22)+COUNTIF('8月'!I4:I34,$B22)+COUNTIF('8月'!J4:J34,$B22)+COUNTIF('8月'!N4:N34,$B22)+COUNTIF('8月'!O4:O34,$B22)+COUNTIF('8月'!S4:S34,$B22)+COUNTIF('8月'!T4:T34,$B22)+COUNTIF('8月'!X4:X34,$B22)+COUNTIF('8月'!Y4:Y34,$B22)+COUNTIF('8月'!AC4:AC34,$B22)+COUNTIF('8月'!AD4:AD34,$B22)+COUNTIF('8月'!AH4:AH34,$B22)+COUNTIF('8月'!AI4:AI34,$B22)+COUNTIF('8月'!AM4:AM34,$B22)+COUNTIF('8月'!AN4:AN34,$B22)+COUNTIF('8月'!AR4:AR34,$B22)+COUNTIF('8月'!AS4:AS34,$B22)+COUNTIF('8月'!AW4:AW34,$B22)+COUNTIF('8月'!AX4:AX34,$B22)+COUNTIF('8月'!BB4:BB34,$B22)+COUNTIF('8月'!BC4:BC34,$B22)+COUNTIF('8月'!BG4:BG34,$B22)+COUNTIF('8月'!BH4:BH34,$B22)+COUNTIF('8月'!BL4:BL34,$B22)+COUNTIF('8月'!BM4:BM34,$B22)+COUNTIF('8月'!BQ4:BQ34,$B22)+COUNTIF('8月'!BR4:BR34,$B22)+COUNTIF('8月'!BV4:BV34,$B22)+COUNTIF('8月'!BW4:BW34,$B22)+COUNTIF('8月'!CA4:CA34,$B22)+COUNTIF('8月'!CB4:CB34,$B22)+COUNTIF('8月'!CF4:CF34,$B22)+COUNTIF('8月'!CG4:CG34,$B22)+COUNTIF('8月'!CK4:CK34,$B22)+COUNTIF('8月'!CL4:CL34,$B22)+COUNTIF('8月'!CP4:CP34,$B22)+COUNTIF('8月'!CQ4:CQ34,$B22)+COUNTIF('8月'!CU4:CU34,$B22)+COUNTIF('8月'!CV4:CV34,$B22)+COUNTIF('8月'!CZ4:CZ34,$B22)+COUNTIF('8月'!DA4:DA34,$B22)+COUNTIF('8月'!DE4:DE34,$B22)+COUNTIF('8月'!DF4:DF34,$B22)+COUNTIF('8月'!DJ4:DJ34,$B22)+COUNTIF('8月'!DK4:DK34,$B22)+COUNTIF('8月'!DO4:DO34,$B22)+COUNTIF('8月'!DP4:DP34,$B22)+COUNTIF('8月'!DT4:DT34,$B22)+COUNTIF('8月'!DU4:DU34,$B22)+COUNTIF('8月'!DY4:DY34,$B22)+COUNTIF('8月'!DZ4:DZ34,$B22)+COUNTIF('8月'!ED4:ED34,$B22)+COUNTIF('8月'!EE4:EE34,$B22)+COUNTIF('8月'!EI4:EI34,$B22)+COUNTIF('8月'!EJ4:EJ34,$B22)+COUNTIF('8月'!EN4:EN34,$B22)+COUNTIF('8月'!EO4:EO34,$B22)+COUNTIF('8月'!ES4:ES34,$B22)+COUNTIF('8月'!ET4:ET34,$B22)),0)</f>
        <v>0</v>
      </c>
      <c r="K22" s="76">
        <f>IFERROR(IF($B22="","",COUNTIF('9月'!D4:D34,$B22)+COUNTIF('9月'!E4:E34,$B22)+COUNTIF('9月'!I4:I34,$B22)+COUNTIF('9月'!J4:J34,$B22)+COUNTIF('9月'!N4:N34,$B22)+COUNTIF('9月'!O4:O34,$B22)+COUNTIF('9月'!S4:S34,$B22)+COUNTIF('9月'!T4:T34,$B22)+COUNTIF('9月'!X4:X34,$B22)+COUNTIF('9月'!Y4:Y34,$B22)+COUNTIF('9月'!AC4:AC34,$B22)+COUNTIF('9月'!AD4:AD34,$B22)+COUNTIF('9月'!AH4:AH34,$B22)+COUNTIF('9月'!AI4:AI34,$B22)+COUNTIF('9月'!AM4:AM34,$B22)+COUNTIF('9月'!AN4:AN34,$B22)+COUNTIF('9月'!AR4:AR34,$B22)+COUNTIF('9月'!AS4:AS34,$B22)+COUNTIF('9月'!AW4:AW34,$B22)+COUNTIF('9月'!AX4:AX34,$B22)+COUNTIF('9月'!BB4:BB34,$B22)+COUNTIF('9月'!BC4:BC34,$B22)+COUNTIF('9月'!BG4:BG34,$B22)+COUNTIF('9月'!BH4:BH34,$B22)+COUNTIF('9月'!BL4:BL34,$B22)+COUNTIF('9月'!BM4:BM34,$B22)+COUNTIF('9月'!BQ4:BQ34,$B22)+COUNTIF('9月'!BR4:BR34,$B22)+COUNTIF('9月'!BV4:BV34,$B22)+COUNTIF('9月'!BW4:BW34,$B22)+COUNTIF('9月'!CA4:CA34,$B22)+COUNTIF('9月'!CB4:CB34,$B22)+COUNTIF('9月'!CF4:CF34,$B22)+COUNTIF('9月'!CG4:CG34,$B22)+COUNTIF('9月'!CK4:CK34,$B22)+COUNTIF('9月'!CL4:CL34,$B22)+COUNTIF('9月'!CP4:CP34,$B22)+COUNTIF('9月'!CQ4:CQ34,$B22)+COUNTIF('9月'!CU4:CU34,$B22)+COUNTIF('9月'!CV4:CV34,$B22)+COUNTIF('9月'!CZ4:CZ34,$B22)+COUNTIF('9月'!DA4:DA34,$B22)+COUNTIF('9月'!DE4:DE34,$B22)+COUNTIF('9月'!DF4:DF34,$B22)+COUNTIF('9月'!DJ4:DJ34,$B22)+COUNTIF('9月'!DK4:DK34,$B22)+COUNTIF('9月'!DO4:DO34,$B22)+COUNTIF('9月'!DP4:DP34,$B22)+COUNTIF('9月'!DT4:DT34,$B22)+COUNTIF('9月'!DU4:DU34,$B22)+COUNTIF('9月'!DY4:DY34,$B22)+COUNTIF('9月'!DZ4:DZ34,$B22)+COUNTIF('9月'!ED4:ED34,$B22)+COUNTIF('9月'!EE4:EE34,$B22)+COUNTIF('9月'!EI4:EI34,$B22)+COUNTIF('9月'!EJ4:EJ34,$B22)+COUNTIF('9月'!EN4:EN34,$B22)+COUNTIF('9月'!EO4:EO34,$B22)+COUNTIF('9月'!ES4:ES34,$B22)+COUNTIF('9月'!ET4:ET34,$B22)),0)</f>
        <v>0</v>
      </c>
      <c r="L22" s="76">
        <f>IFERROR(IF($B22="","",COUNTIF('10月'!D4:D34,$B22)+COUNTIF('10月'!E4:E34,$B22)+COUNTIF('10月'!I4:I34,$B22)+COUNTIF('10月'!J4:J34,$B22)+COUNTIF('10月'!N4:N34,$B22)+COUNTIF('10月'!O4:O34,$B22)+COUNTIF('10月'!S4:S34,$B22)+COUNTIF('10月'!T4:T34,$B22)+COUNTIF('10月'!X4:X34,$B22)+COUNTIF('10月'!Y4:Y34,$B22)+COUNTIF('10月'!AC4:AC34,$B22)+COUNTIF('10月'!AD4:AD34,$B22)+COUNTIF('10月'!AH4:AH34,$B22)+COUNTIF('10月'!AI4:AI34,$B22)+COUNTIF('10月'!AM4:AM34,$B22)+COUNTIF('10月'!AN4:AN34,$B22)+COUNTIF('10月'!AR4:AR34,$B22)+COUNTIF('10月'!AS4:AS34,$B22)+COUNTIF('10月'!AW4:AW34,$B22)+COUNTIF('10月'!AX4:AX34,$B22)+COUNTIF('10月'!BB4:BB34,$B22)+COUNTIF('10月'!BC4:BC34,$B22)+COUNTIF('10月'!BG4:BG34,$B22)+COUNTIF('10月'!BH4:BH34,$B22)+COUNTIF('10月'!BL4:BL34,$B22)+COUNTIF('10月'!BM4:BM34,$B22)+COUNTIF('10月'!BQ4:BQ34,$B22)+COUNTIF('10月'!BR4:BR34,$B22)+COUNTIF('10月'!BV4:BV34,$B22)+COUNTIF('10月'!BW4:BW34,$B22)+COUNTIF('10月'!CA4:CA34,$B22)+COUNTIF('10月'!CB4:CB34,$B22)+COUNTIF('10月'!CF4:CF34,$B22)+COUNTIF('10月'!CG4:CG34,$B22)+COUNTIF('10月'!CK4:CK34,$B22)+COUNTIF('10月'!CL4:CL34,$B22)+COUNTIF('10月'!CP4:CP34,$B22)+COUNTIF('10月'!CQ4:CQ34,$B22)+COUNTIF('10月'!CU4:CU34,$B22)+COUNTIF('10月'!CV4:CV34,$B22)+COUNTIF('10月'!CZ4:CZ34,$B22)+COUNTIF('10月'!DA4:DA34,$B22)+COUNTIF('10月'!DE4:DE34,$B22)+COUNTIF('10月'!DF4:DF34,$B22)+COUNTIF('10月'!DJ4:DJ34,$B22)+COUNTIF('10月'!DK4:DK34,$B22)+COUNTIF('10月'!DO4:DO34,$B22)+COUNTIF('10月'!DP4:DP34,$B22)+COUNTIF('10月'!DT4:DT34,$B22)+COUNTIF('10月'!DU4:DU34,$B22)+COUNTIF('10月'!DY4:DY34,$B22)+COUNTIF('10月'!DZ4:DZ34,$B22)+COUNTIF('10月'!ED4:ED34,$B22)+COUNTIF('10月'!EE4:EE34,$B22)+COUNTIF('10月'!EI4:EI34,$B22)+COUNTIF('10月'!EJ4:EJ34,$B22)+COUNTIF('10月'!EN4:EN34,$B22)+COUNTIF('10月'!EO4:EO34,$B22)+COUNTIF('10月'!ES4:ES34,$B22)+COUNTIF('10月'!ET4:ET34,$B22)),0)</f>
        <v>0</v>
      </c>
      <c r="M22" s="76">
        <f>IFERROR(IF($B22="","",COUNTIF('11月'!D4:D34,$B22)+COUNTIF('11月'!E4:E34,$B22)+COUNTIF('11月'!I4:I34,$B22)+COUNTIF('11月'!J4:J34,$B22)+COUNTIF('11月'!N4:N34,$B22)+COUNTIF('11月'!O4:O34,$B22)+COUNTIF('11月'!S4:S34,$B22)+COUNTIF('11月'!T4:T34,$B22)+COUNTIF('11月'!X4:X34,$B22)+COUNTIF('11月'!Y4:Y34,$B22)+COUNTIF('11月'!AC4:AC34,$B22)+COUNTIF('11月'!AD4:AD34,$B22)+COUNTIF('11月'!AH4:AH34,$B22)+COUNTIF('11月'!AI4:AI34,$B22)+COUNTIF('11月'!AM4:AM34,$B22)+COUNTIF('11月'!AN4:AN34,$B22)+COUNTIF('11月'!AR4:AR34,$B22)+COUNTIF('11月'!AS4:AS34,$B22)+COUNTIF('11月'!AW4:AW34,$B22)+COUNTIF('11月'!AX4:AX34,$B22)+COUNTIF('11月'!BB4:BB34,$B22)+COUNTIF('11月'!BC4:BC34,$B22)+COUNTIF('11月'!BG4:BG34,$B22)+COUNTIF('11月'!BH4:BH34,$B22)+COUNTIF('11月'!BL4:BL34,$B22)+COUNTIF('11月'!BM4:BM34,$B22)+COUNTIF('11月'!BQ4:BQ34,$B22)+COUNTIF('11月'!BR4:BR34,$B22)+COUNTIF('11月'!BV4:BV34,$B22)+COUNTIF('11月'!BW4:BW34,$B22)+COUNTIF('11月'!CA4:CA34,$B22)+COUNTIF('11月'!CB4:CB34,$B22)+COUNTIF('11月'!CF4:CF34,$B22)+COUNTIF('11月'!CG4:CG34,$B22)+COUNTIF('11月'!CK4:CK34,$B22)+COUNTIF('11月'!CL4:CL34,$B22)+COUNTIF('11月'!CP4:CP34,$B22)+COUNTIF('11月'!CQ4:CQ34,$B22)+COUNTIF('11月'!CU4:CU34,$B22)+COUNTIF('11月'!CV4:CV34,$B22)+COUNTIF('11月'!CZ4:CZ34,$B22)+COUNTIF('11月'!DA4:DA34,$B22)+COUNTIF('11月'!DE4:DE34,$B22)+COUNTIF('11月'!DF4:DF34,$B22)+COUNTIF('11月'!DJ4:DJ34,$B22)+COUNTIF('11月'!DK4:DK34,$B22)+COUNTIF('11月'!DO4:DO34,$B22)+COUNTIF('11月'!DP4:DP34,$B22)+COUNTIF('11月'!DT4:DT34,$B22)+COUNTIF('11月'!DU4:DU34,$B22)+COUNTIF('11月'!DY4:DY34,$B22)+COUNTIF('11月'!DZ4:DZ34,$B22)+COUNTIF('11月'!ED4:ED34,$B22)+COUNTIF('11月'!EE4:EE34,$B22)+COUNTIF('11月'!EI4:EI34,$B22)+COUNTIF('11月'!EJ4:EJ34,$B22)+COUNTIF('11月'!EN4:EN34,$B22)+COUNTIF('11月'!EO4:EO34,$B22)+COUNTIF('11月'!ES4:ES34,$B22)+COUNTIF('11月'!ET4:ET34,$B22)),0)</f>
        <v>0</v>
      </c>
      <c r="N22" s="76">
        <f>IFERROR(IF($B22="","",COUNTIF('12月'!D4:D34,$B22)+COUNTIF('12月'!E4:E34,$B22)+COUNTIF('12月'!I4:I34,$B22)+COUNTIF('12月'!J4:J34,$B22)+COUNTIF('12月'!N4:N34,$B22)+COUNTIF('12月'!O4:O34,$B22)+COUNTIF('12月'!S4:S34,$B22)+COUNTIF('12月'!T4:T34,$B22)+COUNTIF('12月'!X4:X34,$B22)+COUNTIF('12月'!Y4:Y34,$B22)+COUNTIF('12月'!AC4:AC34,$B22)+COUNTIF('12月'!AD4:AD34,$B22)+COUNTIF('12月'!AH4:AH34,$B22)+COUNTIF('12月'!AI4:AI34,$B22)+COUNTIF('12月'!AM4:AM34,$B22)+COUNTIF('12月'!AN4:AN34,$B22)+COUNTIF('12月'!AR4:AR34,$B22)+COUNTIF('12月'!AS4:AS34,$B22)+COUNTIF('12月'!AW4:AW34,$B22)+COUNTIF('12月'!AX4:AX34,$B22)+COUNTIF('12月'!BB4:BB34,$B22)+COUNTIF('12月'!BC4:BC34,$B22)+COUNTIF('12月'!BG4:BG34,$B22)+COUNTIF('12月'!BH4:BH34,$B22)+COUNTIF('12月'!BL4:BL34,$B22)+COUNTIF('12月'!BM4:BM34,$B22)+COUNTIF('12月'!BQ4:BQ34,$B22)+COUNTIF('12月'!BR4:BR34,$B22)+COUNTIF('12月'!BV4:BV34,$B22)+COUNTIF('12月'!BW4:BW34,$B22)+COUNTIF('12月'!CA4:CA34,$B22)+COUNTIF('12月'!CB4:CB34,$B22)+COUNTIF('12月'!CF4:CF34,$B22)+COUNTIF('12月'!CG4:CG34,$B22)+COUNTIF('12月'!CK4:CK34,$B22)+COUNTIF('12月'!CL4:CL34,$B22)+COUNTIF('12月'!CP4:CP34,$B22)+COUNTIF('12月'!CQ4:CQ34,$B22)+COUNTIF('12月'!CU4:CU34,$B22)+COUNTIF('12月'!CV4:CV34,$B22)+COUNTIF('12月'!CZ4:CZ34,$B22)+COUNTIF('12月'!DA4:DA34,$B22)+COUNTIF('12月'!DE4:DE34,$B22)+COUNTIF('12月'!DF4:DF34,$B22)+COUNTIF('12月'!DJ4:DJ34,$B22)+COUNTIF('12月'!DK4:DK34,$B22)+COUNTIF('12月'!DO4:DO34,$B22)+COUNTIF('12月'!DP4:DP34,$B22)+COUNTIF('12月'!DT4:DT34,$B22)+COUNTIF('12月'!DU4:DU34,$B22)+COUNTIF('12月'!DY4:DY34,$B22)+COUNTIF('12月'!DZ4:DZ34,$B22)+COUNTIF('12月'!ED4:ED34,$B22)+COUNTIF('12月'!EE4:EE34,$B22)+COUNTIF('12月'!EI4:EI34,$B22)+COUNTIF('12月'!EJ4:EJ34,$B22)+COUNTIF('12月'!EN4:EN34,$B22)+COUNTIF('12月'!EO4:EO34,$B22)+COUNTIF('12月'!ES4:ES34,$B22)+COUNTIF('12月'!ET4:ET34,$B22)),0)</f>
        <v>0</v>
      </c>
      <c r="O22" s="78">
        <f t="shared" si="0"/>
        <v>0</v>
      </c>
    </row>
    <row r="23" spans="1:15" ht="19.5" customHeight="1">
      <c r="A23" s="76">
        <v>21</v>
      </c>
      <c r="B23" s="77">
        <f>IFERROR(現場マスタ!$C$24,"")</f>
        <v>0</v>
      </c>
      <c r="C23" s="76">
        <f>IFERROR(IF($B23="","",COUNTIF('1月'!D4:D34,$B23)+COUNTIF('1月'!E4:E34,$B23)+COUNTIF('1月'!I4:I34,$B23)+COUNTIF('1月'!J4:J34,$B23)+COUNTIF('1月'!N4:N34,$B23)+COUNTIF('1月'!O4:O34,$B23)+COUNTIF('1月'!S4:S34,$B23)+COUNTIF('1月'!T4:T34,$B23)+COUNTIF('1月'!X4:X34,$B23)+COUNTIF('1月'!Y4:Y34,$B23)+COUNTIF('1月'!AC4:AC34,$B23)+COUNTIF('1月'!AD4:AD34,$B23)+COUNTIF('1月'!AH4:AH34,$B23)+COUNTIF('1月'!AI4:AI34,$B23)+COUNTIF('1月'!AM4:AM34,$B23)+COUNTIF('1月'!AN4:AN34,$B23)+COUNTIF('1月'!AR4:AR34,$B23)+COUNTIF('1月'!AS4:AS34,$B23)+COUNTIF('1月'!AW4:AW34,$B23)+COUNTIF('1月'!AX4:AX34,$B23)+COUNTIF('1月'!BB4:BB34,$B23)+COUNTIF('1月'!BC4:BC34,$B23)+COUNTIF('1月'!BG4:BG34,$B23)+COUNTIF('1月'!BH4:BH34,$B23)+COUNTIF('1月'!BL4:BL34,$B23)+COUNTIF('1月'!BM4:BM34,$B23)+COUNTIF('1月'!BQ4:BQ34,$B23)+COUNTIF('1月'!BR4:BR34,$B23)+COUNTIF('1月'!BV4:BV34,$B23)+COUNTIF('1月'!BW4:BW34,$B23)+COUNTIF('1月'!CA4:CA34,$B23)+COUNTIF('1月'!CB4:CB34,$B23)+COUNTIF('1月'!CF4:CF34,$B23)+COUNTIF('1月'!CG4:CG34,$B23)+COUNTIF('1月'!CK4:CK34,$B23)+COUNTIF('1月'!CL4:CL34,$B23)+COUNTIF('1月'!CP4:CP34,$B23)+COUNTIF('1月'!CQ4:CQ34,$B23)+COUNTIF('1月'!CU4:CU34,$B23)+COUNTIF('1月'!CV4:CV34,$B23)+COUNTIF('1月'!CZ4:CZ34,$B23)+COUNTIF('1月'!DA4:DA34,$B23)+COUNTIF('1月'!DE4:DE34,$B23)+COUNTIF('1月'!DF4:DF34,$B23)+COUNTIF('1月'!DJ4:DJ34,$B23)+COUNTIF('1月'!DK4:DK34,$B23)+COUNTIF('1月'!DO4:DO34,$B23)+COUNTIF('1月'!DP4:DP34,$B23)+COUNTIF('1月'!DT4:DT34,$B23)+COUNTIF('1月'!DU4:DU34,$B23)+COUNTIF('1月'!DY4:DY34,$B23)+COUNTIF('1月'!DZ4:DZ34,$B23)+COUNTIF('1月'!ED4:ED34,$B23)+COUNTIF('1月'!EE4:EE34,$B23)+COUNTIF('1月'!EI4:EI34,$B23)+COUNTIF('1月'!EJ4:EJ34,$B23)+COUNTIF('1月'!EN4:EN34,$B23)+COUNTIF('1月'!EO4:EO34,$B23)+COUNTIF('1月'!ES4:ES34,$B23)+COUNTIF('1月'!ET4:ET34,$B23)),0)</f>
        <v>0</v>
      </c>
      <c r="D23" s="76">
        <f>IFERROR(IF($B23="","",COUNTIF('2月'!D4:D34,$B23)+COUNTIF('2月'!E4:E34,$B23)+COUNTIF('2月'!I4:I34,$B23)+COUNTIF('2月'!J4:J34,$B23)+COUNTIF('2月'!N4:N34,$B23)+COUNTIF('2月'!O4:O34,$B23)+COUNTIF('2月'!S4:S34,$B23)+COUNTIF('2月'!T4:T34,$B23)+COUNTIF('2月'!X4:X34,$B23)+COUNTIF('2月'!Y4:Y34,$B23)+COUNTIF('2月'!AC4:AC34,$B23)+COUNTIF('2月'!AD4:AD34,$B23)+COUNTIF('2月'!AH4:AH34,$B23)+COUNTIF('2月'!AI4:AI34,$B23)+COUNTIF('2月'!AM4:AM34,$B23)+COUNTIF('2月'!AN4:AN34,$B23)+COUNTIF('2月'!AR4:AR34,$B23)+COUNTIF('2月'!AS4:AS34,$B23)+COUNTIF('2月'!AW4:AW34,$B23)+COUNTIF('2月'!AX4:AX34,$B23)+COUNTIF('2月'!BB4:BB34,$B23)+COUNTIF('2月'!BC4:BC34,$B23)+COUNTIF('2月'!BG4:BG34,$B23)+COUNTIF('2月'!BH4:BH34,$B23)+COUNTIF('2月'!BL4:BL34,$B23)+COUNTIF('2月'!BM4:BM34,$B23)+COUNTIF('2月'!BQ4:BQ34,$B23)+COUNTIF('2月'!BR4:BR34,$B23)+COUNTIF('2月'!BV4:BV34,$B23)+COUNTIF('2月'!BW4:BW34,$B23)+COUNTIF('2月'!CA4:CA34,$B23)+COUNTIF('2月'!CB4:CB34,$B23)+COUNTIF('2月'!CF4:CF34,$B23)+COUNTIF('2月'!CG4:CG34,$B23)+COUNTIF('2月'!CK4:CK34,$B23)+COUNTIF('2月'!CL4:CL34,$B23)+COUNTIF('2月'!CP4:CP34,$B23)+COUNTIF('2月'!CQ4:CQ34,$B23)+COUNTIF('2月'!CU4:CU34,$B23)+COUNTIF('2月'!CV4:CV34,$B23)+COUNTIF('2月'!CZ4:CZ34,$B23)+COUNTIF('2月'!DA4:DA34,$B23)+COUNTIF('2月'!DE4:DE34,$B23)+COUNTIF('2月'!DF4:DF34,$B23)+COUNTIF('2月'!DJ4:DJ34,$B23)+COUNTIF('2月'!DK4:DK34,$B23)+COUNTIF('2月'!DO4:DO34,$B23)+COUNTIF('2月'!DP4:DP34,$B23)+COUNTIF('2月'!DT4:DT34,$B23)+COUNTIF('2月'!DU4:DU34,$B23)+COUNTIF('2月'!DY4:DY34,$B23)+COUNTIF('2月'!DZ4:DZ34,$B23)+COUNTIF('2月'!ED4:ED34,$B23)+COUNTIF('2月'!EE4:EE34,$B23)+COUNTIF('2月'!EI4:EI34,$B23)+COUNTIF('2月'!EJ4:EJ34,$B23)+COUNTIF('2月'!EN4:EN34,$B23)+COUNTIF('2月'!EO4:EO34,$B23)+COUNTIF('2月'!ES4:ES34,$B23)+COUNTIF('2月'!ET4:ET34,$B23)),0)</f>
        <v>0</v>
      </c>
      <c r="E23" s="76">
        <f>IFERROR(IF($B23="","",COUNTIF('3月'!D4:D34,$B23)+COUNTIF('3月'!E4:E34,$B23)+COUNTIF('3月'!I4:I34,$B23)+COUNTIF('3月'!J4:J34,$B23)+COUNTIF('3月'!N4:N34,$B23)+COUNTIF('3月'!O4:O34,$B23)+COUNTIF('3月'!S4:S34,$B23)+COUNTIF('3月'!T4:T34,$B23)+COUNTIF('3月'!X4:X34,$B23)+COUNTIF('3月'!Y4:Y34,$B23)+COUNTIF('3月'!AC4:AC34,$B23)+COUNTIF('3月'!AD4:AD34,$B23)+COUNTIF('3月'!AH4:AH34,$B23)+COUNTIF('3月'!AI4:AI34,$B23)+COUNTIF('3月'!AM4:AM34,$B23)+COUNTIF('3月'!AN4:AN34,$B23)+COUNTIF('3月'!AR4:AR34,$B23)+COUNTIF('3月'!AS4:AS34,$B23)+COUNTIF('3月'!AW4:AW34,$B23)+COUNTIF('3月'!AX4:AX34,$B23)+COUNTIF('3月'!BB4:BB34,$B23)+COUNTIF('3月'!BC4:BC34,$B23)+COUNTIF('3月'!BG4:BG34,$B23)+COUNTIF('3月'!BH4:BH34,$B23)+COUNTIF('3月'!BL4:BL34,$B23)+COUNTIF('3月'!BM4:BM34,$B23)+COUNTIF('3月'!BQ4:BQ34,$B23)+COUNTIF('3月'!BR4:BR34,$B23)+COUNTIF('3月'!BV4:BV34,$B23)+COUNTIF('3月'!BW4:BW34,$B23)+COUNTIF('3月'!CA4:CA34,$B23)+COUNTIF('3月'!CB4:CB34,$B23)+COUNTIF('3月'!CF4:CF34,$B23)+COUNTIF('3月'!CG4:CG34,$B23)+COUNTIF('3月'!CK4:CK34,$B23)+COUNTIF('3月'!CL4:CL34,$B23)+COUNTIF('3月'!CP4:CP34,$B23)+COUNTIF('3月'!CQ4:CQ34,$B23)+COUNTIF('3月'!CU4:CU34,$B23)+COUNTIF('3月'!CV4:CV34,$B23)+COUNTIF('3月'!CZ4:CZ34,$B23)+COUNTIF('3月'!DA4:DA34,$B23)+COUNTIF('3月'!DE4:DE34,$B23)+COUNTIF('3月'!DF4:DF34,$B23)+COUNTIF('3月'!DJ4:DJ34,$B23)+COUNTIF('3月'!DK4:DK34,$B23)+COUNTIF('3月'!DO4:DO34,$B23)+COUNTIF('3月'!DP4:DP34,$B23)+COUNTIF('3月'!DT4:DT34,$B23)+COUNTIF('3月'!DU4:DU34,$B23)+COUNTIF('3月'!DY4:DY34,$B23)+COUNTIF('3月'!DZ4:DZ34,$B23)+COUNTIF('3月'!ED4:ED34,$B23)+COUNTIF('3月'!EE4:EE34,$B23)+COUNTIF('3月'!EI4:EI34,$B23)+COUNTIF('3月'!EJ4:EJ34,$B23)+COUNTIF('3月'!EN4:EN34,$B23)+COUNTIF('3月'!EO4:EO34,$B23)+COUNTIF('3月'!ES4:ES34,$B23)+COUNTIF('3月'!ET4:ET34,$B23)),0)</f>
        <v>0</v>
      </c>
      <c r="F23" s="76">
        <f>IFERROR(IF($B23="","",COUNTIF('4月'!D4:D34,$B23)+COUNTIF('4月'!E4:E34,$B23)+COUNTIF('4月'!I4:I34,$B23)+COUNTIF('4月'!J4:J34,$B23)+COUNTIF('4月'!N4:N34,$B23)+COUNTIF('4月'!O4:O34,$B23)+COUNTIF('4月'!S4:S34,$B23)+COUNTIF('4月'!T4:T34,$B23)+COUNTIF('4月'!X4:X34,$B23)+COUNTIF('4月'!Y4:Y34,$B23)+COUNTIF('4月'!AC4:AC34,$B23)+COUNTIF('4月'!AD4:AD34,$B23)+COUNTIF('4月'!AH4:AH34,$B23)+COUNTIF('4月'!AI4:AI34,$B23)+COUNTIF('4月'!AM4:AM34,$B23)+COUNTIF('4月'!AN4:AN34,$B23)+COUNTIF('4月'!AR4:AR34,$B23)+COUNTIF('4月'!AS4:AS34,$B23)+COUNTIF('4月'!AW4:AW34,$B23)+COUNTIF('4月'!AX4:AX34,$B23)+COUNTIF('4月'!BB4:BB34,$B23)+COUNTIF('4月'!BC4:BC34,$B23)+COUNTIF('4月'!BG4:BG34,$B23)+COUNTIF('4月'!BH4:BH34,$B23)+COUNTIF('4月'!BL4:BL34,$B23)+COUNTIF('4月'!BM4:BM34,$B23)+COUNTIF('4月'!BQ4:BQ34,$B23)+COUNTIF('4月'!BR4:BR34,$B23)+COUNTIF('4月'!BV4:BV34,$B23)+COUNTIF('4月'!BW4:BW34,$B23)+COUNTIF('4月'!CA4:CA34,$B23)+COUNTIF('4月'!CB4:CB34,$B23)+COUNTIF('4月'!CF4:CF34,$B23)+COUNTIF('4月'!CG4:CG34,$B23)+COUNTIF('4月'!CK4:CK34,$B23)+COUNTIF('4月'!CL4:CL34,$B23)+COUNTIF('4月'!CP4:CP34,$B23)+COUNTIF('4月'!CQ4:CQ34,$B23)+COUNTIF('4月'!CU4:CU34,$B23)+COUNTIF('4月'!CV4:CV34,$B23)+COUNTIF('4月'!CZ4:CZ34,$B23)+COUNTIF('4月'!DA4:DA34,$B23)+COUNTIF('4月'!DE4:DE34,$B23)+COUNTIF('4月'!DF4:DF34,$B23)+COUNTIF('4月'!DJ4:DJ34,$B23)+COUNTIF('4月'!DK4:DK34,$B23)+COUNTIF('4月'!DO4:DO34,$B23)+COUNTIF('4月'!DP4:DP34,$B23)+COUNTIF('4月'!DT4:DT34,$B23)+COUNTIF('4月'!DU4:DU34,$B23)+COUNTIF('4月'!DY4:DY34,$B23)+COUNTIF('4月'!DZ4:DZ34,$B23)+COUNTIF('4月'!ED4:ED34,$B23)+COUNTIF('4月'!EE4:EE34,$B23)+COUNTIF('4月'!EI4:EI34,$B23)+COUNTIF('4月'!EJ4:EJ34,$B23)+COUNTIF('4月'!EN4:EN34,$B23)+COUNTIF('4月'!EO4:EO34,$B23)+COUNTIF('4月'!ES4:ES34,$B23)+COUNTIF('4月'!ET4:ET34,$B23)),0)</f>
        <v>0</v>
      </c>
      <c r="G23" s="76">
        <f>IFERROR(IF($B23="","",COUNTIF('5月'!D4:D34,$B23)+COUNTIF('5月'!E4:E34,$B23)+COUNTIF('5月'!I4:I34,$B23)+COUNTIF('5月'!J4:J34,$B23)+COUNTIF('5月'!N4:N34,$B23)+COUNTIF('5月'!O4:O34,$B23)+COUNTIF('5月'!S4:S34,$B23)+COUNTIF('5月'!T4:T34,$B23)+COUNTIF('5月'!X4:X34,$B23)+COUNTIF('5月'!Y4:Y34,$B23)+COUNTIF('5月'!AC4:AC34,$B23)+COUNTIF('5月'!AD4:AD34,$B23)+COUNTIF('5月'!AH4:AH34,$B23)+COUNTIF('5月'!AI4:AI34,$B23)+COUNTIF('5月'!AM4:AM34,$B23)+COUNTIF('5月'!AN4:AN34,$B23)+COUNTIF('5月'!AR4:AR34,$B23)+COUNTIF('5月'!AS4:AS34,$B23)+COUNTIF('5月'!AW4:AW34,$B23)+COUNTIF('5月'!AX4:AX34,$B23)+COUNTIF('5月'!BB4:BB34,$B23)+COUNTIF('5月'!BC4:BC34,$B23)+COUNTIF('5月'!BG4:BG34,$B23)+COUNTIF('5月'!BH4:BH34,$B23)+COUNTIF('5月'!BL4:BL34,$B23)+COUNTIF('5月'!BM4:BM34,$B23)+COUNTIF('5月'!BQ4:BQ34,$B23)+COUNTIF('5月'!BR4:BR34,$B23)+COUNTIF('5月'!BV4:BV34,$B23)+COUNTIF('5月'!BW4:BW34,$B23)+COUNTIF('5月'!CA4:CA34,$B23)+COUNTIF('5月'!CB4:CB34,$B23)+COUNTIF('5月'!CF4:CF34,$B23)+COUNTIF('5月'!CG4:CG34,$B23)+COUNTIF('5月'!CK4:CK34,$B23)+COUNTIF('5月'!CL4:CL34,$B23)+COUNTIF('5月'!CP4:CP34,$B23)+COUNTIF('5月'!CQ4:CQ34,$B23)+COUNTIF('5月'!CU4:CU34,$B23)+COUNTIF('5月'!CV4:CV34,$B23)+COUNTIF('5月'!CZ4:CZ34,$B23)+COUNTIF('5月'!DA4:DA34,$B23)+COUNTIF('5月'!DE4:DE34,$B23)+COUNTIF('5月'!DF4:DF34,$B23)+COUNTIF('5月'!DJ4:DJ34,$B23)+COUNTIF('5月'!DK4:DK34,$B23)+COUNTIF('5月'!DO4:DO34,$B23)+COUNTIF('5月'!DP4:DP34,$B23)+COUNTIF('5月'!DT4:DT34,$B23)+COUNTIF('5月'!DU4:DU34,$B23)+COUNTIF('5月'!DY4:DY34,$B23)+COUNTIF('5月'!DZ4:DZ34,$B23)+COUNTIF('5月'!ED4:ED34,$B23)+COUNTIF('5月'!EE4:EE34,$B23)+COUNTIF('5月'!EI4:EI34,$B23)+COUNTIF('5月'!EJ4:EJ34,$B23)+COUNTIF('5月'!EN4:EN34,$B23)+COUNTIF('5月'!EO4:EO34,$B23)+COUNTIF('5月'!ES4:ES34,$B23)+COUNTIF('5月'!ET4:ET34,$B23)),0)</f>
        <v>0</v>
      </c>
      <c r="H23" s="76">
        <f>IFERROR(IF($B23="","",COUNTIF('6月'!D4:D34,$B23)+COUNTIF('6月'!E4:E34,$B23)+COUNTIF('6月'!I4:I34,$B23)+COUNTIF('6月'!J4:J34,$B23)+COUNTIF('6月'!N4:N34,$B23)+COUNTIF('6月'!O4:O34,$B23)+COUNTIF('6月'!S4:S34,$B23)+COUNTIF('6月'!T4:T34,$B23)+COUNTIF('6月'!X4:X34,$B23)+COUNTIF('6月'!Y4:Y34,$B23)+COUNTIF('6月'!AC4:AC34,$B23)+COUNTIF('6月'!AD4:AD34,$B23)+COUNTIF('6月'!AH4:AH34,$B23)+COUNTIF('6月'!AI4:AI34,$B23)+COUNTIF('6月'!AM4:AM34,$B23)+COUNTIF('6月'!AN4:AN34,$B23)+COUNTIF('6月'!AR4:AR34,$B23)+COUNTIF('6月'!AS4:AS34,$B23)+COUNTIF('6月'!AW4:AW34,$B23)+COUNTIF('6月'!AX4:AX34,$B23)+COUNTIF('6月'!BB4:BB34,$B23)+COUNTIF('6月'!BC4:BC34,$B23)+COUNTIF('6月'!BG4:BG34,$B23)+COUNTIF('6月'!BH4:BH34,$B23)+COUNTIF('6月'!BL4:BL34,$B23)+COUNTIF('6月'!BM4:BM34,$B23)+COUNTIF('6月'!BQ4:BQ34,$B23)+COUNTIF('6月'!BR4:BR34,$B23)+COUNTIF('6月'!BV4:BV34,$B23)+COUNTIF('6月'!BW4:BW34,$B23)+COUNTIF('6月'!CA4:CA34,$B23)+COUNTIF('6月'!CB4:CB34,$B23)+COUNTIF('6月'!CF4:CF34,$B23)+COUNTIF('6月'!CG4:CG34,$B23)+COUNTIF('6月'!CK4:CK34,$B23)+COUNTIF('6月'!CL4:CL34,$B23)+COUNTIF('6月'!CP4:CP34,$B23)+COUNTIF('6月'!CQ4:CQ34,$B23)+COUNTIF('6月'!CU4:CU34,$B23)+COUNTIF('6月'!CV4:CV34,$B23)+COUNTIF('6月'!CZ4:CZ34,$B23)+COUNTIF('6月'!DA4:DA34,$B23)+COUNTIF('6月'!DE4:DE34,$B23)+COUNTIF('6月'!DF4:DF34,$B23)+COUNTIF('6月'!DJ4:DJ34,$B23)+COUNTIF('6月'!DK4:DK34,$B23)+COUNTIF('6月'!DO4:DO34,$B23)+COUNTIF('6月'!DP4:DP34,$B23)+COUNTIF('6月'!DT4:DT34,$B23)+COUNTIF('6月'!DU4:DU34,$B23)+COUNTIF('6月'!DY4:DY34,$B23)+COUNTIF('6月'!DZ4:DZ34,$B23)+COUNTIF('6月'!ED4:ED34,$B23)+COUNTIF('6月'!EE4:EE34,$B23)+COUNTIF('6月'!EI4:EI34,$B23)+COUNTIF('6月'!EJ4:EJ34,$B23)+COUNTIF('6月'!EN4:EN34,$B23)+COUNTIF('6月'!EO4:EO34,$B23)+COUNTIF('6月'!ES4:ES34,$B23)+COUNTIF('6月'!ET4:ET34,$B23)),0)</f>
        <v>0</v>
      </c>
      <c r="I23" s="76">
        <f>IFERROR(IF($B23="","",COUNTIF('7月'!D4:D34,$B23)+COUNTIF('7月'!E4:E34,$B23)+COUNTIF('7月'!I4:I34,$B23)+COUNTIF('7月'!J4:J34,$B23)+COUNTIF('7月'!N4:N34,$B23)+COUNTIF('7月'!O4:O34,$B23)+COUNTIF('7月'!S4:S34,$B23)+COUNTIF('7月'!T4:T34,$B23)+COUNTIF('7月'!X4:X34,$B23)+COUNTIF('7月'!Y4:Y34,$B23)+COUNTIF('7月'!AC4:AC34,$B23)+COUNTIF('7月'!AD4:AD34,$B23)+COUNTIF('7月'!AH4:AH34,$B23)+COUNTIF('7月'!AI4:AI34,$B23)+COUNTIF('7月'!AM4:AM34,$B23)+COUNTIF('7月'!AN4:AN34,$B23)+COUNTIF('7月'!AR4:AR34,$B23)+COUNTIF('7月'!AS4:AS34,$B23)+COUNTIF('7月'!AW4:AW34,$B23)+COUNTIF('7月'!AX4:AX34,$B23)+COUNTIF('7月'!BB4:BB34,$B23)+COUNTIF('7月'!BC4:BC34,$B23)+COUNTIF('7月'!BG4:BG34,$B23)+COUNTIF('7月'!BH4:BH34,$B23)+COUNTIF('7月'!BL4:BL34,$B23)+COUNTIF('7月'!BM4:BM34,$B23)+COUNTIF('7月'!BQ4:BQ34,$B23)+COUNTIF('7月'!BR4:BR34,$B23)+COUNTIF('7月'!BV4:BV34,$B23)+COUNTIF('7月'!BW4:BW34,$B23)+COUNTIF('7月'!CA4:CA34,$B23)+COUNTIF('7月'!CB4:CB34,$B23)+COUNTIF('7月'!CF4:CF34,$B23)+COUNTIF('7月'!CG4:CG34,$B23)+COUNTIF('7月'!CK4:CK34,$B23)+COUNTIF('7月'!CL4:CL34,$B23)+COUNTIF('7月'!CP4:CP34,$B23)+COUNTIF('7月'!CQ4:CQ34,$B23)+COUNTIF('7月'!CU4:CU34,$B23)+COUNTIF('7月'!CV4:CV34,$B23)+COUNTIF('7月'!CZ4:CZ34,$B23)+COUNTIF('7月'!DA4:DA34,$B23)+COUNTIF('7月'!DE4:DE34,$B23)+COUNTIF('7月'!DF4:DF34,$B23)+COUNTIF('7月'!DJ4:DJ34,$B23)+COUNTIF('7月'!DK4:DK34,$B23)+COUNTIF('7月'!DO4:DO34,$B23)+COUNTIF('7月'!DP4:DP34,$B23)+COUNTIF('7月'!DT4:DT34,$B23)+COUNTIF('7月'!DU4:DU34,$B23)+COUNTIF('7月'!DY4:DY34,$B23)+COUNTIF('7月'!DZ4:DZ34,$B23)+COUNTIF('7月'!ED4:ED34,$B23)+COUNTIF('7月'!EE4:EE34,$B23)+COUNTIF('7月'!EI4:EI34,$B23)+COUNTIF('7月'!EJ4:EJ34,$B23)+COUNTIF('7月'!EN4:EN34,$B23)+COUNTIF('7月'!EO4:EO34,$B23)+COUNTIF('7月'!ES4:ES34,$B23)+COUNTIF('7月'!ET4:ET34,$B23)),0)</f>
        <v>0</v>
      </c>
      <c r="J23" s="76">
        <f>IFERROR(IF($B23="","",COUNTIF('8月'!D4:D34,$B23)+COUNTIF('8月'!E4:E34,$B23)+COUNTIF('8月'!I4:I34,$B23)+COUNTIF('8月'!J4:J34,$B23)+COUNTIF('8月'!N4:N34,$B23)+COUNTIF('8月'!O4:O34,$B23)+COUNTIF('8月'!S4:S34,$B23)+COUNTIF('8月'!T4:T34,$B23)+COUNTIF('8月'!X4:X34,$B23)+COUNTIF('8月'!Y4:Y34,$B23)+COUNTIF('8月'!AC4:AC34,$B23)+COUNTIF('8月'!AD4:AD34,$B23)+COUNTIF('8月'!AH4:AH34,$B23)+COUNTIF('8月'!AI4:AI34,$B23)+COUNTIF('8月'!AM4:AM34,$B23)+COUNTIF('8月'!AN4:AN34,$B23)+COUNTIF('8月'!AR4:AR34,$B23)+COUNTIF('8月'!AS4:AS34,$B23)+COUNTIF('8月'!AW4:AW34,$B23)+COUNTIF('8月'!AX4:AX34,$B23)+COUNTIF('8月'!BB4:BB34,$B23)+COUNTIF('8月'!BC4:BC34,$B23)+COUNTIF('8月'!BG4:BG34,$B23)+COUNTIF('8月'!BH4:BH34,$B23)+COUNTIF('8月'!BL4:BL34,$B23)+COUNTIF('8月'!BM4:BM34,$B23)+COUNTIF('8月'!BQ4:BQ34,$B23)+COUNTIF('8月'!BR4:BR34,$B23)+COUNTIF('8月'!BV4:BV34,$B23)+COUNTIF('8月'!BW4:BW34,$B23)+COUNTIF('8月'!CA4:CA34,$B23)+COUNTIF('8月'!CB4:CB34,$B23)+COUNTIF('8月'!CF4:CF34,$B23)+COUNTIF('8月'!CG4:CG34,$B23)+COUNTIF('8月'!CK4:CK34,$B23)+COUNTIF('8月'!CL4:CL34,$B23)+COUNTIF('8月'!CP4:CP34,$B23)+COUNTIF('8月'!CQ4:CQ34,$B23)+COUNTIF('8月'!CU4:CU34,$B23)+COUNTIF('8月'!CV4:CV34,$B23)+COUNTIF('8月'!CZ4:CZ34,$B23)+COUNTIF('8月'!DA4:DA34,$B23)+COUNTIF('8月'!DE4:DE34,$B23)+COUNTIF('8月'!DF4:DF34,$B23)+COUNTIF('8月'!DJ4:DJ34,$B23)+COUNTIF('8月'!DK4:DK34,$B23)+COUNTIF('8月'!DO4:DO34,$B23)+COUNTIF('8月'!DP4:DP34,$B23)+COUNTIF('8月'!DT4:DT34,$B23)+COUNTIF('8月'!DU4:DU34,$B23)+COUNTIF('8月'!DY4:DY34,$B23)+COUNTIF('8月'!DZ4:DZ34,$B23)+COUNTIF('8月'!ED4:ED34,$B23)+COUNTIF('8月'!EE4:EE34,$B23)+COUNTIF('8月'!EI4:EI34,$B23)+COUNTIF('8月'!EJ4:EJ34,$B23)+COUNTIF('8月'!EN4:EN34,$B23)+COUNTIF('8月'!EO4:EO34,$B23)+COUNTIF('8月'!ES4:ES34,$B23)+COUNTIF('8月'!ET4:ET34,$B23)),0)</f>
        <v>0</v>
      </c>
      <c r="K23" s="76">
        <f>IFERROR(IF($B23="","",COUNTIF('9月'!D4:D34,$B23)+COUNTIF('9月'!E4:E34,$B23)+COUNTIF('9月'!I4:I34,$B23)+COUNTIF('9月'!J4:J34,$B23)+COUNTIF('9月'!N4:N34,$B23)+COUNTIF('9月'!O4:O34,$B23)+COUNTIF('9月'!S4:S34,$B23)+COUNTIF('9月'!T4:T34,$B23)+COUNTIF('9月'!X4:X34,$B23)+COUNTIF('9月'!Y4:Y34,$B23)+COUNTIF('9月'!AC4:AC34,$B23)+COUNTIF('9月'!AD4:AD34,$B23)+COUNTIF('9月'!AH4:AH34,$B23)+COUNTIF('9月'!AI4:AI34,$B23)+COUNTIF('9月'!AM4:AM34,$B23)+COUNTIF('9月'!AN4:AN34,$B23)+COUNTIF('9月'!AR4:AR34,$B23)+COUNTIF('9月'!AS4:AS34,$B23)+COUNTIF('9月'!AW4:AW34,$B23)+COUNTIF('9月'!AX4:AX34,$B23)+COUNTIF('9月'!BB4:BB34,$B23)+COUNTIF('9月'!BC4:BC34,$B23)+COUNTIF('9月'!BG4:BG34,$B23)+COUNTIF('9月'!BH4:BH34,$B23)+COUNTIF('9月'!BL4:BL34,$B23)+COUNTIF('9月'!BM4:BM34,$B23)+COUNTIF('9月'!BQ4:BQ34,$B23)+COUNTIF('9月'!BR4:BR34,$B23)+COUNTIF('9月'!BV4:BV34,$B23)+COUNTIF('9月'!BW4:BW34,$B23)+COUNTIF('9月'!CA4:CA34,$B23)+COUNTIF('9月'!CB4:CB34,$B23)+COUNTIF('9月'!CF4:CF34,$B23)+COUNTIF('9月'!CG4:CG34,$B23)+COUNTIF('9月'!CK4:CK34,$B23)+COUNTIF('9月'!CL4:CL34,$B23)+COUNTIF('9月'!CP4:CP34,$B23)+COUNTIF('9月'!CQ4:CQ34,$B23)+COUNTIF('9月'!CU4:CU34,$B23)+COUNTIF('9月'!CV4:CV34,$B23)+COUNTIF('9月'!CZ4:CZ34,$B23)+COUNTIF('9月'!DA4:DA34,$B23)+COUNTIF('9月'!DE4:DE34,$B23)+COUNTIF('9月'!DF4:DF34,$B23)+COUNTIF('9月'!DJ4:DJ34,$B23)+COUNTIF('9月'!DK4:DK34,$B23)+COUNTIF('9月'!DO4:DO34,$B23)+COUNTIF('9月'!DP4:DP34,$B23)+COUNTIF('9月'!DT4:DT34,$B23)+COUNTIF('9月'!DU4:DU34,$B23)+COUNTIF('9月'!DY4:DY34,$B23)+COUNTIF('9月'!DZ4:DZ34,$B23)+COUNTIF('9月'!ED4:ED34,$B23)+COUNTIF('9月'!EE4:EE34,$B23)+COUNTIF('9月'!EI4:EI34,$B23)+COUNTIF('9月'!EJ4:EJ34,$B23)+COUNTIF('9月'!EN4:EN34,$B23)+COUNTIF('9月'!EO4:EO34,$B23)+COUNTIF('9月'!ES4:ES34,$B23)+COUNTIF('9月'!ET4:ET34,$B23)),0)</f>
        <v>0</v>
      </c>
      <c r="L23" s="76">
        <f>IFERROR(IF($B23="","",COUNTIF('10月'!D4:D34,$B23)+COUNTIF('10月'!E4:E34,$B23)+COUNTIF('10月'!I4:I34,$B23)+COUNTIF('10月'!J4:J34,$B23)+COUNTIF('10月'!N4:N34,$B23)+COUNTIF('10月'!O4:O34,$B23)+COUNTIF('10月'!S4:S34,$B23)+COUNTIF('10月'!T4:T34,$B23)+COUNTIF('10月'!X4:X34,$B23)+COUNTIF('10月'!Y4:Y34,$B23)+COUNTIF('10月'!AC4:AC34,$B23)+COUNTIF('10月'!AD4:AD34,$B23)+COUNTIF('10月'!AH4:AH34,$B23)+COUNTIF('10月'!AI4:AI34,$B23)+COUNTIF('10月'!AM4:AM34,$B23)+COUNTIF('10月'!AN4:AN34,$B23)+COUNTIF('10月'!AR4:AR34,$B23)+COUNTIF('10月'!AS4:AS34,$B23)+COUNTIF('10月'!AW4:AW34,$B23)+COUNTIF('10月'!AX4:AX34,$B23)+COUNTIF('10月'!BB4:BB34,$B23)+COUNTIF('10月'!BC4:BC34,$B23)+COUNTIF('10月'!BG4:BG34,$B23)+COUNTIF('10月'!BH4:BH34,$B23)+COUNTIF('10月'!BL4:BL34,$B23)+COUNTIF('10月'!BM4:BM34,$B23)+COUNTIF('10月'!BQ4:BQ34,$B23)+COUNTIF('10月'!BR4:BR34,$B23)+COUNTIF('10月'!BV4:BV34,$B23)+COUNTIF('10月'!BW4:BW34,$B23)+COUNTIF('10月'!CA4:CA34,$B23)+COUNTIF('10月'!CB4:CB34,$B23)+COUNTIF('10月'!CF4:CF34,$B23)+COUNTIF('10月'!CG4:CG34,$B23)+COUNTIF('10月'!CK4:CK34,$B23)+COUNTIF('10月'!CL4:CL34,$B23)+COUNTIF('10月'!CP4:CP34,$B23)+COUNTIF('10月'!CQ4:CQ34,$B23)+COUNTIF('10月'!CU4:CU34,$B23)+COUNTIF('10月'!CV4:CV34,$B23)+COUNTIF('10月'!CZ4:CZ34,$B23)+COUNTIF('10月'!DA4:DA34,$B23)+COUNTIF('10月'!DE4:DE34,$B23)+COUNTIF('10月'!DF4:DF34,$B23)+COUNTIF('10月'!DJ4:DJ34,$B23)+COUNTIF('10月'!DK4:DK34,$B23)+COUNTIF('10月'!DO4:DO34,$B23)+COUNTIF('10月'!DP4:DP34,$B23)+COUNTIF('10月'!DT4:DT34,$B23)+COUNTIF('10月'!DU4:DU34,$B23)+COUNTIF('10月'!DY4:DY34,$B23)+COUNTIF('10月'!DZ4:DZ34,$B23)+COUNTIF('10月'!ED4:ED34,$B23)+COUNTIF('10月'!EE4:EE34,$B23)+COUNTIF('10月'!EI4:EI34,$B23)+COUNTIF('10月'!EJ4:EJ34,$B23)+COUNTIF('10月'!EN4:EN34,$B23)+COUNTIF('10月'!EO4:EO34,$B23)+COUNTIF('10月'!ES4:ES34,$B23)+COUNTIF('10月'!ET4:ET34,$B23)),0)</f>
        <v>0</v>
      </c>
      <c r="M23" s="76">
        <f>IFERROR(IF($B23="","",COUNTIF('11月'!D4:D34,$B23)+COUNTIF('11月'!E4:E34,$B23)+COUNTIF('11月'!I4:I34,$B23)+COUNTIF('11月'!J4:J34,$B23)+COUNTIF('11月'!N4:N34,$B23)+COUNTIF('11月'!O4:O34,$B23)+COUNTIF('11月'!S4:S34,$B23)+COUNTIF('11月'!T4:T34,$B23)+COUNTIF('11月'!X4:X34,$B23)+COUNTIF('11月'!Y4:Y34,$B23)+COUNTIF('11月'!AC4:AC34,$B23)+COUNTIF('11月'!AD4:AD34,$B23)+COUNTIF('11月'!AH4:AH34,$B23)+COUNTIF('11月'!AI4:AI34,$B23)+COUNTIF('11月'!AM4:AM34,$B23)+COUNTIF('11月'!AN4:AN34,$B23)+COUNTIF('11月'!AR4:AR34,$B23)+COUNTIF('11月'!AS4:AS34,$B23)+COUNTIF('11月'!AW4:AW34,$B23)+COUNTIF('11月'!AX4:AX34,$B23)+COUNTIF('11月'!BB4:BB34,$B23)+COUNTIF('11月'!BC4:BC34,$B23)+COUNTIF('11月'!BG4:BG34,$B23)+COUNTIF('11月'!BH4:BH34,$B23)+COUNTIF('11月'!BL4:BL34,$B23)+COUNTIF('11月'!BM4:BM34,$B23)+COUNTIF('11月'!BQ4:BQ34,$B23)+COUNTIF('11月'!BR4:BR34,$B23)+COUNTIF('11月'!BV4:BV34,$B23)+COUNTIF('11月'!BW4:BW34,$B23)+COUNTIF('11月'!CA4:CA34,$B23)+COUNTIF('11月'!CB4:CB34,$B23)+COUNTIF('11月'!CF4:CF34,$B23)+COUNTIF('11月'!CG4:CG34,$B23)+COUNTIF('11月'!CK4:CK34,$B23)+COUNTIF('11月'!CL4:CL34,$B23)+COUNTIF('11月'!CP4:CP34,$B23)+COUNTIF('11月'!CQ4:CQ34,$B23)+COUNTIF('11月'!CU4:CU34,$B23)+COUNTIF('11月'!CV4:CV34,$B23)+COUNTIF('11月'!CZ4:CZ34,$B23)+COUNTIF('11月'!DA4:DA34,$B23)+COUNTIF('11月'!DE4:DE34,$B23)+COUNTIF('11月'!DF4:DF34,$B23)+COUNTIF('11月'!DJ4:DJ34,$B23)+COUNTIF('11月'!DK4:DK34,$B23)+COUNTIF('11月'!DO4:DO34,$B23)+COUNTIF('11月'!DP4:DP34,$B23)+COUNTIF('11月'!DT4:DT34,$B23)+COUNTIF('11月'!DU4:DU34,$B23)+COUNTIF('11月'!DY4:DY34,$B23)+COUNTIF('11月'!DZ4:DZ34,$B23)+COUNTIF('11月'!ED4:ED34,$B23)+COUNTIF('11月'!EE4:EE34,$B23)+COUNTIF('11月'!EI4:EI34,$B23)+COUNTIF('11月'!EJ4:EJ34,$B23)+COUNTIF('11月'!EN4:EN34,$B23)+COUNTIF('11月'!EO4:EO34,$B23)+COUNTIF('11月'!ES4:ES34,$B23)+COUNTIF('11月'!ET4:ET34,$B23)),0)</f>
        <v>0</v>
      </c>
      <c r="N23" s="76">
        <f>IFERROR(IF($B23="","",COUNTIF('12月'!D4:D34,$B23)+COUNTIF('12月'!E4:E34,$B23)+COUNTIF('12月'!I4:I34,$B23)+COUNTIF('12月'!J4:J34,$B23)+COUNTIF('12月'!N4:N34,$B23)+COUNTIF('12月'!O4:O34,$B23)+COUNTIF('12月'!S4:S34,$B23)+COUNTIF('12月'!T4:T34,$B23)+COUNTIF('12月'!X4:X34,$B23)+COUNTIF('12月'!Y4:Y34,$B23)+COUNTIF('12月'!AC4:AC34,$B23)+COUNTIF('12月'!AD4:AD34,$B23)+COUNTIF('12月'!AH4:AH34,$B23)+COUNTIF('12月'!AI4:AI34,$B23)+COUNTIF('12月'!AM4:AM34,$B23)+COUNTIF('12月'!AN4:AN34,$B23)+COUNTIF('12月'!AR4:AR34,$B23)+COUNTIF('12月'!AS4:AS34,$B23)+COUNTIF('12月'!AW4:AW34,$B23)+COUNTIF('12月'!AX4:AX34,$B23)+COUNTIF('12月'!BB4:BB34,$B23)+COUNTIF('12月'!BC4:BC34,$B23)+COUNTIF('12月'!BG4:BG34,$B23)+COUNTIF('12月'!BH4:BH34,$B23)+COUNTIF('12月'!BL4:BL34,$B23)+COUNTIF('12月'!BM4:BM34,$B23)+COUNTIF('12月'!BQ4:BQ34,$B23)+COUNTIF('12月'!BR4:BR34,$B23)+COUNTIF('12月'!BV4:BV34,$B23)+COUNTIF('12月'!BW4:BW34,$B23)+COUNTIF('12月'!CA4:CA34,$B23)+COUNTIF('12月'!CB4:CB34,$B23)+COUNTIF('12月'!CF4:CF34,$B23)+COUNTIF('12月'!CG4:CG34,$B23)+COUNTIF('12月'!CK4:CK34,$B23)+COUNTIF('12月'!CL4:CL34,$B23)+COUNTIF('12月'!CP4:CP34,$B23)+COUNTIF('12月'!CQ4:CQ34,$B23)+COUNTIF('12月'!CU4:CU34,$B23)+COUNTIF('12月'!CV4:CV34,$B23)+COUNTIF('12月'!CZ4:CZ34,$B23)+COUNTIF('12月'!DA4:DA34,$B23)+COUNTIF('12月'!DE4:DE34,$B23)+COUNTIF('12月'!DF4:DF34,$B23)+COUNTIF('12月'!DJ4:DJ34,$B23)+COUNTIF('12月'!DK4:DK34,$B23)+COUNTIF('12月'!DO4:DO34,$B23)+COUNTIF('12月'!DP4:DP34,$B23)+COUNTIF('12月'!DT4:DT34,$B23)+COUNTIF('12月'!DU4:DU34,$B23)+COUNTIF('12月'!DY4:DY34,$B23)+COUNTIF('12月'!DZ4:DZ34,$B23)+COUNTIF('12月'!ED4:ED34,$B23)+COUNTIF('12月'!EE4:EE34,$B23)+COUNTIF('12月'!EI4:EI34,$B23)+COUNTIF('12月'!EJ4:EJ34,$B23)+COUNTIF('12月'!EN4:EN34,$B23)+COUNTIF('12月'!EO4:EO34,$B23)+COUNTIF('12月'!ES4:ES34,$B23)+COUNTIF('12月'!ET4:ET34,$B23)),0)</f>
        <v>0</v>
      </c>
      <c r="O23" s="78">
        <f t="shared" si="0"/>
        <v>0</v>
      </c>
    </row>
    <row r="24" spans="1:15" ht="19.5" customHeight="1">
      <c r="A24" s="76">
        <v>22</v>
      </c>
      <c r="B24" s="77">
        <f>IFERROR(現場マスタ!$C$25,"")</f>
        <v>0</v>
      </c>
      <c r="C24" s="76">
        <f>IFERROR(IF($B24="","",COUNTIF('1月'!D4:D34,$B24)+COUNTIF('1月'!E4:E34,$B24)+COUNTIF('1月'!I4:I34,$B24)+COUNTIF('1月'!J4:J34,$B24)+COUNTIF('1月'!N4:N34,$B24)+COUNTIF('1月'!O4:O34,$B24)+COUNTIF('1月'!S4:S34,$B24)+COUNTIF('1月'!T4:T34,$B24)+COUNTIF('1月'!X4:X34,$B24)+COUNTIF('1月'!Y4:Y34,$B24)+COUNTIF('1月'!AC4:AC34,$B24)+COUNTIF('1月'!AD4:AD34,$B24)+COUNTIF('1月'!AH4:AH34,$B24)+COUNTIF('1月'!AI4:AI34,$B24)+COUNTIF('1月'!AM4:AM34,$B24)+COUNTIF('1月'!AN4:AN34,$B24)+COUNTIF('1月'!AR4:AR34,$B24)+COUNTIF('1月'!AS4:AS34,$B24)+COUNTIF('1月'!AW4:AW34,$B24)+COUNTIF('1月'!AX4:AX34,$B24)+COUNTIF('1月'!BB4:BB34,$B24)+COUNTIF('1月'!BC4:BC34,$B24)+COUNTIF('1月'!BG4:BG34,$B24)+COUNTIF('1月'!BH4:BH34,$B24)+COUNTIF('1月'!BL4:BL34,$B24)+COUNTIF('1月'!BM4:BM34,$B24)+COUNTIF('1月'!BQ4:BQ34,$B24)+COUNTIF('1月'!BR4:BR34,$B24)+COUNTIF('1月'!BV4:BV34,$B24)+COUNTIF('1月'!BW4:BW34,$B24)+COUNTIF('1月'!CA4:CA34,$B24)+COUNTIF('1月'!CB4:CB34,$B24)+COUNTIF('1月'!CF4:CF34,$B24)+COUNTIF('1月'!CG4:CG34,$B24)+COUNTIF('1月'!CK4:CK34,$B24)+COUNTIF('1月'!CL4:CL34,$B24)+COUNTIF('1月'!CP4:CP34,$B24)+COUNTIF('1月'!CQ4:CQ34,$B24)+COUNTIF('1月'!CU4:CU34,$B24)+COUNTIF('1月'!CV4:CV34,$B24)+COUNTIF('1月'!CZ4:CZ34,$B24)+COUNTIF('1月'!DA4:DA34,$B24)+COUNTIF('1月'!DE4:DE34,$B24)+COUNTIF('1月'!DF4:DF34,$B24)+COUNTIF('1月'!DJ4:DJ34,$B24)+COUNTIF('1月'!DK4:DK34,$B24)+COUNTIF('1月'!DO4:DO34,$B24)+COUNTIF('1月'!DP4:DP34,$B24)+COUNTIF('1月'!DT4:DT34,$B24)+COUNTIF('1月'!DU4:DU34,$B24)+COUNTIF('1月'!DY4:DY34,$B24)+COUNTIF('1月'!DZ4:DZ34,$B24)+COUNTIF('1月'!ED4:ED34,$B24)+COUNTIF('1月'!EE4:EE34,$B24)+COUNTIF('1月'!EI4:EI34,$B24)+COUNTIF('1月'!EJ4:EJ34,$B24)+COUNTIF('1月'!EN4:EN34,$B24)+COUNTIF('1月'!EO4:EO34,$B24)+COUNTIF('1月'!ES4:ES34,$B24)+COUNTIF('1月'!ET4:ET34,$B24)),0)</f>
        <v>0</v>
      </c>
      <c r="D24" s="76">
        <f>IFERROR(IF($B24="","",COUNTIF('2月'!D4:D34,$B24)+COUNTIF('2月'!E4:E34,$B24)+COUNTIF('2月'!I4:I34,$B24)+COUNTIF('2月'!J4:J34,$B24)+COUNTIF('2月'!N4:N34,$B24)+COUNTIF('2月'!O4:O34,$B24)+COUNTIF('2月'!S4:S34,$B24)+COUNTIF('2月'!T4:T34,$B24)+COUNTIF('2月'!X4:X34,$B24)+COUNTIF('2月'!Y4:Y34,$B24)+COUNTIF('2月'!AC4:AC34,$B24)+COUNTIF('2月'!AD4:AD34,$B24)+COUNTIF('2月'!AH4:AH34,$B24)+COUNTIF('2月'!AI4:AI34,$B24)+COUNTIF('2月'!AM4:AM34,$B24)+COUNTIF('2月'!AN4:AN34,$B24)+COUNTIF('2月'!AR4:AR34,$B24)+COUNTIF('2月'!AS4:AS34,$B24)+COUNTIF('2月'!AW4:AW34,$B24)+COUNTIF('2月'!AX4:AX34,$B24)+COUNTIF('2月'!BB4:BB34,$B24)+COUNTIF('2月'!BC4:BC34,$B24)+COUNTIF('2月'!BG4:BG34,$B24)+COUNTIF('2月'!BH4:BH34,$B24)+COUNTIF('2月'!BL4:BL34,$B24)+COUNTIF('2月'!BM4:BM34,$B24)+COUNTIF('2月'!BQ4:BQ34,$B24)+COUNTIF('2月'!BR4:BR34,$B24)+COUNTIF('2月'!BV4:BV34,$B24)+COUNTIF('2月'!BW4:BW34,$B24)+COUNTIF('2月'!CA4:CA34,$B24)+COUNTIF('2月'!CB4:CB34,$B24)+COUNTIF('2月'!CF4:CF34,$B24)+COUNTIF('2月'!CG4:CG34,$B24)+COUNTIF('2月'!CK4:CK34,$B24)+COUNTIF('2月'!CL4:CL34,$B24)+COUNTIF('2月'!CP4:CP34,$B24)+COUNTIF('2月'!CQ4:CQ34,$B24)+COUNTIF('2月'!CU4:CU34,$B24)+COUNTIF('2月'!CV4:CV34,$B24)+COUNTIF('2月'!CZ4:CZ34,$B24)+COUNTIF('2月'!DA4:DA34,$B24)+COUNTIF('2月'!DE4:DE34,$B24)+COUNTIF('2月'!DF4:DF34,$B24)+COUNTIF('2月'!DJ4:DJ34,$B24)+COUNTIF('2月'!DK4:DK34,$B24)+COUNTIF('2月'!DO4:DO34,$B24)+COUNTIF('2月'!DP4:DP34,$B24)+COUNTIF('2月'!DT4:DT34,$B24)+COUNTIF('2月'!DU4:DU34,$B24)+COUNTIF('2月'!DY4:DY34,$B24)+COUNTIF('2月'!DZ4:DZ34,$B24)+COUNTIF('2月'!ED4:ED34,$B24)+COUNTIF('2月'!EE4:EE34,$B24)+COUNTIF('2月'!EI4:EI34,$B24)+COUNTIF('2月'!EJ4:EJ34,$B24)+COUNTIF('2月'!EN4:EN34,$B24)+COUNTIF('2月'!EO4:EO34,$B24)+COUNTIF('2月'!ES4:ES34,$B24)+COUNTIF('2月'!ET4:ET34,$B24)),0)</f>
        <v>0</v>
      </c>
      <c r="E24" s="76">
        <f>IFERROR(IF($B24="","",COUNTIF('3月'!D4:D34,$B24)+COUNTIF('3月'!E4:E34,$B24)+COUNTIF('3月'!I4:I34,$B24)+COUNTIF('3月'!J4:J34,$B24)+COUNTIF('3月'!N4:N34,$B24)+COUNTIF('3月'!O4:O34,$B24)+COUNTIF('3月'!S4:S34,$B24)+COUNTIF('3月'!T4:T34,$B24)+COUNTIF('3月'!X4:X34,$B24)+COUNTIF('3月'!Y4:Y34,$B24)+COUNTIF('3月'!AC4:AC34,$B24)+COUNTIF('3月'!AD4:AD34,$B24)+COUNTIF('3月'!AH4:AH34,$B24)+COUNTIF('3月'!AI4:AI34,$B24)+COUNTIF('3月'!AM4:AM34,$B24)+COUNTIF('3月'!AN4:AN34,$B24)+COUNTIF('3月'!AR4:AR34,$B24)+COUNTIF('3月'!AS4:AS34,$B24)+COUNTIF('3月'!AW4:AW34,$B24)+COUNTIF('3月'!AX4:AX34,$B24)+COUNTIF('3月'!BB4:BB34,$B24)+COUNTIF('3月'!BC4:BC34,$B24)+COUNTIF('3月'!BG4:BG34,$B24)+COUNTIF('3月'!BH4:BH34,$B24)+COUNTIF('3月'!BL4:BL34,$B24)+COUNTIF('3月'!BM4:BM34,$B24)+COUNTIF('3月'!BQ4:BQ34,$B24)+COUNTIF('3月'!BR4:BR34,$B24)+COUNTIF('3月'!BV4:BV34,$B24)+COUNTIF('3月'!BW4:BW34,$B24)+COUNTIF('3月'!CA4:CA34,$B24)+COUNTIF('3月'!CB4:CB34,$B24)+COUNTIF('3月'!CF4:CF34,$B24)+COUNTIF('3月'!CG4:CG34,$B24)+COUNTIF('3月'!CK4:CK34,$B24)+COUNTIF('3月'!CL4:CL34,$B24)+COUNTIF('3月'!CP4:CP34,$B24)+COUNTIF('3月'!CQ4:CQ34,$B24)+COUNTIF('3月'!CU4:CU34,$B24)+COUNTIF('3月'!CV4:CV34,$B24)+COUNTIF('3月'!CZ4:CZ34,$B24)+COUNTIF('3月'!DA4:DA34,$B24)+COUNTIF('3月'!DE4:DE34,$B24)+COUNTIF('3月'!DF4:DF34,$B24)+COUNTIF('3月'!DJ4:DJ34,$B24)+COUNTIF('3月'!DK4:DK34,$B24)+COUNTIF('3月'!DO4:DO34,$B24)+COUNTIF('3月'!DP4:DP34,$B24)+COUNTIF('3月'!DT4:DT34,$B24)+COUNTIF('3月'!DU4:DU34,$B24)+COUNTIF('3月'!DY4:DY34,$B24)+COUNTIF('3月'!DZ4:DZ34,$B24)+COUNTIF('3月'!ED4:ED34,$B24)+COUNTIF('3月'!EE4:EE34,$B24)+COUNTIF('3月'!EI4:EI34,$B24)+COUNTIF('3月'!EJ4:EJ34,$B24)+COUNTIF('3月'!EN4:EN34,$B24)+COUNTIF('3月'!EO4:EO34,$B24)+COUNTIF('3月'!ES4:ES34,$B24)+COUNTIF('3月'!ET4:ET34,$B24)),0)</f>
        <v>0</v>
      </c>
      <c r="F24" s="76">
        <f>IFERROR(IF($B24="","",COUNTIF('4月'!D4:D34,$B24)+COUNTIF('4月'!E4:E34,$B24)+COUNTIF('4月'!I4:I34,$B24)+COUNTIF('4月'!J4:J34,$B24)+COUNTIF('4月'!N4:N34,$B24)+COUNTIF('4月'!O4:O34,$B24)+COUNTIF('4月'!S4:S34,$B24)+COUNTIF('4月'!T4:T34,$B24)+COUNTIF('4月'!X4:X34,$B24)+COUNTIF('4月'!Y4:Y34,$B24)+COUNTIF('4月'!AC4:AC34,$B24)+COUNTIF('4月'!AD4:AD34,$B24)+COUNTIF('4月'!AH4:AH34,$B24)+COUNTIF('4月'!AI4:AI34,$B24)+COUNTIF('4月'!AM4:AM34,$B24)+COUNTIF('4月'!AN4:AN34,$B24)+COUNTIF('4月'!AR4:AR34,$B24)+COUNTIF('4月'!AS4:AS34,$B24)+COUNTIF('4月'!AW4:AW34,$B24)+COUNTIF('4月'!AX4:AX34,$B24)+COUNTIF('4月'!BB4:BB34,$B24)+COUNTIF('4月'!BC4:BC34,$B24)+COUNTIF('4月'!BG4:BG34,$B24)+COUNTIF('4月'!BH4:BH34,$B24)+COUNTIF('4月'!BL4:BL34,$B24)+COUNTIF('4月'!BM4:BM34,$B24)+COUNTIF('4月'!BQ4:BQ34,$B24)+COUNTIF('4月'!BR4:BR34,$B24)+COUNTIF('4月'!BV4:BV34,$B24)+COUNTIF('4月'!BW4:BW34,$B24)+COUNTIF('4月'!CA4:CA34,$B24)+COUNTIF('4月'!CB4:CB34,$B24)+COUNTIF('4月'!CF4:CF34,$B24)+COUNTIF('4月'!CG4:CG34,$B24)+COUNTIF('4月'!CK4:CK34,$B24)+COUNTIF('4月'!CL4:CL34,$B24)+COUNTIF('4月'!CP4:CP34,$B24)+COUNTIF('4月'!CQ4:CQ34,$B24)+COUNTIF('4月'!CU4:CU34,$B24)+COUNTIF('4月'!CV4:CV34,$B24)+COUNTIF('4月'!CZ4:CZ34,$B24)+COUNTIF('4月'!DA4:DA34,$B24)+COUNTIF('4月'!DE4:DE34,$B24)+COUNTIF('4月'!DF4:DF34,$B24)+COUNTIF('4月'!DJ4:DJ34,$B24)+COUNTIF('4月'!DK4:DK34,$B24)+COUNTIF('4月'!DO4:DO34,$B24)+COUNTIF('4月'!DP4:DP34,$B24)+COUNTIF('4月'!DT4:DT34,$B24)+COUNTIF('4月'!DU4:DU34,$B24)+COUNTIF('4月'!DY4:DY34,$B24)+COUNTIF('4月'!DZ4:DZ34,$B24)+COUNTIF('4月'!ED4:ED34,$B24)+COUNTIF('4月'!EE4:EE34,$B24)+COUNTIF('4月'!EI4:EI34,$B24)+COUNTIF('4月'!EJ4:EJ34,$B24)+COUNTIF('4月'!EN4:EN34,$B24)+COUNTIF('4月'!EO4:EO34,$B24)+COUNTIF('4月'!ES4:ES34,$B24)+COUNTIF('4月'!ET4:ET34,$B24)),0)</f>
        <v>0</v>
      </c>
      <c r="G24" s="76">
        <f>IFERROR(IF($B24="","",COUNTIF('5月'!D4:D34,$B24)+COUNTIF('5月'!E4:E34,$B24)+COUNTIF('5月'!I4:I34,$B24)+COUNTIF('5月'!J4:J34,$B24)+COUNTIF('5月'!N4:N34,$B24)+COUNTIF('5月'!O4:O34,$B24)+COUNTIF('5月'!S4:S34,$B24)+COUNTIF('5月'!T4:T34,$B24)+COUNTIF('5月'!X4:X34,$B24)+COUNTIF('5月'!Y4:Y34,$B24)+COUNTIF('5月'!AC4:AC34,$B24)+COUNTIF('5月'!AD4:AD34,$B24)+COUNTIF('5月'!AH4:AH34,$B24)+COUNTIF('5月'!AI4:AI34,$B24)+COUNTIF('5月'!AM4:AM34,$B24)+COUNTIF('5月'!AN4:AN34,$B24)+COUNTIF('5月'!AR4:AR34,$B24)+COUNTIF('5月'!AS4:AS34,$B24)+COUNTIF('5月'!AW4:AW34,$B24)+COUNTIF('5月'!AX4:AX34,$B24)+COUNTIF('5月'!BB4:BB34,$B24)+COUNTIF('5月'!BC4:BC34,$B24)+COUNTIF('5月'!BG4:BG34,$B24)+COUNTIF('5月'!BH4:BH34,$B24)+COUNTIF('5月'!BL4:BL34,$B24)+COUNTIF('5月'!BM4:BM34,$B24)+COUNTIF('5月'!BQ4:BQ34,$B24)+COUNTIF('5月'!BR4:BR34,$B24)+COUNTIF('5月'!BV4:BV34,$B24)+COUNTIF('5月'!BW4:BW34,$B24)+COUNTIF('5月'!CA4:CA34,$B24)+COUNTIF('5月'!CB4:CB34,$B24)+COUNTIF('5月'!CF4:CF34,$B24)+COUNTIF('5月'!CG4:CG34,$B24)+COUNTIF('5月'!CK4:CK34,$B24)+COUNTIF('5月'!CL4:CL34,$B24)+COUNTIF('5月'!CP4:CP34,$B24)+COUNTIF('5月'!CQ4:CQ34,$B24)+COUNTIF('5月'!CU4:CU34,$B24)+COUNTIF('5月'!CV4:CV34,$B24)+COUNTIF('5月'!CZ4:CZ34,$B24)+COUNTIF('5月'!DA4:DA34,$B24)+COUNTIF('5月'!DE4:DE34,$B24)+COUNTIF('5月'!DF4:DF34,$B24)+COUNTIF('5月'!DJ4:DJ34,$B24)+COUNTIF('5月'!DK4:DK34,$B24)+COUNTIF('5月'!DO4:DO34,$B24)+COUNTIF('5月'!DP4:DP34,$B24)+COUNTIF('5月'!DT4:DT34,$B24)+COUNTIF('5月'!DU4:DU34,$B24)+COUNTIF('5月'!DY4:DY34,$B24)+COUNTIF('5月'!DZ4:DZ34,$B24)+COUNTIF('5月'!ED4:ED34,$B24)+COUNTIF('5月'!EE4:EE34,$B24)+COUNTIF('5月'!EI4:EI34,$B24)+COUNTIF('5月'!EJ4:EJ34,$B24)+COUNTIF('5月'!EN4:EN34,$B24)+COUNTIF('5月'!EO4:EO34,$B24)+COUNTIF('5月'!ES4:ES34,$B24)+COUNTIF('5月'!ET4:ET34,$B24)),0)</f>
        <v>0</v>
      </c>
      <c r="H24" s="76">
        <f>IFERROR(IF($B24="","",COUNTIF('6月'!D4:D34,$B24)+COUNTIF('6月'!E4:E34,$B24)+COUNTIF('6月'!I4:I34,$B24)+COUNTIF('6月'!J4:J34,$B24)+COUNTIF('6月'!N4:N34,$B24)+COUNTIF('6月'!O4:O34,$B24)+COUNTIF('6月'!S4:S34,$B24)+COUNTIF('6月'!T4:T34,$B24)+COUNTIF('6月'!X4:X34,$B24)+COUNTIF('6月'!Y4:Y34,$B24)+COUNTIF('6月'!AC4:AC34,$B24)+COUNTIF('6月'!AD4:AD34,$B24)+COUNTIF('6月'!AH4:AH34,$B24)+COUNTIF('6月'!AI4:AI34,$B24)+COUNTIF('6月'!AM4:AM34,$B24)+COUNTIF('6月'!AN4:AN34,$B24)+COUNTIF('6月'!AR4:AR34,$B24)+COUNTIF('6月'!AS4:AS34,$B24)+COUNTIF('6月'!AW4:AW34,$B24)+COUNTIF('6月'!AX4:AX34,$B24)+COUNTIF('6月'!BB4:BB34,$B24)+COUNTIF('6月'!BC4:BC34,$B24)+COUNTIF('6月'!BG4:BG34,$B24)+COUNTIF('6月'!BH4:BH34,$B24)+COUNTIF('6月'!BL4:BL34,$B24)+COUNTIF('6月'!BM4:BM34,$B24)+COUNTIF('6月'!BQ4:BQ34,$B24)+COUNTIF('6月'!BR4:BR34,$B24)+COUNTIF('6月'!BV4:BV34,$B24)+COUNTIF('6月'!BW4:BW34,$B24)+COUNTIF('6月'!CA4:CA34,$B24)+COUNTIF('6月'!CB4:CB34,$B24)+COUNTIF('6月'!CF4:CF34,$B24)+COUNTIF('6月'!CG4:CG34,$B24)+COUNTIF('6月'!CK4:CK34,$B24)+COUNTIF('6月'!CL4:CL34,$B24)+COUNTIF('6月'!CP4:CP34,$B24)+COUNTIF('6月'!CQ4:CQ34,$B24)+COUNTIF('6月'!CU4:CU34,$B24)+COUNTIF('6月'!CV4:CV34,$B24)+COUNTIF('6月'!CZ4:CZ34,$B24)+COUNTIF('6月'!DA4:DA34,$B24)+COUNTIF('6月'!DE4:DE34,$B24)+COUNTIF('6月'!DF4:DF34,$B24)+COUNTIF('6月'!DJ4:DJ34,$B24)+COUNTIF('6月'!DK4:DK34,$B24)+COUNTIF('6月'!DO4:DO34,$B24)+COUNTIF('6月'!DP4:DP34,$B24)+COUNTIF('6月'!DT4:DT34,$B24)+COUNTIF('6月'!DU4:DU34,$B24)+COUNTIF('6月'!DY4:DY34,$B24)+COUNTIF('6月'!DZ4:DZ34,$B24)+COUNTIF('6月'!ED4:ED34,$B24)+COUNTIF('6月'!EE4:EE34,$B24)+COUNTIF('6月'!EI4:EI34,$B24)+COUNTIF('6月'!EJ4:EJ34,$B24)+COUNTIF('6月'!EN4:EN34,$B24)+COUNTIF('6月'!EO4:EO34,$B24)+COUNTIF('6月'!ES4:ES34,$B24)+COUNTIF('6月'!ET4:ET34,$B24)),0)</f>
        <v>0</v>
      </c>
      <c r="I24" s="76">
        <f>IFERROR(IF($B24="","",COUNTIF('7月'!D4:D34,$B24)+COUNTIF('7月'!E4:E34,$B24)+COUNTIF('7月'!I4:I34,$B24)+COUNTIF('7月'!J4:J34,$B24)+COUNTIF('7月'!N4:N34,$B24)+COUNTIF('7月'!O4:O34,$B24)+COUNTIF('7月'!S4:S34,$B24)+COUNTIF('7月'!T4:T34,$B24)+COUNTIF('7月'!X4:X34,$B24)+COUNTIF('7月'!Y4:Y34,$B24)+COUNTIF('7月'!AC4:AC34,$B24)+COUNTIF('7月'!AD4:AD34,$B24)+COUNTIF('7月'!AH4:AH34,$B24)+COUNTIF('7月'!AI4:AI34,$B24)+COUNTIF('7月'!AM4:AM34,$B24)+COUNTIF('7月'!AN4:AN34,$B24)+COUNTIF('7月'!AR4:AR34,$B24)+COUNTIF('7月'!AS4:AS34,$B24)+COUNTIF('7月'!AW4:AW34,$B24)+COUNTIF('7月'!AX4:AX34,$B24)+COUNTIF('7月'!BB4:BB34,$B24)+COUNTIF('7月'!BC4:BC34,$B24)+COUNTIF('7月'!BG4:BG34,$B24)+COUNTIF('7月'!BH4:BH34,$B24)+COUNTIF('7月'!BL4:BL34,$B24)+COUNTIF('7月'!BM4:BM34,$B24)+COUNTIF('7月'!BQ4:BQ34,$B24)+COUNTIF('7月'!BR4:BR34,$B24)+COUNTIF('7月'!BV4:BV34,$B24)+COUNTIF('7月'!BW4:BW34,$B24)+COUNTIF('7月'!CA4:CA34,$B24)+COUNTIF('7月'!CB4:CB34,$B24)+COUNTIF('7月'!CF4:CF34,$B24)+COUNTIF('7月'!CG4:CG34,$B24)+COUNTIF('7月'!CK4:CK34,$B24)+COUNTIF('7月'!CL4:CL34,$B24)+COUNTIF('7月'!CP4:CP34,$B24)+COUNTIF('7月'!CQ4:CQ34,$B24)+COUNTIF('7月'!CU4:CU34,$B24)+COUNTIF('7月'!CV4:CV34,$B24)+COUNTIF('7月'!CZ4:CZ34,$B24)+COUNTIF('7月'!DA4:DA34,$B24)+COUNTIF('7月'!DE4:DE34,$B24)+COUNTIF('7月'!DF4:DF34,$B24)+COUNTIF('7月'!DJ4:DJ34,$B24)+COUNTIF('7月'!DK4:DK34,$B24)+COUNTIF('7月'!DO4:DO34,$B24)+COUNTIF('7月'!DP4:DP34,$B24)+COUNTIF('7月'!DT4:DT34,$B24)+COUNTIF('7月'!DU4:DU34,$B24)+COUNTIF('7月'!DY4:DY34,$B24)+COUNTIF('7月'!DZ4:DZ34,$B24)+COUNTIF('7月'!ED4:ED34,$B24)+COUNTIF('7月'!EE4:EE34,$B24)+COUNTIF('7月'!EI4:EI34,$B24)+COUNTIF('7月'!EJ4:EJ34,$B24)+COUNTIF('7月'!EN4:EN34,$B24)+COUNTIF('7月'!EO4:EO34,$B24)+COUNTIF('7月'!ES4:ES34,$B24)+COUNTIF('7月'!ET4:ET34,$B24)),0)</f>
        <v>0</v>
      </c>
      <c r="J24" s="76">
        <f>IFERROR(IF($B24="","",COUNTIF('8月'!D4:D34,$B24)+COUNTIF('8月'!E4:E34,$B24)+COUNTIF('8月'!I4:I34,$B24)+COUNTIF('8月'!J4:J34,$B24)+COUNTIF('8月'!N4:N34,$B24)+COUNTIF('8月'!O4:O34,$B24)+COUNTIF('8月'!S4:S34,$B24)+COUNTIF('8月'!T4:T34,$B24)+COUNTIF('8月'!X4:X34,$B24)+COUNTIF('8月'!Y4:Y34,$B24)+COUNTIF('8月'!AC4:AC34,$B24)+COUNTIF('8月'!AD4:AD34,$B24)+COUNTIF('8月'!AH4:AH34,$B24)+COUNTIF('8月'!AI4:AI34,$B24)+COUNTIF('8月'!AM4:AM34,$B24)+COUNTIF('8月'!AN4:AN34,$B24)+COUNTIF('8月'!AR4:AR34,$B24)+COUNTIF('8月'!AS4:AS34,$B24)+COUNTIF('8月'!AW4:AW34,$B24)+COUNTIF('8月'!AX4:AX34,$B24)+COUNTIF('8月'!BB4:BB34,$B24)+COUNTIF('8月'!BC4:BC34,$B24)+COUNTIF('8月'!BG4:BG34,$B24)+COUNTIF('8月'!BH4:BH34,$B24)+COUNTIF('8月'!BL4:BL34,$B24)+COUNTIF('8月'!BM4:BM34,$B24)+COUNTIF('8月'!BQ4:BQ34,$B24)+COUNTIF('8月'!BR4:BR34,$B24)+COUNTIF('8月'!BV4:BV34,$B24)+COUNTIF('8月'!BW4:BW34,$B24)+COUNTIF('8月'!CA4:CA34,$B24)+COUNTIF('8月'!CB4:CB34,$B24)+COUNTIF('8月'!CF4:CF34,$B24)+COUNTIF('8月'!CG4:CG34,$B24)+COUNTIF('8月'!CK4:CK34,$B24)+COUNTIF('8月'!CL4:CL34,$B24)+COUNTIF('8月'!CP4:CP34,$B24)+COUNTIF('8月'!CQ4:CQ34,$B24)+COUNTIF('8月'!CU4:CU34,$B24)+COUNTIF('8月'!CV4:CV34,$B24)+COUNTIF('8月'!CZ4:CZ34,$B24)+COUNTIF('8月'!DA4:DA34,$B24)+COUNTIF('8月'!DE4:DE34,$B24)+COUNTIF('8月'!DF4:DF34,$B24)+COUNTIF('8月'!DJ4:DJ34,$B24)+COUNTIF('8月'!DK4:DK34,$B24)+COUNTIF('8月'!DO4:DO34,$B24)+COUNTIF('8月'!DP4:DP34,$B24)+COUNTIF('8月'!DT4:DT34,$B24)+COUNTIF('8月'!DU4:DU34,$B24)+COUNTIF('8月'!DY4:DY34,$B24)+COUNTIF('8月'!DZ4:DZ34,$B24)+COUNTIF('8月'!ED4:ED34,$B24)+COUNTIF('8月'!EE4:EE34,$B24)+COUNTIF('8月'!EI4:EI34,$B24)+COUNTIF('8月'!EJ4:EJ34,$B24)+COUNTIF('8月'!EN4:EN34,$B24)+COUNTIF('8月'!EO4:EO34,$B24)+COUNTIF('8月'!ES4:ES34,$B24)+COUNTIF('8月'!ET4:ET34,$B24)),0)</f>
        <v>0</v>
      </c>
      <c r="K24" s="76">
        <f>IFERROR(IF($B24="","",COUNTIF('9月'!D4:D34,$B24)+COUNTIF('9月'!E4:E34,$B24)+COUNTIF('9月'!I4:I34,$B24)+COUNTIF('9月'!J4:J34,$B24)+COUNTIF('9月'!N4:N34,$B24)+COUNTIF('9月'!O4:O34,$B24)+COUNTIF('9月'!S4:S34,$B24)+COUNTIF('9月'!T4:T34,$B24)+COUNTIF('9月'!X4:X34,$B24)+COUNTIF('9月'!Y4:Y34,$B24)+COUNTIF('9月'!AC4:AC34,$B24)+COUNTIF('9月'!AD4:AD34,$B24)+COUNTIF('9月'!AH4:AH34,$B24)+COUNTIF('9月'!AI4:AI34,$B24)+COUNTIF('9月'!AM4:AM34,$B24)+COUNTIF('9月'!AN4:AN34,$B24)+COUNTIF('9月'!AR4:AR34,$B24)+COUNTIF('9月'!AS4:AS34,$B24)+COUNTIF('9月'!AW4:AW34,$B24)+COUNTIF('9月'!AX4:AX34,$B24)+COUNTIF('9月'!BB4:BB34,$B24)+COUNTIF('9月'!BC4:BC34,$B24)+COUNTIF('9月'!BG4:BG34,$B24)+COUNTIF('9月'!BH4:BH34,$B24)+COUNTIF('9月'!BL4:BL34,$B24)+COUNTIF('9月'!BM4:BM34,$B24)+COUNTIF('9月'!BQ4:BQ34,$B24)+COUNTIF('9月'!BR4:BR34,$B24)+COUNTIF('9月'!BV4:BV34,$B24)+COUNTIF('9月'!BW4:BW34,$B24)+COUNTIF('9月'!CA4:CA34,$B24)+COUNTIF('9月'!CB4:CB34,$B24)+COUNTIF('9月'!CF4:CF34,$B24)+COUNTIF('9月'!CG4:CG34,$B24)+COUNTIF('9月'!CK4:CK34,$B24)+COUNTIF('9月'!CL4:CL34,$B24)+COUNTIF('9月'!CP4:CP34,$B24)+COUNTIF('9月'!CQ4:CQ34,$B24)+COUNTIF('9月'!CU4:CU34,$B24)+COUNTIF('9月'!CV4:CV34,$B24)+COUNTIF('9月'!CZ4:CZ34,$B24)+COUNTIF('9月'!DA4:DA34,$B24)+COUNTIF('9月'!DE4:DE34,$B24)+COUNTIF('9月'!DF4:DF34,$B24)+COUNTIF('9月'!DJ4:DJ34,$B24)+COUNTIF('9月'!DK4:DK34,$B24)+COUNTIF('9月'!DO4:DO34,$B24)+COUNTIF('9月'!DP4:DP34,$B24)+COUNTIF('9月'!DT4:DT34,$B24)+COUNTIF('9月'!DU4:DU34,$B24)+COUNTIF('9月'!DY4:DY34,$B24)+COUNTIF('9月'!DZ4:DZ34,$B24)+COUNTIF('9月'!ED4:ED34,$B24)+COUNTIF('9月'!EE4:EE34,$B24)+COUNTIF('9月'!EI4:EI34,$B24)+COUNTIF('9月'!EJ4:EJ34,$B24)+COUNTIF('9月'!EN4:EN34,$B24)+COUNTIF('9月'!EO4:EO34,$B24)+COUNTIF('9月'!ES4:ES34,$B24)+COUNTIF('9月'!ET4:ET34,$B24)),0)</f>
        <v>0</v>
      </c>
      <c r="L24" s="76">
        <f>IFERROR(IF($B24="","",COUNTIF('10月'!D4:D34,$B24)+COUNTIF('10月'!E4:E34,$B24)+COUNTIF('10月'!I4:I34,$B24)+COUNTIF('10月'!J4:J34,$B24)+COUNTIF('10月'!N4:N34,$B24)+COUNTIF('10月'!O4:O34,$B24)+COUNTIF('10月'!S4:S34,$B24)+COUNTIF('10月'!T4:T34,$B24)+COUNTIF('10月'!X4:X34,$B24)+COUNTIF('10月'!Y4:Y34,$B24)+COUNTIF('10月'!AC4:AC34,$B24)+COUNTIF('10月'!AD4:AD34,$B24)+COUNTIF('10月'!AH4:AH34,$B24)+COUNTIF('10月'!AI4:AI34,$B24)+COUNTIF('10月'!AM4:AM34,$B24)+COUNTIF('10月'!AN4:AN34,$B24)+COUNTIF('10月'!AR4:AR34,$B24)+COUNTIF('10月'!AS4:AS34,$B24)+COUNTIF('10月'!AW4:AW34,$B24)+COUNTIF('10月'!AX4:AX34,$B24)+COUNTIF('10月'!BB4:BB34,$B24)+COUNTIF('10月'!BC4:BC34,$B24)+COUNTIF('10月'!BG4:BG34,$B24)+COUNTIF('10月'!BH4:BH34,$B24)+COUNTIF('10月'!BL4:BL34,$B24)+COUNTIF('10月'!BM4:BM34,$B24)+COUNTIF('10月'!BQ4:BQ34,$B24)+COUNTIF('10月'!BR4:BR34,$B24)+COUNTIF('10月'!BV4:BV34,$B24)+COUNTIF('10月'!BW4:BW34,$B24)+COUNTIF('10月'!CA4:CA34,$B24)+COUNTIF('10月'!CB4:CB34,$B24)+COUNTIF('10月'!CF4:CF34,$B24)+COUNTIF('10月'!CG4:CG34,$B24)+COUNTIF('10月'!CK4:CK34,$B24)+COUNTIF('10月'!CL4:CL34,$B24)+COUNTIF('10月'!CP4:CP34,$B24)+COUNTIF('10月'!CQ4:CQ34,$B24)+COUNTIF('10月'!CU4:CU34,$B24)+COUNTIF('10月'!CV4:CV34,$B24)+COUNTIF('10月'!CZ4:CZ34,$B24)+COUNTIF('10月'!DA4:DA34,$B24)+COUNTIF('10月'!DE4:DE34,$B24)+COUNTIF('10月'!DF4:DF34,$B24)+COUNTIF('10月'!DJ4:DJ34,$B24)+COUNTIF('10月'!DK4:DK34,$B24)+COUNTIF('10月'!DO4:DO34,$B24)+COUNTIF('10月'!DP4:DP34,$B24)+COUNTIF('10月'!DT4:DT34,$B24)+COUNTIF('10月'!DU4:DU34,$B24)+COUNTIF('10月'!DY4:DY34,$B24)+COUNTIF('10月'!DZ4:DZ34,$B24)+COUNTIF('10月'!ED4:ED34,$B24)+COUNTIF('10月'!EE4:EE34,$B24)+COUNTIF('10月'!EI4:EI34,$B24)+COUNTIF('10月'!EJ4:EJ34,$B24)+COUNTIF('10月'!EN4:EN34,$B24)+COUNTIF('10月'!EO4:EO34,$B24)+COUNTIF('10月'!ES4:ES34,$B24)+COUNTIF('10月'!ET4:ET34,$B24)),0)</f>
        <v>0</v>
      </c>
      <c r="M24" s="76">
        <f>IFERROR(IF($B24="","",COUNTIF('11月'!D4:D34,$B24)+COUNTIF('11月'!E4:E34,$B24)+COUNTIF('11月'!I4:I34,$B24)+COUNTIF('11月'!J4:J34,$B24)+COUNTIF('11月'!N4:N34,$B24)+COUNTIF('11月'!O4:O34,$B24)+COUNTIF('11月'!S4:S34,$B24)+COUNTIF('11月'!T4:T34,$B24)+COUNTIF('11月'!X4:X34,$B24)+COUNTIF('11月'!Y4:Y34,$B24)+COUNTIF('11月'!AC4:AC34,$B24)+COUNTIF('11月'!AD4:AD34,$B24)+COUNTIF('11月'!AH4:AH34,$B24)+COUNTIF('11月'!AI4:AI34,$B24)+COUNTIF('11月'!AM4:AM34,$B24)+COUNTIF('11月'!AN4:AN34,$B24)+COUNTIF('11月'!AR4:AR34,$B24)+COUNTIF('11月'!AS4:AS34,$B24)+COUNTIF('11月'!AW4:AW34,$B24)+COUNTIF('11月'!AX4:AX34,$B24)+COUNTIF('11月'!BB4:BB34,$B24)+COUNTIF('11月'!BC4:BC34,$B24)+COUNTIF('11月'!BG4:BG34,$B24)+COUNTIF('11月'!BH4:BH34,$B24)+COUNTIF('11月'!BL4:BL34,$B24)+COUNTIF('11月'!BM4:BM34,$B24)+COUNTIF('11月'!BQ4:BQ34,$B24)+COUNTIF('11月'!BR4:BR34,$B24)+COUNTIF('11月'!BV4:BV34,$B24)+COUNTIF('11月'!BW4:BW34,$B24)+COUNTIF('11月'!CA4:CA34,$B24)+COUNTIF('11月'!CB4:CB34,$B24)+COUNTIF('11月'!CF4:CF34,$B24)+COUNTIF('11月'!CG4:CG34,$B24)+COUNTIF('11月'!CK4:CK34,$B24)+COUNTIF('11月'!CL4:CL34,$B24)+COUNTIF('11月'!CP4:CP34,$B24)+COUNTIF('11月'!CQ4:CQ34,$B24)+COUNTIF('11月'!CU4:CU34,$B24)+COUNTIF('11月'!CV4:CV34,$B24)+COUNTIF('11月'!CZ4:CZ34,$B24)+COUNTIF('11月'!DA4:DA34,$B24)+COUNTIF('11月'!DE4:DE34,$B24)+COUNTIF('11月'!DF4:DF34,$B24)+COUNTIF('11月'!DJ4:DJ34,$B24)+COUNTIF('11月'!DK4:DK34,$B24)+COUNTIF('11月'!DO4:DO34,$B24)+COUNTIF('11月'!DP4:DP34,$B24)+COUNTIF('11月'!DT4:DT34,$B24)+COUNTIF('11月'!DU4:DU34,$B24)+COUNTIF('11月'!DY4:DY34,$B24)+COUNTIF('11月'!DZ4:DZ34,$B24)+COUNTIF('11月'!ED4:ED34,$B24)+COUNTIF('11月'!EE4:EE34,$B24)+COUNTIF('11月'!EI4:EI34,$B24)+COUNTIF('11月'!EJ4:EJ34,$B24)+COUNTIF('11月'!EN4:EN34,$B24)+COUNTIF('11月'!EO4:EO34,$B24)+COUNTIF('11月'!ES4:ES34,$B24)+COUNTIF('11月'!ET4:ET34,$B24)),0)</f>
        <v>0</v>
      </c>
      <c r="N24" s="76">
        <f>IFERROR(IF($B24="","",COUNTIF('12月'!D4:D34,$B24)+COUNTIF('12月'!E4:E34,$B24)+COUNTIF('12月'!I4:I34,$B24)+COUNTIF('12月'!J4:J34,$B24)+COUNTIF('12月'!N4:N34,$B24)+COUNTIF('12月'!O4:O34,$B24)+COUNTIF('12月'!S4:S34,$B24)+COUNTIF('12月'!T4:T34,$B24)+COUNTIF('12月'!X4:X34,$B24)+COUNTIF('12月'!Y4:Y34,$B24)+COUNTIF('12月'!AC4:AC34,$B24)+COUNTIF('12月'!AD4:AD34,$B24)+COUNTIF('12月'!AH4:AH34,$B24)+COUNTIF('12月'!AI4:AI34,$B24)+COUNTIF('12月'!AM4:AM34,$B24)+COUNTIF('12月'!AN4:AN34,$B24)+COUNTIF('12月'!AR4:AR34,$B24)+COUNTIF('12月'!AS4:AS34,$B24)+COUNTIF('12月'!AW4:AW34,$B24)+COUNTIF('12月'!AX4:AX34,$B24)+COUNTIF('12月'!BB4:BB34,$B24)+COUNTIF('12月'!BC4:BC34,$B24)+COUNTIF('12月'!BG4:BG34,$B24)+COUNTIF('12月'!BH4:BH34,$B24)+COUNTIF('12月'!BL4:BL34,$B24)+COUNTIF('12月'!BM4:BM34,$B24)+COUNTIF('12月'!BQ4:BQ34,$B24)+COUNTIF('12月'!BR4:BR34,$B24)+COUNTIF('12月'!BV4:BV34,$B24)+COUNTIF('12月'!BW4:BW34,$B24)+COUNTIF('12月'!CA4:CA34,$B24)+COUNTIF('12月'!CB4:CB34,$B24)+COUNTIF('12月'!CF4:CF34,$B24)+COUNTIF('12月'!CG4:CG34,$B24)+COUNTIF('12月'!CK4:CK34,$B24)+COUNTIF('12月'!CL4:CL34,$B24)+COUNTIF('12月'!CP4:CP34,$B24)+COUNTIF('12月'!CQ4:CQ34,$B24)+COUNTIF('12月'!CU4:CU34,$B24)+COUNTIF('12月'!CV4:CV34,$B24)+COUNTIF('12月'!CZ4:CZ34,$B24)+COUNTIF('12月'!DA4:DA34,$B24)+COUNTIF('12月'!DE4:DE34,$B24)+COUNTIF('12月'!DF4:DF34,$B24)+COUNTIF('12月'!DJ4:DJ34,$B24)+COUNTIF('12月'!DK4:DK34,$B24)+COUNTIF('12月'!DO4:DO34,$B24)+COUNTIF('12月'!DP4:DP34,$B24)+COUNTIF('12月'!DT4:DT34,$B24)+COUNTIF('12月'!DU4:DU34,$B24)+COUNTIF('12月'!DY4:DY34,$B24)+COUNTIF('12月'!DZ4:DZ34,$B24)+COUNTIF('12月'!ED4:ED34,$B24)+COUNTIF('12月'!EE4:EE34,$B24)+COUNTIF('12月'!EI4:EI34,$B24)+COUNTIF('12月'!EJ4:EJ34,$B24)+COUNTIF('12月'!EN4:EN34,$B24)+COUNTIF('12月'!EO4:EO34,$B24)+COUNTIF('12月'!ES4:ES34,$B24)+COUNTIF('12月'!ET4:ET34,$B24)),0)</f>
        <v>0</v>
      </c>
      <c r="O24" s="78">
        <f t="shared" si="0"/>
        <v>0</v>
      </c>
    </row>
    <row r="25" spans="1:15" ht="19.5" customHeight="1">
      <c r="A25" s="76">
        <v>23</v>
      </c>
      <c r="B25" s="77">
        <f>IFERROR(現場マスタ!$C$26,"")</f>
        <v>0</v>
      </c>
      <c r="C25" s="76">
        <f>IFERROR(IF($B25="","",COUNTIF('1月'!D4:D34,$B25)+COUNTIF('1月'!E4:E34,$B25)+COUNTIF('1月'!I4:I34,$B25)+COUNTIF('1月'!J4:J34,$B25)+COUNTIF('1月'!N4:N34,$B25)+COUNTIF('1月'!O4:O34,$B25)+COUNTIF('1月'!S4:S34,$B25)+COUNTIF('1月'!T4:T34,$B25)+COUNTIF('1月'!X4:X34,$B25)+COUNTIF('1月'!Y4:Y34,$B25)+COUNTIF('1月'!AC4:AC34,$B25)+COUNTIF('1月'!AD4:AD34,$B25)+COUNTIF('1月'!AH4:AH34,$B25)+COUNTIF('1月'!AI4:AI34,$B25)+COUNTIF('1月'!AM4:AM34,$B25)+COUNTIF('1月'!AN4:AN34,$B25)+COUNTIF('1月'!AR4:AR34,$B25)+COUNTIF('1月'!AS4:AS34,$B25)+COUNTIF('1月'!AW4:AW34,$B25)+COUNTIF('1月'!AX4:AX34,$B25)+COUNTIF('1月'!BB4:BB34,$B25)+COUNTIF('1月'!BC4:BC34,$B25)+COUNTIF('1月'!BG4:BG34,$B25)+COUNTIF('1月'!BH4:BH34,$B25)+COUNTIF('1月'!BL4:BL34,$B25)+COUNTIF('1月'!BM4:BM34,$B25)+COUNTIF('1月'!BQ4:BQ34,$B25)+COUNTIF('1月'!BR4:BR34,$B25)+COUNTIF('1月'!BV4:BV34,$B25)+COUNTIF('1月'!BW4:BW34,$B25)+COUNTIF('1月'!CA4:CA34,$B25)+COUNTIF('1月'!CB4:CB34,$B25)+COUNTIF('1月'!CF4:CF34,$B25)+COUNTIF('1月'!CG4:CG34,$B25)+COUNTIF('1月'!CK4:CK34,$B25)+COUNTIF('1月'!CL4:CL34,$B25)+COUNTIF('1月'!CP4:CP34,$B25)+COUNTIF('1月'!CQ4:CQ34,$B25)+COUNTIF('1月'!CU4:CU34,$B25)+COUNTIF('1月'!CV4:CV34,$B25)+COUNTIF('1月'!CZ4:CZ34,$B25)+COUNTIF('1月'!DA4:DA34,$B25)+COUNTIF('1月'!DE4:DE34,$B25)+COUNTIF('1月'!DF4:DF34,$B25)+COUNTIF('1月'!DJ4:DJ34,$B25)+COUNTIF('1月'!DK4:DK34,$B25)+COUNTIF('1月'!DO4:DO34,$B25)+COUNTIF('1月'!DP4:DP34,$B25)+COUNTIF('1月'!DT4:DT34,$B25)+COUNTIF('1月'!DU4:DU34,$B25)+COUNTIF('1月'!DY4:DY34,$B25)+COUNTIF('1月'!DZ4:DZ34,$B25)+COUNTIF('1月'!ED4:ED34,$B25)+COUNTIF('1月'!EE4:EE34,$B25)+COUNTIF('1月'!EI4:EI34,$B25)+COUNTIF('1月'!EJ4:EJ34,$B25)+COUNTIF('1月'!EN4:EN34,$B25)+COUNTIF('1月'!EO4:EO34,$B25)+COUNTIF('1月'!ES4:ES34,$B25)+COUNTIF('1月'!ET4:ET34,$B25)),0)</f>
        <v>0</v>
      </c>
      <c r="D25" s="76">
        <f>IFERROR(IF($B25="","",COUNTIF('2月'!D4:D34,$B25)+COUNTIF('2月'!E4:E34,$B25)+COUNTIF('2月'!I4:I34,$B25)+COUNTIF('2月'!J4:J34,$B25)+COUNTIF('2月'!N4:N34,$B25)+COUNTIF('2月'!O4:O34,$B25)+COUNTIF('2月'!S4:S34,$B25)+COUNTIF('2月'!T4:T34,$B25)+COUNTIF('2月'!X4:X34,$B25)+COUNTIF('2月'!Y4:Y34,$B25)+COUNTIF('2月'!AC4:AC34,$B25)+COUNTIF('2月'!AD4:AD34,$B25)+COUNTIF('2月'!AH4:AH34,$B25)+COUNTIF('2月'!AI4:AI34,$B25)+COUNTIF('2月'!AM4:AM34,$B25)+COUNTIF('2月'!AN4:AN34,$B25)+COUNTIF('2月'!AR4:AR34,$B25)+COUNTIF('2月'!AS4:AS34,$B25)+COUNTIF('2月'!AW4:AW34,$B25)+COUNTIF('2月'!AX4:AX34,$B25)+COUNTIF('2月'!BB4:BB34,$B25)+COUNTIF('2月'!BC4:BC34,$B25)+COUNTIF('2月'!BG4:BG34,$B25)+COUNTIF('2月'!BH4:BH34,$B25)+COUNTIF('2月'!BL4:BL34,$B25)+COUNTIF('2月'!BM4:BM34,$B25)+COUNTIF('2月'!BQ4:BQ34,$B25)+COUNTIF('2月'!BR4:BR34,$B25)+COUNTIF('2月'!BV4:BV34,$B25)+COUNTIF('2月'!BW4:BW34,$B25)+COUNTIF('2月'!CA4:CA34,$B25)+COUNTIF('2月'!CB4:CB34,$B25)+COUNTIF('2月'!CF4:CF34,$B25)+COUNTIF('2月'!CG4:CG34,$B25)+COUNTIF('2月'!CK4:CK34,$B25)+COUNTIF('2月'!CL4:CL34,$B25)+COUNTIF('2月'!CP4:CP34,$B25)+COUNTIF('2月'!CQ4:CQ34,$B25)+COUNTIF('2月'!CU4:CU34,$B25)+COUNTIF('2月'!CV4:CV34,$B25)+COUNTIF('2月'!CZ4:CZ34,$B25)+COUNTIF('2月'!DA4:DA34,$B25)+COUNTIF('2月'!DE4:DE34,$B25)+COUNTIF('2月'!DF4:DF34,$B25)+COUNTIF('2月'!DJ4:DJ34,$B25)+COUNTIF('2月'!DK4:DK34,$B25)+COUNTIF('2月'!DO4:DO34,$B25)+COUNTIF('2月'!DP4:DP34,$B25)+COUNTIF('2月'!DT4:DT34,$B25)+COUNTIF('2月'!DU4:DU34,$B25)+COUNTIF('2月'!DY4:DY34,$B25)+COUNTIF('2月'!DZ4:DZ34,$B25)+COUNTIF('2月'!ED4:ED34,$B25)+COUNTIF('2月'!EE4:EE34,$B25)+COUNTIF('2月'!EI4:EI34,$B25)+COUNTIF('2月'!EJ4:EJ34,$B25)+COUNTIF('2月'!EN4:EN34,$B25)+COUNTIF('2月'!EO4:EO34,$B25)+COUNTIF('2月'!ES4:ES34,$B25)+COUNTIF('2月'!ET4:ET34,$B25)),0)</f>
        <v>0</v>
      </c>
      <c r="E25" s="76">
        <f>IFERROR(IF($B25="","",COUNTIF('3月'!D4:D34,$B25)+COUNTIF('3月'!E4:E34,$B25)+COUNTIF('3月'!I4:I34,$B25)+COUNTIF('3月'!J4:J34,$B25)+COUNTIF('3月'!N4:N34,$B25)+COUNTIF('3月'!O4:O34,$B25)+COUNTIF('3月'!S4:S34,$B25)+COUNTIF('3月'!T4:T34,$B25)+COUNTIF('3月'!X4:X34,$B25)+COUNTIF('3月'!Y4:Y34,$B25)+COUNTIF('3月'!AC4:AC34,$B25)+COUNTIF('3月'!AD4:AD34,$B25)+COUNTIF('3月'!AH4:AH34,$B25)+COUNTIF('3月'!AI4:AI34,$B25)+COUNTIF('3月'!AM4:AM34,$B25)+COUNTIF('3月'!AN4:AN34,$B25)+COUNTIF('3月'!AR4:AR34,$B25)+COUNTIF('3月'!AS4:AS34,$B25)+COUNTIF('3月'!AW4:AW34,$B25)+COUNTIF('3月'!AX4:AX34,$B25)+COUNTIF('3月'!BB4:BB34,$B25)+COUNTIF('3月'!BC4:BC34,$B25)+COUNTIF('3月'!BG4:BG34,$B25)+COUNTIF('3月'!BH4:BH34,$B25)+COUNTIF('3月'!BL4:BL34,$B25)+COUNTIF('3月'!BM4:BM34,$B25)+COUNTIF('3月'!BQ4:BQ34,$B25)+COUNTIF('3月'!BR4:BR34,$B25)+COUNTIF('3月'!BV4:BV34,$B25)+COUNTIF('3月'!BW4:BW34,$B25)+COUNTIF('3月'!CA4:CA34,$B25)+COUNTIF('3月'!CB4:CB34,$B25)+COUNTIF('3月'!CF4:CF34,$B25)+COUNTIF('3月'!CG4:CG34,$B25)+COUNTIF('3月'!CK4:CK34,$B25)+COUNTIF('3月'!CL4:CL34,$B25)+COUNTIF('3月'!CP4:CP34,$B25)+COUNTIF('3月'!CQ4:CQ34,$B25)+COUNTIF('3月'!CU4:CU34,$B25)+COUNTIF('3月'!CV4:CV34,$B25)+COUNTIF('3月'!CZ4:CZ34,$B25)+COUNTIF('3月'!DA4:DA34,$B25)+COUNTIF('3月'!DE4:DE34,$B25)+COUNTIF('3月'!DF4:DF34,$B25)+COUNTIF('3月'!DJ4:DJ34,$B25)+COUNTIF('3月'!DK4:DK34,$B25)+COUNTIF('3月'!DO4:DO34,$B25)+COUNTIF('3月'!DP4:DP34,$B25)+COUNTIF('3月'!DT4:DT34,$B25)+COUNTIF('3月'!DU4:DU34,$B25)+COUNTIF('3月'!DY4:DY34,$B25)+COUNTIF('3月'!DZ4:DZ34,$B25)+COUNTIF('3月'!ED4:ED34,$B25)+COUNTIF('3月'!EE4:EE34,$B25)+COUNTIF('3月'!EI4:EI34,$B25)+COUNTIF('3月'!EJ4:EJ34,$B25)+COUNTIF('3月'!EN4:EN34,$B25)+COUNTIF('3月'!EO4:EO34,$B25)+COUNTIF('3月'!ES4:ES34,$B25)+COUNTIF('3月'!ET4:ET34,$B25)),0)</f>
        <v>0</v>
      </c>
      <c r="F25" s="76">
        <f>IFERROR(IF($B25="","",COUNTIF('4月'!D4:D34,$B25)+COUNTIF('4月'!E4:E34,$B25)+COUNTIF('4月'!I4:I34,$B25)+COUNTIF('4月'!J4:J34,$B25)+COUNTIF('4月'!N4:N34,$B25)+COUNTIF('4月'!O4:O34,$B25)+COUNTIF('4月'!S4:S34,$B25)+COUNTIF('4月'!T4:T34,$B25)+COUNTIF('4月'!X4:X34,$B25)+COUNTIF('4月'!Y4:Y34,$B25)+COUNTIF('4月'!AC4:AC34,$B25)+COUNTIF('4月'!AD4:AD34,$B25)+COUNTIF('4月'!AH4:AH34,$B25)+COUNTIF('4月'!AI4:AI34,$B25)+COUNTIF('4月'!AM4:AM34,$B25)+COUNTIF('4月'!AN4:AN34,$B25)+COUNTIF('4月'!AR4:AR34,$B25)+COUNTIF('4月'!AS4:AS34,$B25)+COUNTIF('4月'!AW4:AW34,$B25)+COUNTIF('4月'!AX4:AX34,$B25)+COUNTIF('4月'!BB4:BB34,$B25)+COUNTIF('4月'!BC4:BC34,$B25)+COUNTIF('4月'!BG4:BG34,$B25)+COUNTIF('4月'!BH4:BH34,$B25)+COUNTIF('4月'!BL4:BL34,$B25)+COUNTIF('4月'!BM4:BM34,$B25)+COUNTIF('4月'!BQ4:BQ34,$B25)+COUNTIF('4月'!BR4:BR34,$B25)+COUNTIF('4月'!BV4:BV34,$B25)+COUNTIF('4月'!BW4:BW34,$B25)+COUNTIF('4月'!CA4:CA34,$B25)+COUNTIF('4月'!CB4:CB34,$B25)+COUNTIF('4月'!CF4:CF34,$B25)+COUNTIF('4月'!CG4:CG34,$B25)+COUNTIF('4月'!CK4:CK34,$B25)+COUNTIF('4月'!CL4:CL34,$B25)+COUNTIF('4月'!CP4:CP34,$B25)+COUNTIF('4月'!CQ4:CQ34,$B25)+COUNTIF('4月'!CU4:CU34,$B25)+COUNTIF('4月'!CV4:CV34,$B25)+COUNTIF('4月'!CZ4:CZ34,$B25)+COUNTIF('4月'!DA4:DA34,$B25)+COUNTIF('4月'!DE4:DE34,$B25)+COUNTIF('4月'!DF4:DF34,$B25)+COUNTIF('4月'!DJ4:DJ34,$B25)+COUNTIF('4月'!DK4:DK34,$B25)+COUNTIF('4月'!DO4:DO34,$B25)+COUNTIF('4月'!DP4:DP34,$B25)+COUNTIF('4月'!DT4:DT34,$B25)+COUNTIF('4月'!DU4:DU34,$B25)+COUNTIF('4月'!DY4:DY34,$B25)+COUNTIF('4月'!DZ4:DZ34,$B25)+COUNTIF('4月'!ED4:ED34,$B25)+COUNTIF('4月'!EE4:EE34,$B25)+COUNTIF('4月'!EI4:EI34,$B25)+COUNTIF('4月'!EJ4:EJ34,$B25)+COUNTIF('4月'!EN4:EN34,$B25)+COUNTIF('4月'!EO4:EO34,$B25)+COUNTIF('4月'!ES4:ES34,$B25)+COUNTIF('4月'!ET4:ET34,$B25)),0)</f>
        <v>0</v>
      </c>
      <c r="G25" s="76">
        <f>IFERROR(IF($B25="","",COUNTIF('5月'!D4:D34,$B25)+COUNTIF('5月'!E4:E34,$B25)+COUNTIF('5月'!I4:I34,$B25)+COUNTIF('5月'!J4:J34,$B25)+COUNTIF('5月'!N4:N34,$B25)+COUNTIF('5月'!O4:O34,$B25)+COUNTIF('5月'!S4:S34,$B25)+COUNTIF('5月'!T4:T34,$B25)+COUNTIF('5月'!X4:X34,$B25)+COUNTIF('5月'!Y4:Y34,$B25)+COUNTIF('5月'!AC4:AC34,$B25)+COUNTIF('5月'!AD4:AD34,$B25)+COUNTIF('5月'!AH4:AH34,$B25)+COUNTIF('5月'!AI4:AI34,$B25)+COUNTIF('5月'!AM4:AM34,$B25)+COUNTIF('5月'!AN4:AN34,$B25)+COUNTIF('5月'!AR4:AR34,$B25)+COUNTIF('5月'!AS4:AS34,$B25)+COUNTIF('5月'!AW4:AW34,$B25)+COUNTIF('5月'!AX4:AX34,$B25)+COUNTIF('5月'!BB4:BB34,$B25)+COUNTIF('5月'!BC4:BC34,$B25)+COUNTIF('5月'!BG4:BG34,$B25)+COUNTIF('5月'!BH4:BH34,$B25)+COUNTIF('5月'!BL4:BL34,$B25)+COUNTIF('5月'!BM4:BM34,$B25)+COUNTIF('5月'!BQ4:BQ34,$B25)+COUNTIF('5月'!BR4:BR34,$B25)+COUNTIF('5月'!BV4:BV34,$B25)+COUNTIF('5月'!BW4:BW34,$B25)+COUNTIF('5月'!CA4:CA34,$B25)+COUNTIF('5月'!CB4:CB34,$B25)+COUNTIF('5月'!CF4:CF34,$B25)+COUNTIF('5月'!CG4:CG34,$B25)+COUNTIF('5月'!CK4:CK34,$B25)+COUNTIF('5月'!CL4:CL34,$B25)+COUNTIF('5月'!CP4:CP34,$B25)+COUNTIF('5月'!CQ4:CQ34,$B25)+COUNTIF('5月'!CU4:CU34,$B25)+COUNTIF('5月'!CV4:CV34,$B25)+COUNTIF('5月'!CZ4:CZ34,$B25)+COUNTIF('5月'!DA4:DA34,$B25)+COUNTIF('5月'!DE4:DE34,$B25)+COUNTIF('5月'!DF4:DF34,$B25)+COUNTIF('5月'!DJ4:DJ34,$B25)+COUNTIF('5月'!DK4:DK34,$B25)+COUNTIF('5月'!DO4:DO34,$B25)+COUNTIF('5月'!DP4:DP34,$B25)+COUNTIF('5月'!DT4:DT34,$B25)+COUNTIF('5月'!DU4:DU34,$B25)+COUNTIF('5月'!DY4:DY34,$B25)+COUNTIF('5月'!DZ4:DZ34,$B25)+COUNTIF('5月'!ED4:ED34,$B25)+COUNTIF('5月'!EE4:EE34,$B25)+COUNTIF('5月'!EI4:EI34,$B25)+COUNTIF('5月'!EJ4:EJ34,$B25)+COUNTIF('5月'!EN4:EN34,$B25)+COUNTIF('5月'!EO4:EO34,$B25)+COUNTIF('5月'!ES4:ES34,$B25)+COUNTIF('5月'!ET4:ET34,$B25)),0)</f>
        <v>0</v>
      </c>
      <c r="H25" s="76">
        <f>IFERROR(IF($B25="","",COUNTIF('6月'!D4:D34,$B25)+COUNTIF('6月'!E4:E34,$B25)+COUNTIF('6月'!I4:I34,$B25)+COUNTIF('6月'!J4:J34,$B25)+COUNTIF('6月'!N4:N34,$B25)+COUNTIF('6月'!O4:O34,$B25)+COUNTIF('6月'!S4:S34,$B25)+COUNTIF('6月'!T4:T34,$B25)+COUNTIF('6月'!X4:X34,$B25)+COUNTIF('6月'!Y4:Y34,$B25)+COUNTIF('6月'!AC4:AC34,$B25)+COUNTIF('6月'!AD4:AD34,$B25)+COUNTIF('6月'!AH4:AH34,$B25)+COUNTIF('6月'!AI4:AI34,$B25)+COUNTIF('6月'!AM4:AM34,$B25)+COUNTIF('6月'!AN4:AN34,$B25)+COUNTIF('6月'!AR4:AR34,$B25)+COUNTIF('6月'!AS4:AS34,$B25)+COUNTIF('6月'!AW4:AW34,$B25)+COUNTIF('6月'!AX4:AX34,$B25)+COUNTIF('6月'!BB4:BB34,$B25)+COUNTIF('6月'!BC4:BC34,$B25)+COUNTIF('6月'!BG4:BG34,$B25)+COUNTIF('6月'!BH4:BH34,$B25)+COUNTIF('6月'!BL4:BL34,$B25)+COUNTIF('6月'!BM4:BM34,$B25)+COUNTIF('6月'!BQ4:BQ34,$B25)+COUNTIF('6月'!BR4:BR34,$B25)+COUNTIF('6月'!BV4:BV34,$B25)+COUNTIF('6月'!BW4:BW34,$B25)+COUNTIF('6月'!CA4:CA34,$B25)+COUNTIF('6月'!CB4:CB34,$B25)+COUNTIF('6月'!CF4:CF34,$B25)+COUNTIF('6月'!CG4:CG34,$B25)+COUNTIF('6月'!CK4:CK34,$B25)+COUNTIF('6月'!CL4:CL34,$B25)+COUNTIF('6月'!CP4:CP34,$B25)+COUNTIF('6月'!CQ4:CQ34,$B25)+COUNTIF('6月'!CU4:CU34,$B25)+COUNTIF('6月'!CV4:CV34,$B25)+COUNTIF('6月'!CZ4:CZ34,$B25)+COUNTIF('6月'!DA4:DA34,$B25)+COUNTIF('6月'!DE4:DE34,$B25)+COUNTIF('6月'!DF4:DF34,$B25)+COUNTIF('6月'!DJ4:DJ34,$B25)+COUNTIF('6月'!DK4:DK34,$B25)+COUNTIF('6月'!DO4:DO34,$B25)+COUNTIF('6月'!DP4:DP34,$B25)+COUNTIF('6月'!DT4:DT34,$B25)+COUNTIF('6月'!DU4:DU34,$B25)+COUNTIF('6月'!DY4:DY34,$B25)+COUNTIF('6月'!DZ4:DZ34,$B25)+COUNTIF('6月'!ED4:ED34,$B25)+COUNTIF('6月'!EE4:EE34,$B25)+COUNTIF('6月'!EI4:EI34,$B25)+COUNTIF('6月'!EJ4:EJ34,$B25)+COUNTIF('6月'!EN4:EN34,$B25)+COUNTIF('6月'!EO4:EO34,$B25)+COUNTIF('6月'!ES4:ES34,$B25)+COUNTIF('6月'!ET4:ET34,$B25)),0)</f>
        <v>0</v>
      </c>
      <c r="I25" s="76">
        <f>IFERROR(IF($B25="","",COUNTIF('7月'!D4:D34,$B25)+COUNTIF('7月'!E4:E34,$B25)+COUNTIF('7月'!I4:I34,$B25)+COUNTIF('7月'!J4:J34,$B25)+COUNTIF('7月'!N4:N34,$B25)+COUNTIF('7月'!O4:O34,$B25)+COUNTIF('7月'!S4:S34,$B25)+COUNTIF('7月'!T4:T34,$B25)+COUNTIF('7月'!X4:X34,$B25)+COUNTIF('7月'!Y4:Y34,$B25)+COUNTIF('7月'!AC4:AC34,$B25)+COUNTIF('7月'!AD4:AD34,$B25)+COUNTIF('7月'!AH4:AH34,$B25)+COUNTIF('7月'!AI4:AI34,$B25)+COUNTIF('7月'!AM4:AM34,$B25)+COUNTIF('7月'!AN4:AN34,$B25)+COUNTIF('7月'!AR4:AR34,$B25)+COUNTIF('7月'!AS4:AS34,$B25)+COUNTIF('7月'!AW4:AW34,$B25)+COUNTIF('7月'!AX4:AX34,$B25)+COUNTIF('7月'!BB4:BB34,$B25)+COUNTIF('7月'!BC4:BC34,$B25)+COUNTIF('7月'!BG4:BG34,$B25)+COUNTIF('7月'!BH4:BH34,$B25)+COUNTIF('7月'!BL4:BL34,$B25)+COUNTIF('7月'!BM4:BM34,$B25)+COUNTIF('7月'!BQ4:BQ34,$B25)+COUNTIF('7月'!BR4:BR34,$B25)+COUNTIF('7月'!BV4:BV34,$B25)+COUNTIF('7月'!BW4:BW34,$B25)+COUNTIF('7月'!CA4:CA34,$B25)+COUNTIF('7月'!CB4:CB34,$B25)+COUNTIF('7月'!CF4:CF34,$B25)+COUNTIF('7月'!CG4:CG34,$B25)+COUNTIF('7月'!CK4:CK34,$B25)+COUNTIF('7月'!CL4:CL34,$B25)+COUNTIF('7月'!CP4:CP34,$B25)+COUNTIF('7月'!CQ4:CQ34,$B25)+COUNTIF('7月'!CU4:CU34,$B25)+COUNTIF('7月'!CV4:CV34,$B25)+COUNTIF('7月'!CZ4:CZ34,$B25)+COUNTIF('7月'!DA4:DA34,$B25)+COUNTIF('7月'!DE4:DE34,$B25)+COUNTIF('7月'!DF4:DF34,$B25)+COUNTIF('7月'!DJ4:DJ34,$B25)+COUNTIF('7月'!DK4:DK34,$B25)+COUNTIF('7月'!DO4:DO34,$B25)+COUNTIF('7月'!DP4:DP34,$B25)+COUNTIF('7月'!DT4:DT34,$B25)+COUNTIF('7月'!DU4:DU34,$B25)+COUNTIF('7月'!DY4:DY34,$B25)+COUNTIF('7月'!DZ4:DZ34,$B25)+COUNTIF('7月'!ED4:ED34,$B25)+COUNTIF('7月'!EE4:EE34,$B25)+COUNTIF('7月'!EI4:EI34,$B25)+COUNTIF('7月'!EJ4:EJ34,$B25)+COUNTIF('7月'!EN4:EN34,$B25)+COUNTIF('7月'!EO4:EO34,$B25)+COUNTIF('7月'!ES4:ES34,$B25)+COUNTIF('7月'!ET4:ET34,$B25)),0)</f>
        <v>0</v>
      </c>
      <c r="J25" s="76">
        <f>IFERROR(IF($B25="","",COUNTIF('8月'!D4:D34,$B25)+COUNTIF('8月'!E4:E34,$B25)+COUNTIF('8月'!I4:I34,$B25)+COUNTIF('8月'!J4:J34,$B25)+COUNTIF('8月'!N4:N34,$B25)+COUNTIF('8月'!O4:O34,$B25)+COUNTIF('8月'!S4:S34,$B25)+COUNTIF('8月'!T4:T34,$B25)+COUNTIF('8月'!X4:X34,$B25)+COUNTIF('8月'!Y4:Y34,$B25)+COUNTIF('8月'!AC4:AC34,$B25)+COUNTIF('8月'!AD4:AD34,$B25)+COUNTIF('8月'!AH4:AH34,$B25)+COUNTIF('8月'!AI4:AI34,$B25)+COUNTIF('8月'!AM4:AM34,$B25)+COUNTIF('8月'!AN4:AN34,$B25)+COUNTIF('8月'!AR4:AR34,$B25)+COUNTIF('8月'!AS4:AS34,$B25)+COUNTIF('8月'!AW4:AW34,$B25)+COUNTIF('8月'!AX4:AX34,$B25)+COUNTIF('8月'!BB4:BB34,$B25)+COUNTIF('8月'!BC4:BC34,$B25)+COUNTIF('8月'!BG4:BG34,$B25)+COUNTIF('8月'!BH4:BH34,$B25)+COUNTIF('8月'!BL4:BL34,$B25)+COUNTIF('8月'!BM4:BM34,$B25)+COUNTIF('8月'!BQ4:BQ34,$B25)+COUNTIF('8月'!BR4:BR34,$B25)+COUNTIF('8月'!BV4:BV34,$B25)+COUNTIF('8月'!BW4:BW34,$B25)+COUNTIF('8月'!CA4:CA34,$B25)+COUNTIF('8月'!CB4:CB34,$B25)+COUNTIF('8月'!CF4:CF34,$B25)+COUNTIF('8月'!CG4:CG34,$B25)+COUNTIF('8月'!CK4:CK34,$B25)+COUNTIF('8月'!CL4:CL34,$B25)+COUNTIF('8月'!CP4:CP34,$B25)+COUNTIF('8月'!CQ4:CQ34,$B25)+COUNTIF('8月'!CU4:CU34,$B25)+COUNTIF('8月'!CV4:CV34,$B25)+COUNTIF('8月'!CZ4:CZ34,$B25)+COUNTIF('8月'!DA4:DA34,$B25)+COUNTIF('8月'!DE4:DE34,$B25)+COUNTIF('8月'!DF4:DF34,$B25)+COUNTIF('8月'!DJ4:DJ34,$B25)+COUNTIF('8月'!DK4:DK34,$B25)+COUNTIF('8月'!DO4:DO34,$B25)+COUNTIF('8月'!DP4:DP34,$B25)+COUNTIF('8月'!DT4:DT34,$B25)+COUNTIF('8月'!DU4:DU34,$B25)+COUNTIF('8月'!DY4:DY34,$B25)+COUNTIF('8月'!DZ4:DZ34,$B25)+COUNTIF('8月'!ED4:ED34,$B25)+COUNTIF('8月'!EE4:EE34,$B25)+COUNTIF('8月'!EI4:EI34,$B25)+COUNTIF('8月'!EJ4:EJ34,$B25)+COUNTIF('8月'!EN4:EN34,$B25)+COUNTIF('8月'!EO4:EO34,$B25)+COUNTIF('8月'!ES4:ES34,$B25)+COUNTIF('8月'!ET4:ET34,$B25)),0)</f>
        <v>0</v>
      </c>
      <c r="K25" s="76">
        <f>IFERROR(IF($B25="","",COUNTIF('9月'!D4:D34,$B25)+COUNTIF('9月'!E4:E34,$B25)+COUNTIF('9月'!I4:I34,$B25)+COUNTIF('9月'!J4:J34,$B25)+COUNTIF('9月'!N4:N34,$B25)+COUNTIF('9月'!O4:O34,$B25)+COUNTIF('9月'!S4:S34,$B25)+COUNTIF('9月'!T4:T34,$B25)+COUNTIF('9月'!X4:X34,$B25)+COUNTIF('9月'!Y4:Y34,$B25)+COUNTIF('9月'!AC4:AC34,$B25)+COUNTIF('9月'!AD4:AD34,$B25)+COUNTIF('9月'!AH4:AH34,$B25)+COUNTIF('9月'!AI4:AI34,$B25)+COUNTIF('9月'!AM4:AM34,$B25)+COUNTIF('9月'!AN4:AN34,$B25)+COUNTIF('9月'!AR4:AR34,$B25)+COUNTIF('9月'!AS4:AS34,$B25)+COUNTIF('9月'!AW4:AW34,$B25)+COUNTIF('9月'!AX4:AX34,$B25)+COUNTIF('9月'!BB4:BB34,$B25)+COUNTIF('9月'!BC4:BC34,$B25)+COUNTIF('9月'!BG4:BG34,$B25)+COUNTIF('9月'!BH4:BH34,$B25)+COUNTIF('9月'!BL4:BL34,$B25)+COUNTIF('9月'!BM4:BM34,$B25)+COUNTIF('9月'!BQ4:BQ34,$B25)+COUNTIF('9月'!BR4:BR34,$B25)+COUNTIF('9月'!BV4:BV34,$B25)+COUNTIF('9月'!BW4:BW34,$B25)+COUNTIF('9月'!CA4:CA34,$B25)+COUNTIF('9月'!CB4:CB34,$B25)+COUNTIF('9月'!CF4:CF34,$B25)+COUNTIF('9月'!CG4:CG34,$B25)+COUNTIF('9月'!CK4:CK34,$B25)+COUNTIF('9月'!CL4:CL34,$B25)+COUNTIF('9月'!CP4:CP34,$B25)+COUNTIF('9月'!CQ4:CQ34,$B25)+COUNTIF('9月'!CU4:CU34,$B25)+COUNTIF('9月'!CV4:CV34,$B25)+COUNTIF('9月'!CZ4:CZ34,$B25)+COUNTIF('9月'!DA4:DA34,$B25)+COUNTIF('9月'!DE4:DE34,$B25)+COUNTIF('9月'!DF4:DF34,$B25)+COUNTIF('9月'!DJ4:DJ34,$B25)+COUNTIF('9月'!DK4:DK34,$B25)+COUNTIF('9月'!DO4:DO34,$B25)+COUNTIF('9月'!DP4:DP34,$B25)+COUNTIF('9月'!DT4:DT34,$B25)+COUNTIF('9月'!DU4:DU34,$B25)+COUNTIF('9月'!DY4:DY34,$B25)+COUNTIF('9月'!DZ4:DZ34,$B25)+COUNTIF('9月'!ED4:ED34,$B25)+COUNTIF('9月'!EE4:EE34,$B25)+COUNTIF('9月'!EI4:EI34,$B25)+COUNTIF('9月'!EJ4:EJ34,$B25)+COUNTIF('9月'!EN4:EN34,$B25)+COUNTIF('9月'!EO4:EO34,$B25)+COUNTIF('9月'!ES4:ES34,$B25)+COUNTIF('9月'!ET4:ET34,$B25)),0)</f>
        <v>0</v>
      </c>
      <c r="L25" s="76">
        <f>IFERROR(IF($B25="","",COUNTIF('10月'!D4:D34,$B25)+COUNTIF('10月'!E4:E34,$B25)+COUNTIF('10月'!I4:I34,$B25)+COUNTIF('10月'!J4:J34,$B25)+COUNTIF('10月'!N4:N34,$B25)+COUNTIF('10月'!O4:O34,$B25)+COUNTIF('10月'!S4:S34,$B25)+COUNTIF('10月'!T4:T34,$B25)+COUNTIF('10月'!X4:X34,$B25)+COUNTIF('10月'!Y4:Y34,$B25)+COUNTIF('10月'!AC4:AC34,$B25)+COUNTIF('10月'!AD4:AD34,$B25)+COUNTIF('10月'!AH4:AH34,$B25)+COUNTIF('10月'!AI4:AI34,$B25)+COUNTIF('10月'!AM4:AM34,$B25)+COUNTIF('10月'!AN4:AN34,$B25)+COUNTIF('10月'!AR4:AR34,$B25)+COUNTIF('10月'!AS4:AS34,$B25)+COUNTIF('10月'!AW4:AW34,$B25)+COUNTIF('10月'!AX4:AX34,$B25)+COUNTIF('10月'!BB4:BB34,$B25)+COUNTIF('10月'!BC4:BC34,$B25)+COUNTIF('10月'!BG4:BG34,$B25)+COUNTIF('10月'!BH4:BH34,$B25)+COUNTIF('10月'!BL4:BL34,$B25)+COUNTIF('10月'!BM4:BM34,$B25)+COUNTIF('10月'!BQ4:BQ34,$B25)+COUNTIF('10月'!BR4:BR34,$B25)+COUNTIF('10月'!BV4:BV34,$B25)+COUNTIF('10月'!BW4:BW34,$B25)+COUNTIF('10月'!CA4:CA34,$B25)+COUNTIF('10月'!CB4:CB34,$B25)+COUNTIF('10月'!CF4:CF34,$B25)+COUNTIF('10月'!CG4:CG34,$B25)+COUNTIF('10月'!CK4:CK34,$B25)+COUNTIF('10月'!CL4:CL34,$B25)+COUNTIF('10月'!CP4:CP34,$B25)+COUNTIF('10月'!CQ4:CQ34,$B25)+COUNTIF('10月'!CU4:CU34,$B25)+COUNTIF('10月'!CV4:CV34,$B25)+COUNTIF('10月'!CZ4:CZ34,$B25)+COUNTIF('10月'!DA4:DA34,$B25)+COUNTIF('10月'!DE4:DE34,$B25)+COUNTIF('10月'!DF4:DF34,$B25)+COUNTIF('10月'!DJ4:DJ34,$B25)+COUNTIF('10月'!DK4:DK34,$B25)+COUNTIF('10月'!DO4:DO34,$B25)+COUNTIF('10月'!DP4:DP34,$B25)+COUNTIF('10月'!DT4:DT34,$B25)+COUNTIF('10月'!DU4:DU34,$B25)+COUNTIF('10月'!DY4:DY34,$B25)+COUNTIF('10月'!DZ4:DZ34,$B25)+COUNTIF('10月'!ED4:ED34,$B25)+COUNTIF('10月'!EE4:EE34,$B25)+COUNTIF('10月'!EI4:EI34,$B25)+COUNTIF('10月'!EJ4:EJ34,$B25)+COUNTIF('10月'!EN4:EN34,$B25)+COUNTIF('10月'!EO4:EO34,$B25)+COUNTIF('10月'!ES4:ES34,$B25)+COUNTIF('10月'!ET4:ET34,$B25)),0)</f>
        <v>0</v>
      </c>
      <c r="M25" s="76">
        <f>IFERROR(IF($B25="","",COUNTIF('11月'!D4:D34,$B25)+COUNTIF('11月'!E4:E34,$B25)+COUNTIF('11月'!I4:I34,$B25)+COUNTIF('11月'!J4:J34,$B25)+COUNTIF('11月'!N4:N34,$B25)+COUNTIF('11月'!O4:O34,$B25)+COUNTIF('11月'!S4:S34,$B25)+COUNTIF('11月'!T4:T34,$B25)+COUNTIF('11月'!X4:X34,$B25)+COUNTIF('11月'!Y4:Y34,$B25)+COUNTIF('11月'!AC4:AC34,$B25)+COUNTIF('11月'!AD4:AD34,$B25)+COUNTIF('11月'!AH4:AH34,$B25)+COUNTIF('11月'!AI4:AI34,$B25)+COUNTIF('11月'!AM4:AM34,$B25)+COUNTIF('11月'!AN4:AN34,$B25)+COUNTIF('11月'!AR4:AR34,$B25)+COUNTIF('11月'!AS4:AS34,$B25)+COUNTIF('11月'!AW4:AW34,$B25)+COUNTIF('11月'!AX4:AX34,$B25)+COUNTIF('11月'!BB4:BB34,$B25)+COUNTIF('11月'!BC4:BC34,$B25)+COUNTIF('11月'!BG4:BG34,$B25)+COUNTIF('11月'!BH4:BH34,$B25)+COUNTIF('11月'!BL4:BL34,$B25)+COUNTIF('11月'!BM4:BM34,$B25)+COUNTIF('11月'!BQ4:BQ34,$B25)+COUNTIF('11月'!BR4:BR34,$B25)+COUNTIF('11月'!BV4:BV34,$B25)+COUNTIF('11月'!BW4:BW34,$B25)+COUNTIF('11月'!CA4:CA34,$B25)+COUNTIF('11月'!CB4:CB34,$B25)+COUNTIF('11月'!CF4:CF34,$B25)+COUNTIF('11月'!CG4:CG34,$B25)+COUNTIF('11月'!CK4:CK34,$B25)+COUNTIF('11月'!CL4:CL34,$B25)+COUNTIF('11月'!CP4:CP34,$B25)+COUNTIF('11月'!CQ4:CQ34,$B25)+COUNTIF('11月'!CU4:CU34,$B25)+COUNTIF('11月'!CV4:CV34,$B25)+COUNTIF('11月'!CZ4:CZ34,$B25)+COUNTIF('11月'!DA4:DA34,$B25)+COUNTIF('11月'!DE4:DE34,$B25)+COUNTIF('11月'!DF4:DF34,$B25)+COUNTIF('11月'!DJ4:DJ34,$B25)+COUNTIF('11月'!DK4:DK34,$B25)+COUNTIF('11月'!DO4:DO34,$B25)+COUNTIF('11月'!DP4:DP34,$B25)+COUNTIF('11月'!DT4:DT34,$B25)+COUNTIF('11月'!DU4:DU34,$B25)+COUNTIF('11月'!DY4:DY34,$B25)+COUNTIF('11月'!DZ4:DZ34,$B25)+COUNTIF('11月'!ED4:ED34,$B25)+COUNTIF('11月'!EE4:EE34,$B25)+COUNTIF('11月'!EI4:EI34,$B25)+COUNTIF('11月'!EJ4:EJ34,$B25)+COUNTIF('11月'!EN4:EN34,$B25)+COUNTIF('11月'!EO4:EO34,$B25)+COUNTIF('11月'!ES4:ES34,$B25)+COUNTIF('11月'!ET4:ET34,$B25)),0)</f>
        <v>0</v>
      </c>
      <c r="N25" s="76">
        <f>IFERROR(IF($B25="","",COUNTIF('12月'!D4:D34,$B25)+COUNTIF('12月'!E4:E34,$B25)+COUNTIF('12月'!I4:I34,$B25)+COUNTIF('12月'!J4:J34,$B25)+COUNTIF('12月'!N4:N34,$B25)+COUNTIF('12月'!O4:O34,$B25)+COUNTIF('12月'!S4:S34,$B25)+COUNTIF('12月'!T4:T34,$B25)+COUNTIF('12月'!X4:X34,$B25)+COUNTIF('12月'!Y4:Y34,$B25)+COUNTIF('12月'!AC4:AC34,$B25)+COUNTIF('12月'!AD4:AD34,$B25)+COUNTIF('12月'!AH4:AH34,$B25)+COUNTIF('12月'!AI4:AI34,$B25)+COUNTIF('12月'!AM4:AM34,$B25)+COUNTIF('12月'!AN4:AN34,$B25)+COUNTIF('12月'!AR4:AR34,$B25)+COUNTIF('12月'!AS4:AS34,$B25)+COUNTIF('12月'!AW4:AW34,$B25)+COUNTIF('12月'!AX4:AX34,$B25)+COUNTIF('12月'!BB4:BB34,$B25)+COUNTIF('12月'!BC4:BC34,$B25)+COUNTIF('12月'!BG4:BG34,$B25)+COUNTIF('12月'!BH4:BH34,$B25)+COUNTIF('12月'!BL4:BL34,$B25)+COUNTIF('12月'!BM4:BM34,$B25)+COUNTIF('12月'!BQ4:BQ34,$B25)+COUNTIF('12月'!BR4:BR34,$B25)+COUNTIF('12月'!BV4:BV34,$B25)+COUNTIF('12月'!BW4:BW34,$B25)+COUNTIF('12月'!CA4:CA34,$B25)+COUNTIF('12月'!CB4:CB34,$B25)+COUNTIF('12月'!CF4:CF34,$B25)+COUNTIF('12月'!CG4:CG34,$B25)+COUNTIF('12月'!CK4:CK34,$B25)+COUNTIF('12月'!CL4:CL34,$B25)+COUNTIF('12月'!CP4:CP34,$B25)+COUNTIF('12月'!CQ4:CQ34,$B25)+COUNTIF('12月'!CU4:CU34,$B25)+COUNTIF('12月'!CV4:CV34,$B25)+COUNTIF('12月'!CZ4:CZ34,$B25)+COUNTIF('12月'!DA4:DA34,$B25)+COUNTIF('12月'!DE4:DE34,$B25)+COUNTIF('12月'!DF4:DF34,$B25)+COUNTIF('12月'!DJ4:DJ34,$B25)+COUNTIF('12月'!DK4:DK34,$B25)+COUNTIF('12月'!DO4:DO34,$B25)+COUNTIF('12月'!DP4:DP34,$B25)+COUNTIF('12月'!DT4:DT34,$B25)+COUNTIF('12月'!DU4:DU34,$B25)+COUNTIF('12月'!DY4:DY34,$B25)+COUNTIF('12月'!DZ4:DZ34,$B25)+COUNTIF('12月'!ED4:ED34,$B25)+COUNTIF('12月'!EE4:EE34,$B25)+COUNTIF('12月'!EI4:EI34,$B25)+COUNTIF('12月'!EJ4:EJ34,$B25)+COUNTIF('12月'!EN4:EN34,$B25)+COUNTIF('12月'!EO4:EO34,$B25)+COUNTIF('12月'!ES4:ES34,$B25)+COUNTIF('12月'!ET4:ET34,$B25)),0)</f>
        <v>0</v>
      </c>
      <c r="O25" s="78">
        <f t="shared" si="0"/>
        <v>0</v>
      </c>
    </row>
    <row r="26" spans="1:15" ht="19.5" customHeight="1">
      <c r="A26" s="76">
        <v>24</v>
      </c>
      <c r="B26" s="77">
        <f>IFERROR(現場マスタ!$C$27,"")</f>
        <v>0</v>
      </c>
      <c r="C26" s="76">
        <f>IFERROR(IF($B26="","",COUNTIF('1月'!D4:D34,$B26)+COUNTIF('1月'!E4:E34,$B26)+COUNTIF('1月'!I4:I34,$B26)+COUNTIF('1月'!J4:J34,$B26)+COUNTIF('1月'!N4:N34,$B26)+COUNTIF('1月'!O4:O34,$B26)+COUNTIF('1月'!S4:S34,$B26)+COUNTIF('1月'!T4:T34,$B26)+COUNTIF('1月'!X4:X34,$B26)+COUNTIF('1月'!Y4:Y34,$B26)+COUNTIF('1月'!AC4:AC34,$B26)+COUNTIF('1月'!AD4:AD34,$B26)+COUNTIF('1月'!AH4:AH34,$B26)+COUNTIF('1月'!AI4:AI34,$B26)+COUNTIF('1月'!AM4:AM34,$B26)+COUNTIF('1月'!AN4:AN34,$B26)+COUNTIF('1月'!AR4:AR34,$B26)+COUNTIF('1月'!AS4:AS34,$B26)+COUNTIF('1月'!AW4:AW34,$B26)+COUNTIF('1月'!AX4:AX34,$B26)+COUNTIF('1月'!BB4:BB34,$B26)+COUNTIF('1月'!BC4:BC34,$B26)+COUNTIF('1月'!BG4:BG34,$B26)+COUNTIF('1月'!BH4:BH34,$B26)+COUNTIF('1月'!BL4:BL34,$B26)+COUNTIF('1月'!BM4:BM34,$B26)+COUNTIF('1月'!BQ4:BQ34,$B26)+COUNTIF('1月'!BR4:BR34,$B26)+COUNTIF('1月'!BV4:BV34,$B26)+COUNTIF('1月'!BW4:BW34,$B26)+COUNTIF('1月'!CA4:CA34,$B26)+COUNTIF('1月'!CB4:CB34,$B26)+COUNTIF('1月'!CF4:CF34,$B26)+COUNTIF('1月'!CG4:CG34,$B26)+COUNTIF('1月'!CK4:CK34,$B26)+COUNTIF('1月'!CL4:CL34,$B26)+COUNTIF('1月'!CP4:CP34,$B26)+COUNTIF('1月'!CQ4:CQ34,$B26)+COUNTIF('1月'!CU4:CU34,$B26)+COUNTIF('1月'!CV4:CV34,$B26)+COUNTIF('1月'!CZ4:CZ34,$B26)+COUNTIF('1月'!DA4:DA34,$B26)+COUNTIF('1月'!DE4:DE34,$B26)+COUNTIF('1月'!DF4:DF34,$B26)+COUNTIF('1月'!DJ4:DJ34,$B26)+COUNTIF('1月'!DK4:DK34,$B26)+COUNTIF('1月'!DO4:DO34,$B26)+COUNTIF('1月'!DP4:DP34,$B26)+COUNTIF('1月'!DT4:DT34,$B26)+COUNTIF('1月'!DU4:DU34,$B26)+COUNTIF('1月'!DY4:DY34,$B26)+COUNTIF('1月'!DZ4:DZ34,$B26)+COUNTIF('1月'!ED4:ED34,$B26)+COUNTIF('1月'!EE4:EE34,$B26)+COUNTIF('1月'!EI4:EI34,$B26)+COUNTIF('1月'!EJ4:EJ34,$B26)+COUNTIF('1月'!EN4:EN34,$B26)+COUNTIF('1月'!EO4:EO34,$B26)+COUNTIF('1月'!ES4:ES34,$B26)+COUNTIF('1月'!ET4:ET34,$B26)),0)</f>
        <v>0</v>
      </c>
      <c r="D26" s="76">
        <f>IFERROR(IF($B26="","",COUNTIF('2月'!D4:D34,$B26)+COUNTIF('2月'!E4:E34,$B26)+COUNTIF('2月'!I4:I34,$B26)+COUNTIF('2月'!J4:J34,$B26)+COUNTIF('2月'!N4:N34,$B26)+COUNTIF('2月'!O4:O34,$B26)+COUNTIF('2月'!S4:S34,$B26)+COUNTIF('2月'!T4:T34,$B26)+COUNTIF('2月'!X4:X34,$B26)+COUNTIF('2月'!Y4:Y34,$B26)+COUNTIF('2月'!AC4:AC34,$B26)+COUNTIF('2月'!AD4:AD34,$B26)+COUNTIF('2月'!AH4:AH34,$B26)+COUNTIF('2月'!AI4:AI34,$B26)+COUNTIF('2月'!AM4:AM34,$B26)+COUNTIF('2月'!AN4:AN34,$B26)+COUNTIF('2月'!AR4:AR34,$B26)+COUNTIF('2月'!AS4:AS34,$B26)+COUNTIF('2月'!AW4:AW34,$B26)+COUNTIF('2月'!AX4:AX34,$B26)+COUNTIF('2月'!BB4:BB34,$B26)+COUNTIF('2月'!BC4:BC34,$B26)+COUNTIF('2月'!BG4:BG34,$B26)+COUNTIF('2月'!BH4:BH34,$B26)+COUNTIF('2月'!BL4:BL34,$B26)+COUNTIF('2月'!BM4:BM34,$B26)+COUNTIF('2月'!BQ4:BQ34,$B26)+COUNTIF('2月'!BR4:BR34,$B26)+COUNTIF('2月'!BV4:BV34,$B26)+COUNTIF('2月'!BW4:BW34,$B26)+COUNTIF('2月'!CA4:CA34,$B26)+COUNTIF('2月'!CB4:CB34,$B26)+COUNTIF('2月'!CF4:CF34,$B26)+COUNTIF('2月'!CG4:CG34,$B26)+COUNTIF('2月'!CK4:CK34,$B26)+COUNTIF('2月'!CL4:CL34,$B26)+COUNTIF('2月'!CP4:CP34,$B26)+COUNTIF('2月'!CQ4:CQ34,$B26)+COUNTIF('2月'!CU4:CU34,$B26)+COUNTIF('2月'!CV4:CV34,$B26)+COUNTIF('2月'!CZ4:CZ34,$B26)+COUNTIF('2月'!DA4:DA34,$B26)+COUNTIF('2月'!DE4:DE34,$B26)+COUNTIF('2月'!DF4:DF34,$B26)+COUNTIF('2月'!DJ4:DJ34,$B26)+COUNTIF('2月'!DK4:DK34,$B26)+COUNTIF('2月'!DO4:DO34,$B26)+COUNTIF('2月'!DP4:DP34,$B26)+COUNTIF('2月'!DT4:DT34,$B26)+COUNTIF('2月'!DU4:DU34,$B26)+COUNTIF('2月'!DY4:DY34,$B26)+COUNTIF('2月'!DZ4:DZ34,$B26)+COUNTIF('2月'!ED4:ED34,$B26)+COUNTIF('2月'!EE4:EE34,$B26)+COUNTIF('2月'!EI4:EI34,$B26)+COUNTIF('2月'!EJ4:EJ34,$B26)+COUNTIF('2月'!EN4:EN34,$B26)+COUNTIF('2月'!EO4:EO34,$B26)+COUNTIF('2月'!ES4:ES34,$B26)+COUNTIF('2月'!ET4:ET34,$B26)),0)</f>
        <v>0</v>
      </c>
      <c r="E26" s="76">
        <f>IFERROR(IF($B26="","",COUNTIF('3月'!D4:D34,$B26)+COUNTIF('3月'!E4:E34,$B26)+COUNTIF('3月'!I4:I34,$B26)+COUNTIF('3月'!J4:J34,$B26)+COUNTIF('3月'!N4:N34,$B26)+COUNTIF('3月'!O4:O34,$B26)+COUNTIF('3月'!S4:S34,$B26)+COUNTIF('3月'!T4:T34,$B26)+COUNTIF('3月'!X4:X34,$B26)+COUNTIF('3月'!Y4:Y34,$B26)+COUNTIF('3月'!AC4:AC34,$B26)+COUNTIF('3月'!AD4:AD34,$B26)+COUNTIF('3月'!AH4:AH34,$B26)+COUNTIF('3月'!AI4:AI34,$B26)+COUNTIF('3月'!AM4:AM34,$B26)+COUNTIF('3月'!AN4:AN34,$B26)+COUNTIF('3月'!AR4:AR34,$B26)+COUNTIF('3月'!AS4:AS34,$B26)+COUNTIF('3月'!AW4:AW34,$B26)+COUNTIF('3月'!AX4:AX34,$B26)+COUNTIF('3月'!BB4:BB34,$B26)+COUNTIF('3月'!BC4:BC34,$B26)+COUNTIF('3月'!BG4:BG34,$B26)+COUNTIF('3月'!BH4:BH34,$B26)+COUNTIF('3月'!BL4:BL34,$B26)+COUNTIF('3月'!BM4:BM34,$B26)+COUNTIF('3月'!BQ4:BQ34,$B26)+COUNTIF('3月'!BR4:BR34,$B26)+COUNTIF('3月'!BV4:BV34,$B26)+COUNTIF('3月'!BW4:BW34,$B26)+COUNTIF('3月'!CA4:CA34,$B26)+COUNTIF('3月'!CB4:CB34,$B26)+COUNTIF('3月'!CF4:CF34,$B26)+COUNTIF('3月'!CG4:CG34,$B26)+COUNTIF('3月'!CK4:CK34,$B26)+COUNTIF('3月'!CL4:CL34,$B26)+COUNTIF('3月'!CP4:CP34,$B26)+COUNTIF('3月'!CQ4:CQ34,$B26)+COUNTIF('3月'!CU4:CU34,$B26)+COUNTIF('3月'!CV4:CV34,$B26)+COUNTIF('3月'!CZ4:CZ34,$B26)+COUNTIF('3月'!DA4:DA34,$B26)+COUNTIF('3月'!DE4:DE34,$B26)+COUNTIF('3月'!DF4:DF34,$B26)+COUNTIF('3月'!DJ4:DJ34,$B26)+COUNTIF('3月'!DK4:DK34,$B26)+COUNTIF('3月'!DO4:DO34,$B26)+COUNTIF('3月'!DP4:DP34,$B26)+COUNTIF('3月'!DT4:DT34,$B26)+COUNTIF('3月'!DU4:DU34,$B26)+COUNTIF('3月'!DY4:DY34,$B26)+COUNTIF('3月'!DZ4:DZ34,$B26)+COUNTIF('3月'!ED4:ED34,$B26)+COUNTIF('3月'!EE4:EE34,$B26)+COUNTIF('3月'!EI4:EI34,$B26)+COUNTIF('3月'!EJ4:EJ34,$B26)+COUNTIF('3月'!EN4:EN34,$B26)+COUNTIF('3月'!EO4:EO34,$B26)+COUNTIF('3月'!ES4:ES34,$B26)+COUNTIF('3月'!ET4:ET34,$B26)),0)</f>
        <v>0</v>
      </c>
      <c r="F26" s="76">
        <f>IFERROR(IF($B26="","",COUNTIF('4月'!D4:D34,$B26)+COUNTIF('4月'!E4:E34,$B26)+COUNTIF('4月'!I4:I34,$B26)+COUNTIF('4月'!J4:J34,$B26)+COUNTIF('4月'!N4:N34,$B26)+COUNTIF('4月'!O4:O34,$B26)+COUNTIF('4月'!S4:S34,$B26)+COUNTIF('4月'!T4:T34,$B26)+COUNTIF('4月'!X4:X34,$B26)+COUNTIF('4月'!Y4:Y34,$B26)+COUNTIF('4月'!AC4:AC34,$B26)+COUNTIF('4月'!AD4:AD34,$B26)+COUNTIF('4月'!AH4:AH34,$B26)+COUNTIF('4月'!AI4:AI34,$B26)+COUNTIF('4月'!AM4:AM34,$B26)+COUNTIF('4月'!AN4:AN34,$B26)+COUNTIF('4月'!AR4:AR34,$B26)+COUNTIF('4月'!AS4:AS34,$B26)+COUNTIF('4月'!AW4:AW34,$B26)+COUNTIF('4月'!AX4:AX34,$B26)+COUNTIF('4月'!BB4:BB34,$B26)+COUNTIF('4月'!BC4:BC34,$B26)+COUNTIF('4月'!BG4:BG34,$B26)+COUNTIF('4月'!BH4:BH34,$B26)+COUNTIF('4月'!BL4:BL34,$B26)+COUNTIF('4月'!BM4:BM34,$B26)+COUNTIF('4月'!BQ4:BQ34,$B26)+COUNTIF('4月'!BR4:BR34,$B26)+COUNTIF('4月'!BV4:BV34,$B26)+COUNTIF('4月'!BW4:BW34,$B26)+COUNTIF('4月'!CA4:CA34,$B26)+COUNTIF('4月'!CB4:CB34,$B26)+COUNTIF('4月'!CF4:CF34,$B26)+COUNTIF('4月'!CG4:CG34,$B26)+COUNTIF('4月'!CK4:CK34,$B26)+COUNTIF('4月'!CL4:CL34,$B26)+COUNTIF('4月'!CP4:CP34,$B26)+COUNTIF('4月'!CQ4:CQ34,$B26)+COUNTIF('4月'!CU4:CU34,$B26)+COUNTIF('4月'!CV4:CV34,$B26)+COUNTIF('4月'!CZ4:CZ34,$B26)+COUNTIF('4月'!DA4:DA34,$B26)+COUNTIF('4月'!DE4:DE34,$B26)+COUNTIF('4月'!DF4:DF34,$B26)+COUNTIF('4月'!DJ4:DJ34,$B26)+COUNTIF('4月'!DK4:DK34,$B26)+COUNTIF('4月'!DO4:DO34,$B26)+COUNTIF('4月'!DP4:DP34,$B26)+COUNTIF('4月'!DT4:DT34,$B26)+COUNTIF('4月'!DU4:DU34,$B26)+COUNTIF('4月'!DY4:DY34,$B26)+COUNTIF('4月'!DZ4:DZ34,$B26)+COUNTIF('4月'!ED4:ED34,$B26)+COUNTIF('4月'!EE4:EE34,$B26)+COUNTIF('4月'!EI4:EI34,$B26)+COUNTIF('4月'!EJ4:EJ34,$B26)+COUNTIF('4月'!EN4:EN34,$B26)+COUNTIF('4月'!EO4:EO34,$B26)+COUNTIF('4月'!ES4:ES34,$B26)+COUNTIF('4月'!ET4:ET34,$B26)),0)</f>
        <v>0</v>
      </c>
      <c r="G26" s="76">
        <f>IFERROR(IF($B26="","",COUNTIF('5月'!D4:D34,$B26)+COUNTIF('5月'!E4:E34,$B26)+COUNTIF('5月'!I4:I34,$B26)+COUNTIF('5月'!J4:J34,$B26)+COUNTIF('5月'!N4:N34,$B26)+COUNTIF('5月'!O4:O34,$B26)+COUNTIF('5月'!S4:S34,$B26)+COUNTIF('5月'!T4:T34,$B26)+COUNTIF('5月'!X4:X34,$B26)+COUNTIF('5月'!Y4:Y34,$B26)+COUNTIF('5月'!AC4:AC34,$B26)+COUNTIF('5月'!AD4:AD34,$B26)+COUNTIF('5月'!AH4:AH34,$B26)+COUNTIF('5月'!AI4:AI34,$B26)+COUNTIF('5月'!AM4:AM34,$B26)+COUNTIF('5月'!AN4:AN34,$B26)+COUNTIF('5月'!AR4:AR34,$B26)+COUNTIF('5月'!AS4:AS34,$B26)+COUNTIF('5月'!AW4:AW34,$B26)+COUNTIF('5月'!AX4:AX34,$B26)+COUNTIF('5月'!BB4:BB34,$B26)+COUNTIF('5月'!BC4:BC34,$B26)+COUNTIF('5月'!BG4:BG34,$B26)+COUNTIF('5月'!BH4:BH34,$B26)+COUNTIF('5月'!BL4:BL34,$B26)+COUNTIF('5月'!BM4:BM34,$B26)+COUNTIF('5月'!BQ4:BQ34,$B26)+COUNTIF('5月'!BR4:BR34,$B26)+COUNTIF('5月'!BV4:BV34,$B26)+COUNTIF('5月'!BW4:BW34,$B26)+COUNTIF('5月'!CA4:CA34,$B26)+COUNTIF('5月'!CB4:CB34,$B26)+COUNTIF('5月'!CF4:CF34,$B26)+COUNTIF('5月'!CG4:CG34,$B26)+COUNTIF('5月'!CK4:CK34,$B26)+COUNTIF('5月'!CL4:CL34,$B26)+COUNTIF('5月'!CP4:CP34,$B26)+COUNTIF('5月'!CQ4:CQ34,$B26)+COUNTIF('5月'!CU4:CU34,$B26)+COUNTIF('5月'!CV4:CV34,$B26)+COUNTIF('5月'!CZ4:CZ34,$B26)+COUNTIF('5月'!DA4:DA34,$B26)+COUNTIF('5月'!DE4:DE34,$B26)+COUNTIF('5月'!DF4:DF34,$B26)+COUNTIF('5月'!DJ4:DJ34,$B26)+COUNTIF('5月'!DK4:DK34,$B26)+COUNTIF('5月'!DO4:DO34,$B26)+COUNTIF('5月'!DP4:DP34,$B26)+COUNTIF('5月'!DT4:DT34,$B26)+COUNTIF('5月'!DU4:DU34,$B26)+COUNTIF('5月'!DY4:DY34,$B26)+COUNTIF('5月'!DZ4:DZ34,$B26)+COUNTIF('5月'!ED4:ED34,$B26)+COUNTIF('5月'!EE4:EE34,$B26)+COUNTIF('5月'!EI4:EI34,$B26)+COUNTIF('5月'!EJ4:EJ34,$B26)+COUNTIF('5月'!EN4:EN34,$B26)+COUNTIF('5月'!EO4:EO34,$B26)+COUNTIF('5月'!ES4:ES34,$B26)+COUNTIF('5月'!ET4:ET34,$B26)),0)</f>
        <v>0</v>
      </c>
      <c r="H26" s="76">
        <f>IFERROR(IF($B26="","",COUNTIF('6月'!D4:D34,$B26)+COUNTIF('6月'!E4:E34,$B26)+COUNTIF('6月'!I4:I34,$B26)+COUNTIF('6月'!J4:J34,$B26)+COUNTIF('6月'!N4:N34,$B26)+COUNTIF('6月'!O4:O34,$B26)+COUNTIF('6月'!S4:S34,$B26)+COUNTIF('6月'!T4:T34,$B26)+COUNTIF('6月'!X4:X34,$B26)+COUNTIF('6月'!Y4:Y34,$B26)+COUNTIF('6月'!AC4:AC34,$B26)+COUNTIF('6月'!AD4:AD34,$B26)+COUNTIF('6月'!AH4:AH34,$B26)+COUNTIF('6月'!AI4:AI34,$B26)+COUNTIF('6月'!AM4:AM34,$B26)+COUNTIF('6月'!AN4:AN34,$B26)+COUNTIF('6月'!AR4:AR34,$B26)+COUNTIF('6月'!AS4:AS34,$B26)+COUNTIF('6月'!AW4:AW34,$B26)+COUNTIF('6月'!AX4:AX34,$B26)+COUNTIF('6月'!BB4:BB34,$B26)+COUNTIF('6月'!BC4:BC34,$B26)+COUNTIF('6月'!BG4:BG34,$B26)+COUNTIF('6月'!BH4:BH34,$B26)+COUNTIF('6月'!BL4:BL34,$B26)+COUNTIF('6月'!BM4:BM34,$B26)+COUNTIF('6月'!BQ4:BQ34,$B26)+COUNTIF('6月'!BR4:BR34,$B26)+COUNTIF('6月'!BV4:BV34,$B26)+COUNTIF('6月'!BW4:BW34,$B26)+COUNTIF('6月'!CA4:CA34,$B26)+COUNTIF('6月'!CB4:CB34,$B26)+COUNTIF('6月'!CF4:CF34,$B26)+COUNTIF('6月'!CG4:CG34,$B26)+COUNTIF('6月'!CK4:CK34,$B26)+COUNTIF('6月'!CL4:CL34,$B26)+COUNTIF('6月'!CP4:CP34,$B26)+COUNTIF('6月'!CQ4:CQ34,$B26)+COUNTIF('6月'!CU4:CU34,$B26)+COUNTIF('6月'!CV4:CV34,$B26)+COUNTIF('6月'!CZ4:CZ34,$B26)+COUNTIF('6月'!DA4:DA34,$B26)+COUNTIF('6月'!DE4:DE34,$B26)+COUNTIF('6月'!DF4:DF34,$B26)+COUNTIF('6月'!DJ4:DJ34,$B26)+COUNTIF('6月'!DK4:DK34,$B26)+COUNTIF('6月'!DO4:DO34,$B26)+COUNTIF('6月'!DP4:DP34,$B26)+COUNTIF('6月'!DT4:DT34,$B26)+COUNTIF('6月'!DU4:DU34,$B26)+COUNTIF('6月'!DY4:DY34,$B26)+COUNTIF('6月'!DZ4:DZ34,$B26)+COUNTIF('6月'!ED4:ED34,$B26)+COUNTIF('6月'!EE4:EE34,$B26)+COUNTIF('6月'!EI4:EI34,$B26)+COUNTIF('6月'!EJ4:EJ34,$B26)+COUNTIF('6月'!EN4:EN34,$B26)+COUNTIF('6月'!EO4:EO34,$B26)+COUNTIF('6月'!ES4:ES34,$B26)+COUNTIF('6月'!ET4:ET34,$B26)),0)</f>
        <v>0</v>
      </c>
      <c r="I26" s="76">
        <f>IFERROR(IF($B26="","",COUNTIF('7月'!D4:D34,$B26)+COUNTIF('7月'!E4:E34,$B26)+COUNTIF('7月'!I4:I34,$B26)+COUNTIF('7月'!J4:J34,$B26)+COUNTIF('7月'!N4:N34,$B26)+COUNTIF('7月'!O4:O34,$B26)+COUNTIF('7月'!S4:S34,$B26)+COUNTIF('7月'!T4:T34,$B26)+COUNTIF('7月'!X4:X34,$B26)+COUNTIF('7月'!Y4:Y34,$B26)+COUNTIF('7月'!AC4:AC34,$B26)+COUNTIF('7月'!AD4:AD34,$B26)+COUNTIF('7月'!AH4:AH34,$B26)+COUNTIF('7月'!AI4:AI34,$B26)+COUNTIF('7月'!AM4:AM34,$B26)+COUNTIF('7月'!AN4:AN34,$B26)+COUNTIF('7月'!AR4:AR34,$B26)+COUNTIF('7月'!AS4:AS34,$B26)+COUNTIF('7月'!AW4:AW34,$B26)+COUNTIF('7月'!AX4:AX34,$B26)+COUNTIF('7月'!BB4:BB34,$B26)+COUNTIF('7月'!BC4:BC34,$B26)+COUNTIF('7月'!BG4:BG34,$B26)+COUNTIF('7月'!BH4:BH34,$B26)+COUNTIF('7月'!BL4:BL34,$B26)+COUNTIF('7月'!BM4:BM34,$B26)+COUNTIF('7月'!BQ4:BQ34,$B26)+COUNTIF('7月'!BR4:BR34,$B26)+COUNTIF('7月'!BV4:BV34,$B26)+COUNTIF('7月'!BW4:BW34,$B26)+COUNTIF('7月'!CA4:CA34,$B26)+COUNTIF('7月'!CB4:CB34,$B26)+COUNTIF('7月'!CF4:CF34,$B26)+COUNTIF('7月'!CG4:CG34,$B26)+COUNTIF('7月'!CK4:CK34,$B26)+COUNTIF('7月'!CL4:CL34,$B26)+COUNTIF('7月'!CP4:CP34,$B26)+COUNTIF('7月'!CQ4:CQ34,$B26)+COUNTIF('7月'!CU4:CU34,$B26)+COUNTIF('7月'!CV4:CV34,$B26)+COUNTIF('7月'!CZ4:CZ34,$B26)+COUNTIF('7月'!DA4:DA34,$B26)+COUNTIF('7月'!DE4:DE34,$B26)+COUNTIF('7月'!DF4:DF34,$B26)+COUNTIF('7月'!DJ4:DJ34,$B26)+COUNTIF('7月'!DK4:DK34,$B26)+COUNTIF('7月'!DO4:DO34,$B26)+COUNTIF('7月'!DP4:DP34,$B26)+COUNTIF('7月'!DT4:DT34,$B26)+COUNTIF('7月'!DU4:DU34,$B26)+COUNTIF('7月'!DY4:DY34,$B26)+COUNTIF('7月'!DZ4:DZ34,$B26)+COUNTIF('7月'!ED4:ED34,$B26)+COUNTIF('7月'!EE4:EE34,$B26)+COUNTIF('7月'!EI4:EI34,$B26)+COUNTIF('7月'!EJ4:EJ34,$B26)+COUNTIF('7月'!EN4:EN34,$B26)+COUNTIF('7月'!EO4:EO34,$B26)+COUNTIF('7月'!ES4:ES34,$B26)+COUNTIF('7月'!ET4:ET34,$B26)),0)</f>
        <v>0</v>
      </c>
      <c r="J26" s="76">
        <f>IFERROR(IF($B26="","",COUNTIF('8月'!D4:D34,$B26)+COUNTIF('8月'!E4:E34,$B26)+COUNTIF('8月'!I4:I34,$B26)+COUNTIF('8月'!J4:J34,$B26)+COUNTIF('8月'!N4:N34,$B26)+COUNTIF('8月'!O4:O34,$B26)+COUNTIF('8月'!S4:S34,$B26)+COUNTIF('8月'!T4:T34,$B26)+COUNTIF('8月'!X4:X34,$B26)+COUNTIF('8月'!Y4:Y34,$B26)+COUNTIF('8月'!AC4:AC34,$B26)+COUNTIF('8月'!AD4:AD34,$B26)+COUNTIF('8月'!AH4:AH34,$B26)+COUNTIF('8月'!AI4:AI34,$B26)+COUNTIF('8月'!AM4:AM34,$B26)+COUNTIF('8月'!AN4:AN34,$B26)+COUNTIF('8月'!AR4:AR34,$B26)+COUNTIF('8月'!AS4:AS34,$B26)+COUNTIF('8月'!AW4:AW34,$B26)+COUNTIF('8月'!AX4:AX34,$B26)+COUNTIF('8月'!BB4:BB34,$B26)+COUNTIF('8月'!BC4:BC34,$B26)+COUNTIF('8月'!BG4:BG34,$B26)+COUNTIF('8月'!BH4:BH34,$B26)+COUNTIF('8月'!BL4:BL34,$B26)+COUNTIF('8月'!BM4:BM34,$B26)+COUNTIF('8月'!BQ4:BQ34,$B26)+COUNTIF('8月'!BR4:BR34,$B26)+COUNTIF('8月'!BV4:BV34,$B26)+COUNTIF('8月'!BW4:BW34,$B26)+COUNTIF('8月'!CA4:CA34,$B26)+COUNTIF('8月'!CB4:CB34,$B26)+COUNTIF('8月'!CF4:CF34,$B26)+COUNTIF('8月'!CG4:CG34,$B26)+COUNTIF('8月'!CK4:CK34,$B26)+COUNTIF('8月'!CL4:CL34,$B26)+COUNTIF('8月'!CP4:CP34,$B26)+COUNTIF('8月'!CQ4:CQ34,$B26)+COUNTIF('8月'!CU4:CU34,$B26)+COUNTIF('8月'!CV4:CV34,$B26)+COUNTIF('8月'!CZ4:CZ34,$B26)+COUNTIF('8月'!DA4:DA34,$B26)+COUNTIF('8月'!DE4:DE34,$B26)+COUNTIF('8月'!DF4:DF34,$B26)+COUNTIF('8月'!DJ4:DJ34,$B26)+COUNTIF('8月'!DK4:DK34,$B26)+COUNTIF('8月'!DO4:DO34,$B26)+COUNTIF('8月'!DP4:DP34,$B26)+COUNTIF('8月'!DT4:DT34,$B26)+COUNTIF('8月'!DU4:DU34,$B26)+COUNTIF('8月'!DY4:DY34,$B26)+COUNTIF('8月'!DZ4:DZ34,$B26)+COUNTIF('8月'!ED4:ED34,$B26)+COUNTIF('8月'!EE4:EE34,$B26)+COUNTIF('8月'!EI4:EI34,$B26)+COUNTIF('8月'!EJ4:EJ34,$B26)+COUNTIF('8月'!EN4:EN34,$B26)+COUNTIF('8月'!EO4:EO34,$B26)+COUNTIF('8月'!ES4:ES34,$B26)+COUNTIF('8月'!ET4:ET34,$B26)),0)</f>
        <v>0</v>
      </c>
      <c r="K26" s="76">
        <f>IFERROR(IF($B26="","",COUNTIF('9月'!D4:D34,$B26)+COUNTIF('9月'!E4:E34,$B26)+COUNTIF('9月'!I4:I34,$B26)+COUNTIF('9月'!J4:J34,$B26)+COUNTIF('9月'!N4:N34,$B26)+COUNTIF('9月'!O4:O34,$B26)+COUNTIF('9月'!S4:S34,$B26)+COUNTIF('9月'!T4:T34,$B26)+COUNTIF('9月'!X4:X34,$B26)+COUNTIF('9月'!Y4:Y34,$B26)+COUNTIF('9月'!AC4:AC34,$B26)+COUNTIF('9月'!AD4:AD34,$B26)+COUNTIF('9月'!AH4:AH34,$B26)+COUNTIF('9月'!AI4:AI34,$B26)+COUNTIF('9月'!AM4:AM34,$B26)+COUNTIF('9月'!AN4:AN34,$B26)+COUNTIF('9月'!AR4:AR34,$B26)+COUNTIF('9月'!AS4:AS34,$B26)+COUNTIF('9月'!AW4:AW34,$B26)+COUNTIF('9月'!AX4:AX34,$B26)+COUNTIF('9月'!BB4:BB34,$B26)+COUNTIF('9月'!BC4:BC34,$B26)+COUNTIF('9月'!BG4:BG34,$B26)+COUNTIF('9月'!BH4:BH34,$B26)+COUNTIF('9月'!BL4:BL34,$B26)+COUNTIF('9月'!BM4:BM34,$B26)+COUNTIF('9月'!BQ4:BQ34,$B26)+COUNTIF('9月'!BR4:BR34,$B26)+COUNTIF('9月'!BV4:BV34,$B26)+COUNTIF('9月'!BW4:BW34,$B26)+COUNTIF('9月'!CA4:CA34,$B26)+COUNTIF('9月'!CB4:CB34,$B26)+COUNTIF('9月'!CF4:CF34,$B26)+COUNTIF('9月'!CG4:CG34,$B26)+COUNTIF('9月'!CK4:CK34,$B26)+COUNTIF('9月'!CL4:CL34,$B26)+COUNTIF('9月'!CP4:CP34,$B26)+COUNTIF('9月'!CQ4:CQ34,$B26)+COUNTIF('9月'!CU4:CU34,$B26)+COUNTIF('9月'!CV4:CV34,$B26)+COUNTIF('9月'!CZ4:CZ34,$B26)+COUNTIF('9月'!DA4:DA34,$B26)+COUNTIF('9月'!DE4:DE34,$B26)+COUNTIF('9月'!DF4:DF34,$B26)+COUNTIF('9月'!DJ4:DJ34,$B26)+COUNTIF('9月'!DK4:DK34,$B26)+COUNTIF('9月'!DO4:DO34,$B26)+COUNTIF('9月'!DP4:DP34,$B26)+COUNTIF('9月'!DT4:DT34,$B26)+COUNTIF('9月'!DU4:DU34,$B26)+COUNTIF('9月'!DY4:DY34,$B26)+COUNTIF('9月'!DZ4:DZ34,$B26)+COUNTIF('9月'!ED4:ED34,$B26)+COUNTIF('9月'!EE4:EE34,$B26)+COUNTIF('9月'!EI4:EI34,$B26)+COUNTIF('9月'!EJ4:EJ34,$B26)+COUNTIF('9月'!EN4:EN34,$B26)+COUNTIF('9月'!EO4:EO34,$B26)+COUNTIF('9月'!ES4:ES34,$B26)+COUNTIF('9月'!ET4:ET34,$B26)),0)</f>
        <v>0</v>
      </c>
      <c r="L26" s="76">
        <f>IFERROR(IF($B26="","",COUNTIF('10月'!D4:D34,$B26)+COUNTIF('10月'!E4:E34,$B26)+COUNTIF('10月'!I4:I34,$B26)+COUNTIF('10月'!J4:J34,$B26)+COUNTIF('10月'!N4:N34,$B26)+COUNTIF('10月'!O4:O34,$B26)+COUNTIF('10月'!S4:S34,$B26)+COUNTIF('10月'!T4:T34,$B26)+COUNTIF('10月'!X4:X34,$B26)+COUNTIF('10月'!Y4:Y34,$B26)+COUNTIF('10月'!AC4:AC34,$B26)+COUNTIF('10月'!AD4:AD34,$B26)+COUNTIF('10月'!AH4:AH34,$B26)+COUNTIF('10月'!AI4:AI34,$B26)+COUNTIF('10月'!AM4:AM34,$B26)+COUNTIF('10月'!AN4:AN34,$B26)+COUNTIF('10月'!AR4:AR34,$B26)+COUNTIF('10月'!AS4:AS34,$B26)+COUNTIF('10月'!AW4:AW34,$B26)+COUNTIF('10月'!AX4:AX34,$B26)+COUNTIF('10月'!BB4:BB34,$B26)+COUNTIF('10月'!BC4:BC34,$B26)+COUNTIF('10月'!BG4:BG34,$B26)+COUNTIF('10月'!BH4:BH34,$B26)+COUNTIF('10月'!BL4:BL34,$B26)+COUNTIF('10月'!BM4:BM34,$B26)+COUNTIF('10月'!BQ4:BQ34,$B26)+COUNTIF('10月'!BR4:BR34,$B26)+COUNTIF('10月'!BV4:BV34,$B26)+COUNTIF('10月'!BW4:BW34,$B26)+COUNTIF('10月'!CA4:CA34,$B26)+COUNTIF('10月'!CB4:CB34,$B26)+COUNTIF('10月'!CF4:CF34,$B26)+COUNTIF('10月'!CG4:CG34,$B26)+COUNTIF('10月'!CK4:CK34,$B26)+COUNTIF('10月'!CL4:CL34,$B26)+COUNTIF('10月'!CP4:CP34,$B26)+COUNTIF('10月'!CQ4:CQ34,$B26)+COUNTIF('10月'!CU4:CU34,$B26)+COUNTIF('10月'!CV4:CV34,$B26)+COUNTIF('10月'!CZ4:CZ34,$B26)+COUNTIF('10月'!DA4:DA34,$B26)+COUNTIF('10月'!DE4:DE34,$B26)+COUNTIF('10月'!DF4:DF34,$B26)+COUNTIF('10月'!DJ4:DJ34,$B26)+COUNTIF('10月'!DK4:DK34,$B26)+COUNTIF('10月'!DO4:DO34,$B26)+COUNTIF('10月'!DP4:DP34,$B26)+COUNTIF('10月'!DT4:DT34,$B26)+COUNTIF('10月'!DU4:DU34,$B26)+COUNTIF('10月'!DY4:DY34,$B26)+COUNTIF('10月'!DZ4:DZ34,$B26)+COUNTIF('10月'!ED4:ED34,$B26)+COUNTIF('10月'!EE4:EE34,$B26)+COUNTIF('10月'!EI4:EI34,$B26)+COUNTIF('10月'!EJ4:EJ34,$B26)+COUNTIF('10月'!EN4:EN34,$B26)+COUNTIF('10月'!EO4:EO34,$B26)+COUNTIF('10月'!ES4:ES34,$B26)+COUNTIF('10月'!ET4:ET34,$B26)),0)</f>
        <v>0</v>
      </c>
      <c r="M26" s="76">
        <f>IFERROR(IF($B26="","",COUNTIF('11月'!D4:D34,$B26)+COUNTIF('11月'!E4:E34,$B26)+COUNTIF('11月'!I4:I34,$B26)+COUNTIF('11月'!J4:J34,$B26)+COUNTIF('11月'!N4:N34,$B26)+COUNTIF('11月'!O4:O34,$B26)+COUNTIF('11月'!S4:S34,$B26)+COUNTIF('11月'!T4:T34,$B26)+COUNTIF('11月'!X4:X34,$B26)+COUNTIF('11月'!Y4:Y34,$B26)+COUNTIF('11月'!AC4:AC34,$B26)+COUNTIF('11月'!AD4:AD34,$B26)+COUNTIF('11月'!AH4:AH34,$B26)+COUNTIF('11月'!AI4:AI34,$B26)+COUNTIF('11月'!AM4:AM34,$B26)+COUNTIF('11月'!AN4:AN34,$B26)+COUNTIF('11月'!AR4:AR34,$B26)+COUNTIF('11月'!AS4:AS34,$B26)+COUNTIF('11月'!AW4:AW34,$B26)+COUNTIF('11月'!AX4:AX34,$B26)+COUNTIF('11月'!BB4:BB34,$B26)+COUNTIF('11月'!BC4:BC34,$B26)+COUNTIF('11月'!BG4:BG34,$B26)+COUNTIF('11月'!BH4:BH34,$B26)+COUNTIF('11月'!BL4:BL34,$B26)+COUNTIF('11月'!BM4:BM34,$B26)+COUNTIF('11月'!BQ4:BQ34,$B26)+COUNTIF('11月'!BR4:BR34,$B26)+COUNTIF('11月'!BV4:BV34,$B26)+COUNTIF('11月'!BW4:BW34,$B26)+COUNTIF('11月'!CA4:CA34,$B26)+COUNTIF('11月'!CB4:CB34,$B26)+COUNTIF('11月'!CF4:CF34,$B26)+COUNTIF('11月'!CG4:CG34,$B26)+COUNTIF('11月'!CK4:CK34,$B26)+COUNTIF('11月'!CL4:CL34,$B26)+COUNTIF('11月'!CP4:CP34,$B26)+COUNTIF('11月'!CQ4:CQ34,$B26)+COUNTIF('11月'!CU4:CU34,$B26)+COUNTIF('11月'!CV4:CV34,$B26)+COUNTIF('11月'!CZ4:CZ34,$B26)+COUNTIF('11月'!DA4:DA34,$B26)+COUNTIF('11月'!DE4:DE34,$B26)+COUNTIF('11月'!DF4:DF34,$B26)+COUNTIF('11月'!DJ4:DJ34,$B26)+COUNTIF('11月'!DK4:DK34,$B26)+COUNTIF('11月'!DO4:DO34,$B26)+COUNTIF('11月'!DP4:DP34,$B26)+COUNTIF('11月'!DT4:DT34,$B26)+COUNTIF('11月'!DU4:DU34,$B26)+COUNTIF('11月'!DY4:DY34,$B26)+COUNTIF('11月'!DZ4:DZ34,$B26)+COUNTIF('11月'!ED4:ED34,$B26)+COUNTIF('11月'!EE4:EE34,$B26)+COUNTIF('11月'!EI4:EI34,$B26)+COUNTIF('11月'!EJ4:EJ34,$B26)+COUNTIF('11月'!EN4:EN34,$B26)+COUNTIF('11月'!EO4:EO34,$B26)+COUNTIF('11月'!ES4:ES34,$B26)+COUNTIF('11月'!ET4:ET34,$B26)),0)</f>
        <v>0</v>
      </c>
      <c r="N26" s="76">
        <f>IFERROR(IF($B26="","",COUNTIF('12月'!D4:D34,$B26)+COUNTIF('12月'!E4:E34,$B26)+COUNTIF('12月'!I4:I34,$B26)+COUNTIF('12月'!J4:J34,$B26)+COUNTIF('12月'!N4:N34,$B26)+COUNTIF('12月'!O4:O34,$B26)+COUNTIF('12月'!S4:S34,$B26)+COUNTIF('12月'!T4:T34,$B26)+COUNTIF('12月'!X4:X34,$B26)+COUNTIF('12月'!Y4:Y34,$B26)+COUNTIF('12月'!AC4:AC34,$B26)+COUNTIF('12月'!AD4:AD34,$B26)+COUNTIF('12月'!AH4:AH34,$B26)+COUNTIF('12月'!AI4:AI34,$B26)+COUNTIF('12月'!AM4:AM34,$B26)+COUNTIF('12月'!AN4:AN34,$B26)+COUNTIF('12月'!AR4:AR34,$B26)+COUNTIF('12月'!AS4:AS34,$B26)+COUNTIF('12月'!AW4:AW34,$B26)+COUNTIF('12月'!AX4:AX34,$B26)+COUNTIF('12月'!BB4:BB34,$B26)+COUNTIF('12月'!BC4:BC34,$B26)+COUNTIF('12月'!BG4:BG34,$B26)+COUNTIF('12月'!BH4:BH34,$B26)+COUNTIF('12月'!BL4:BL34,$B26)+COUNTIF('12月'!BM4:BM34,$B26)+COUNTIF('12月'!BQ4:BQ34,$B26)+COUNTIF('12月'!BR4:BR34,$B26)+COUNTIF('12月'!BV4:BV34,$B26)+COUNTIF('12月'!BW4:BW34,$B26)+COUNTIF('12月'!CA4:CA34,$B26)+COUNTIF('12月'!CB4:CB34,$B26)+COUNTIF('12月'!CF4:CF34,$B26)+COUNTIF('12月'!CG4:CG34,$B26)+COUNTIF('12月'!CK4:CK34,$B26)+COUNTIF('12月'!CL4:CL34,$B26)+COUNTIF('12月'!CP4:CP34,$B26)+COUNTIF('12月'!CQ4:CQ34,$B26)+COUNTIF('12月'!CU4:CU34,$B26)+COUNTIF('12月'!CV4:CV34,$B26)+COUNTIF('12月'!CZ4:CZ34,$B26)+COUNTIF('12月'!DA4:DA34,$B26)+COUNTIF('12月'!DE4:DE34,$B26)+COUNTIF('12月'!DF4:DF34,$B26)+COUNTIF('12月'!DJ4:DJ34,$B26)+COUNTIF('12月'!DK4:DK34,$B26)+COUNTIF('12月'!DO4:DO34,$B26)+COUNTIF('12月'!DP4:DP34,$B26)+COUNTIF('12月'!DT4:DT34,$B26)+COUNTIF('12月'!DU4:DU34,$B26)+COUNTIF('12月'!DY4:DY34,$B26)+COUNTIF('12月'!DZ4:DZ34,$B26)+COUNTIF('12月'!ED4:ED34,$B26)+COUNTIF('12月'!EE4:EE34,$B26)+COUNTIF('12月'!EI4:EI34,$B26)+COUNTIF('12月'!EJ4:EJ34,$B26)+COUNTIF('12月'!EN4:EN34,$B26)+COUNTIF('12月'!EO4:EO34,$B26)+COUNTIF('12月'!ES4:ES34,$B26)+COUNTIF('12月'!ET4:ET34,$B26)),0)</f>
        <v>0</v>
      </c>
      <c r="O26" s="78">
        <f t="shared" si="0"/>
        <v>0</v>
      </c>
    </row>
    <row r="27" spans="1:15" ht="19.5" customHeight="1">
      <c r="A27" s="76">
        <v>25</v>
      </c>
      <c r="B27" s="77">
        <f>IFERROR(現場マスタ!$C$28,"")</f>
        <v>0</v>
      </c>
      <c r="C27" s="76">
        <f>IFERROR(IF($B27="","",COUNTIF('1月'!D4:D34,$B27)+COUNTIF('1月'!E4:E34,$B27)+COUNTIF('1月'!I4:I34,$B27)+COUNTIF('1月'!J4:J34,$B27)+COUNTIF('1月'!N4:N34,$B27)+COUNTIF('1月'!O4:O34,$B27)+COUNTIF('1月'!S4:S34,$B27)+COUNTIF('1月'!T4:T34,$B27)+COUNTIF('1月'!X4:X34,$B27)+COUNTIF('1月'!Y4:Y34,$B27)+COUNTIF('1月'!AC4:AC34,$B27)+COUNTIF('1月'!AD4:AD34,$B27)+COUNTIF('1月'!AH4:AH34,$B27)+COUNTIF('1月'!AI4:AI34,$B27)+COUNTIF('1月'!AM4:AM34,$B27)+COUNTIF('1月'!AN4:AN34,$B27)+COUNTIF('1月'!AR4:AR34,$B27)+COUNTIF('1月'!AS4:AS34,$B27)+COUNTIF('1月'!AW4:AW34,$B27)+COUNTIF('1月'!AX4:AX34,$B27)+COUNTIF('1月'!BB4:BB34,$B27)+COUNTIF('1月'!BC4:BC34,$B27)+COUNTIF('1月'!BG4:BG34,$B27)+COUNTIF('1月'!BH4:BH34,$B27)+COUNTIF('1月'!BL4:BL34,$B27)+COUNTIF('1月'!BM4:BM34,$B27)+COUNTIF('1月'!BQ4:BQ34,$B27)+COUNTIF('1月'!BR4:BR34,$B27)+COUNTIF('1月'!BV4:BV34,$B27)+COUNTIF('1月'!BW4:BW34,$B27)+COUNTIF('1月'!CA4:CA34,$B27)+COUNTIF('1月'!CB4:CB34,$B27)+COUNTIF('1月'!CF4:CF34,$B27)+COUNTIF('1月'!CG4:CG34,$B27)+COUNTIF('1月'!CK4:CK34,$B27)+COUNTIF('1月'!CL4:CL34,$B27)+COUNTIF('1月'!CP4:CP34,$B27)+COUNTIF('1月'!CQ4:CQ34,$B27)+COUNTIF('1月'!CU4:CU34,$B27)+COUNTIF('1月'!CV4:CV34,$B27)+COUNTIF('1月'!CZ4:CZ34,$B27)+COUNTIF('1月'!DA4:DA34,$B27)+COUNTIF('1月'!DE4:DE34,$B27)+COUNTIF('1月'!DF4:DF34,$B27)+COUNTIF('1月'!DJ4:DJ34,$B27)+COUNTIF('1月'!DK4:DK34,$B27)+COUNTIF('1月'!DO4:DO34,$B27)+COUNTIF('1月'!DP4:DP34,$B27)+COUNTIF('1月'!DT4:DT34,$B27)+COUNTIF('1月'!DU4:DU34,$B27)+COUNTIF('1月'!DY4:DY34,$B27)+COUNTIF('1月'!DZ4:DZ34,$B27)+COUNTIF('1月'!ED4:ED34,$B27)+COUNTIF('1月'!EE4:EE34,$B27)+COUNTIF('1月'!EI4:EI34,$B27)+COUNTIF('1月'!EJ4:EJ34,$B27)+COUNTIF('1月'!EN4:EN34,$B27)+COUNTIF('1月'!EO4:EO34,$B27)+COUNTIF('1月'!ES4:ES34,$B27)+COUNTIF('1月'!ET4:ET34,$B27)),0)</f>
        <v>0</v>
      </c>
      <c r="D27" s="76">
        <f>IFERROR(IF($B27="","",COUNTIF('2月'!D4:D34,$B27)+COUNTIF('2月'!E4:E34,$B27)+COUNTIF('2月'!I4:I34,$B27)+COUNTIF('2月'!J4:J34,$B27)+COUNTIF('2月'!N4:N34,$B27)+COUNTIF('2月'!O4:O34,$B27)+COUNTIF('2月'!S4:S34,$B27)+COUNTIF('2月'!T4:T34,$B27)+COUNTIF('2月'!X4:X34,$B27)+COUNTIF('2月'!Y4:Y34,$B27)+COUNTIF('2月'!AC4:AC34,$B27)+COUNTIF('2月'!AD4:AD34,$B27)+COUNTIF('2月'!AH4:AH34,$B27)+COUNTIF('2月'!AI4:AI34,$B27)+COUNTIF('2月'!AM4:AM34,$B27)+COUNTIF('2月'!AN4:AN34,$B27)+COUNTIF('2月'!AR4:AR34,$B27)+COUNTIF('2月'!AS4:AS34,$B27)+COUNTIF('2月'!AW4:AW34,$B27)+COUNTIF('2月'!AX4:AX34,$B27)+COUNTIF('2月'!BB4:BB34,$B27)+COUNTIF('2月'!BC4:BC34,$B27)+COUNTIF('2月'!BG4:BG34,$B27)+COUNTIF('2月'!BH4:BH34,$B27)+COUNTIF('2月'!BL4:BL34,$B27)+COUNTIF('2月'!BM4:BM34,$B27)+COUNTIF('2月'!BQ4:BQ34,$B27)+COUNTIF('2月'!BR4:BR34,$B27)+COUNTIF('2月'!BV4:BV34,$B27)+COUNTIF('2月'!BW4:BW34,$B27)+COUNTIF('2月'!CA4:CA34,$B27)+COUNTIF('2月'!CB4:CB34,$B27)+COUNTIF('2月'!CF4:CF34,$B27)+COUNTIF('2月'!CG4:CG34,$B27)+COUNTIF('2月'!CK4:CK34,$B27)+COUNTIF('2月'!CL4:CL34,$B27)+COUNTIF('2月'!CP4:CP34,$B27)+COUNTIF('2月'!CQ4:CQ34,$B27)+COUNTIF('2月'!CU4:CU34,$B27)+COUNTIF('2月'!CV4:CV34,$B27)+COUNTIF('2月'!CZ4:CZ34,$B27)+COUNTIF('2月'!DA4:DA34,$B27)+COUNTIF('2月'!DE4:DE34,$B27)+COUNTIF('2月'!DF4:DF34,$B27)+COUNTIF('2月'!DJ4:DJ34,$B27)+COUNTIF('2月'!DK4:DK34,$B27)+COUNTIF('2月'!DO4:DO34,$B27)+COUNTIF('2月'!DP4:DP34,$B27)+COUNTIF('2月'!DT4:DT34,$B27)+COUNTIF('2月'!DU4:DU34,$B27)+COUNTIF('2月'!DY4:DY34,$B27)+COUNTIF('2月'!DZ4:DZ34,$B27)+COUNTIF('2月'!ED4:ED34,$B27)+COUNTIF('2月'!EE4:EE34,$B27)+COUNTIF('2月'!EI4:EI34,$B27)+COUNTIF('2月'!EJ4:EJ34,$B27)+COUNTIF('2月'!EN4:EN34,$B27)+COUNTIF('2月'!EO4:EO34,$B27)+COUNTIF('2月'!ES4:ES34,$B27)+COUNTIF('2月'!ET4:ET34,$B27)),0)</f>
        <v>0</v>
      </c>
      <c r="E27" s="76">
        <f>IFERROR(IF($B27="","",COUNTIF('3月'!D4:D34,$B27)+COUNTIF('3月'!E4:E34,$B27)+COUNTIF('3月'!I4:I34,$B27)+COUNTIF('3月'!J4:J34,$B27)+COUNTIF('3月'!N4:N34,$B27)+COUNTIF('3月'!O4:O34,$B27)+COUNTIF('3月'!S4:S34,$B27)+COUNTIF('3月'!T4:T34,$B27)+COUNTIF('3月'!X4:X34,$B27)+COUNTIF('3月'!Y4:Y34,$B27)+COUNTIF('3月'!AC4:AC34,$B27)+COUNTIF('3月'!AD4:AD34,$B27)+COUNTIF('3月'!AH4:AH34,$B27)+COUNTIF('3月'!AI4:AI34,$B27)+COUNTIF('3月'!AM4:AM34,$B27)+COUNTIF('3月'!AN4:AN34,$B27)+COUNTIF('3月'!AR4:AR34,$B27)+COUNTIF('3月'!AS4:AS34,$B27)+COUNTIF('3月'!AW4:AW34,$B27)+COUNTIF('3月'!AX4:AX34,$B27)+COUNTIF('3月'!BB4:BB34,$B27)+COUNTIF('3月'!BC4:BC34,$B27)+COUNTIF('3月'!BG4:BG34,$B27)+COUNTIF('3月'!BH4:BH34,$B27)+COUNTIF('3月'!BL4:BL34,$B27)+COUNTIF('3月'!BM4:BM34,$B27)+COUNTIF('3月'!BQ4:BQ34,$B27)+COUNTIF('3月'!BR4:BR34,$B27)+COUNTIF('3月'!BV4:BV34,$B27)+COUNTIF('3月'!BW4:BW34,$B27)+COUNTIF('3月'!CA4:CA34,$B27)+COUNTIF('3月'!CB4:CB34,$B27)+COUNTIF('3月'!CF4:CF34,$B27)+COUNTIF('3月'!CG4:CG34,$B27)+COUNTIF('3月'!CK4:CK34,$B27)+COUNTIF('3月'!CL4:CL34,$B27)+COUNTIF('3月'!CP4:CP34,$B27)+COUNTIF('3月'!CQ4:CQ34,$B27)+COUNTIF('3月'!CU4:CU34,$B27)+COUNTIF('3月'!CV4:CV34,$B27)+COUNTIF('3月'!CZ4:CZ34,$B27)+COUNTIF('3月'!DA4:DA34,$B27)+COUNTIF('3月'!DE4:DE34,$B27)+COUNTIF('3月'!DF4:DF34,$B27)+COUNTIF('3月'!DJ4:DJ34,$B27)+COUNTIF('3月'!DK4:DK34,$B27)+COUNTIF('3月'!DO4:DO34,$B27)+COUNTIF('3月'!DP4:DP34,$B27)+COUNTIF('3月'!DT4:DT34,$B27)+COUNTIF('3月'!DU4:DU34,$B27)+COUNTIF('3月'!DY4:DY34,$B27)+COUNTIF('3月'!DZ4:DZ34,$B27)+COUNTIF('3月'!ED4:ED34,$B27)+COUNTIF('3月'!EE4:EE34,$B27)+COUNTIF('3月'!EI4:EI34,$B27)+COUNTIF('3月'!EJ4:EJ34,$B27)+COUNTIF('3月'!EN4:EN34,$B27)+COUNTIF('3月'!EO4:EO34,$B27)+COUNTIF('3月'!ES4:ES34,$B27)+COUNTIF('3月'!ET4:ET34,$B27)),0)</f>
        <v>0</v>
      </c>
      <c r="F27" s="76">
        <f>IFERROR(IF($B27="","",COUNTIF('4月'!D4:D34,$B27)+COUNTIF('4月'!E4:E34,$B27)+COUNTIF('4月'!I4:I34,$B27)+COUNTIF('4月'!J4:J34,$B27)+COUNTIF('4月'!N4:N34,$B27)+COUNTIF('4月'!O4:O34,$B27)+COUNTIF('4月'!S4:S34,$B27)+COUNTIF('4月'!T4:T34,$B27)+COUNTIF('4月'!X4:X34,$B27)+COUNTIF('4月'!Y4:Y34,$B27)+COUNTIF('4月'!AC4:AC34,$B27)+COUNTIF('4月'!AD4:AD34,$B27)+COUNTIF('4月'!AH4:AH34,$B27)+COUNTIF('4月'!AI4:AI34,$B27)+COUNTIF('4月'!AM4:AM34,$B27)+COUNTIF('4月'!AN4:AN34,$B27)+COUNTIF('4月'!AR4:AR34,$B27)+COUNTIF('4月'!AS4:AS34,$B27)+COUNTIF('4月'!AW4:AW34,$B27)+COUNTIF('4月'!AX4:AX34,$B27)+COUNTIF('4月'!BB4:BB34,$B27)+COUNTIF('4月'!BC4:BC34,$B27)+COUNTIF('4月'!BG4:BG34,$B27)+COUNTIF('4月'!BH4:BH34,$B27)+COUNTIF('4月'!BL4:BL34,$B27)+COUNTIF('4月'!BM4:BM34,$B27)+COUNTIF('4月'!BQ4:BQ34,$B27)+COUNTIF('4月'!BR4:BR34,$B27)+COUNTIF('4月'!BV4:BV34,$B27)+COUNTIF('4月'!BW4:BW34,$B27)+COUNTIF('4月'!CA4:CA34,$B27)+COUNTIF('4月'!CB4:CB34,$B27)+COUNTIF('4月'!CF4:CF34,$B27)+COUNTIF('4月'!CG4:CG34,$B27)+COUNTIF('4月'!CK4:CK34,$B27)+COUNTIF('4月'!CL4:CL34,$B27)+COUNTIF('4月'!CP4:CP34,$B27)+COUNTIF('4月'!CQ4:CQ34,$B27)+COUNTIF('4月'!CU4:CU34,$B27)+COUNTIF('4月'!CV4:CV34,$B27)+COUNTIF('4月'!CZ4:CZ34,$B27)+COUNTIF('4月'!DA4:DA34,$B27)+COUNTIF('4月'!DE4:DE34,$B27)+COUNTIF('4月'!DF4:DF34,$B27)+COUNTIF('4月'!DJ4:DJ34,$B27)+COUNTIF('4月'!DK4:DK34,$B27)+COUNTIF('4月'!DO4:DO34,$B27)+COUNTIF('4月'!DP4:DP34,$B27)+COUNTIF('4月'!DT4:DT34,$B27)+COUNTIF('4月'!DU4:DU34,$B27)+COUNTIF('4月'!DY4:DY34,$B27)+COUNTIF('4月'!DZ4:DZ34,$B27)+COUNTIF('4月'!ED4:ED34,$B27)+COUNTIF('4月'!EE4:EE34,$B27)+COUNTIF('4月'!EI4:EI34,$B27)+COUNTIF('4月'!EJ4:EJ34,$B27)+COUNTIF('4月'!EN4:EN34,$B27)+COUNTIF('4月'!EO4:EO34,$B27)+COUNTIF('4月'!ES4:ES34,$B27)+COUNTIF('4月'!ET4:ET34,$B27)),0)</f>
        <v>0</v>
      </c>
      <c r="G27" s="76">
        <f>IFERROR(IF($B27="","",COUNTIF('5月'!D4:D34,$B27)+COUNTIF('5月'!E4:E34,$B27)+COUNTIF('5月'!I4:I34,$B27)+COUNTIF('5月'!J4:J34,$B27)+COUNTIF('5月'!N4:N34,$B27)+COUNTIF('5月'!O4:O34,$B27)+COUNTIF('5月'!S4:S34,$B27)+COUNTIF('5月'!T4:T34,$B27)+COUNTIF('5月'!X4:X34,$B27)+COUNTIF('5月'!Y4:Y34,$B27)+COUNTIF('5月'!AC4:AC34,$B27)+COUNTIF('5月'!AD4:AD34,$B27)+COUNTIF('5月'!AH4:AH34,$B27)+COUNTIF('5月'!AI4:AI34,$B27)+COUNTIF('5月'!AM4:AM34,$B27)+COUNTIF('5月'!AN4:AN34,$B27)+COUNTIF('5月'!AR4:AR34,$B27)+COUNTIF('5月'!AS4:AS34,$B27)+COUNTIF('5月'!AW4:AW34,$B27)+COUNTIF('5月'!AX4:AX34,$B27)+COUNTIF('5月'!BB4:BB34,$B27)+COUNTIF('5月'!BC4:BC34,$B27)+COUNTIF('5月'!BG4:BG34,$B27)+COUNTIF('5月'!BH4:BH34,$B27)+COUNTIF('5月'!BL4:BL34,$B27)+COUNTIF('5月'!BM4:BM34,$B27)+COUNTIF('5月'!BQ4:BQ34,$B27)+COUNTIF('5月'!BR4:BR34,$B27)+COUNTIF('5月'!BV4:BV34,$B27)+COUNTIF('5月'!BW4:BW34,$B27)+COUNTIF('5月'!CA4:CA34,$B27)+COUNTIF('5月'!CB4:CB34,$B27)+COUNTIF('5月'!CF4:CF34,$B27)+COUNTIF('5月'!CG4:CG34,$B27)+COUNTIF('5月'!CK4:CK34,$B27)+COUNTIF('5月'!CL4:CL34,$B27)+COUNTIF('5月'!CP4:CP34,$B27)+COUNTIF('5月'!CQ4:CQ34,$B27)+COUNTIF('5月'!CU4:CU34,$B27)+COUNTIF('5月'!CV4:CV34,$B27)+COUNTIF('5月'!CZ4:CZ34,$B27)+COUNTIF('5月'!DA4:DA34,$B27)+COUNTIF('5月'!DE4:DE34,$B27)+COUNTIF('5月'!DF4:DF34,$B27)+COUNTIF('5月'!DJ4:DJ34,$B27)+COUNTIF('5月'!DK4:DK34,$B27)+COUNTIF('5月'!DO4:DO34,$B27)+COUNTIF('5月'!DP4:DP34,$B27)+COUNTIF('5月'!DT4:DT34,$B27)+COUNTIF('5月'!DU4:DU34,$B27)+COUNTIF('5月'!DY4:DY34,$B27)+COUNTIF('5月'!DZ4:DZ34,$B27)+COUNTIF('5月'!ED4:ED34,$B27)+COUNTIF('5月'!EE4:EE34,$B27)+COUNTIF('5月'!EI4:EI34,$B27)+COUNTIF('5月'!EJ4:EJ34,$B27)+COUNTIF('5月'!EN4:EN34,$B27)+COUNTIF('5月'!EO4:EO34,$B27)+COUNTIF('5月'!ES4:ES34,$B27)+COUNTIF('5月'!ET4:ET34,$B27)),0)</f>
        <v>0</v>
      </c>
      <c r="H27" s="76">
        <f>IFERROR(IF($B27="","",COUNTIF('6月'!D4:D34,$B27)+COUNTIF('6月'!E4:E34,$B27)+COUNTIF('6月'!I4:I34,$B27)+COUNTIF('6月'!J4:J34,$B27)+COUNTIF('6月'!N4:N34,$B27)+COUNTIF('6月'!O4:O34,$B27)+COUNTIF('6月'!S4:S34,$B27)+COUNTIF('6月'!T4:T34,$B27)+COUNTIF('6月'!X4:X34,$B27)+COUNTIF('6月'!Y4:Y34,$B27)+COUNTIF('6月'!AC4:AC34,$B27)+COUNTIF('6月'!AD4:AD34,$B27)+COUNTIF('6月'!AH4:AH34,$B27)+COUNTIF('6月'!AI4:AI34,$B27)+COUNTIF('6月'!AM4:AM34,$B27)+COUNTIF('6月'!AN4:AN34,$B27)+COUNTIF('6月'!AR4:AR34,$B27)+COUNTIF('6月'!AS4:AS34,$B27)+COUNTIF('6月'!AW4:AW34,$B27)+COUNTIF('6月'!AX4:AX34,$B27)+COUNTIF('6月'!BB4:BB34,$B27)+COUNTIF('6月'!BC4:BC34,$B27)+COUNTIF('6月'!BG4:BG34,$B27)+COUNTIF('6月'!BH4:BH34,$B27)+COUNTIF('6月'!BL4:BL34,$B27)+COUNTIF('6月'!BM4:BM34,$B27)+COUNTIF('6月'!BQ4:BQ34,$B27)+COUNTIF('6月'!BR4:BR34,$B27)+COUNTIF('6月'!BV4:BV34,$B27)+COUNTIF('6月'!BW4:BW34,$B27)+COUNTIF('6月'!CA4:CA34,$B27)+COUNTIF('6月'!CB4:CB34,$B27)+COUNTIF('6月'!CF4:CF34,$B27)+COUNTIF('6月'!CG4:CG34,$B27)+COUNTIF('6月'!CK4:CK34,$B27)+COUNTIF('6月'!CL4:CL34,$B27)+COUNTIF('6月'!CP4:CP34,$B27)+COUNTIF('6月'!CQ4:CQ34,$B27)+COUNTIF('6月'!CU4:CU34,$B27)+COUNTIF('6月'!CV4:CV34,$B27)+COUNTIF('6月'!CZ4:CZ34,$B27)+COUNTIF('6月'!DA4:DA34,$B27)+COUNTIF('6月'!DE4:DE34,$B27)+COUNTIF('6月'!DF4:DF34,$B27)+COUNTIF('6月'!DJ4:DJ34,$B27)+COUNTIF('6月'!DK4:DK34,$B27)+COUNTIF('6月'!DO4:DO34,$B27)+COUNTIF('6月'!DP4:DP34,$B27)+COUNTIF('6月'!DT4:DT34,$B27)+COUNTIF('6月'!DU4:DU34,$B27)+COUNTIF('6月'!DY4:DY34,$B27)+COUNTIF('6月'!DZ4:DZ34,$B27)+COUNTIF('6月'!ED4:ED34,$B27)+COUNTIF('6月'!EE4:EE34,$B27)+COUNTIF('6月'!EI4:EI34,$B27)+COUNTIF('6月'!EJ4:EJ34,$B27)+COUNTIF('6月'!EN4:EN34,$B27)+COUNTIF('6月'!EO4:EO34,$B27)+COUNTIF('6月'!ES4:ES34,$B27)+COUNTIF('6月'!ET4:ET34,$B27)),0)</f>
        <v>0</v>
      </c>
      <c r="I27" s="76">
        <f>IFERROR(IF($B27="","",COUNTIF('7月'!D4:D34,$B27)+COUNTIF('7月'!E4:E34,$B27)+COUNTIF('7月'!I4:I34,$B27)+COUNTIF('7月'!J4:J34,$B27)+COUNTIF('7月'!N4:N34,$B27)+COUNTIF('7月'!O4:O34,$B27)+COUNTIF('7月'!S4:S34,$B27)+COUNTIF('7月'!T4:T34,$B27)+COUNTIF('7月'!X4:X34,$B27)+COUNTIF('7月'!Y4:Y34,$B27)+COUNTIF('7月'!AC4:AC34,$B27)+COUNTIF('7月'!AD4:AD34,$B27)+COUNTIF('7月'!AH4:AH34,$B27)+COUNTIF('7月'!AI4:AI34,$B27)+COUNTIF('7月'!AM4:AM34,$B27)+COUNTIF('7月'!AN4:AN34,$B27)+COUNTIF('7月'!AR4:AR34,$B27)+COUNTIF('7月'!AS4:AS34,$B27)+COUNTIF('7月'!AW4:AW34,$B27)+COUNTIF('7月'!AX4:AX34,$B27)+COUNTIF('7月'!BB4:BB34,$B27)+COUNTIF('7月'!BC4:BC34,$B27)+COUNTIF('7月'!BG4:BG34,$B27)+COUNTIF('7月'!BH4:BH34,$B27)+COUNTIF('7月'!BL4:BL34,$B27)+COUNTIF('7月'!BM4:BM34,$B27)+COUNTIF('7月'!BQ4:BQ34,$B27)+COUNTIF('7月'!BR4:BR34,$B27)+COUNTIF('7月'!BV4:BV34,$B27)+COUNTIF('7月'!BW4:BW34,$B27)+COUNTIF('7月'!CA4:CA34,$B27)+COUNTIF('7月'!CB4:CB34,$B27)+COUNTIF('7月'!CF4:CF34,$B27)+COUNTIF('7月'!CG4:CG34,$B27)+COUNTIF('7月'!CK4:CK34,$B27)+COUNTIF('7月'!CL4:CL34,$B27)+COUNTIF('7月'!CP4:CP34,$B27)+COUNTIF('7月'!CQ4:CQ34,$B27)+COUNTIF('7月'!CU4:CU34,$B27)+COUNTIF('7月'!CV4:CV34,$B27)+COUNTIF('7月'!CZ4:CZ34,$B27)+COUNTIF('7月'!DA4:DA34,$B27)+COUNTIF('7月'!DE4:DE34,$B27)+COUNTIF('7月'!DF4:DF34,$B27)+COUNTIF('7月'!DJ4:DJ34,$B27)+COUNTIF('7月'!DK4:DK34,$B27)+COUNTIF('7月'!DO4:DO34,$B27)+COUNTIF('7月'!DP4:DP34,$B27)+COUNTIF('7月'!DT4:DT34,$B27)+COUNTIF('7月'!DU4:DU34,$B27)+COUNTIF('7月'!DY4:DY34,$B27)+COUNTIF('7月'!DZ4:DZ34,$B27)+COUNTIF('7月'!ED4:ED34,$B27)+COUNTIF('7月'!EE4:EE34,$B27)+COUNTIF('7月'!EI4:EI34,$B27)+COUNTIF('7月'!EJ4:EJ34,$B27)+COUNTIF('7月'!EN4:EN34,$B27)+COUNTIF('7月'!EO4:EO34,$B27)+COUNTIF('7月'!ES4:ES34,$B27)+COUNTIF('7月'!ET4:ET34,$B27)),0)</f>
        <v>0</v>
      </c>
      <c r="J27" s="76">
        <f>IFERROR(IF($B27="","",COUNTIF('8月'!D4:D34,$B27)+COUNTIF('8月'!E4:E34,$B27)+COUNTIF('8月'!I4:I34,$B27)+COUNTIF('8月'!J4:J34,$B27)+COUNTIF('8月'!N4:N34,$B27)+COUNTIF('8月'!O4:O34,$B27)+COUNTIF('8月'!S4:S34,$B27)+COUNTIF('8月'!T4:T34,$B27)+COUNTIF('8月'!X4:X34,$B27)+COUNTIF('8月'!Y4:Y34,$B27)+COUNTIF('8月'!AC4:AC34,$B27)+COUNTIF('8月'!AD4:AD34,$B27)+COUNTIF('8月'!AH4:AH34,$B27)+COUNTIF('8月'!AI4:AI34,$B27)+COUNTIF('8月'!AM4:AM34,$B27)+COUNTIF('8月'!AN4:AN34,$B27)+COUNTIF('8月'!AR4:AR34,$B27)+COUNTIF('8月'!AS4:AS34,$B27)+COUNTIF('8月'!AW4:AW34,$B27)+COUNTIF('8月'!AX4:AX34,$B27)+COUNTIF('8月'!BB4:BB34,$B27)+COUNTIF('8月'!BC4:BC34,$B27)+COUNTIF('8月'!BG4:BG34,$B27)+COUNTIF('8月'!BH4:BH34,$B27)+COUNTIF('8月'!BL4:BL34,$B27)+COUNTIF('8月'!BM4:BM34,$B27)+COUNTIF('8月'!BQ4:BQ34,$B27)+COUNTIF('8月'!BR4:BR34,$B27)+COUNTIF('8月'!BV4:BV34,$B27)+COUNTIF('8月'!BW4:BW34,$B27)+COUNTIF('8月'!CA4:CA34,$B27)+COUNTIF('8月'!CB4:CB34,$B27)+COUNTIF('8月'!CF4:CF34,$B27)+COUNTIF('8月'!CG4:CG34,$B27)+COUNTIF('8月'!CK4:CK34,$B27)+COUNTIF('8月'!CL4:CL34,$B27)+COUNTIF('8月'!CP4:CP34,$B27)+COUNTIF('8月'!CQ4:CQ34,$B27)+COUNTIF('8月'!CU4:CU34,$B27)+COUNTIF('8月'!CV4:CV34,$B27)+COUNTIF('8月'!CZ4:CZ34,$B27)+COUNTIF('8月'!DA4:DA34,$B27)+COUNTIF('8月'!DE4:DE34,$B27)+COUNTIF('8月'!DF4:DF34,$B27)+COUNTIF('8月'!DJ4:DJ34,$B27)+COUNTIF('8月'!DK4:DK34,$B27)+COUNTIF('8月'!DO4:DO34,$B27)+COUNTIF('8月'!DP4:DP34,$B27)+COUNTIF('8月'!DT4:DT34,$B27)+COUNTIF('8月'!DU4:DU34,$B27)+COUNTIF('8月'!DY4:DY34,$B27)+COUNTIF('8月'!DZ4:DZ34,$B27)+COUNTIF('8月'!ED4:ED34,$B27)+COUNTIF('8月'!EE4:EE34,$B27)+COUNTIF('8月'!EI4:EI34,$B27)+COUNTIF('8月'!EJ4:EJ34,$B27)+COUNTIF('8月'!EN4:EN34,$B27)+COUNTIF('8月'!EO4:EO34,$B27)+COUNTIF('8月'!ES4:ES34,$B27)+COUNTIF('8月'!ET4:ET34,$B27)),0)</f>
        <v>0</v>
      </c>
      <c r="K27" s="76">
        <f>IFERROR(IF($B27="","",COUNTIF('9月'!D4:D34,$B27)+COUNTIF('9月'!E4:E34,$B27)+COUNTIF('9月'!I4:I34,$B27)+COUNTIF('9月'!J4:J34,$B27)+COUNTIF('9月'!N4:N34,$B27)+COUNTIF('9月'!O4:O34,$B27)+COUNTIF('9月'!S4:S34,$B27)+COUNTIF('9月'!T4:T34,$B27)+COUNTIF('9月'!X4:X34,$B27)+COUNTIF('9月'!Y4:Y34,$B27)+COUNTIF('9月'!AC4:AC34,$B27)+COUNTIF('9月'!AD4:AD34,$B27)+COUNTIF('9月'!AH4:AH34,$B27)+COUNTIF('9月'!AI4:AI34,$B27)+COUNTIF('9月'!AM4:AM34,$B27)+COUNTIF('9月'!AN4:AN34,$B27)+COUNTIF('9月'!AR4:AR34,$B27)+COUNTIF('9月'!AS4:AS34,$B27)+COUNTIF('9月'!AW4:AW34,$B27)+COUNTIF('9月'!AX4:AX34,$B27)+COUNTIF('9月'!BB4:BB34,$B27)+COUNTIF('9月'!BC4:BC34,$B27)+COUNTIF('9月'!BG4:BG34,$B27)+COUNTIF('9月'!BH4:BH34,$B27)+COUNTIF('9月'!BL4:BL34,$B27)+COUNTIF('9月'!BM4:BM34,$B27)+COUNTIF('9月'!BQ4:BQ34,$B27)+COUNTIF('9月'!BR4:BR34,$B27)+COUNTIF('9月'!BV4:BV34,$B27)+COUNTIF('9月'!BW4:BW34,$B27)+COUNTIF('9月'!CA4:CA34,$B27)+COUNTIF('9月'!CB4:CB34,$B27)+COUNTIF('9月'!CF4:CF34,$B27)+COUNTIF('9月'!CG4:CG34,$B27)+COUNTIF('9月'!CK4:CK34,$B27)+COUNTIF('9月'!CL4:CL34,$B27)+COUNTIF('9月'!CP4:CP34,$B27)+COUNTIF('9月'!CQ4:CQ34,$B27)+COUNTIF('9月'!CU4:CU34,$B27)+COUNTIF('9月'!CV4:CV34,$B27)+COUNTIF('9月'!CZ4:CZ34,$B27)+COUNTIF('9月'!DA4:DA34,$B27)+COUNTIF('9月'!DE4:DE34,$B27)+COUNTIF('9月'!DF4:DF34,$B27)+COUNTIF('9月'!DJ4:DJ34,$B27)+COUNTIF('9月'!DK4:DK34,$B27)+COUNTIF('9月'!DO4:DO34,$B27)+COUNTIF('9月'!DP4:DP34,$B27)+COUNTIF('9月'!DT4:DT34,$B27)+COUNTIF('9月'!DU4:DU34,$B27)+COUNTIF('9月'!DY4:DY34,$B27)+COUNTIF('9月'!DZ4:DZ34,$B27)+COUNTIF('9月'!ED4:ED34,$B27)+COUNTIF('9月'!EE4:EE34,$B27)+COUNTIF('9月'!EI4:EI34,$B27)+COUNTIF('9月'!EJ4:EJ34,$B27)+COUNTIF('9月'!EN4:EN34,$B27)+COUNTIF('9月'!EO4:EO34,$B27)+COUNTIF('9月'!ES4:ES34,$B27)+COUNTIF('9月'!ET4:ET34,$B27)),0)</f>
        <v>0</v>
      </c>
      <c r="L27" s="76">
        <f>IFERROR(IF($B27="","",COUNTIF('10月'!D4:D34,$B27)+COUNTIF('10月'!E4:E34,$B27)+COUNTIF('10月'!I4:I34,$B27)+COUNTIF('10月'!J4:J34,$B27)+COUNTIF('10月'!N4:N34,$B27)+COUNTIF('10月'!O4:O34,$B27)+COUNTIF('10月'!S4:S34,$B27)+COUNTIF('10月'!T4:T34,$B27)+COUNTIF('10月'!X4:X34,$B27)+COUNTIF('10月'!Y4:Y34,$B27)+COUNTIF('10月'!AC4:AC34,$B27)+COUNTIF('10月'!AD4:AD34,$B27)+COUNTIF('10月'!AH4:AH34,$B27)+COUNTIF('10月'!AI4:AI34,$B27)+COUNTIF('10月'!AM4:AM34,$B27)+COUNTIF('10月'!AN4:AN34,$B27)+COUNTIF('10月'!AR4:AR34,$B27)+COUNTIF('10月'!AS4:AS34,$B27)+COUNTIF('10月'!AW4:AW34,$B27)+COUNTIF('10月'!AX4:AX34,$B27)+COUNTIF('10月'!BB4:BB34,$B27)+COUNTIF('10月'!BC4:BC34,$B27)+COUNTIF('10月'!BG4:BG34,$B27)+COUNTIF('10月'!BH4:BH34,$B27)+COUNTIF('10月'!BL4:BL34,$B27)+COUNTIF('10月'!BM4:BM34,$B27)+COUNTIF('10月'!BQ4:BQ34,$B27)+COUNTIF('10月'!BR4:BR34,$B27)+COUNTIF('10月'!BV4:BV34,$B27)+COUNTIF('10月'!BW4:BW34,$B27)+COUNTIF('10月'!CA4:CA34,$B27)+COUNTIF('10月'!CB4:CB34,$B27)+COUNTIF('10月'!CF4:CF34,$B27)+COUNTIF('10月'!CG4:CG34,$B27)+COUNTIF('10月'!CK4:CK34,$B27)+COUNTIF('10月'!CL4:CL34,$B27)+COUNTIF('10月'!CP4:CP34,$B27)+COUNTIF('10月'!CQ4:CQ34,$B27)+COUNTIF('10月'!CU4:CU34,$B27)+COUNTIF('10月'!CV4:CV34,$B27)+COUNTIF('10月'!CZ4:CZ34,$B27)+COUNTIF('10月'!DA4:DA34,$B27)+COUNTIF('10月'!DE4:DE34,$B27)+COUNTIF('10月'!DF4:DF34,$B27)+COUNTIF('10月'!DJ4:DJ34,$B27)+COUNTIF('10月'!DK4:DK34,$B27)+COUNTIF('10月'!DO4:DO34,$B27)+COUNTIF('10月'!DP4:DP34,$B27)+COUNTIF('10月'!DT4:DT34,$B27)+COUNTIF('10月'!DU4:DU34,$B27)+COUNTIF('10月'!DY4:DY34,$B27)+COUNTIF('10月'!DZ4:DZ34,$B27)+COUNTIF('10月'!ED4:ED34,$B27)+COUNTIF('10月'!EE4:EE34,$B27)+COUNTIF('10月'!EI4:EI34,$B27)+COUNTIF('10月'!EJ4:EJ34,$B27)+COUNTIF('10月'!EN4:EN34,$B27)+COUNTIF('10月'!EO4:EO34,$B27)+COUNTIF('10月'!ES4:ES34,$B27)+COUNTIF('10月'!ET4:ET34,$B27)),0)</f>
        <v>0</v>
      </c>
      <c r="M27" s="76">
        <f>IFERROR(IF($B27="","",COUNTIF('11月'!D4:D34,$B27)+COUNTIF('11月'!E4:E34,$B27)+COUNTIF('11月'!I4:I34,$B27)+COUNTIF('11月'!J4:J34,$B27)+COUNTIF('11月'!N4:N34,$B27)+COUNTIF('11月'!O4:O34,$B27)+COUNTIF('11月'!S4:S34,$B27)+COUNTIF('11月'!T4:T34,$B27)+COUNTIF('11月'!X4:X34,$B27)+COUNTIF('11月'!Y4:Y34,$B27)+COUNTIF('11月'!AC4:AC34,$B27)+COUNTIF('11月'!AD4:AD34,$B27)+COUNTIF('11月'!AH4:AH34,$B27)+COUNTIF('11月'!AI4:AI34,$B27)+COUNTIF('11月'!AM4:AM34,$B27)+COUNTIF('11月'!AN4:AN34,$B27)+COUNTIF('11月'!AR4:AR34,$B27)+COUNTIF('11月'!AS4:AS34,$B27)+COUNTIF('11月'!AW4:AW34,$B27)+COUNTIF('11月'!AX4:AX34,$B27)+COUNTIF('11月'!BB4:BB34,$B27)+COUNTIF('11月'!BC4:BC34,$B27)+COUNTIF('11月'!BG4:BG34,$B27)+COUNTIF('11月'!BH4:BH34,$B27)+COUNTIF('11月'!BL4:BL34,$B27)+COUNTIF('11月'!BM4:BM34,$B27)+COUNTIF('11月'!BQ4:BQ34,$B27)+COUNTIF('11月'!BR4:BR34,$B27)+COUNTIF('11月'!BV4:BV34,$B27)+COUNTIF('11月'!BW4:BW34,$B27)+COUNTIF('11月'!CA4:CA34,$B27)+COUNTIF('11月'!CB4:CB34,$B27)+COUNTIF('11月'!CF4:CF34,$B27)+COUNTIF('11月'!CG4:CG34,$B27)+COUNTIF('11月'!CK4:CK34,$B27)+COUNTIF('11月'!CL4:CL34,$B27)+COUNTIF('11月'!CP4:CP34,$B27)+COUNTIF('11月'!CQ4:CQ34,$B27)+COUNTIF('11月'!CU4:CU34,$B27)+COUNTIF('11月'!CV4:CV34,$B27)+COUNTIF('11月'!CZ4:CZ34,$B27)+COUNTIF('11月'!DA4:DA34,$B27)+COUNTIF('11月'!DE4:DE34,$B27)+COUNTIF('11月'!DF4:DF34,$B27)+COUNTIF('11月'!DJ4:DJ34,$B27)+COUNTIF('11月'!DK4:DK34,$B27)+COUNTIF('11月'!DO4:DO34,$B27)+COUNTIF('11月'!DP4:DP34,$B27)+COUNTIF('11月'!DT4:DT34,$B27)+COUNTIF('11月'!DU4:DU34,$B27)+COUNTIF('11月'!DY4:DY34,$B27)+COUNTIF('11月'!DZ4:DZ34,$B27)+COUNTIF('11月'!ED4:ED34,$B27)+COUNTIF('11月'!EE4:EE34,$B27)+COUNTIF('11月'!EI4:EI34,$B27)+COUNTIF('11月'!EJ4:EJ34,$B27)+COUNTIF('11月'!EN4:EN34,$B27)+COUNTIF('11月'!EO4:EO34,$B27)+COUNTIF('11月'!ES4:ES34,$B27)+COUNTIF('11月'!ET4:ET34,$B27)),0)</f>
        <v>0</v>
      </c>
      <c r="N27" s="76">
        <f>IFERROR(IF($B27="","",COUNTIF('12月'!D4:D34,$B27)+COUNTIF('12月'!E4:E34,$B27)+COUNTIF('12月'!I4:I34,$B27)+COUNTIF('12月'!J4:J34,$B27)+COUNTIF('12月'!N4:N34,$B27)+COUNTIF('12月'!O4:O34,$B27)+COUNTIF('12月'!S4:S34,$B27)+COUNTIF('12月'!T4:T34,$B27)+COUNTIF('12月'!X4:X34,$B27)+COUNTIF('12月'!Y4:Y34,$B27)+COUNTIF('12月'!AC4:AC34,$B27)+COUNTIF('12月'!AD4:AD34,$B27)+COUNTIF('12月'!AH4:AH34,$B27)+COUNTIF('12月'!AI4:AI34,$B27)+COUNTIF('12月'!AM4:AM34,$B27)+COUNTIF('12月'!AN4:AN34,$B27)+COUNTIF('12月'!AR4:AR34,$B27)+COUNTIF('12月'!AS4:AS34,$B27)+COUNTIF('12月'!AW4:AW34,$B27)+COUNTIF('12月'!AX4:AX34,$B27)+COUNTIF('12月'!BB4:BB34,$B27)+COUNTIF('12月'!BC4:BC34,$B27)+COUNTIF('12月'!BG4:BG34,$B27)+COUNTIF('12月'!BH4:BH34,$B27)+COUNTIF('12月'!BL4:BL34,$B27)+COUNTIF('12月'!BM4:BM34,$B27)+COUNTIF('12月'!BQ4:BQ34,$B27)+COUNTIF('12月'!BR4:BR34,$B27)+COUNTIF('12月'!BV4:BV34,$B27)+COUNTIF('12月'!BW4:BW34,$B27)+COUNTIF('12月'!CA4:CA34,$B27)+COUNTIF('12月'!CB4:CB34,$B27)+COUNTIF('12月'!CF4:CF34,$B27)+COUNTIF('12月'!CG4:CG34,$B27)+COUNTIF('12月'!CK4:CK34,$B27)+COUNTIF('12月'!CL4:CL34,$B27)+COUNTIF('12月'!CP4:CP34,$B27)+COUNTIF('12月'!CQ4:CQ34,$B27)+COUNTIF('12月'!CU4:CU34,$B27)+COUNTIF('12月'!CV4:CV34,$B27)+COUNTIF('12月'!CZ4:CZ34,$B27)+COUNTIF('12月'!DA4:DA34,$B27)+COUNTIF('12月'!DE4:DE34,$B27)+COUNTIF('12月'!DF4:DF34,$B27)+COUNTIF('12月'!DJ4:DJ34,$B27)+COUNTIF('12月'!DK4:DK34,$B27)+COUNTIF('12月'!DO4:DO34,$B27)+COUNTIF('12月'!DP4:DP34,$B27)+COUNTIF('12月'!DT4:DT34,$B27)+COUNTIF('12月'!DU4:DU34,$B27)+COUNTIF('12月'!DY4:DY34,$B27)+COUNTIF('12月'!DZ4:DZ34,$B27)+COUNTIF('12月'!ED4:ED34,$B27)+COUNTIF('12月'!EE4:EE34,$B27)+COUNTIF('12月'!EI4:EI34,$B27)+COUNTIF('12月'!EJ4:EJ34,$B27)+COUNTIF('12月'!EN4:EN34,$B27)+COUNTIF('12月'!EO4:EO34,$B27)+COUNTIF('12月'!ES4:ES34,$B27)+COUNTIF('12月'!ET4:ET34,$B27)),0)</f>
        <v>0</v>
      </c>
      <c r="O27" s="78">
        <f t="shared" si="0"/>
        <v>0</v>
      </c>
    </row>
    <row r="28" spans="1:15" ht="19.5" customHeight="1">
      <c r="A28" s="76">
        <v>26</v>
      </c>
      <c r="B28" s="77">
        <f>IFERROR(現場マスタ!$C$29,"")</f>
        <v>0</v>
      </c>
      <c r="C28" s="76">
        <f>IFERROR(IF($B28="","",COUNTIF('1月'!D4:D34,$B28)+COUNTIF('1月'!E4:E34,$B28)+COUNTIF('1月'!I4:I34,$B28)+COUNTIF('1月'!J4:J34,$B28)+COUNTIF('1月'!N4:N34,$B28)+COUNTIF('1月'!O4:O34,$B28)+COUNTIF('1月'!S4:S34,$B28)+COUNTIF('1月'!T4:T34,$B28)+COUNTIF('1月'!X4:X34,$B28)+COUNTIF('1月'!Y4:Y34,$B28)+COUNTIF('1月'!AC4:AC34,$B28)+COUNTIF('1月'!AD4:AD34,$B28)+COUNTIF('1月'!AH4:AH34,$B28)+COUNTIF('1月'!AI4:AI34,$B28)+COUNTIF('1月'!AM4:AM34,$B28)+COUNTIF('1月'!AN4:AN34,$B28)+COUNTIF('1月'!AR4:AR34,$B28)+COUNTIF('1月'!AS4:AS34,$B28)+COUNTIF('1月'!AW4:AW34,$B28)+COUNTIF('1月'!AX4:AX34,$B28)+COUNTIF('1月'!BB4:BB34,$B28)+COUNTIF('1月'!BC4:BC34,$B28)+COUNTIF('1月'!BG4:BG34,$B28)+COUNTIF('1月'!BH4:BH34,$B28)+COUNTIF('1月'!BL4:BL34,$B28)+COUNTIF('1月'!BM4:BM34,$B28)+COUNTIF('1月'!BQ4:BQ34,$B28)+COUNTIF('1月'!BR4:BR34,$B28)+COUNTIF('1月'!BV4:BV34,$B28)+COUNTIF('1月'!BW4:BW34,$B28)+COUNTIF('1月'!CA4:CA34,$B28)+COUNTIF('1月'!CB4:CB34,$B28)+COUNTIF('1月'!CF4:CF34,$B28)+COUNTIF('1月'!CG4:CG34,$B28)+COUNTIF('1月'!CK4:CK34,$B28)+COUNTIF('1月'!CL4:CL34,$B28)+COUNTIF('1月'!CP4:CP34,$B28)+COUNTIF('1月'!CQ4:CQ34,$B28)+COUNTIF('1月'!CU4:CU34,$B28)+COUNTIF('1月'!CV4:CV34,$B28)+COUNTIF('1月'!CZ4:CZ34,$B28)+COUNTIF('1月'!DA4:DA34,$B28)+COUNTIF('1月'!DE4:DE34,$B28)+COUNTIF('1月'!DF4:DF34,$B28)+COUNTIF('1月'!DJ4:DJ34,$B28)+COUNTIF('1月'!DK4:DK34,$B28)+COUNTIF('1月'!DO4:DO34,$B28)+COUNTIF('1月'!DP4:DP34,$B28)+COUNTIF('1月'!DT4:DT34,$B28)+COUNTIF('1月'!DU4:DU34,$B28)+COUNTIF('1月'!DY4:DY34,$B28)+COUNTIF('1月'!DZ4:DZ34,$B28)+COUNTIF('1月'!ED4:ED34,$B28)+COUNTIF('1月'!EE4:EE34,$B28)+COUNTIF('1月'!EI4:EI34,$B28)+COUNTIF('1月'!EJ4:EJ34,$B28)+COUNTIF('1月'!EN4:EN34,$B28)+COUNTIF('1月'!EO4:EO34,$B28)+COUNTIF('1月'!ES4:ES34,$B28)+COUNTIF('1月'!ET4:ET34,$B28)),0)</f>
        <v>0</v>
      </c>
      <c r="D28" s="76">
        <f>IFERROR(IF($B28="","",COUNTIF('2月'!D4:D34,$B28)+COUNTIF('2月'!E4:E34,$B28)+COUNTIF('2月'!I4:I34,$B28)+COUNTIF('2月'!J4:J34,$B28)+COUNTIF('2月'!N4:N34,$B28)+COUNTIF('2月'!O4:O34,$B28)+COUNTIF('2月'!S4:S34,$B28)+COUNTIF('2月'!T4:T34,$B28)+COUNTIF('2月'!X4:X34,$B28)+COUNTIF('2月'!Y4:Y34,$B28)+COUNTIF('2月'!AC4:AC34,$B28)+COUNTIF('2月'!AD4:AD34,$B28)+COUNTIF('2月'!AH4:AH34,$B28)+COUNTIF('2月'!AI4:AI34,$B28)+COUNTIF('2月'!AM4:AM34,$B28)+COUNTIF('2月'!AN4:AN34,$B28)+COUNTIF('2月'!AR4:AR34,$B28)+COUNTIF('2月'!AS4:AS34,$B28)+COUNTIF('2月'!AW4:AW34,$B28)+COUNTIF('2月'!AX4:AX34,$B28)+COUNTIF('2月'!BB4:BB34,$B28)+COUNTIF('2月'!BC4:BC34,$B28)+COUNTIF('2月'!BG4:BG34,$B28)+COUNTIF('2月'!BH4:BH34,$B28)+COUNTIF('2月'!BL4:BL34,$B28)+COUNTIF('2月'!BM4:BM34,$B28)+COUNTIF('2月'!BQ4:BQ34,$B28)+COUNTIF('2月'!BR4:BR34,$B28)+COUNTIF('2月'!BV4:BV34,$B28)+COUNTIF('2月'!BW4:BW34,$B28)+COUNTIF('2月'!CA4:CA34,$B28)+COUNTIF('2月'!CB4:CB34,$B28)+COUNTIF('2月'!CF4:CF34,$B28)+COUNTIF('2月'!CG4:CG34,$B28)+COUNTIF('2月'!CK4:CK34,$B28)+COUNTIF('2月'!CL4:CL34,$B28)+COUNTIF('2月'!CP4:CP34,$B28)+COUNTIF('2月'!CQ4:CQ34,$B28)+COUNTIF('2月'!CU4:CU34,$B28)+COUNTIF('2月'!CV4:CV34,$B28)+COUNTIF('2月'!CZ4:CZ34,$B28)+COUNTIF('2月'!DA4:DA34,$B28)+COUNTIF('2月'!DE4:DE34,$B28)+COUNTIF('2月'!DF4:DF34,$B28)+COUNTIF('2月'!DJ4:DJ34,$B28)+COUNTIF('2月'!DK4:DK34,$B28)+COUNTIF('2月'!DO4:DO34,$B28)+COUNTIF('2月'!DP4:DP34,$B28)+COUNTIF('2月'!DT4:DT34,$B28)+COUNTIF('2月'!DU4:DU34,$B28)+COUNTIF('2月'!DY4:DY34,$B28)+COUNTIF('2月'!DZ4:DZ34,$B28)+COUNTIF('2月'!ED4:ED34,$B28)+COUNTIF('2月'!EE4:EE34,$B28)+COUNTIF('2月'!EI4:EI34,$B28)+COUNTIF('2月'!EJ4:EJ34,$B28)+COUNTIF('2月'!EN4:EN34,$B28)+COUNTIF('2月'!EO4:EO34,$B28)+COUNTIF('2月'!ES4:ES34,$B28)+COUNTIF('2月'!ET4:ET34,$B28)),0)</f>
        <v>0</v>
      </c>
      <c r="E28" s="76">
        <f>IFERROR(IF($B28="","",COUNTIF('3月'!D4:D34,$B28)+COUNTIF('3月'!E4:E34,$B28)+COUNTIF('3月'!I4:I34,$B28)+COUNTIF('3月'!J4:J34,$B28)+COUNTIF('3月'!N4:N34,$B28)+COUNTIF('3月'!O4:O34,$B28)+COUNTIF('3月'!S4:S34,$B28)+COUNTIF('3月'!T4:T34,$B28)+COUNTIF('3月'!X4:X34,$B28)+COUNTIF('3月'!Y4:Y34,$B28)+COUNTIF('3月'!AC4:AC34,$B28)+COUNTIF('3月'!AD4:AD34,$B28)+COUNTIF('3月'!AH4:AH34,$B28)+COUNTIF('3月'!AI4:AI34,$B28)+COUNTIF('3月'!AM4:AM34,$B28)+COUNTIF('3月'!AN4:AN34,$B28)+COUNTIF('3月'!AR4:AR34,$B28)+COUNTIF('3月'!AS4:AS34,$B28)+COUNTIF('3月'!AW4:AW34,$B28)+COUNTIF('3月'!AX4:AX34,$B28)+COUNTIF('3月'!BB4:BB34,$B28)+COUNTIF('3月'!BC4:BC34,$B28)+COUNTIF('3月'!BG4:BG34,$B28)+COUNTIF('3月'!BH4:BH34,$B28)+COUNTIF('3月'!BL4:BL34,$B28)+COUNTIF('3月'!BM4:BM34,$B28)+COUNTIF('3月'!BQ4:BQ34,$B28)+COUNTIF('3月'!BR4:BR34,$B28)+COUNTIF('3月'!BV4:BV34,$B28)+COUNTIF('3月'!BW4:BW34,$B28)+COUNTIF('3月'!CA4:CA34,$B28)+COUNTIF('3月'!CB4:CB34,$B28)+COUNTIF('3月'!CF4:CF34,$B28)+COUNTIF('3月'!CG4:CG34,$B28)+COUNTIF('3月'!CK4:CK34,$B28)+COUNTIF('3月'!CL4:CL34,$B28)+COUNTIF('3月'!CP4:CP34,$B28)+COUNTIF('3月'!CQ4:CQ34,$B28)+COUNTIF('3月'!CU4:CU34,$B28)+COUNTIF('3月'!CV4:CV34,$B28)+COUNTIF('3月'!CZ4:CZ34,$B28)+COUNTIF('3月'!DA4:DA34,$B28)+COUNTIF('3月'!DE4:DE34,$B28)+COUNTIF('3月'!DF4:DF34,$B28)+COUNTIF('3月'!DJ4:DJ34,$B28)+COUNTIF('3月'!DK4:DK34,$B28)+COUNTIF('3月'!DO4:DO34,$B28)+COUNTIF('3月'!DP4:DP34,$B28)+COUNTIF('3月'!DT4:DT34,$B28)+COUNTIF('3月'!DU4:DU34,$B28)+COUNTIF('3月'!DY4:DY34,$B28)+COUNTIF('3月'!DZ4:DZ34,$B28)+COUNTIF('3月'!ED4:ED34,$B28)+COUNTIF('3月'!EE4:EE34,$B28)+COUNTIF('3月'!EI4:EI34,$B28)+COUNTIF('3月'!EJ4:EJ34,$B28)+COUNTIF('3月'!EN4:EN34,$B28)+COUNTIF('3月'!EO4:EO34,$B28)+COUNTIF('3月'!ES4:ES34,$B28)+COUNTIF('3月'!ET4:ET34,$B28)),0)</f>
        <v>0</v>
      </c>
      <c r="F28" s="76">
        <f>IFERROR(IF($B28="","",COUNTIF('4月'!D4:D34,$B28)+COUNTIF('4月'!E4:E34,$B28)+COUNTIF('4月'!I4:I34,$B28)+COUNTIF('4月'!J4:J34,$B28)+COUNTIF('4月'!N4:N34,$B28)+COUNTIF('4月'!O4:O34,$B28)+COUNTIF('4月'!S4:S34,$B28)+COUNTIF('4月'!T4:T34,$B28)+COUNTIF('4月'!X4:X34,$B28)+COUNTIF('4月'!Y4:Y34,$B28)+COUNTIF('4月'!AC4:AC34,$B28)+COUNTIF('4月'!AD4:AD34,$B28)+COUNTIF('4月'!AH4:AH34,$B28)+COUNTIF('4月'!AI4:AI34,$B28)+COUNTIF('4月'!AM4:AM34,$B28)+COUNTIF('4月'!AN4:AN34,$B28)+COUNTIF('4月'!AR4:AR34,$B28)+COUNTIF('4月'!AS4:AS34,$B28)+COUNTIF('4月'!AW4:AW34,$B28)+COUNTIF('4月'!AX4:AX34,$B28)+COUNTIF('4月'!BB4:BB34,$B28)+COUNTIF('4月'!BC4:BC34,$B28)+COUNTIF('4月'!BG4:BG34,$B28)+COUNTIF('4月'!BH4:BH34,$B28)+COUNTIF('4月'!BL4:BL34,$B28)+COUNTIF('4月'!BM4:BM34,$B28)+COUNTIF('4月'!BQ4:BQ34,$B28)+COUNTIF('4月'!BR4:BR34,$B28)+COUNTIF('4月'!BV4:BV34,$B28)+COUNTIF('4月'!BW4:BW34,$B28)+COUNTIF('4月'!CA4:CA34,$B28)+COUNTIF('4月'!CB4:CB34,$B28)+COUNTIF('4月'!CF4:CF34,$B28)+COUNTIF('4月'!CG4:CG34,$B28)+COUNTIF('4月'!CK4:CK34,$B28)+COUNTIF('4月'!CL4:CL34,$B28)+COUNTIF('4月'!CP4:CP34,$B28)+COUNTIF('4月'!CQ4:CQ34,$B28)+COUNTIF('4月'!CU4:CU34,$B28)+COUNTIF('4月'!CV4:CV34,$B28)+COUNTIF('4月'!CZ4:CZ34,$B28)+COUNTIF('4月'!DA4:DA34,$B28)+COUNTIF('4月'!DE4:DE34,$B28)+COUNTIF('4月'!DF4:DF34,$B28)+COUNTIF('4月'!DJ4:DJ34,$B28)+COUNTIF('4月'!DK4:DK34,$B28)+COUNTIF('4月'!DO4:DO34,$B28)+COUNTIF('4月'!DP4:DP34,$B28)+COUNTIF('4月'!DT4:DT34,$B28)+COUNTIF('4月'!DU4:DU34,$B28)+COUNTIF('4月'!DY4:DY34,$B28)+COUNTIF('4月'!DZ4:DZ34,$B28)+COUNTIF('4月'!ED4:ED34,$B28)+COUNTIF('4月'!EE4:EE34,$B28)+COUNTIF('4月'!EI4:EI34,$B28)+COUNTIF('4月'!EJ4:EJ34,$B28)+COUNTIF('4月'!EN4:EN34,$B28)+COUNTIF('4月'!EO4:EO34,$B28)+COUNTIF('4月'!ES4:ES34,$B28)+COUNTIF('4月'!ET4:ET34,$B28)),0)</f>
        <v>0</v>
      </c>
      <c r="G28" s="76">
        <f>IFERROR(IF($B28="","",COUNTIF('5月'!D4:D34,$B28)+COUNTIF('5月'!E4:E34,$B28)+COUNTIF('5月'!I4:I34,$B28)+COUNTIF('5月'!J4:J34,$B28)+COUNTIF('5月'!N4:N34,$B28)+COUNTIF('5月'!O4:O34,$B28)+COUNTIF('5月'!S4:S34,$B28)+COUNTIF('5月'!T4:T34,$B28)+COUNTIF('5月'!X4:X34,$B28)+COUNTIF('5月'!Y4:Y34,$B28)+COUNTIF('5月'!AC4:AC34,$B28)+COUNTIF('5月'!AD4:AD34,$B28)+COUNTIF('5月'!AH4:AH34,$B28)+COUNTIF('5月'!AI4:AI34,$B28)+COUNTIF('5月'!AM4:AM34,$B28)+COUNTIF('5月'!AN4:AN34,$B28)+COUNTIF('5月'!AR4:AR34,$B28)+COUNTIF('5月'!AS4:AS34,$B28)+COUNTIF('5月'!AW4:AW34,$B28)+COUNTIF('5月'!AX4:AX34,$B28)+COUNTIF('5月'!BB4:BB34,$B28)+COUNTIF('5月'!BC4:BC34,$B28)+COUNTIF('5月'!BG4:BG34,$B28)+COUNTIF('5月'!BH4:BH34,$B28)+COUNTIF('5月'!BL4:BL34,$B28)+COUNTIF('5月'!BM4:BM34,$B28)+COUNTIF('5月'!BQ4:BQ34,$B28)+COUNTIF('5月'!BR4:BR34,$B28)+COUNTIF('5月'!BV4:BV34,$B28)+COUNTIF('5月'!BW4:BW34,$B28)+COUNTIF('5月'!CA4:CA34,$B28)+COUNTIF('5月'!CB4:CB34,$B28)+COUNTIF('5月'!CF4:CF34,$B28)+COUNTIF('5月'!CG4:CG34,$B28)+COUNTIF('5月'!CK4:CK34,$B28)+COUNTIF('5月'!CL4:CL34,$B28)+COUNTIF('5月'!CP4:CP34,$B28)+COUNTIF('5月'!CQ4:CQ34,$B28)+COUNTIF('5月'!CU4:CU34,$B28)+COUNTIF('5月'!CV4:CV34,$B28)+COUNTIF('5月'!CZ4:CZ34,$B28)+COUNTIF('5月'!DA4:DA34,$B28)+COUNTIF('5月'!DE4:DE34,$B28)+COUNTIF('5月'!DF4:DF34,$B28)+COUNTIF('5月'!DJ4:DJ34,$B28)+COUNTIF('5月'!DK4:DK34,$B28)+COUNTIF('5月'!DO4:DO34,$B28)+COUNTIF('5月'!DP4:DP34,$B28)+COUNTIF('5月'!DT4:DT34,$B28)+COUNTIF('5月'!DU4:DU34,$B28)+COUNTIF('5月'!DY4:DY34,$B28)+COUNTIF('5月'!DZ4:DZ34,$B28)+COUNTIF('5月'!ED4:ED34,$B28)+COUNTIF('5月'!EE4:EE34,$B28)+COUNTIF('5月'!EI4:EI34,$B28)+COUNTIF('5月'!EJ4:EJ34,$B28)+COUNTIF('5月'!EN4:EN34,$B28)+COUNTIF('5月'!EO4:EO34,$B28)+COUNTIF('5月'!ES4:ES34,$B28)+COUNTIF('5月'!ET4:ET34,$B28)),0)</f>
        <v>0</v>
      </c>
      <c r="H28" s="76">
        <f>IFERROR(IF($B28="","",COUNTIF('6月'!D4:D34,$B28)+COUNTIF('6月'!E4:E34,$B28)+COUNTIF('6月'!I4:I34,$B28)+COUNTIF('6月'!J4:J34,$B28)+COUNTIF('6月'!N4:N34,$B28)+COUNTIF('6月'!O4:O34,$B28)+COUNTIF('6月'!S4:S34,$B28)+COUNTIF('6月'!T4:T34,$B28)+COUNTIF('6月'!X4:X34,$B28)+COUNTIF('6月'!Y4:Y34,$B28)+COUNTIF('6月'!AC4:AC34,$B28)+COUNTIF('6月'!AD4:AD34,$B28)+COUNTIF('6月'!AH4:AH34,$B28)+COUNTIF('6月'!AI4:AI34,$B28)+COUNTIF('6月'!AM4:AM34,$B28)+COUNTIF('6月'!AN4:AN34,$B28)+COUNTIF('6月'!AR4:AR34,$B28)+COUNTIF('6月'!AS4:AS34,$B28)+COUNTIF('6月'!AW4:AW34,$B28)+COUNTIF('6月'!AX4:AX34,$B28)+COUNTIF('6月'!BB4:BB34,$B28)+COUNTIF('6月'!BC4:BC34,$B28)+COUNTIF('6月'!BG4:BG34,$B28)+COUNTIF('6月'!BH4:BH34,$B28)+COUNTIF('6月'!BL4:BL34,$B28)+COUNTIF('6月'!BM4:BM34,$B28)+COUNTIF('6月'!BQ4:BQ34,$B28)+COUNTIF('6月'!BR4:BR34,$B28)+COUNTIF('6月'!BV4:BV34,$B28)+COUNTIF('6月'!BW4:BW34,$B28)+COUNTIF('6月'!CA4:CA34,$B28)+COUNTIF('6月'!CB4:CB34,$B28)+COUNTIF('6月'!CF4:CF34,$B28)+COUNTIF('6月'!CG4:CG34,$B28)+COUNTIF('6月'!CK4:CK34,$B28)+COUNTIF('6月'!CL4:CL34,$B28)+COUNTIF('6月'!CP4:CP34,$B28)+COUNTIF('6月'!CQ4:CQ34,$B28)+COUNTIF('6月'!CU4:CU34,$B28)+COUNTIF('6月'!CV4:CV34,$B28)+COUNTIF('6月'!CZ4:CZ34,$B28)+COUNTIF('6月'!DA4:DA34,$B28)+COUNTIF('6月'!DE4:DE34,$B28)+COUNTIF('6月'!DF4:DF34,$B28)+COUNTIF('6月'!DJ4:DJ34,$B28)+COUNTIF('6月'!DK4:DK34,$B28)+COUNTIF('6月'!DO4:DO34,$B28)+COUNTIF('6月'!DP4:DP34,$B28)+COUNTIF('6月'!DT4:DT34,$B28)+COUNTIF('6月'!DU4:DU34,$B28)+COUNTIF('6月'!DY4:DY34,$B28)+COUNTIF('6月'!DZ4:DZ34,$B28)+COUNTIF('6月'!ED4:ED34,$B28)+COUNTIF('6月'!EE4:EE34,$B28)+COUNTIF('6月'!EI4:EI34,$B28)+COUNTIF('6月'!EJ4:EJ34,$B28)+COUNTIF('6月'!EN4:EN34,$B28)+COUNTIF('6月'!EO4:EO34,$B28)+COUNTIF('6月'!ES4:ES34,$B28)+COUNTIF('6月'!ET4:ET34,$B28)),0)</f>
        <v>0</v>
      </c>
      <c r="I28" s="76">
        <f>IFERROR(IF($B28="","",COUNTIF('7月'!D4:D34,$B28)+COUNTIF('7月'!E4:E34,$B28)+COUNTIF('7月'!I4:I34,$B28)+COUNTIF('7月'!J4:J34,$B28)+COUNTIF('7月'!N4:N34,$B28)+COUNTIF('7月'!O4:O34,$B28)+COUNTIF('7月'!S4:S34,$B28)+COUNTIF('7月'!T4:T34,$B28)+COUNTIF('7月'!X4:X34,$B28)+COUNTIF('7月'!Y4:Y34,$B28)+COUNTIF('7月'!AC4:AC34,$B28)+COUNTIF('7月'!AD4:AD34,$B28)+COUNTIF('7月'!AH4:AH34,$B28)+COUNTIF('7月'!AI4:AI34,$B28)+COUNTIF('7月'!AM4:AM34,$B28)+COUNTIF('7月'!AN4:AN34,$B28)+COUNTIF('7月'!AR4:AR34,$B28)+COUNTIF('7月'!AS4:AS34,$B28)+COUNTIF('7月'!AW4:AW34,$B28)+COUNTIF('7月'!AX4:AX34,$B28)+COUNTIF('7月'!BB4:BB34,$B28)+COUNTIF('7月'!BC4:BC34,$B28)+COUNTIF('7月'!BG4:BG34,$B28)+COUNTIF('7月'!BH4:BH34,$B28)+COUNTIF('7月'!BL4:BL34,$B28)+COUNTIF('7月'!BM4:BM34,$B28)+COUNTIF('7月'!BQ4:BQ34,$B28)+COUNTIF('7月'!BR4:BR34,$B28)+COUNTIF('7月'!BV4:BV34,$B28)+COUNTIF('7月'!BW4:BW34,$B28)+COUNTIF('7月'!CA4:CA34,$B28)+COUNTIF('7月'!CB4:CB34,$B28)+COUNTIF('7月'!CF4:CF34,$B28)+COUNTIF('7月'!CG4:CG34,$B28)+COUNTIF('7月'!CK4:CK34,$B28)+COUNTIF('7月'!CL4:CL34,$B28)+COUNTIF('7月'!CP4:CP34,$B28)+COUNTIF('7月'!CQ4:CQ34,$B28)+COUNTIF('7月'!CU4:CU34,$B28)+COUNTIF('7月'!CV4:CV34,$B28)+COUNTIF('7月'!CZ4:CZ34,$B28)+COUNTIF('7月'!DA4:DA34,$B28)+COUNTIF('7月'!DE4:DE34,$B28)+COUNTIF('7月'!DF4:DF34,$B28)+COUNTIF('7月'!DJ4:DJ34,$B28)+COUNTIF('7月'!DK4:DK34,$B28)+COUNTIF('7月'!DO4:DO34,$B28)+COUNTIF('7月'!DP4:DP34,$B28)+COUNTIF('7月'!DT4:DT34,$B28)+COUNTIF('7月'!DU4:DU34,$B28)+COUNTIF('7月'!DY4:DY34,$B28)+COUNTIF('7月'!DZ4:DZ34,$B28)+COUNTIF('7月'!ED4:ED34,$B28)+COUNTIF('7月'!EE4:EE34,$B28)+COUNTIF('7月'!EI4:EI34,$B28)+COUNTIF('7月'!EJ4:EJ34,$B28)+COUNTIF('7月'!EN4:EN34,$B28)+COUNTIF('7月'!EO4:EO34,$B28)+COUNTIF('7月'!ES4:ES34,$B28)+COUNTIF('7月'!ET4:ET34,$B28)),0)</f>
        <v>0</v>
      </c>
      <c r="J28" s="76">
        <f>IFERROR(IF($B28="","",COUNTIF('8月'!D4:D34,$B28)+COUNTIF('8月'!E4:E34,$B28)+COUNTIF('8月'!I4:I34,$B28)+COUNTIF('8月'!J4:J34,$B28)+COUNTIF('8月'!N4:N34,$B28)+COUNTIF('8月'!O4:O34,$B28)+COUNTIF('8月'!S4:S34,$B28)+COUNTIF('8月'!T4:T34,$B28)+COUNTIF('8月'!X4:X34,$B28)+COUNTIF('8月'!Y4:Y34,$B28)+COUNTIF('8月'!AC4:AC34,$B28)+COUNTIF('8月'!AD4:AD34,$B28)+COUNTIF('8月'!AH4:AH34,$B28)+COUNTIF('8月'!AI4:AI34,$B28)+COUNTIF('8月'!AM4:AM34,$B28)+COUNTIF('8月'!AN4:AN34,$B28)+COUNTIF('8月'!AR4:AR34,$B28)+COUNTIF('8月'!AS4:AS34,$B28)+COUNTIF('8月'!AW4:AW34,$B28)+COUNTIF('8月'!AX4:AX34,$B28)+COUNTIF('8月'!BB4:BB34,$B28)+COUNTIF('8月'!BC4:BC34,$B28)+COUNTIF('8月'!BG4:BG34,$B28)+COUNTIF('8月'!BH4:BH34,$B28)+COUNTIF('8月'!BL4:BL34,$B28)+COUNTIF('8月'!BM4:BM34,$B28)+COUNTIF('8月'!BQ4:BQ34,$B28)+COUNTIF('8月'!BR4:BR34,$B28)+COUNTIF('8月'!BV4:BV34,$B28)+COUNTIF('8月'!BW4:BW34,$B28)+COUNTIF('8月'!CA4:CA34,$B28)+COUNTIF('8月'!CB4:CB34,$B28)+COUNTIF('8月'!CF4:CF34,$B28)+COUNTIF('8月'!CG4:CG34,$B28)+COUNTIF('8月'!CK4:CK34,$B28)+COUNTIF('8月'!CL4:CL34,$B28)+COUNTIF('8月'!CP4:CP34,$B28)+COUNTIF('8月'!CQ4:CQ34,$B28)+COUNTIF('8月'!CU4:CU34,$B28)+COUNTIF('8月'!CV4:CV34,$B28)+COUNTIF('8月'!CZ4:CZ34,$B28)+COUNTIF('8月'!DA4:DA34,$B28)+COUNTIF('8月'!DE4:DE34,$B28)+COUNTIF('8月'!DF4:DF34,$B28)+COUNTIF('8月'!DJ4:DJ34,$B28)+COUNTIF('8月'!DK4:DK34,$B28)+COUNTIF('8月'!DO4:DO34,$B28)+COUNTIF('8月'!DP4:DP34,$B28)+COUNTIF('8月'!DT4:DT34,$B28)+COUNTIF('8月'!DU4:DU34,$B28)+COUNTIF('8月'!DY4:DY34,$B28)+COUNTIF('8月'!DZ4:DZ34,$B28)+COUNTIF('8月'!ED4:ED34,$B28)+COUNTIF('8月'!EE4:EE34,$B28)+COUNTIF('8月'!EI4:EI34,$B28)+COUNTIF('8月'!EJ4:EJ34,$B28)+COUNTIF('8月'!EN4:EN34,$B28)+COUNTIF('8月'!EO4:EO34,$B28)+COUNTIF('8月'!ES4:ES34,$B28)+COUNTIF('8月'!ET4:ET34,$B28)),0)</f>
        <v>0</v>
      </c>
      <c r="K28" s="76">
        <f>IFERROR(IF($B28="","",COUNTIF('9月'!D4:D34,$B28)+COUNTIF('9月'!E4:E34,$B28)+COUNTIF('9月'!I4:I34,$B28)+COUNTIF('9月'!J4:J34,$B28)+COUNTIF('9月'!N4:N34,$B28)+COUNTIF('9月'!O4:O34,$B28)+COUNTIF('9月'!S4:S34,$B28)+COUNTIF('9月'!T4:T34,$B28)+COUNTIF('9月'!X4:X34,$B28)+COUNTIF('9月'!Y4:Y34,$B28)+COUNTIF('9月'!AC4:AC34,$B28)+COUNTIF('9月'!AD4:AD34,$B28)+COUNTIF('9月'!AH4:AH34,$B28)+COUNTIF('9月'!AI4:AI34,$B28)+COUNTIF('9月'!AM4:AM34,$B28)+COUNTIF('9月'!AN4:AN34,$B28)+COUNTIF('9月'!AR4:AR34,$B28)+COUNTIF('9月'!AS4:AS34,$B28)+COUNTIF('9月'!AW4:AW34,$B28)+COUNTIF('9月'!AX4:AX34,$B28)+COUNTIF('9月'!BB4:BB34,$B28)+COUNTIF('9月'!BC4:BC34,$B28)+COUNTIF('9月'!BG4:BG34,$B28)+COUNTIF('9月'!BH4:BH34,$B28)+COUNTIF('9月'!BL4:BL34,$B28)+COUNTIF('9月'!BM4:BM34,$B28)+COUNTIF('9月'!BQ4:BQ34,$B28)+COUNTIF('9月'!BR4:BR34,$B28)+COUNTIF('9月'!BV4:BV34,$B28)+COUNTIF('9月'!BW4:BW34,$B28)+COUNTIF('9月'!CA4:CA34,$B28)+COUNTIF('9月'!CB4:CB34,$B28)+COUNTIF('9月'!CF4:CF34,$B28)+COUNTIF('9月'!CG4:CG34,$B28)+COUNTIF('9月'!CK4:CK34,$B28)+COUNTIF('9月'!CL4:CL34,$B28)+COUNTIF('9月'!CP4:CP34,$B28)+COUNTIF('9月'!CQ4:CQ34,$B28)+COUNTIF('9月'!CU4:CU34,$B28)+COUNTIF('9月'!CV4:CV34,$B28)+COUNTIF('9月'!CZ4:CZ34,$B28)+COUNTIF('9月'!DA4:DA34,$B28)+COUNTIF('9月'!DE4:DE34,$B28)+COUNTIF('9月'!DF4:DF34,$B28)+COUNTIF('9月'!DJ4:DJ34,$B28)+COUNTIF('9月'!DK4:DK34,$B28)+COUNTIF('9月'!DO4:DO34,$B28)+COUNTIF('9月'!DP4:DP34,$B28)+COUNTIF('9月'!DT4:DT34,$B28)+COUNTIF('9月'!DU4:DU34,$B28)+COUNTIF('9月'!DY4:DY34,$B28)+COUNTIF('9月'!DZ4:DZ34,$B28)+COUNTIF('9月'!ED4:ED34,$B28)+COUNTIF('9月'!EE4:EE34,$B28)+COUNTIF('9月'!EI4:EI34,$B28)+COUNTIF('9月'!EJ4:EJ34,$B28)+COUNTIF('9月'!EN4:EN34,$B28)+COUNTIF('9月'!EO4:EO34,$B28)+COUNTIF('9月'!ES4:ES34,$B28)+COUNTIF('9月'!ET4:ET34,$B28)),0)</f>
        <v>0</v>
      </c>
      <c r="L28" s="76">
        <f>IFERROR(IF($B28="","",COUNTIF('10月'!D4:D34,$B28)+COUNTIF('10月'!E4:E34,$B28)+COUNTIF('10月'!I4:I34,$B28)+COUNTIF('10月'!J4:J34,$B28)+COUNTIF('10月'!N4:N34,$B28)+COUNTIF('10月'!O4:O34,$B28)+COUNTIF('10月'!S4:S34,$B28)+COUNTIF('10月'!T4:T34,$B28)+COUNTIF('10月'!X4:X34,$B28)+COUNTIF('10月'!Y4:Y34,$B28)+COUNTIF('10月'!AC4:AC34,$B28)+COUNTIF('10月'!AD4:AD34,$B28)+COUNTIF('10月'!AH4:AH34,$B28)+COUNTIF('10月'!AI4:AI34,$B28)+COUNTIF('10月'!AM4:AM34,$B28)+COUNTIF('10月'!AN4:AN34,$B28)+COUNTIF('10月'!AR4:AR34,$B28)+COUNTIF('10月'!AS4:AS34,$B28)+COUNTIF('10月'!AW4:AW34,$B28)+COUNTIF('10月'!AX4:AX34,$B28)+COUNTIF('10月'!BB4:BB34,$B28)+COUNTIF('10月'!BC4:BC34,$B28)+COUNTIF('10月'!BG4:BG34,$B28)+COUNTIF('10月'!BH4:BH34,$B28)+COUNTIF('10月'!BL4:BL34,$B28)+COUNTIF('10月'!BM4:BM34,$B28)+COUNTIF('10月'!BQ4:BQ34,$B28)+COUNTIF('10月'!BR4:BR34,$B28)+COUNTIF('10月'!BV4:BV34,$B28)+COUNTIF('10月'!BW4:BW34,$B28)+COUNTIF('10月'!CA4:CA34,$B28)+COUNTIF('10月'!CB4:CB34,$B28)+COUNTIF('10月'!CF4:CF34,$B28)+COUNTIF('10月'!CG4:CG34,$B28)+COUNTIF('10月'!CK4:CK34,$B28)+COUNTIF('10月'!CL4:CL34,$B28)+COUNTIF('10月'!CP4:CP34,$B28)+COUNTIF('10月'!CQ4:CQ34,$B28)+COUNTIF('10月'!CU4:CU34,$B28)+COUNTIF('10月'!CV4:CV34,$B28)+COUNTIF('10月'!CZ4:CZ34,$B28)+COUNTIF('10月'!DA4:DA34,$B28)+COUNTIF('10月'!DE4:DE34,$B28)+COUNTIF('10月'!DF4:DF34,$B28)+COUNTIF('10月'!DJ4:DJ34,$B28)+COUNTIF('10月'!DK4:DK34,$B28)+COUNTIF('10月'!DO4:DO34,$B28)+COUNTIF('10月'!DP4:DP34,$B28)+COUNTIF('10月'!DT4:DT34,$B28)+COUNTIF('10月'!DU4:DU34,$B28)+COUNTIF('10月'!DY4:DY34,$B28)+COUNTIF('10月'!DZ4:DZ34,$B28)+COUNTIF('10月'!ED4:ED34,$B28)+COUNTIF('10月'!EE4:EE34,$B28)+COUNTIF('10月'!EI4:EI34,$B28)+COUNTIF('10月'!EJ4:EJ34,$B28)+COUNTIF('10月'!EN4:EN34,$B28)+COUNTIF('10月'!EO4:EO34,$B28)+COUNTIF('10月'!ES4:ES34,$B28)+COUNTIF('10月'!ET4:ET34,$B28)),0)</f>
        <v>0</v>
      </c>
      <c r="M28" s="76">
        <f>IFERROR(IF($B28="","",COUNTIF('11月'!D4:D34,$B28)+COUNTIF('11月'!E4:E34,$B28)+COUNTIF('11月'!I4:I34,$B28)+COUNTIF('11月'!J4:J34,$B28)+COUNTIF('11月'!N4:N34,$B28)+COUNTIF('11月'!O4:O34,$B28)+COUNTIF('11月'!S4:S34,$B28)+COUNTIF('11月'!T4:T34,$B28)+COUNTIF('11月'!X4:X34,$B28)+COUNTIF('11月'!Y4:Y34,$B28)+COUNTIF('11月'!AC4:AC34,$B28)+COUNTIF('11月'!AD4:AD34,$B28)+COUNTIF('11月'!AH4:AH34,$B28)+COUNTIF('11月'!AI4:AI34,$B28)+COUNTIF('11月'!AM4:AM34,$B28)+COUNTIF('11月'!AN4:AN34,$B28)+COUNTIF('11月'!AR4:AR34,$B28)+COUNTIF('11月'!AS4:AS34,$B28)+COUNTIF('11月'!AW4:AW34,$B28)+COUNTIF('11月'!AX4:AX34,$B28)+COUNTIF('11月'!BB4:BB34,$B28)+COUNTIF('11月'!BC4:BC34,$B28)+COUNTIF('11月'!BG4:BG34,$B28)+COUNTIF('11月'!BH4:BH34,$B28)+COUNTIF('11月'!BL4:BL34,$B28)+COUNTIF('11月'!BM4:BM34,$B28)+COUNTIF('11月'!BQ4:BQ34,$B28)+COUNTIF('11月'!BR4:BR34,$B28)+COUNTIF('11月'!BV4:BV34,$B28)+COUNTIF('11月'!BW4:BW34,$B28)+COUNTIF('11月'!CA4:CA34,$B28)+COUNTIF('11月'!CB4:CB34,$B28)+COUNTIF('11月'!CF4:CF34,$B28)+COUNTIF('11月'!CG4:CG34,$B28)+COUNTIF('11月'!CK4:CK34,$B28)+COUNTIF('11月'!CL4:CL34,$B28)+COUNTIF('11月'!CP4:CP34,$B28)+COUNTIF('11月'!CQ4:CQ34,$B28)+COUNTIF('11月'!CU4:CU34,$B28)+COUNTIF('11月'!CV4:CV34,$B28)+COUNTIF('11月'!CZ4:CZ34,$B28)+COUNTIF('11月'!DA4:DA34,$B28)+COUNTIF('11月'!DE4:DE34,$B28)+COUNTIF('11月'!DF4:DF34,$B28)+COUNTIF('11月'!DJ4:DJ34,$B28)+COUNTIF('11月'!DK4:DK34,$B28)+COUNTIF('11月'!DO4:DO34,$B28)+COUNTIF('11月'!DP4:DP34,$B28)+COUNTIF('11月'!DT4:DT34,$B28)+COUNTIF('11月'!DU4:DU34,$B28)+COUNTIF('11月'!DY4:DY34,$B28)+COUNTIF('11月'!DZ4:DZ34,$B28)+COUNTIF('11月'!ED4:ED34,$B28)+COUNTIF('11月'!EE4:EE34,$B28)+COUNTIF('11月'!EI4:EI34,$B28)+COUNTIF('11月'!EJ4:EJ34,$B28)+COUNTIF('11月'!EN4:EN34,$B28)+COUNTIF('11月'!EO4:EO34,$B28)+COUNTIF('11月'!ES4:ES34,$B28)+COUNTIF('11月'!ET4:ET34,$B28)),0)</f>
        <v>0</v>
      </c>
      <c r="N28" s="76">
        <f>IFERROR(IF($B28="","",COUNTIF('12月'!D4:D34,$B28)+COUNTIF('12月'!E4:E34,$B28)+COUNTIF('12月'!I4:I34,$B28)+COUNTIF('12月'!J4:J34,$B28)+COUNTIF('12月'!N4:N34,$B28)+COUNTIF('12月'!O4:O34,$B28)+COUNTIF('12月'!S4:S34,$B28)+COUNTIF('12月'!T4:T34,$B28)+COUNTIF('12月'!X4:X34,$B28)+COUNTIF('12月'!Y4:Y34,$B28)+COUNTIF('12月'!AC4:AC34,$B28)+COUNTIF('12月'!AD4:AD34,$B28)+COUNTIF('12月'!AH4:AH34,$B28)+COUNTIF('12月'!AI4:AI34,$B28)+COUNTIF('12月'!AM4:AM34,$B28)+COUNTIF('12月'!AN4:AN34,$B28)+COUNTIF('12月'!AR4:AR34,$B28)+COUNTIF('12月'!AS4:AS34,$B28)+COUNTIF('12月'!AW4:AW34,$B28)+COUNTIF('12月'!AX4:AX34,$B28)+COUNTIF('12月'!BB4:BB34,$B28)+COUNTIF('12月'!BC4:BC34,$B28)+COUNTIF('12月'!BG4:BG34,$B28)+COUNTIF('12月'!BH4:BH34,$B28)+COUNTIF('12月'!BL4:BL34,$B28)+COUNTIF('12月'!BM4:BM34,$B28)+COUNTIF('12月'!BQ4:BQ34,$B28)+COUNTIF('12月'!BR4:BR34,$B28)+COUNTIF('12月'!BV4:BV34,$B28)+COUNTIF('12月'!BW4:BW34,$B28)+COUNTIF('12月'!CA4:CA34,$B28)+COUNTIF('12月'!CB4:CB34,$B28)+COUNTIF('12月'!CF4:CF34,$B28)+COUNTIF('12月'!CG4:CG34,$B28)+COUNTIF('12月'!CK4:CK34,$B28)+COUNTIF('12月'!CL4:CL34,$B28)+COUNTIF('12月'!CP4:CP34,$B28)+COUNTIF('12月'!CQ4:CQ34,$B28)+COUNTIF('12月'!CU4:CU34,$B28)+COUNTIF('12月'!CV4:CV34,$B28)+COUNTIF('12月'!CZ4:CZ34,$B28)+COUNTIF('12月'!DA4:DA34,$B28)+COUNTIF('12月'!DE4:DE34,$B28)+COUNTIF('12月'!DF4:DF34,$B28)+COUNTIF('12月'!DJ4:DJ34,$B28)+COUNTIF('12月'!DK4:DK34,$B28)+COUNTIF('12月'!DO4:DO34,$B28)+COUNTIF('12月'!DP4:DP34,$B28)+COUNTIF('12月'!DT4:DT34,$B28)+COUNTIF('12月'!DU4:DU34,$B28)+COUNTIF('12月'!DY4:DY34,$B28)+COUNTIF('12月'!DZ4:DZ34,$B28)+COUNTIF('12月'!ED4:ED34,$B28)+COUNTIF('12月'!EE4:EE34,$B28)+COUNTIF('12月'!EI4:EI34,$B28)+COUNTIF('12月'!EJ4:EJ34,$B28)+COUNTIF('12月'!EN4:EN34,$B28)+COUNTIF('12月'!EO4:EO34,$B28)+COUNTIF('12月'!ES4:ES34,$B28)+COUNTIF('12月'!ET4:ET34,$B28)),0)</f>
        <v>0</v>
      </c>
      <c r="O28" s="78">
        <f t="shared" si="0"/>
        <v>0</v>
      </c>
    </row>
    <row r="29" spans="1:15" ht="19.5" customHeight="1">
      <c r="A29" s="76">
        <v>27</v>
      </c>
      <c r="B29" s="77">
        <f>IFERROR(現場マスタ!$C$30,"")</f>
        <v>0</v>
      </c>
      <c r="C29" s="76">
        <f>IFERROR(IF($B29="","",COUNTIF('1月'!D4:D34,$B29)+COUNTIF('1月'!E4:E34,$B29)+COUNTIF('1月'!I4:I34,$B29)+COUNTIF('1月'!J4:J34,$B29)+COUNTIF('1月'!N4:N34,$B29)+COUNTIF('1月'!O4:O34,$B29)+COUNTIF('1月'!S4:S34,$B29)+COUNTIF('1月'!T4:T34,$B29)+COUNTIF('1月'!X4:X34,$B29)+COUNTIF('1月'!Y4:Y34,$B29)+COUNTIF('1月'!AC4:AC34,$B29)+COUNTIF('1月'!AD4:AD34,$B29)+COUNTIF('1月'!AH4:AH34,$B29)+COUNTIF('1月'!AI4:AI34,$B29)+COUNTIF('1月'!AM4:AM34,$B29)+COUNTIF('1月'!AN4:AN34,$B29)+COUNTIF('1月'!AR4:AR34,$B29)+COUNTIF('1月'!AS4:AS34,$B29)+COUNTIF('1月'!AW4:AW34,$B29)+COUNTIF('1月'!AX4:AX34,$B29)+COUNTIF('1月'!BB4:BB34,$B29)+COUNTIF('1月'!BC4:BC34,$B29)+COUNTIF('1月'!BG4:BG34,$B29)+COUNTIF('1月'!BH4:BH34,$B29)+COUNTIF('1月'!BL4:BL34,$B29)+COUNTIF('1月'!BM4:BM34,$B29)+COUNTIF('1月'!BQ4:BQ34,$B29)+COUNTIF('1月'!BR4:BR34,$B29)+COUNTIF('1月'!BV4:BV34,$B29)+COUNTIF('1月'!BW4:BW34,$B29)+COUNTIF('1月'!CA4:CA34,$B29)+COUNTIF('1月'!CB4:CB34,$B29)+COUNTIF('1月'!CF4:CF34,$B29)+COUNTIF('1月'!CG4:CG34,$B29)+COUNTIF('1月'!CK4:CK34,$B29)+COUNTIF('1月'!CL4:CL34,$B29)+COUNTIF('1月'!CP4:CP34,$B29)+COUNTIF('1月'!CQ4:CQ34,$B29)+COUNTIF('1月'!CU4:CU34,$B29)+COUNTIF('1月'!CV4:CV34,$B29)+COUNTIF('1月'!CZ4:CZ34,$B29)+COUNTIF('1月'!DA4:DA34,$B29)+COUNTIF('1月'!DE4:DE34,$B29)+COUNTIF('1月'!DF4:DF34,$B29)+COUNTIF('1月'!DJ4:DJ34,$B29)+COUNTIF('1月'!DK4:DK34,$B29)+COUNTIF('1月'!DO4:DO34,$B29)+COUNTIF('1月'!DP4:DP34,$B29)+COUNTIF('1月'!DT4:DT34,$B29)+COUNTIF('1月'!DU4:DU34,$B29)+COUNTIF('1月'!DY4:DY34,$B29)+COUNTIF('1月'!DZ4:DZ34,$B29)+COUNTIF('1月'!ED4:ED34,$B29)+COUNTIF('1月'!EE4:EE34,$B29)+COUNTIF('1月'!EI4:EI34,$B29)+COUNTIF('1月'!EJ4:EJ34,$B29)+COUNTIF('1月'!EN4:EN34,$B29)+COUNTIF('1月'!EO4:EO34,$B29)+COUNTIF('1月'!ES4:ES34,$B29)+COUNTIF('1月'!ET4:ET34,$B29)),0)</f>
        <v>0</v>
      </c>
      <c r="D29" s="76">
        <f>IFERROR(IF($B29="","",COUNTIF('2月'!D4:D34,$B29)+COUNTIF('2月'!E4:E34,$B29)+COUNTIF('2月'!I4:I34,$B29)+COUNTIF('2月'!J4:J34,$B29)+COUNTIF('2月'!N4:N34,$B29)+COUNTIF('2月'!O4:O34,$B29)+COUNTIF('2月'!S4:S34,$B29)+COUNTIF('2月'!T4:T34,$B29)+COUNTIF('2月'!X4:X34,$B29)+COUNTIF('2月'!Y4:Y34,$B29)+COUNTIF('2月'!AC4:AC34,$B29)+COUNTIF('2月'!AD4:AD34,$B29)+COUNTIF('2月'!AH4:AH34,$B29)+COUNTIF('2月'!AI4:AI34,$B29)+COUNTIF('2月'!AM4:AM34,$B29)+COUNTIF('2月'!AN4:AN34,$B29)+COUNTIF('2月'!AR4:AR34,$B29)+COUNTIF('2月'!AS4:AS34,$B29)+COUNTIF('2月'!AW4:AW34,$B29)+COUNTIF('2月'!AX4:AX34,$B29)+COUNTIF('2月'!BB4:BB34,$B29)+COUNTIF('2月'!BC4:BC34,$B29)+COUNTIF('2月'!BG4:BG34,$B29)+COUNTIF('2月'!BH4:BH34,$B29)+COUNTIF('2月'!BL4:BL34,$B29)+COUNTIF('2月'!BM4:BM34,$B29)+COUNTIF('2月'!BQ4:BQ34,$B29)+COUNTIF('2月'!BR4:BR34,$B29)+COUNTIF('2月'!BV4:BV34,$B29)+COUNTIF('2月'!BW4:BW34,$B29)+COUNTIF('2月'!CA4:CA34,$B29)+COUNTIF('2月'!CB4:CB34,$B29)+COUNTIF('2月'!CF4:CF34,$B29)+COUNTIF('2月'!CG4:CG34,$B29)+COUNTIF('2月'!CK4:CK34,$B29)+COUNTIF('2月'!CL4:CL34,$B29)+COUNTIF('2月'!CP4:CP34,$B29)+COUNTIF('2月'!CQ4:CQ34,$B29)+COUNTIF('2月'!CU4:CU34,$B29)+COUNTIF('2月'!CV4:CV34,$B29)+COUNTIF('2月'!CZ4:CZ34,$B29)+COUNTIF('2月'!DA4:DA34,$B29)+COUNTIF('2月'!DE4:DE34,$B29)+COUNTIF('2月'!DF4:DF34,$B29)+COUNTIF('2月'!DJ4:DJ34,$B29)+COUNTIF('2月'!DK4:DK34,$B29)+COUNTIF('2月'!DO4:DO34,$B29)+COUNTIF('2月'!DP4:DP34,$B29)+COUNTIF('2月'!DT4:DT34,$B29)+COUNTIF('2月'!DU4:DU34,$B29)+COUNTIF('2月'!DY4:DY34,$B29)+COUNTIF('2月'!DZ4:DZ34,$B29)+COUNTIF('2月'!ED4:ED34,$B29)+COUNTIF('2月'!EE4:EE34,$B29)+COUNTIF('2月'!EI4:EI34,$B29)+COUNTIF('2月'!EJ4:EJ34,$B29)+COUNTIF('2月'!EN4:EN34,$B29)+COUNTIF('2月'!EO4:EO34,$B29)+COUNTIF('2月'!ES4:ES34,$B29)+COUNTIF('2月'!ET4:ET34,$B29)),0)</f>
        <v>0</v>
      </c>
      <c r="E29" s="76">
        <f>IFERROR(IF($B29="","",COUNTIF('3月'!D4:D34,$B29)+COUNTIF('3月'!E4:E34,$B29)+COUNTIF('3月'!I4:I34,$B29)+COUNTIF('3月'!J4:J34,$B29)+COUNTIF('3月'!N4:N34,$B29)+COUNTIF('3月'!O4:O34,$B29)+COUNTIF('3月'!S4:S34,$B29)+COUNTIF('3月'!T4:T34,$B29)+COUNTIF('3月'!X4:X34,$B29)+COUNTIF('3月'!Y4:Y34,$B29)+COUNTIF('3月'!AC4:AC34,$B29)+COUNTIF('3月'!AD4:AD34,$B29)+COUNTIF('3月'!AH4:AH34,$B29)+COUNTIF('3月'!AI4:AI34,$B29)+COUNTIF('3月'!AM4:AM34,$B29)+COUNTIF('3月'!AN4:AN34,$B29)+COUNTIF('3月'!AR4:AR34,$B29)+COUNTIF('3月'!AS4:AS34,$B29)+COUNTIF('3月'!AW4:AW34,$B29)+COUNTIF('3月'!AX4:AX34,$B29)+COUNTIF('3月'!BB4:BB34,$B29)+COUNTIF('3月'!BC4:BC34,$B29)+COUNTIF('3月'!BG4:BG34,$B29)+COUNTIF('3月'!BH4:BH34,$B29)+COUNTIF('3月'!BL4:BL34,$B29)+COUNTIF('3月'!BM4:BM34,$B29)+COUNTIF('3月'!BQ4:BQ34,$B29)+COUNTIF('3月'!BR4:BR34,$B29)+COUNTIF('3月'!BV4:BV34,$B29)+COUNTIF('3月'!BW4:BW34,$B29)+COUNTIF('3月'!CA4:CA34,$B29)+COUNTIF('3月'!CB4:CB34,$B29)+COUNTIF('3月'!CF4:CF34,$B29)+COUNTIF('3月'!CG4:CG34,$B29)+COUNTIF('3月'!CK4:CK34,$B29)+COUNTIF('3月'!CL4:CL34,$B29)+COUNTIF('3月'!CP4:CP34,$B29)+COUNTIF('3月'!CQ4:CQ34,$B29)+COUNTIF('3月'!CU4:CU34,$B29)+COUNTIF('3月'!CV4:CV34,$B29)+COUNTIF('3月'!CZ4:CZ34,$B29)+COUNTIF('3月'!DA4:DA34,$B29)+COUNTIF('3月'!DE4:DE34,$B29)+COUNTIF('3月'!DF4:DF34,$B29)+COUNTIF('3月'!DJ4:DJ34,$B29)+COUNTIF('3月'!DK4:DK34,$B29)+COUNTIF('3月'!DO4:DO34,$B29)+COUNTIF('3月'!DP4:DP34,$B29)+COUNTIF('3月'!DT4:DT34,$B29)+COUNTIF('3月'!DU4:DU34,$B29)+COUNTIF('3月'!DY4:DY34,$B29)+COUNTIF('3月'!DZ4:DZ34,$B29)+COUNTIF('3月'!ED4:ED34,$B29)+COUNTIF('3月'!EE4:EE34,$B29)+COUNTIF('3月'!EI4:EI34,$B29)+COUNTIF('3月'!EJ4:EJ34,$B29)+COUNTIF('3月'!EN4:EN34,$B29)+COUNTIF('3月'!EO4:EO34,$B29)+COUNTIF('3月'!ES4:ES34,$B29)+COUNTIF('3月'!ET4:ET34,$B29)),0)</f>
        <v>0</v>
      </c>
      <c r="F29" s="76">
        <f>IFERROR(IF($B29="","",COUNTIF('4月'!D4:D34,$B29)+COUNTIF('4月'!E4:E34,$B29)+COUNTIF('4月'!I4:I34,$B29)+COUNTIF('4月'!J4:J34,$B29)+COUNTIF('4月'!N4:N34,$B29)+COUNTIF('4月'!O4:O34,$B29)+COUNTIF('4月'!S4:S34,$B29)+COUNTIF('4月'!T4:T34,$B29)+COUNTIF('4月'!X4:X34,$B29)+COUNTIF('4月'!Y4:Y34,$B29)+COUNTIF('4月'!AC4:AC34,$B29)+COUNTIF('4月'!AD4:AD34,$B29)+COUNTIF('4月'!AH4:AH34,$B29)+COUNTIF('4月'!AI4:AI34,$B29)+COUNTIF('4月'!AM4:AM34,$B29)+COUNTIF('4月'!AN4:AN34,$B29)+COUNTIF('4月'!AR4:AR34,$B29)+COUNTIF('4月'!AS4:AS34,$B29)+COUNTIF('4月'!AW4:AW34,$B29)+COUNTIF('4月'!AX4:AX34,$B29)+COUNTIF('4月'!BB4:BB34,$B29)+COUNTIF('4月'!BC4:BC34,$B29)+COUNTIF('4月'!BG4:BG34,$B29)+COUNTIF('4月'!BH4:BH34,$B29)+COUNTIF('4月'!BL4:BL34,$B29)+COUNTIF('4月'!BM4:BM34,$B29)+COUNTIF('4月'!BQ4:BQ34,$B29)+COUNTIF('4月'!BR4:BR34,$B29)+COUNTIF('4月'!BV4:BV34,$B29)+COUNTIF('4月'!BW4:BW34,$B29)+COUNTIF('4月'!CA4:CA34,$B29)+COUNTIF('4月'!CB4:CB34,$B29)+COUNTIF('4月'!CF4:CF34,$B29)+COUNTIF('4月'!CG4:CG34,$B29)+COUNTIF('4月'!CK4:CK34,$B29)+COUNTIF('4月'!CL4:CL34,$B29)+COUNTIF('4月'!CP4:CP34,$B29)+COUNTIF('4月'!CQ4:CQ34,$B29)+COUNTIF('4月'!CU4:CU34,$B29)+COUNTIF('4月'!CV4:CV34,$B29)+COUNTIF('4月'!CZ4:CZ34,$B29)+COUNTIF('4月'!DA4:DA34,$B29)+COUNTIF('4月'!DE4:DE34,$B29)+COUNTIF('4月'!DF4:DF34,$B29)+COUNTIF('4月'!DJ4:DJ34,$B29)+COUNTIF('4月'!DK4:DK34,$B29)+COUNTIF('4月'!DO4:DO34,$B29)+COUNTIF('4月'!DP4:DP34,$B29)+COUNTIF('4月'!DT4:DT34,$B29)+COUNTIF('4月'!DU4:DU34,$B29)+COUNTIF('4月'!DY4:DY34,$B29)+COUNTIF('4月'!DZ4:DZ34,$B29)+COUNTIF('4月'!ED4:ED34,$B29)+COUNTIF('4月'!EE4:EE34,$B29)+COUNTIF('4月'!EI4:EI34,$B29)+COUNTIF('4月'!EJ4:EJ34,$B29)+COUNTIF('4月'!EN4:EN34,$B29)+COUNTIF('4月'!EO4:EO34,$B29)+COUNTIF('4月'!ES4:ES34,$B29)+COUNTIF('4月'!ET4:ET34,$B29)),0)</f>
        <v>0</v>
      </c>
      <c r="G29" s="76">
        <f>IFERROR(IF($B29="","",COUNTIF('5月'!D4:D34,$B29)+COUNTIF('5月'!E4:E34,$B29)+COUNTIF('5月'!I4:I34,$B29)+COUNTIF('5月'!J4:J34,$B29)+COUNTIF('5月'!N4:N34,$B29)+COUNTIF('5月'!O4:O34,$B29)+COUNTIF('5月'!S4:S34,$B29)+COUNTIF('5月'!T4:T34,$B29)+COUNTIF('5月'!X4:X34,$B29)+COUNTIF('5月'!Y4:Y34,$B29)+COUNTIF('5月'!AC4:AC34,$B29)+COUNTIF('5月'!AD4:AD34,$B29)+COUNTIF('5月'!AH4:AH34,$B29)+COUNTIF('5月'!AI4:AI34,$B29)+COUNTIF('5月'!AM4:AM34,$B29)+COUNTIF('5月'!AN4:AN34,$B29)+COUNTIF('5月'!AR4:AR34,$B29)+COUNTIF('5月'!AS4:AS34,$B29)+COUNTIF('5月'!AW4:AW34,$B29)+COUNTIF('5月'!AX4:AX34,$B29)+COUNTIF('5月'!BB4:BB34,$B29)+COUNTIF('5月'!BC4:BC34,$B29)+COUNTIF('5月'!BG4:BG34,$B29)+COUNTIF('5月'!BH4:BH34,$B29)+COUNTIF('5月'!BL4:BL34,$B29)+COUNTIF('5月'!BM4:BM34,$B29)+COUNTIF('5月'!BQ4:BQ34,$B29)+COUNTIF('5月'!BR4:BR34,$B29)+COUNTIF('5月'!BV4:BV34,$B29)+COUNTIF('5月'!BW4:BW34,$B29)+COUNTIF('5月'!CA4:CA34,$B29)+COUNTIF('5月'!CB4:CB34,$B29)+COUNTIF('5月'!CF4:CF34,$B29)+COUNTIF('5月'!CG4:CG34,$B29)+COUNTIF('5月'!CK4:CK34,$B29)+COUNTIF('5月'!CL4:CL34,$B29)+COUNTIF('5月'!CP4:CP34,$B29)+COUNTIF('5月'!CQ4:CQ34,$B29)+COUNTIF('5月'!CU4:CU34,$B29)+COUNTIF('5月'!CV4:CV34,$B29)+COUNTIF('5月'!CZ4:CZ34,$B29)+COUNTIF('5月'!DA4:DA34,$B29)+COUNTIF('5月'!DE4:DE34,$B29)+COUNTIF('5月'!DF4:DF34,$B29)+COUNTIF('5月'!DJ4:DJ34,$B29)+COUNTIF('5月'!DK4:DK34,$B29)+COUNTIF('5月'!DO4:DO34,$B29)+COUNTIF('5月'!DP4:DP34,$B29)+COUNTIF('5月'!DT4:DT34,$B29)+COUNTIF('5月'!DU4:DU34,$B29)+COUNTIF('5月'!DY4:DY34,$B29)+COUNTIF('5月'!DZ4:DZ34,$B29)+COUNTIF('5月'!ED4:ED34,$B29)+COUNTIF('5月'!EE4:EE34,$B29)+COUNTIF('5月'!EI4:EI34,$B29)+COUNTIF('5月'!EJ4:EJ34,$B29)+COUNTIF('5月'!EN4:EN34,$B29)+COUNTIF('5月'!EO4:EO34,$B29)+COUNTIF('5月'!ES4:ES34,$B29)+COUNTIF('5月'!ET4:ET34,$B29)),0)</f>
        <v>0</v>
      </c>
      <c r="H29" s="76">
        <f>IFERROR(IF($B29="","",COUNTIF('6月'!D4:D34,$B29)+COUNTIF('6月'!E4:E34,$B29)+COUNTIF('6月'!I4:I34,$B29)+COUNTIF('6月'!J4:J34,$B29)+COUNTIF('6月'!N4:N34,$B29)+COUNTIF('6月'!O4:O34,$B29)+COUNTIF('6月'!S4:S34,$B29)+COUNTIF('6月'!T4:T34,$B29)+COUNTIF('6月'!X4:X34,$B29)+COUNTIF('6月'!Y4:Y34,$B29)+COUNTIF('6月'!AC4:AC34,$B29)+COUNTIF('6月'!AD4:AD34,$B29)+COUNTIF('6月'!AH4:AH34,$B29)+COUNTIF('6月'!AI4:AI34,$B29)+COUNTIF('6月'!AM4:AM34,$B29)+COUNTIF('6月'!AN4:AN34,$B29)+COUNTIF('6月'!AR4:AR34,$B29)+COUNTIF('6月'!AS4:AS34,$B29)+COUNTIF('6月'!AW4:AW34,$B29)+COUNTIF('6月'!AX4:AX34,$B29)+COUNTIF('6月'!BB4:BB34,$B29)+COUNTIF('6月'!BC4:BC34,$B29)+COUNTIF('6月'!BG4:BG34,$B29)+COUNTIF('6月'!BH4:BH34,$B29)+COUNTIF('6月'!BL4:BL34,$B29)+COUNTIF('6月'!BM4:BM34,$B29)+COUNTIF('6月'!BQ4:BQ34,$B29)+COUNTIF('6月'!BR4:BR34,$B29)+COUNTIF('6月'!BV4:BV34,$B29)+COUNTIF('6月'!BW4:BW34,$B29)+COUNTIF('6月'!CA4:CA34,$B29)+COUNTIF('6月'!CB4:CB34,$B29)+COUNTIF('6月'!CF4:CF34,$B29)+COUNTIF('6月'!CG4:CG34,$B29)+COUNTIF('6月'!CK4:CK34,$B29)+COUNTIF('6月'!CL4:CL34,$B29)+COUNTIF('6月'!CP4:CP34,$B29)+COUNTIF('6月'!CQ4:CQ34,$B29)+COUNTIF('6月'!CU4:CU34,$B29)+COUNTIF('6月'!CV4:CV34,$B29)+COUNTIF('6月'!CZ4:CZ34,$B29)+COUNTIF('6月'!DA4:DA34,$B29)+COUNTIF('6月'!DE4:DE34,$B29)+COUNTIF('6月'!DF4:DF34,$B29)+COUNTIF('6月'!DJ4:DJ34,$B29)+COUNTIF('6月'!DK4:DK34,$B29)+COUNTIF('6月'!DO4:DO34,$B29)+COUNTIF('6月'!DP4:DP34,$B29)+COUNTIF('6月'!DT4:DT34,$B29)+COUNTIF('6月'!DU4:DU34,$B29)+COUNTIF('6月'!DY4:DY34,$B29)+COUNTIF('6月'!DZ4:DZ34,$B29)+COUNTIF('6月'!ED4:ED34,$B29)+COUNTIF('6月'!EE4:EE34,$B29)+COUNTIF('6月'!EI4:EI34,$B29)+COUNTIF('6月'!EJ4:EJ34,$B29)+COUNTIF('6月'!EN4:EN34,$B29)+COUNTIF('6月'!EO4:EO34,$B29)+COUNTIF('6月'!ES4:ES34,$B29)+COUNTIF('6月'!ET4:ET34,$B29)),0)</f>
        <v>0</v>
      </c>
      <c r="I29" s="76">
        <f>IFERROR(IF($B29="","",COUNTIF('7月'!D4:D34,$B29)+COUNTIF('7月'!E4:E34,$B29)+COUNTIF('7月'!I4:I34,$B29)+COUNTIF('7月'!J4:J34,$B29)+COUNTIF('7月'!N4:N34,$B29)+COUNTIF('7月'!O4:O34,$B29)+COUNTIF('7月'!S4:S34,$B29)+COUNTIF('7月'!T4:T34,$B29)+COUNTIF('7月'!X4:X34,$B29)+COUNTIF('7月'!Y4:Y34,$B29)+COUNTIF('7月'!AC4:AC34,$B29)+COUNTIF('7月'!AD4:AD34,$B29)+COUNTIF('7月'!AH4:AH34,$B29)+COUNTIF('7月'!AI4:AI34,$B29)+COUNTIF('7月'!AM4:AM34,$B29)+COUNTIF('7月'!AN4:AN34,$B29)+COUNTIF('7月'!AR4:AR34,$B29)+COUNTIF('7月'!AS4:AS34,$B29)+COUNTIF('7月'!AW4:AW34,$B29)+COUNTIF('7月'!AX4:AX34,$B29)+COUNTIF('7月'!BB4:BB34,$B29)+COUNTIF('7月'!BC4:BC34,$B29)+COUNTIF('7月'!BG4:BG34,$B29)+COUNTIF('7月'!BH4:BH34,$B29)+COUNTIF('7月'!BL4:BL34,$B29)+COUNTIF('7月'!BM4:BM34,$B29)+COUNTIF('7月'!BQ4:BQ34,$B29)+COUNTIF('7月'!BR4:BR34,$B29)+COUNTIF('7月'!BV4:BV34,$B29)+COUNTIF('7月'!BW4:BW34,$B29)+COUNTIF('7月'!CA4:CA34,$B29)+COUNTIF('7月'!CB4:CB34,$B29)+COUNTIF('7月'!CF4:CF34,$B29)+COUNTIF('7月'!CG4:CG34,$B29)+COUNTIF('7月'!CK4:CK34,$B29)+COUNTIF('7月'!CL4:CL34,$B29)+COUNTIF('7月'!CP4:CP34,$B29)+COUNTIF('7月'!CQ4:CQ34,$B29)+COUNTIF('7月'!CU4:CU34,$B29)+COUNTIF('7月'!CV4:CV34,$B29)+COUNTIF('7月'!CZ4:CZ34,$B29)+COUNTIF('7月'!DA4:DA34,$B29)+COUNTIF('7月'!DE4:DE34,$B29)+COUNTIF('7月'!DF4:DF34,$B29)+COUNTIF('7月'!DJ4:DJ34,$B29)+COUNTIF('7月'!DK4:DK34,$B29)+COUNTIF('7月'!DO4:DO34,$B29)+COUNTIF('7月'!DP4:DP34,$B29)+COUNTIF('7月'!DT4:DT34,$B29)+COUNTIF('7月'!DU4:DU34,$B29)+COUNTIF('7月'!DY4:DY34,$B29)+COUNTIF('7月'!DZ4:DZ34,$B29)+COUNTIF('7月'!ED4:ED34,$B29)+COUNTIF('7月'!EE4:EE34,$B29)+COUNTIF('7月'!EI4:EI34,$B29)+COUNTIF('7月'!EJ4:EJ34,$B29)+COUNTIF('7月'!EN4:EN34,$B29)+COUNTIF('7月'!EO4:EO34,$B29)+COUNTIF('7月'!ES4:ES34,$B29)+COUNTIF('7月'!ET4:ET34,$B29)),0)</f>
        <v>0</v>
      </c>
      <c r="J29" s="76">
        <f>IFERROR(IF($B29="","",COUNTIF('8月'!D4:D34,$B29)+COUNTIF('8月'!E4:E34,$B29)+COUNTIF('8月'!I4:I34,$B29)+COUNTIF('8月'!J4:J34,$B29)+COUNTIF('8月'!N4:N34,$B29)+COUNTIF('8月'!O4:O34,$B29)+COUNTIF('8月'!S4:S34,$B29)+COUNTIF('8月'!T4:T34,$B29)+COUNTIF('8月'!X4:X34,$B29)+COUNTIF('8月'!Y4:Y34,$B29)+COUNTIF('8月'!AC4:AC34,$B29)+COUNTIF('8月'!AD4:AD34,$B29)+COUNTIF('8月'!AH4:AH34,$B29)+COUNTIF('8月'!AI4:AI34,$B29)+COUNTIF('8月'!AM4:AM34,$B29)+COUNTIF('8月'!AN4:AN34,$B29)+COUNTIF('8月'!AR4:AR34,$B29)+COUNTIF('8月'!AS4:AS34,$B29)+COUNTIF('8月'!AW4:AW34,$B29)+COUNTIF('8月'!AX4:AX34,$B29)+COUNTIF('8月'!BB4:BB34,$B29)+COUNTIF('8月'!BC4:BC34,$B29)+COUNTIF('8月'!BG4:BG34,$B29)+COUNTIF('8月'!BH4:BH34,$B29)+COUNTIF('8月'!BL4:BL34,$B29)+COUNTIF('8月'!BM4:BM34,$B29)+COUNTIF('8月'!BQ4:BQ34,$B29)+COUNTIF('8月'!BR4:BR34,$B29)+COUNTIF('8月'!BV4:BV34,$B29)+COUNTIF('8月'!BW4:BW34,$B29)+COUNTIF('8月'!CA4:CA34,$B29)+COUNTIF('8月'!CB4:CB34,$B29)+COUNTIF('8月'!CF4:CF34,$B29)+COUNTIF('8月'!CG4:CG34,$B29)+COUNTIF('8月'!CK4:CK34,$B29)+COUNTIF('8月'!CL4:CL34,$B29)+COUNTIF('8月'!CP4:CP34,$B29)+COUNTIF('8月'!CQ4:CQ34,$B29)+COUNTIF('8月'!CU4:CU34,$B29)+COUNTIF('8月'!CV4:CV34,$B29)+COUNTIF('8月'!CZ4:CZ34,$B29)+COUNTIF('8月'!DA4:DA34,$B29)+COUNTIF('8月'!DE4:DE34,$B29)+COUNTIF('8月'!DF4:DF34,$B29)+COUNTIF('8月'!DJ4:DJ34,$B29)+COUNTIF('8月'!DK4:DK34,$B29)+COUNTIF('8月'!DO4:DO34,$B29)+COUNTIF('8月'!DP4:DP34,$B29)+COUNTIF('8月'!DT4:DT34,$B29)+COUNTIF('8月'!DU4:DU34,$B29)+COUNTIF('8月'!DY4:DY34,$B29)+COUNTIF('8月'!DZ4:DZ34,$B29)+COUNTIF('8月'!ED4:ED34,$B29)+COUNTIF('8月'!EE4:EE34,$B29)+COUNTIF('8月'!EI4:EI34,$B29)+COUNTIF('8月'!EJ4:EJ34,$B29)+COUNTIF('8月'!EN4:EN34,$B29)+COUNTIF('8月'!EO4:EO34,$B29)+COUNTIF('8月'!ES4:ES34,$B29)+COUNTIF('8月'!ET4:ET34,$B29)),0)</f>
        <v>0</v>
      </c>
      <c r="K29" s="76">
        <f>IFERROR(IF($B29="","",COUNTIF('9月'!D4:D34,$B29)+COUNTIF('9月'!E4:E34,$B29)+COUNTIF('9月'!I4:I34,$B29)+COUNTIF('9月'!J4:J34,$B29)+COUNTIF('9月'!N4:N34,$B29)+COUNTIF('9月'!O4:O34,$B29)+COUNTIF('9月'!S4:S34,$B29)+COUNTIF('9月'!T4:T34,$B29)+COUNTIF('9月'!X4:X34,$B29)+COUNTIF('9月'!Y4:Y34,$B29)+COUNTIF('9月'!AC4:AC34,$B29)+COUNTIF('9月'!AD4:AD34,$B29)+COUNTIF('9月'!AH4:AH34,$B29)+COUNTIF('9月'!AI4:AI34,$B29)+COUNTIF('9月'!AM4:AM34,$B29)+COUNTIF('9月'!AN4:AN34,$B29)+COUNTIF('9月'!AR4:AR34,$B29)+COUNTIF('9月'!AS4:AS34,$B29)+COUNTIF('9月'!AW4:AW34,$B29)+COUNTIF('9月'!AX4:AX34,$B29)+COUNTIF('9月'!BB4:BB34,$B29)+COUNTIF('9月'!BC4:BC34,$B29)+COUNTIF('9月'!BG4:BG34,$B29)+COUNTIF('9月'!BH4:BH34,$B29)+COUNTIF('9月'!BL4:BL34,$B29)+COUNTIF('9月'!BM4:BM34,$B29)+COUNTIF('9月'!BQ4:BQ34,$B29)+COUNTIF('9月'!BR4:BR34,$B29)+COUNTIF('9月'!BV4:BV34,$B29)+COUNTIF('9月'!BW4:BW34,$B29)+COUNTIF('9月'!CA4:CA34,$B29)+COUNTIF('9月'!CB4:CB34,$B29)+COUNTIF('9月'!CF4:CF34,$B29)+COUNTIF('9月'!CG4:CG34,$B29)+COUNTIF('9月'!CK4:CK34,$B29)+COUNTIF('9月'!CL4:CL34,$B29)+COUNTIF('9月'!CP4:CP34,$B29)+COUNTIF('9月'!CQ4:CQ34,$B29)+COUNTIF('9月'!CU4:CU34,$B29)+COUNTIF('9月'!CV4:CV34,$B29)+COUNTIF('9月'!CZ4:CZ34,$B29)+COUNTIF('9月'!DA4:DA34,$B29)+COUNTIF('9月'!DE4:DE34,$B29)+COUNTIF('9月'!DF4:DF34,$B29)+COUNTIF('9月'!DJ4:DJ34,$B29)+COUNTIF('9月'!DK4:DK34,$B29)+COUNTIF('9月'!DO4:DO34,$B29)+COUNTIF('9月'!DP4:DP34,$B29)+COUNTIF('9月'!DT4:DT34,$B29)+COUNTIF('9月'!DU4:DU34,$B29)+COUNTIF('9月'!DY4:DY34,$B29)+COUNTIF('9月'!DZ4:DZ34,$B29)+COUNTIF('9月'!ED4:ED34,$B29)+COUNTIF('9月'!EE4:EE34,$B29)+COUNTIF('9月'!EI4:EI34,$B29)+COUNTIF('9月'!EJ4:EJ34,$B29)+COUNTIF('9月'!EN4:EN34,$B29)+COUNTIF('9月'!EO4:EO34,$B29)+COUNTIF('9月'!ES4:ES34,$B29)+COUNTIF('9月'!ET4:ET34,$B29)),0)</f>
        <v>0</v>
      </c>
      <c r="L29" s="76">
        <f>IFERROR(IF($B29="","",COUNTIF('10月'!D4:D34,$B29)+COUNTIF('10月'!E4:E34,$B29)+COUNTIF('10月'!I4:I34,$B29)+COUNTIF('10月'!J4:J34,$B29)+COUNTIF('10月'!N4:N34,$B29)+COUNTIF('10月'!O4:O34,$B29)+COUNTIF('10月'!S4:S34,$B29)+COUNTIF('10月'!T4:T34,$B29)+COUNTIF('10月'!X4:X34,$B29)+COUNTIF('10月'!Y4:Y34,$B29)+COUNTIF('10月'!AC4:AC34,$B29)+COUNTIF('10月'!AD4:AD34,$B29)+COUNTIF('10月'!AH4:AH34,$B29)+COUNTIF('10月'!AI4:AI34,$B29)+COUNTIF('10月'!AM4:AM34,$B29)+COUNTIF('10月'!AN4:AN34,$B29)+COUNTIF('10月'!AR4:AR34,$B29)+COUNTIF('10月'!AS4:AS34,$B29)+COUNTIF('10月'!AW4:AW34,$B29)+COUNTIF('10月'!AX4:AX34,$B29)+COUNTIF('10月'!BB4:BB34,$B29)+COUNTIF('10月'!BC4:BC34,$B29)+COUNTIF('10月'!BG4:BG34,$B29)+COUNTIF('10月'!BH4:BH34,$B29)+COUNTIF('10月'!BL4:BL34,$B29)+COUNTIF('10月'!BM4:BM34,$B29)+COUNTIF('10月'!BQ4:BQ34,$B29)+COUNTIF('10月'!BR4:BR34,$B29)+COUNTIF('10月'!BV4:BV34,$B29)+COUNTIF('10月'!BW4:BW34,$B29)+COUNTIF('10月'!CA4:CA34,$B29)+COUNTIF('10月'!CB4:CB34,$B29)+COUNTIF('10月'!CF4:CF34,$B29)+COUNTIF('10月'!CG4:CG34,$B29)+COUNTIF('10月'!CK4:CK34,$B29)+COUNTIF('10月'!CL4:CL34,$B29)+COUNTIF('10月'!CP4:CP34,$B29)+COUNTIF('10月'!CQ4:CQ34,$B29)+COUNTIF('10月'!CU4:CU34,$B29)+COUNTIF('10月'!CV4:CV34,$B29)+COUNTIF('10月'!CZ4:CZ34,$B29)+COUNTIF('10月'!DA4:DA34,$B29)+COUNTIF('10月'!DE4:DE34,$B29)+COUNTIF('10月'!DF4:DF34,$B29)+COUNTIF('10月'!DJ4:DJ34,$B29)+COUNTIF('10月'!DK4:DK34,$B29)+COUNTIF('10月'!DO4:DO34,$B29)+COUNTIF('10月'!DP4:DP34,$B29)+COUNTIF('10月'!DT4:DT34,$B29)+COUNTIF('10月'!DU4:DU34,$B29)+COUNTIF('10月'!DY4:DY34,$B29)+COUNTIF('10月'!DZ4:DZ34,$B29)+COUNTIF('10月'!ED4:ED34,$B29)+COUNTIF('10月'!EE4:EE34,$B29)+COUNTIF('10月'!EI4:EI34,$B29)+COUNTIF('10月'!EJ4:EJ34,$B29)+COUNTIF('10月'!EN4:EN34,$B29)+COUNTIF('10月'!EO4:EO34,$B29)+COUNTIF('10月'!ES4:ES34,$B29)+COUNTIF('10月'!ET4:ET34,$B29)),0)</f>
        <v>0</v>
      </c>
      <c r="M29" s="76">
        <f>IFERROR(IF($B29="","",COUNTIF('11月'!D4:D34,$B29)+COUNTIF('11月'!E4:E34,$B29)+COUNTIF('11月'!I4:I34,$B29)+COUNTIF('11月'!J4:J34,$B29)+COUNTIF('11月'!N4:N34,$B29)+COUNTIF('11月'!O4:O34,$B29)+COUNTIF('11月'!S4:S34,$B29)+COUNTIF('11月'!T4:T34,$B29)+COUNTIF('11月'!X4:X34,$B29)+COUNTIF('11月'!Y4:Y34,$B29)+COUNTIF('11月'!AC4:AC34,$B29)+COUNTIF('11月'!AD4:AD34,$B29)+COUNTIF('11月'!AH4:AH34,$B29)+COUNTIF('11月'!AI4:AI34,$B29)+COUNTIF('11月'!AM4:AM34,$B29)+COUNTIF('11月'!AN4:AN34,$B29)+COUNTIF('11月'!AR4:AR34,$B29)+COUNTIF('11月'!AS4:AS34,$B29)+COUNTIF('11月'!AW4:AW34,$B29)+COUNTIF('11月'!AX4:AX34,$B29)+COUNTIF('11月'!BB4:BB34,$B29)+COUNTIF('11月'!BC4:BC34,$B29)+COUNTIF('11月'!BG4:BG34,$B29)+COUNTIF('11月'!BH4:BH34,$B29)+COUNTIF('11月'!BL4:BL34,$B29)+COUNTIF('11月'!BM4:BM34,$B29)+COUNTIF('11月'!BQ4:BQ34,$B29)+COUNTIF('11月'!BR4:BR34,$B29)+COUNTIF('11月'!BV4:BV34,$B29)+COUNTIF('11月'!BW4:BW34,$B29)+COUNTIF('11月'!CA4:CA34,$B29)+COUNTIF('11月'!CB4:CB34,$B29)+COUNTIF('11月'!CF4:CF34,$B29)+COUNTIF('11月'!CG4:CG34,$B29)+COUNTIF('11月'!CK4:CK34,$B29)+COUNTIF('11月'!CL4:CL34,$B29)+COUNTIF('11月'!CP4:CP34,$B29)+COUNTIF('11月'!CQ4:CQ34,$B29)+COUNTIF('11月'!CU4:CU34,$B29)+COUNTIF('11月'!CV4:CV34,$B29)+COUNTIF('11月'!CZ4:CZ34,$B29)+COUNTIF('11月'!DA4:DA34,$B29)+COUNTIF('11月'!DE4:DE34,$B29)+COUNTIF('11月'!DF4:DF34,$B29)+COUNTIF('11月'!DJ4:DJ34,$B29)+COUNTIF('11月'!DK4:DK34,$B29)+COUNTIF('11月'!DO4:DO34,$B29)+COUNTIF('11月'!DP4:DP34,$B29)+COUNTIF('11月'!DT4:DT34,$B29)+COUNTIF('11月'!DU4:DU34,$B29)+COUNTIF('11月'!DY4:DY34,$B29)+COUNTIF('11月'!DZ4:DZ34,$B29)+COUNTIF('11月'!ED4:ED34,$B29)+COUNTIF('11月'!EE4:EE34,$B29)+COUNTIF('11月'!EI4:EI34,$B29)+COUNTIF('11月'!EJ4:EJ34,$B29)+COUNTIF('11月'!EN4:EN34,$B29)+COUNTIF('11月'!EO4:EO34,$B29)+COUNTIF('11月'!ES4:ES34,$B29)+COUNTIF('11月'!ET4:ET34,$B29)),0)</f>
        <v>0</v>
      </c>
      <c r="N29" s="76">
        <f>IFERROR(IF($B29="","",COUNTIF('12月'!D4:D34,$B29)+COUNTIF('12月'!E4:E34,$B29)+COUNTIF('12月'!I4:I34,$B29)+COUNTIF('12月'!J4:J34,$B29)+COUNTIF('12月'!N4:N34,$B29)+COUNTIF('12月'!O4:O34,$B29)+COUNTIF('12月'!S4:S34,$B29)+COUNTIF('12月'!T4:T34,$B29)+COUNTIF('12月'!X4:X34,$B29)+COUNTIF('12月'!Y4:Y34,$B29)+COUNTIF('12月'!AC4:AC34,$B29)+COUNTIF('12月'!AD4:AD34,$B29)+COUNTIF('12月'!AH4:AH34,$B29)+COUNTIF('12月'!AI4:AI34,$B29)+COUNTIF('12月'!AM4:AM34,$B29)+COUNTIF('12月'!AN4:AN34,$B29)+COUNTIF('12月'!AR4:AR34,$B29)+COUNTIF('12月'!AS4:AS34,$B29)+COUNTIF('12月'!AW4:AW34,$B29)+COUNTIF('12月'!AX4:AX34,$B29)+COUNTIF('12月'!BB4:BB34,$B29)+COUNTIF('12月'!BC4:BC34,$B29)+COUNTIF('12月'!BG4:BG34,$B29)+COUNTIF('12月'!BH4:BH34,$B29)+COUNTIF('12月'!BL4:BL34,$B29)+COUNTIF('12月'!BM4:BM34,$B29)+COUNTIF('12月'!BQ4:BQ34,$B29)+COUNTIF('12月'!BR4:BR34,$B29)+COUNTIF('12月'!BV4:BV34,$B29)+COUNTIF('12月'!BW4:BW34,$B29)+COUNTIF('12月'!CA4:CA34,$B29)+COUNTIF('12月'!CB4:CB34,$B29)+COUNTIF('12月'!CF4:CF34,$B29)+COUNTIF('12月'!CG4:CG34,$B29)+COUNTIF('12月'!CK4:CK34,$B29)+COUNTIF('12月'!CL4:CL34,$B29)+COUNTIF('12月'!CP4:CP34,$B29)+COUNTIF('12月'!CQ4:CQ34,$B29)+COUNTIF('12月'!CU4:CU34,$B29)+COUNTIF('12月'!CV4:CV34,$B29)+COUNTIF('12月'!CZ4:CZ34,$B29)+COUNTIF('12月'!DA4:DA34,$B29)+COUNTIF('12月'!DE4:DE34,$B29)+COUNTIF('12月'!DF4:DF34,$B29)+COUNTIF('12月'!DJ4:DJ34,$B29)+COUNTIF('12月'!DK4:DK34,$B29)+COUNTIF('12月'!DO4:DO34,$B29)+COUNTIF('12月'!DP4:DP34,$B29)+COUNTIF('12月'!DT4:DT34,$B29)+COUNTIF('12月'!DU4:DU34,$B29)+COUNTIF('12月'!DY4:DY34,$B29)+COUNTIF('12月'!DZ4:DZ34,$B29)+COUNTIF('12月'!ED4:ED34,$B29)+COUNTIF('12月'!EE4:EE34,$B29)+COUNTIF('12月'!EI4:EI34,$B29)+COUNTIF('12月'!EJ4:EJ34,$B29)+COUNTIF('12月'!EN4:EN34,$B29)+COUNTIF('12月'!EO4:EO34,$B29)+COUNTIF('12月'!ES4:ES34,$B29)+COUNTIF('12月'!ET4:ET34,$B29)),0)</f>
        <v>0</v>
      </c>
      <c r="O29" s="78">
        <f t="shared" si="0"/>
        <v>0</v>
      </c>
    </row>
    <row r="30" spans="1:15" ht="19.5" customHeight="1">
      <c r="A30" s="76">
        <v>28</v>
      </c>
      <c r="B30" s="77">
        <f>IFERROR(現場マスタ!$C$31,"")</f>
        <v>0</v>
      </c>
      <c r="C30" s="76">
        <f>IFERROR(IF($B30="","",COUNTIF('1月'!D4:D34,$B30)+COUNTIF('1月'!E4:E34,$B30)+COUNTIF('1月'!I4:I34,$B30)+COUNTIF('1月'!J4:J34,$B30)+COUNTIF('1月'!N4:N34,$B30)+COUNTIF('1月'!O4:O34,$B30)+COUNTIF('1月'!S4:S34,$B30)+COUNTIF('1月'!T4:T34,$B30)+COUNTIF('1月'!X4:X34,$B30)+COUNTIF('1月'!Y4:Y34,$B30)+COUNTIF('1月'!AC4:AC34,$B30)+COUNTIF('1月'!AD4:AD34,$B30)+COUNTIF('1月'!AH4:AH34,$B30)+COUNTIF('1月'!AI4:AI34,$B30)+COUNTIF('1月'!AM4:AM34,$B30)+COUNTIF('1月'!AN4:AN34,$B30)+COUNTIF('1月'!AR4:AR34,$B30)+COUNTIF('1月'!AS4:AS34,$B30)+COUNTIF('1月'!AW4:AW34,$B30)+COUNTIF('1月'!AX4:AX34,$B30)+COUNTIF('1月'!BB4:BB34,$B30)+COUNTIF('1月'!BC4:BC34,$B30)+COUNTIF('1月'!BG4:BG34,$B30)+COUNTIF('1月'!BH4:BH34,$B30)+COUNTIF('1月'!BL4:BL34,$B30)+COUNTIF('1月'!BM4:BM34,$B30)+COUNTIF('1月'!BQ4:BQ34,$B30)+COUNTIF('1月'!BR4:BR34,$B30)+COUNTIF('1月'!BV4:BV34,$B30)+COUNTIF('1月'!BW4:BW34,$B30)+COUNTIF('1月'!CA4:CA34,$B30)+COUNTIF('1月'!CB4:CB34,$B30)+COUNTIF('1月'!CF4:CF34,$B30)+COUNTIF('1月'!CG4:CG34,$B30)+COUNTIF('1月'!CK4:CK34,$B30)+COUNTIF('1月'!CL4:CL34,$B30)+COUNTIF('1月'!CP4:CP34,$B30)+COUNTIF('1月'!CQ4:CQ34,$B30)+COUNTIF('1月'!CU4:CU34,$B30)+COUNTIF('1月'!CV4:CV34,$B30)+COUNTIF('1月'!CZ4:CZ34,$B30)+COUNTIF('1月'!DA4:DA34,$B30)+COUNTIF('1月'!DE4:DE34,$B30)+COUNTIF('1月'!DF4:DF34,$B30)+COUNTIF('1月'!DJ4:DJ34,$B30)+COUNTIF('1月'!DK4:DK34,$B30)+COUNTIF('1月'!DO4:DO34,$B30)+COUNTIF('1月'!DP4:DP34,$B30)+COUNTIF('1月'!DT4:DT34,$B30)+COUNTIF('1月'!DU4:DU34,$B30)+COUNTIF('1月'!DY4:DY34,$B30)+COUNTIF('1月'!DZ4:DZ34,$B30)+COUNTIF('1月'!ED4:ED34,$B30)+COUNTIF('1月'!EE4:EE34,$B30)+COUNTIF('1月'!EI4:EI34,$B30)+COUNTIF('1月'!EJ4:EJ34,$B30)+COUNTIF('1月'!EN4:EN34,$B30)+COUNTIF('1月'!EO4:EO34,$B30)+COUNTIF('1月'!ES4:ES34,$B30)+COUNTIF('1月'!ET4:ET34,$B30)),0)</f>
        <v>0</v>
      </c>
      <c r="D30" s="76">
        <f>IFERROR(IF($B30="","",COUNTIF('2月'!D4:D34,$B30)+COUNTIF('2月'!E4:E34,$B30)+COUNTIF('2月'!I4:I34,$B30)+COUNTIF('2月'!J4:J34,$B30)+COUNTIF('2月'!N4:N34,$B30)+COUNTIF('2月'!O4:O34,$B30)+COUNTIF('2月'!S4:S34,$B30)+COUNTIF('2月'!T4:T34,$B30)+COUNTIF('2月'!X4:X34,$B30)+COUNTIF('2月'!Y4:Y34,$B30)+COUNTIF('2月'!AC4:AC34,$B30)+COUNTIF('2月'!AD4:AD34,$B30)+COUNTIF('2月'!AH4:AH34,$B30)+COUNTIF('2月'!AI4:AI34,$B30)+COUNTIF('2月'!AM4:AM34,$B30)+COUNTIF('2月'!AN4:AN34,$B30)+COUNTIF('2月'!AR4:AR34,$B30)+COUNTIF('2月'!AS4:AS34,$B30)+COUNTIF('2月'!AW4:AW34,$B30)+COUNTIF('2月'!AX4:AX34,$B30)+COUNTIF('2月'!BB4:BB34,$B30)+COUNTIF('2月'!BC4:BC34,$B30)+COUNTIF('2月'!BG4:BG34,$B30)+COUNTIF('2月'!BH4:BH34,$B30)+COUNTIF('2月'!BL4:BL34,$B30)+COUNTIF('2月'!BM4:BM34,$B30)+COUNTIF('2月'!BQ4:BQ34,$B30)+COUNTIF('2月'!BR4:BR34,$B30)+COUNTIF('2月'!BV4:BV34,$B30)+COUNTIF('2月'!BW4:BW34,$B30)+COUNTIF('2月'!CA4:CA34,$B30)+COUNTIF('2月'!CB4:CB34,$B30)+COUNTIF('2月'!CF4:CF34,$B30)+COUNTIF('2月'!CG4:CG34,$B30)+COUNTIF('2月'!CK4:CK34,$B30)+COUNTIF('2月'!CL4:CL34,$B30)+COUNTIF('2月'!CP4:CP34,$B30)+COUNTIF('2月'!CQ4:CQ34,$B30)+COUNTIF('2月'!CU4:CU34,$B30)+COUNTIF('2月'!CV4:CV34,$B30)+COUNTIF('2月'!CZ4:CZ34,$B30)+COUNTIF('2月'!DA4:DA34,$B30)+COUNTIF('2月'!DE4:DE34,$B30)+COUNTIF('2月'!DF4:DF34,$B30)+COUNTIF('2月'!DJ4:DJ34,$B30)+COUNTIF('2月'!DK4:DK34,$B30)+COUNTIF('2月'!DO4:DO34,$B30)+COUNTIF('2月'!DP4:DP34,$B30)+COUNTIF('2月'!DT4:DT34,$B30)+COUNTIF('2月'!DU4:DU34,$B30)+COUNTIF('2月'!DY4:DY34,$B30)+COUNTIF('2月'!DZ4:DZ34,$B30)+COUNTIF('2月'!ED4:ED34,$B30)+COUNTIF('2月'!EE4:EE34,$B30)+COUNTIF('2月'!EI4:EI34,$B30)+COUNTIF('2月'!EJ4:EJ34,$B30)+COUNTIF('2月'!EN4:EN34,$B30)+COUNTIF('2月'!EO4:EO34,$B30)+COUNTIF('2月'!ES4:ES34,$B30)+COUNTIF('2月'!ET4:ET34,$B30)),0)</f>
        <v>0</v>
      </c>
      <c r="E30" s="76">
        <f>IFERROR(IF($B30="","",COUNTIF('3月'!D4:D34,$B30)+COUNTIF('3月'!E4:E34,$B30)+COUNTIF('3月'!I4:I34,$B30)+COUNTIF('3月'!J4:J34,$B30)+COUNTIF('3月'!N4:N34,$B30)+COUNTIF('3月'!O4:O34,$B30)+COUNTIF('3月'!S4:S34,$B30)+COUNTIF('3月'!T4:T34,$B30)+COUNTIF('3月'!X4:X34,$B30)+COUNTIF('3月'!Y4:Y34,$B30)+COUNTIF('3月'!AC4:AC34,$B30)+COUNTIF('3月'!AD4:AD34,$B30)+COUNTIF('3月'!AH4:AH34,$B30)+COUNTIF('3月'!AI4:AI34,$B30)+COUNTIF('3月'!AM4:AM34,$B30)+COUNTIF('3月'!AN4:AN34,$B30)+COUNTIF('3月'!AR4:AR34,$B30)+COUNTIF('3月'!AS4:AS34,$B30)+COUNTIF('3月'!AW4:AW34,$B30)+COUNTIF('3月'!AX4:AX34,$B30)+COUNTIF('3月'!BB4:BB34,$B30)+COUNTIF('3月'!BC4:BC34,$B30)+COUNTIF('3月'!BG4:BG34,$B30)+COUNTIF('3月'!BH4:BH34,$B30)+COUNTIF('3月'!BL4:BL34,$B30)+COUNTIF('3月'!BM4:BM34,$B30)+COUNTIF('3月'!BQ4:BQ34,$B30)+COUNTIF('3月'!BR4:BR34,$B30)+COUNTIF('3月'!BV4:BV34,$B30)+COUNTIF('3月'!BW4:BW34,$B30)+COUNTIF('3月'!CA4:CA34,$B30)+COUNTIF('3月'!CB4:CB34,$B30)+COUNTIF('3月'!CF4:CF34,$B30)+COUNTIF('3月'!CG4:CG34,$B30)+COUNTIF('3月'!CK4:CK34,$B30)+COUNTIF('3月'!CL4:CL34,$B30)+COUNTIF('3月'!CP4:CP34,$B30)+COUNTIF('3月'!CQ4:CQ34,$B30)+COUNTIF('3月'!CU4:CU34,$B30)+COUNTIF('3月'!CV4:CV34,$B30)+COUNTIF('3月'!CZ4:CZ34,$B30)+COUNTIF('3月'!DA4:DA34,$B30)+COUNTIF('3月'!DE4:DE34,$B30)+COUNTIF('3月'!DF4:DF34,$B30)+COUNTIF('3月'!DJ4:DJ34,$B30)+COUNTIF('3月'!DK4:DK34,$B30)+COUNTIF('3月'!DO4:DO34,$B30)+COUNTIF('3月'!DP4:DP34,$B30)+COUNTIF('3月'!DT4:DT34,$B30)+COUNTIF('3月'!DU4:DU34,$B30)+COUNTIF('3月'!DY4:DY34,$B30)+COUNTIF('3月'!DZ4:DZ34,$B30)+COUNTIF('3月'!ED4:ED34,$B30)+COUNTIF('3月'!EE4:EE34,$B30)+COUNTIF('3月'!EI4:EI34,$B30)+COUNTIF('3月'!EJ4:EJ34,$B30)+COUNTIF('3月'!EN4:EN34,$B30)+COUNTIF('3月'!EO4:EO34,$B30)+COUNTIF('3月'!ES4:ES34,$B30)+COUNTIF('3月'!ET4:ET34,$B30)),0)</f>
        <v>0</v>
      </c>
      <c r="F30" s="76">
        <f>IFERROR(IF($B30="","",COUNTIF('4月'!D4:D34,$B30)+COUNTIF('4月'!E4:E34,$B30)+COUNTIF('4月'!I4:I34,$B30)+COUNTIF('4月'!J4:J34,$B30)+COUNTIF('4月'!N4:N34,$B30)+COUNTIF('4月'!O4:O34,$B30)+COUNTIF('4月'!S4:S34,$B30)+COUNTIF('4月'!T4:T34,$B30)+COUNTIF('4月'!X4:X34,$B30)+COUNTIF('4月'!Y4:Y34,$B30)+COUNTIF('4月'!AC4:AC34,$B30)+COUNTIF('4月'!AD4:AD34,$B30)+COUNTIF('4月'!AH4:AH34,$B30)+COUNTIF('4月'!AI4:AI34,$B30)+COUNTIF('4月'!AM4:AM34,$B30)+COUNTIF('4月'!AN4:AN34,$B30)+COUNTIF('4月'!AR4:AR34,$B30)+COUNTIF('4月'!AS4:AS34,$B30)+COUNTIF('4月'!AW4:AW34,$B30)+COUNTIF('4月'!AX4:AX34,$B30)+COUNTIF('4月'!BB4:BB34,$B30)+COUNTIF('4月'!BC4:BC34,$B30)+COUNTIF('4月'!BG4:BG34,$B30)+COUNTIF('4月'!BH4:BH34,$B30)+COUNTIF('4月'!BL4:BL34,$B30)+COUNTIF('4月'!BM4:BM34,$B30)+COUNTIF('4月'!BQ4:BQ34,$B30)+COUNTIF('4月'!BR4:BR34,$B30)+COUNTIF('4月'!BV4:BV34,$B30)+COUNTIF('4月'!BW4:BW34,$B30)+COUNTIF('4月'!CA4:CA34,$B30)+COUNTIF('4月'!CB4:CB34,$B30)+COUNTIF('4月'!CF4:CF34,$B30)+COUNTIF('4月'!CG4:CG34,$B30)+COUNTIF('4月'!CK4:CK34,$B30)+COUNTIF('4月'!CL4:CL34,$B30)+COUNTIF('4月'!CP4:CP34,$B30)+COUNTIF('4月'!CQ4:CQ34,$B30)+COUNTIF('4月'!CU4:CU34,$B30)+COUNTIF('4月'!CV4:CV34,$B30)+COUNTIF('4月'!CZ4:CZ34,$B30)+COUNTIF('4月'!DA4:DA34,$B30)+COUNTIF('4月'!DE4:DE34,$B30)+COUNTIF('4月'!DF4:DF34,$B30)+COUNTIF('4月'!DJ4:DJ34,$B30)+COUNTIF('4月'!DK4:DK34,$B30)+COUNTIF('4月'!DO4:DO34,$B30)+COUNTIF('4月'!DP4:DP34,$B30)+COUNTIF('4月'!DT4:DT34,$B30)+COUNTIF('4月'!DU4:DU34,$B30)+COUNTIF('4月'!DY4:DY34,$B30)+COUNTIF('4月'!DZ4:DZ34,$B30)+COUNTIF('4月'!ED4:ED34,$B30)+COUNTIF('4月'!EE4:EE34,$B30)+COUNTIF('4月'!EI4:EI34,$B30)+COUNTIF('4月'!EJ4:EJ34,$B30)+COUNTIF('4月'!EN4:EN34,$B30)+COUNTIF('4月'!EO4:EO34,$B30)+COUNTIF('4月'!ES4:ES34,$B30)+COUNTIF('4月'!ET4:ET34,$B30)),0)</f>
        <v>0</v>
      </c>
      <c r="G30" s="76">
        <f>IFERROR(IF($B30="","",COUNTIF('5月'!D4:D34,$B30)+COUNTIF('5月'!E4:E34,$B30)+COUNTIF('5月'!I4:I34,$B30)+COUNTIF('5月'!J4:J34,$B30)+COUNTIF('5月'!N4:N34,$B30)+COUNTIF('5月'!O4:O34,$B30)+COUNTIF('5月'!S4:S34,$B30)+COUNTIF('5月'!T4:T34,$B30)+COUNTIF('5月'!X4:X34,$B30)+COUNTIF('5月'!Y4:Y34,$B30)+COUNTIF('5月'!AC4:AC34,$B30)+COUNTIF('5月'!AD4:AD34,$B30)+COUNTIF('5月'!AH4:AH34,$B30)+COUNTIF('5月'!AI4:AI34,$B30)+COUNTIF('5月'!AM4:AM34,$B30)+COUNTIF('5月'!AN4:AN34,$B30)+COUNTIF('5月'!AR4:AR34,$B30)+COUNTIF('5月'!AS4:AS34,$B30)+COUNTIF('5月'!AW4:AW34,$B30)+COUNTIF('5月'!AX4:AX34,$B30)+COUNTIF('5月'!BB4:BB34,$B30)+COUNTIF('5月'!BC4:BC34,$B30)+COUNTIF('5月'!BG4:BG34,$B30)+COUNTIF('5月'!BH4:BH34,$B30)+COUNTIF('5月'!BL4:BL34,$B30)+COUNTIF('5月'!BM4:BM34,$B30)+COUNTIF('5月'!BQ4:BQ34,$B30)+COUNTIF('5月'!BR4:BR34,$B30)+COUNTIF('5月'!BV4:BV34,$B30)+COUNTIF('5月'!BW4:BW34,$B30)+COUNTIF('5月'!CA4:CA34,$B30)+COUNTIF('5月'!CB4:CB34,$B30)+COUNTIF('5月'!CF4:CF34,$B30)+COUNTIF('5月'!CG4:CG34,$B30)+COUNTIF('5月'!CK4:CK34,$B30)+COUNTIF('5月'!CL4:CL34,$B30)+COUNTIF('5月'!CP4:CP34,$B30)+COUNTIF('5月'!CQ4:CQ34,$B30)+COUNTIF('5月'!CU4:CU34,$B30)+COUNTIF('5月'!CV4:CV34,$B30)+COUNTIF('5月'!CZ4:CZ34,$B30)+COUNTIF('5月'!DA4:DA34,$B30)+COUNTIF('5月'!DE4:DE34,$B30)+COUNTIF('5月'!DF4:DF34,$B30)+COUNTIF('5月'!DJ4:DJ34,$B30)+COUNTIF('5月'!DK4:DK34,$B30)+COUNTIF('5月'!DO4:DO34,$B30)+COUNTIF('5月'!DP4:DP34,$B30)+COUNTIF('5月'!DT4:DT34,$B30)+COUNTIF('5月'!DU4:DU34,$B30)+COUNTIF('5月'!DY4:DY34,$B30)+COUNTIF('5月'!DZ4:DZ34,$B30)+COUNTIF('5月'!ED4:ED34,$B30)+COUNTIF('5月'!EE4:EE34,$B30)+COUNTIF('5月'!EI4:EI34,$B30)+COUNTIF('5月'!EJ4:EJ34,$B30)+COUNTIF('5月'!EN4:EN34,$B30)+COUNTIF('5月'!EO4:EO34,$B30)+COUNTIF('5月'!ES4:ES34,$B30)+COUNTIF('5月'!ET4:ET34,$B30)),0)</f>
        <v>0</v>
      </c>
      <c r="H30" s="76">
        <f>IFERROR(IF($B30="","",COUNTIF('6月'!D4:D34,$B30)+COUNTIF('6月'!E4:E34,$B30)+COUNTIF('6月'!I4:I34,$B30)+COUNTIF('6月'!J4:J34,$B30)+COUNTIF('6月'!N4:N34,$B30)+COUNTIF('6月'!O4:O34,$B30)+COUNTIF('6月'!S4:S34,$B30)+COUNTIF('6月'!T4:T34,$B30)+COUNTIF('6月'!X4:X34,$B30)+COUNTIF('6月'!Y4:Y34,$B30)+COUNTIF('6月'!AC4:AC34,$B30)+COUNTIF('6月'!AD4:AD34,$B30)+COUNTIF('6月'!AH4:AH34,$B30)+COUNTIF('6月'!AI4:AI34,$B30)+COUNTIF('6月'!AM4:AM34,$B30)+COUNTIF('6月'!AN4:AN34,$B30)+COUNTIF('6月'!AR4:AR34,$B30)+COUNTIF('6月'!AS4:AS34,$B30)+COUNTIF('6月'!AW4:AW34,$B30)+COUNTIF('6月'!AX4:AX34,$B30)+COUNTIF('6月'!BB4:BB34,$B30)+COUNTIF('6月'!BC4:BC34,$B30)+COUNTIF('6月'!BG4:BG34,$B30)+COUNTIF('6月'!BH4:BH34,$B30)+COUNTIF('6月'!BL4:BL34,$B30)+COUNTIF('6月'!BM4:BM34,$B30)+COUNTIF('6月'!BQ4:BQ34,$B30)+COUNTIF('6月'!BR4:BR34,$B30)+COUNTIF('6月'!BV4:BV34,$B30)+COUNTIF('6月'!BW4:BW34,$B30)+COUNTIF('6月'!CA4:CA34,$B30)+COUNTIF('6月'!CB4:CB34,$B30)+COUNTIF('6月'!CF4:CF34,$B30)+COUNTIF('6月'!CG4:CG34,$B30)+COUNTIF('6月'!CK4:CK34,$B30)+COUNTIF('6月'!CL4:CL34,$B30)+COUNTIF('6月'!CP4:CP34,$B30)+COUNTIF('6月'!CQ4:CQ34,$B30)+COUNTIF('6月'!CU4:CU34,$B30)+COUNTIF('6月'!CV4:CV34,$B30)+COUNTIF('6月'!CZ4:CZ34,$B30)+COUNTIF('6月'!DA4:DA34,$B30)+COUNTIF('6月'!DE4:DE34,$B30)+COUNTIF('6月'!DF4:DF34,$B30)+COUNTIF('6月'!DJ4:DJ34,$B30)+COUNTIF('6月'!DK4:DK34,$B30)+COUNTIF('6月'!DO4:DO34,$B30)+COUNTIF('6月'!DP4:DP34,$B30)+COUNTIF('6月'!DT4:DT34,$B30)+COUNTIF('6月'!DU4:DU34,$B30)+COUNTIF('6月'!DY4:DY34,$B30)+COUNTIF('6月'!DZ4:DZ34,$B30)+COUNTIF('6月'!ED4:ED34,$B30)+COUNTIF('6月'!EE4:EE34,$B30)+COUNTIF('6月'!EI4:EI34,$B30)+COUNTIF('6月'!EJ4:EJ34,$B30)+COUNTIF('6月'!EN4:EN34,$B30)+COUNTIF('6月'!EO4:EO34,$B30)+COUNTIF('6月'!ES4:ES34,$B30)+COUNTIF('6月'!ET4:ET34,$B30)),0)</f>
        <v>0</v>
      </c>
      <c r="I30" s="76">
        <f>IFERROR(IF($B30="","",COUNTIF('7月'!D4:D34,$B30)+COUNTIF('7月'!E4:E34,$B30)+COUNTIF('7月'!I4:I34,$B30)+COUNTIF('7月'!J4:J34,$B30)+COUNTIF('7月'!N4:N34,$B30)+COUNTIF('7月'!O4:O34,$B30)+COUNTIF('7月'!S4:S34,$B30)+COUNTIF('7月'!T4:T34,$B30)+COUNTIF('7月'!X4:X34,$B30)+COUNTIF('7月'!Y4:Y34,$B30)+COUNTIF('7月'!AC4:AC34,$B30)+COUNTIF('7月'!AD4:AD34,$B30)+COUNTIF('7月'!AH4:AH34,$B30)+COUNTIF('7月'!AI4:AI34,$B30)+COUNTIF('7月'!AM4:AM34,$B30)+COUNTIF('7月'!AN4:AN34,$B30)+COUNTIF('7月'!AR4:AR34,$B30)+COUNTIF('7月'!AS4:AS34,$B30)+COUNTIF('7月'!AW4:AW34,$B30)+COUNTIF('7月'!AX4:AX34,$B30)+COUNTIF('7月'!BB4:BB34,$B30)+COUNTIF('7月'!BC4:BC34,$B30)+COUNTIF('7月'!BG4:BG34,$B30)+COUNTIF('7月'!BH4:BH34,$B30)+COUNTIF('7月'!BL4:BL34,$B30)+COUNTIF('7月'!BM4:BM34,$B30)+COUNTIF('7月'!BQ4:BQ34,$B30)+COUNTIF('7月'!BR4:BR34,$B30)+COUNTIF('7月'!BV4:BV34,$B30)+COUNTIF('7月'!BW4:BW34,$B30)+COUNTIF('7月'!CA4:CA34,$B30)+COUNTIF('7月'!CB4:CB34,$B30)+COUNTIF('7月'!CF4:CF34,$B30)+COUNTIF('7月'!CG4:CG34,$B30)+COUNTIF('7月'!CK4:CK34,$B30)+COUNTIF('7月'!CL4:CL34,$B30)+COUNTIF('7月'!CP4:CP34,$B30)+COUNTIF('7月'!CQ4:CQ34,$B30)+COUNTIF('7月'!CU4:CU34,$B30)+COUNTIF('7月'!CV4:CV34,$B30)+COUNTIF('7月'!CZ4:CZ34,$B30)+COUNTIF('7月'!DA4:DA34,$B30)+COUNTIF('7月'!DE4:DE34,$B30)+COUNTIF('7月'!DF4:DF34,$B30)+COUNTIF('7月'!DJ4:DJ34,$B30)+COUNTIF('7月'!DK4:DK34,$B30)+COUNTIF('7月'!DO4:DO34,$B30)+COUNTIF('7月'!DP4:DP34,$B30)+COUNTIF('7月'!DT4:DT34,$B30)+COUNTIF('7月'!DU4:DU34,$B30)+COUNTIF('7月'!DY4:DY34,$B30)+COUNTIF('7月'!DZ4:DZ34,$B30)+COUNTIF('7月'!ED4:ED34,$B30)+COUNTIF('7月'!EE4:EE34,$B30)+COUNTIF('7月'!EI4:EI34,$B30)+COUNTIF('7月'!EJ4:EJ34,$B30)+COUNTIF('7月'!EN4:EN34,$B30)+COUNTIF('7月'!EO4:EO34,$B30)+COUNTIF('7月'!ES4:ES34,$B30)+COUNTIF('7月'!ET4:ET34,$B30)),0)</f>
        <v>0</v>
      </c>
      <c r="J30" s="76">
        <f>IFERROR(IF($B30="","",COUNTIF('8月'!D4:D34,$B30)+COUNTIF('8月'!E4:E34,$B30)+COUNTIF('8月'!I4:I34,$B30)+COUNTIF('8月'!J4:J34,$B30)+COUNTIF('8月'!N4:N34,$B30)+COUNTIF('8月'!O4:O34,$B30)+COUNTIF('8月'!S4:S34,$B30)+COUNTIF('8月'!T4:T34,$B30)+COUNTIF('8月'!X4:X34,$B30)+COUNTIF('8月'!Y4:Y34,$B30)+COUNTIF('8月'!AC4:AC34,$B30)+COUNTIF('8月'!AD4:AD34,$B30)+COUNTIF('8月'!AH4:AH34,$B30)+COUNTIF('8月'!AI4:AI34,$B30)+COUNTIF('8月'!AM4:AM34,$B30)+COUNTIF('8月'!AN4:AN34,$B30)+COUNTIF('8月'!AR4:AR34,$B30)+COUNTIF('8月'!AS4:AS34,$B30)+COUNTIF('8月'!AW4:AW34,$B30)+COUNTIF('8月'!AX4:AX34,$B30)+COUNTIF('8月'!BB4:BB34,$B30)+COUNTIF('8月'!BC4:BC34,$B30)+COUNTIF('8月'!BG4:BG34,$B30)+COUNTIF('8月'!BH4:BH34,$B30)+COUNTIF('8月'!BL4:BL34,$B30)+COUNTIF('8月'!BM4:BM34,$B30)+COUNTIF('8月'!BQ4:BQ34,$B30)+COUNTIF('8月'!BR4:BR34,$B30)+COUNTIF('8月'!BV4:BV34,$B30)+COUNTIF('8月'!BW4:BW34,$B30)+COUNTIF('8月'!CA4:CA34,$B30)+COUNTIF('8月'!CB4:CB34,$B30)+COUNTIF('8月'!CF4:CF34,$B30)+COUNTIF('8月'!CG4:CG34,$B30)+COUNTIF('8月'!CK4:CK34,$B30)+COUNTIF('8月'!CL4:CL34,$B30)+COUNTIF('8月'!CP4:CP34,$B30)+COUNTIF('8月'!CQ4:CQ34,$B30)+COUNTIF('8月'!CU4:CU34,$B30)+COUNTIF('8月'!CV4:CV34,$B30)+COUNTIF('8月'!CZ4:CZ34,$B30)+COUNTIF('8月'!DA4:DA34,$B30)+COUNTIF('8月'!DE4:DE34,$B30)+COUNTIF('8月'!DF4:DF34,$B30)+COUNTIF('8月'!DJ4:DJ34,$B30)+COUNTIF('8月'!DK4:DK34,$B30)+COUNTIF('8月'!DO4:DO34,$B30)+COUNTIF('8月'!DP4:DP34,$B30)+COUNTIF('8月'!DT4:DT34,$B30)+COUNTIF('8月'!DU4:DU34,$B30)+COUNTIF('8月'!DY4:DY34,$B30)+COUNTIF('8月'!DZ4:DZ34,$B30)+COUNTIF('8月'!ED4:ED34,$B30)+COUNTIF('8月'!EE4:EE34,$B30)+COUNTIF('8月'!EI4:EI34,$B30)+COUNTIF('8月'!EJ4:EJ34,$B30)+COUNTIF('8月'!EN4:EN34,$B30)+COUNTIF('8月'!EO4:EO34,$B30)+COUNTIF('8月'!ES4:ES34,$B30)+COUNTIF('8月'!ET4:ET34,$B30)),0)</f>
        <v>0</v>
      </c>
      <c r="K30" s="76">
        <f>IFERROR(IF($B30="","",COUNTIF('9月'!D4:D34,$B30)+COUNTIF('9月'!E4:E34,$B30)+COUNTIF('9月'!I4:I34,$B30)+COUNTIF('9月'!J4:J34,$B30)+COUNTIF('9月'!N4:N34,$B30)+COUNTIF('9月'!O4:O34,$B30)+COUNTIF('9月'!S4:S34,$B30)+COUNTIF('9月'!T4:T34,$B30)+COUNTIF('9月'!X4:X34,$B30)+COUNTIF('9月'!Y4:Y34,$B30)+COUNTIF('9月'!AC4:AC34,$B30)+COUNTIF('9月'!AD4:AD34,$B30)+COUNTIF('9月'!AH4:AH34,$B30)+COUNTIF('9月'!AI4:AI34,$B30)+COUNTIF('9月'!AM4:AM34,$B30)+COUNTIF('9月'!AN4:AN34,$B30)+COUNTIF('9月'!AR4:AR34,$B30)+COUNTIF('9月'!AS4:AS34,$B30)+COUNTIF('9月'!AW4:AW34,$B30)+COUNTIF('9月'!AX4:AX34,$B30)+COUNTIF('9月'!BB4:BB34,$B30)+COUNTIF('9月'!BC4:BC34,$B30)+COUNTIF('9月'!BG4:BG34,$B30)+COUNTIF('9月'!BH4:BH34,$B30)+COUNTIF('9月'!BL4:BL34,$B30)+COUNTIF('9月'!BM4:BM34,$B30)+COUNTIF('9月'!BQ4:BQ34,$B30)+COUNTIF('9月'!BR4:BR34,$B30)+COUNTIF('9月'!BV4:BV34,$B30)+COUNTIF('9月'!BW4:BW34,$B30)+COUNTIF('9月'!CA4:CA34,$B30)+COUNTIF('9月'!CB4:CB34,$B30)+COUNTIF('9月'!CF4:CF34,$B30)+COUNTIF('9月'!CG4:CG34,$B30)+COUNTIF('9月'!CK4:CK34,$B30)+COUNTIF('9月'!CL4:CL34,$B30)+COUNTIF('9月'!CP4:CP34,$B30)+COUNTIF('9月'!CQ4:CQ34,$B30)+COUNTIF('9月'!CU4:CU34,$B30)+COUNTIF('9月'!CV4:CV34,$B30)+COUNTIF('9月'!CZ4:CZ34,$B30)+COUNTIF('9月'!DA4:DA34,$B30)+COUNTIF('9月'!DE4:DE34,$B30)+COUNTIF('9月'!DF4:DF34,$B30)+COUNTIF('9月'!DJ4:DJ34,$B30)+COUNTIF('9月'!DK4:DK34,$B30)+COUNTIF('9月'!DO4:DO34,$B30)+COUNTIF('9月'!DP4:DP34,$B30)+COUNTIF('9月'!DT4:DT34,$B30)+COUNTIF('9月'!DU4:DU34,$B30)+COUNTIF('9月'!DY4:DY34,$B30)+COUNTIF('9月'!DZ4:DZ34,$B30)+COUNTIF('9月'!ED4:ED34,$B30)+COUNTIF('9月'!EE4:EE34,$B30)+COUNTIF('9月'!EI4:EI34,$B30)+COUNTIF('9月'!EJ4:EJ34,$B30)+COUNTIF('9月'!EN4:EN34,$B30)+COUNTIF('9月'!EO4:EO34,$B30)+COUNTIF('9月'!ES4:ES34,$B30)+COUNTIF('9月'!ET4:ET34,$B30)),0)</f>
        <v>0</v>
      </c>
      <c r="L30" s="76">
        <f>IFERROR(IF($B30="","",COUNTIF('10月'!D4:D34,$B30)+COUNTIF('10月'!E4:E34,$B30)+COUNTIF('10月'!I4:I34,$B30)+COUNTIF('10月'!J4:J34,$B30)+COUNTIF('10月'!N4:N34,$B30)+COUNTIF('10月'!O4:O34,$B30)+COUNTIF('10月'!S4:S34,$B30)+COUNTIF('10月'!T4:T34,$B30)+COUNTIF('10月'!X4:X34,$B30)+COUNTIF('10月'!Y4:Y34,$B30)+COUNTIF('10月'!AC4:AC34,$B30)+COUNTIF('10月'!AD4:AD34,$B30)+COUNTIF('10月'!AH4:AH34,$B30)+COUNTIF('10月'!AI4:AI34,$B30)+COUNTIF('10月'!AM4:AM34,$B30)+COUNTIF('10月'!AN4:AN34,$B30)+COUNTIF('10月'!AR4:AR34,$B30)+COUNTIF('10月'!AS4:AS34,$B30)+COUNTIF('10月'!AW4:AW34,$B30)+COUNTIF('10月'!AX4:AX34,$B30)+COUNTIF('10月'!BB4:BB34,$B30)+COUNTIF('10月'!BC4:BC34,$B30)+COUNTIF('10月'!BG4:BG34,$B30)+COUNTIF('10月'!BH4:BH34,$B30)+COUNTIF('10月'!BL4:BL34,$B30)+COUNTIF('10月'!BM4:BM34,$B30)+COUNTIF('10月'!BQ4:BQ34,$B30)+COUNTIF('10月'!BR4:BR34,$B30)+COUNTIF('10月'!BV4:BV34,$B30)+COUNTIF('10月'!BW4:BW34,$B30)+COUNTIF('10月'!CA4:CA34,$B30)+COUNTIF('10月'!CB4:CB34,$B30)+COUNTIF('10月'!CF4:CF34,$B30)+COUNTIF('10月'!CG4:CG34,$B30)+COUNTIF('10月'!CK4:CK34,$B30)+COUNTIF('10月'!CL4:CL34,$B30)+COUNTIF('10月'!CP4:CP34,$B30)+COUNTIF('10月'!CQ4:CQ34,$B30)+COUNTIF('10月'!CU4:CU34,$B30)+COUNTIF('10月'!CV4:CV34,$B30)+COUNTIF('10月'!CZ4:CZ34,$B30)+COUNTIF('10月'!DA4:DA34,$B30)+COUNTIF('10月'!DE4:DE34,$B30)+COUNTIF('10月'!DF4:DF34,$B30)+COUNTIF('10月'!DJ4:DJ34,$B30)+COUNTIF('10月'!DK4:DK34,$B30)+COUNTIF('10月'!DO4:DO34,$B30)+COUNTIF('10月'!DP4:DP34,$B30)+COUNTIF('10月'!DT4:DT34,$B30)+COUNTIF('10月'!DU4:DU34,$B30)+COUNTIF('10月'!DY4:DY34,$B30)+COUNTIF('10月'!DZ4:DZ34,$B30)+COUNTIF('10月'!ED4:ED34,$B30)+COUNTIF('10月'!EE4:EE34,$B30)+COUNTIF('10月'!EI4:EI34,$B30)+COUNTIF('10月'!EJ4:EJ34,$B30)+COUNTIF('10月'!EN4:EN34,$B30)+COUNTIF('10月'!EO4:EO34,$B30)+COUNTIF('10月'!ES4:ES34,$B30)+COUNTIF('10月'!ET4:ET34,$B30)),0)</f>
        <v>0</v>
      </c>
      <c r="M30" s="76">
        <f>IFERROR(IF($B30="","",COUNTIF('11月'!D4:D34,$B30)+COUNTIF('11月'!E4:E34,$B30)+COUNTIF('11月'!I4:I34,$B30)+COUNTIF('11月'!J4:J34,$B30)+COUNTIF('11月'!N4:N34,$B30)+COUNTIF('11月'!O4:O34,$B30)+COUNTIF('11月'!S4:S34,$B30)+COUNTIF('11月'!T4:T34,$B30)+COUNTIF('11月'!X4:X34,$B30)+COUNTIF('11月'!Y4:Y34,$B30)+COUNTIF('11月'!AC4:AC34,$B30)+COUNTIF('11月'!AD4:AD34,$B30)+COUNTIF('11月'!AH4:AH34,$B30)+COUNTIF('11月'!AI4:AI34,$B30)+COUNTIF('11月'!AM4:AM34,$B30)+COUNTIF('11月'!AN4:AN34,$B30)+COUNTIF('11月'!AR4:AR34,$B30)+COUNTIF('11月'!AS4:AS34,$B30)+COUNTIF('11月'!AW4:AW34,$B30)+COUNTIF('11月'!AX4:AX34,$B30)+COUNTIF('11月'!BB4:BB34,$B30)+COUNTIF('11月'!BC4:BC34,$B30)+COUNTIF('11月'!BG4:BG34,$B30)+COUNTIF('11月'!BH4:BH34,$B30)+COUNTIF('11月'!BL4:BL34,$B30)+COUNTIF('11月'!BM4:BM34,$B30)+COUNTIF('11月'!BQ4:BQ34,$B30)+COUNTIF('11月'!BR4:BR34,$B30)+COUNTIF('11月'!BV4:BV34,$B30)+COUNTIF('11月'!BW4:BW34,$B30)+COUNTIF('11月'!CA4:CA34,$B30)+COUNTIF('11月'!CB4:CB34,$B30)+COUNTIF('11月'!CF4:CF34,$B30)+COUNTIF('11月'!CG4:CG34,$B30)+COUNTIF('11月'!CK4:CK34,$B30)+COUNTIF('11月'!CL4:CL34,$B30)+COUNTIF('11月'!CP4:CP34,$B30)+COUNTIF('11月'!CQ4:CQ34,$B30)+COUNTIF('11月'!CU4:CU34,$B30)+COUNTIF('11月'!CV4:CV34,$B30)+COUNTIF('11月'!CZ4:CZ34,$B30)+COUNTIF('11月'!DA4:DA34,$B30)+COUNTIF('11月'!DE4:DE34,$B30)+COUNTIF('11月'!DF4:DF34,$B30)+COUNTIF('11月'!DJ4:DJ34,$B30)+COUNTIF('11月'!DK4:DK34,$B30)+COUNTIF('11月'!DO4:DO34,$B30)+COUNTIF('11月'!DP4:DP34,$B30)+COUNTIF('11月'!DT4:DT34,$B30)+COUNTIF('11月'!DU4:DU34,$B30)+COUNTIF('11月'!DY4:DY34,$B30)+COUNTIF('11月'!DZ4:DZ34,$B30)+COUNTIF('11月'!ED4:ED34,$B30)+COUNTIF('11月'!EE4:EE34,$B30)+COUNTIF('11月'!EI4:EI34,$B30)+COUNTIF('11月'!EJ4:EJ34,$B30)+COUNTIF('11月'!EN4:EN34,$B30)+COUNTIF('11月'!EO4:EO34,$B30)+COUNTIF('11月'!ES4:ES34,$B30)+COUNTIF('11月'!ET4:ET34,$B30)),0)</f>
        <v>0</v>
      </c>
      <c r="N30" s="76">
        <f>IFERROR(IF($B30="","",COUNTIF('12月'!D4:D34,$B30)+COUNTIF('12月'!E4:E34,$B30)+COUNTIF('12月'!I4:I34,$B30)+COUNTIF('12月'!J4:J34,$B30)+COUNTIF('12月'!N4:N34,$B30)+COUNTIF('12月'!O4:O34,$B30)+COUNTIF('12月'!S4:S34,$B30)+COUNTIF('12月'!T4:T34,$B30)+COUNTIF('12月'!X4:X34,$B30)+COUNTIF('12月'!Y4:Y34,$B30)+COUNTIF('12月'!AC4:AC34,$B30)+COUNTIF('12月'!AD4:AD34,$B30)+COUNTIF('12月'!AH4:AH34,$B30)+COUNTIF('12月'!AI4:AI34,$B30)+COUNTIF('12月'!AM4:AM34,$B30)+COUNTIF('12月'!AN4:AN34,$B30)+COUNTIF('12月'!AR4:AR34,$B30)+COUNTIF('12月'!AS4:AS34,$B30)+COUNTIF('12月'!AW4:AW34,$B30)+COUNTIF('12月'!AX4:AX34,$B30)+COUNTIF('12月'!BB4:BB34,$B30)+COUNTIF('12月'!BC4:BC34,$B30)+COUNTIF('12月'!BG4:BG34,$B30)+COUNTIF('12月'!BH4:BH34,$B30)+COUNTIF('12月'!BL4:BL34,$B30)+COUNTIF('12月'!BM4:BM34,$B30)+COUNTIF('12月'!BQ4:BQ34,$B30)+COUNTIF('12月'!BR4:BR34,$B30)+COUNTIF('12月'!BV4:BV34,$B30)+COUNTIF('12月'!BW4:BW34,$B30)+COUNTIF('12月'!CA4:CA34,$B30)+COUNTIF('12月'!CB4:CB34,$B30)+COUNTIF('12月'!CF4:CF34,$B30)+COUNTIF('12月'!CG4:CG34,$B30)+COUNTIF('12月'!CK4:CK34,$B30)+COUNTIF('12月'!CL4:CL34,$B30)+COUNTIF('12月'!CP4:CP34,$B30)+COUNTIF('12月'!CQ4:CQ34,$B30)+COUNTIF('12月'!CU4:CU34,$B30)+COUNTIF('12月'!CV4:CV34,$B30)+COUNTIF('12月'!CZ4:CZ34,$B30)+COUNTIF('12月'!DA4:DA34,$B30)+COUNTIF('12月'!DE4:DE34,$B30)+COUNTIF('12月'!DF4:DF34,$B30)+COUNTIF('12月'!DJ4:DJ34,$B30)+COUNTIF('12月'!DK4:DK34,$B30)+COUNTIF('12月'!DO4:DO34,$B30)+COUNTIF('12月'!DP4:DP34,$B30)+COUNTIF('12月'!DT4:DT34,$B30)+COUNTIF('12月'!DU4:DU34,$B30)+COUNTIF('12月'!DY4:DY34,$B30)+COUNTIF('12月'!DZ4:DZ34,$B30)+COUNTIF('12月'!ED4:ED34,$B30)+COUNTIF('12月'!EE4:EE34,$B30)+COUNTIF('12月'!EI4:EI34,$B30)+COUNTIF('12月'!EJ4:EJ34,$B30)+COUNTIF('12月'!EN4:EN34,$B30)+COUNTIF('12月'!EO4:EO34,$B30)+COUNTIF('12月'!ES4:ES34,$B30)+COUNTIF('12月'!ET4:ET34,$B30)),0)</f>
        <v>0</v>
      </c>
      <c r="O30" s="78">
        <f t="shared" si="0"/>
        <v>0</v>
      </c>
    </row>
    <row r="31" spans="1:15" ht="19.5" customHeight="1">
      <c r="A31" s="76">
        <v>29</v>
      </c>
      <c r="B31" s="77">
        <f>IFERROR(現場マスタ!$C$32,"")</f>
        <v>0</v>
      </c>
      <c r="C31" s="76">
        <f>IFERROR(IF($B31="","",COUNTIF('1月'!D4:D34,$B31)+COUNTIF('1月'!E4:E34,$B31)+COUNTIF('1月'!I4:I34,$B31)+COUNTIF('1月'!J4:J34,$B31)+COUNTIF('1月'!N4:N34,$B31)+COUNTIF('1月'!O4:O34,$B31)+COUNTIF('1月'!S4:S34,$B31)+COUNTIF('1月'!T4:T34,$B31)+COUNTIF('1月'!X4:X34,$B31)+COUNTIF('1月'!Y4:Y34,$B31)+COUNTIF('1月'!AC4:AC34,$B31)+COUNTIF('1月'!AD4:AD34,$B31)+COUNTIF('1月'!AH4:AH34,$B31)+COUNTIF('1月'!AI4:AI34,$B31)+COUNTIF('1月'!AM4:AM34,$B31)+COUNTIF('1月'!AN4:AN34,$B31)+COUNTIF('1月'!AR4:AR34,$B31)+COUNTIF('1月'!AS4:AS34,$B31)+COUNTIF('1月'!AW4:AW34,$B31)+COUNTIF('1月'!AX4:AX34,$B31)+COUNTIF('1月'!BB4:BB34,$B31)+COUNTIF('1月'!BC4:BC34,$B31)+COUNTIF('1月'!BG4:BG34,$B31)+COUNTIF('1月'!BH4:BH34,$B31)+COUNTIF('1月'!BL4:BL34,$B31)+COUNTIF('1月'!BM4:BM34,$B31)+COUNTIF('1月'!BQ4:BQ34,$B31)+COUNTIF('1月'!BR4:BR34,$B31)+COUNTIF('1月'!BV4:BV34,$B31)+COUNTIF('1月'!BW4:BW34,$B31)+COUNTIF('1月'!CA4:CA34,$B31)+COUNTIF('1月'!CB4:CB34,$B31)+COUNTIF('1月'!CF4:CF34,$B31)+COUNTIF('1月'!CG4:CG34,$B31)+COUNTIF('1月'!CK4:CK34,$B31)+COUNTIF('1月'!CL4:CL34,$B31)+COUNTIF('1月'!CP4:CP34,$B31)+COUNTIF('1月'!CQ4:CQ34,$B31)+COUNTIF('1月'!CU4:CU34,$B31)+COUNTIF('1月'!CV4:CV34,$B31)+COUNTIF('1月'!CZ4:CZ34,$B31)+COUNTIF('1月'!DA4:DA34,$B31)+COUNTIF('1月'!DE4:DE34,$B31)+COUNTIF('1月'!DF4:DF34,$B31)+COUNTIF('1月'!DJ4:DJ34,$B31)+COUNTIF('1月'!DK4:DK34,$B31)+COUNTIF('1月'!DO4:DO34,$B31)+COUNTIF('1月'!DP4:DP34,$B31)+COUNTIF('1月'!DT4:DT34,$B31)+COUNTIF('1月'!DU4:DU34,$B31)+COUNTIF('1月'!DY4:DY34,$B31)+COUNTIF('1月'!DZ4:DZ34,$B31)+COUNTIF('1月'!ED4:ED34,$B31)+COUNTIF('1月'!EE4:EE34,$B31)+COUNTIF('1月'!EI4:EI34,$B31)+COUNTIF('1月'!EJ4:EJ34,$B31)+COUNTIF('1月'!EN4:EN34,$B31)+COUNTIF('1月'!EO4:EO34,$B31)+COUNTIF('1月'!ES4:ES34,$B31)+COUNTIF('1月'!ET4:ET34,$B31)),0)</f>
        <v>0</v>
      </c>
      <c r="D31" s="76">
        <f>IFERROR(IF($B31="","",COUNTIF('2月'!D4:D34,$B31)+COUNTIF('2月'!E4:E34,$B31)+COUNTIF('2月'!I4:I34,$B31)+COUNTIF('2月'!J4:J34,$B31)+COUNTIF('2月'!N4:N34,$B31)+COUNTIF('2月'!O4:O34,$B31)+COUNTIF('2月'!S4:S34,$B31)+COUNTIF('2月'!T4:T34,$B31)+COUNTIF('2月'!X4:X34,$B31)+COUNTIF('2月'!Y4:Y34,$B31)+COUNTIF('2月'!AC4:AC34,$B31)+COUNTIF('2月'!AD4:AD34,$B31)+COUNTIF('2月'!AH4:AH34,$B31)+COUNTIF('2月'!AI4:AI34,$B31)+COUNTIF('2月'!AM4:AM34,$B31)+COUNTIF('2月'!AN4:AN34,$B31)+COUNTIF('2月'!AR4:AR34,$B31)+COUNTIF('2月'!AS4:AS34,$B31)+COUNTIF('2月'!AW4:AW34,$B31)+COUNTIF('2月'!AX4:AX34,$B31)+COUNTIF('2月'!BB4:BB34,$B31)+COUNTIF('2月'!BC4:BC34,$B31)+COUNTIF('2月'!BG4:BG34,$B31)+COUNTIF('2月'!BH4:BH34,$B31)+COUNTIF('2月'!BL4:BL34,$B31)+COUNTIF('2月'!BM4:BM34,$B31)+COUNTIF('2月'!BQ4:BQ34,$B31)+COUNTIF('2月'!BR4:BR34,$B31)+COUNTIF('2月'!BV4:BV34,$B31)+COUNTIF('2月'!BW4:BW34,$B31)+COUNTIF('2月'!CA4:CA34,$B31)+COUNTIF('2月'!CB4:CB34,$B31)+COUNTIF('2月'!CF4:CF34,$B31)+COUNTIF('2月'!CG4:CG34,$B31)+COUNTIF('2月'!CK4:CK34,$B31)+COUNTIF('2月'!CL4:CL34,$B31)+COUNTIF('2月'!CP4:CP34,$B31)+COUNTIF('2月'!CQ4:CQ34,$B31)+COUNTIF('2月'!CU4:CU34,$B31)+COUNTIF('2月'!CV4:CV34,$B31)+COUNTIF('2月'!CZ4:CZ34,$B31)+COUNTIF('2月'!DA4:DA34,$B31)+COUNTIF('2月'!DE4:DE34,$B31)+COUNTIF('2月'!DF4:DF34,$B31)+COUNTIF('2月'!DJ4:DJ34,$B31)+COUNTIF('2月'!DK4:DK34,$B31)+COUNTIF('2月'!DO4:DO34,$B31)+COUNTIF('2月'!DP4:DP34,$B31)+COUNTIF('2月'!DT4:DT34,$B31)+COUNTIF('2月'!DU4:DU34,$B31)+COUNTIF('2月'!DY4:DY34,$B31)+COUNTIF('2月'!DZ4:DZ34,$B31)+COUNTIF('2月'!ED4:ED34,$B31)+COUNTIF('2月'!EE4:EE34,$B31)+COUNTIF('2月'!EI4:EI34,$B31)+COUNTIF('2月'!EJ4:EJ34,$B31)+COUNTIF('2月'!EN4:EN34,$B31)+COUNTIF('2月'!EO4:EO34,$B31)+COUNTIF('2月'!ES4:ES34,$B31)+COUNTIF('2月'!ET4:ET34,$B31)),0)</f>
        <v>0</v>
      </c>
      <c r="E31" s="76">
        <f>IFERROR(IF($B31="","",COUNTIF('3月'!D4:D34,$B31)+COUNTIF('3月'!E4:E34,$B31)+COUNTIF('3月'!I4:I34,$B31)+COUNTIF('3月'!J4:J34,$B31)+COUNTIF('3月'!N4:N34,$B31)+COUNTIF('3月'!O4:O34,$B31)+COUNTIF('3月'!S4:S34,$B31)+COUNTIF('3月'!T4:T34,$B31)+COUNTIF('3月'!X4:X34,$B31)+COUNTIF('3月'!Y4:Y34,$B31)+COUNTIF('3月'!AC4:AC34,$B31)+COUNTIF('3月'!AD4:AD34,$B31)+COUNTIF('3月'!AH4:AH34,$B31)+COUNTIF('3月'!AI4:AI34,$B31)+COUNTIF('3月'!AM4:AM34,$B31)+COUNTIF('3月'!AN4:AN34,$B31)+COUNTIF('3月'!AR4:AR34,$B31)+COUNTIF('3月'!AS4:AS34,$B31)+COUNTIF('3月'!AW4:AW34,$B31)+COUNTIF('3月'!AX4:AX34,$B31)+COUNTIF('3月'!BB4:BB34,$B31)+COUNTIF('3月'!BC4:BC34,$B31)+COUNTIF('3月'!BG4:BG34,$B31)+COUNTIF('3月'!BH4:BH34,$B31)+COUNTIF('3月'!BL4:BL34,$B31)+COUNTIF('3月'!BM4:BM34,$B31)+COUNTIF('3月'!BQ4:BQ34,$B31)+COUNTIF('3月'!BR4:BR34,$B31)+COUNTIF('3月'!BV4:BV34,$B31)+COUNTIF('3月'!BW4:BW34,$B31)+COUNTIF('3月'!CA4:CA34,$B31)+COUNTIF('3月'!CB4:CB34,$B31)+COUNTIF('3月'!CF4:CF34,$B31)+COUNTIF('3月'!CG4:CG34,$B31)+COUNTIF('3月'!CK4:CK34,$B31)+COUNTIF('3月'!CL4:CL34,$B31)+COUNTIF('3月'!CP4:CP34,$B31)+COUNTIF('3月'!CQ4:CQ34,$B31)+COUNTIF('3月'!CU4:CU34,$B31)+COUNTIF('3月'!CV4:CV34,$B31)+COUNTIF('3月'!CZ4:CZ34,$B31)+COUNTIF('3月'!DA4:DA34,$B31)+COUNTIF('3月'!DE4:DE34,$B31)+COUNTIF('3月'!DF4:DF34,$B31)+COUNTIF('3月'!DJ4:DJ34,$B31)+COUNTIF('3月'!DK4:DK34,$B31)+COUNTIF('3月'!DO4:DO34,$B31)+COUNTIF('3月'!DP4:DP34,$B31)+COUNTIF('3月'!DT4:DT34,$B31)+COUNTIF('3月'!DU4:DU34,$B31)+COUNTIF('3月'!DY4:DY34,$B31)+COUNTIF('3月'!DZ4:DZ34,$B31)+COUNTIF('3月'!ED4:ED34,$B31)+COUNTIF('3月'!EE4:EE34,$B31)+COUNTIF('3月'!EI4:EI34,$B31)+COUNTIF('3月'!EJ4:EJ34,$B31)+COUNTIF('3月'!EN4:EN34,$B31)+COUNTIF('3月'!EO4:EO34,$B31)+COUNTIF('3月'!ES4:ES34,$B31)+COUNTIF('3月'!ET4:ET34,$B31)),0)</f>
        <v>0</v>
      </c>
      <c r="F31" s="76">
        <f>IFERROR(IF($B31="","",COUNTIF('4月'!D4:D34,$B31)+COUNTIF('4月'!E4:E34,$B31)+COUNTIF('4月'!I4:I34,$B31)+COUNTIF('4月'!J4:J34,$B31)+COUNTIF('4月'!N4:N34,$B31)+COUNTIF('4月'!O4:O34,$B31)+COUNTIF('4月'!S4:S34,$B31)+COUNTIF('4月'!T4:T34,$B31)+COUNTIF('4月'!X4:X34,$B31)+COUNTIF('4月'!Y4:Y34,$B31)+COUNTIF('4月'!AC4:AC34,$B31)+COUNTIF('4月'!AD4:AD34,$B31)+COUNTIF('4月'!AH4:AH34,$B31)+COUNTIF('4月'!AI4:AI34,$B31)+COUNTIF('4月'!AM4:AM34,$B31)+COUNTIF('4月'!AN4:AN34,$B31)+COUNTIF('4月'!AR4:AR34,$B31)+COUNTIF('4月'!AS4:AS34,$B31)+COUNTIF('4月'!AW4:AW34,$B31)+COUNTIF('4月'!AX4:AX34,$B31)+COUNTIF('4月'!BB4:BB34,$B31)+COUNTIF('4月'!BC4:BC34,$B31)+COUNTIF('4月'!BG4:BG34,$B31)+COUNTIF('4月'!BH4:BH34,$B31)+COUNTIF('4月'!BL4:BL34,$B31)+COUNTIF('4月'!BM4:BM34,$B31)+COUNTIF('4月'!BQ4:BQ34,$B31)+COUNTIF('4月'!BR4:BR34,$B31)+COUNTIF('4月'!BV4:BV34,$B31)+COUNTIF('4月'!BW4:BW34,$B31)+COUNTIF('4月'!CA4:CA34,$B31)+COUNTIF('4月'!CB4:CB34,$B31)+COUNTIF('4月'!CF4:CF34,$B31)+COUNTIF('4月'!CG4:CG34,$B31)+COUNTIF('4月'!CK4:CK34,$B31)+COUNTIF('4月'!CL4:CL34,$B31)+COUNTIF('4月'!CP4:CP34,$B31)+COUNTIF('4月'!CQ4:CQ34,$B31)+COUNTIF('4月'!CU4:CU34,$B31)+COUNTIF('4月'!CV4:CV34,$B31)+COUNTIF('4月'!CZ4:CZ34,$B31)+COUNTIF('4月'!DA4:DA34,$B31)+COUNTIF('4月'!DE4:DE34,$B31)+COUNTIF('4月'!DF4:DF34,$B31)+COUNTIF('4月'!DJ4:DJ34,$B31)+COUNTIF('4月'!DK4:DK34,$B31)+COUNTIF('4月'!DO4:DO34,$B31)+COUNTIF('4月'!DP4:DP34,$B31)+COUNTIF('4月'!DT4:DT34,$B31)+COUNTIF('4月'!DU4:DU34,$B31)+COUNTIF('4月'!DY4:DY34,$B31)+COUNTIF('4月'!DZ4:DZ34,$B31)+COUNTIF('4月'!ED4:ED34,$B31)+COUNTIF('4月'!EE4:EE34,$B31)+COUNTIF('4月'!EI4:EI34,$B31)+COUNTIF('4月'!EJ4:EJ34,$B31)+COUNTIF('4月'!EN4:EN34,$B31)+COUNTIF('4月'!EO4:EO34,$B31)+COUNTIF('4月'!ES4:ES34,$B31)+COUNTIF('4月'!ET4:ET34,$B31)),0)</f>
        <v>0</v>
      </c>
      <c r="G31" s="76">
        <f>IFERROR(IF($B31="","",COUNTIF('5月'!D4:D34,$B31)+COUNTIF('5月'!E4:E34,$B31)+COUNTIF('5月'!I4:I34,$B31)+COUNTIF('5月'!J4:J34,$B31)+COUNTIF('5月'!N4:N34,$B31)+COUNTIF('5月'!O4:O34,$B31)+COUNTIF('5月'!S4:S34,$B31)+COUNTIF('5月'!T4:T34,$B31)+COUNTIF('5月'!X4:X34,$B31)+COUNTIF('5月'!Y4:Y34,$B31)+COUNTIF('5月'!AC4:AC34,$B31)+COUNTIF('5月'!AD4:AD34,$B31)+COUNTIF('5月'!AH4:AH34,$B31)+COUNTIF('5月'!AI4:AI34,$B31)+COUNTIF('5月'!AM4:AM34,$B31)+COUNTIF('5月'!AN4:AN34,$B31)+COUNTIF('5月'!AR4:AR34,$B31)+COUNTIF('5月'!AS4:AS34,$B31)+COUNTIF('5月'!AW4:AW34,$B31)+COUNTIF('5月'!AX4:AX34,$B31)+COUNTIF('5月'!BB4:BB34,$B31)+COUNTIF('5月'!BC4:BC34,$B31)+COUNTIF('5月'!BG4:BG34,$B31)+COUNTIF('5月'!BH4:BH34,$B31)+COUNTIF('5月'!BL4:BL34,$B31)+COUNTIF('5月'!BM4:BM34,$B31)+COUNTIF('5月'!BQ4:BQ34,$B31)+COUNTIF('5月'!BR4:BR34,$B31)+COUNTIF('5月'!BV4:BV34,$B31)+COUNTIF('5月'!BW4:BW34,$B31)+COUNTIF('5月'!CA4:CA34,$B31)+COUNTIF('5月'!CB4:CB34,$B31)+COUNTIF('5月'!CF4:CF34,$B31)+COUNTIF('5月'!CG4:CG34,$B31)+COUNTIF('5月'!CK4:CK34,$B31)+COUNTIF('5月'!CL4:CL34,$B31)+COUNTIF('5月'!CP4:CP34,$B31)+COUNTIF('5月'!CQ4:CQ34,$B31)+COUNTIF('5月'!CU4:CU34,$B31)+COUNTIF('5月'!CV4:CV34,$B31)+COUNTIF('5月'!CZ4:CZ34,$B31)+COUNTIF('5月'!DA4:DA34,$B31)+COUNTIF('5月'!DE4:DE34,$B31)+COUNTIF('5月'!DF4:DF34,$B31)+COUNTIF('5月'!DJ4:DJ34,$B31)+COUNTIF('5月'!DK4:DK34,$B31)+COUNTIF('5月'!DO4:DO34,$B31)+COUNTIF('5月'!DP4:DP34,$B31)+COUNTIF('5月'!DT4:DT34,$B31)+COUNTIF('5月'!DU4:DU34,$B31)+COUNTIF('5月'!DY4:DY34,$B31)+COUNTIF('5月'!DZ4:DZ34,$B31)+COUNTIF('5月'!ED4:ED34,$B31)+COUNTIF('5月'!EE4:EE34,$B31)+COUNTIF('5月'!EI4:EI34,$B31)+COUNTIF('5月'!EJ4:EJ34,$B31)+COUNTIF('5月'!EN4:EN34,$B31)+COUNTIF('5月'!EO4:EO34,$B31)+COUNTIF('5月'!ES4:ES34,$B31)+COUNTIF('5月'!ET4:ET34,$B31)),0)</f>
        <v>0</v>
      </c>
      <c r="H31" s="76">
        <f>IFERROR(IF($B31="","",COUNTIF('6月'!D4:D34,$B31)+COUNTIF('6月'!E4:E34,$B31)+COUNTIF('6月'!I4:I34,$B31)+COUNTIF('6月'!J4:J34,$B31)+COUNTIF('6月'!N4:N34,$B31)+COUNTIF('6月'!O4:O34,$B31)+COUNTIF('6月'!S4:S34,$B31)+COUNTIF('6月'!T4:T34,$B31)+COUNTIF('6月'!X4:X34,$B31)+COUNTIF('6月'!Y4:Y34,$B31)+COUNTIF('6月'!AC4:AC34,$B31)+COUNTIF('6月'!AD4:AD34,$B31)+COUNTIF('6月'!AH4:AH34,$B31)+COUNTIF('6月'!AI4:AI34,$B31)+COUNTIF('6月'!AM4:AM34,$B31)+COUNTIF('6月'!AN4:AN34,$B31)+COUNTIF('6月'!AR4:AR34,$B31)+COUNTIF('6月'!AS4:AS34,$B31)+COUNTIF('6月'!AW4:AW34,$B31)+COUNTIF('6月'!AX4:AX34,$B31)+COUNTIF('6月'!BB4:BB34,$B31)+COUNTIF('6月'!BC4:BC34,$B31)+COUNTIF('6月'!BG4:BG34,$B31)+COUNTIF('6月'!BH4:BH34,$B31)+COUNTIF('6月'!BL4:BL34,$B31)+COUNTIF('6月'!BM4:BM34,$B31)+COUNTIF('6月'!BQ4:BQ34,$B31)+COUNTIF('6月'!BR4:BR34,$B31)+COUNTIF('6月'!BV4:BV34,$B31)+COUNTIF('6月'!BW4:BW34,$B31)+COUNTIF('6月'!CA4:CA34,$B31)+COUNTIF('6月'!CB4:CB34,$B31)+COUNTIF('6月'!CF4:CF34,$B31)+COUNTIF('6月'!CG4:CG34,$B31)+COUNTIF('6月'!CK4:CK34,$B31)+COUNTIF('6月'!CL4:CL34,$B31)+COUNTIF('6月'!CP4:CP34,$B31)+COUNTIF('6月'!CQ4:CQ34,$B31)+COUNTIF('6月'!CU4:CU34,$B31)+COUNTIF('6月'!CV4:CV34,$B31)+COUNTIF('6月'!CZ4:CZ34,$B31)+COUNTIF('6月'!DA4:DA34,$B31)+COUNTIF('6月'!DE4:DE34,$B31)+COUNTIF('6月'!DF4:DF34,$B31)+COUNTIF('6月'!DJ4:DJ34,$B31)+COUNTIF('6月'!DK4:DK34,$B31)+COUNTIF('6月'!DO4:DO34,$B31)+COUNTIF('6月'!DP4:DP34,$B31)+COUNTIF('6月'!DT4:DT34,$B31)+COUNTIF('6月'!DU4:DU34,$B31)+COUNTIF('6月'!DY4:DY34,$B31)+COUNTIF('6月'!DZ4:DZ34,$B31)+COUNTIF('6月'!ED4:ED34,$B31)+COUNTIF('6月'!EE4:EE34,$B31)+COUNTIF('6月'!EI4:EI34,$B31)+COUNTIF('6月'!EJ4:EJ34,$B31)+COUNTIF('6月'!EN4:EN34,$B31)+COUNTIF('6月'!EO4:EO34,$B31)+COUNTIF('6月'!ES4:ES34,$B31)+COUNTIF('6月'!ET4:ET34,$B31)),0)</f>
        <v>0</v>
      </c>
      <c r="I31" s="76">
        <f>IFERROR(IF($B31="","",COUNTIF('7月'!D4:D34,$B31)+COUNTIF('7月'!E4:E34,$B31)+COUNTIF('7月'!I4:I34,$B31)+COUNTIF('7月'!J4:J34,$B31)+COUNTIF('7月'!N4:N34,$B31)+COUNTIF('7月'!O4:O34,$B31)+COUNTIF('7月'!S4:S34,$B31)+COUNTIF('7月'!T4:T34,$B31)+COUNTIF('7月'!X4:X34,$B31)+COUNTIF('7月'!Y4:Y34,$B31)+COUNTIF('7月'!AC4:AC34,$B31)+COUNTIF('7月'!AD4:AD34,$B31)+COUNTIF('7月'!AH4:AH34,$B31)+COUNTIF('7月'!AI4:AI34,$B31)+COUNTIF('7月'!AM4:AM34,$B31)+COUNTIF('7月'!AN4:AN34,$B31)+COUNTIF('7月'!AR4:AR34,$B31)+COUNTIF('7月'!AS4:AS34,$B31)+COUNTIF('7月'!AW4:AW34,$B31)+COUNTIF('7月'!AX4:AX34,$B31)+COUNTIF('7月'!BB4:BB34,$B31)+COUNTIF('7月'!BC4:BC34,$B31)+COUNTIF('7月'!BG4:BG34,$B31)+COUNTIF('7月'!BH4:BH34,$B31)+COUNTIF('7月'!BL4:BL34,$B31)+COUNTIF('7月'!BM4:BM34,$B31)+COUNTIF('7月'!BQ4:BQ34,$B31)+COUNTIF('7月'!BR4:BR34,$B31)+COUNTIF('7月'!BV4:BV34,$B31)+COUNTIF('7月'!BW4:BW34,$B31)+COUNTIF('7月'!CA4:CA34,$B31)+COUNTIF('7月'!CB4:CB34,$B31)+COUNTIF('7月'!CF4:CF34,$B31)+COUNTIF('7月'!CG4:CG34,$B31)+COUNTIF('7月'!CK4:CK34,$B31)+COUNTIF('7月'!CL4:CL34,$B31)+COUNTIF('7月'!CP4:CP34,$B31)+COUNTIF('7月'!CQ4:CQ34,$B31)+COUNTIF('7月'!CU4:CU34,$B31)+COUNTIF('7月'!CV4:CV34,$B31)+COUNTIF('7月'!CZ4:CZ34,$B31)+COUNTIF('7月'!DA4:DA34,$B31)+COUNTIF('7月'!DE4:DE34,$B31)+COUNTIF('7月'!DF4:DF34,$B31)+COUNTIF('7月'!DJ4:DJ34,$B31)+COUNTIF('7月'!DK4:DK34,$B31)+COUNTIF('7月'!DO4:DO34,$B31)+COUNTIF('7月'!DP4:DP34,$B31)+COUNTIF('7月'!DT4:DT34,$B31)+COUNTIF('7月'!DU4:DU34,$B31)+COUNTIF('7月'!DY4:DY34,$B31)+COUNTIF('7月'!DZ4:DZ34,$B31)+COUNTIF('7月'!ED4:ED34,$B31)+COUNTIF('7月'!EE4:EE34,$B31)+COUNTIF('7月'!EI4:EI34,$B31)+COUNTIF('7月'!EJ4:EJ34,$B31)+COUNTIF('7月'!EN4:EN34,$B31)+COUNTIF('7月'!EO4:EO34,$B31)+COUNTIF('7月'!ES4:ES34,$B31)+COUNTIF('7月'!ET4:ET34,$B31)),0)</f>
        <v>0</v>
      </c>
      <c r="J31" s="76">
        <f>IFERROR(IF($B31="","",COUNTIF('8月'!D4:D34,$B31)+COUNTIF('8月'!E4:E34,$B31)+COUNTIF('8月'!I4:I34,$B31)+COUNTIF('8月'!J4:J34,$B31)+COUNTIF('8月'!N4:N34,$B31)+COUNTIF('8月'!O4:O34,$B31)+COUNTIF('8月'!S4:S34,$B31)+COUNTIF('8月'!T4:T34,$B31)+COUNTIF('8月'!X4:X34,$B31)+COUNTIF('8月'!Y4:Y34,$B31)+COUNTIF('8月'!AC4:AC34,$B31)+COUNTIF('8月'!AD4:AD34,$B31)+COUNTIF('8月'!AH4:AH34,$B31)+COUNTIF('8月'!AI4:AI34,$B31)+COUNTIF('8月'!AM4:AM34,$B31)+COUNTIF('8月'!AN4:AN34,$B31)+COUNTIF('8月'!AR4:AR34,$B31)+COUNTIF('8月'!AS4:AS34,$B31)+COUNTIF('8月'!AW4:AW34,$B31)+COUNTIF('8月'!AX4:AX34,$B31)+COUNTIF('8月'!BB4:BB34,$B31)+COUNTIF('8月'!BC4:BC34,$B31)+COUNTIF('8月'!BG4:BG34,$B31)+COUNTIF('8月'!BH4:BH34,$B31)+COUNTIF('8月'!BL4:BL34,$B31)+COUNTIF('8月'!BM4:BM34,$B31)+COUNTIF('8月'!BQ4:BQ34,$B31)+COUNTIF('8月'!BR4:BR34,$B31)+COUNTIF('8月'!BV4:BV34,$B31)+COUNTIF('8月'!BW4:BW34,$B31)+COUNTIF('8月'!CA4:CA34,$B31)+COUNTIF('8月'!CB4:CB34,$B31)+COUNTIF('8月'!CF4:CF34,$B31)+COUNTIF('8月'!CG4:CG34,$B31)+COUNTIF('8月'!CK4:CK34,$B31)+COUNTIF('8月'!CL4:CL34,$B31)+COUNTIF('8月'!CP4:CP34,$B31)+COUNTIF('8月'!CQ4:CQ34,$B31)+COUNTIF('8月'!CU4:CU34,$B31)+COUNTIF('8月'!CV4:CV34,$B31)+COUNTIF('8月'!CZ4:CZ34,$B31)+COUNTIF('8月'!DA4:DA34,$B31)+COUNTIF('8月'!DE4:DE34,$B31)+COUNTIF('8月'!DF4:DF34,$B31)+COUNTIF('8月'!DJ4:DJ34,$B31)+COUNTIF('8月'!DK4:DK34,$B31)+COUNTIF('8月'!DO4:DO34,$B31)+COUNTIF('8月'!DP4:DP34,$B31)+COUNTIF('8月'!DT4:DT34,$B31)+COUNTIF('8月'!DU4:DU34,$B31)+COUNTIF('8月'!DY4:DY34,$B31)+COUNTIF('8月'!DZ4:DZ34,$B31)+COUNTIF('8月'!ED4:ED34,$B31)+COUNTIF('8月'!EE4:EE34,$B31)+COUNTIF('8月'!EI4:EI34,$B31)+COUNTIF('8月'!EJ4:EJ34,$B31)+COUNTIF('8月'!EN4:EN34,$B31)+COUNTIF('8月'!EO4:EO34,$B31)+COUNTIF('8月'!ES4:ES34,$B31)+COUNTIF('8月'!ET4:ET34,$B31)),0)</f>
        <v>0</v>
      </c>
      <c r="K31" s="76">
        <f>IFERROR(IF($B31="","",COUNTIF('9月'!D4:D34,$B31)+COUNTIF('9月'!E4:E34,$B31)+COUNTIF('9月'!I4:I34,$B31)+COUNTIF('9月'!J4:J34,$B31)+COUNTIF('9月'!N4:N34,$B31)+COUNTIF('9月'!O4:O34,$B31)+COUNTIF('9月'!S4:S34,$B31)+COUNTIF('9月'!T4:T34,$B31)+COUNTIF('9月'!X4:X34,$B31)+COUNTIF('9月'!Y4:Y34,$B31)+COUNTIF('9月'!AC4:AC34,$B31)+COUNTIF('9月'!AD4:AD34,$B31)+COUNTIF('9月'!AH4:AH34,$B31)+COUNTIF('9月'!AI4:AI34,$B31)+COUNTIF('9月'!AM4:AM34,$B31)+COUNTIF('9月'!AN4:AN34,$B31)+COUNTIF('9月'!AR4:AR34,$B31)+COUNTIF('9月'!AS4:AS34,$B31)+COUNTIF('9月'!AW4:AW34,$B31)+COUNTIF('9月'!AX4:AX34,$B31)+COUNTIF('9月'!BB4:BB34,$B31)+COUNTIF('9月'!BC4:BC34,$B31)+COUNTIF('9月'!BG4:BG34,$B31)+COUNTIF('9月'!BH4:BH34,$B31)+COUNTIF('9月'!BL4:BL34,$B31)+COUNTIF('9月'!BM4:BM34,$B31)+COUNTIF('9月'!BQ4:BQ34,$B31)+COUNTIF('9月'!BR4:BR34,$B31)+COUNTIF('9月'!BV4:BV34,$B31)+COUNTIF('9月'!BW4:BW34,$B31)+COUNTIF('9月'!CA4:CA34,$B31)+COUNTIF('9月'!CB4:CB34,$B31)+COUNTIF('9月'!CF4:CF34,$B31)+COUNTIF('9月'!CG4:CG34,$B31)+COUNTIF('9月'!CK4:CK34,$B31)+COUNTIF('9月'!CL4:CL34,$B31)+COUNTIF('9月'!CP4:CP34,$B31)+COUNTIF('9月'!CQ4:CQ34,$B31)+COUNTIF('9月'!CU4:CU34,$B31)+COUNTIF('9月'!CV4:CV34,$B31)+COUNTIF('9月'!CZ4:CZ34,$B31)+COUNTIF('9月'!DA4:DA34,$B31)+COUNTIF('9月'!DE4:DE34,$B31)+COUNTIF('9月'!DF4:DF34,$B31)+COUNTIF('9月'!DJ4:DJ34,$B31)+COUNTIF('9月'!DK4:DK34,$B31)+COUNTIF('9月'!DO4:DO34,$B31)+COUNTIF('9月'!DP4:DP34,$B31)+COUNTIF('9月'!DT4:DT34,$B31)+COUNTIF('9月'!DU4:DU34,$B31)+COUNTIF('9月'!DY4:DY34,$B31)+COUNTIF('9月'!DZ4:DZ34,$B31)+COUNTIF('9月'!ED4:ED34,$B31)+COUNTIF('9月'!EE4:EE34,$B31)+COUNTIF('9月'!EI4:EI34,$B31)+COUNTIF('9月'!EJ4:EJ34,$B31)+COUNTIF('9月'!EN4:EN34,$B31)+COUNTIF('9月'!EO4:EO34,$B31)+COUNTIF('9月'!ES4:ES34,$B31)+COUNTIF('9月'!ET4:ET34,$B31)),0)</f>
        <v>0</v>
      </c>
      <c r="L31" s="76">
        <f>IFERROR(IF($B31="","",COUNTIF('10月'!D4:D34,$B31)+COUNTIF('10月'!E4:E34,$B31)+COUNTIF('10月'!I4:I34,$B31)+COUNTIF('10月'!J4:J34,$B31)+COUNTIF('10月'!N4:N34,$B31)+COUNTIF('10月'!O4:O34,$B31)+COUNTIF('10月'!S4:S34,$B31)+COUNTIF('10月'!T4:T34,$B31)+COUNTIF('10月'!X4:X34,$B31)+COUNTIF('10月'!Y4:Y34,$B31)+COUNTIF('10月'!AC4:AC34,$B31)+COUNTIF('10月'!AD4:AD34,$B31)+COUNTIF('10月'!AH4:AH34,$B31)+COUNTIF('10月'!AI4:AI34,$B31)+COUNTIF('10月'!AM4:AM34,$B31)+COUNTIF('10月'!AN4:AN34,$B31)+COUNTIF('10月'!AR4:AR34,$B31)+COUNTIF('10月'!AS4:AS34,$B31)+COUNTIF('10月'!AW4:AW34,$B31)+COUNTIF('10月'!AX4:AX34,$B31)+COUNTIF('10月'!BB4:BB34,$B31)+COUNTIF('10月'!BC4:BC34,$B31)+COUNTIF('10月'!BG4:BG34,$B31)+COUNTIF('10月'!BH4:BH34,$B31)+COUNTIF('10月'!BL4:BL34,$B31)+COUNTIF('10月'!BM4:BM34,$B31)+COUNTIF('10月'!BQ4:BQ34,$B31)+COUNTIF('10月'!BR4:BR34,$B31)+COUNTIF('10月'!BV4:BV34,$B31)+COUNTIF('10月'!BW4:BW34,$B31)+COUNTIF('10月'!CA4:CA34,$B31)+COUNTIF('10月'!CB4:CB34,$B31)+COUNTIF('10月'!CF4:CF34,$B31)+COUNTIF('10月'!CG4:CG34,$B31)+COUNTIF('10月'!CK4:CK34,$B31)+COUNTIF('10月'!CL4:CL34,$B31)+COUNTIF('10月'!CP4:CP34,$B31)+COUNTIF('10月'!CQ4:CQ34,$B31)+COUNTIF('10月'!CU4:CU34,$B31)+COUNTIF('10月'!CV4:CV34,$B31)+COUNTIF('10月'!CZ4:CZ34,$B31)+COUNTIF('10月'!DA4:DA34,$B31)+COUNTIF('10月'!DE4:DE34,$B31)+COUNTIF('10月'!DF4:DF34,$B31)+COUNTIF('10月'!DJ4:DJ34,$B31)+COUNTIF('10月'!DK4:DK34,$B31)+COUNTIF('10月'!DO4:DO34,$B31)+COUNTIF('10月'!DP4:DP34,$B31)+COUNTIF('10月'!DT4:DT34,$B31)+COUNTIF('10月'!DU4:DU34,$B31)+COUNTIF('10月'!DY4:DY34,$B31)+COUNTIF('10月'!DZ4:DZ34,$B31)+COUNTIF('10月'!ED4:ED34,$B31)+COUNTIF('10月'!EE4:EE34,$B31)+COUNTIF('10月'!EI4:EI34,$B31)+COUNTIF('10月'!EJ4:EJ34,$B31)+COUNTIF('10月'!EN4:EN34,$B31)+COUNTIF('10月'!EO4:EO34,$B31)+COUNTIF('10月'!ES4:ES34,$B31)+COUNTIF('10月'!ET4:ET34,$B31)),0)</f>
        <v>0</v>
      </c>
      <c r="M31" s="76">
        <f>IFERROR(IF($B31="","",COUNTIF('11月'!D4:D34,$B31)+COUNTIF('11月'!E4:E34,$B31)+COUNTIF('11月'!I4:I34,$B31)+COUNTIF('11月'!J4:J34,$B31)+COUNTIF('11月'!N4:N34,$B31)+COUNTIF('11月'!O4:O34,$B31)+COUNTIF('11月'!S4:S34,$B31)+COUNTIF('11月'!T4:T34,$B31)+COUNTIF('11月'!X4:X34,$B31)+COUNTIF('11月'!Y4:Y34,$B31)+COUNTIF('11月'!AC4:AC34,$B31)+COUNTIF('11月'!AD4:AD34,$B31)+COUNTIF('11月'!AH4:AH34,$B31)+COUNTIF('11月'!AI4:AI34,$B31)+COUNTIF('11月'!AM4:AM34,$B31)+COUNTIF('11月'!AN4:AN34,$B31)+COUNTIF('11月'!AR4:AR34,$B31)+COUNTIF('11月'!AS4:AS34,$B31)+COUNTIF('11月'!AW4:AW34,$B31)+COUNTIF('11月'!AX4:AX34,$B31)+COUNTIF('11月'!BB4:BB34,$B31)+COUNTIF('11月'!BC4:BC34,$B31)+COUNTIF('11月'!BG4:BG34,$B31)+COUNTIF('11月'!BH4:BH34,$B31)+COUNTIF('11月'!BL4:BL34,$B31)+COUNTIF('11月'!BM4:BM34,$B31)+COUNTIF('11月'!BQ4:BQ34,$B31)+COUNTIF('11月'!BR4:BR34,$B31)+COUNTIF('11月'!BV4:BV34,$B31)+COUNTIF('11月'!BW4:BW34,$B31)+COUNTIF('11月'!CA4:CA34,$B31)+COUNTIF('11月'!CB4:CB34,$B31)+COUNTIF('11月'!CF4:CF34,$B31)+COUNTIF('11月'!CG4:CG34,$B31)+COUNTIF('11月'!CK4:CK34,$B31)+COUNTIF('11月'!CL4:CL34,$B31)+COUNTIF('11月'!CP4:CP34,$B31)+COUNTIF('11月'!CQ4:CQ34,$B31)+COUNTIF('11月'!CU4:CU34,$B31)+COUNTIF('11月'!CV4:CV34,$B31)+COUNTIF('11月'!CZ4:CZ34,$B31)+COUNTIF('11月'!DA4:DA34,$B31)+COUNTIF('11月'!DE4:DE34,$B31)+COUNTIF('11月'!DF4:DF34,$B31)+COUNTIF('11月'!DJ4:DJ34,$B31)+COUNTIF('11月'!DK4:DK34,$B31)+COUNTIF('11月'!DO4:DO34,$B31)+COUNTIF('11月'!DP4:DP34,$B31)+COUNTIF('11月'!DT4:DT34,$B31)+COUNTIF('11月'!DU4:DU34,$B31)+COUNTIF('11月'!DY4:DY34,$B31)+COUNTIF('11月'!DZ4:DZ34,$B31)+COUNTIF('11月'!ED4:ED34,$B31)+COUNTIF('11月'!EE4:EE34,$B31)+COUNTIF('11月'!EI4:EI34,$B31)+COUNTIF('11月'!EJ4:EJ34,$B31)+COUNTIF('11月'!EN4:EN34,$B31)+COUNTIF('11月'!EO4:EO34,$B31)+COUNTIF('11月'!ES4:ES34,$B31)+COUNTIF('11月'!ET4:ET34,$B31)),0)</f>
        <v>0</v>
      </c>
      <c r="N31" s="76">
        <f>IFERROR(IF($B31="","",COUNTIF('12月'!D4:D34,$B31)+COUNTIF('12月'!E4:E34,$B31)+COUNTIF('12月'!I4:I34,$B31)+COUNTIF('12月'!J4:J34,$B31)+COUNTIF('12月'!N4:N34,$B31)+COUNTIF('12月'!O4:O34,$B31)+COUNTIF('12月'!S4:S34,$B31)+COUNTIF('12月'!T4:T34,$B31)+COUNTIF('12月'!X4:X34,$B31)+COUNTIF('12月'!Y4:Y34,$B31)+COUNTIF('12月'!AC4:AC34,$B31)+COUNTIF('12月'!AD4:AD34,$B31)+COUNTIF('12月'!AH4:AH34,$B31)+COUNTIF('12月'!AI4:AI34,$B31)+COUNTIF('12月'!AM4:AM34,$B31)+COUNTIF('12月'!AN4:AN34,$B31)+COUNTIF('12月'!AR4:AR34,$B31)+COUNTIF('12月'!AS4:AS34,$B31)+COUNTIF('12月'!AW4:AW34,$B31)+COUNTIF('12月'!AX4:AX34,$B31)+COUNTIF('12月'!BB4:BB34,$B31)+COUNTIF('12月'!BC4:BC34,$B31)+COUNTIF('12月'!BG4:BG34,$B31)+COUNTIF('12月'!BH4:BH34,$B31)+COUNTIF('12月'!BL4:BL34,$B31)+COUNTIF('12月'!BM4:BM34,$B31)+COUNTIF('12月'!BQ4:BQ34,$B31)+COUNTIF('12月'!BR4:BR34,$B31)+COUNTIF('12月'!BV4:BV34,$B31)+COUNTIF('12月'!BW4:BW34,$B31)+COUNTIF('12月'!CA4:CA34,$B31)+COUNTIF('12月'!CB4:CB34,$B31)+COUNTIF('12月'!CF4:CF34,$B31)+COUNTIF('12月'!CG4:CG34,$B31)+COUNTIF('12月'!CK4:CK34,$B31)+COUNTIF('12月'!CL4:CL34,$B31)+COUNTIF('12月'!CP4:CP34,$B31)+COUNTIF('12月'!CQ4:CQ34,$B31)+COUNTIF('12月'!CU4:CU34,$B31)+COUNTIF('12月'!CV4:CV34,$B31)+COUNTIF('12月'!CZ4:CZ34,$B31)+COUNTIF('12月'!DA4:DA34,$B31)+COUNTIF('12月'!DE4:DE34,$B31)+COUNTIF('12月'!DF4:DF34,$B31)+COUNTIF('12月'!DJ4:DJ34,$B31)+COUNTIF('12月'!DK4:DK34,$B31)+COUNTIF('12月'!DO4:DO34,$B31)+COUNTIF('12月'!DP4:DP34,$B31)+COUNTIF('12月'!DT4:DT34,$B31)+COUNTIF('12月'!DU4:DU34,$B31)+COUNTIF('12月'!DY4:DY34,$B31)+COUNTIF('12月'!DZ4:DZ34,$B31)+COUNTIF('12月'!ED4:ED34,$B31)+COUNTIF('12月'!EE4:EE34,$B31)+COUNTIF('12月'!EI4:EI34,$B31)+COUNTIF('12月'!EJ4:EJ34,$B31)+COUNTIF('12月'!EN4:EN34,$B31)+COUNTIF('12月'!EO4:EO34,$B31)+COUNTIF('12月'!ES4:ES34,$B31)+COUNTIF('12月'!ET4:ET34,$B31)),0)</f>
        <v>0</v>
      </c>
      <c r="O31" s="78">
        <f t="shared" si="0"/>
        <v>0</v>
      </c>
    </row>
    <row r="32" spans="1:15" ht="19.5" customHeight="1">
      <c r="A32" s="76">
        <v>30</v>
      </c>
      <c r="B32" s="77">
        <f>IFERROR(現場マスタ!$C$33,"")</f>
        <v>0</v>
      </c>
      <c r="C32" s="76">
        <f>IFERROR(IF($B32="","",COUNTIF('1月'!D4:D34,$B32)+COUNTIF('1月'!E4:E34,$B32)+COUNTIF('1月'!I4:I34,$B32)+COUNTIF('1月'!J4:J34,$B32)+COUNTIF('1月'!N4:N34,$B32)+COUNTIF('1月'!O4:O34,$B32)+COUNTIF('1月'!S4:S34,$B32)+COUNTIF('1月'!T4:T34,$B32)+COUNTIF('1月'!X4:X34,$B32)+COUNTIF('1月'!Y4:Y34,$B32)+COUNTIF('1月'!AC4:AC34,$B32)+COUNTIF('1月'!AD4:AD34,$B32)+COUNTIF('1月'!AH4:AH34,$B32)+COUNTIF('1月'!AI4:AI34,$B32)+COUNTIF('1月'!AM4:AM34,$B32)+COUNTIF('1月'!AN4:AN34,$B32)+COUNTIF('1月'!AR4:AR34,$B32)+COUNTIF('1月'!AS4:AS34,$B32)+COUNTIF('1月'!AW4:AW34,$B32)+COUNTIF('1月'!AX4:AX34,$B32)+COUNTIF('1月'!BB4:BB34,$B32)+COUNTIF('1月'!BC4:BC34,$B32)+COUNTIF('1月'!BG4:BG34,$B32)+COUNTIF('1月'!BH4:BH34,$B32)+COUNTIF('1月'!BL4:BL34,$B32)+COUNTIF('1月'!BM4:BM34,$B32)+COUNTIF('1月'!BQ4:BQ34,$B32)+COUNTIF('1月'!BR4:BR34,$B32)+COUNTIF('1月'!BV4:BV34,$B32)+COUNTIF('1月'!BW4:BW34,$B32)+COUNTIF('1月'!CA4:CA34,$B32)+COUNTIF('1月'!CB4:CB34,$B32)+COUNTIF('1月'!CF4:CF34,$B32)+COUNTIF('1月'!CG4:CG34,$B32)+COUNTIF('1月'!CK4:CK34,$B32)+COUNTIF('1月'!CL4:CL34,$B32)+COUNTIF('1月'!CP4:CP34,$B32)+COUNTIF('1月'!CQ4:CQ34,$B32)+COUNTIF('1月'!CU4:CU34,$B32)+COUNTIF('1月'!CV4:CV34,$B32)+COUNTIF('1月'!CZ4:CZ34,$B32)+COUNTIF('1月'!DA4:DA34,$B32)+COUNTIF('1月'!DE4:DE34,$B32)+COUNTIF('1月'!DF4:DF34,$B32)+COUNTIF('1月'!DJ4:DJ34,$B32)+COUNTIF('1月'!DK4:DK34,$B32)+COUNTIF('1月'!DO4:DO34,$B32)+COUNTIF('1月'!DP4:DP34,$B32)+COUNTIF('1月'!DT4:DT34,$B32)+COUNTIF('1月'!DU4:DU34,$B32)+COUNTIF('1月'!DY4:DY34,$B32)+COUNTIF('1月'!DZ4:DZ34,$B32)+COUNTIF('1月'!ED4:ED34,$B32)+COUNTIF('1月'!EE4:EE34,$B32)+COUNTIF('1月'!EI4:EI34,$B32)+COUNTIF('1月'!EJ4:EJ34,$B32)+COUNTIF('1月'!EN4:EN34,$B32)+COUNTIF('1月'!EO4:EO34,$B32)+COUNTIF('1月'!ES4:ES34,$B32)+COUNTIF('1月'!ET4:ET34,$B32)),0)</f>
        <v>0</v>
      </c>
      <c r="D32" s="76">
        <f>IFERROR(IF($B32="","",COUNTIF('2月'!D4:D34,$B32)+COUNTIF('2月'!E4:E34,$B32)+COUNTIF('2月'!I4:I34,$B32)+COUNTIF('2月'!J4:J34,$B32)+COUNTIF('2月'!N4:N34,$B32)+COUNTIF('2月'!O4:O34,$B32)+COUNTIF('2月'!S4:S34,$B32)+COUNTIF('2月'!T4:T34,$B32)+COUNTIF('2月'!X4:X34,$B32)+COUNTIF('2月'!Y4:Y34,$B32)+COUNTIF('2月'!AC4:AC34,$B32)+COUNTIF('2月'!AD4:AD34,$B32)+COUNTIF('2月'!AH4:AH34,$B32)+COUNTIF('2月'!AI4:AI34,$B32)+COUNTIF('2月'!AM4:AM34,$B32)+COUNTIF('2月'!AN4:AN34,$B32)+COUNTIF('2月'!AR4:AR34,$B32)+COUNTIF('2月'!AS4:AS34,$B32)+COUNTIF('2月'!AW4:AW34,$B32)+COUNTIF('2月'!AX4:AX34,$B32)+COUNTIF('2月'!BB4:BB34,$B32)+COUNTIF('2月'!BC4:BC34,$B32)+COUNTIF('2月'!BG4:BG34,$B32)+COUNTIF('2月'!BH4:BH34,$B32)+COUNTIF('2月'!BL4:BL34,$B32)+COUNTIF('2月'!BM4:BM34,$B32)+COUNTIF('2月'!BQ4:BQ34,$B32)+COUNTIF('2月'!BR4:BR34,$B32)+COUNTIF('2月'!BV4:BV34,$B32)+COUNTIF('2月'!BW4:BW34,$B32)+COUNTIF('2月'!CA4:CA34,$B32)+COUNTIF('2月'!CB4:CB34,$B32)+COUNTIF('2月'!CF4:CF34,$B32)+COUNTIF('2月'!CG4:CG34,$B32)+COUNTIF('2月'!CK4:CK34,$B32)+COUNTIF('2月'!CL4:CL34,$B32)+COUNTIF('2月'!CP4:CP34,$B32)+COUNTIF('2月'!CQ4:CQ34,$B32)+COUNTIF('2月'!CU4:CU34,$B32)+COUNTIF('2月'!CV4:CV34,$B32)+COUNTIF('2月'!CZ4:CZ34,$B32)+COUNTIF('2月'!DA4:DA34,$B32)+COUNTIF('2月'!DE4:DE34,$B32)+COUNTIF('2月'!DF4:DF34,$B32)+COUNTIF('2月'!DJ4:DJ34,$B32)+COUNTIF('2月'!DK4:DK34,$B32)+COUNTIF('2月'!DO4:DO34,$B32)+COUNTIF('2月'!DP4:DP34,$B32)+COUNTIF('2月'!DT4:DT34,$B32)+COUNTIF('2月'!DU4:DU34,$B32)+COUNTIF('2月'!DY4:DY34,$B32)+COUNTIF('2月'!DZ4:DZ34,$B32)+COUNTIF('2月'!ED4:ED34,$B32)+COUNTIF('2月'!EE4:EE34,$B32)+COUNTIF('2月'!EI4:EI34,$B32)+COUNTIF('2月'!EJ4:EJ34,$B32)+COUNTIF('2月'!EN4:EN34,$B32)+COUNTIF('2月'!EO4:EO34,$B32)+COUNTIF('2月'!ES4:ES34,$B32)+COUNTIF('2月'!ET4:ET34,$B32)),0)</f>
        <v>0</v>
      </c>
      <c r="E32" s="76">
        <f>IFERROR(IF($B32="","",COUNTIF('3月'!D4:D34,$B32)+COUNTIF('3月'!E4:E34,$B32)+COUNTIF('3月'!I4:I34,$B32)+COUNTIF('3月'!J4:J34,$B32)+COUNTIF('3月'!N4:N34,$B32)+COUNTIF('3月'!O4:O34,$B32)+COUNTIF('3月'!S4:S34,$B32)+COUNTIF('3月'!T4:T34,$B32)+COUNTIF('3月'!X4:X34,$B32)+COUNTIF('3月'!Y4:Y34,$B32)+COUNTIF('3月'!AC4:AC34,$B32)+COUNTIF('3月'!AD4:AD34,$B32)+COUNTIF('3月'!AH4:AH34,$B32)+COUNTIF('3月'!AI4:AI34,$B32)+COUNTIF('3月'!AM4:AM34,$B32)+COUNTIF('3月'!AN4:AN34,$B32)+COUNTIF('3月'!AR4:AR34,$B32)+COUNTIF('3月'!AS4:AS34,$B32)+COUNTIF('3月'!AW4:AW34,$B32)+COUNTIF('3月'!AX4:AX34,$B32)+COUNTIF('3月'!BB4:BB34,$B32)+COUNTIF('3月'!BC4:BC34,$B32)+COUNTIF('3月'!BG4:BG34,$B32)+COUNTIF('3月'!BH4:BH34,$B32)+COUNTIF('3月'!BL4:BL34,$B32)+COUNTIF('3月'!BM4:BM34,$B32)+COUNTIF('3月'!BQ4:BQ34,$B32)+COUNTIF('3月'!BR4:BR34,$B32)+COUNTIF('3月'!BV4:BV34,$B32)+COUNTIF('3月'!BW4:BW34,$B32)+COUNTIF('3月'!CA4:CA34,$B32)+COUNTIF('3月'!CB4:CB34,$B32)+COUNTIF('3月'!CF4:CF34,$B32)+COUNTIF('3月'!CG4:CG34,$B32)+COUNTIF('3月'!CK4:CK34,$B32)+COUNTIF('3月'!CL4:CL34,$B32)+COUNTIF('3月'!CP4:CP34,$B32)+COUNTIF('3月'!CQ4:CQ34,$B32)+COUNTIF('3月'!CU4:CU34,$B32)+COUNTIF('3月'!CV4:CV34,$B32)+COUNTIF('3月'!CZ4:CZ34,$B32)+COUNTIF('3月'!DA4:DA34,$B32)+COUNTIF('3月'!DE4:DE34,$B32)+COUNTIF('3月'!DF4:DF34,$B32)+COUNTIF('3月'!DJ4:DJ34,$B32)+COUNTIF('3月'!DK4:DK34,$B32)+COUNTIF('3月'!DO4:DO34,$B32)+COUNTIF('3月'!DP4:DP34,$B32)+COUNTIF('3月'!DT4:DT34,$B32)+COUNTIF('3月'!DU4:DU34,$B32)+COUNTIF('3月'!DY4:DY34,$B32)+COUNTIF('3月'!DZ4:DZ34,$B32)+COUNTIF('3月'!ED4:ED34,$B32)+COUNTIF('3月'!EE4:EE34,$B32)+COUNTIF('3月'!EI4:EI34,$B32)+COUNTIF('3月'!EJ4:EJ34,$B32)+COUNTIF('3月'!EN4:EN34,$B32)+COUNTIF('3月'!EO4:EO34,$B32)+COUNTIF('3月'!ES4:ES34,$B32)+COUNTIF('3月'!ET4:ET34,$B32)),0)</f>
        <v>0</v>
      </c>
      <c r="F32" s="76">
        <f>IFERROR(IF($B32="","",COUNTIF('4月'!D4:D34,$B32)+COUNTIF('4月'!E4:E34,$B32)+COUNTIF('4月'!I4:I34,$B32)+COUNTIF('4月'!J4:J34,$B32)+COUNTIF('4月'!N4:N34,$B32)+COUNTIF('4月'!O4:O34,$B32)+COUNTIF('4月'!S4:S34,$B32)+COUNTIF('4月'!T4:T34,$B32)+COUNTIF('4月'!X4:X34,$B32)+COUNTIF('4月'!Y4:Y34,$B32)+COUNTIF('4月'!AC4:AC34,$B32)+COUNTIF('4月'!AD4:AD34,$B32)+COUNTIF('4月'!AH4:AH34,$B32)+COUNTIF('4月'!AI4:AI34,$B32)+COUNTIF('4月'!AM4:AM34,$B32)+COUNTIF('4月'!AN4:AN34,$B32)+COUNTIF('4月'!AR4:AR34,$B32)+COUNTIF('4月'!AS4:AS34,$B32)+COUNTIF('4月'!AW4:AW34,$B32)+COUNTIF('4月'!AX4:AX34,$B32)+COUNTIF('4月'!BB4:BB34,$B32)+COUNTIF('4月'!BC4:BC34,$B32)+COUNTIF('4月'!BG4:BG34,$B32)+COUNTIF('4月'!BH4:BH34,$B32)+COUNTIF('4月'!BL4:BL34,$B32)+COUNTIF('4月'!BM4:BM34,$B32)+COUNTIF('4月'!BQ4:BQ34,$B32)+COUNTIF('4月'!BR4:BR34,$B32)+COUNTIF('4月'!BV4:BV34,$B32)+COUNTIF('4月'!BW4:BW34,$B32)+COUNTIF('4月'!CA4:CA34,$B32)+COUNTIF('4月'!CB4:CB34,$B32)+COUNTIF('4月'!CF4:CF34,$B32)+COUNTIF('4月'!CG4:CG34,$B32)+COUNTIF('4月'!CK4:CK34,$B32)+COUNTIF('4月'!CL4:CL34,$B32)+COUNTIF('4月'!CP4:CP34,$B32)+COUNTIF('4月'!CQ4:CQ34,$B32)+COUNTIF('4月'!CU4:CU34,$B32)+COUNTIF('4月'!CV4:CV34,$B32)+COUNTIF('4月'!CZ4:CZ34,$B32)+COUNTIF('4月'!DA4:DA34,$B32)+COUNTIF('4月'!DE4:DE34,$B32)+COUNTIF('4月'!DF4:DF34,$B32)+COUNTIF('4月'!DJ4:DJ34,$B32)+COUNTIF('4月'!DK4:DK34,$B32)+COUNTIF('4月'!DO4:DO34,$B32)+COUNTIF('4月'!DP4:DP34,$B32)+COUNTIF('4月'!DT4:DT34,$B32)+COUNTIF('4月'!DU4:DU34,$B32)+COUNTIF('4月'!DY4:DY34,$B32)+COUNTIF('4月'!DZ4:DZ34,$B32)+COUNTIF('4月'!ED4:ED34,$B32)+COUNTIF('4月'!EE4:EE34,$B32)+COUNTIF('4月'!EI4:EI34,$B32)+COUNTIF('4月'!EJ4:EJ34,$B32)+COUNTIF('4月'!EN4:EN34,$B32)+COUNTIF('4月'!EO4:EO34,$B32)+COUNTIF('4月'!ES4:ES34,$B32)+COUNTIF('4月'!ET4:ET34,$B32)),0)</f>
        <v>0</v>
      </c>
      <c r="G32" s="76">
        <f>IFERROR(IF($B32="","",COUNTIF('5月'!D4:D34,$B32)+COUNTIF('5月'!E4:E34,$B32)+COUNTIF('5月'!I4:I34,$B32)+COUNTIF('5月'!J4:J34,$B32)+COUNTIF('5月'!N4:N34,$B32)+COUNTIF('5月'!O4:O34,$B32)+COUNTIF('5月'!S4:S34,$B32)+COUNTIF('5月'!T4:T34,$B32)+COUNTIF('5月'!X4:X34,$B32)+COUNTIF('5月'!Y4:Y34,$B32)+COUNTIF('5月'!AC4:AC34,$B32)+COUNTIF('5月'!AD4:AD34,$B32)+COUNTIF('5月'!AH4:AH34,$B32)+COUNTIF('5月'!AI4:AI34,$B32)+COUNTIF('5月'!AM4:AM34,$B32)+COUNTIF('5月'!AN4:AN34,$B32)+COUNTIF('5月'!AR4:AR34,$B32)+COUNTIF('5月'!AS4:AS34,$B32)+COUNTIF('5月'!AW4:AW34,$B32)+COUNTIF('5月'!AX4:AX34,$B32)+COUNTIF('5月'!BB4:BB34,$B32)+COUNTIF('5月'!BC4:BC34,$B32)+COUNTIF('5月'!BG4:BG34,$B32)+COUNTIF('5月'!BH4:BH34,$B32)+COUNTIF('5月'!BL4:BL34,$B32)+COUNTIF('5月'!BM4:BM34,$B32)+COUNTIF('5月'!BQ4:BQ34,$B32)+COUNTIF('5月'!BR4:BR34,$B32)+COUNTIF('5月'!BV4:BV34,$B32)+COUNTIF('5月'!BW4:BW34,$B32)+COUNTIF('5月'!CA4:CA34,$B32)+COUNTIF('5月'!CB4:CB34,$B32)+COUNTIF('5月'!CF4:CF34,$B32)+COUNTIF('5月'!CG4:CG34,$B32)+COUNTIF('5月'!CK4:CK34,$B32)+COUNTIF('5月'!CL4:CL34,$B32)+COUNTIF('5月'!CP4:CP34,$B32)+COUNTIF('5月'!CQ4:CQ34,$B32)+COUNTIF('5月'!CU4:CU34,$B32)+COUNTIF('5月'!CV4:CV34,$B32)+COUNTIF('5月'!CZ4:CZ34,$B32)+COUNTIF('5月'!DA4:DA34,$B32)+COUNTIF('5月'!DE4:DE34,$B32)+COUNTIF('5月'!DF4:DF34,$B32)+COUNTIF('5月'!DJ4:DJ34,$B32)+COUNTIF('5月'!DK4:DK34,$B32)+COUNTIF('5月'!DO4:DO34,$B32)+COUNTIF('5月'!DP4:DP34,$B32)+COUNTIF('5月'!DT4:DT34,$B32)+COUNTIF('5月'!DU4:DU34,$B32)+COUNTIF('5月'!DY4:DY34,$B32)+COUNTIF('5月'!DZ4:DZ34,$B32)+COUNTIF('5月'!ED4:ED34,$B32)+COUNTIF('5月'!EE4:EE34,$B32)+COUNTIF('5月'!EI4:EI34,$B32)+COUNTIF('5月'!EJ4:EJ34,$B32)+COUNTIF('5月'!EN4:EN34,$B32)+COUNTIF('5月'!EO4:EO34,$B32)+COUNTIF('5月'!ES4:ES34,$B32)+COUNTIF('5月'!ET4:ET34,$B32)),0)</f>
        <v>0</v>
      </c>
      <c r="H32" s="76">
        <f>IFERROR(IF($B32="","",COUNTIF('6月'!D4:D34,$B32)+COUNTIF('6月'!E4:E34,$B32)+COUNTIF('6月'!I4:I34,$B32)+COUNTIF('6月'!J4:J34,$B32)+COUNTIF('6月'!N4:N34,$B32)+COUNTIF('6月'!O4:O34,$B32)+COUNTIF('6月'!S4:S34,$B32)+COUNTIF('6月'!T4:T34,$B32)+COUNTIF('6月'!X4:X34,$B32)+COUNTIF('6月'!Y4:Y34,$B32)+COUNTIF('6月'!AC4:AC34,$B32)+COUNTIF('6月'!AD4:AD34,$B32)+COUNTIF('6月'!AH4:AH34,$B32)+COUNTIF('6月'!AI4:AI34,$B32)+COUNTIF('6月'!AM4:AM34,$B32)+COUNTIF('6月'!AN4:AN34,$B32)+COUNTIF('6月'!AR4:AR34,$B32)+COUNTIF('6月'!AS4:AS34,$B32)+COUNTIF('6月'!AW4:AW34,$B32)+COUNTIF('6月'!AX4:AX34,$B32)+COUNTIF('6月'!BB4:BB34,$B32)+COUNTIF('6月'!BC4:BC34,$B32)+COUNTIF('6月'!BG4:BG34,$B32)+COUNTIF('6月'!BH4:BH34,$B32)+COUNTIF('6月'!BL4:BL34,$B32)+COUNTIF('6月'!BM4:BM34,$B32)+COUNTIF('6月'!BQ4:BQ34,$B32)+COUNTIF('6月'!BR4:BR34,$B32)+COUNTIF('6月'!BV4:BV34,$B32)+COUNTIF('6月'!BW4:BW34,$B32)+COUNTIF('6月'!CA4:CA34,$B32)+COUNTIF('6月'!CB4:CB34,$B32)+COUNTIF('6月'!CF4:CF34,$B32)+COUNTIF('6月'!CG4:CG34,$B32)+COUNTIF('6月'!CK4:CK34,$B32)+COUNTIF('6月'!CL4:CL34,$B32)+COUNTIF('6月'!CP4:CP34,$B32)+COUNTIF('6月'!CQ4:CQ34,$B32)+COUNTIF('6月'!CU4:CU34,$B32)+COUNTIF('6月'!CV4:CV34,$B32)+COUNTIF('6月'!CZ4:CZ34,$B32)+COUNTIF('6月'!DA4:DA34,$B32)+COUNTIF('6月'!DE4:DE34,$B32)+COUNTIF('6月'!DF4:DF34,$B32)+COUNTIF('6月'!DJ4:DJ34,$B32)+COUNTIF('6月'!DK4:DK34,$B32)+COUNTIF('6月'!DO4:DO34,$B32)+COUNTIF('6月'!DP4:DP34,$B32)+COUNTIF('6月'!DT4:DT34,$B32)+COUNTIF('6月'!DU4:DU34,$B32)+COUNTIF('6月'!DY4:DY34,$B32)+COUNTIF('6月'!DZ4:DZ34,$B32)+COUNTIF('6月'!ED4:ED34,$B32)+COUNTIF('6月'!EE4:EE34,$B32)+COUNTIF('6月'!EI4:EI34,$B32)+COUNTIF('6月'!EJ4:EJ34,$B32)+COUNTIF('6月'!EN4:EN34,$B32)+COUNTIF('6月'!EO4:EO34,$B32)+COUNTIF('6月'!ES4:ES34,$B32)+COUNTIF('6月'!ET4:ET34,$B32)),0)</f>
        <v>0</v>
      </c>
      <c r="I32" s="76">
        <f>IFERROR(IF($B32="","",COUNTIF('7月'!D4:D34,$B32)+COUNTIF('7月'!E4:E34,$B32)+COUNTIF('7月'!I4:I34,$B32)+COUNTIF('7月'!J4:J34,$B32)+COUNTIF('7月'!N4:N34,$B32)+COUNTIF('7月'!O4:O34,$B32)+COUNTIF('7月'!S4:S34,$B32)+COUNTIF('7月'!T4:T34,$B32)+COUNTIF('7月'!X4:X34,$B32)+COUNTIF('7月'!Y4:Y34,$B32)+COUNTIF('7月'!AC4:AC34,$B32)+COUNTIF('7月'!AD4:AD34,$B32)+COUNTIF('7月'!AH4:AH34,$B32)+COUNTIF('7月'!AI4:AI34,$B32)+COUNTIF('7月'!AM4:AM34,$B32)+COUNTIF('7月'!AN4:AN34,$B32)+COUNTIF('7月'!AR4:AR34,$B32)+COUNTIF('7月'!AS4:AS34,$B32)+COUNTIF('7月'!AW4:AW34,$B32)+COUNTIF('7月'!AX4:AX34,$B32)+COUNTIF('7月'!BB4:BB34,$B32)+COUNTIF('7月'!BC4:BC34,$B32)+COUNTIF('7月'!BG4:BG34,$B32)+COUNTIF('7月'!BH4:BH34,$B32)+COUNTIF('7月'!BL4:BL34,$B32)+COUNTIF('7月'!BM4:BM34,$B32)+COUNTIF('7月'!BQ4:BQ34,$B32)+COUNTIF('7月'!BR4:BR34,$B32)+COUNTIF('7月'!BV4:BV34,$B32)+COUNTIF('7月'!BW4:BW34,$B32)+COUNTIF('7月'!CA4:CA34,$B32)+COUNTIF('7月'!CB4:CB34,$B32)+COUNTIF('7月'!CF4:CF34,$B32)+COUNTIF('7月'!CG4:CG34,$B32)+COUNTIF('7月'!CK4:CK34,$B32)+COUNTIF('7月'!CL4:CL34,$B32)+COUNTIF('7月'!CP4:CP34,$B32)+COUNTIF('7月'!CQ4:CQ34,$B32)+COUNTIF('7月'!CU4:CU34,$B32)+COUNTIF('7月'!CV4:CV34,$B32)+COUNTIF('7月'!CZ4:CZ34,$B32)+COUNTIF('7月'!DA4:DA34,$B32)+COUNTIF('7月'!DE4:DE34,$B32)+COUNTIF('7月'!DF4:DF34,$B32)+COUNTIF('7月'!DJ4:DJ34,$B32)+COUNTIF('7月'!DK4:DK34,$B32)+COUNTIF('7月'!DO4:DO34,$B32)+COUNTIF('7月'!DP4:DP34,$B32)+COUNTIF('7月'!DT4:DT34,$B32)+COUNTIF('7月'!DU4:DU34,$B32)+COUNTIF('7月'!DY4:DY34,$B32)+COUNTIF('7月'!DZ4:DZ34,$B32)+COUNTIF('7月'!ED4:ED34,$B32)+COUNTIF('7月'!EE4:EE34,$B32)+COUNTIF('7月'!EI4:EI34,$B32)+COUNTIF('7月'!EJ4:EJ34,$B32)+COUNTIF('7月'!EN4:EN34,$B32)+COUNTIF('7月'!EO4:EO34,$B32)+COUNTIF('7月'!ES4:ES34,$B32)+COUNTIF('7月'!ET4:ET34,$B32)),0)</f>
        <v>0</v>
      </c>
      <c r="J32" s="76">
        <f>IFERROR(IF($B32="","",COUNTIF('8月'!D4:D34,$B32)+COUNTIF('8月'!E4:E34,$B32)+COUNTIF('8月'!I4:I34,$B32)+COUNTIF('8月'!J4:J34,$B32)+COUNTIF('8月'!N4:N34,$B32)+COUNTIF('8月'!O4:O34,$B32)+COUNTIF('8月'!S4:S34,$B32)+COUNTIF('8月'!T4:T34,$B32)+COUNTIF('8月'!X4:X34,$B32)+COUNTIF('8月'!Y4:Y34,$B32)+COUNTIF('8月'!AC4:AC34,$B32)+COUNTIF('8月'!AD4:AD34,$B32)+COUNTIF('8月'!AH4:AH34,$B32)+COUNTIF('8月'!AI4:AI34,$B32)+COUNTIF('8月'!AM4:AM34,$B32)+COUNTIF('8月'!AN4:AN34,$B32)+COUNTIF('8月'!AR4:AR34,$B32)+COUNTIF('8月'!AS4:AS34,$B32)+COUNTIF('8月'!AW4:AW34,$B32)+COUNTIF('8月'!AX4:AX34,$B32)+COUNTIF('8月'!BB4:BB34,$B32)+COUNTIF('8月'!BC4:BC34,$B32)+COUNTIF('8月'!BG4:BG34,$B32)+COUNTIF('8月'!BH4:BH34,$B32)+COUNTIF('8月'!BL4:BL34,$B32)+COUNTIF('8月'!BM4:BM34,$B32)+COUNTIF('8月'!BQ4:BQ34,$B32)+COUNTIF('8月'!BR4:BR34,$B32)+COUNTIF('8月'!BV4:BV34,$B32)+COUNTIF('8月'!BW4:BW34,$B32)+COUNTIF('8月'!CA4:CA34,$B32)+COUNTIF('8月'!CB4:CB34,$B32)+COUNTIF('8月'!CF4:CF34,$B32)+COUNTIF('8月'!CG4:CG34,$B32)+COUNTIF('8月'!CK4:CK34,$B32)+COUNTIF('8月'!CL4:CL34,$B32)+COUNTIF('8月'!CP4:CP34,$B32)+COUNTIF('8月'!CQ4:CQ34,$B32)+COUNTIF('8月'!CU4:CU34,$B32)+COUNTIF('8月'!CV4:CV34,$B32)+COUNTIF('8月'!CZ4:CZ34,$B32)+COUNTIF('8月'!DA4:DA34,$B32)+COUNTIF('8月'!DE4:DE34,$B32)+COUNTIF('8月'!DF4:DF34,$B32)+COUNTIF('8月'!DJ4:DJ34,$B32)+COUNTIF('8月'!DK4:DK34,$B32)+COUNTIF('8月'!DO4:DO34,$B32)+COUNTIF('8月'!DP4:DP34,$B32)+COUNTIF('8月'!DT4:DT34,$B32)+COUNTIF('8月'!DU4:DU34,$B32)+COUNTIF('8月'!DY4:DY34,$B32)+COUNTIF('8月'!DZ4:DZ34,$B32)+COUNTIF('8月'!ED4:ED34,$B32)+COUNTIF('8月'!EE4:EE34,$B32)+COUNTIF('8月'!EI4:EI34,$B32)+COUNTIF('8月'!EJ4:EJ34,$B32)+COUNTIF('8月'!EN4:EN34,$B32)+COUNTIF('8月'!EO4:EO34,$B32)+COUNTIF('8月'!ES4:ES34,$B32)+COUNTIF('8月'!ET4:ET34,$B32)),0)</f>
        <v>0</v>
      </c>
      <c r="K32" s="76">
        <f>IFERROR(IF($B32="","",COUNTIF('9月'!D4:D34,$B32)+COUNTIF('9月'!E4:E34,$B32)+COUNTIF('9月'!I4:I34,$B32)+COUNTIF('9月'!J4:J34,$B32)+COUNTIF('9月'!N4:N34,$B32)+COUNTIF('9月'!O4:O34,$B32)+COUNTIF('9月'!S4:S34,$B32)+COUNTIF('9月'!T4:T34,$B32)+COUNTIF('9月'!X4:X34,$B32)+COUNTIF('9月'!Y4:Y34,$B32)+COUNTIF('9月'!AC4:AC34,$B32)+COUNTIF('9月'!AD4:AD34,$B32)+COUNTIF('9月'!AH4:AH34,$B32)+COUNTIF('9月'!AI4:AI34,$B32)+COUNTIF('9月'!AM4:AM34,$B32)+COUNTIF('9月'!AN4:AN34,$B32)+COUNTIF('9月'!AR4:AR34,$B32)+COUNTIF('9月'!AS4:AS34,$B32)+COUNTIF('9月'!AW4:AW34,$B32)+COUNTIF('9月'!AX4:AX34,$B32)+COUNTIF('9月'!BB4:BB34,$B32)+COUNTIF('9月'!BC4:BC34,$B32)+COUNTIF('9月'!BG4:BG34,$B32)+COUNTIF('9月'!BH4:BH34,$B32)+COUNTIF('9月'!BL4:BL34,$B32)+COUNTIF('9月'!BM4:BM34,$B32)+COUNTIF('9月'!BQ4:BQ34,$B32)+COUNTIF('9月'!BR4:BR34,$B32)+COUNTIF('9月'!BV4:BV34,$B32)+COUNTIF('9月'!BW4:BW34,$B32)+COUNTIF('9月'!CA4:CA34,$B32)+COUNTIF('9月'!CB4:CB34,$B32)+COUNTIF('9月'!CF4:CF34,$B32)+COUNTIF('9月'!CG4:CG34,$B32)+COUNTIF('9月'!CK4:CK34,$B32)+COUNTIF('9月'!CL4:CL34,$B32)+COUNTIF('9月'!CP4:CP34,$B32)+COUNTIF('9月'!CQ4:CQ34,$B32)+COUNTIF('9月'!CU4:CU34,$B32)+COUNTIF('9月'!CV4:CV34,$B32)+COUNTIF('9月'!CZ4:CZ34,$B32)+COUNTIF('9月'!DA4:DA34,$B32)+COUNTIF('9月'!DE4:DE34,$B32)+COUNTIF('9月'!DF4:DF34,$B32)+COUNTIF('9月'!DJ4:DJ34,$B32)+COUNTIF('9月'!DK4:DK34,$B32)+COUNTIF('9月'!DO4:DO34,$B32)+COUNTIF('9月'!DP4:DP34,$B32)+COUNTIF('9月'!DT4:DT34,$B32)+COUNTIF('9月'!DU4:DU34,$B32)+COUNTIF('9月'!DY4:DY34,$B32)+COUNTIF('9月'!DZ4:DZ34,$B32)+COUNTIF('9月'!ED4:ED34,$B32)+COUNTIF('9月'!EE4:EE34,$B32)+COUNTIF('9月'!EI4:EI34,$B32)+COUNTIF('9月'!EJ4:EJ34,$B32)+COUNTIF('9月'!EN4:EN34,$B32)+COUNTIF('9月'!EO4:EO34,$B32)+COUNTIF('9月'!ES4:ES34,$B32)+COUNTIF('9月'!ET4:ET34,$B32)),0)</f>
        <v>0</v>
      </c>
      <c r="L32" s="76">
        <f>IFERROR(IF($B32="","",COUNTIF('10月'!D4:D34,$B32)+COUNTIF('10月'!E4:E34,$B32)+COUNTIF('10月'!I4:I34,$B32)+COUNTIF('10月'!J4:J34,$B32)+COUNTIF('10月'!N4:N34,$B32)+COUNTIF('10月'!O4:O34,$B32)+COUNTIF('10月'!S4:S34,$B32)+COUNTIF('10月'!T4:T34,$B32)+COUNTIF('10月'!X4:X34,$B32)+COUNTIF('10月'!Y4:Y34,$B32)+COUNTIF('10月'!AC4:AC34,$B32)+COUNTIF('10月'!AD4:AD34,$B32)+COUNTIF('10月'!AH4:AH34,$B32)+COUNTIF('10月'!AI4:AI34,$B32)+COUNTIF('10月'!AM4:AM34,$B32)+COUNTIF('10月'!AN4:AN34,$B32)+COUNTIF('10月'!AR4:AR34,$B32)+COUNTIF('10月'!AS4:AS34,$B32)+COUNTIF('10月'!AW4:AW34,$B32)+COUNTIF('10月'!AX4:AX34,$B32)+COUNTIF('10月'!BB4:BB34,$B32)+COUNTIF('10月'!BC4:BC34,$B32)+COUNTIF('10月'!BG4:BG34,$B32)+COUNTIF('10月'!BH4:BH34,$B32)+COUNTIF('10月'!BL4:BL34,$B32)+COUNTIF('10月'!BM4:BM34,$B32)+COUNTIF('10月'!BQ4:BQ34,$B32)+COUNTIF('10月'!BR4:BR34,$B32)+COUNTIF('10月'!BV4:BV34,$B32)+COUNTIF('10月'!BW4:BW34,$B32)+COUNTIF('10月'!CA4:CA34,$B32)+COUNTIF('10月'!CB4:CB34,$B32)+COUNTIF('10月'!CF4:CF34,$B32)+COUNTIF('10月'!CG4:CG34,$B32)+COUNTIF('10月'!CK4:CK34,$B32)+COUNTIF('10月'!CL4:CL34,$B32)+COUNTIF('10月'!CP4:CP34,$B32)+COUNTIF('10月'!CQ4:CQ34,$B32)+COUNTIF('10月'!CU4:CU34,$B32)+COUNTIF('10月'!CV4:CV34,$B32)+COUNTIF('10月'!CZ4:CZ34,$B32)+COUNTIF('10月'!DA4:DA34,$B32)+COUNTIF('10月'!DE4:DE34,$B32)+COUNTIF('10月'!DF4:DF34,$B32)+COUNTIF('10月'!DJ4:DJ34,$B32)+COUNTIF('10月'!DK4:DK34,$B32)+COUNTIF('10月'!DO4:DO34,$B32)+COUNTIF('10月'!DP4:DP34,$B32)+COUNTIF('10月'!DT4:DT34,$B32)+COUNTIF('10月'!DU4:DU34,$B32)+COUNTIF('10月'!DY4:DY34,$B32)+COUNTIF('10月'!DZ4:DZ34,$B32)+COUNTIF('10月'!ED4:ED34,$B32)+COUNTIF('10月'!EE4:EE34,$B32)+COUNTIF('10月'!EI4:EI34,$B32)+COUNTIF('10月'!EJ4:EJ34,$B32)+COUNTIF('10月'!EN4:EN34,$B32)+COUNTIF('10月'!EO4:EO34,$B32)+COUNTIF('10月'!ES4:ES34,$B32)+COUNTIF('10月'!ET4:ET34,$B32)),0)</f>
        <v>0</v>
      </c>
      <c r="M32" s="76">
        <f>IFERROR(IF($B32="","",COUNTIF('11月'!D4:D34,$B32)+COUNTIF('11月'!E4:E34,$B32)+COUNTIF('11月'!I4:I34,$B32)+COUNTIF('11月'!J4:J34,$B32)+COUNTIF('11月'!N4:N34,$B32)+COUNTIF('11月'!O4:O34,$B32)+COUNTIF('11月'!S4:S34,$B32)+COUNTIF('11月'!T4:T34,$B32)+COUNTIF('11月'!X4:X34,$B32)+COUNTIF('11月'!Y4:Y34,$B32)+COUNTIF('11月'!AC4:AC34,$B32)+COUNTIF('11月'!AD4:AD34,$B32)+COUNTIF('11月'!AH4:AH34,$B32)+COUNTIF('11月'!AI4:AI34,$B32)+COUNTIF('11月'!AM4:AM34,$B32)+COUNTIF('11月'!AN4:AN34,$B32)+COUNTIF('11月'!AR4:AR34,$B32)+COUNTIF('11月'!AS4:AS34,$B32)+COUNTIF('11月'!AW4:AW34,$B32)+COUNTIF('11月'!AX4:AX34,$B32)+COUNTIF('11月'!BB4:BB34,$B32)+COUNTIF('11月'!BC4:BC34,$B32)+COUNTIF('11月'!BG4:BG34,$B32)+COUNTIF('11月'!BH4:BH34,$B32)+COUNTIF('11月'!BL4:BL34,$B32)+COUNTIF('11月'!BM4:BM34,$B32)+COUNTIF('11月'!BQ4:BQ34,$B32)+COUNTIF('11月'!BR4:BR34,$B32)+COUNTIF('11月'!BV4:BV34,$B32)+COUNTIF('11月'!BW4:BW34,$B32)+COUNTIF('11月'!CA4:CA34,$B32)+COUNTIF('11月'!CB4:CB34,$B32)+COUNTIF('11月'!CF4:CF34,$B32)+COUNTIF('11月'!CG4:CG34,$B32)+COUNTIF('11月'!CK4:CK34,$B32)+COUNTIF('11月'!CL4:CL34,$B32)+COUNTIF('11月'!CP4:CP34,$B32)+COUNTIF('11月'!CQ4:CQ34,$B32)+COUNTIF('11月'!CU4:CU34,$B32)+COUNTIF('11月'!CV4:CV34,$B32)+COUNTIF('11月'!CZ4:CZ34,$B32)+COUNTIF('11月'!DA4:DA34,$B32)+COUNTIF('11月'!DE4:DE34,$B32)+COUNTIF('11月'!DF4:DF34,$B32)+COUNTIF('11月'!DJ4:DJ34,$B32)+COUNTIF('11月'!DK4:DK34,$B32)+COUNTIF('11月'!DO4:DO34,$B32)+COUNTIF('11月'!DP4:DP34,$B32)+COUNTIF('11月'!DT4:DT34,$B32)+COUNTIF('11月'!DU4:DU34,$B32)+COUNTIF('11月'!DY4:DY34,$B32)+COUNTIF('11月'!DZ4:DZ34,$B32)+COUNTIF('11月'!ED4:ED34,$B32)+COUNTIF('11月'!EE4:EE34,$B32)+COUNTIF('11月'!EI4:EI34,$B32)+COUNTIF('11月'!EJ4:EJ34,$B32)+COUNTIF('11月'!EN4:EN34,$B32)+COUNTIF('11月'!EO4:EO34,$B32)+COUNTIF('11月'!ES4:ES34,$B32)+COUNTIF('11月'!ET4:ET34,$B32)),0)</f>
        <v>0</v>
      </c>
      <c r="N32" s="76">
        <f>IFERROR(IF($B32="","",COUNTIF('12月'!D4:D34,$B32)+COUNTIF('12月'!E4:E34,$B32)+COUNTIF('12月'!I4:I34,$B32)+COUNTIF('12月'!J4:J34,$B32)+COUNTIF('12月'!N4:N34,$B32)+COUNTIF('12月'!O4:O34,$B32)+COUNTIF('12月'!S4:S34,$B32)+COUNTIF('12月'!T4:T34,$B32)+COUNTIF('12月'!X4:X34,$B32)+COUNTIF('12月'!Y4:Y34,$B32)+COUNTIF('12月'!AC4:AC34,$B32)+COUNTIF('12月'!AD4:AD34,$B32)+COUNTIF('12月'!AH4:AH34,$B32)+COUNTIF('12月'!AI4:AI34,$B32)+COUNTIF('12月'!AM4:AM34,$B32)+COUNTIF('12月'!AN4:AN34,$B32)+COUNTIF('12月'!AR4:AR34,$B32)+COUNTIF('12月'!AS4:AS34,$B32)+COUNTIF('12月'!AW4:AW34,$B32)+COUNTIF('12月'!AX4:AX34,$B32)+COUNTIF('12月'!BB4:BB34,$B32)+COUNTIF('12月'!BC4:BC34,$B32)+COUNTIF('12月'!BG4:BG34,$B32)+COUNTIF('12月'!BH4:BH34,$B32)+COUNTIF('12月'!BL4:BL34,$B32)+COUNTIF('12月'!BM4:BM34,$B32)+COUNTIF('12月'!BQ4:BQ34,$B32)+COUNTIF('12月'!BR4:BR34,$B32)+COUNTIF('12月'!BV4:BV34,$B32)+COUNTIF('12月'!BW4:BW34,$B32)+COUNTIF('12月'!CA4:CA34,$B32)+COUNTIF('12月'!CB4:CB34,$B32)+COUNTIF('12月'!CF4:CF34,$B32)+COUNTIF('12月'!CG4:CG34,$B32)+COUNTIF('12月'!CK4:CK34,$B32)+COUNTIF('12月'!CL4:CL34,$B32)+COUNTIF('12月'!CP4:CP34,$B32)+COUNTIF('12月'!CQ4:CQ34,$B32)+COUNTIF('12月'!CU4:CU34,$B32)+COUNTIF('12月'!CV4:CV34,$B32)+COUNTIF('12月'!CZ4:CZ34,$B32)+COUNTIF('12月'!DA4:DA34,$B32)+COUNTIF('12月'!DE4:DE34,$B32)+COUNTIF('12月'!DF4:DF34,$B32)+COUNTIF('12月'!DJ4:DJ34,$B32)+COUNTIF('12月'!DK4:DK34,$B32)+COUNTIF('12月'!DO4:DO34,$B32)+COUNTIF('12月'!DP4:DP34,$B32)+COUNTIF('12月'!DT4:DT34,$B32)+COUNTIF('12月'!DU4:DU34,$B32)+COUNTIF('12月'!DY4:DY34,$B32)+COUNTIF('12月'!DZ4:DZ34,$B32)+COUNTIF('12月'!ED4:ED34,$B32)+COUNTIF('12月'!EE4:EE34,$B32)+COUNTIF('12月'!EI4:EI34,$B32)+COUNTIF('12月'!EJ4:EJ34,$B32)+COUNTIF('12月'!EN4:EN34,$B32)+COUNTIF('12月'!EO4:EO34,$B32)+COUNTIF('12月'!ES4:ES34,$B32)+COUNTIF('12月'!ET4:ET34,$B32)),0)</f>
        <v>0</v>
      </c>
      <c r="O32" s="78">
        <f t="shared" si="0"/>
        <v>0</v>
      </c>
    </row>
    <row r="33" spans="1:15" ht="19.5" customHeight="1">
      <c r="A33" s="76">
        <v>31</v>
      </c>
      <c r="B33" s="77">
        <f>IFERROR(現場マスタ!$C$34,"")</f>
        <v>0</v>
      </c>
      <c r="C33" s="76">
        <f>IFERROR(IF($B33="","",COUNTIF('1月'!D4:D34,$B33)+COUNTIF('1月'!E4:E34,$B33)+COUNTIF('1月'!I4:I34,$B33)+COUNTIF('1月'!J4:J34,$B33)+COUNTIF('1月'!N4:N34,$B33)+COUNTIF('1月'!O4:O34,$B33)+COUNTIF('1月'!S4:S34,$B33)+COUNTIF('1月'!T4:T34,$B33)+COUNTIF('1月'!X4:X34,$B33)+COUNTIF('1月'!Y4:Y34,$B33)+COUNTIF('1月'!AC4:AC34,$B33)+COUNTIF('1月'!AD4:AD34,$B33)+COUNTIF('1月'!AH4:AH34,$B33)+COUNTIF('1月'!AI4:AI34,$B33)+COUNTIF('1月'!AM4:AM34,$B33)+COUNTIF('1月'!AN4:AN34,$B33)+COUNTIF('1月'!AR4:AR34,$B33)+COUNTIF('1月'!AS4:AS34,$B33)+COUNTIF('1月'!AW4:AW34,$B33)+COUNTIF('1月'!AX4:AX34,$B33)+COUNTIF('1月'!BB4:BB34,$B33)+COUNTIF('1月'!BC4:BC34,$B33)+COUNTIF('1月'!BG4:BG34,$B33)+COUNTIF('1月'!BH4:BH34,$B33)+COUNTIF('1月'!BL4:BL34,$B33)+COUNTIF('1月'!BM4:BM34,$B33)+COUNTIF('1月'!BQ4:BQ34,$B33)+COUNTIF('1月'!BR4:BR34,$B33)+COUNTIF('1月'!BV4:BV34,$B33)+COUNTIF('1月'!BW4:BW34,$B33)+COUNTIF('1月'!CA4:CA34,$B33)+COUNTIF('1月'!CB4:CB34,$B33)+COUNTIF('1月'!CF4:CF34,$B33)+COUNTIF('1月'!CG4:CG34,$B33)+COUNTIF('1月'!CK4:CK34,$B33)+COUNTIF('1月'!CL4:CL34,$B33)+COUNTIF('1月'!CP4:CP34,$B33)+COUNTIF('1月'!CQ4:CQ34,$B33)+COUNTIF('1月'!CU4:CU34,$B33)+COUNTIF('1月'!CV4:CV34,$B33)+COUNTIF('1月'!CZ4:CZ34,$B33)+COUNTIF('1月'!DA4:DA34,$B33)+COUNTIF('1月'!DE4:DE34,$B33)+COUNTIF('1月'!DF4:DF34,$B33)+COUNTIF('1月'!DJ4:DJ34,$B33)+COUNTIF('1月'!DK4:DK34,$B33)+COUNTIF('1月'!DO4:DO34,$B33)+COUNTIF('1月'!DP4:DP34,$B33)+COUNTIF('1月'!DT4:DT34,$B33)+COUNTIF('1月'!DU4:DU34,$B33)+COUNTIF('1月'!DY4:DY34,$B33)+COUNTIF('1月'!DZ4:DZ34,$B33)+COUNTIF('1月'!ED4:ED34,$B33)+COUNTIF('1月'!EE4:EE34,$B33)+COUNTIF('1月'!EI4:EI34,$B33)+COUNTIF('1月'!EJ4:EJ34,$B33)+COUNTIF('1月'!EN4:EN34,$B33)+COUNTIF('1月'!EO4:EO34,$B33)+COUNTIF('1月'!ES4:ES34,$B33)+COUNTIF('1月'!ET4:ET34,$B33)),0)</f>
        <v>0</v>
      </c>
      <c r="D33" s="76">
        <f>IFERROR(IF($B33="","",COUNTIF('2月'!D4:D34,$B33)+COUNTIF('2月'!E4:E34,$B33)+COUNTIF('2月'!I4:I34,$B33)+COUNTIF('2月'!J4:J34,$B33)+COUNTIF('2月'!N4:N34,$B33)+COUNTIF('2月'!O4:O34,$B33)+COUNTIF('2月'!S4:S34,$B33)+COUNTIF('2月'!T4:T34,$B33)+COUNTIF('2月'!X4:X34,$B33)+COUNTIF('2月'!Y4:Y34,$B33)+COUNTIF('2月'!AC4:AC34,$B33)+COUNTIF('2月'!AD4:AD34,$B33)+COUNTIF('2月'!AH4:AH34,$B33)+COUNTIF('2月'!AI4:AI34,$B33)+COUNTIF('2月'!AM4:AM34,$B33)+COUNTIF('2月'!AN4:AN34,$B33)+COUNTIF('2月'!AR4:AR34,$B33)+COUNTIF('2月'!AS4:AS34,$B33)+COUNTIF('2月'!AW4:AW34,$B33)+COUNTIF('2月'!AX4:AX34,$B33)+COUNTIF('2月'!BB4:BB34,$B33)+COUNTIF('2月'!BC4:BC34,$B33)+COUNTIF('2月'!BG4:BG34,$B33)+COUNTIF('2月'!BH4:BH34,$B33)+COUNTIF('2月'!BL4:BL34,$B33)+COUNTIF('2月'!BM4:BM34,$B33)+COUNTIF('2月'!BQ4:BQ34,$B33)+COUNTIF('2月'!BR4:BR34,$B33)+COUNTIF('2月'!BV4:BV34,$B33)+COUNTIF('2月'!BW4:BW34,$B33)+COUNTIF('2月'!CA4:CA34,$B33)+COUNTIF('2月'!CB4:CB34,$B33)+COUNTIF('2月'!CF4:CF34,$B33)+COUNTIF('2月'!CG4:CG34,$B33)+COUNTIF('2月'!CK4:CK34,$B33)+COUNTIF('2月'!CL4:CL34,$B33)+COUNTIF('2月'!CP4:CP34,$B33)+COUNTIF('2月'!CQ4:CQ34,$B33)+COUNTIF('2月'!CU4:CU34,$B33)+COUNTIF('2月'!CV4:CV34,$B33)+COUNTIF('2月'!CZ4:CZ34,$B33)+COUNTIF('2月'!DA4:DA34,$B33)+COUNTIF('2月'!DE4:DE34,$B33)+COUNTIF('2月'!DF4:DF34,$B33)+COUNTIF('2月'!DJ4:DJ34,$B33)+COUNTIF('2月'!DK4:DK34,$B33)+COUNTIF('2月'!DO4:DO34,$B33)+COUNTIF('2月'!DP4:DP34,$B33)+COUNTIF('2月'!DT4:DT34,$B33)+COUNTIF('2月'!DU4:DU34,$B33)+COUNTIF('2月'!DY4:DY34,$B33)+COUNTIF('2月'!DZ4:DZ34,$B33)+COUNTIF('2月'!ED4:ED34,$B33)+COUNTIF('2月'!EE4:EE34,$B33)+COUNTIF('2月'!EI4:EI34,$B33)+COUNTIF('2月'!EJ4:EJ34,$B33)+COUNTIF('2月'!EN4:EN34,$B33)+COUNTIF('2月'!EO4:EO34,$B33)+COUNTIF('2月'!ES4:ES34,$B33)+COUNTIF('2月'!ET4:ET34,$B33)),0)</f>
        <v>0</v>
      </c>
      <c r="E33" s="76">
        <f>IFERROR(IF($B33="","",COUNTIF('3月'!D4:D34,$B33)+COUNTIF('3月'!E4:E34,$B33)+COUNTIF('3月'!I4:I34,$B33)+COUNTIF('3月'!J4:J34,$B33)+COUNTIF('3月'!N4:N34,$B33)+COUNTIF('3月'!O4:O34,$B33)+COUNTIF('3月'!S4:S34,$B33)+COUNTIF('3月'!T4:T34,$B33)+COUNTIF('3月'!X4:X34,$B33)+COUNTIF('3月'!Y4:Y34,$B33)+COUNTIF('3月'!AC4:AC34,$B33)+COUNTIF('3月'!AD4:AD34,$B33)+COUNTIF('3月'!AH4:AH34,$B33)+COUNTIF('3月'!AI4:AI34,$B33)+COUNTIF('3月'!AM4:AM34,$B33)+COUNTIF('3月'!AN4:AN34,$B33)+COUNTIF('3月'!AR4:AR34,$B33)+COUNTIF('3月'!AS4:AS34,$B33)+COUNTIF('3月'!AW4:AW34,$B33)+COUNTIF('3月'!AX4:AX34,$B33)+COUNTIF('3月'!BB4:BB34,$B33)+COUNTIF('3月'!BC4:BC34,$B33)+COUNTIF('3月'!BG4:BG34,$B33)+COUNTIF('3月'!BH4:BH34,$B33)+COUNTIF('3月'!BL4:BL34,$B33)+COUNTIF('3月'!BM4:BM34,$B33)+COUNTIF('3月'!BQ4:BQ34,$B33)+COUNTIF('3月'!BR4:BR34,$B33)+COUNTIF('3月'!BV4:BV34,$B33)+COUNTIF('3月'!BW4:BW34,$B33)+COUNTIF('3月'!CA4:CA34,$B33)+COUNTIF('3月'!CB4:CB34,$B33)+COUNTIF('3月'!CF4:CF34,$B33)+COUNTIF('3月'!CG4:CG34,$B33)+COUNTIF('3月'!CK4:CK34,$B33)+COUNTIF('3月'!CL4:CL34,$B33)+COUNTIF('3月'!CP4:CP34,$B33)+COUNTIF('3月'!CQ4:CQ34,$B33)+COUNTIF('3月'!CU4:CU34,$B33)+COUNTIF('3月'!CV4:CV34,$B33)+COUNTIF('3月'!CZ4:CZ34,$B33)+COUNTIF('3月'!DA4:DA34,$B33)+COUNTIF('3月'!DE4:DE34,$B33)+COUNTIF('3月'!DF4:DF34,$B33)+COUNTIF('3月'!DJ4:DJ34,$B33)+COUNTIF('3月'!DK4:DK34,$B33)+COUNTIF('3月'!DO4:DO34,$B33)+COUNTIF('3月'!DP4:DP34,$B33)+COUNTIF('3月'!DT4:DT34,$B33)+COUNTIF('3月'!DU4:DU34,$B33)+COUNTIF('3月'!DY4:DY34,$B33)+COUNTIF('3月'!DZ4:DZ34,$B33)+COUNTIF('3月'!ED4:ED34,$B33)+COUNTIF('3月'!EE4:EE34,$B33)+COUNTIF('3月'!EI4:EI34,$B33)+COUNTIF('3月'!EJ4:EJ34,$B33)+COUNTIF('3月'!EN4:EN34,$B33)+COUNTIF('3月'!EO4:EO34,$B33)+COUNTIF('3月'!ES4:ES34,$B33)+COUNTIF('3月'!ET4:ET34,$B33)),0)</f>
        <v>0</v>
      </c>
      <c r="F33" s="76">
        <f>IFERROR(IF($B33="","",COUNTIF('4月'!D4:D34,$B33)+COUNTIF('4月'!E4:E34,$B33)+COUNTIF('4月'!I4:I34,$B33)+COUNTIF('4月'!J4:J34,$B33)+COUNTIF('4月'!N4:N34,$B33)+COUNTIF('4月'!O4:O34,$B33)+COUNTIF('4月'!S4:S34,$B33)+COUNTIF('4月'!T4:T34,$B33)+COUNTIF('4月'!X4:X34,$B33)+COUNTIF('4月'!Y4:Y34,$B33)+COUNTIF('4月'!AC4:AC34,$B33)+COUNTIF('4月'!AD4:AD34,$B33)+COUNTIF('4月'!AH4:AH34,$B33)+COUNTIF('4月'!AI4:AI34,$B33)+COUNTIF('4月'!AM4:AM34,$B33)+COUNTIF('4月'!AN4:AN34,$B33)+COUNTIF('4月'!AR4:AR34,$B33)+COUNTIF('4月'!AS4:AS34,$B33)+COUNTIF('4月'!AW4:AW34,$B33)+COUNTIF('4月'!AX4:AX34,$B33)+COUNTIF('4月'!BB4:BB34,$B33)+COUNTIF('4月'!BC4:BC34,$B33)+COUNTIF('4月'!BG4:BG34,$B33)+COUNTIF('4月'!BH4:BH34,$B33)+COUNTIF('4月'!BL4:BL34,$B33)+COUNTIF('4月'!BM4:BM34,$B33)+COUNTIF('4月'!BQ4:BQ34,$B33)+COUNTIF('4月'!BR4:BR34,$B33)+COUNTIF('4月'!BV4:BV34,$B33)+COUNTIF('4月'!BW4:BW34,$B33)+COUNTIF('4月'!CA4:CA34,$B33)+COUNTIF('4月'!CB4:CB34,$B33)+COUNTIF('4月'!CF4:CF34,$B33)+COUNTIF('4月'!CG4:CG34,$B33)+COUNTIF('4月'!CK4:CK34,$B33)+COUNTIF('4月'!CL4:CL34,$B33)+COUNTIF('4月'!CP4:CP34,$B33)+COUNTIF('4月'!CQ4:CQ34,$B33)+COUNTIF('4月'!CU4:CU34,$B33)+COUNTIF('4月'!CV4:CV34,$B33)+COUNTIF('4月'!CZ4:CZ34,$B33)+COUNTIF('4月'!DA4:DA34,$B33)+COUNTIF('4月'!DE4:DE34,$B33)+COUNTIF('4月'!DF4:DF34,$B33)+COUNTIF('4月'!DJ4:DJ34,$B33)+COUNTIF('4月'!DK4:DK34,$B33)+COUNTIF('4月'!DO4:DO34,$B33)+COUNTIF('4月'!DP4:DP34,$B33)+COUNTIF('4月'!DT4:DT34,$B33)+COUNTIF('4月'!DU4:DU34,$B33)+COUNTIF('4月'!DY4:DY34,$B33)+COUNTIF('4月'!DZ4:DZ34,$B33)+COUNTIF('4月'!ED4:ED34,$B33)+COUNTIF('4月'!EE4:EE34,$B33)+COUNTIF('4月'!EI4:EI34,$B33)+COUNTIF('4月'!EJ4:EJ34,$B33)+COUNTIF('4月'!EN4:EN34,$B33)+COUNTIF('4月'!EO4:EO34,$B33)+COUNTIF('4月'!ES4:ES34,$B33)+COUNTIF('4月'!ET4:ET34,$B33)),0)</f>
        <v>0</v>
      </c>
      <c r="G33" s="76">
        <f>IFERROR(IF($B33="","",COUNTIF('5月'!D4:D34,$B33)+COUNTIF('5月'!E4:E34,$B33)+COUNTIF('5月'!I4:I34,$B33)+COUNTIF('5月'!J4:J34,$B33)+COUNTIF('5月'!N4:N34,$B33)+COUNTIF('5月'!O4:O34,$B33)+COUNTIF('5月'!S4:S34,$B33)+COUNTIF('5月'!T4:T34,$B33)+COUNTIF('5月'!X4:X34,$B33)+COUNTIF('5月'!Y4:Y34,$B33)+COUNTIF('5月'!AC4:AC34,$B33)+COUNTIF('5月'!AD4:AD34,$B33)+COUNTIF('5月'!AH4:AH34,$B33)+COUNTIF('5月'!AI4:AI34,$B33)+COUNTIF('5月'!AM4:AM34,$B33)+COUNTIF('5月'!AN4:AN34,$B33)+COUNTIF('5月'!AR4:AR34,$B33)+COUNTIF('5月'!AS4:AS34,$B33)+COUNTIF('5月'!AW4:AW34,$B33)+COUNTIF('5月'!AX4:AX34,$B33)+COUNTIF('5月'!BB4:BB34,$B33)+COUNTIF('5月'!BC4:BC34,$B33)+COUNTIF('5月'!BG4:BG34,$B33)+COUNTIF('5月'!BH4:BH34,$B33)+COUNTIF('5月'!BL4:BL34,$B33)+COUNTIF('5月'!BM4:BM34,$B33)+COUNTIF('5月'!BQ4:BQ34,$B33)+COUNTIF('5月'!BR4:BR34,$B33)+COUNTIF('5月'!BV4:BV34,$B33)+COUNTIF('5月'!BW4:BW34,$B33)+COUNTIF('5月'!CA4:CA34,$B33)+COUNTIF('5月'!CB4:CB34,$B33)+COUNTIF('5月'!CF4:CF34,$B33)+COUNTIF('5月'!CG4:CG34,$B33)+COUNTIF('5月'!CK4:CK34,$B33)+COUNTIF('5月'!CL4:CL34,$B33)+COUNTIF('5月'!CP4:CP34,$B33)+COUNTIF('5月'!CQ4:CQ34,$B33)+COUNTIF('5月'!CU4:CU34,$B33)+COUNTIF('5月'!CV4:CV34,$B33)+COUNTIF('5月'!CZ4:CZ34,$B33)+COUNTIF('5月'!DA4:DA34,$B33)+COUNTIF('5月'!DE4:DE34,$B33)+COUNTIF('5月'!DF4:DF34,$B33)+COUNTIF('5月'!DJ4:DJ34,$B33)+COUNTIF('5月'!DK4:DK34,$B33)+COUNTIF('5月'!DO4:DO34,$B33)+COUNTIF('5月'!DP4:DP34,$B33)+COUNTIF('5月'!DT4:DT34,$B33)+COUNTIF('5月'!DU4:DU34,$B33)+COUNTIF('5月'!DY4:DY34,$B33)+COUNTIF('5月'!DZ4:DZ34,$B33)+COUNTIF('5月'!ED4:ED34,$B33)+COUNTIF('5月'!EE4:EE34,$B33)+COUNTIF('5月'!EI4:EI34,$B33)+COUNTIF('5月'!EJ4:EJ34,$B33)+COUNTIF('5月'!EN4:EN34,$B33)+COUNTIF('5月'!EO4:EO34,$B33)+COUNTIF('5月'!ES4:ES34,$B33)+COUNTIF('5月'!ET4:ET34,$B33)),0)</f>
        <v>0</v>
      </c>
      <c r="H33" s="76">
        <f>IFERROR(IF($B33="","",COUNTIF('6月'!D4:D34,$B33)+COUNTIF('6月'!E4:E34,$B33)+COUNTIF('6月'!I4:I34,$B33)+COUNTIF('6月'!J4:J34,$B33)+COUNTIF('6月'!N4:N34,$B33)+COUNTIF('6月'!O4:O34,$B33)+COUNTIF('6月'!S4:S34,$B33)+COUNTIF('6月'!T4:T34,$B33)+COUNTIF('6月'!X4:X34,$B33)+COUNTIF('6月'!Y4:Y34,$B33)+COUNTIF('6月'!AC4:AC34,$B33)+COUNTIF('6月'!AD4:AD34,$B33)+COUNTIF('6月'!AH4:AH34,$B33)+COUNTIF('6月'!AI4:AI34,$B33)+COUNTIF('6月'!AM4:AM34,$B33)+COUNTIF('6月'!AN4:AN34,$B33)+COUNTIF('6月'!AR4:AR34,$B33)+COUNTIF('6月'!AS4:AS34,$B33)+COUNTIF('6月'!AW4:AW34,$B33)+COUNTIF('6月'!AX4:AX34,$B33)+COUNTIF('6月'!BB4:BB34,$B33)+COUNTIF('6月'!BC4:BC34,$B33)+COUNTIF('6月'!BG4:BG34,$B33)+COUNTIF('6月'!BH4:BH34,$B33)+COUNTIF('6月'!BL4:BL34,$B33)+COUNTIF('6月'!BM4:BM34,$B33)+COUNTIF('6月'!BQ4:BQ34,$B33)+COUNTIF('6月'!BR4:BR34,$B33)+COUNTIF('6月'!BV4:BV34,$B33)+COUNTIF('6月'!BW4:BW34,$B33)+COUNTIF('6月'!CA4:CA34,$B33)+COUNTIF('6月'!CB4:CB34,$B33)+COUNTIF('6月'!CF4:CF34,$B33)+COUNTIF('6月'!CG4:CG34,$B33)+COUNTIF('6月'!CK4:CK34,$B33)+COUNTIF('6月'!CL4:CL34,$B33)+COUNTIF('6月'!CP4:CP34,$B33)+COUNTIF('6月'!CQ4:CQ34,$B33)+COUNTIF('6月'!CU4:CU34,$B33)+COUNTIF('6月'!CV4:CV34,$B33)+COUNTIF('6月'!CZ4:CZ34,$B33)+COUNTIF('6月'!DA4:DA34,$B33)+COUNTIF('6月'!DE4:DE34,$B33)+COUNTIF('6月'!DF4:DF34,$B33)+COUNTIF('6月'!DJ4:DJ34,$B33)+COUNTIF('6月'!DK4:DK34,$B33)+COUNTIF('6月'!DO4:DO34,$B33)+COUNTIF('6月'!DP4:DP34,$B33)+COUNTIF('6月'!DT4:DT34,$B33)+COUNTIF('6月'!DU4:DU34,$B33)+COUNTIF('6月'!DY4:DY34,$B33)+COUNTIF('6月'!DZ4:DZ34,$B33)+COUNTIF('6月'!ED4:ED34,$B33)+COUNTIF('6月'!EE4:EE34,$B33)+COUNTIF('6月'!EI4:EI34,$B33)+COUNTIF('6月'!EJ4:EJ34,$B33)+COUNTIF('6月'!EN4:EN34,$B33)+COUNTIF('6月'!EO4:EO34,$B33)+COUNTIF('6月'!ES4:ES34,$B33)+COUNTIF('6月'!ET4:ET34,$B33)),0)</f>
        <v>0</v>
      </c>
      <c r="I33" s="76">
        <f>IFERROR(IF($B33="","",COUNTIF('7月'!D4:D34,$B33)+COUNTIF('7月'!E4:E34,$B33)+COUNTIF('7月'!I4:I34,$B33)+COUNTIF('7月'!J4:J34,$B33)+COUNTIF('7月'!N4:N34,$B33)+COUNTIF('7月'!O4:O34,$B33)+COUNTIF('7月'!S4:S34,$B33)+COUNTIF('7月'!T4:T34,$B33)+COUNTIF('7月'!X4:X34,$B33)+COUNTIF('7月'!Y4:Y34,$B33)+COUNTIF('7月'!AC4:AC34,$B33)+COUNTIF('7月'!AD4:AD34,$B33)+COUNTIF('7月'!AH4:AH34,$B33)+COUNTIF('7月'!AI4:AI34,$B33)+COUNTIF('7月'!AM4:AM34,$B33)+COUNTIF('7月'!AN4:AN34,$B33)+COUNTIF('7月'!AR4:AR34,$B33)+COUNTIF('7月'!AS4:AS34,$B33)+COUNTIF('7月'!AW4:AW34,$B33)+COUNTIF('7月'!AX4:AX34,$B33)+COUNTIF('7月'!BB4:BB34,$B33)+COUNTIF('7月'!BC4:BC34,$B33)+COUNTIF('7月'!BG4:BG34,$B33)+COUNTIF('7月'!BH4:BH34,$B33)+COUNTIF('7月'!BL4:BL34,$B33)+COUNTIF('7月'!BM4:BM34,$B33)+COUNTIF('7月'!BQ4:BQ34,$B33)+COUNTIF('7月'!BR4:BR34,$B33)+COUNTIF('7月'!BV4:BV34,$B33)+COUNTIF('7月'!BW4:BW34,$B33)+COUNTIF('7月'!CA4:CA34,$B33)+COUNTIF('7月'!CB4:CB34,$B33)+COUNTIF('7月'!CF4:CF34,$B33)+COUNTIF('7月'!CG4:CG34,$B33)+COUNTIF('7月'!CK4:CK34,$B33)+COUNTIF('7月'!CL4:CL34,$B33)+COUNTIF('7月'!CP4:CP34,$B33)+COUNTIF('7月'!CQ4:CQ34,$B33)+COUNTIF('7月'!CU4:CU34,$B33)+COUNTIF('7月'!CV4:CV34,$B33)+COUNTIF('7月'!CZ4:CZ34,$B33)+COUNTIF('7月'!DA4:DA34,$B33)+COUNTIF('7月'!DE4:DE34,$B33)+COUNTIF('7月'!DF4:DF34,$B33)+COUNTIF('7月'!DJ4:DJ34,$B33)+COUNTIF('7月'!DK4:DK34,$B33)+COUNTIF('7月'!DO4:DO34,$B33)+COUNTIF('7月'!DP4:DP34,$B33)+COUNTIF('7月'!DT4:DT34,$B33)+COUNTIF('7月'!DU4:DU34,$B33)+COUNTIF('7月'!DY4:DY34,$B33)+COUNTIF('7月'!DZ4:DZ34,$B33)+COUNTIF('7月'!ED4:ED34,$B33)+COUNTIF('7月'!EE4:EE34,$B33)+COUNTIF('7月'!EI4:EI34,$B33)+COUNTIF('7月'!EJ4:EJ34,$B33)+COUNTIF('7月'!EN4:EN34,$B33)+COUNTIF('7月'!EO4:EO34,$B33)+COUNTIF('7月'!ES4:ES34,$B33)+COUNTIF('7月'!ET4:ET34,$B33)),0)</f>
        <v>0</v>
      </c>
      <c r="J33" s="76">
        <f>IFERROR(IF($B33="","",COUNTIF('8月'!D4:D34,$B33)+COUNTIF('8月'!E4:E34,$B33)+COUNTIF('8月'!I4:I34,$B33)+COUNTIF('8月'!J4:J34,$B33)+COUNTIF('8月'!N4:N34,$B33)+COUNTIF('8月'!O4:O34,$B33)+COUNTIF('8月'!S4:S34,$B33)+COUNTIF('8月'!T4:T34,$B33)+COUNTIF('8月'!X4:X34,$B33)+COUNTIF('8月'!Y4:Y34,$B33)+COUNTIF('8月'!AC4:AC34,$B33)+COUNTIF('8月'!AD4:AD34,$B33)+COUNTIF('8月'!AH4:AH34,$B33)+COUNTIF('8月'!AI4:AI34,$B33)+COUNTIF('8月'!AM4:AM34,$B33)+COUNTIF('8月'!AN4:AN34,$B33)+COUNTIF('8月'!AR4:AR34,$B33)+COUNTIF('8月'!AS4:AS34,$B33)+COUNTIF('8月'!AW4:AW34,$B33)+COUNTIF('8月'!AX4:AX34,$B33)+COUNTIF('8月'!BB4:BB34,$B33)+COUNTIF('8月'!BC4:BC34,$B33)+COUNTIF('8月'!BG4:BG34,$B33)+COUNTIF('8月'!BH4:BH34,$B33)+COUNTIF('8月'!BL4:BL34,$B33)+COUNTIF('8月'!BM4:BM34,$B33)+COUNTIF('8月'!BQ4:BQ34,$B33)+COUNTIF('8月'!BR4:BR34,$B33)+COUNTIF('8月'!BV4:BV34,$B33)+COUNTIF('8月'!BW4:BW34,$B33)+COUNTIF('8月'!CA4:CA34,$B33)+COUNTIF('8月'!CB4:CB34,$B33)+COUNTIF('8月'!CF4:CF34,$B33)+COUNTIF('8月'!CG4:CG34,$B33)+COUNTIF('8月'!CK4:CK34,$B33)+COUNTIF('8月'!CL4:CL34,$B33)+COUNTIF('8月'!CP4:CP34,$B33)+COUNTIF('8月'!CQ4:CQ34,$B33)+COUNTIF('8月'!CU4:CU34,$B33)+COUNTIF('8月'!CV4:CV34,$B33)+COUNTIF('8月'!CZ4:CZ34,$B33)+COUNTIF('8月'!DA4:DA34,$B33)+COUNTIF('8月'!DE4:DE34,$B33)+COUNTIF('8月'!DF4:DF34,$B33)+COUNTIF('8月'!DJ4:DJ34,$B33)+COUNTIF('8月'!DK4:DK34,$B33)+COUNTIF('8月'!DO4:DO34,$B33)+COUNTIF('8月'!DP4:DP34,$B33)+COUNTIF('8月'!DT4:DT34,$B33)+COUNTIF('8月'!DU4:DU34,$B33)+COUNTIF('8月'!DY4:DY34,$B33)+COUNTIF('8月'!DZ4:DZ34,$B33)+COUNTIF('8月'!ED4:ED34,$B33)+COUNTIF('8月'!EE4:EE34,$B33)+COUNTIF('8月'!EI4:EI34,$B33)+COUNTIF('8月'!EJ4:EJ34,$B33)+COUNTIF('8月'!EN4:EN34,$B33)+COUNTIF('8月'!EO4:EO34,$B33)+COUNTIF('8月'!ES4:ES34,$B33)+COUNTIF('8月'!ET4:ET34,$B33)),0)</f>
        <v>0</v>
      </c>
      <c r="K33" s="76">
        <f>IFERROR(IF($B33="","",COUNTIF('9月'!D4:D34,$B33)+COUNTIF('9月'!E4:E34,$B33)+COUNTIF('9月'!I4:I34,$B33)+COUNTIF('9月'!J4:J34,$B33)+COUNTIF('9月'!N4:N34,$B33)+COUNTIF('9月'!O4:O34,$B33)+COUNTIF('9月'!S4:S34,$B33)+COUNTIF('9月'!T4:T34,$B33)+COUNTIF('9月'!X4:X34,$B33)+COUNTIF('9月'!Y4:Y34,$B33)+COUNTIF('9月'!AC4:AC34,$B33)+COUNTIF('9月'!AD4:AD34,$B33)+COUNTIF('9月'!AH4:AH34,$B33)+COUNTIF('9月'!AI4:AI34,$B33)+COUNTIF('9月'!AM4:AM34,$B33)+COUNTIF('9月'!AN4:AN34,$B33)+COUNTIF('9月'!AR4:AR34,$B33)+COUNTIF('9月'!AS4:AS34,$B33)+COUNTIF('9月'!AW4:AW34,$B33)+COUNTIF('9月'!AX4:AX34,$B33)+COUNTIF('9月'!BB4:BB34,$B33)+COUNTIF('9月'!BC4:BC34,$B33)+COUNTIF('9月'!BG4:BG34,$B33)+COUNTIF('9月'!BH4:BH34,$B33)+COUNTIF('9月'!BL4:BL34,$B33)+COUNTIF('9月'!BM4:BM34,$B33)+COUNTIF('9月'!BQ4:BQ34,$B33)+COUNTIF('9月'!BR4:BR34,$B33)+COUNTIF('9月'!BV4:BV34,$B33)+COUNTIF('9月'!BW4:BW34,$B33)+COUNTIF('9月'!CA4:CA34,$B33)+COUNTIF('9月'!CB4:CB34,$B33)+COUNTIF('9月'!CF4:CF34,$B33)+COUNTIF('9月'!CG4:CG34,$B33)+COUNTIF('9月'!CK4:CK34,$B33)+COUNTIF('9月'!CL4:CL34,$B33)+COUNTIF('9月'!CP4:CP34,$B33)+COUNTIF('9月'!CQ4:CQ34,$B33)+COUNTIF('9月'!CU4:CU34,$B33)+COUNTIF('9月'!CV4:CV34,$B33)+COUNTIF('9月'!CZ4:CZ34,$B33)+COUNTIF('9月'!DA4:DA34,$B33)+COUNTIF('9月'!DE4:DE34,$B33)+COUNTIF('9月'!DF4:DF34,$B33)+COUNTIF('9月'!DJ4:DJ34,$B33)+COUNTIF('9月'!DK4:DK34,$B33)+COUNTIF('9月'!DO4:DO34,$B33)+COUNTIF('9月'!DP4:DP34,$B33)+COUNTIF('9月'!DT4:DT34,$B33)+COUNTIF('9月'!DU4:DU34,$B33)+COUNTIF('9月'!DY4:DY34,$B33)+COUNTIF('9月'!DZ4:DZ34,$B33)+COUNTIF('9月'!ED4:ED34,$B33)+COUNTIF('9月'!EE4:EE34,$B33)+COUNTIF('9月'!EI4:EI34,$B33)+COUNTIF('9月'!EJ4:EJ34,$B33)+COUNTIF('9月'!EN4:EN34,$B33)+COUNTIF('9月'!EO4:EO34,$B33)+COUNTIF('9月'!ES4:ES34,$B33)+COUNTIF('9月'!ET4:ET34,$B33)),0)</f>
        <v>0</v>
      </c>
      <c r="L33" s="76">
        <f>IFERROR(IF($B33="","",COUNTIF('10月'!D4:D34,$B33)+COUNTIF('10月'!E4:E34,$B33)+COUNTIF('10月'!I4:I34,$B33)+COUNTIF('10月'!J4:J34,$B33)+COUNTIF('10月'!N4:N34,$B33)+COUNTIF('10月'!O4:O34,$B33)+COUNTIF('10月'!S4:S34,$B33)+COUNTIF('10月'!T4:T34,$B33)+COUNTIF('10月'!X4:X34,$B33)+COUNTIF('10月'!Y4:Y34,$B33)+COUNTIF('10月'!AC4:AC34,$B33)+COUNTIF('10月'!AD4:AD34,$B33)+COUNTIF('10月'!AH4:AH34,$B33)+COUNTIF('10月'!AI4:AI34,$B33)+COUNTIF('10月'!AM4:AM34,$B33)+COUNTIF('10月'!AN4:AN34,$B33)+COUNTIF('10月'!AR4:AR34,$B33)+COUNTIF('10月'!AS4:AS34,$B33)+COUNTIF('10月'!AW4:AW34,$B33)+COUNTIF('10月'!AX4:AX34,$B33)+COUNTIF('10月'!BB4:BB34,$B33)+COUNTIF('10月'!BC4:BC34,$B33)+COUNTIF('10月'!BG4:BG34,$B33)+COUNTIF('10月'!BH4:BH34,$B33)+COUNTIF('10月'!BL4:BL34,$B33)+COUNTIF('10月'!BM4:BM34,$B33)+COUNTIF('10月'!BQ4:BQ34,$B33)+COUNTIF('10月'!BR4:BR34,$B33)+COUNTIF('10月'!BV4:BV34,$B33)+COUNTIF('10月'!BW4:BW34,$B33)+COUNTIF('10月'!CA4:CA34,$B33)+COUNTIF('10月'!CB4:CB34,$B33)+COUNTIF('10月'!CF4:CF34,$B33)+COUNTIF('10月'!CG4:CG34,$B33)+COUNTIF('10月'!CK4:CK34,$B33)+COUNTIF('10月'!CL4:CL34,$B33)+COUNTIF('10月'!CP4:CP34,$B33)+COUNTIF('10月'!CQ4:CQ34,$B33)+COUNTIF('10月'!CU4:CU34,$B33)+COUNTIF('10月'!CV4:CV34,$B33)+COUNTIF('10月'!CZ4:CZ34,$B33)+COUNTIF('10月'!DA4:DA34,$B33)+COUNTIF('10月'!DE4:DE34,$B33)+COUNTIF('10月'!DF4:DF34,$B33)+COUNTIF('10月'!DJ4:DJ34,$B33)+COUNTIF('10月'!DK4:DK34,$B33)+COUNTIF('10月'!DO4:DO34,$B33)+COUNTIF('10月'!DP4:DP34,$B33)+COUNTIF('10月'!DT4:DT34,$B33)+COUNTIF('10月'!DU4:DU34,$B33)+COUNTIF('10月'!DY4:DY34,$B33)+COUNTIF('10月'!DZ4:DZ34,$B33)+COUNTIF('10月'!ED4:ED34,$B33)+COUNTIF('10月'!EE4:EE34,$B33)+COUNTIF('10月'!EI4:EI34,$B33)+COUNTIF('10月'!EJ4:EJ34,$B33)+COUNTIF('10月'!EN4:EN34,$B33)+COUNTIF('10月'!EO4:EO34,$B33)+COUNTIF('10月'!ES4:ES34,$B33)+COUNTIF('10月'!ET4:ET34,$B33)),0)</f>
        <v>0</v>
      </c>
      <c r="M33" s="76">
        <f>IFERROR(IF($B33="","",COUNTIF('11月'!D4:D34,$B33)+COUNTIF('11月'!E4:E34,$B33)+COUNTIF('11月'!I4:I34,$B33)+COUNTIF('11月'!J4:J34,$B33)+COUNTIF('11月'!N4:N34,$B33)+COUNTIF('11月'!O4:O34,$B33)+COUNTIF('11月'!S4:S34,$B33)+COUNTIF('11月'!T4:T34,$B33)+COUNTIF('11月'!X4:X34,$B33)+COUNTIF('11月'!Y4:Y34,$B33)+COUNTIF('11月'!AC4:AC34,$B33)+COUNTIF('11月'!AD4:AD34,$B33)+COUNTIF('11月'!AH4:AH34,$B33)+COUNTIF('11月'!AI4:AI34,$B33)+COUNTIF('11月'!AM4:AM34,$B33)+COUNTIF('11月'!AN4:AN34,$B33)+COUNTIF('11月'!AR4:AR34,$B33)+COUNTIF('11月'!AS4:AS34,$B33)+COUNTIF('11月'!AW4:AW34,$B33)+COUNTIF('11月'!AX4:AX34,$B33)+COUNTIF('11月'!BB4:BB34,$B33)+COUNTIF('11月'!BC4:BC34,$B33)+COUNTIF('11月'!BG4:BG34,$B33)+COUNTIF('11月'!BH4:BH34,$B33)+COUNTIF('11月'!BL4:BL34,$B33)+COUNTIF('11月'!BM4:BM34,$B33)+COUNTIF('11月'!BQ4:BQ34,$B33)+COUNTIF('11月'!BR4:BR34,$B33)+COUNTIF('11月'!BV4:BV34,$B33)+COUNTIF('11月'!BW4:BW34,$B33)+COUNTIF('11月'!CA4:CA34,$B33)+COUNTIF('11月'!CB4:CB34,$B33)+COUNTIF('11月'!CF4:CF34,$B33)+COUNTIF('11月'!CG4:CG34,$B33)+COUNTIF('11月'!CK4:CK34,$B33)+COUNTIF('11月'!CL4:CL34,$B33)+COUNTIF('11月'!CP4:CP34,$B33)+COUNTIF('11月'!CQ4:CQ34,$B33)+COUNTIF('11月'!CU4:CU34,$B33)+COUNTIF('11月'!CV4:CV34,$B33)+COUNTIF('11月'!CZ4:CZ34,$B33)+COUNTIF('11月'!DA4:DA34,$B33)+COUNTIF('11月'!DE4:DE34,$B33)+COUNTIF('11月'!DF4:DF34,$B33)+COUNTIF('11月'!DJ4:DJ34,$B33)+COUNTIF('11月'!DK4:DK34,$B33)+COUNTIF('11月'!DO4:DO34,$B33)+COUNTIF('11月'!DP4:DP34,$B33)+COUNTIF('11月'!DT4:DT34,$B33)+COUNTIF('11月'!DU4:DU34,$B33)+COUNTIF('11月'!DY4:DY34,$B33)+COUNTIF('11月'!DZ4:DZ34,$B33)+COUNTIF('11月'!ED4:ED34,$B33)+COUNTIF('11月'!EE4:EE34,$B33)+COUNTIF('11月'!EI4:EI34,$B33)+COUNTIF('11月'!EJ4:EJ34,$B33)+COUNTIF('11月'!EN4:EN34,$B33)+COUNTIF('11月'!EO4:EO34,$B33)+COUNTIF('11月'!ES4:ES34,$B33)+COUNTIF('11月'!ET4:ET34,$B33)),0)</f>
        <v>0</v>
      </c>
      <c r="N33" s="76">
        <f>IFERROR(IF($B33="","",COUNTIF('12月'!D4:D34,$B33)+COUNTIF('12月'!E4:E34,$B33)+COUNTIF('12月'!I4:I34,$B33)+COUNTIF('12月'!J4:J34,$B33)+COUNTIF('12月'!N4:N34,$B33)+COUNTIF('12月'!O4:O34,$B33)+COUNTIF('12月'!S4:S34,$B33)+COUNTIF('12月'!T4:T34,$B33)+COUNTIF('12月'!X4:X34,$B33)+COUNTIF('12月'!Y4:Y34,$B33)+COUNTIF('12月'!AC4:AC34,$B33)+COUNTIF('12月'!AD4:AD34,$B33)+COUNTIF('12月'!AH4:AH34,$B33)+COUNTIF('12月'!AI4:AI34,$B33)+COUNTIF('12月'!AM4:AM34,$B33)+COUNTIF('12月'!AN4:AN34,$B33)+COUNTIF('12月'!AR4:AR34,$B33)+COUNTIF('12月'!AS4:AS34,$B33)+COUNTIF('12月'!AW4:AW34,$B33)+COUNTIF('12月'!AX4:AX34,$B33)+COUNTIF('12月'!BB4:BB34,$B33)+COUNTIF('12月'!BC4:BC34,$B33)+COUNTIF('12月'!BG4:BG34,$B33)+COUNTIF('12月'!BH4:BH34,$B33)+COUNTIF('12月'!BL4:BL34,$B33)+COUNTIF('12月'!BM4:BM34,$B33)+COUNTIF('12月'!BQ4:BQ34,$B33)+COUNTIF('12月'!BR4:BR34,$B33)+COUNTIF('12月'!BV4:BV34,$B33)+COUNTIF('12月'!BW4:BW34,$B33)+COUNTIF('12月'!CA4:CA34,$B33)+COUNTIF('12月'!CB4:CB34,$B33)+COUNTIF('12月'!CF4:CF34,$B33)+COUNTIF('12月'!CG4:CG34,$B33)+COUNTIF('12月'!CK4:CK34,$B33)+COUNTIF('12月'!CL4:CL34,$B33)+COUNTIF('12月'!CP4:CP34,$B33)+COUNTIF('12月'!CQ4:CQ34,$B33)+COUNTIF('12月'!CU4:CU34,$B33)+COUNTIF('12月'!CV4:CV34,$B33)+COUNTIF('12月'!CZ4:CZ34,$B33)+COUNTIF('12月'!DA4:DA34,$B33)+COUNTIF('12月'!DE4:DE34,$B33)+COUNTIF('12月'!DF4:DF34,$B33)+COUNTIF('12月'!DJ4:DJ34,$B33)+COUNTIF('12月'!DK4:DK34,$B33)+COUNTIF('12月'!DO4:DO34,$B33)+COUNTIF('12月'!DP4:DP34,$B33)+COUNTIF('12月'!DT4:DT34,$B33)+COUNTIF('12月'!DU4:DU34,$B33)+COUNTIF('12月'!DY4:DY34,$B33)+COUNTIF('12月'!DZ4:DZ34,$B33)+COUNTIF('12月'!ED4:ED34,$B33)+COUNTIF('12月'!EE4:EE34,$B33)+COUNTIF('12月'!EI4:EI34,$B33)+COUNTIF('12月'!EJ4:EJ34,$B33)+COUNTIF('12月'!EN4:EN34,$B33)+COUNTIF('12月'!EO4:EO34,$B33)+COUNTIF('12月'!ES4:ES34,$B33)+COUNTIF('12月'!ET4:ET34,$B33)),0)</f>
        <v>0</v>
      </c>
      <c r="O33" s="78">
        <f t="shared" si="0"/>
        <v>0</v>
      </c>
    </row>
    <row r="34" spans="1:15" ht="19.5" customHeight="1">
      <c r="A34" s="76">
        <v>32</v>
      </c>
      <c r="B34" s="77">
        <f>IFERROR(現場マスタ!$C$35,"")</f>
        <v>0</v>
      </c>
      <c r="C34" s="76">
        <f>IFERROR(IF($B34="","",COUNTIF('1月'!D4:D34,$B34)+COUNTIF('1月'!E4:E34,$B34)+COUNTIF('1月'!I4:I34,$B34)+COUNTIF('1月'!J4:J34,$B34)+COUNTIF('1月'!N4:N34,$B34)+COUNTIF('1月'!O4:O34,$B34)+COUNTIF('1月'!S4:S34,$B34)+COUNTIF('1月'!T4:T34,$B34)+COUNTIF('1月'!X4:X34,$B34)+COUNTIF('1月'!Y4:Y34,$B34)+COUNTIF('1月'!AC4:AC34,$B34)+COUNTIF('1月'!AD4:AD34,$B34)+COUNTIF('1月'!AH4:AH34,$B34)+COUNTIF('1月'!AI4:AI34,$B34)+COUNTIF('1月'!AM4:AM34,$B34)+COUNTIF('1月'!AN4:AN34,$B34)+COUNTIF('1月'!AR4:AR34,$B34)+COUNTIF('1月'!AS4:AS34,$B34)+COUNTIF('1月'!AW4:AW34,$B34)+COUNTIF('1月'!AX4:AX34,$B34)+COUNTIF('1月'!BB4:BB34,$B34)+COUNTIF('1月'!BC4:BC34,$B34)+COUNTIF('1月'!BG4:BG34,$B34)+COUNTIF('1月'!BH4:BH34,$B34)+COUNTIF('1月'!BL4:BL34,$B34)+COUNTIF('1月'!BM4:BM34,$B34)+COUNTIF('1月'!BQ4:BQ34,$B34)+COUNTIF('1月'!BR4:BR34,$B34)+COUNTIF('1月'!BV4:BV34,$B34)+COUNTIF('1月'!BW4:BW34,$B34)+COUNTIF('1月'!CA4:CA34,$B34)+COUNTIF('1月'!CB4:CB34,$B34)+COUNTIF('1月'!CF4:CF34,$B34)+COUNTIF('1月'!CG4:CG34,$B34)+COUNTIF('1月'!CK4:CK34,$B34)+COUNTIF('1月'!CL4:CL34,$B34)+COUNTIF('1月'!CP4:CP34,$B34)+COUNTIF('1月'!CQ4:CQ34,$B34)+COUNTIF('1月'!CU4:CU34,$B34)+COUNTIF('1月'!CV4:CV34,$B34)+COUNTIF('1月'!CZ4:CZ34,$B34)+COUNTIF('1月'!DA4:DA34,$B34)+COUNTIF('1月'!DE4:DE34,$B34)+COUNTIF('1月'!DF4:DF34,$B34)+COUNTIF('1月'!DJ4:DJ34,$B34)+COUNTIF('1月'!DK4:DK34,$B34)+COUNTIF('1月'!DO4:DO34,$B34)+COUNTIF('1月'!DP4:DP34,$B34)+COUNTIF('1月'!DT4:DT34,$B34)+COUNTIF('1月'!DU4:DU34,$B34)+COUNTIF('1月'!DY4:DY34,$B34)+COUNTIF('1月'!DZ4:DZ34,$B34)+COUNTIF('1月'!ED4:ED34,$B34)+COUNTIF('1月'!EE4:EE34,$B34)+COUNTIF('1月'!EI4:EI34,$B34)+COUNTIF('1月'!EJ4:EJ34,$B34)+COUNTIF('1月'!EN4:EN34,$B34)+COUNTIF('1月'!EO4:EO34,$B34)+COUNTIF('1月'!ES4:ES34,$B34)+COUNTIF('1月'!ET4:ET34,$B34)),0)</f>
        <v>0</v>
      </c>
      <c r="D34" s="76">
        <f>IFERROR(IF($B34="","",COUNTIF('2月'!D4:D34,$B34)+COUNTIF('2月'!E4:E34,$B34)+COUNTIF('2月'!I4:I34,$B34)+COUNTIF('2月'!J4:J34,$B34)+COUNTIF('2月'!N4:N34,$B34)+COUNTIF('2月'!O4:O34,$B34)+COUNTIF('2月'!S4:S34,$B34)+COUNTIF('2月'!T4:T34,$B34)+COUNTIF('2月'!X4:X34,$B34)+COUNTIF('2月'!Y4:Y34,$B34)+COUNTIF('2月'!AC4:AC34,$B34)+COUNTIF('2月'!AD4:AD34,$B34)+COUNTIF('2月'!AH4:AH34,$B34)+COUNTIF('2月'!AI4:AI34,$B34)+COUNTIF('2月'!AM4:AM34,$B34)+COUNTIF('2月'!AN4:AN34,$B34)+COUNTIF('2月'!AR4:AR34,$B34)+COUNTIF('2月'!AS4:AS34,$B34)+COUNTIF('2月'!AW4:AW34,$B34)+COUNTIF('2月'!AX4:AX34,$B34)+COUNTIF('2月'!BB4:BB34,$B34)+COUNTIF('2月'!BC4:BC34,$B34)+COUNTIF('2月'!BG4:BG34,$B34)+COUNTIF('2月'!BH4:BH34,$B34)+COUNTIF('2月'!BL4:BL34,$B34)+COUNTIF('2月'!BM4:BM34,$B34)+COUNTIF('2月'!BQ4:BQ34,$B34)+COUNTIF('2月'!BR4:BR34,$B34)+COUNTIF('2月'!BV4:BV34,$B34)+COUNTIF('2月'!BW4:BW34,$B34)+COUNTIF('2月'!CA4:CA34,$B34)+COUNTIF('2月'!CB4:CB34,$B34)+COUNTIF('2月'!CF4:CF34,$B34)+COUNTIF('2月'!CG4:CG34,$B34)+COUNTIF('2月'!CK4:CK34,$B34)+COUNTIF('2月'!CL4:CL34,$B34)+COUNTIF('2月'!CP4:CP34,$B34)+COUNTIF('2月'!CQ4:CQ34,$B34)+COUNTIF('2月'!CU4:CU34,$B34)+COUNTIF('2月'!CV4:CV34,$B34)+COUNTIF('2月'!CZ4:CZ34,$B34)+COUNTIF('2月'!DA4:DA34,$B34)+COUNTIF('2月'!DE4:DE34,$B34)+COUNTIF('2月'!DF4:DF34,$B34)+COUNTIF('2月'!DJ4:DJ34,$B34)+COUNTIF('2月'!DK4:DK34,$B34)+COUNTIF('2月'!DO4:DO34,$B34)+COUNTIF('2月'!DP4:DP34,$B34)+COUNTIF('2月'!DT4:DT34,$B34)+COUNTIF('2月'!DU4:DU34,$B34)+COUNTIF('2月'!DY4:DY34,$B34)+COUNTIF('2月'!DZ4:DZ34,$B34)+COUNTIF('2月'!ED4:ED34,$B34)+COUNTIF('2月'!EE4:EE34,$B34)+COUNTIF('2月'!EI4:EI34,$B34)+COUNTIF('2月'!EJ4:EJ34,$B34)+COUNTIF('2月'!EN4:EN34,$B34)+COUNTIF('2月'!EO4:EO34,$B34)+COUNTIF('2月'!ES4:ES34,$B34)+COUNTIF('2月'!ET4:ET34,$B34)),0)</f>
        <v>0</v>
      </c>
      <c r="E34" s="76">
        <f>IFERROR(IF($B34="","",COUNTIF('3月'!D4:D34,$B34)+COUNTIF('3月'!E4:E34,$B34)+COUNTIF('3月'!I4:I34,$B34)+COUNTIF('3月'!J4:J34,$B34)+COUNTIF('3月'!N4:N34,$B34)+COUNTIF('3月'!O4:O34,$B34)+COUNTIF('3月'!S4:S34,$B34)+COUNTIF('3月'!T4:T34,$B34)+COUNTIF('3月'!X4:X34,$B34)+COUNTIF('3月'!Y4:Y34,$B34)+COUNTIF('3月'!AC4:AC34,$B34)+COUNTIF('3月'!AD4:AD34,$B34)+COUNTIF('3月'!AH4:AH34,$B34)+COUNTIF('3月'!AI4:AI34,$B34)+COUNTIF('3月'!AM4:AM34,$B34)+COUNTIF('3月'!AN4:AN34,$B34)+COUNTIF('3月'!AR4:AR34,$B34)+COUNTIF('3月'!AS4:AS34,$B34)+COUNTIF('3月'!AW4:AW34,$B34)+COUNTIF('3月'!AX4:AX34,$B34)+COUNTIF('3月'!BB4:BB34,$B34)+COUNTIF('3月'!BC4:BC34,$B34)+COUNTIF('3月'!BG4:BG34,$B34)+COUNTIF('3月'!BH4:BH34,$B34)+COUNTIF('3月'!BL4:BL34,$B34)+COUNTIF('3月'!BM4:BM34,$B34)+COUNTIF('3月'!BQ4:BQ34,$B34)+COUNTIF('3月'!BR4:BR34,$B34)+COUNTIF('3月'!BV4:BV34,$B34)+COUNTIF('3月'!BW4:BW34,$B34)+COUNTIF('3月'!CA4:CA34,$B34)+COUNTIF('3月'!CB4:CB34,$B34)+COUNTIF('3月'!CF4:CF34,$B34)+COUNTIF('3月'!CG4:CG34,$B34)+COUNTIF('3月'!CK4:CK34,$B34)+COUNTIF('3月'!CL4:CL34,$B34)+COUNTIF('3月'!CP4:CP34,$B34)+COUNTIF('3月'!CQ4:CQ34,$B34)+COUNTIF('3月'!CU4:CU34,$B34)+COUNTIF('3月'!CV4:CV34,$B34)+COUNTIF('3月'!CZ4:CZ34,$B34)+COUNTIF('3月'!DA4:DA34,$B34)+COUNTIF('3月'!DE4:DE34,$B34)+COUNTIF('3月'!DF4:DF34,$B34)+COUNTIF('3月'!DJ4:DJ34,$B34)+COUNTIF('3月'!DK4:DK34,$B34)+COUNTIF('3月'!DO4:DO34,$B34)+COUNTIF('3月'!DP4:DP34,$B34)+COUNTIF('3月'!DT4:DT34,$B34)+COUNTIF('3月'!DU4:DU34,$B34)+COUNTIF('3月'!DY4:DY34,$B34)+COUNTIF('3月'!DZ4:DZ34,$B34)+COUNTIF('3月'!ED4:ED34,$B34)+COUNTIF('3月'!EE4:EE34,$B34)+COUNTIF('3月'!EI4:EI34,$B34)+COUNTIF('3月'!EJ4:EJ34,$B34)+COUNTIF('3月'!EN4:EN34,$B34)+COUNTIF('3月'!EO4:EO34,$B34)+COUNTIF('3月'!ES4:ES34,$B34)+COUNTIF('3月'!ET4:ET34,$B34)),0)</f>
        <v>0</v>
      </c>
      <c r="F34" s="76">
        <f>IFERROR(IF($B34="","",COUNTIF('4月'!D4:D34,$B34)+COUNTIF('4月'!E4:E34,$B34)+COUNTIF('4月'!I4:I34,$B34)+COUNTIF('4月'!J4:J34,$B34)+COUNTIF('4月'!N4:N34,$B34)+COUNTIF('4月'!O4:O34,$B34)+COUNTIF('4月'!S4:S34,$B34)+COUNTIF('4月'!T4:T34,$B34)+COUNTIF('4月'!X4:X34,$B34)+COUNTIF('4月'!Y4:Y34,$B34)+COUNTIF('4月'!AC4:AC34,$B34)+COUNTIF('4月'!AD4:AD34,$B34)+COUNTIF('4月'!AH4:AH34,$B34)+COUNTIF('4月'!AI4:AI34,$B34)+COUNTIF('4月'!AM4:AM34,$B34)+COUNTIF('4月'!AN4:AN34,$B34)+COUNTIF('4月'!AR4:AR34,$B34)+COUNTIF('4月'!AS4:AS34,$B34)+COUNTIF('4月'!AW4:AW34,$B34)+COUNTIF('4月'!AX4:AX34,$B34)+COUNTIF('4月'!BB4:BB34,$B34)+COUNTIF('4月'!BC4:BC34,$B34)+COUNTIF('4月'!BG4:BG34,$B34)+COUNTIF('4月'!BH4:BH34,$B34)+COUNTIF('4月'!BL4:BL34,$B34)+COUNTIF('4月'!BM4:BM34,$B34)+COUNTIF('4月'!BQ4:BQ34,$B34)+COUNTIF('4月'!BR4:BR34,$B34)+COUNTIF('4月'!BV4:BV34,$B34)+COUNTIF('4月'!BW4:BW34,$B34)+COUNTIF('4月'!CA4:CA34,$B34)+COUNTIF('4月'!CB4:CB34,$B34)+COUNTIF('4月'!CF4:CF34,$B34)+COUNTIF('4月'!CG4:CG34,$B34)+COUNTIF('4月'!CK4:CK34,$B34)+COUNTIF('4月'!CL4:CL34,$B34)+COUNTIF('4月'!CP4:CP34,$B34)+COUNTIF('4月'!CQ4:CQ34,$B34)+COUNTIF('4月'!CU4:CU34,$B34)+COUNTIF('4月'!CV4:CV34,$B34)+COUNTIF('4月'!CZ4:CZ34,$B34)+COUNTIF('4月'!DA4:DA34,$B34)+COUNTIF('4月'!DE4:DE34,$B34)+COUNTIF('4月'!DF4:DF34,$B34)+COUNTIF('4月'!DJ4:DJ34,$B34)+COUNTIF('4月'!DK4:DK34,$B34)+COUNTIF('4月'!DO4:DO34,$B34)+COUNTIF('4月'!DP4:DP34,$B34)+COUNTIF('4月'!DT4:DT34,$B34)+COUNTIF('4月'!DU4:DU34,$B34)+COUNTIF('4月'!DY4:DY34,$B34)+COUNTIF('4月'!DZ4:DZ34,$B34)+COUNTIF('4月'!ED4:ED34,$B34)+COUNTIF('4月'!EE4:EE34,$B34)+COUNTIF('4月'!EI4:EI34,$B34)+COUNTIF('4月'!EJ4:EJ34,$B34)+COUNTIF('4月'!EN4:EN34,$B34)+COUNTIF('4月'!EO4:EO34,$B34)+COUNTIF('4月'!ES4:ES34,$B34)+COUNTIF('4月'!ET4:ET34,$B34)),0)</f>
        <v>0</v>
      </c>
      <c r="G34" s="76">
        <f>IFERROR(IF($B34="","",COUNTIF('5月'!D4:D34,$B34)+COUNTIF('5月'!E4:E34,$B34)+COUNTIF('5月'!I4:I34,$B34)+COUNTIF('5月'!J4:J34,$B34)+COUNTIF('5月'!N4:N34,$B34)+COUNTIF('5月'!O4:O34,$B34)+COUNTIF('5月'!S4:S34,$B34)+COUNTIF('5月'!T4:T34,$B34)+COUNTIF('5月'!X4:X34,$B34)+COUNTIF('5月'!Y4:Y34,$B34)+COUNTIF('5月'!AC4:AC34,$B34)+COUNTIF('5月'!AD4:AD34,$B34)+COUNTIF('5月'!AH4:AH34,$B34)+COUNTIF('5月'!AI4:AI34,$B34)+COUNTIF('5月'!AM4:AM34,$B34)+COUNTIF('5月'!AN4:AN34,$B34)+COUNTIF('5月'!AR4:AR34,$B34)+COUNTIF('5月'!AS4:AS34,$B34)+COUNTIF('5月'!AW4:AW34,$B34)+COUNTIF('5月'!AX4:AX34,$B34)+COUNTIF('5月'!BB4:BB34,$B34)+COUNTIF('5月'!BC4:BC34,$B34)+COUNTIF('5月'!BG4:BG34,$B34)+COUNTIF('5月'!BH4:BH34,$B34)+COUNTIF('5月'!BL4:BL34,$B34)+COUNTIF('5月'!BM4:BM34,$B34)+COUNTIF('5月'!BQ4:BQ34,$B34)+COUNTIF('5月'!BR4:BR34,$B34)+COUNTIF('5月'!BV4:BV34,$B34)+COUNTIF('5月'!BW4:BW34,$B34)+COUNTIF('5月'!CA4:CA34,$B34)+COUNTIF('5月'!CB4:CB34,$B34)+COUNTIF('5月'!CF4:CF34,$B34)+COUNTIF('5月'!CG4:CG34,$B34)+COUNTIF('5月'!CK4:CK34,$B34)+COUNTIF('5月'!CL4:CL34,$B34)+COUNTIF('5月'!CP4:CP34,$B34)+COUNTIF('5月'!CQ4:CQ34,$B34)+COUNTIF('5月'!CU4:CU34,$B34)+COUNTIF('5月'!CV4:CV34,$B34)+COUNTIF('5月'!CZ4:CZ34,$B34)+COUNTIF('5月'!DA4:DA34,$B34)+COUNTIF('5月'!DE4:DE34,$B34)+COUNTIF('5月'!DF4:DF34,$B34)+COUNTIF('5月'!DJ4:DJ34,$B34)+COUNTIF('5月'!DK4:DK34,$B34)+COUNTIF('5月'!DO4:DO34,$B34)+COUNTIF('5月'!DP4:DP34,$B34)+COUNTIF('5月'!DT4:DT34,$B34)+COUNTIF('5月'!DU4:DU34,$B34)+COUNTIF('5月'!DY4:DY34,$B34)+COUNTIF('5月'!DZ4:DZ34,$B34)+COUNTIF('5月'!ED4:ED34,$B34)+COUNTIF('5月'!EE4:EE34,$B34)+COUNTIF('5月'!EI4:EI34,$B34)+COUNTIF('5月'!EJ4:EJ34,$B34)+COUNTIF('5月'!EN4:EN34,$B34)+COUNTIF('5月'!EO4:EO34,$B34)+COUNTIF('5月'!ES4:ES34,$B34)+COUNTIF('5月'!ET4:ET34,$B34)),0)</f>
        <v>0</v>
      </c>
      <c r="H34" s="76">
        <f>IFERROR(IF($B34="","",COUNTIF('6月'!D4:D34,$B34)+COUNTIF('6月'!E4:E34,$B34)+COUNTIF('6月'!I4:I34,$B34)+COUNTIF('6月'!J4:J34,$B34)+COUNTIF('6月'!N4:N34,$B34)+COUNTIF('6月'!O4:O34,$B34)+COUNTIF('6月'!S4:S34,$B34)+COUNTIF('6月'!T4:T34,$B34)+COUNTIF('6月'!X4:X34,$B34)+COUNTIF('6月'!Y4:Y34,$B34)+COUNTIF('6月'!AC4:AC34,$B34)+COUNTIF('6月'!AD4:AD34,$B34)+COUNTIF('6月'!AH4:AH34,$B34)+COUNTIF('6月'!AI4:AI34,$B34)+COUNTIF('6月'!AM4:AM34,$B34)+COUNTIF('6月'!AN4:AN34,$B34)+COUNTIF('6月'!AR4:AR34,$B34)+COUNTIF('6月'!AS4:AS34,$B34)+COUNTIF('6月'!AW4:AW34,$B34)+COUNTIF('6月'!AX4:AX34,$B34)+COUNTIF('6月'!BB4:BB34,$B34)+COUNTIF('6月'!BC4:BC34,$B34)+COUNTIF('6月'!BG4:BG34,$B34)+COUNTIF('6月'!BH4:BH34,$B34)+COUNTIF('6月'!BL4:BL34,$B34)+COUNTIF('6月'!BM4:BM34,$B34)+COUNTIF('6月'!BQ4:BQ34,$B34)+COUNTIF('6月'!BR4:BR34,$B34)+COUNTIF('6月'!BV4:BV34,$B34)+COUNTIF('6月'!BW4:BW34,$B34)+COUNTIF('6月'!CA4:CA34,$B34)+COUNTIF('6月'!CB4:CB34,$B34)+COUNTIF('6月'!CF4:CF34,$B34)+COUNTIF('6月'!CG4:CG34,$B34)+COUNTIF('6月'!CK4:CK34,$B34)+COUNTIF('6月'!CL4:CL34,$B34)+COUNTIF('6月'!CP4:CP34,$B34)+COUNTIF('6月'!CQ4:CQ34,$B34)+COUNTIF('6月'!CU4:CU34,$B34)+COUNTIF('6月'!CV4:CV34,$B34)+COUNTIF('6月'!CZ4:CZ34,$B34)+COUNTIF('6月'!DA4:DA34,$B34)+COUNTIF('6月'!DE4:DE34,$B34)+COUNTIF('6月'!DF4:DF34,$B34)+COUNTIF('6月'!DJ4:DJ34,$B34)+COUNTIF('6月'!DK4:DK34,$B34)+COUNTIF('6月'!DO4:DO34,$B34)+COUNTIF('6月'!DP4:DP34,$B34)+COUNTIF('6月'!DT4:DT34,$B34)+COUNTIF('6月'!DU4:DU34,$B34)+COUNTIF('6月'!DY4:DY34,$B34)+COUNTIF('6月'!DZ4:DZ34,$B34)+COUNTIF('6月'!ED4:ED34,$B34)+COUNTIF('6月'!EE4:EE34,$B34)+COUNTIF('6月'!EI4:EI34,$B34)+COUNTIF('6月'!EJ4:EJ34,$B34)+COUNTIF('6月'!EN4:EN34,$B34)+COUNTIF('6月'!EO4:EO34,$B34)+COUNTIF('6月'!ES4:ES34,$B34)+COUNTIF('6月'!ET4:ET34,$B34)),0)</f>
        <v>0</v>
      </c>
      <c r="I34" s="76">
        <f>IFERROR(IF($B34="","",COUNTIF('7月'!D4:D34,$B34)+COUNTIF('7月'!E4:E34,$B34)+COUNTIF('7月'!I4:I34,$B34)+COUNTIF('7月'!J4:J34,$B34)+COUNTIF('7月'!N4:N34,$B34)+COUNTIF('7月'!O4:O34,$B34)+COUNTIF('7月'!S4:S34,$B34)+COUNTIF('7月'!T4:T34,$B34)+COUNTIF('7月'!X4:X34,$B34)+COUNTIF('7月'!Y4:Y34,$B34)+COUNTIF('7月'!AC4:AC34,$B34)+COUNTIF('7月'!AD4:AD34,$B34)+COUNTIF('7月'!AH4:AH34,$B34)+COUNTIF('7月'!AI4:AI34,$B34)+COUNTIF('7月'!AM4:AM34,$B34)+COUNTIF('7月'!AN4:AN34,$B34)+COUNTIF('7月'!AR4:AR34,$B34)+COUNTIF('7月'!AS4:AS34,$B34)+COUNTIF('7月'!AW4:AW34,$B34)+COUNTIF('7月'!AX4:AX34,$B34)+COUNTIF('7月'!BB4:BB34,$B34)+COUNTIF('7月'!BC4:BC34,$B34)+COUNTIF('7月'!BG4:BG34,$B34)+COUNTIF('7月'!BH4:BH34,$B34)+COUNTIF('7月'!BL4:BL34,$B34)+COUNTIF('7月'!BM4:BM34,$B34)+COUNTIF('7月'!BQ4:BQ34,$B34)+COUNTIF('7月'!BR4:BR34,$B34)+COUNTIF('7月'!BV4:BV34,$B34)+COUNTIF('7月'!BW4:BW34,$B34)+COUNTIF('7月'!CA4:CA34,$B34)+COUNTIF('7月'!CB4:CB34,$B34)+COUNTIF('7月'!CF4:CF34,$B34)+COUNTIF('7月'!CG4:CG34,$B34)+COUNTIF('7月'!CK4:CK34,$B34)+COUNTIF('7月'!CL4:CL34,$B34)+COUNTIF('7月'!CP4:CP34,$B34)+COUNTIF('7月'!CQ4:CQ34,$B34)+COUNTIF('7月'!CU4:CU34,$B34)+COUNTIF('7月'!CV4:CV34,$B34)+COUNTIF('7月'!CZ4:CZ34,$B34)+COUNTIF('7月'!DA4:DA34,$B34)+COUNTIF('7月'!DE4:DE34,$B34)+COUNTIF('7月'!DF4:DF34,$B34)+COUNTIF('7月'!DJ4:DJ34,$B34)+COUNTIF('7月'!DK4:DK34,$B34)+COUNTIF('7月'!DO4:DO34,$B34)+COUNTIF('7月'!DP4:DP34,$B34)+COUNTIF('7月'!DT4:DT34,$B34)+COUNTIF('7月'!DU4:DU34,$B34)+COUNTIF('7月'!DY4:DY34,$B34)+COUNTIF('7月'!DZ4:DZ34,$B34)+COUNTIF('7月'!ED4:ED34,$B34)+COUNTIF('7月'!EE4:EE34,$B34)+COUNTIF('7月'!EI4:EI34,$B34)+COUNTIF('7月'!EJ4:EJ34,$B34)+COUNTIF('7月'!EN4:EN34,$B34)+COUNTIF('7月'!EO4:EO34,$B34)+COUNTIF('7月'!ES4:ES34,$B34)+COUNTIF('7月'!ET4:ET34,$B34)),0)</f>
        <v>0</v>
      </c>
      <c r="J34" s="76">
        <f>IFERROR(IF($B34="","",COUNTIF('8月'!D4:D34,$B34)+COUNTIF('8月'!E4:E34,$B34)+COUNTIF('8月'!I4:I34,$B34)+COUNTIF('8月'!J4:J34,$B34)+COUNTIF('8月'!N4:N34,$B34)+COUNTIF('8月'!O4:O34,$B34)+COUNTIF('8月'!S4:S34,$B34)+COUNTIF('8月'!T4:T34,$B34)+COUNTIF('8月'!X4:X34,$B34)+COUNTIF('8月'!Y4:Y34,$B34)+COUNTIF('8月'!AC4:AC34,$B34)+COUNTIF('8月'!AD4:AD34,$B34)+COUNTIF('8月'!AH4:AH34,$B34)+COUNTIF('8月'!AI4:AI34,$B34)+COUNTIF('8月'!AM4:AM34,$B34)+COUNTIF('8月'!AN4:AN34,$B34)+COUNTIF('8月'!AR4:AR34,$B34)+COUNTIF('8月'!AS4:AS34,$B34)+COUNTIF('8月'!AW4:AW34,$B34)+COUNTIF('8月'!AX4:AX34,$B34)+COUNTIF('8月'!BB4:BB34,$B34)+COUNTIF('8月'!BC4:BC34,$B34)+COUNTIF('8月'!BG4:BG34,$B34)+COUNTIF('8月'!BH4:BH34,$B34)+COUNTIF('8月'!BL4:BL34,$B34)+COUNTIF('8月'!BM4:BM34,$B34)+COUNTIF('8月'!BQ4:BQ34,$B34)+COUNTIF('8月'!BR4:BR34,$B34)+COUNTIF('8月'!BV4:BV34,$B34)+COUNTIF('8月'!BW4:BW34,$B34)+COUNTIF('8月'!CA4:CA34,$B34)+COUNTIF('8月'!CB4:CB34,$B34)+COUNTIF('8月'!CF4:CF34,$B34)+COUNTIF('8月'!CG4:CG34,$B34)+COUNTIF('8月'!CK4:CK34,$B34)+COUNTIF('8月'!CL4:CL34,$B34)+COUNTIF('8月'!CP4:CP34,$B34)+COUNTIF('8月'!CQ4:CQ34,$B34)+COUNTIF('8月'!CU4:CU34,$B34)+COUNTIF('8月'!CV4:CV34,$B34)+COUNTIF('8月'!CZ4:CZ34,$B34)+COUNTIF('8月'!DA4:DA34,$B34)+COUNTIF('8月'!DE4:DE34,$B34)+COUNTIF('8月'!DF4:DF34,$B34)+COUNTIF('8月'!DJ4:DJ34,$B34)+COUNTIF('8月'!DK4:DK34,$B34)+COUNTIF('8月'!DO4:DO34,$B34)+COUNTIF('8月'!DP4:DP34,$B34)+COUNTIF('8月'!DT4:DT34,$B34)+COUNTIF('8月'!DU4:DU34,$B34)+COUNTIF('8月'!DY4:DY34,$B34)+COUNTIF('8月'!DZ4:DZ34,$B34)+COUNTIF('8月'!ED4:ED34,$B34)+COUNTIF('8月'!EE4:EE34,$B34)+COUNTIF('8月'!EI4:EI34,$B34)+COUNTIF('8月'!EJ4:EJ34,$B34)+COUNTIF('8月'!EN4:EN34,$B34)+COUNTIF('8月'!EO4:EO34,$B34)+COUNTIF('8月'!ES4:ES34,$B34)+COUNTIF('8月'!ET4:ET34,$B34)),0)</f>
        <v>0</v>
      </c>
      <c r="K34" s="76">
        <f>IFERROR(IF($B34="","",COUNTIF('9月'!D4:D34,$B34)+COUNTIF('9月'!E4:E34,$B34)+COUNTIF('9月'!I4:I34,$B34)+COUNTIF('9月'!J4:J34,$B34)+COUNTIF('9月'!N4:N34,$B34)+COUNTIF('9月'!O4:O34,$B34)+COUNTIF('9月'!S4:S34,$B34)+COUNTIF('9月'!T4:T34,$B34)+COUNTIF('9月'!X4:X34,$B34)+COUNTIF('9月'!Y4:Y34,$B34)+COUNTIF('9月'!AC4:AC34,$B34)+COUNTIF('9月'!AD4:AD34,$B34)+COUNTIF('9月'!AH4:AH34,$B34)+COUNTIF('9月'!AI4:AI34,$B34)+COUNTIF('9月'!AM4:AM34,$B34)+COUNTIF('9月'!AN4:AN34,$B34)+COUNTIF('9月'!AR4:AR34,$B34)+COUNTIF('9月'!AS4:AS34,$B34)+COUNTIF('9月'!AW4:AW34,$B34)+COUNTIF('9月'!AX4:AX34,$B34)+COUNTIF('9月'!BB4:BB34,$B34)+COUNTIF('9月'!BC4:BC34,$B34)+COUNTIF('9月'!BG4:BG34,$B34)+COUNTIF('9月'!BH4:BH34,$B34)+COUNTIF('9月'!BL4:BL34,$B34)+COUNTIF('9月'!BM4:BM34,$B34)+COUNTIF('9月'!BQ4:BQ34,$B34)+COUNTIF('9月'!BR4:BR34,$B34)+COUNTIF('9月'!BV4:BV34,$B34)+COUNTIF('9月'!BW4:BW34,$B34)+COUNTIF('9月'!CA4:CA34,$B34)+COUNTIF('9月'!CB4:CB34,$B34)+COUNTIF('9月'!CF4:CF34,$B34)+COUNTIF('9月'!CG4:CG34,$B34)+COUNTIF('9月'!CK4:CK34,$B34)+COUNTIF('9月'!CL4:CL34,$B34)+COUNTIF('9月'!CP4:CP34,$B34)+COUNTIF('9月'!CQ4:CQ34,$B34)+COUNTIF('9月'!CU4:CU34,$B34)+COUNTIF('9月'!CV4:CV34,$B34)+COUNTIF('9月'!CZ4:CZ34,$B34)+COUNTIF('9月'!DA4:DA34,$B34)+COUNTIF('9月'!DE4:DE34,$B34)+COUNTIF('9月'!DF4:DF34,$B34)+COUNTIF('9月'!DJ4:DJ34,$B34)+COUNTIF('9月'!DK4:DK34,$B34)+COUNTIF('9月'!DO4:DO34,$B34)+COUNTIF('9月'!DP4:DP34,$B34)+COUNTIF('9月'!DT4:DT34,$B34)+COUNTIF('9月'!DU4:DU34,$B34)+COUNTIF('9月'!DY4:DY34,$B34)+COUNTIF('9月'!DZ4:DZ34,$B34)+COUNTIF('9月'!ED4:ED34,$B34)+COUNTIF('9月'!EE4:EE34,$B34)+COUNTIF('9月'!EI4:EI34,$B34)+COUNTIF('9月'!EJ4:EJ34,$B34)+COUNTIF('9月'!EN4:EN34,$B34)+COUNTIF('9月'!EO4:EO34,$B34)+COUNTIF('9月'!ES4:ES34,$B34)+COUNTIF('9月'!ET4:ET34,$B34)),0)</f>
        <v>0</v>
      </c>
      <c r="L34" s="76">
        <f>IFERROR(IF($B34="","",COUNTIF('10月'!D4:D34,$B34)+COUNTIF('10月'!E4:E34,$B34)+COUNTIF('10月'!I4:I34,$B34)+COUNTIF('10月'!J4:J34,$B34)+COUNTIF('10月'!N4:N34,$B34)+COUNTIF('10月'!O4:O34,$B34)+COUNTIF('10月'!S4:S34,$B34)+COUNTIF('10月'!T4:T34,$B34)+COUNTIF('10月'!X4:X34,$B34)+COUNTIF('10月'!Y4:Y34,$B34)+COUNTIF('10月'!AC4:AC34,$B34)+COUNTIF('10月'!AD4:AD34,$B34)+COUNTIF('10月'!AH4:AH34,$B34)+COUNTIF('10月'!AI4:AI34,$B34)+COUNTIF('10月'!AM4:AM34,$B34)+COUNTIF('10月'!AN4:AN34,$B34)+COUNTIF('10月'!AR4:AR34,$B34)+COUNTIF('10月'!AS4:AS34,$B34)+COUNTIF('10月'!AW4:AW34,$B34)+COUNTIF('10月'!AX4:AX34,$B34)+COUNTIF('10月'!BB4:BB34,$B34)+COUNTIF('10月'!BC4:BC34,$B34)+COUNTIF('10月'!BG4:BG34,$B34)+COUNTIF('10月'!BH4:BH34,$B34)+COUNTIF('10月'!BL4:BL34,$B34)+COUNTIF('10月'!BM4:BM34,$B34)+COUNTIF('10月'!BQ4:BQ34,$B34)+COUNTIF('10月'!BR4:BR34,$B34)+COUNTIF('10月'!BV4:BV34,$B34)+COUNTIF('10月'!BW4:BW34,$B34)+COUNTIF('10月'!CA4:CA34,$B34)+COUNTIF('10月'!CB4:CB34,$B34)+COUNTIF('10月'!CF4:CF34,$B34)+COUNTIF('10月'!CG4:CG34,$B34)+COUNTIF('10月'!CK4:CK34,$B34)+COUNTIF('10月'!CL4:CL34,$B34)+COUNTIF('10月'!CP4:CP34,$B34)+COUNTIF('10月'!CQ4:CQ34,$B34)+COUNTIF('10月'!CU4:CU34,$B34)+COUNTIF('10月'!CV4:CV34,$B34)+COUNTIF('10月'!CZ4:CZ34,$B34)+COUNTIF('10月'!DA4:DA34,$B34)+COUNTIF('10月'!DE4:DE34,$B34)+COUNTIF('10月'!DF4:DF34,$B34)+COUNTIF('10月'!DJ4:DJ34,$B34)+COUNTIF('10月'!DK4:DK34,$B34)+COUNTIF('10月'!DO4:DO34,$B34)+COUNTIF('10月'!DP4:DP34,$B34)+COUNTIF('10月'!DT4:DT34,$B34)+COUNTIF('10月'!DU4:DU34,$B34)+COUNTIF('10月'!DY4:DY34,$B34)+COUNTIF('10月'!DZ4:DZ34,$B34)+COUNTIF('10月'!ED4:ED34,$B34)+COUNTIF('10月'!EE4:EE34,$B34)+COUNTIF('10月'!EI4:EI34,$B34)+COUNTIF('10月'!EJ4:EJ34,$B34)+COUNTIF('10月'!EN4:EN34,$B34)+COUNTIF('10月'!EO4:EO34,$B34)+COUNTIF('10月'!ES4:ES34,$B34)+COUNTIF('10月'!ET4:ET34,$B34)),0)</f>
        <v>0</v>
      </c>
      <c r="M34" s="76">
        <f>IFERROR(IF($B34="","",COUNTIF('11月'!D4:D34,$B34)+COUNTIF('11月'!E4:E34,$B34)+COUNTIF('11月'!I4:I34,$B34)+COUNTIF('11月'!J4:J34,$B34)+COUNTIF('11月'!N4:N34,$B34)+COUNTIF('11月'!O4:O34,$B34)+COUNTIF('11月'!S4:S34,$B34)+COUNTIF('11月'!T4:T34,$B34)+COUNTIF('11月'!X4:X34,$B34)+COUNTIF('11月'!Y4:Y34,$B34)+COUNTIF('11月'!AC4:AC34,$B34)+COUNTIF('11月'!AD4:AD34,$B34)+COUNTIF('11月'!AH4:AH34,$B34)+COUNTIF('11月'!AI4:AI34,$B34)+COUNTIF('11月'!AM4:AM34,$B34)+COUNTIF('11月'!AN4:AN34,$B34)+COUNTIF('11月'!AR4:AR34,$B34)+COUNTIF('11月'!AS4:AS34,$B34)+COUNTIF('11月'!AW4:AW34,$B34)+COUNTIF('11月'!AX4:AX34,$B34)+COUNTIF('11月'!BB4:BB34,$B34)+COUNTIF('11月'!BC4:BC34,$B34)+COUNTIF('11月'!BG4:BG34,$B34)+COUNTIF('11月'!BH4:BH34,$B34)+COUNTIF('11月'!BL4:BL34,$B34)+COUNTIF('11月'!BM4:BM34,$B34)+COUNTIF('11月'!BQ4:BQ34,$B34)+COUNTIF('11月'!BR4:BR34,$B34)+COUNTIF('11月'!BV4:BV34,$B34)+COUNTIF('11月'!BW4:BW34,$B34)+COUNTIF('11月'!CA4:CA34,$B34)+COUNTIF('11月'!CB4:CB34,$B34)+COUNTIF('11月'!CF4:CF34,$B34)+COUNTIF('11月'!CG4:CG34,$B34)+COUNTIF('11月'!CK4:CK34,$B34)+COUNTIF('11月'!CL4:CL34,$B34)+COUNTIF('11月'!CP4:CP34,$B34)+COUNTIF('11月'!CQ4:CQ34,$B34)+COUNTIF('11月'!CU4:CU34,$B34)+COUNTIF('11月'!CV4:CV34,$B34)+COUNTIF('11月'!CZ4:CZ34,$B34)+COUNTIF('11月'!DA4:DA34,$B34)+COUNTIF('11月'!DE4:DE34,$B34)+COUNTIF('11月'!DF4:DF34,$B34)+COUNTIF('11月'!DJ4:DJ34,$B34)+COUNTIF('11月'!DK4:DK34,$B34)+COUNTIF('11月'!DO4:DO34,$B34)+COUNTIF('11月'!DP4:DP34,$B34)+COUNTIF('11月'!DT4:DT34,$B34)+COUNTIF('11月'!DU4:DU34,$B34)+COUNTIF('11月'!DY4:DY34,$B34)+COUNTIF('11月'!DZ4:DZ34,$B34)+COUNTIF('11月'!ED4:ED34,$B34)+COUNTIF('11月'!EE4:EE34,$B34)+COUNTIF('11月'!EI4:EI34,$B34)+COUNTIF('11月'!EJ4:EJ34,$B34)+COUNTIF('11月'!EN4:EN34,$B34)+COUNTIF('11月'!EO4:EO34,$B34)+COUNTIF('11月'!ES4:ES34,$B34)+COUNTIF('11月'!ET4:ET34,$B34)),0)</f>
        <v>0</v>
      </c>
      <c r="N34" s="76">
        <f>IFERROR(IF($B34="","",COUNTIF('12月'!D4:D34,$B34)+COUNTIF('12月'!E4:E34,$B34)+COUNTIF('12月'!I4:I34,$B34)+COUNTIF('12月'!J4:J34,$B34)+COUNTIF('12月'!N4:N34,$B34)+COUNTIF('12月'!O4:O34,$B34)+COUNTIF('12月'!S4:S34,$B34)+COUNTIF('12月'!T4:T34,$B34)+COUNTIF('12月'!X4:X34,$B34)+COUNTIF('12月'!Y4:Y34,$B34)+COUNTIF('12月'!AC4:AC34,$B34)+COUNTIF('12月'!AD4:AD34,$B34)+COUNTIF('12月'!AH4:AH34,$B34)+COUNTIF('12月'!AI4:AI34,$B34)+COUNTIF('12月'!AM4:AM34,$B34)+COUNTIF('12月'!AN4:AN34,$B34)+COUNTIF('12月'!AR4:AR34,$B34)+COUNTIF('12月'!AS4:AS34,$B34)+COUNTIF('12月'!AW4:AW34,$B34)+COUNTIF('12月'!AX4:AX34,$B34)+COUNTIF('12月'!BB4:BB34,$B34)+COUNTIF('12月'!BC4:BC34,$B34)+COUNTIF('12月'!BG4:BG34,$B34)+COUNTIF('12月'!BH4:BH34,$B34)+COUNTIF('12月'!BL4:BL34,$B34)+COUNTIF('12月'!BM4:BM34,$B34)+COUNTIF('12月'!BQ4:BQ34,$B34)+COUNTIF('12月'!BR4:BR34,$B34)+COUNTIF('12月'!BV4:BV34,$B34)+COUNTIF('12月'!BW4:BW34,$B34)+COUNTIF('12月'!CA4:CA34,$B34)+COUNTIF('12月'!CB4:CB34,$B34)+COUNTIF('12月'!CF4:CF34,$B34)+COUNTIF('12月'!CG4:CG34,$B34)+COUNTIF('12月'!CK4:CK34,$B34)+COUNTIF('12月'!CL4:CL34,$B34)+COUNTIF('12月'!CP4:CP34,$B34)+COUNTIF('12月'!CQ4:CQ34,$B34)+COUNTIF('12月'!CU4:CU34,$B34)+COUNTIF('12月'!CV4:CV34,$B34)+COUNTIF('12月'!CZ4:CZ34,$B34)+COUNTIF('12月'!DA4:DA34,$B34)+COUNTIF('12月'!DE4:DE34,$B34)+COUNTIF('12月'!DF4:DF34,$B34)+COUNTIF('12月'!DJ4:DJ34,$B34)+COUNTIF('12月'!DK4:DK34,$B34)+COUNTIF('12月'!DO4:DO34,$B34)+COUNTIF('12月'!DP4:DP34,$B34)+COUNTIF('12月'!DT4:DT34,$B34)+COUNTIF('12月'!DU4:DU34,$B34)+COUNTIF('12月'!DY4:DY34,$B34)+COUNTIF('12月'!DZ4:DZ34,$B34)+COUNTIF('12月'!ED4:ED34,$B34)+COUNTIF('12月'!EE4:EE34,$B34)+COUNTIF('12月'!EI4:EI34,$B34)+COUNTIF('12月'!EJ4:EJ34,$B34)+COUNTIF('12月'!EN4:EN34,$B34)+COUNTIF('12月'!EO4:EO34,$B34)+COUNTIF('12月'!ES4:ES34,$B34)+COUNTIF('12月'!ET4:ET34,$B34)),0)</f>
        <v>0</v>
      </c>
      <c r="O34" s="78">
        <f t="shared" si="0"/>
        <v>0</v>
      </c>
    </row>
    <row r="35" spans="1:15" ht="19.5" customHeight="1">
      <c r="A35" s="76">
        <v>33</v>
      </c>
      <c r="B35" s="77">
        <f>IFERROR(現場マスタ!$C$36,"")</f>
        <v>0</v>
      </c>
      <c r="C35" s="76">
        <f>IFERROR(IF($B35="","",COUNTIF('1月'!D4:D34,$B35)+COUNTIF('1月'!E4:E34,$B35)+COUNTIF('1月'!I4:I34,$B35)+COUNTIF('1月'!J4:J34,$B35)+COUNTIF('1月'!N4:N34,$B35)+COUNTIF('1月'!O4:O34,$B35)+COUNTIF('1月'!S4:S34,$B35)+COUNTIF('1月'!T4:T34,$B35)+COUNTIF('1月'!X4:X34,$B35)+COUNTIF('1月'!Y4:Y34,$B35)+COUNTIF('1月'!AC4:AC34,$B35)+COUNTIF('1月'!AD4:AD34,$B35)+COUNTIF('1月'!AH4:AH34,$B35)+COUNTIF('1月'!AI4:AI34,$B35)+COUNTIF('1月'!AM4:AM34,$B35)+COUNTIF('1月'!AN4:AN34,$B35)+COUNTIF('1月'!AR4:AR34,$B35)+COUNTIF('1月'!AS4:AS34,$B35)+COUNTIF('1月'!AW4:AW34,$B35)+COUNTIF('1月'!AX4:AX34,$B35)+COUNTIF('1月'!BB4:BB34,$B35)+COUNTIF('1月'!BC4:BC34,$B35)+COUNTIF('1月'!BG4:BG34,$B35)+COUNTIF('1月'!BH4:BH34,$B35)+COUNTIF('1月'!BL4:BL34,$B35)+COUNTIF('1月'!BM4:BM34,$B35)+COUNTIF('1月'!BQ4:BQ34,$B35)+COUNTIF('1月'!BR4:BR34,$B35)+COUNTIF('1月'!BV4:BV34,$B35)+COUNTIF('1月'!BW4:BW34,$B35)+COUNTIF('1月'!CA4:CA34,$B35)+COUNTIF('1月'!CB4:CB34,$B35)+COUNTIF('1月'!CF4:CF34,$B35)+COUNTIF('1月'!CG4:CG34,$B35)+COUNTIF('1月'!CK4:CK34,$B35)+COUNTIF('1月'!CL4:CL34,$B35)+COUNTIF('1月'!CP4:CP34,$B35)+COUNTIF('1月'!CQ4:CQ34,$B35)+COUNTIF('1月'!CU4:CU34,$B35)+COUNTIF('1月'!CV4:CV34,$B35)+COUNTIF('1月'!CZ4:CZ34,$B35)+COUNTIF('1月'!DA4:DA34,$B35)+COUNTIF('1月'!DE4:DE34,$B35)+COUNTIF('1月'!DF4:DF34,$B35)+COUNTIF('1月'!DJ4:DJ34,$B35)+COUNTIF('1月'!DK4:DK34,$B35)+COUNTIF('1月'!DO4:DO34,$B35)+COUNTIF('1月'!DP4:DP34,$B35)+COUNTIF('1月'!DT4:DT34,$B35)+COUNTIF('1月'!DU4:DU34,$B35)+COUNTIF('1月'!DY4:DY34,$B35)+COUNTIF('1月'!DZ4:DZ34,$B35)+COUNTIF('1月'!ED4:ED34,$B35)+COUNTIF('1月'!EE4:EE34,$B35)+COUNTIF('1月'!EI4:EI34,$B35)+COUNTIF('1月'!EJ4:EJ34,$B35)+COUNTIF('1月'!EN4:EN34,$B35)+COUNTIF('1月'!EO4:EO34,$B35)+COUNTIF('1月'!ES4:ES34,$B35)+COUNTIF('1月'!ET4:ET34,$B35)),0)</f>
        <v>0</v>
      </c>
      <c r="D35" s="76">
        <f>IFERROR(IF($B35="","",COUNTIF('2月'!D4:D34,$B35)+COUNTIF('2月'!E4:E34,$B35)+COUNTIF('2月'!I4:I34,$B35)+COUNTIF('2月'!J4:J34,$B35)+COUNTIF('2月'!N4:N34,$B35)+COUNTIF('2月'!O4:O34,$B35)+COUNTIF('2月'!S4:S34,$B35)+COUNTIF('2月'!T4:T34,$B35)+COUNTIF('2月'!X4:X34,$B35)+COUNTIF('2月'!Y4:Y34,$B35)+COUNTIF('2月'!AC4:AC34,$B35)+COUNTIF('2月'!AD4:AD34,$B35)+COUNTIF('2月'!AH4:AH34,$B35)+COUNTIF('2月'!AI4:AI34,$B35)+COUNTIF('2月'!AM4:AM34,$B35)+COUNTIF('2月'!AN4:AN34,$B35)+COUNTIF('2月'!AR4:AR34,$B35)+COUNTIF('2月'!AS4:AS34,$B35)+COUNTIF('2月'!AW4:AW34,$B35)+COUNTIF('2月'!AX4:AX34,$B35)+COUNTIF('2月'!BB4:BB34,$B35)+COUNTIF('2月'!BC4:BC34,$B35)+COUNTIF('2月'!BG4:BG34,$B35)+COUNTIF('2月'!BH4:BH34,$B35)+COUNTIF('2月'!BL4:BL34,$B35)+COUNTIF('2月'!BM4:BM34,$B35)+COUNTIF('2月'!BQ4:BQ34,$B35)+COUNTIF('2月'!BR4:BR34,$B35)+COUNTIF('2月'!BV4:BV34,$B35)+COUNTIF('2月'!BW4:BW34,$B35)+COUNTIF('2月'!CA4:CA34,$B35)+COUNTIF('2月'!CB4:CB34,$B35)+COUNTIF('2月'!CF4:CF34,$B35)+COUNTIF('2月'!CG4:CG34,$B35)+COUNTIF('2月'!CK4:CK34,$B35)+COUNTIF('2月'!CL4:CL34,$B35)+COUNTIF('2月'!CP4:CP34,$B35)+COUNTIF('2月'!CQ4:CQ34,$B35)+COUNTIF('2月'!CU4:CU34,$B35)+COUNTIF('2月'!CV4:CV34,$B35)+COUNTIF('2月'!CZ4:CZ34,$B35)+COUNTIF('2月'!DA4:DA34,$B35)+COUNTIF('2月'!DE4:DE34,$B35)+COUNTIF('2月'!DF4:DF34,$B35)+COUNTIF('2月'!DJ4:DJ34,$B35)+COUNTIF('2月'!DK4:DK34,$B35)+COUNTIF('2月'!DO4:DO34,$B35)+COUNTIF('2月'!DP4:DP34,$B35)+COUNTIF('2月'!DT4:DT34,$B35)+COUNTIF('2月'!DU4:DU34,$B35)+COUNTIF('2月'!DY4:DY34,$B35)+COUNTIF('2月'!DZ4:DZ34,$B35)+COUNTIF('2月'!ED4:ED34,$B35)+COUNTIF('2月'!EE4:EE34,$B35)+COUNTIF('2月'!EI4:EI34,$B35)+COUNTIF('2月'!EJ4:EJ34,$B35)+COUNTIF('2月'!EN4:EN34,$B35)+COUNTIF('2月'!EO4:EO34,$B35)+COUNTIF('2月'!ES4:ES34,$B35)+COUNTIF('2月'!ET4:ET34,$B35)),0)</f>
        <v>0</v>
      </c>
      <c r="E35" s="76">
        <f>IFERROR(IF($B35="","",COUNTIF('3月'!D4:D34,$B35)+COUNTIF('3月'!E4:E34,$B35)+COUNTIF('3月'!I4:I34,$B35)+COUNTIF('3月'!J4:J34,$B35)+COUNTIF('3月'!N4:N34,$B35)+COUNTIF('3月'!O4:O34,$B35)+COUNTIF('3月'!S4:S34,$B35)+COUNTIF('3月'!T4:T34,$B35)+COUNTIF('3月'!X4:X34,$B35)+COUNTIF('3月'!Y4:Y34,$B35)+COUNTIF('3月'!AC4:AC34,$B35)+COUNTIF('3月'!AD4:AD34,$B35)+COUNTIF('3月'!AH4:AH34,$B35)+COUNTIF('3月'!AI4:AI34,$B35)+COUNTIF('3月'!AM4:AM34,$B35)+COUNTIF('3月'!AN4:AN34,$B35)+COUNTIF('3月'!AR4:AR34,$B35)+COUNTIF('3月'!AS4:AS34,$B35)+COUNTIF('3月'!AW4:AW34,$B35)+COUNTIF('3月'!AX4:AX34,$B35)+COUNTIF('3月'!BB4:BB34,$B35)+COUNTIF('3月'!BC4:BC34,$B35)+COUNTIF('3月'!BG4:BG34,$B35)+COUNTIF('3月'!BH4:BH34,$B35)+COUNTIF('3月'!BL4:BL34,$B35)+COUNTIF('3月'!BM4:BM34,$B35)+COUNTIF('3月'!BQ4:BQ34,$B35)+COUNTIF('3月'!BR4:BR34,$B35)+COUNTIF('3月'!BV4:BV34,$B35)+COUNTIF('3月'!BW4:BW34,$B35)+COUNTIF('3月'!CA4:CA34,$B35)+COUNTIF('3月'!CB4:CB34,$B35)+COUNTIF('3月'!CF4:CF34,$B35)+COUNTIF('3月'!CG4:CG34,$B35)+COUNTIF('3月'!CK4:CK34,$B35)+COUNTIF('3月'!CL4:CL34,$B35)+COUNTIF('3月'!CP4:CP34,$B35)+COUNTIF('3月'!CQ4:CQ34,$B35)+COUNTIF('3月'!CU4:CU34,$B35)+COUNTIF('3月'!CV4:CV34,$B35)+COUNTIF('3月'!CZ4:CZ34,$B35)+COUNTIF('3月'!DA4:DA34,$B35)+COUNTIF('3月'!DE4:DE34,$B35)+COUNTIF('3月'!DF4:DF34,$B35)+COUNTIF('3月'!DJ4:DJ34,$B35)+COUNTIF('3月'!DK4:DK34,$B35)+COUNTIF('3月'!DO4:DO34,$B35)+COUNTIF('3月'!DP4:DP34,$B35)+COUNTIF('3月'!DT4:DT34,$B35)+COUNTIF('3月'!DU4:DU34,$B35)+COUNTIF('3月'!DY4:DY34,$B35)+COUNTIF('3月'!DZ4:DZ34,$B35)+COUNTIF('3月'!ED4:ED34,$B35)+COUNTIF('3月'!EE4:EE34,$B35)+COUNTIF('3月'!EI4:EI34,$B35)+COUNTIF('3月'!EJ4:EJ34,$B35)+COUNTIF('3月'!EN4:EN34,$B35)+COUNTIF('3月'!EO4:EO34,$B35)+COUNTIF('3月'!ES4:ES34,$B35)+COUNTIF('3月'!ET4:ET34,$B35)),0)</f>
        <v>0</v>
      </c>
      <c r="F35" s="76">
        <f>IFERROR(IF($B35="","",COUNTIF('4月'!D4:D34,$B35)+COUNTIF('4月'!E4:E34,$B35)+COUNTIF('4月'!I4:I34,$B35)+COUNTIF('4月'!J4:J34,$B35)+COUNTIF('4月'!N4:N34,$B35)+COUNTIF('4月'!O4:O34,$B35)+COUNTIF('4月'!S4:S34,$B35)+COUNTIF('4月'!T4:T34,$B35)+COUNTIF('4月'!X4:X34,$B35)+COUNTIF('4月'!Y4:Y34,$B35)+COUNTIF('4月'!AC4:AC34,$B35)+COUNTIF('4月'!AD4:AD34,$B35)+COUNTIF('4月'!AH4:AH34,$B35)+COUNTIF('4月'!AI4:AI34,$B35)+COUNTIF('4月'!AM4:AM34,$B35)+COUNTIF('4月'!AN4:AN34,$B35)+COUNTIF('4月'!AR4:AR34,$B35)+COUNTIF('4月'!AS4:AS34,$B35)+COUNTIF('4月'!AW4:AW34,$B35)+COUNTIF('4月'!AX4:AX34,$B35)+COUNTIF('4月'!BB4:BB34,$B35)+COUNTIF('4月'!BC4:BC34,$B35)+COUNTIF('4月'!BG4:BG34,$B35)+COUNTIF('4月'!BH4:BH34,$B35)+COUNTIF('4月'!BL4:BL34,$B35)+COUNTIF('4月'!BM4:BM34,$B35)+COUNTIF('4月'!BQ4:BQ34,$B35)+COUNTIF('4月'!BR4:BR34,$B35)+COUNTIF('4月'!BV4:BV34,$B35)+COUNTIF('4月'!BW4:BW34,$B35)+COUNTIF('4月'!CA4:CA34,$B35)+COUNTIF('4月'!CB4:CB34,$B35)+COUNTIF('4月'!CF4:CF34,$B35)+COUNTIF('4月'!CG4:CG34,$B35)+COUNTIF('4月'!CK4:CK34,$B35)+COUNTIF('4月'!CL4:CL34,$B35)+COUNTIF('4月'!CP4:CP34,$B35)+COUNTIF('4月'!CQ4:CQ34,$B35)+COUNTIF('4月'!CU4:CU34,$B35)+COUNTIF('4月'!CV4:CV34,$B35)+COUNTIF('4月'!CZ4:CZ34,$B35)+COUNTIF('4月'!DA4:DA34,$B35)+COUNTIF('4月'!DE4:DE34,$B35)+COUNTIF('4月'!DF4:DF34,$B35)+COUNTIF('4月'!DJ4:DJ34,$B35)+COUNTIF('4月'!DK4:DK34,$B35)+COUNTIF('4月'!DO4:DO34,$B35)+COUNTIF('4月'!DP4:DP34,$B35)+COUNTIF('4月'!DT4:DT34,$B35)+COUNTIF('4月'!DU4:DU34,$B35)+COUNTIF('4月'!DY4:DY34,$B35)+COUNTIF('4月'!DZ4:DZ34,$B35)+COUNTIF('4月'!ED4:ED34,$B35)+COUNTIF('4月'!EE4:EE34,$B35)+COUNTIF('4月'!EI4:EI34,$B35)+COUNTIF('4月'!EJ4:EJ34,$B35)+COUNTIF('4月'!EN4:EN34,$B35)+COUNTIF('4月'!EO4:EO34,$B35)+COUNTIF('4月'!ES4:ES34,$B35)+COUNTIF('4月'!ET4:ET34,$B35)),0)</f>
        <v>0</v>
      </c>
      <c r="G35" s="76">
        <f>IFERROR(IF($B35="","",COUNTIF('5月'!D4:D34,$B35)+COUNTIF('5月'!E4:E34,$B35)+COUNTIF('5月'!I4:I34,$B35)+COUNTIF('5月'!J4:J34,$B35)+COUNTIF('5月'!N4:N34,$B35)+COUNTIF('5月'!O4:O34,$B35)+COUNTIF('5月'!S4:S34,$B35)+COUNTIF('5月'!T4:T34,$B35)+COUNTIF('5月'!X4:X34,$B35)+COUNTIF('5月'!Y4:Y34,$B35)+COUNTIF('5月'!AC4:AC34,$B35)+COUNTIF('5月'!AD4:AD34,$B35)+COUNTIF('5月'!AH4:AH34,$B35)+COUNTIF('5月'!AI4:AI34,$B35)+COUNTIF('5月'!AM4:AM34,$B35)+COUNTIF('5月'!AN4:AN34,$B35)+COUNTIF('5月'!AR4:AR34,$B35)+COUNTIF('5月'!AS4:AS34,$B35)+COUNTIF('5月'!AW4:AW34,$B35)+COUNTIF('5月'!AX4:AX34,$B35)+COUNTIF('5月'!BB4:BB34,$B35)+COUNTIF('5月'!BC4:BC34,$B35)+COUNTIF('5月'!BG4:BG34,$B35)+COUNTIF('5月'!BH4:BH34,$B35)+COUNTIF('5月'!BL4:BL34,$B35)+COUNTIF('5月'!BM4:BM34,$B35)+COUNTIF('5月'!BQ4:BQ34,$B35)+COUNTIF('5月'!BR4:BR34,$B35)+COUNTIF('5月'!BV4:BV34,$B35)+COUNTIF('5月'!BW4:BW34,$B35)+COUNTIF('5月'!CA4:CA34,$B35)+COUNTIF('5月'!CB4:CB34,$B35)+COUNTIF('5月'!CF4:CF34,$B35)+COUNTIF('5月'!CG4:CG34,$B35)+COUNTIF('5月'!CK4:CK34,$B35)+COUNTIF('5月'!CL4:CL34,$B35)+COUNTIF('5月'!CP4:CP34,$B35)+COUNTIF('5月'!CQ4:CQ34,$B35)+COUNTIF('5月'!CU4:CU34,$B35)+COUNTIF('5月'!CV4:CV34,$B35)+COUNTIF('5月'!CZ4:CZ34,$B35)+COUNTIF('5月'!DA4:DA34,$B35)+COUNTIF('5月'!DE4:DE34,$B35)+COUNTIF('5月'!DF4:DF34,$B35)+COUNTIF('5月'!DJ4:DJ34,$B35)+COUNTIF('5月'!DK4:DK34,$B35)+COUNTIF('5月'!DO4:DO34,$B35)+COUNTIF('5月'!DP4:DP34,$B35)+COUNTIF('5月'!DT4:DT34,$B35)+COUNTIF('5月'!DU4:DU34,$B35)+COUNTIF('5月'!DY4:DY34,$B35)+COUNTIF('5月'!DZ4:DZ34,$B35)+COUNTIF('5月'!ED4:ED34,$B35)+COUNTIF('5月'!EE4:EE34,$B35)+COUNTIF('5月'!EI4:EI34,$B35)+COUNTIF('5月'!EJ4:EJ34,$B35)+COUNTIF('5月'!EN4:EN34,$B35)+COUNTIF('5月'!EO4:EO34,$B35)+COUNTIF('5月'!ES4:ES34,$B35)+COUNTIF('5月'!ET4:ET34,$B35)),0)</f>
        <v>0</v>
      </c>
      <c r="H35" s="76">
        <f>IFERROR(IF($B35="","",COUNTIF('6月'!D4:D34,$B35)+COUNTIF('6月'!E4:E34,$B35)+COUNTIF('6月'!I4:I34,$B35)+COUNTIF('6月'!J4:J34,$B35)+COUNTIF('6月'!N4:N34,$B35)+COUNTIF('6月'!O4:O34,$B35)+COUNTIF('6月'!S4:S34,$B35)+COUNTIF('6月'!T4:T34,$B35)+COUNTIF('6月'!X4:X34,$B35)+COUNTIF('6月'!Y4:Y34,$B35)+COUNTIF('6月'!AC4:AC34,$B35)+COUNTIF('6月'!AD4:AD34,$B35)+COUNTIF('6月'!AH4:AH34,$B35)+COUNTIF('6月'!AI4:AI34,$B35)+COUNTIF('6月'!AM4:AM34,$B35)+COUNTIF('6月'!AN4:AN34,$B35)+COUNTIF('6月'!AR4:AR34,$B35)+COUNTIF('6月'!AS4:AS34,$B35)+COUNTIF('6月'!AW4:AW34,$B35)+COUNTIF('6月'!AX4:AX34,$B35)+COUNTIF('6月'!BB4:BB34,$B35)+COUNTIF('6月'!BC4:BC34,$B35)+COUNTIF('6月'!BG4:BG34,$B35)+COUNTIF('6月'!BH4:BH34,$B35)+COUNTIF('6月'!BL4:BL34,$B35)+COUNTIF('6月'!BM4:BM34,$B35)+COUNTIF('6月'!BQ4:BQ34,$B35)+COUNTIF('6月'!BR4:BR34,$B35)+COUNTIF('6月'!BV4:BV34,$B35)+COUNTIF('6月'!BW4:BW34,$B35)+COUNTIF('6月'!CA4:CA34,$B35)+COUNTIF('6月'!CB4:CB34,$B35)+COUNTIF('6月'!CF4:CF34,$B35)+COUNTIF('6月'!CG4:CG34,$B35)+COUNTIF('6月'!CK4:CK34,$B35)+COUNTIF('6月'!CL4:CL34,$B35)+COUNTIF('6月'!CP4:CP34,$B35)+COUNTIF('6月'!CQ4:CQ34,$B35)+COUNTIF('6月'!CU4:CU34,$B35)+COUNTIF('6月'!CV4:CV34,$B35)+COUNTIF('6月'!CZ4:CZ34,$B35)+COUNTIF('6月'!DA4:DA34,$B35)+COUNTIF('6月'!DE4:DE34,$B35)+COUNTIF('6月'!DF4:DF34,$B35)+COUNTIF('6月'!DJ4:DJ34,$B35)+COUNTIF('6月'!DK4:DK34,$B35)+COUNTIF('6月'!DO4:DO34,$B35)+COUNTIF('6月'!DP4:DP34,$B35)+COUNTIF('6月'!DT4:DT34,$B35)+COUNTIF('6月'!DU4:DU34,$B35)+COUNTIF('6月'!DY4:DY34,$B35)+COUNTIF('6月'!DZ4:DZ34,$B35)+COUNTIF('6月'!ED4:ED34,$B35)+COUNTIF('6月'!EE4:EE34,$B35)+COUNTIF('6月'!EI4:EI34,$B35)+COUNTIF('6月'!EJ4:EJ34,$B35)+COUNTIF('6月'!EN4:EN34,$B35)+COUNTIF('6月'!EO4:EO34,$B35)+COUNTIF('6月'!ES4:ES34,$B35)+COUNTIF('6月'!ET4:ET34,$B35)),0)</f>
        <v>0</v>
      </c>
      <c r="I35" s="76">
        <f>IFERROR(IF($B35="","",COUNTIF('7月'!D4:D34,$B35)+COUNTIF('7月'!E4:E34,$B35)+COUNTIF('7月'!I4:I34,$B35)+COUNTIF('7月'!J4:J34,$B35)+COUNTIF('7月'!N4:N34,$B35)+COUNTIF('7月'!O4:O34,$B35)+COUNTIF('7月'!S4:S34,$B35)+COUNTIF('7月'!T4:T34,$B35)+COUNTIF('7月'!X4:X34,$B35)+COUNTIF('7月'!Y4:Y34,$B35)+COUNTIF('7月'!AC4:AC34,$B35)+COUNTIF('7月'!AD4:AD34,$B35)+COUNTIF('7月'!AH4:AH34,$B35)+COUNTIF('7月'!AI4:AI34,$B35)+COUNTIF('7月'!AM4:AM34,$B35)+COUNTIF('7月'!AN4:AN34,$B35)+COUNTIF('7月'!AR4:AR34,$B35)+COUNTIF('7月'!AS4:AS34,$B35)+COUNTIF('7月'!AW4:AW34,$B35)+COUNTIF('7月'!AX4:AX34,$B35)+COUNTIF('7月'!BB4:BB34,$B35)+COUNTIF('7月'!BC4:BC34,$B35)+COUNTIF('7月'!BG4:BG34,$B35)+COUNTIF('7月'!BH4:BH34,$B35)+COUNTIF('7月'!BL4:BL34,$B35)+COUNTIF('7月'!BM4:BM34,$B35)+COUNTIF('7月'!BQ4:BQ34,$B35)+COUNTIF('7月'!BR4:BR34,$B35)+COUNTIF('7月'!BV4:BV34,$B35)+COUNTIF('7月'!BW4:BW34,$B35)+COUNTIF('7月'!CA4:CA34,$B35)+COUNTIF('7月'!CB4:CB34,$B35)+COUNTIF('7月'!CF4:CF34,$B35)+COUNTIF('7月'!CG4:CG34,$B35)+COUNTIF('7月'!CK4:CK34,$B35)+COUNTIF('7月'!CL4:CL34,$B35)+COUNTIF('7月'!CP4:CP34,$B35)+COUNTIF('7月'!CQ4:CQ34,$B35)+COUNTIF('7月'!CU4:CU34,$B35)+COUNTIF('7月'!CV4:CV34,$B35)+COUNTIF('7月'!CZ4:CZ34,$B35)+COUNTIF('7月'!DA4:DA34,$B35)+COUNTIF('7月'!DE4:DE34,$B35)+COUNTIF('7月'!DF4:DF34,$B35)+COUNTIF('7月'!DJ4:DJ34,$B35)+COUNTIF('7月'!DK4:DK34,$B35)+COUNTIF('7月'!DO4:DO34,$B35)+COUNTIF('7月'!DP4:DP34,$B35)+COUNTIF('7月'!DT4:DT34,$B35)+COUNTIF('7月'!DU4:DU34,$B35)+COUNTIF('7月'!DY4:DY34,$B35)+COUNTIF('7月'!DZ4:DZ34,$B35)+COUNTIF('7月'!ED4:ED34,$B35)+COUNTIF('7月'!EE4:EE34,$B35)+COUNTIF('7月'!EI4:EI34,$B35)+COUNTIF('7月'!EJ4:EJ34,$B35)+COUNTIF('7月'!EN4:EN34,$B35)+COUNTIF('7月'!EO4:EO34,$B35)+COUNTIF('7月'!ES4:ES34,$B35)+COUNTIF('7月'!ET4:ET34,$B35)),0)</f>
        <v>0</v>
      </c>
      <c r="J35" s="76">
        <f>IFERROR(IF($B35="","",COUNTIF('8月'!D4:D34,$B35)+COUNTIF('8月'!E4:E34,$B35)+COUNTIF('8月'!I4:I34,$B35)+COUNTIF('8月'!J4:J34,$B35)+COUNTIF('8月'!N4:N34,$B35)+COUNTIF('8月'!O4:O34,$B35)+COUNTIF('8月'!S4:S34,$B35)+COUNTIF('8月'!T4:T34,$B35)+COUNTIF('8月'!X4:X34,$B35)+COUNTIF('8月'!Y4:Y34,$B35)+COUNTIF('8月'!AC4:AC34,$B35)+COUNTIF('8月'!AD4:AD34,$B35)+COUNTIF('8月'!AH4:AH34,$B35)+COUNTIF('8月'!AI4:AI34,$B35)+COUNTIF('8月'!AM4:AM34,$B35)+COUNTIF('8月'!AN4:AN34,$B35)+COUNTIF('8月'!AR4:AR34,$B35)+COUNTIF('8月'!AS4:AS34,$B35)+COUNTIF('8月'!AW4:AW34,$B35)+COUNTIF('8月'!AX4:AX34,$B35)+COUNTIF('8月'!BB4:BB34,$B35)+COUNTIF('8月'!BC4:BC34,$B35)+COUNTIF('8月'!BG4:BG34,$B35)+COUNTIF('8月'!BH4:BH34,$B35)+COUNTIF('8月'!BL4:BL34,$B35)+COUNTIF('8月'!BM4:BM34,$B35)+COUNTIF('8月'!BQ4:BQ34,$B35)+COUNTIF('8月'!BR4:BR34,$B35)+COUNTIF('8月'!BV4:BV34,$B35)+COUNTIF('8月'!BW4:BW34,$B35)+COUNTIF('8月'!CA4:CA34,$B35)+COUNTIF('8月'!CB4:CB34,$B35)+COUNTIF('8月'!CF4:CF34,$B35)+COUNTIF('8月'!CG4:CG34,$B35)+COUNTIF('8月'!CK4:CK34,$B35)+COUNTIF('8月'!CL4:CL34,$B35)+COUNTIF('8月'!CP4:CP34,$B35)+COUNTIF('8月'!CQ4:CQ34,$B35)+COUNTIF('8月'!CU4:CU34,$B35)+COUNTIF('8月'!CV4:CV34,$B35)+COUNTIF('8月'!CZ4:CZ34,$B35)+COUNTIF('8月'!DA4:DA34,$B35)+COUNTIF('8月'!DE4:DE34,$B35)+COUNTIF('8月'!DF4:DF34,$B35)+COUNTIF('8月'!DJ4:DJ34,$B35)+COUNTIF('8月'!DK4:DK34,$B35)+COUNTIF('8月'!DO4:DO34,$B35)+COUNTIF('8月'!DP4:DP34,$B35)+COUNTIF('8月'!DT4:DT34,$B35)+COUNTIF('8月'!DU4:DU34,$B35)+COUNTIF('8月'!DY4:DY34,$B35)+COUNTIF('8月'!DZ4:DZ34,$B35)+COUNTIF('8月'!ED4:ED34,$B35)+COUNTIF('8月'!EE4:EE34,$B35)+COUNTIF('8月'!EI4:EI34,$B35)+COUNTIF('8月'!EJ4:EJ34,$B35)+COUNTIF('8月'!EN4:EN34,$B35)+COUNTIF('8月'!EO4:EO34,$B35)+COUNTIF('8月'!ES4:ES34,$B35)+COUNTIF('8月'!ET4:ET34,$B35)),0)</f>
        <v>0</v>
      </c>
      <c r="K35" s="76">
        <f>IFERROR(IF($B35="","",COUNTIF('9月'!D4:D34,$B35)+COUNTIF('9月'!E4:E34,$B35)+COUNTIF('9月'!I4:I34,$B35)+COUNTIF('9月'!J4:J34,$B35)+COUNTIF('9月'!N4:N34,$B35)+COUNTIF('9月'!O4:O34,$B35)+COUNTIF('9月'!S4:S34,$B35)+COUNTIF('9月'!T4:T34,$B35)+COUNTIF('9月'!X4:X34,$B35)+COUNTIF('9月'!Y4:Y34,$B35)+COUNTIF('9月'!AC4:AC34,$B35)+COUNTIF('9月'!AD4:AD34,$B35)+COUNTIF('9月'!AH4:AH34,$B35)+COUNTIF('9月'!AI4:AI34,$B35)+COUNTIF('9月'!AM4:AM34,$B35)+COUNTIF('9月'!AN4:AN34,$B35)+COUNTIF('9月'!AR4:AR34,$B35)+COUNTIF('9月'!AS4:AS34,$B35)+COUNTIF('9月'!AW4:AW34,$B35)+COUNTIF('9月'!AX4:AX34,$B35)+COUNTIF('9月'!BB4:BB34,$B35)+COUNTIF('9月'!BC4:BC34,$B35)+COUNTIF('9月'!BG4:BG34,$B35)+COUNTIF('9月'!BH4:BH34,$B35)+COUNTIF('9月'!BL4:BL34,$B35)+COUNTIF('9月'!BM4:BM34,$B35)+COUNTIF('9月'!BQ4:BQ34,$B35)+COUNTIF('9月'!BR4:BR34,$B35)+COUNTIF('9月'!BV4:BV34,$B35)+COUNTIF('9月'!BW4:BW34,$B35)+COUNTIF('9月'!CA4:CA34,$B35)+COUNTIF('9月'!CB4:CB34,$B35)+COUNTIF('9月'!CF4:CF34,$B35)+COUNTIF('9月'!CG4:CG34,$B35)+COUNTIF('9月'!CK4:CK34,$B35)+COUNTIF('9月'!CL4:CL34,$B35)+COUNTIF('9月'!CP4:CP34,$B35)+COUNTIF('9月'!CQ4:CQ34,$B35)+COUNTIF('9月'!CU4:CU34,$B35)+COUNTIF('9月'!CV4:CV34,$B35)+COUNTIF('9月'!CZ4:CZ34,$B35)+COUNTIF('9月'!DA4:DA34,$B35)+COUNTIF('9月'!DE4:DE34,$B35)+COUNTIF('9月'!DF4:DF34,$B35)+COUNTIF('9月'!DJ4:DJ34,$B35)+COUNTIF('9月'!DK4:DK34,$B35)+COUNTIF('9月'!DO4:DO34,$B35)+COUNTIF('9月'!DP4:DP34,$B35)+COUNTIF('9月'!DT4:DT34,$B35)+COUNTIF('9月'!DU4:DU34,$B35)+COUNTIF('9月'!DY4:DY34,$B35)+COUNTIF('9月'!DZ4:DZ34,$B35)+COUNTIF('9月'!ED4:ED34,$B35)+COUNTIF('9月'!EE4:EE34,$B35)+COUNTIF('9月'!EI4:EI34,$B35)+COUNTIF('9月'!EJ4:EJ34,$B35)+COUNTIF('9月'!EN4:EN34,$B35)+COUNTIF('9月'!EO4:EO34,$B35)+COUNTIF('9月'!ES4:ES34,$B35)+COUNTIF('9月'!ET4:ET34,$B35)),0)</f>
        <v>0</v>
      </c>
      <c r="L35" s="76">
        <f>IFERROR(IF($B35="","",COUNTIF('10月'!D4:D34,$B35)+COUNTIF('10月'!E4:E34,$B35)+COUNTIF('10月'!I4:I34,$B35)+COUNTIF('10月'!J4:J34,$B35)+COUNTIF('10月'!N4:N34,$B35)+COUNTIF('10月'!O4:O34,$B35)+COUNTIF('10月'!S4:S34,$B35)+COUNTIF('10月'!T4:T34,$B35)+COUNTIF('10月'!X4:X34,$B35)+COUNTIF('10月'!Y4:Y34,$B35)+COUNTIF('10月'!AC4:AC34,$B35)+COUNTIF('10月'!AD4:AD34,$B35)+COUNTIF('10月'!AH4:AH34,$B35)+COUNTIF('10月'!AI4:AI34,$B35)+COUNTIF('10月'!AM4:AM34,$B35)+COUNTIF('10月'!AN4:AN34,$B35)+COUNTIF('10月'!AR4:AR34,$B35)+COUNTIF('10月'!AS4:AS34,$B35)+COUNTIF('10月'!AW4:AW34,$B35)+COUNTIF('10月'!AX4:AX34,$B35)+COUNTIF('10月'!BB4:BB34,$B35)+COUNTIF('10月'!BC4:BC34,$B35)+COUNTIF('10月'!BG4:BG34,$B35)+COUNTIF('10月'!BH4:BH34,$B35)+COUNTIF('10月'!BL4:BL34,$B35)+COUNTIF('10月'!BM4:BM34,$B35)+COUNTIF('10月'!BQ4:BQ34,$B35)+COUNTIF('10月'!BR4:BR34,$B35)+COUNTIF('10月'!BV4:BV34,$B35)+COUNTIF('10月'!BW4:BW34,$B35)+COUNTIF('10月'!CA4:CA34,$B35)+COUNTIF('10月'!CB4:CB34,$B35)+COUNTIF('10月'!CF4:CF34,$B35)+COUNTIF('10月'!CG4:CG34,$B35)+COUNTIF('10月'!CK4:CK34,$B35)+COUNTIF('10月'!CL4:CL34,$B35)+COUNTIF('10月'!CP4:CP34,$B35)+COUNTIF('10月'!CQ4:CQ34,$B35)+COUNTIF('10月'!CU4:CU34,$B35)+COUNTIF('10月'!CV4:CV34,$B35)+COUNTIF('10月'!CZ4:CZ34,$B35)+COUNTIF('10月'!DA4:DA34,$B35)+COUNTIF('10月'!DE4:DE34,$B35)+COUNTIF('10月'!DF4:DF34,$B35)+COUNTIF('10月'!DJ4:DJ34,$B35)+COUNTIF('10月'!DK4:DK34,$B35)+COUNTIF('10月'!DO4:DO34,$B35)+COUNTIF('10月'!DP4:DP34,$B35)+COUNTIF('10月'!DT4:DT34,$B35)+COUNTIF('10月'!DU4:DU34,$B35)+COUNTIF('10月'!DY4:DY34,$B35)+COUNTIF('10月'!DZ4:DZ34,$B35)+COUNTIF('10月'!ED4:ED34,$B35)+COUNTIF('10月'!EE4:EE34,$B35)+COUNTIF('10月'!EI4:EI34,$B35)+COUNTIF('10月'!EJ4:EJ34,$B35)+COUNTIF('10月'!EN4:EN34,$B35)+COUNTIF('10月'!EO4:EO34,$B35)+COUNTIF('10月'!ES4:ES34,$B35)+COUNTIF('10月'!ET4:ET34,$B35)),0)</f>
        <v>0</v>
      </c>
      <c r="M35" s="76">
        <f>IFERROR(IF($B35="","",COUNTIF('11月'!D4:D34,$B35)+COUNTIF('11月'!E4:E34,$B35)+COUNTIF('11月'!I4:I34,$B35)+COUNTIF('11月'!J4:J34,$B35)+COUNTIF('11月'!N4:N34,$B35)+COUNTIF('11月'!O4:O34,$B35)+COUNTIF('11月'!S4:S34,$B35)+COUNTIF('11月'!T4:T34,$B35)+COUNTIF('11月'!X4:X34,$B35)+COUNTIF('11月'!Y4:Y34,$B35)+COUNTIF('11月'!AC4:AC34,$B35)+COUNTIF('11月'!AD4:AD34,$B35)+COUNTIF('11月'!AH4:AH34,$B35)+COUNTIF('11月'!AI4:AI34,$B35)+COUNTIF('11月'!AM4:AM34,$B35)+COUNTIF('11月'!AN4:AN34,$B35)+COUNTIF('11月'!AR4:AR34,$B35)+COUNTIF('11月'!AS4:AS34,$B35)+COUNTIF('11月'!AW4:AW34,$B35)+COUNTIF('11月'!AX4:AX34,$B35)+COUNTIF('11月'!BB4:BB34,$B35)+COUNTIF('11月'!BC4:BC34,$B35)+COUNTIF('11月'!BG4:BG34,$B35)+COUNTIF('11月'!BH4:BH34,$B35)+COUNTIF('11月'!BL4:BL34,$B35)+COUNTIF('11月'!BM4:BM34,$B35)+COUNTIF('11月'!BQ4:BQ34,$B35)+COUNTIF('11月'!BR4:BR34,$B35)+COUNTIF('11月'!BV4:BV34,$B35)+COUNTIF('11月'!BW4:BW34,$B35)+COUNTIF('11月'!CA4:CA34,$B35)+COUNTIF('11月'!CB4:CB34,$B35)+COUNTIF('11月'!CF4:CF34,$B35)+COUNTIF('11月'!CG4:CG34,$B35)+COUNTIF('11月'!CK4:CK34,$B35)+COUNTIF('11月'!CL4:CL34,$B35)+COUNTIF('11月'!CP4:CP34,$B35)+COUNTIF('11月'!CQ4:CQ34,$B35)+COUNTIF('11月'!CU4:CU34,$B35)+COUNTIF('11月'!CV4:CV34,$B35)+COUNTIF('11月'!CZ4:CZ34,$B35)+COUNTIF('11月'!DA4:DA34,$B35)+COUNTIF('11月'!DE4:DE34,$B35)+COUNTIF('11月'!DF4:DF34,$B35)+COUNTIF('11月'!DJ4:DJ34,$B35)+COUNTIF('11月'!DK4:DK34,$B35)+COUNTIF('11月'!DO4:DO34,$B35)+COUNTIF('11月'!DP4:DP34,$B35)+COUNTIF('11月'!DT4:DT34,$B35)+COUNTIF('11月'!DU4:DU34,$B35)+COUNTIF('11月'!DY4:DY34,$B35)+COUNTIF('11月'!DZ4:DZ34,$B35)+COUNTIF('11月'!ED4:ED34,$B35)+COUNTIF('11月'!EE4:EE34,$B35)+COUNTIF('11月'!EI4:EI34,$B35)+COUNTIF('11月'!EJ4:EJ34,$B35)+COUNTIF('11月'!EN4:EN34,$B35)+COUNTIF('11月'!EO4:EO34,$B35)+COUNTIF('11月'!ES4:ES34,$B35)+COUNTIF('11月'!ET4:ET34,$B35)),0)</f>
        <v>0</v>
      </c>
      <c r="N35" s="76">
        <f>IFERROR(IF($B35="","",COUNTIF('12月'!D4:D34,$B35)+COUNTIF('12月'!E4:E34,$B35)+COUNTIF('12月'!I4:I34,$B35)+COUNTIF('12月'!J4:J34,$B35)+COUNTIF('12月'!N4:N34,$B35)+COUNTIF('12月'!O4:O34,$B35)+COUNTIF('12月'!S4:S34,$B35)+COUNTIF('12月'!T4:T34,$B35)+COUNTIF('12月'!X4:X34,$B35)+COUNTIF('12月'!Y4:Y34,$B35)+COUNTIF('12月'!AC4:AC34,$B35)+COUNTIF('12月'!AD4:AD34,$B35)+COUNTIF('12月'!AH4:AH34,$B35)+COUNTIF('12月'!AI4:AI34,$B35)+COUNTIF('12月'!AM4:AM34,$B35)+COUNTIF('12月'!AN4:AN34,$B35)+COUNTIF('12月'!AR4:AR34,$B35)+COUNTIF('12月'!AS4:AS34,$B35)+COUNTIF('12月'!AW4:AW34,$B35)+COUNTIF('12月'!AX4:AX34,$B35)+COUNTIF('12月'!BB4:BB34,$B35)+COUNTIF('12月'!BC4:BC34,$B35)+COUNTIF('12月'!BG4:BG34,$B35)+COUNTIF('12月'!BH4:BH34,$B35)+COUNTIF('12月'!BL4:BL34,$B35)+COUNTIF('12月'!BM4:BM34,$B35)+COUNTIF('12月'!BQ4:BQ34,$B35)+COUNTIF('12月'!BR4:BR34,$B35)+COUNTIF('12月'!BV4:BV34,$B35)+COUNTIF('12月'!BW4:BW34,$B35)+COUNTIF('12月'!CA4:CA34,$B35)+COUNTIF('12月'!CB4:CB34,$B35)+COUNTIF('12月'!CF4:CF34,$B35)+COUNTIF('12月'!CG4:CG34,$B35)+COUNTIF('12月'!CK4:CK34,$B35)+COUNTIF('12月'!CL4:CL34,$B35)+COUNTIF('12月'!CP4:CP34,$B35)+COUNTIF('12月'!CQ4:CQ34,$B35)+COUNTIF('12月'!CU4:CU34,$B35)+COUNTIF('12月'!CV4:CV34,$B35)+COUNTIF('12月'!CZ4:CZ34,$B35)+COUNTIF('12月'!DA4:DA34,$B35)+COUNTIF('12月'!DE4:DE34,$B35)+COUNTIF('12月'!DF4:DF34,$B35)+COUNTIF('12月'!DJ4:DJ34,$B35)+COUNTIF('12月'!DK4:DK34,$B35)+COUNTIF('12月'!DO4:DO34,$B35)+COUNTIF('12月'!DP4:DP34,$B35)+COUNTIF('12月'!DT4:DT34,$B35)+COUNTIF('12月'!DU4:DU34,$B35)+COUNTIF('12月'!DY4:DY34,$B35)+COUNTIF('12月'!DZ4:DZ34,$B35)+COUNTIF('12月'!ED4:ED34,$B35)+COUNTIF('12月'!EE4:EE34,$B35)+COUNTIF('12月'!EI4:EI34,$B35)+COUNTIF('12月'!EJ4:EJ34,$B35)+COUNTIF('12月'!EN4:EN34,$B35)+COUNTIF('12月'!EO4:EO34,$B35)+COUNTIF('12月'!ES4:ES34,$B35)+COUNTIF('12月'!ET4:ET34,$B35)),0)</f>
        <v>0</v>
      </c>
      <c r="O35" s="78">
        <f t="shared" si="0"/>
        <v>0</v>
      </c>
    </row>
    <row r="36" spans="1:15" ht="19.5" customHeight="1">
      <c r="A36" s="76">
        <v>34</v>
      </c>
      <c r="B36" s="77">
        <f>IFERROR(現場マスタ!$C$37,"")</f>
        <v>0</v>
      </c>
      <c r="C36" s="76">
        <f>IFERROR(IF($B36="","",COUNTIF('1月'!D4:D34,$B36)+COUNTIF('1月'!E4:E34,$B36)+COUNTIF('1月'!I4:I34,$B36)+COUNTIF('1月'!J4:J34,$B36)+COUNTIF('1月'!N4:N34,$B36)+COUNTIF('1月'!O4:O34,$B36)+COUNTIF('1月'!S4:S34,$B36)+COUNTIF('1月'!T4:T34,$B36)+COUNTIF('1月'!X4:X34,$B36)+COUNTIF('1月'!Y4:Y34,$B36)+COUNTIF('1月'!AC4:AC34,$B36)+COUNTIF('1月'!AD4:AD34,$B36)+COUNTIF('1月'!AH4:AH34,$B36)+COUNTIF('1月'!AI4:AI34,$B36)+COUNTIF('1月'!AM4:AM34,$B36)+COUNTIF('1月'!AN4:AN34,$B36)+COUNTIF('1月'!AR4:AR34,$B36)+COUNTIF('1月'!AS4:AS34,$B36)+COUNTIF('1月'!AW4:AW34,$B36)+COUNTIF('1月'!AX4:AX34,$B36)+COUNTIF('1月'!BB4:BB34,$B36)+COUNTIF('1月'!BC4:BC34,$B36)+COUNTIF('1月'!BG4:BG34,$B36)+COUNTIF('1月'!BH4:BH34,$B36)+COUNTIF('1月'!BL4:BL34,$B36)+COUNTIF('1月'!BM4:BM34,$B36)+COUNTIF('1月'!BQ4:BQ34,$B36)+COUNTIF('1月'!BR4:BR34,$B36)+COUNTIF('1月'!BV4:BV34,$B36)+COUNTIF('1月'!BW4:BW34,$B36)+COUNTIF('1月'!CA4:CA34,$B36)+COUNTIF('1月'!CB4:CB34,$B36)+COUNTIF('1月'!CF4:CF34,$B36)+COUNTIF('1月'!CG4:CG34,$B36)+COUNTIF('1月'!CK4:CK34,$B36)+COUNTIF('1月'!CL4:CL34,$B36)+COUNTIF('1月'!CP4:CP34,$B36)+COUNTIF('1月'!CQ4:CQ34,$B36)+COUNTIF('1月'!CU4:CU34,$B36)+COUNTIF('1月'!CV4:CV34,$B36)+COUNTIF('1月'!CZ4:CZ34,$B36)+COUNTIF('1月'!DA4:DA34,$B36)+COUNTIF('1月'!DE4:DE34,$B36)+COUNTIF('1月'!DF4:DF34,$B36)+COUNTIF('1月'!DJ4:DJ34,$B36)+COUNTIF('1月'!DK4:DK34,$B36)+COUNTIF('1月'!DO4:DO34,$B36)+COUNTIF('1月'!DP4:DP34,$B36)+COUNTIF('1月'!DT4:DT34,$B36)+COUNTIF('1月'!DU4:DU34,$B36)+COUNTIF('1月'!DY4:DY34,$B36)+COUNTIF('1月'!DZ4:DZ34,$B36)+COUNTIF('1月'!ED4:ED34,$B36)+COUNTIF('1月'!EE4:EE34,$B36)+COUNTIF('1月'!EI4:EI34,$B36)+COUNTIF('1月'!EJ4:EJ34,$B36)+COUNTIF('1月'!EN4:EN34,$B36)+COUNTIF('1月'!EO4:EO34,$B36)+COUNTIF('1月'!ES4:ES34,$B36)+COUNTIF('1月'!ET4:ET34,$B36)),0)</f>
        <v>0</v>
      </c>
      <c r="D36" s="76">
        <f>IFERROR(IF($B36="","",COUNTIF('2月'!D4:D34,$B36)+COUNTIF('2月'!E4:E34,$B36)+COUNTIF('2月'!I4:I34,$B36)+COUNTIF('2月'!J4:J34,$B36)+COUNTIF('2月'!N4:N34,$B36)+COUNTIF('2月'!O4:O34,$B36)+COUNTIF('2月'!S4:S34,$B36)+COUNTIF('2月'!T4:T34,$B36)+COUNTIF('2月'!X4:X34,$B36)+COUNTIF('2月'!Y4:Y34,$B36)+COUNTIF('2月'!AC4:AC34,$B36)+COUNTIF('2月'!AD4:AD34,$B36)+COUNTIF('2月'!AH4:AH34,$B36)+COUNTIF('2月'!AI4:AI34,$B36)+COUNTIF('2月'!AM4:AM34,$B36)+COUNTIF('2月'!AN4:AN34,$B36)+COUNTIF('2月'!AR4:AR34,$B36)+COUNTIF('2月'!AS4:AS34,$B36)+COUNTIF('2月'!AW4:AW34,$B36)+COUNTIF('2月'!AX4:AX34,$B36)+COUNTIF('2月'!BB4:BB34,$B36)+COUNTIF('2月'!BC4:BC34,$B36)+COUNTIF('2月'!BG4:BG34,$B36)+COUNTIF('2月'!BH4:BH34,$B36)+COUNTIF('2月'!BL4:BL34,$B36)+COUNTIF('2月'!BM4:BM34,$B36)+COUNTIF('2月'!BQ4:BQ34,$B36)+COUNTIF('2月'!BR4:BR34,$B36)+COUNTIF('2月'!BV4:BV34,$B36)+COUNTIF('2月'!BW4:BW34,$B36)+COUNTIF('2月'!CA4:CA34,$B36)+COUNTIF('2月'!CB4:CB34,$B36)+COUNTIF('2月'!CF4:CF34,$B36)+COUNTIF('2月'!CG4:CG34,$B36)+COUNTIF('2月'!CK4:CK34,$B36)+COUNTIF('2月'!CL4:CL34,$B36)+COUNTIF('2月'!CP4:CP34,$B36)+COUNTIF('2月'!CQ4:CQ34,$B36)+COUNTIF('2月'!CU4:CU34,$B36)+COUNTIF('2月'!CV4:CV34,$B36)+COUNTIF('2月'!CZ4:CZ34,$B36)+COUNTIF('2月'!DA4:DA34,$B36)+COUNTIF('2月'!DE4:DE34,$B36)+COUNTIF('2月'!DF4:DF34,$B36)+COUNTIF('2月'!DJ4:DJ34,$B36)+COUNTIF('2月'!DK4:DK34,$B36)+COUNTIF('2月'!DO4:DO34,$B36)+COUNTIF('2月'!DP4:DP34,$B36)+COUNTIF('2月'!DT4:DT34,$B36)+COUNTIF('2月'!DU4:DU34,$B36)+COUNTIF('2月'!DY4:DY34,$B36)+COUNTIF('2月'!DZ4:DZ34,$B36)+COUNTIF('2月'!ED4:ED34,$B36)+COUNTIF('2月'!EE4:EE34,$B36)+COUNTIF('2月'!EI4:EI34,$B36)+COUNTIF('2月'!EJ4:EJ34,$B36)+COUNTIF('2月'!EN4:EN34,$B36)+COUNTIF('2月'!EO4:EO34,$B36)+COUNTIF('2月'!ES4:ES34,$B36)+COUNTIF('2月'!ET4:ET34,$B36)),0)</f>
        <v>0</v>
      </c>
      <c r="E36" s="76">
        <f>IFERROR(IF($B36="","",COUNTIF('3月'!D4:D34,$B36)+COUNTIF('3月'!E4:E34,$B36)+COUNTIF('3月'!I4:I34,$B36)+COUNTIF('3月'!J4:J34,$B36)+COUNTIF('3月'!N4:N34,$B36)+COUNTIF('3月'!O4:O34,$B36)+COUNTIF('3月'!S4:S34,$B36)+COUNTIF('3月'!T4:T34,$B36)+COUNTIF('3月'!X4:X34,$B36)+COUNTIF('3月'!Y4:Y34,$B36)+COUNTIF('3月'!AC4:AC34,$B36)+COUNTIF('3月'!AD4:AD34,$B36)+COUNTIF('3月'!AH4:AH34,$B36)+COUNTIF('3月'!AI4:AI34,$B36)+COUNTIF('3月'!AM4:AM34,$B36)+COUNTIF('3月'!AN4:AN34,$B36)+COUNTIF('3月'!AR4:AR34,$B36)+COUNTIF('3月'!AS4:AS34,$B36)+COUNTIF('3月'!AW4:AW34,$B36)+COUNTIF('3月'!AX4:AX34,$B36)+COUNTIF('3月'!BB4:BB34,$B36)+COUNTIF('3月'!BC4:BC34,$B36)+COUNTIF('3月'!BG4:BG34,$B36)+COUNTIF('3月'!BH4:BH34,$B36)+COUNTIF('3月'!BL4:BL34,$B36)+COUNTIF('3月'!BM4:BM34,$B36)+COUNTIF('3月'!BQ4:BQ34,$B36)+COUNTIF('3月'!BR4:BR34,$B36)+COUNTIF('3月'!BV4:BV34,$B36)+COUNTIF('3月'!BW4:BW34,$B36)+COUNTIF('3月'!CA4:CA34,$B36)+COUNTIF('3月'!CB4:CB34,$B36)+COUNTIF('3月'!CF4:CF34,$B36)+COUNTIF('3月'!CG4:CG34,$B36)+COUNTIF('3月'!CK4:CK34,$B36)+COUNTIF('3月'!CL4:CL34,$B36)+COUNTIF('3月'!CP4:CP34,$B36)+COUNTIF('3月'!CQ4:CQ34,$B36)+COUNTIF('3月'!CU4:CU34,$B36)+COUNTIF('3月'!CV4:CV34,$B36)+COUNTIF('3月'!CZ4:CZ34,$B36)+COUNTIF('3月'!DA4:DA34,$B36)+COUNTIF('3月'!DE4:DE34,$B36)+COUNTIF('3月'!DF4:DF34,$B36)+COUNTIF('3月'!DJ4:DJ34,$B36)+COUNTIF('3月'!DK4:DK34,$B36)+COUNTIF('3月'!DO4:DO34,$B36)+COUNTIF('3月'!DP4:DP34,$B36)+COUNTIF('3月'!DT4:DT34,$B36)+COUNTIF('3月'!DU4:DU34,$B36)+COUNTIF('3月'!DY4:DY34,$B36)+COUNTIF('3月'!DZ4:DZ34,$B36)+COUNTIF('3月'!ED4:ED34,$B36)+COUNTIF('3月'!EE4:EE34,$B36)+COUNTIF('3月'!EI4:EI34,$B36)+COUNTIF('3月'!EJ4:EJ34,$B36)+COUNTIF('3月'!EN4:EN34,$B36)+COUNTIF('3月'!EO4:EO34,$B36)+COUNTIF('3月'!ES4:ES34,$B36)+COUNTIF('3月'!ET4:ET34,$B36)),0)</f>
        <v>0</v>
      </c>
      <c r="F36" s="76">
        <f>IFERROR(IF($B36="","",COUNTIF('4月'!D4:D34,$B36)+COUNTIF('4月'!E4:E34,$B36)+COUNTIF('4月'!I4:I34,$B36)+COUNTIF('4月'!J4:J34,$B36)+COUNTIF('4月'!N4:N34,$B36)+COUNTIF('4月'!O4:O34,$B36)+COUNTIF('4月'!S4:S34,$B36)+COUNTIF('4月'!T4:T34,$B36)+COUNTIF('4月'!X4:X34,$B36)+COUNTIF('4月'!Y4:Y34,$B36)+COUNTIF('4月'!AC4:AC34,$B36)+COUNTIF('4月'!AD4:AD34,$B36)+COUNTIF('4月'!AH4:AH34,$B36)+COUNTIF('4月'!AI4:AI34,$B36)+COUNTIF('4月'!AM4:AM34,$B36)+COUNTIF('4月'!AN4:AN34,$B36)+COUNTIF('4月'!AR4:AR34,$B36)+COUNTIF('4月'!AS4:AS34,$B36)+COUNTIF('4月'!AW4:AW34,$B36)+COUNTIF('4月'!AX4:AX34,$B36)+COUNTIF('4月'!BB4:BB34,$B36)+COUNTIF('4月'!BC4:BC34,$B36)+COUNTIF('4月'!BG4:BG34,$B36)+COUNTIF('4月'!BH4:BH34,$B36)+COUNTIF('4月'!BL4:BL34,$B36)+COUNTIF('4月'!BM4:BM34,$B36)+COUNTIF('4月'!BQ4:BQ34,$B36)+COUNTIF('4月'!BR4:BR34,$B36)+COUNTIF('4月'!BV4:BV34,$B36)+COUNTIF('4月'!BW4:BW34,$B36)+COUNTIF('4月'!CA4:CA34,$B36)+COUNTIF('4月'!CB4:CB34,$B36)+COUNTIF('4月'!CF4:CF34,$B36)+COUNTIF('4月'!CG4:CG34,$B36)+COUNTIF('4月'!CK4:CK34,$B36)+COUNTIF('4月'!CL4:CL34,$B36)+COUNTIF('4月'!CP4:CP34,$B36)+COUNTIF('4月'!CQ4:CQ34,$B36)+COUNTIF('4月'!CU4:CU34,$B36)+COUNTIF('4月'!CV4:CV34,$B36)+COUNTIF('4月'!CZ4:CZ34,$B36)+COUNTIF('4月'!DA4:DA34,$B36)+COUNTIF('4月'!DE4:DE34,$B36)+COUNTIF('4月'!DF4:DF34,$B36)+COUNTIF('4月'!DJ4:DJ34,$B36)+COUNTIF('4月'!DK4:DK34,$B36)+COUNTIF('4月'!DO4:DO34,$B36)+COUNTIF('4月'!DP4:DP34,$B36)+COUNTIF('4月'!DT4:DT34,$B36)+COUNTIF('4月'!DU4:DU34,$B36)+COUNTIF('4月'!DY4:DY34,$B36)+COUNTIF('4月'!DZ4:DZ34,$B36)+COUNTIF('4月'!ED4:ED34,$B36)+COUNTIF('4月'!EE4:EE34,$B36)+COUNTIF('4月'!EI4:EI34,$B36)+COUNTIF('4月'!EJ4:EJ34,$B36)+COUNTIF('4月'!EN4:EN34,$B36)+COUNTIF('4月'!EO4:EO34,$B36)+COUNTIF('4月'!ES4:ES34,$B36)+COUNTIF('4月'!ET4:ET34,$B36)),0)</f>
        <v>0</v>
      </c>
      <c r="G36" s="76">
        <f>IFERROR(IF($B36="","",COUNTIF('5月'!D4:D34,$B36)+COUNTIF('5月'!E4:E34,$B36)+COUNTIF('5月'!I4:I34,$B36)+COUNTIF('5月'!J4:J34,$B36)+COUNTIF('5月'!N4:N34,$B36)+COUNTIF('5月'!O4:O34,$B36)+COUNTIF('5月'!S4:S34,$B36)+COUNTIF('5月'!T4:T34,$B36)+COUNTIF('5月'!X4:X34,$B36)+COUNTIF('5月'!Y4:Y34,$B36)+COUNTIF('5月'!AC4:AC34,$B36)+COUNTIF('5月'!AD4:AD34,$B36)+COUNTIF('5月'!AH4:AH34,$B36)+COUNTIF('5月'!AI4:AI34,$B36)+COUNTIF('5月'!AM4:AM34,$B36)+COUNTIF('5月'!AN4:AN34,$B36)+COUNTIF('5月'!AR4:AR34,$B36)+COUNTIF('5月'!AS4:AS34,$B36)+COUNTIF('5月'!AW4:AW34,$B36)+COUNTIF('5月'!AX4:AX34,$B36)+COUNTIF('5月'!BB4:BB34,$B36)+COUNTIF('5月'!BC4:BC34,$B36)+COUNTIF('5月'!BG4:BG34,$B36)+COUNTIF('5月'!BH4:BH34,$B36)+COUNTIF('5月'!BL4:BL34,$B36)+COUNTIF('5月'!BM4:BM34,$B36)+COUNTIF('5月'!BQ4:BQ34,$B36)+COUNTIF('5月'!BR4:BR34,$B36)+COUNTIF('5月'!BV4:BV34,$B36)+COUNTIF('5月'!BW4:BW34,$B36)+COUNTIF('5月'!CA4:CA34,$B36)+COUNTIF('5月'!CB4:CB34,$B36)+COUNTIF('5月'!CF4:CF34,$B36)+COUNTIF('5月'!CG4:CG34,$B36)+COUNTIF('5月'!CK4:CK34,$B36)+COUNTIF('5月'!CL4:CL34,$B36)+COUNTIF('5月'!CP4:CP34,$B36)+COUNTIF('5月'!CQ4:CQ34,$B36)+COUNTIF('5月'!CU4:CU34,$B36)+COUNTIF('5月'!CV4:CV34,$B36)+COUNTIF('5月'!CZ4:CZ34,$B36)+COUNTIF('5月'!DA4:DA34,$B36)+COUNTIF('5月'!DE4:DE34,$B36)+COUNTIF('5月'!DF4:DF34,$B36)+COUNTIF('5月'!DJ4:DJ34,$B36)+COUNTIF('5月'!DK4:DK34,$B36)+COUNTIF('5月'!DO4:DO34,$B36)+COUNTIF('5月'!DP4:DP34,$B36)+COUNTIF('5月'!DT4:DT34,$B36)+COUNTIF('5月'!DU4:DU34,$B36)+COUNTIF('5月'!DY4:DY34,$B36)+COUNTIF('5月'!DZ4:DZ34,$B36)+COUNTIF('5月'!ED4:ED34,$B36)+COUNTIF('5月'!EE4:EE34,$B36)+COUNTIF('5月'!EI4:EI34,$B36)+COUNTIF('5月'!EJ4:EJ34,$B36)+COUNTIF('5月'!EN4:EN34,$B36)+COUNTIF('5月'!EO4:EO34,$B36)+COUNTIF('5月'!ES4:ES34,$B36)+COUNTIF('5月'!ET4:ET34,$B36)),0)</f>
        <v>0</v>
      </c>
      <c r="H36" s="76">
        <f>IFERROR(IF($B36="","",COUNTIF('6月'!D4:D34,$B36)+COUNTIF('6月'!E4:E34,$B36)+COUNTIF('6月'!I4:I34,$B36)+COUNTIF('6月'!J4:J34,$B36)+COUNTIF('6月'!N4:N34,$B36)+COUNTIF('6月'!O4:O34,$B36)+COUNTIF('6月'!S4:S34,$B36)+COUNTIF('6月'!T4:T34,$B36)+COUNTIF('6月'!X4:X34,$B36)+COUNTIF('6月'!Y4:Y34,$B36)+COUNTIF('6月'!AC4:AC34,$B36)+COUNTIF('6月'!AD4:AD34,$B36)+COUNTIF('6月'!AH4:AH34,$B36)+COUNTIF('6月'!AI4:AI34,$B36)+COUNTIF('6月'!AM4:AM34,$B36)+COUNTIF('6月'!AN4:AN34,$B36)+COUNTIF('6月'!AR4:AR34,$B36)+COUNTIF('6月'!AS4:AS34,$B36)+COUNTIF('6月'!AW4:AW34,$B36)+COUNTIF('6月'!AX4:AX34,$B36)+COUNTIF('6月'!BB4:BB34,$B36)+COUNTIF('6月'!BC4:BC34,$B36)+COUNTIF('6月'!BG4:BG34,$B36)+COUNTIF('6月'!BH4:BH34,$B36)+COUNTIF('6月'!BL4:BL34,$B36)+COUNTIF('6月'!BM4:BM34,$B36)+COUNTIF('6月'!BQ4:BQ34,$B36)+COUNTIF('6月'!BR4:BR34,$B36)+COUNTIF('6月'!BV4:BV34,$B36)+COUNTIF('6月'!BW4:BW34,$B36)+COUNTIF('6月'!CA4:CA34,$B36)+COUNTIF('6月'!CB4:CB34,$B36)+COUNTIF('6月'!CF4:CF34,$B36)+COUNTIF('6月'!CG4:CG34,$B36)+COUNTIF('6月'!CK4:CK34,$B36)+COUNTIF('6月'!CL4:CL34,$B36)+COUNTIF('6月'!CP4:CP34,$B36)+COUNTIF('6月'!CQ4:CQ34,$B36)+COUNTIF('6月'!CU4:CU34,$B36)+COUNTIF('6月'!CV4:CV34,$B36)+COUNTIF('6月'!CZ4:CZ34,$B36)+COUNTIF('6月'!DA4:DA34,$B36)+COUNTIF('6月'!DE4:DE34,$B36)+COUNTIF('6月'!DF4:DF34,$B36)+COUNTIF('6月'!DJ4:DJ34,$B36)+COUNTIF('6月'!DK4:DK34,$B36)+COUNTIF('6月'!DO4:DO34,$B36)+COUNTIF('6月'!DP4:DP34,$B36)+COUNTIF('6月'!DT4:DT34,$B36)+COUNTIF('6月'!DU4:DU34,$B36)+COUNTIF('6月'!DY4:DY34,$B36)+COUNTIF('6月'!DZ4:DZ34,$B36)+COUNTIF('6月'!ED4:ED34,$B36)+COUNTIF('6月'!EE4:EE34,$B36)+COUNTIF('6月'!EI4:EI34,$B36)+COUNTIF('6月'!EJ4:EJ34,$B36)+COUNTIF('6月'!EN4:EN34,$B36)+COUNTIF('6月'!EO4:EO34,$B36)+COUNTIF('6月'!ES4:ES34,$B36)+COUNTIF('6月'!ET4:ET34,$B36)),0)</f>
        <v>0</v>
      </c>
      <c r="I36" s="76">
        <f>IFERROR(IF($B36="","",COUNTIF('7月'!D4:D34,$B36)+COUNTIF('7月'!E4:E34,$B36)+COUNTIF('7月'!I4:I34,$B36)+COUNTIF('7月'!J4:J34,$B36)+COUNTIF('7月'!N4:N34,$B36)+COUNTIF('7月'!O4:O34,$B36)+COUNTIF('7月'!S4:S34,$B36)+COUNTIF('7月'!T4:T34,$B36)+COUNTIF('7月'!X4:X34,$B36)+COUNTIF('7月'!Y4:Y34,$B36)+COUNTIF('7月'!AC4:AC34,$B36)+COUNTIF('7月'!AD4:AD34,$B36)+COUNTIF('7月'!AH4:AH34,$B36)+COUNTIF('7月'!AI4:AI34,$B36)+COUNTIF('7月'!AM4:AM34,$B36)+COUNTIF('7月'!AN4:AN34,$B36)+COUNTIF('7月'!AR4:AR34,$B36)+COUNTIF('7月'!AS4:AS34,$B36)+COUNTIF('7月'!AW4:AW34,$B36)+COUNTIF('7月'!AX4:AX34,$B36)+COUNTIF('7月'!BB4:BB34,$B36)+COUNTIF('7月'!BC4:BC34,$B36)+COUNTIF('7月'!BG4:BG34,$B36)+COUNTIF('7月'!BH4:BH34,$B36)+COUNTIF('7月'!BL4:BL34,$B36)+COUNTIF('7月'!BM4:BM34,$B36)+COUNTIF('7月'!BQ4:BQ34,$B36)+COUNTIF('7月'!BR4:BR34,$B36)+COUNTIF('7月'!BV4:BV34,$B36)+COUNTIF('7月'!BW4:BW34,$B36)+COUNTIF('7月'!CA4:CA34,$B36)+COUNTIF('7月'!CB4:CB34,$B36)+COUNTIF('7月'!CF4:CF34,$B36)+COUNTIF('7月'!CG4:CG34,$B36)+COUNTIF('7月'!CK4:CK34,$B36)+COUNTIF('7月'!CL4:CL34,$B36)+COUNTIF('7月'!CP4:CP34,$B36)+COUNTIF('7月'!CQ4:CQ34,$B36)+COUNTIF('7月'!CU4:CU34,$B36)+COUNTIF('7月'!CV4:CV34,$B36)+COUNTIF('7月'!CZ4:CZ34,$B36)+COUNTIF('7月'!DA4:DA34,$B36)+COUNTIF('7月'!DE4:DE34,$B36)+COUNTIF('7月'!DF4:DF34,$B36)+COUNTIF('7月'!DJ4:DJ34,$B36)+COUNTIF('7月'!DK4:DK34,$B36)+COUNTIF('7月'!DO4:DO34,$B36)+COUNTIF('7月'!DP4:DP34,$B36)+COUNTIF('7月'!DT4:DT34,$B36)+COUNTIF('7月'!DU4:DU34,$B36)+COUNTIF('7月'!DY4:DY34,$B36)+COUNTIF('7月'!DZ4:DZ34,$B36)+COUNTIF('7月'!ED4:ED34,$B36)+COUNTIF('7月'!EE4:EE34,$B36)+COUNTIF('7月'!EI4:EI34,$B36)+COUNTIF('7月'!EJ4:EJ34,$B36)+COUNTIF('7月'!EN4:EN34,$B36)+COUNTIF('7月'!EO4:EO34,$B36)+COUNTIF('7月'!ES4:ES34,$B36)+COUNTIF('7月'!ET4:ET34,$B36)),0)</f>
        <v>0</v>
      </c>
      <c r="J36" s="76">
        <f>IFERROR(IF($B36="","",COUNTIF('8月'!D4:D34,$B36)+COUNTIF('8月'!E4:E34,$B36)+COUNTIF('8月'!I4:I34,$B36)+COUNTIF('8月'!J4:J34,$B36)+COUNTIF('8月'!N4:N34,$B36)+COUNTIF('8月'!O4:O34,$B36)+COUNTIF('8月'!S4:S34,$B36)+COUNTIF('8月'!T4:T34,$B36)+COUNTIF('8月'!X4:X34,$B36)+COUNTIF('8月'!Y4:Y34,$B36)+COUNTIF('8月'!AC4:AC34,$B36)+COUNTIF('8月'!AD4:AD34,$B36)+COUNTIF('8月'!AH4:AH34,$B36)+COUNTIF('8月'!AI4:AI34,$B36)+COUNTIF('8月'!AM4:AM34,$B36)+COUNTIF('8月'!AN4:AN34,$B36)+COUNTIF('8月'!AR4:AR34,$B36)+COUNTIF('8月'!AS4:AS34,$B36)+COUNTIF('8月'!AW4:AW34,$B36)+COUNTIF('8月'!AX4:AX34,$B36)+COUNTIF('8月'!BB4:BB34,$B36)+COUNTIF('8月'!BC4:BC34,$B36)+COUNTIF('8月'!BG4:BG34,$B36)+COUNTIF('8月'!BH4:BH34,$B36)+COUNTIF('8月'!BL4:BL34,$B36)+COUNTIF('8月'!BM4:BM34,$B36)+COUNTIF('8月'!BQ4:BQ34,$B36)+COUNTIF('8月'!BR4:BR34,$B36)+COUNTIF('8月'!BV4:BV34,$B36)+COUNTIF('8月'!BW4:BW34,$B36)+COUNTIF('8月'!CA4:CA34,$B36)+COUNTIF('8月'!CB4:CB34,$B36)+COUNTIF('8月'!CF4:CF34,$B36)+COUNTIF('8月'!CG4:CG34,$B36)+COUNTIF('8月'!CK4:CK34,$B36)+COUNTIF('8月'!CL4:CL34,$B36)+COUNTIF('8月'!CP4:CP34,$B36)+COUNTIF('8月'!CQ4:CQ34,$B36)+COUNTIF('8月'!CU4:CU34,$B36)+COUNTIF('8月'!CV4:CV34,$B36)+COUNTIF('8月'!CZ4:CZ34,$B36)+COUNTIF('8月'!DA4:DA34,$B36)+COUNTIF('8月'!DE4:DE34,$B36)+COUNTIF('8月'!DF4:DF34,$B36)+COUNTIF('8月'!DJ4:DJ34,$B36)+COUNTIF('8月'!DK4:DK34,$B36)+COUNTIF('8月'!DO4:DO34,$B36)+COUNTIF('8月'!DP4:DP34,$B36)+COUNTIF('8月'!DT4:DT34,$B36)+COUNTIF('8月'!DU4:DU34,$B36)+COUNTIF('8月'!DY4:DY34,$B36)+COUNTIF('8月'!DZ4:DZ34,$B36)+COUNTIF('8月'!ED4:ED34,$B36)+COUNTIF('8月'!EE4:EE34,$B36)+COUNTIF('8月'!EI4:EI34,$B36)+COUNTIF('8月'!EJ4:EJ34,$B36)+COUNTIF('8月'!EN4:EN34,$B36)+COUNTIF('8月'!EO4:EO34,$B36)+COUNTIF('8月'!ES4:ES34,$B36)+COUNTIF('8月'!ET4:ET34,$B36)),0)</f>
        <v>0</v>
      </c>
      <c r="K36" s="76">
        <f>IFERROR(IF($B36="","",COUNTIF('9月'!D4:D34,$B36)+COUNTIF('9月'!E4:E34,$B36)+COUNTIF('9月'!I4:I34,$B36)+COUNTIF('9月'!J4:J34,$B36)+COUNTIF('9月'!N4:N34,$B36)+COUNTIF('9月'!O4:O34,$B36)+COUNTIF('9月'!S4:S34,$B36)+COUNTIF('9月'!T4:T34,$B36)+COUNTIF('9月'!X4:X34,$B36)+COUNTIF('9月'!Y4:Y34,$B36)+COUNTIF('9月'!AC4:AC34,$B36)+COUNTIF('9月'!AD4:AD34,$B36)+COUNTIF('9月'!AH4:AH34,$B36)+COUNTIF('9月'!AI4:AI34,$B36)+COUNTIF('9月'!AM4:AM34,$B36)+COUNTIF('9月'!AN4:AN34,$B36)+COUNTIF('9月'!AR4:AR34,$B36)+COUNTIF('9月'!AS4:AS34,$B36)+COUNTIF('9月'!AW4:AW34,$B36)+COUNTIF('9月'!AX4:AX34,$B36)+COUNTIF('9月'!BB4:BB34,$B36)+COUNTIF('9月'!BC4:BC34,$B36)+COUNTIF('9月'!BG4:BG34,$B36)+COUNTIF('9月'!BH4:BH34,$B36)+COUNTIF('9月'!BL4:BL34,$B36)+COUNTIF('9月'!BM4:BM34,$B36)+COUNTIF('9月'!BQ4:BQ34,$B36)+COUNTIF('9月'!BR4:BR34,$B36)+COUNTIF('9月'!BV4:BV34,$B36)+COUNTIF('9月'!BW4:BW34,$B36)+COUNTIF('9月'!CA4:CA34,$B36)+COUNTIF('9月'!CB4:CB34,$B36)+COUNTIF('9月'!CF4:CF34,$B36)+COUNTIF('9月'!CG4:CG34,$B36)+COUNTIF('9月'!CK4:CK34,$B36)+COUNTIF('9月'!CL4:CL34,$B36)+COUNTIF('9月'!CP4:CP34,$B36)+COUNTIF('9月'!CQ4:CQ34,$B36)+COUNTIF('9月'!CU4:CU34,$B36)+COUNTIF('9月'!CV4:CV34,$B36)+COUNTIF('9月'!CZ4:CZ34,$B36)+COUNTIF('9月'!DA4:DA34,$B36)+COUNTIF('9月'!DE4:DE34,$B36)+COUNTIF('9月'!DF4:DF34,$B36)+COUNTIF('9月'!DJ4:DJ34,$B36)+COUNTIF('9月'!DK4:DK34,$B36)+COUNTIF('9月'!DO4:DO34,$B36)+COUNTIF('9月'!DP4:DP34,$B36)+COUNTIF('9月'!DT4:DT34,$B36)+COUNTIF('9月'!DU4:DU34,$B36)+COUNTIF('9月'!DY4:DY34,$B36)+COUNTIF('9月'!DZ4:DZ34,$B36)+COUNTIF('9月'!ED4:ED34,$B36)+COUNTIF('9月'!EE4:EE34,$B36)+COUNTIF('9月'!EI4:EI34,$B36)+COUNTIF('9月'!EJ4:EJ34,$B36)+COUNTIF('9月'!EN4:EN34,$B36)+COUNTIF('9月'!EO4:EO34,$B36)+COUNTIF('9月'!ES4:ES34,$B36)+COUNTIF('9月'!ET4:ET34,$B36)),0)</f>
        <v>0</v>
      </c>
      <c r="L36" s="76">
        <f>IFERROR(IF($B36="","",COUNTIF('10月'!D4:D34,$B36)+COUNTIF('10月'!E4:E34,$B36)+COUNTIF('10月'!I4:I34,$B36)+COUNTIF('10月'!J4:J34,$B36)+COUNTIF('10月'!N4:N34,$B36)+COUNTIF('10月'!O4:O34,$B36)+COUNTIF('10月'!S4:S34,$B36)+COUNTIF('10月'!T4:T34,$B36)+COUNTIF('10月'!X4:X34,$B36)+COUNTIF('10月'!Y4:Y34,$B36)+COUNTIF('10月'!AC4:AC34,$B36)+COUNTIF('10月'!AD4:AD34,$B36)+COUNTIF('10月'!AH4:AH34,$B36)+COUNTIF('10月'!AI4:AI34,$B36)+COUNTIF('10月'!AM4:AM34,$B36)+COUNTIF('10月'!AN4:AN34,$B36)+COUNTIF('10月'!AR4:AR34,$B36)+COUNTIF('10月'!AS4:AS34,$B36)+COUNTIF('10月'!AW4:AW34,$B36)+COUNTIF('10月'!AX4:AX34,$B36)+COUNTIF('10月'!BB4:BB34,$B36)+COUNTIF('10月'!BC4:BC34,$B36)+COUNTIF('10月'!BG4:BG34,$B36)+COUNTIF('10月'!BH4:BH34,$B36)+COUNTIF('10月'!BL4:BL34,$B36)+COUNTIF('10月'!BM4:BM34,$B36)+COUNTIF('10月'!BQ4:BQ34,$B36)+COUNTIF('10月'!BR4:BR34,$B36)+COUNTIF('10月'!BV4:BV34,$B36)+COUNTIF('10月'!BW4:BW34,$B36)+COUNTIF('10月'!CA4:CA34,$B36)+COUNTIF('10月'!CB4:CB34,$B36)+COUNTIF('10月'!CF4:CF34,$B36)+COUNTIF('10月'!CG4:CG34,$B36)+COUNTIF('10月'!CK4:CK34,$B36)+COUNTIF('10月'!CL4:CL34,$B36)+COUNTIF('10月'!CP4:CP34,$B36)+COUNTIF('10月'!CQ4:CQ34,$B36)+COUNTIF('10月'!CU4:CU34,$B36)+COUNTIF('10月'!CV4:CV34,$B36)+COUNTIF('10月'!CZ4:CZ34,$B36)+COUNTIF('10月'!DA4:DA34,$B36)+COUNTIF('10月'!DE4:DE34,$B36)+COUNTIF('10月'!DF4:DF34,$B36)+COUNTIF('10月'!DJ4:DJ34,$B36)+COUNTIF('10月'!DK4:DK34,$B36)+COUNTIF('10月'!DO4:DO34,$B36)+COUNTIF('10月'!DP4:DP34,$B36)+COUNTIF('10月'!DT4:DT34,$B36)+COUNTIF('10月'!DU4:DU34,$B36)+COUNTIF('10月'!DY4:DY34,$B36)+COUNTIF('10月'!DZ4:DZ34,$B36)+COUNTIF('10月'!ED4:ED34,$B36)+COUNTIF('10月'!EE4:EE34,$B36)+COUNTIF('10月'!EI4:EI34,$B36)+COUNTIF('10月'!EJ4:EJ34,$B36)+COUNTIF('10月'!EN4:EN34,$B36)+COUNTIF('10月'!EO4:EO34,$B36)+COUNTIF('10月'!ES4:ES34,$B36)+COUNTIF('10月'!ET4:ET34,$B36)),0)</f>
        <v>0</v>
      </c>
      <c r="M36" s="76">
        <f>IFERROR(IF($B36="","",COUNTIF('11月'!D4:D34,$B36)+COUNTIF('11月'!E4:E34,$B36)+COUNTIF('11月'!I4:I34,$B36)+COUNTIF('11月'!J4:J34,$B36)+COUNTIF('11月'!N4:N34,$B36)+COUNTIF('11月'!O4:O34,$B36)+COUNTIF('11月'!S4:S34,$B36)+COUNTIF('11月'!T4:T34,$B36)+COUNTIF('11月'!X4:X34,$B36)+COUNTIF('11月'!Y4:Y34,$B36)+COUNTIF('11月'!AC4:AC34,$B36)+COUNTIF('11月'!AD4:AD34,$B36)+COUNTIF('11月'!AH4:AH34,$B36)+COUNTIF('11月'!AI4:AI34,$B36)+COUNTIF('11月'!AM4:AM34,$B36)+COUNTIF('11月'!AN4:AN34,$B36)+COUNTIF('11月'!AR4:AR34,$B36)+COUNTIF('11月'!AS4:AS34,$B36)+COUNTIF('11月'!AW4:AW34,$B36)+COUNTIF('11月'!AX4:AX34,$B36)+COUNTIF('11月'!BB4:BB34,$B36)+COUNTIF('11月'!BC4:BC34,$B36)+COUNTIF('11月'!BG4:BG34,$B36)+COUNTIF('11月'!BH4:BH34,$B36)+COUNTIF('11月'!BL4:BL34,$B36)+COUNTIF('11月'!BM4:BM34,$B36)+COUNTIF('11月'!BQ4:BQ34,$B36)+COUNTIF('11月'!BR4:BR34,$B36)+COUNTIF('11月'!BV4:BV34,$B36)+COUNTIF('11月'!BW4:BW34,$B36)+COUNTIF('11月'!CA4:CA34,$B36)+COUNTIF('11月'!CB4:CB34,$B36)+COUNTIF('11月'!CF4:CF34,$B36)+COUNTIF('11月'!CG4:CG34,$B36)+COUNTIF('11月'!CK4:CK34,$B36)+COUNTIF('11月'!CL4:CL34,$B36)+COUNTIF('11月'!CP4:CP34,$B36)+COUNTIF('11月'!CQ4:CQ34,$B36)+COUNTIF('11月'!CU4:CU34,$B36)+COUNTIF('11月'!CV4:CV34,$B36)+COUNTIF('11月'!CZ4:CZ34,$B36)+COUNTIF('11月'!DA4:DA34,$B36)+COUNTIF('11月'!DE4:DE34,$B36)+COUNTIF('11月'!DF4:DF34,$B36)+COUNTIF('11月'!DJ4:DJ34,$B36)+COUNTIF('11月'!DK4:DK34,$B36)+COUNTIF('11月'!DO4:DO34,$B36)+COUNTIF('11月'!DP4:DP34,$B36)+COUNTIF('11月'!DT4:DT34,$B36)+COUNTIF('11月'!DU4:DU34,$B36)+COUNTIF('11月'!DY4:DY34,$B36)+COUNTIF('11月'!DZ4:DZ34,$B36)+COUNTIF('11月'!ED4:ED34,$B36)+COUNTIF('11月'!EE4:EE34,$B36)+COUNTIF('11月'!EI4:EI34,$B36)+COUNTIF('11月'!EJ4:EJ34,$B36)+COUNTIF('11月'!EN4:EN34,$B36)+COUNTIF('11月'!EO4:EO34,$B36)+COUNTIF('11月'!ES4:ES34,$B36)+COUNTIF('11月'!ET4:ET34,$B36)),0)</f>
        <v>0</v>
      </c>
      <c r="N36" s="76">
        <f>IFERROR(IF($B36="","",COUNTIF('12月'!D4:D34,$B36)+COUNTIF('12月'!E4:E34,$B36)+COUNTIF('12月'!I4:I34,$B36)+COUNTIF('12月'!J4:J34,$B36)+COUNTIF('12月'!N4:N34,$B36)+COUNTIF('12月'!O4:O34,$B36)+COUNTIF('12月'!S4:S34,$B36)+COUNTIF('12月'!T4:T34,$B36)+COUNTIF('12月'!X4:X34,$B36)+COUNTIF('12月'!Y4:Y34,$B36)+COUNTIF('12月'!AC4:AC34,$B36)+COUNTIF('12月'!AD4:AD34,$B36)+COUNTIF('12月'!AH4:AH34,$B36)+COUNTIF('12月'!AI4:AI34,$B36)+COUNTIF('12月'!AM4:AM34,$B36)+COUNTIF('12月'!AN4:AN34,$B36)+COUNTIF('12月'!AR4:AR34,$B36)+COUNTIF('12月'!AS4:AS34,$B36)+COUNTIF('12月'!AW4:AW34,$B36)+COUNTIF('12月'!AX4:AX34,$B36)+COUNTIF('12月'!BB4:BB34,$B36)+COUNTIF('12月'!BC4:BC34,$B36)+COUNTIF('12月'!BG4:BG34,$B36)+COUNTIF('12月'!BH4:BH34,$B36)+COUNTIF('12月'!BL4:BL34,$B36)+COUNTIF('12月'!BM4:BM34,$B36)+COUNTIF('12月'!BQ4:BQ34,$B36)+COUNTIF('12月'!BR4:BR34,$B36)+COUNTIF('12月'!BV4:BV34,$B36)+COUNTIF('12月'!BW4:BW34,$B36)+COUNTIF('12月'!CA4:CA34,$B36)+COUNTIF('12月'!CB4:CB34,$B36)+COUNTIF('12月'!CF4:CF34,$B36)+COUNTIF('12月'!CG4:CG34,$B36)+COUNTIF('12月'!CK4:CK34,$B36)+COUNTIF('12月'!CL4:CL34,$B36)+COUNTIF('12月'!CP4:CP34,$B36)+COUNTIF('12月'!CQ4:CQ34,$B36)+COUNTIF('12月'!CU4:CU34,$B36)+COUNTIF('12月'!CV4:CV34,$B36)+COUNTIF('12月'!CZ4:CZ34,$B36)+COUNTIF('12月'!DA4:DA34,$B36)+COUNTIF('12月'!DE4:DE34,$B36)+COUNTIF('12月'!DF4:DF34,$B36)+COUNTIF('12月'!DJ4:DJ34,$B36)+COUNTIF('12月'!DK4:DK34,$B36)+COUNTIF('12月'!DO4:DO34,$B36)+COUNTIF('12月'!DP4:DP34,$B36)+COUNTIF('12月'!DT4:DT34,$B36)+COUNTIF('12月'!DU4:DU34,$B36)+COUNTIF('12月'!DY4:DY34,$B36)+COUNTIF('12月'!DZ4:DZ34,$B36)+COUNTIF('12月'!ED4:ED34,$B36)+COUNTIF('12月'!EE4:EE34,$B36)+COUNTIF('12月'!EI4:EI34,$B36)+COUNTIF('12月'!EJ4:EJ34,$B36)+COUNTIF('12月'!EN4:EN34,$B36)+COUNTIF('12月'!EO4:EO34,$B36)+COUNTIF('12月'!ES4:ES34,$B36)+COUNTIF('12月'!ET4:ET34,$B36)),0)</f>
        <v>0</v>
      </c>
      <c r="O36" s="78">
        <f t="shared" si="0"/>
        <v>0</v>
      </c>
    </row>
    <row r="37" spans="1:15" ht="19.5" customHeight="1">
      <c r="A37" s="76">
        <v>35</v>
      </c>
      <c r="B37" s="77">
        <f>IFERROR(現場マスタ!$C$38,"")</f>
        <v>0</v>
      </c>
      <c r="C37" s="76">
        <f>IFERROR(IF($B37="","",COUNTIF('1月'!D4:D34,$B37)+COUNTIF('1月'!E4:E34,$B37)+COUNTIF('1月'!I4:I34,$B37)+COUNTIF('1月'!J4:J34,$B37)+COUNTIF('1月'!N4:N34,$B37)+COUNTIF('1月'!O4:O34,$B37)+COUNTIF('1月'!S4:S34,$B37)+COUNTIF('1月'!T4:T34,$B37)+COUNTIF('1月'!X4:X34,$B37)+COUNTIF('1月'!Y4:Y34,$B37)+COUNTIF('1月'!AC4:AC34,$B37)+COUNTIF('1月'!AD4:AD34,$B37)+COUNTIF('1月'!AH4:AH34,$B37)+COUNTIF('1月'!AI4:AI34,$B37)+COUNTIF('1月'!AM4:AM34,$B37)+COUNTIF('1月'!AN4:AN34,$B37)+COUNTIF('1月'!AR4:AR34,$B37)+COUNTIF('1月'!AS4:AS34,$B37)+COUNTIF('1月'!AW4:AW34,$B37)+COUNTIF('1月'!AX4:AX34,$B37)+COUNTIF('1月'!BB4:BB34,$B37)+COUNTIF('1月'!BC4:BC34,$B37)+COUNTIF('1月'!BG4:BG34,$B37)+COUNTIF('1月'!BH4:BH34,$B37)+COUNTIF('1月'!BL4:BL34,$B37)+COUNTIF('1月'!BM4:BM34,$B37)+COUNTIF('1月'!BQ4:BQ34,$B37)+COUNTIF('1月'!BR4:BR34,$B37)+COUNTIF('1月'!BV4:BV34,$B37)+COUNTIF('1月'!BW4:BW34,$B37)+COUNTIF('1月'!CA4:CA34,$B37)+COUNTIF('1月'!CB4:CB34,$B37)+COUNTIF('1月'!CF4:CF34,$B37)+COUNTIF('1月'!CG4:CG34,$B37)+COUNTIF('1月'!CK4:CK34,$B37)+COUNTIF('1月'!CL4:CL34,$B37)+COUNTIF('1月'!CP4:CP34,$B37)+COUNTIF('1月'!CQ4:CQ34,$B37)+COUNTIF('1月'!CU4:CU34,$B37)+COUNTIF('1月'!CV4:CV34,$B37)+COUNTIF('1月'!CZ4:CZ34,$B37)+COUNTIF('1月'!DA4:DA34,$B37)+COUNTIF('1月'!DE4:DE34,$B37)+COUNTIF('1月'!DF4:DF34,$B37)+COUNTIF('1月'!DJ4:DJ34,$B37)+COUNTIF('1月'!DK4:DK34,$B37)+COUNTIF('1月'!DO4:DO34,$B37)+COUNTIF('1月'!DP4:DP34,$B37)+COUNTIF('1月'!DT4:DT34,$B37)+COUNTIF('1月'!DU4:DU34,$B37)+COUNTIF('1月'!DY4:DY34,$B37)+COUNTIF('1月'!DZ4:DZ34,$B37)+COUNTIF('1月'!ED4:ED34,$B37)+COUNTIF('1月'!EE4:EE34,$B37)+COUNTIF('1月'!EI4:EI34,$B37)+COUNTIF('1月'!EJ4:EJ34,$B37)+COUNTIF('1月'!EN4:EN34,$B37)+COUNTIF('1月'!EO4:EO34,$B37)+COUNTIF('1月'!ES4:ES34,$B37)+COUNTIF('1月'!ET4:ET34,$B37)),0)</f>
        <v>0</v>
      </c>
      <c r="D37" s="76">
        <f>IFERROR(IF($B37="","",COUNTIF('2月'!D4:D34,$B37)+COUNTIF('2月'!E4:E34,$B37)+COUNTIF('2月'!I4:I34,$B37)+COUNTIF('2月'!J4:J34,$B37)+COUNTIF('2月'!N4:N34,$B37)+COUNTIF('2月'!O4:O34,$B37)+COUNTIF('2月'!S4:S34,$B37)+COUNTIF('2月'!T4:T34,$B37)+COUNTIF('2月'!X4:X34,$B37)+COUNTIF('2月'!Y4:Y34,$B37)+COUNTIF('2月'!AC4:AC34,$B37)+COUNTIF('2月'!AD4:AD34,$B37)+COUNTIF('2月'!AH4:AH34,$B37)+COUNTIF('2月'!AI4:AI34,$B37)+COUNTIF('2月'!AM4:AM34,$B37)+COUNTIF('2月'!AN4:AN34,$B37)+COUNTIF('2月'!AR4:AR34,$B37)+COUNTIF('2月'!AS4:AS34,$B37)+COUNTIF('2月'!AW4:AW34,$B37)+COUNTIF('2月'!AX4:AX34,$B37)+COUNTIF('2月'!BB4:BB34,$B37)+COUNTIF('2月'!BC4:BC34,$B37)+COUNTIF('2月'!BG4:BG34,$B37)+COUNTIF('2月'!BH4:BH34,$B37)+COUNTIF('2月'!BL4:BL34,$B37)+COUNTIF('2月'!BM4:BM34,$B37)+COUNTIF('2月'!BQ4:BQ34,$B37)+COUNTIF('2月'!BR4:BR34,$B37)+COUNTIF('2月'!BV4:BV34,$B37)+COUNTIF('2月'!BW4:BW34,$B37)+COUNTIF('2月'!CA4:CA34,$B37)+COUNTIF('2月'!CB4:CB34,$B37)+COUNTIF('2月'!CF4:CF34,$B37)+COUNTIF('2月'!CG4:CG34,$B37)+COUNTIF('2月'!CK4:CK34,$B37)+COUNTIF('2月'!CL4:CL34,$B37)+COUNTIF('2月'!CP4:CP34,$B37)+COUNTIF('2月'!CQ4:CQ34,$B37)+COUNTIF('2月'!CU4:CU34,$B37)+COUNTIF('2月'!CV4:CV34,$B37)+COUNTIF('2月'!CZ4:CZ34,$B37)+COUNTIF('2月'!DA4:DA34,$B37)+COUNTIF('2月'!DE4:DE34,$B37)+COUNTIF('2月'!DF4:DF34,$B37)+COUNTIF('2月'!DJ4:DJ34,$B37)+COUNTIF('2月'!DK4:DK34,$B37)+COUNTIF('2月'!DO4:DO34,$B37)+COUNTIF('2月'!DP4:DP34,$B37)+COUNTIF('2月'!DT4:DT34,$B37)+COUNTIF('2月'!DU4:DU34,$B37)+COUNTIF('2月'!DY4:DY34,$B37)+COUNTIF('2月'!DZ4:DZ34,$B37)+COUNTIF('2月'!ED4:ED34,$B37)+COUNTIF('2月'!EE4:EE34,$B37)+COUNTIF('2月'!EI4:EI34,$B37)+COUNTIF('2月'!EJ4:EJ34,$B37)+COUNTIF('2月'!EN4:EN34,$B37)+COUNTIF('2月'!EO4:EO34,$B37)+COUNTIF('2月'!ES4:ES34,$B37)+COUNTIF('2月'!ET4:ET34,$B37)),0)</f>
        <v>0</v>
      </c>
      <c r="E37" s="76">
        <f>IFERROR(IF($B37="","",COUNTIF('3月'!D4:D34,$B37)+COUNTIF('3月'!E4:E34,$B37)+COUNTIF('3月'!I4:I34,$B37)+COUNTIF('3月'!J4:J34,$B37)+COUNTIF('3月'!N4:N34,$B37)+COUNTIF('3月'!O4:O34,$B37)+COUNTIF('3月'!S4:S34,$B37)+COUNTIF('3月'!T4:T34,$B37)+COUNTIF('3月'!X4:X34,$B37)+COUNTIF('3月'!Y4:Y34,$B37)+COUNTIF('3月'!AC4:AC34,$B37)+COUNTIF('3月'!AD4:AD34,$B37)+COUNTIF('3月'!AH4:AH34,$B37)+COUNTIF('3月'!AI4:AI34,$B37)+COUNTIF('3月'!AM4:AM34,$B37)+COUNTIF('3月'!AN4:AN34,$B37)+COUNTIF('3月'!AR4:AR34,$B37)+COUNTIF('3月'!AS4:AS34,$B37)+COUNTIF('3月'!AW4:AW34,$B37)+COUNTIF('3月'!AX4:AX34,$B37)+COUNTIF('3月'!BB4:BB34,$B37)+COUNTIF('3月'!BC4:BC34,$B37)+COUNTIF('3月'!BG4:BG34,$B37)+COUNTIF('3月'!BH4:BH34,$B37)+COUNTIF('3月'!BL4:BL34,$B37)+COUNTIF('3月'!BM4:BM34,$B37)+COUNTIF('3月'!BQ4:BQ34,$B37)+COUNTIF('3月'!BR4:BR34,$B37)+COUNTIF('3月'!BV4:BV34,$B37)+COUNTIF('3月'!BW4:BW34,$B37)+COUNTIF('3月'!CA4:CA34,$B37)+COUNTIF('3月'!CB4:CB34,$B37)+COUNTIF('3月'!CF4:CF34,$B37)+COUNTIF('3月'!CG4:CG34,$B37)+COUNTIF('3月'!CK4:CK34,$B37)+COUNTIF('3月'!CL4:CL34,$B37)+COUNTIF('3月'!CP4:CP34,$B37)+COUNTIF('3月'!CQ4:CQ34,$B37)+COUNTIF('3月'!CU4:CU34,$B37)+COUNTIF('3月'!CV4:CV34,$B37)+COUNTIF('3月'!CZ4:CZ34,$B37)+COUNTIF('3月'!DA4:DA34,$B37)+COUNTIF('3月'!DE4:DE34,$B37)+COUNTIF('3月'!DF4:DF34,$B37)+COUNTIF('3月'!DJ4:DJ34,$B37)+COUNTIF('3月'!DK4:DK34,$B37)+COUNTIF('3月'!DO4:DO34,$B37)+COUNTIF('3月'!DP4:DP34,$B37)+COUNTIF('3月'!DT4:DT34,$B37)+COUNTIF('3月'!DU4:DU34,$B37)+COUNTIF('3月'!DY4:DY34,$B37)+COUNTIF('3月'!DZ4:DZ34,$B37)+COUNTIF('3月'!ED4:ED34,$B37)+COUNTIF('3月'!EE4:EE34,$B37)+COUNTIF('3月'!EI4:EI34,$B37)+COUNTIF('3月'!EJ4:EJ34,$B37)+COUNTIF('3月'!EN4:EN34,$B37)+COUNTIF('3月'!EO4:EO34,$B37)+COUNTIF('3月'!ES4:ES34,$B37)+COUNTIF('3月'!ET4:ET34,$B37)),0)</f>
        <v>0</v>
      </c>
      <c r="F37" s="76">
        <f>IFERROR(IF($B37="","",COUNTIF('4月'!D4:D34,$B37)+COUNTIF('4月'!E4:E34,$B37)+COUNTIF('4月'!I4:I34,$B37)+COUNTIF('4月'!J4:J34,$B37)+COUNTIF('4月'!N4:N34,$B37)+COUNTIF('4月'!O4:O34,$B37)+COUNTIF('4月'!S4:S34,$B37)+COUNTIF('4月'!T4:T34,$B37)+COUNTIF('4月'!X4:X34,$B37)+COUNTIF('4月'!Y4:Y34,$B37)+COUNTIF('4月'!AC4:AC34,$B37)+COUNTIF('4月'!AD4:AD34,$B37)+COUNTIF('4月'!AH4:AH34,$B37)+COUNTIF('4月'!AI4:AI34,$B37)+COUNTIF('4月'!AM4:AM34,$B37)+COUNTIF('4月'!AN4:AN34,$B37)+COUNTIF('4月'!AR4:AR34,$B37)+COUNTIF('4月'!AS4:AS34,$B37)+COUNTIF('4月'!AW4:AW34,$B37)+COUNTIF('4月'!AX4:AX34,$B37)+COUNTIF('4月'!BB4:BB34,$B37)+COUNTIF('4月'!BC4:BC34,$B37)+COUNTIF('4月'!BG4:BG34,$B37)+COUNTIF('4月'!BH4:BH34,$B37)+COUNTIF('4月'!BL4:BL34,$B37)+COUNTIF('4月'!BM4:BM34,$B37)+COUNTIF('4月'!BQ4:BQ34,$B37)+COUNTIF('4月'!BR4:BR34,$B37)+COUNTIF('4月'!BV4:BV34,$B37)+COUNTIF('4月'!BW4:BW34,$B37)+COUNTIF('4月'!CA4:CA34,$B37)+COUNTIF('4月'!CB4:CB34,$B37)+COUNTIF('4月'!CF4:CF34,$B37)+COUNTIF('4月'!CG4:CG34,$B37)+COUNTIF('4月'!CK4:CK34,$B37)+COUNTIF('4月'!CL4:CL34,$B37)+COUNTIF('4月'!CP4:CP34,$B37)+COUNTIF('4月'!CQ4:CQ34,$B37)+COUNTIF('4月'!CU4:CU34,$B37)+COUNTIF('4月'!CV4:CV34,$B37)+COUNTIF('4月'!CZ4:CZ34,$B37)+COUNTIF('4月'!DA4:DA34,$B37)+COUNTIF('4月'!DE4:DE34,$B37)+COUNTIF('4月'!DF4:DF34,$B37)+COUNTIF('4月'!DJ4:DJ34,$B37)+COUNTIF('4月'!DK4:DK34,$B37)+COUNTIF('4月'!DO4:DO34,$B37)+COUNTIF('4月'!DP4:DP34,$B37)+COUNTIF('4月'!DT4:DT34,$B37)+COUNTIF('4月'!DU4:DU34,$B37)+COUNTIF('4月'!DY4:DY34,$B37)+COUNTIF('4月'!DZ4:DZ34,$B37)+COUNTIF('4月'!ED4:ED34,$B37)+COUNTIF('4月'!EE4:EE34,$B37)+COUNTIF('4月'!EI4:EI34,$B37)+COUNTIF('4月'!EJ4:EJ34,$B37)+COUNTIF('4月'!EN4:EN34,$B37)+COUNTIF('4月'!EO4:EO34,$B37)+COUNTIF('4月'!ES4:ES34,$B37)+COUNTIF('4月'!ET4:ET34,$B37)),0)</f>
        <v>0</v>
      </c>
      <c r="G37" s="76">
        <f>IFERROR(IF($B37="","",COUNTIF('5月'!D4:D34,$B37)+COUNTIF('5月'!E4:E34,$B37)+COUNTIF('5月'!I4:I34,$B37)+COUNTIF('5月'!J4:J34,$B37)+COUNTIF('5月'!N4:N34,$B37)+COUNTIF('5月'!O4:O34,$B37)+COUNTIF('5月'!S4:S34,$B37)+COUNTIF('5月'!T4:T34,$B37)+COUNTIF('5月'!X4:X34,$B37)+COUNTIF('5月'!Y4:Y34,$B37)+COUNTIF('5月'!AC4:AC34,$B37)+COUNTIF('5月'!AD4:AD34,$B37)+COUNTIF('5月'!AH4:AH34,$B37)+COUNTIF('5月'!AI4:AI34,$B37)+COUNTIF('5月'!AM4:AM34,$B37)+COUNTIF('5月'!AN4:AN34,$B37)+COUNTIF('5月'!AR4:AR34,$B37)+COUNTIF('5月'!AS4:AS34,$B37)+COUNTIF('5月'!AW4:AW34,$B37)+COUNTIF('5月'!AX4:AX34,$B37)+COUNTIF('5月'!BB4:BB34,$B37)+COUNTIF('5月'!BC4:BC34,$B37)+COUNTIF('5月'!BG4:BG34,$B37)+COUNTIF('5月'!BH4:BH34,$B37)+COUNTIF('5月'!BL4:BL34,$B37)+COUNTIF('5月'!BM4:BM34,$B37)+COUNTIF('5月'!BQ4:BQ34,$B37)+COUNTIF('5月'!BR4:BR34,$B37)+COUNTIF('5月'!BV4:BV34,$B37)+COUNTIF('5月'!BW4:BW34,$B37)+COUNTIF('5月'!CA4:CA34,$B37)+COUNTIF('5月'!CB4:CB34,$B37)+COUNTIF('5月'!CF4:CF34,$B37)+COUNTIF('5月'!CG4:CG34,$B37)+COUNTIF('5月'!CK4:CK34,$B37)+COUNTIF('5月'!CL4:CL34,$B37)+COUNTIF('5月'!CP4:CP34,$B37)+COUNTIF('5月'!CQ4:CQ34,$B37)+COUNTIF('5月'!CU4:CU34,$B37)+COUNTIF('5月'!CV4:CV34,$B37)+COUNTIF('5月'!CZ4:CZ34,$B37)+COUNTIF('5月'!DA4:DA34,$B37)+COUNTIF('5月'!DE4:DE34,$B37)+COUNTIF('5月'!DF4:DF34,$B37)+COUNTIF('5月'!DJ4:DJ34,$B37)+COUNTIF('5月'!DK4:DK34,$B37)+COUNTIF('5月'!DO4:DO34,$B37)+COUNTIF('5月'!DP4:DP34,$B37)+COUNTIF('5月'!DT4:DT34,$B37)+COUNTIF('5月'!DU4:DU34,$B37)+COUNTIF('5月'!DY4:DY34,$B37)+COUNTIF('5月'!DZ4:DZ34,$B37)+COUNTIF('5月'!ED4:ED34,$B37)+COUNTIF('5月'!EE4:EE34,$B37)+COUNTIF('5月'!EI4:EI34,$B37)+COUNTIF('5月'!EJ4:EJ34,$B37)+COUNTIF('5月'!EN4:EN34,$B37)+COUNTIF('5月'!EO4:EO34,$B37)+COUNTIF('5月'!ES4:ES34,$B37)+COUNTIF('5月'!ET4:ET34,$B37)),0)</f>
        <v>0</v>
      </c>
      <c r="H37" s="76">
        <f>IFERROR(IF($B37="","",COUNTIF('6月'!D4:D34,$B37)+COUNTIF('6月'!E4:E34,$B37)+COUNTIF('6月'!I4:I34,$B37)+COUNTIF('6月'!J4:J34,$B37)+COUNTIF('6月'!N4:N34,$B37)+COUNTIF('6月'!O4:O34,$B37)+COUNTIF('6月'!S4:S34,$B37)+COUNTIF('6月'!T4:T34,$B37)+COUNTIF('6月'!X4:X34,$B37)+COUNTIF('6月'!Y4:Y34,$B37)+COUNTIF('6月'!AC4:AC34,$B37)+COUNTIF('6月'!AD4:AD34,$B37)+COUNTIF('6月'!AH4:AH34,$B37)+COUNTIF('6月'!AI4:AI34,$B37)+COUNTIF('6月'!AM4:AM34,$B37)+COUNTIF('6月'!AN4:AN34,$B37)+COUNTIF('6月'!AR4:AR34,$B37)+COUNTIF('6月'!AS4:AS34,$B37)+COUNTIF('6月'!AW4:AW34,$B37)+COUNTIF('6月'!AX4:AX34,$B37)+COUNTIF('6月'!BB4:BB34,$B37)+COUNTIF('6月'!BC4:BC34,$B37)+COUNTIF('6月'!BG4:BG34,$B37)+COUNTIF('6月'!BH4:BH34,$B37)+COUNTIF('6月'!BL4:BL34,$B37)+COUNTIF('6月'!BM4:BM34,$B37)+COUNTIF('6月'!BQ4:BQ34,$B37)+COUNTIF('6月'!BR4:BR34,$B37)+COUNTIF('6月'!BV4:BV34,$B37)+COUNTIF('6月'!BW4:BW34,$B37)+COUNTIF('6月'!CA4:CA34,$B37)+COUNTIF('6月'!CB4:CB34,$B37)+COUNTIF('6月'!CF4:CF34,$B37)+COUNTIF('6月'!CG4:CG34,$B37)+COUNTIF('6月'!CK4:CK34,$B37)+COUNTIF('6月'!CL4:CL34,$B37)+COUNTIF('6月'!CP4:CP34,$B37)+COUNTIF('6月'!CQ4:CQ34,$B37)+COUNTIF('6月'!CU4:CU34,$B37)+COUNTIF('6月'!CV4:CV34,$B37)+COUNTIF('6月'!CZ4:CZ34,$B37)+COUNTIF('6月'!DA4:DA34,$B37)+COUNTIF('6月'!DE4:DE34,$B37)+COUNTIF('6月'!DF4:DF34,$B37)+COUNTIF('6月'!DJ4:DJ34,$B37)+COUNTIF('6月'!DK4:DK34,$B37)+COUNTIF('6月'!DO4:DO34,$B37)+COUNTIF('6月'!DP4:DP34,$B37)+COUNTIF('6月'!DT4:DT34,$B37)+COUNTIF('6月'!DU4:DU34,$B37)+COUNTIF('6月'!DY4:DY34,$B37)+COUNTIF('6月'!DZ4:DZ34,$B37)+COUNTIF('6月'!ED4:ED34,$B37)+COUNTIF('6月'!EE4:EE34,$B37)+COUNTIF('6月'!EI4:EI34,$B37)+COUNTIF('6月'!EJ4:EJ34,$B37)+COUNTIF('6月'!EN4:EN34,$B37)+COUNTIF('6月'!EO4:EO34,$B37)+COUNTIF('6月'!ES4:ES34,$B37)+COUNTIF('6月'!ET4:ET34,$B37)),0)</f>
        <v>0</v>
      </c>
      <c r="I37" s="76">
        <f>IFERROR(IF($B37="","",COUNTIF('7月'!D4:D34,$B37)+COUNTIF('7月'!E4:E34,$B37)+COUNTIF('7月'!I4:I34,$B37)+COUNTIF('7月'!J4:J34,$B37)+COUNTIF('7月'!N4:N34,$B37)+COUNTIF('7月'!O4:O34,$B37)+COUNTIF('7月'!S4:S34,$B37)+COUNTIF('7月'!T4:T34,$B37)+COUNTIF('7月'!X4:X34,$B37)+COUNTIF('7月'!Y4:Y34,$B37)+COUNTIF('7月'!AC4:AC34,$B37)+COUNTIF('7月'!AD4:AD34,$B37)+COUNTIF('7月'!AH4:AH34,$B37)+COUNTIF('7月'!AI4:AI34,$B37)+COUNTIF('7月'!AM4:AM34,$B37)+COUNTIF('7月'!AN4:AN34,$B37)+COUNTIF('7月'!AR4:AR34,$B37)+COUNTIF('7月'!AS4:AS34,$B37)+COUNTIF('7月'!AW4:AW34,$B37)+COUNTIF('7月'!AX4:AX34,$B37)+COUNTIF('7月'!BB4:BB34,$B37)+COUNTIF('7月'!BC4:BC34,$B37)+COUNTIF('7月'!BG4:BG34,$B37)+COUNTIF('7月'!BH4:BH34,$B37)+COUNTIF('7月'!BL4:BL34,$B37)+COUNTIF('7月'!BM4:BM34,$B37)+COUNTIF('7月'!BQ4:BQ34,$B37)+COUNTIF('7月'!BR4:BR34,$B37)+COUNTIF('7月'!BV4:BV34,$B37)+COUNTIF('7月'!BW4:BW34,$B37)+COUNTIF('7月'!CA4:CA34,$B37)+COUNTIF('7月'!CB4:CB34,$B37)+COUNTIF('7月'!CF4:CF34,$B37)+COUNTIF('7月'!CG4:CG34,$B37)+COUNTIF('7月'!CK4:CK34,$B37)+COUNTIF('7月'!CL4:CL34,$B37)+COUNTIF('7月'!CP4:CP34,$B37)+COUNTIF('7月'!CQ4:CQ34,$B37)+COUNTIF('7月'!CU4:CU34,$B37)+COUNTIF('7月'!CV4:CV34,$B37)+COUNTIF('7月'!CZ4:CZ34,$B37)+COUNTIF('7月'!DA4:DA34,$B37)+COUNTIF('7月'!DE4:DE34,$B37)+COUNTIF('7月'!DF4:DF34,$B37)+COUNTIF('7月'!DJ4:DJ34,$B37)+COUNTIF('7月'!DK4:DK34,$B37)+COUNTIF('7月'!DO4:DO34,$B37)+COUNTIF('7月'!DP4:DP34,$B37)+COUNTIF('7月'!DT4:DT34,$B37)+COUNTIF('7月'!DU4:DU34,$B37)+COUNTIF('7月'!DY4:DY34,$B37)+COUNTIF('7月'!DZ4:DZ34,$B37)+COUNTIF('7月'!ED4:ED34,$B37)+COUNTIF('7月'!EE4:EE34,$B37)+COUNTIF('7月'!EI4:EI34,$B37)+COUNTIF('7月'!EJ4:EJ34,$B37)+COUNTIF('7月'!EN4:EN34,$B37)+COUNTIF('7月'!EO4:EO34,$B37)+COUNTIF('7月'!ES4:ES34,$B37)+COUNTIF('7月'!ET4:ET34,$B37)),0)</f>
        <v>0</v>
      </c>
      <c r="J37" s="76">
        <f>IFERROR(IF($B37="","",COUNTIF('8月'!D4:D34,$B37)+COUNTIF('8月'!E4:E34,$B37)+COUNTIF('8月'!I4:I34,$B37)+COUNTIF('8月'!J4:J34,$B37)+COUNTIF('8月'!N4:N34,$B37)+COUNTIF('8月'!O4:O34,$B37)+COUNTIF('8月'!S4:S34,$B37)+COUNTIF('8月'!T4:T34,$B37)+COUNTIF('8月'!X4:X34,$B37)+COUNTIF('8月'!Y4:Y34,$B37)+COUNTIF('8月'!AC4:AC34,$B37)+COUNTIF('8月'!AD4:AD34,$B37)+COUNTIF('8月'!AH4:AH34,$B37)+COUNTIF('8月'!AI4:AI34,$B37)+COUNTIF('8月'!AM4:AM34,$B37)+COUNTIF('8月'!AN4:AN34,$B37)+COUNTIF('8月'!AR4:AR34,$B37)+COUNTIF('8月'!AS4:AS34,$B37)+COUNTIF('8月'!AW4:AW34,$B37)+COUNTIF('8月'!AX4:AX34,$B37)+COUNTIF('8月'!BB4:BB34,$B37)+COUNTIF('8月'!BC4:BC34,$B37)+COUNTIF('8月'!BG4:BG34,$B37)+COUNTIF('8月'!BH4:BH34,$B37)+COUNTIF('8月'!BL4:BL34,$B37)+COUNTIF('8月'!BM4:BM34,$B37)+COUNTIF('8月'!BQ4:BQ34,$B37)+COUNTIF('8月'!BR4:BR34,$B37)+COUNTIF('8月'!BV4:BV34,$B37)+COUNTIF('8月'!BW4:BW34,$B37)+COUNTIF('8月'!CA4:CA34,$B37)+COUNTIF('8月'!CB4:CB34,$B37)+COUNTIF('8月'!CF4:CF34,$B37)+COUNTIF('8月'!CG4:CG34,$B37)+COUNTIF('8月'!CK4:CK34,$B37)+COUNTIF('8月'!CL4:CL34,$B37)+COUNTIF('8月'!CP4:CP34,$B37)+COUNTIF('8月'!CQ4:CQ34,$B37)+COUNTIF('8月'!CU4:CU34,$B37)+COUNTIF('8月'!CV4:CV34,$B37)+COUNTIF('8月'!CZ4:CZ34,$B37)+COUNTIF('8月'!DA4:DA34,$B37)+COUNTIF('8月'!DE4:DE34,$B37)+COUNTIF('8月'!DF4:DF34,$B37)+COUNTIF('8月'!DJ4:DJ34,$B37)+COUNTIF('8月'!DK4:DK34,$B37)+COUNTIF('8月'!DO4:DO34,$B37)+COUNTIF('8月'!DP4:DP34,$B37)+COUNTIF('8月'!DT4:DT34,$B37)+COUNTIF('8月'!DU4:DU34,$B37)+COUNTIF('8月'!DY4:DY34,$B37)+COUNTIF('8月'!DZ4:DZ34,$B37)+COUNTIF('8月'!ED4:ED34,$B37)+COUNTIF('8月'!EE4:EE34,$B37)+COUNTIF('8月'!EI4:EI34,$B37)+COUNTIF('8月'!EJ4:EJ34,$B37)+COUNTIF('8月'!EN4:EN34,$B37)+COUNTIF('8月'!EO4:EO34,$B37)+COUNTIF('8月'!ES4:ES34,$B37)+COUNTIF('8月'!ET4:ET34,$B37)),0)</f>
        <v>0</v>
      </c>
      <c r="K37" s="76">
        <f>IFERROR(IF($B37="","",COUNTIF('9月'!D4:D34,$B37)+COUNTIF('9月'!E4:E34,$B37)+COUNTIF('9月'!I4:I34,$B37)+COUNTIF('9月'!J4:J34,$B37)+COUNTIF('9月'!N4:N34,$B37)+COUNTIF('9月'!O4:O34,$B37)+COUNTIF('9月'!S4:S34,$B37)+COUNTIF('9月'!T4:T34,$B37)+COUNTIF('9月'!X4:X34,$B37)+COUNTIF('9月'!Y4:Y34,$B37)+COUNTIF('9月'!AC4:AC34,$B37)+COUNTIF('9月'!AD4:AD34,$B37)+COUNTIF('9月'!AH4:AH34,$B37)+COUNTIF('9月'!AI4:AI34,$B37)+COUNTIF('9月'!AM4:AM34,$B37)+COUNTIF('9月'!AN4:AN34,$B37)+COUNTIF('9月'!AR4:AR34,$B37)+COUNTIF('9月'!AS4:AS34,$B37)+COUNTIF('9月'!AW4:AW34,$B37)+COUNTIF('9月'!AX4:AX34,$B37)+COUNTIF('9月'!BB4:BB34,$B37)+COUNTIF('9月'!BC4:BC34,$B37)+COUNTIF('9月'!BG4:BG34,$B37)+COUNTIF('9月'!BH4:BH34,$B37)+COUNTIF('9月'!BL4:BL34,$B37)+COUNTIF('9月'!BM4:BM34,$B37)+COUNTIF('9月'!BQ4:BQ34,$B37)+COUNTIF('9月'!BR4:BR34,$B37)+COUNTIF('9月'!BV4:BV34,$B37)+COUNTIF('9月'!BW4:BW34,$B37)+COUNTIF('9月'!CA4:CA34,$B37)+COUNTIF('9月'!CB4:CB34,$B37)+COUNTIF('9月'!CF4:CF34,$B37)+COUNTIF('9月'!CG4:CG34,$B37)+COUNTIF('9月'!CK4:CK34,$B37)+COUNTIF('9月'!CL4:CL34,$B37)+COUNTIF('9月'!CP4:CP34,$B37)+COUNTIF('9月'!CQ4:CQ34,$B37)+COUNTIF('9月'!CU4:CU34,$B37)+COUNTIF('9月'!CV4:CV34,$B37)+COUNTIF('9月'!CZ4:CZ34,$B37)+COUNTIF('9月'!DA4:DA34,$B37)+COUNTIF('9月'!DE4:DE34,$B37)+COUNTIF('9月'!DF4:DF34,$B37)+COUNTIF('9月'!DJ4:DJ34,$B37)+COUNTIF('9月'!DK4:DK34,$B37)+COUNTIF('9月'!DO4:DO34,$B37)+COUNTIF('9月'!DP4:DP34,$B37)+COUNTIF('9月'!DT4:DT34,$B37)+COUNTIF('9月'!DU4:DU34,$B37)+COUNTIF('9月'!DY4:DY34,$B37)+COUNTIF('9月'!DZ4:DZ34,$B37)+COUNTIF('9月'!ED4:ED34,$B37)+COUNTIF('9月'!EE4:EE34,$B37)+COUNTIF('9月'!EI4:EI34,$B37)+COUNTIF('9月'!EJ4:EJ34,$B37)+COUNTIF('9月'!EN4:EN34,$B37)+COUNTIF('9月'!EO4:EO34,$B37)+COUNTIF('9月'!ES4:ES34,$B37)+COUNTIF('9月'!ET4:ET34,$B37)),0)</f>
        <v>0</v>
      </c>
      <c r="L37" s="76">
        <f>IFERROR(IF($B37="","",COUNTIF('10月'!D4:D34,$B37)+COUNTIF('10月'!E4:E34,$B37)+COUNTIF('10月'!I4:I34,$B37)+COUNTIF('10月'!J4:J34,$B37)+COUNTIF('10月'!N4:N34,$B37)+COUNTIF('10月'!O4:O34,$B37)+COUNTIF('10月'!S4:S34,$B37)+COUNTIF('10月'!T4:T34,$B37)+COUNTIF('10月'!X4:X34,$B37)+COUNTIF('10月'!Y4:Y34,$B37)+COUNTIF('10月'!AC4:AC34,$B37)+COUNTIF('10月'!AD4:AD34,$B37)+COUNTIF('10月'!AH4:AH34,$B37)+COUNTIF('10月'!AI4:AI34,$B37)+COUNTIF('10月'!AM4:AM34,$B37)+COUNTIF('10月'!AN4:AN34,$B37)+COUNTIF('10月'!AR4:AR34,$B37)+COUNTIF('10月'!AS4:AS34,$B37)+COUNTIF('10月'!AW4:AW34,$B37)+COUNTIF('10月'!AX4:AX34,$B37)+COUNTIF('10月'!BB4:BB34,$B37)+COUNTIF('10月'!BC4:BC34,$B37)+COUNTIF('10月'!BG4:BG34,$B37)+COUNTIF('10月'!BH4:BH34,$B37)+COUNTIF('10月'!BL4:BL34,$B37)+COUNTIF('10月'!BM4:BM34,$B37)+COUNTIF('10月'!BQ4:BQ34,$B37)+COUNTIF('10月'!BR4:BR34,$B37)+COUNTIF('10月'!BV4:BV34,$B37)+COUNTIF('10月'!BW4:BW34,$B37)+COUNTIF('10月'!CA4:CA34,$B37)+COUNTIF('10月'!CB4:CB34,$B37)+COUNTIF('10月'!CF4:CF34,$B37)+COUNTIF('10月'!CG4:CG34,$B37)+COUNTIF('10月'!CK4:CK34,$B37)+COUNTIF('10月'!CL4:CL34,$B37)+COUNTIF('10月'!CP4:CP34,$B37)+COUNTIF('10月'!CQ4:CQ34,$B37)+COUNTIF('10月'!CU4:CU34,$B37)+COUNTIF('10月'!CV4:CV34,$B37)+COUNTIF('10月'!CZ4:CZ34,$B37)+COUNTIF('10月'!DA4:DA34,$B37)+COUNTIF('10月'!DE4:DE34,$B37)+COUNTIF('10月'!DF4:DF34,$B37)+COUNTIF('10月'!DJ4:DJ34,$B37)+COUNTIF('10月'!DK4:DK34,$B37)+COUNTIF('10月'!DO4:DO34,$B37)+COUNTIF('10月'!DP4:DP34,$B37)+COUNTIF('10月'!DT4:DT34,$B37)+COUNTIF('10月'!DU4:DU34,$B37)+COUNTIF('10月'!DY4:DY34,$B37)+COUNTIF('10月'!DZ4:DZ34,$B37)+COUNTIF('10月'!ED4:ED34,$B37)+COUNTIF('10月'!EE4:EE34,$B37)+COUNTIF('10月'!EI4:EI34,$B37)+COUNTIF('10月'!EJ4:EJ34,$B37)+COUNTIF('10月'!EN4:EN34,$B37)+COUNTIF('10月'!EO4:EO34,$B37)+COUNTIF('10月'!ES4:ES34,$B37)+COUNTIF('10月'!ET4:ET34,$B37)),0)</f>
        <v>0</v>
      </c>
      <c r="M37" s="76">
        <f>IFERROR(IF($B37="","",COUNTIF('11月'!D4:D34,$B37)+COUNTIF('11月'!E4:E34,$B37)+COUNTIF('11月'!I4:I34,$B37)+COUNTIF('11月'!J4:J34,$B37)+COUNTIF('11月'!N4:N34,$B37)+COUNTIF('11月'!O4:O34,$B37)+COUNTIF('11月'!S4:S34,$B37)+COUNTIF('11月'!T4:T34,$B37)+COUNTIF('11月'!X4:X34,$B37)+COUNTIF('11月'!Y4:Y34,$B37)+COUNTIF('11月'!AC4:AC34,$B37)+COUNTIF('11月'!AD4:AD34,$B37)+COUNTIF('11月'!AH4:AH34,$B37)+COUNTIF('11月'!AI4:AI34,$B37)+COUNTIF('11月'!AM4:AM34,$B37)+COUNTIF('11月'!AN4:AN34,$B37)+COUNTIF('11月'!AR4:AR34,$B37)+COUNTIF('11月'!AS4:AS34,$B37)+COUNTIF('11月'!AW4:AW34,$B37)+COUNTIF('11月'!AX4:AX34,$B37)+COUNTIF('11月'!BB4:BB34,$B37)+COUNTIF('11月'!BC4:BC34,$B37)+COUNTIF('11月'!BG4:BG34,$B37)+COUNTIF('11月'!BH4:BH34,$B37)+COUNTIF('11月'!BL4:BL34,$B37)+COUNTIF('11月'!BM4:BM34,$B37)+COUNTIF('11月'!BQ4:BQ34,$B37)+COUNTIF('11月'!BR4:BR34,$B37)+COUNTIF('11月'!BV4:BV34,$B37)+COUNTIF('11月'!BW4:BW34,$B37)+COUNTIF('11月'!CA4:CA34,$B37)+COUNTIF('11月'!CB4:CB34,$B37)+COUNTIF('11月'!CF4:CF34,$B37)+COUNTIF('11月'!CG4:CG34,$B37)+COUNTIF('11月'!CK4:CK34,$B37)+COUNTIF('11月'!CL4:CL34,$B37)+COUNTIF('11月'!CP4:CP34,$B37)+COUNTIF('11月'!CQ4:CQ34,$B37)+COUNTIF('11月'!CU4:CU34,$B37)+COUNTIF('11月'!CV4:CV34,$B37)+COUNTIF('11月'!CZ4:CZ34,$B37)+COUNTIF('11月'!DA4:DA34,$B37)+COUNTIF('11月'!DE4:DE34,$B37)+COUNTIF('11月'!DF4:DF34,$B37)+COUNTIF('11月'!DJ4:DJ34,$B37)+COUNTIF('11月'!DK4:DK34,$B37)+COUNTIF('11月'!DO4:DO34,$B37)+COUNTIF('11月'!DP4:DP34,$B37)+COUNTIF('11月'!DT4:DT34,$B37)+COUNTIF('11月'!DU4:DU34,$B37)+COUNTIF('11月'!DY4:DY34,$B37)+COUNTIF('11月'!DZ4:DZ34,$B37)+COUNTIF('11月'!ED4:ED34,$B37)+COUNTIF('11月'!EE4:EE34,$B37)+COUNTIF('11月'!EI4:EI34,$B37)+COUNTIF('11月'!EJ4:EJ34,$B37)+COUNTIF('11月'!EN4:EN34,$B37)+COUNTIF('11月'!EO4:EO34,$B37)+COUNTIF('11月'!ES4:ES34,$B37)+COUNTIF('11月'!ET4:ET34,$B37)),0)</f>
        <v>0</v>
      </c>
      <c r="N37" s="76">
        <f>IFERROR(IF($B37="","",COUNTIF('12月'!D4:D34,$B37)+COUNTIF('12月'!E4:E34,$B37)+COUNTIF('12月'!I4:I34,$B37)+COUNTIF('12月'!J4:J34,$B37)+COUNTIF('12月'!N4:N34,$B37)+COUNTIF('12月'!O4:O34,$B37)+COUNTIF('12月'!S4:S34,$B37)+COUNTIF('12月'!T4:T34,$B37)+COUNTIF('12月'!X4:X34,$B37)+COUNTIF('12月'!Y4:Y34,$B37)+COUNTIF('12月'!AC4:AC34,$B37)+COUNTIF('12月'!AD4:AD34,$B37)+COUNTIF('12月'!AH4:AH34,$B37)+COUNTIF('12月'!AI4:AI34,$B37)+COUNTIF('12月'!AM4:AM34,$B37)+COUNTIF('12月'!AN4:AN34,$B37)+COUNTIF('12月'!AR4:AR34,$B37)+COUNTIF('12月'!AS4:AS34,$B37)+COUNTIF('12月'!AW4:AW34,$B37)+COUNTIF('12月'!AX4:AX34,$B37)+COUNTIF('12月'!BB4:BB34,$B37)+COUNTIF('12月'!BC4:BC34,$B37)+COUNTIF('12月'!BG4:BG34,$B37)+COUNTIF('12月'!BH4:BH34,$B37)+COUNTIF('12月'!BL4:BL34,$B37)+COUNTIF('12月'!BM4:BM34,$B37)+COUNTIF('12月'!BQ4:BQ34,$B37)+COUNTIF('12月'!BR4:BR34,$B37)+COUNTIF('12月'!BV4:BV34,$B37)+COUNTIF('12月'!BW4:BW34,$B37)+COUNTIF('12月'!CA4:CA34,$B37)+COUNTIF('12月'!CB4:CB34,$B37)+COUNTIF('12月'!CF4:CF34,$B37)+COUNTIF('12月'!CG4:CG34,$B37)+COUNTIF('12月'!CK4:CK34,$B37)+COUNTIF('12月'!CL4:CL34,$B37)+COUNTIF('12月'!CP4:CP34,$B37)+COUNTIF('12月'!CQ4:CQ34,$B37)+COUNTIF('12月'!CU4:CU34,$B37)+COUNTIF('12月'!CV4:CV34,$B37)+COUNTIF('12月'!CZ4:CZ34,$B37)+COUNTIF('12月'!DA4:DA34,$B37)+COUNTIF('12月'!DE4:DE34,$B37)+COUNTIF('12月'!DF4:DF34,$B37)+COUNTIF('12月'!DJ4:DJ34,$B37)+COUNTIF('12月'!DK4:DK34,$B37)+COUNTIF('12月'!DO4:DO34,$B37)+COUNTIF('12月'!DP4:DP34,$B37)+COUNTIF('12月'!DT4:DT34,$B37)+COUNTIF('12月'!DU4:DU34,$B37)+COUNTIF('12月'!DY4:DY34,$B37)+COUNTIF('12月'!DZ4:DZ34,$B37)+COUNTIF('12月'!ED4:ED34,$B37)+COUNTIF('12月'!EE4:EE34,$B37)+COUNTIF('12月'!EI4:EI34,$B37)+COUNTIF('12月'!EJ4:EJ34,$B37)+COUNTIF('12月'!EN4:EN34,$B37)+COUNTIF('12月'!EO4:EO34,$B37)+COUNTIF('12月'!ES4:ES34,$B37)+COUNTIF('12月'!ET4:ET34,$B37)),0)</f>
        <v>0</v>
      </c>
      <c r="O37" s="78">
        <f t="shared" si="0"/>
        <v>0</v>
      </c>
    </row>
    <row r="38" spans="1:15" ht="19.5" customHeight="1">
      <c r="A38" s="76">
        <v>36</v>
      </c>
      <c r="B38" s="77">
        <f>IFERROR(現場マスタ!$C$39,"")</f>
        <v>0</v>
      </c>
      <c r="C38" s="76">
        <f>IFERROR(IF($B38="","",COUNTIF('1月'!D4:D34,$B38)+COUNTIF('1月'!E4:E34,$B38)+COUNTIF('1月'!I4:I34,$B38)+COUNTIF('1月'!J4:J34,$B38)+COUNTIF('1月'!N4:N34,$B38)+COUNTIF('1月'!O4:O34,$B38)+COUNTIF('1月'!S4:S34,$B38)+COUNTIF('1月'!T4:T34,$B38)+COUNTIF('1月'!X4:X34,$B38)+COUNTIF('1月'!Y4:Y34,$B38)+COUNTIF('1月'!AC4:AC34,$B38)+COUNTIF('1月'!AD4:AD34,$B38)+COUNTIF('1月'!AH4:AH34,$B38)+COUNTIF('1月'!AI4:AI34,$B38)+COUNTIF('1月'!AM4:AM34,$B38)+COUNTIF('1月'!AN4:AN34,$B38)+COUNTIF('1月'!AR4:AR34,$B38)+COUNTIF('1月'!AS4:AS34,$B38)+COUNTIF('1月'!AW4:AW34,$B38)+COUNTIF('1月'!AX4:AX34,$B38)+COUNTIF('1月'!BB4:BB34,$B38)+COUNTIF('1月'!BC4:BC34,$B38)+COUNTIF('1月'!BG4:BG34,$B38)+COUNTIF('1月'!BH4:BH34,$B38)+COUNTIF('1月'!BL4:BL34,$B38)+COUNTIF('1月'!BM4:BM34,$B38)+COUNTIF('1月'!BQ4:BQ34,$B38)+COUNTIF('1月'!BR4:BR34,$B38)+COUNTIF('1月'!BV4:BV34,$B38)+COUNTIF('1月'!BW4:BW34,$B38)+COUNTIF('1月'!CA4:CA34,$B38)+COUNTIF('1月'!CB4:CB34,$B38)+COUNTIF('1月'!CF4:CF34,$B38)+COUNTIF('1月'!CG4:CG34,$B38)+COUNTIF('1月'!CK4:CK34,$B38)+COUNTIF('1月'!CL4:CL34,$B38)+COUNTIF('1月'!CP4:CP34,$B38)+COUNTIF('1月'!CQ4:CQ34,$B38)+COUNTIF('1月'!CU4:CU34,$B38)+COUNTIF('1月'!CV4:CV34,$B38)+COUNTIF('1月'!CZ4:CZ34,$B38)+COUNTIF('1月'!DA4:DA34,$B38)+COUNTIF('1月'!DE4:DE34,$B38)+COUNTIF('1月'!DF4:DF34,$B38)+COUNTIF('1月'!DJ4:DJ34,$B38)+COUNTIF('1月'!DK4:DK34,$B38)+COUNTIF('1月'!DO4:DO34,$B38)+COUNTIF('1月'!DP4:DP34,$B38)+COUNTIF('1月'!DT4:DT34,$B38)+COUNTIF('1月'!DU4:DU34,$B38)+COUNTIF('1月'!DY4:DY34,$B38)+COUNTIF('1月'!DZ4:DZ34,$B38)+COUNTIF('1月'!ED4:ED34,$B38)+COUNTIF('1月'!EE4:EE34,$B38)+COUNTIF('1月'!EI4:EI34,$B38)+COUNTIF('1月'!EJ4:EJ34,$B38)+COUNTIF('1月'!EN4:EN34,$B38)+COUNTIF('1月'!EO4:EO34,$B38)+COUNTIF('1月'!ES4:ES34,$B38)+COUNTIF('1月'!ET4:ET34,$B38)),0)</f>
        <v>0</v>
      </c>
      <c r="D38" s="76">
        <f>IFERROR(IF($B38="","",COUNTIF('2月'!D4:D34,$B38)+COUNTIF('2月'!E4:E34,$B38)+COUNTIF('2月'!I4:I34,$B38)+COUNTIF('2月'!J4:J34,$B38)+COUNTIF('2月'!N4:N34,$B38)+COUNTIF('2月'!O4:O34,$B38)+COUNTIF('2月'!S4:S34,$B38)+COUNTIF('2月'!T4:T34,$B38)+COUNTIF('2月'!X4:X34,$B38)+COUNTIF('2月'!Y4:Y34,$B38)+COUNTIF('2月'!AC4:AC34,$B38)+COUNTIF('2月'!AD4:AD34,$B38)+COUNTIF('2月'!AH4:AH34,$B38)+COUNTIF('2月'!AI4:AI34,$B38)+COUNTIF('2月'!AM4:AM34,$B38)+COUNTIF('2月'!AN4:AN34,$B38)+COUNTIF('2月'!AR4:AR34,$B38)+COUNTIF('2月'!AS4:AS34,$B38)+COUNTIF('2月'!AW4:AW34,$B38)+COUNTIF('2月'!AX4:AX34,$B38)+COUNTIF('2月'!BB4:BB34,$B38)+COUNTIF('2月'!BC4:BC34,$B38)+COUNTIF('2月'!BG4:BG34,$B38)+COUNTIF('2月'!BH4:BH34,$B38)+COUNTIF('2月'!BL4:BL34,$B38)+COUNTIF('2月'!BM4:BM34,$B38)+COUNTIF('2月'!BQ4:BQ34,$B38)+COUNTIF('2月'!BR4:BR34,$B38)+COUNTIF('2月'!BV4:BV34,$B38)+COUNTIF('2月'!BW4:BW34,$B38)+COUNTIF('2月'!CA4:CA34,$B38)+COUNTIF('2月'!CB4:CB34,$B38)+COUNTIF('2月'!CF4:CF34,$B38)+COUNTIF('2月'!CG4:CG34,$B38)+COUNTIF('2月'!CK4:CK34,$B38)+COUNTIF('2月'!CL4:CL34,$B38)+COUNTIF('2月'!CP4:CP34,$B38)+COUNTIF('2月'!CQ4:CQ34,$B38)+COUNTIF('2月'!CU4:CU34,$B38)+COUNTIF('2月'!CV4:CV34,$B38)+COUNTIF('2月'!CZ4:CZ34,$B38)+COUNTIF('2月'!DA4:DA34,$B38)+COUNTIF('2月'!DE4:DE34,$B38)+COUNTIF('2月'!DF4:DF34,$B38)+COUNTIF('2月'!DJ4:DJ34,$B38)+COUNTIF('2月'!DK4:DK34,$B38)+COUNTIF('2月'!DO4:DO34,$B38)+COUNTIF('2月'!DP4:DP34,$B38)+COUNTIF('2月'!DT4:DT34,$B38)+COUNTIF('2月'!DU4:DU34,$B38)+COUNTIF('2月'!DY4:DY34,$B38)+COUNTIF('2月'!DZ4:DZ34,$B38)+COUNTIF('2月'!ED4:ED34,$B38)+COUNTIF('2月'!EE4:EE34,$B38)+COUNTIF('2月'!EI4:EI34,$B38)+COUNTIF('2月'!EJ4:EJ34,$B38)+COUNTIF('2月'!EN4:EN34,$B38)+COUNTIF('2月'!EO4:EO34,$B38)+COUNTIF('2月'!ES4:ES34,$B38)+COUNTIF('2月'!ET4:ET34,$B38)),0)</f>
        <v>0</v>
      </c>
      <c r="E38" s="76">
        <f>IFERROR(IF($B38="","",COUNTIF('3月'!D4:D34,$B38)+COUNTIF('3月'!E4:E34,$B38)+COUNTIF('3月'!I4:I34,$B38)+COUNTIF('3月'!J4:J34,$B38)+COUNTIF('3月'!N4:N34,$B38)+COUNTIF('3月'!O4:O34,$B38)+COUNTIF('3月'!S4:S34,$B38)+COUNTIF('3月'!T4:T34,$B38)+COUNTIF('3月'!X4:X34,$B38)+COUNTIF('3月'!Y4:Y34,$B38)+COUNTIF('3月'!AC4:AC34,$B38)+COUNTIF('3月'!AD4:AD34,$B38)+COUNTIF('3月'!AH4:AH34,$B38)+COUNTIF('3月'!AI4:AI34,$B38)+COUNTIF('3月'!AM4:AM34,$B38)+COUNTIF('3月'!AN4:AN34,$B38)+COUNTIF('3月'!AR4:AR34,$B38)+COUNTIF('3月'!AS4:AS34,$B38)+COUNTIF('3月'!AW4:AW34,$B38)+COUNTIF('3月'!AX4:AX34,$B38)+COUNTIF('3月'!BB4:BB34,$B38)+COUNTIF('3月'!BC4:BC34,$B38)+COUNTIF('3月'!BG4:BG34,$B38)+COUNTIF('3月'!BH4:BH34,$B38)+COUNTIF('3月'!BL4:BL34,$B38)+COUNTIF('3月'!BM4:BM34,$B38)+COUNTIF('3月'!BQ4:BQ34,$B38)+COUNTIF('3月'!BR4:BR34,$B38)+COUNTIF('3月'!BV4:BV34,$B38)+COUNTIF('3月'!BW4:BW34,$B38)+COUNTIF('3月'!CA4:CA34,$B38)+COUNTIF('3月'!CB4:CB34,$B38)+COUNTIF('3月'!CF4:CF34,$B38)+COUNTIF('3月'!CG4:CG34,$B38)+COUNTIF('3月'!CK4:CK34,$B38)+COUNTIF('3月'!CL4:CL34,$B38)+COUNTIF('3月'!CP4:CP34,$B38)+COUNTIF('3月'!CQ4:CQ34,$B38)+COUNTIF('3月'!CU4:CU34,$B38)+COUNTIF('3月'!CV4:CV34,$B38)+COUNTIF('3月'!CZ4:CZ34,$B38)+COUNTIF('3月'!DA4:DA34,$B38)+COUNTIF('3月'!DE4:DE34,$B38)+COUNTIF('3月'!DF4:DF34,$B38)+COUNTIF('3月'!DJ4:DJ34,$B38)+COUNTIF('3月'!DK4:DK34,$B38)+COUNTIF('3月'!DO4:DO34,$B38)+COUNTIF('3月'!DP4:DP34,$B38)+COUNTIF('3月'!DT4:DT34,$B38)+COUNTIF('3月'!DU4:DU34,$B38)+COUNTIF('3月'!DY4:DY34,$B38)+COUNTIF('3月'!DZ4:DZ34,$B38)+COUNTIF('3月'!ED4:ED34,$B38)+COUNTIF('3月'!EE4:EE34,$B38)+COUNTIF('3月'!EI4:EI34,$B38)+COUNTIF('3月'!EJ4:EJ34,$B38)+COUNTIF('3月'!EN4:EN34,$B38)+COUNTIF('3月'!EO4:EO34,$B38)+COUNTIF('3月'!ES4:ES34,$B38)+COUNTIF('3月'!ET4:ET34,$B38)),0)</f>
        <v>0</v>
      </c>
      <c r="F38" s="76">
        <f>IFERROR(IF($B38="","",COUNTIF('4月'!D4:D34,$B38)+COUNTIF('4月'!E4:E34,$B38)+COUNTIF('4月'!I4:I34,$B38)+COUNTIF('4月'!J4:J34,$B38)+COUNTIF('4月'!N4:N34,$B38)+COUNTIF('4月'!O4:O34,$B38)+COUNTIF('4月'!S4:S34,$B38)+COUNTIF('4月'!T4:T34,$B38)+COUNTIF('4月'!X4:X34,$B38)+COUNTIF('4月'!Y4:Y34,$B38)+COUNTIF('4月'!AC4:AC34,$B38)+COUNTIF('4月'!AD4:AD34,$B38)+COUNTIF('4月'!AH4:AH34,$B38)+COUNTIF('4月'!AI4:AI34,$B38)+COUNTIF('4月'!AM4:AM34,$B38)+COUNTIF('4月'!AN4:AN34,$B38)+COUNTIF('4月'!AR4:AR34,$B38)+COUNTIF('4月'!AS4:AS34,$B38)+COUNTIF('4月'!AW4:AW34,$B38)+COUNTIF('4月'!AX4:AX34,$B38)+COUNTIF('4月'!BB4:BB34,$B38)+COUNTIF('4月'!BC4:BC34,$B38)+COUNTIF('4月'!BG4:BG34,$B38)+COUNTIF('4月'!BH4:BH34,$B38)+COUNTIF('4月'!BL4:BL34,$B38)+COUNTIF('4月'!BM4:BM34,$B38)+COUNTIF('4月'!BQ4:BQ34,$B38)+COUNTIF('4月'!BR4:BR34,$B38)+COUNTIF('4月'!BV4:BV34,$B38)+COUNTIF('4月'!BW4:BW34,$B38)+COUNTIF('4月'!CA4:CA34,$B38)+COUNTIF('4月'!CB4:CB34,$B38)+COUNTIF('4月'!CF4:CF34,$B38)+COUNTIF('4月'!CG4:CG34,$B38)+COUNTIF('4月'!CK4:CK34,$B38)+COUNTIF('4月'!CL4:CL34,$B38)+COUNTIF('4月'!CP4:CP34,$B38)+COUNTIF('4月'!CQ4:CQ34,$B38)+COUNTIF('4月'!CU4:CU34,$B38)+COUNTIF('4月'!CV4:CV34,$B38)+COUNTIF('4月'!CZ4:CZ34,$B38)+COUNTIF('4月'!DA4:DA34,$B38)+COUNTIF('4月'!DE4:DE34,$B38)+COUNTIF('4月'!DF4:DF34,$B38)+COUNTIF('4月'!DJ4:DJ34,$B38)+COUNTIF('4月'!DK4:DK34,$B38)+COUNTIF('4月'!DO4:DO34,$B38)+COUNTIF('4月'!DP4:DP34,$B38)+COUNTIF('4月'!DT4:DT34,$B38)+COUNTIF('4月'!DU4:DU34,$B38)+COUNTIF('4月'!DY4:DY34,$B38)+COUNTIF('4月'!DZ4:DZ34,$B38)+COUNTIF('4月'!ED4:ED34,$B38)+COUNTIF('4月'!EE4:EE34,$B38)+COUNTIF('4月'!EI4:EI34,$B38)+COUNTIF('4月'!EJ4:EJ34,$B38)+COUNTIF('4月'!EN4:EN34,$B38)+COUNTIF('4月'!EO4:EO34,$B38)+COUNTIF('4月'!ES4:ES34,$B38)+COUNTIF('4月'!ET4:ET34,$B38)),0)</f>
        <v>0</v>
      </c>
      <c r="G38" s="76">
        <f>IFERROR(IF($B38="","",COUNTIF('5月'!D4:D34,$B38)+COUNTIF('5月'!E4:E34,$B38)+COUNTIF('5月'!I4:I34,$B38)+COUNTIF('5月'!J4:J34,$B38)+COUNTIF('5月'!N4:N34,$B38)+COUNTIF('5月'!O4:O34,$B38)+COUNTIF('5月'!S4:S34,$B38)+COUNTIF('5月'!T4:T34,$B38)+COUNTIF('5月'!X4:X34,$B38)+COUNTIF('5月'!Y4:Y34,$B38)+COUNTIF('5月'!AC4:AC34,$B38)+COUNTIF('5月'!AD4:AD34,$B38)+COUNTIF('5月'!AH4:AH34,$B38)+COUNTIF('5月'!AI4:AI34,$B38)+COUNTIF('5月'!AM4:AM34,$B38)+COUNTIF('5月'!AN4:AN34,$B38)+COUNTIF('5月'!AR4:AR34,$B38)+COUNTIF('5月'!AS4:AS34,$B38)+COUNTIF('5月'!AW4:AW34,$B38)+COUNTIF('5月'!AX4:AX34,$B38)+COUNTIF('5月'!BB4:BB34,$B38)+COUNTIF('5月'!BC4:BC34,$B38)+COUNTIF('5月'!BG4:BG34,$B38)+COUNTIF('5月'!BH4:BH34,$B38)+COUNTIF('5月'!BL4:BL34,$B38)+COUNTIF('5月'!BM4:BM34,$B38)+COUNTIF('5月'!BQ4:BQ34,$B38)+COUNTIF('5月'!BR4:BR34,$B38)+COUNTIF('5月'!BV4:BV34,$B38)+COUNTIF('5月'!BW4:BW34,$B38)+COUNTIF('5月'!CA4:CA34,$B38)+COUNTIF('5月'!CB4:CB34,$B38)+COUNTIF('5月'!CF4:CF34,$B38)+COUNTIF('5月'!CG4:CG34,$B38)+COUNTIF('5月'!CK4:CK34,$B38)+COUNTIF('5月'!CL4:CL34,$B38)+COUNTIF('5月'!CP4:CP34,$B38)+COUNTIF('5月'!CQ4:CQ34,$B38)+COUNTIF('5月'!CU4:CU34,$B38)+COUNTIF('5月'!CV4:CV34,$B38)+COUNTIF('5月'!CZ4:CZ34,$B38)+COUNTIF('5月'!DA4:DA34,$B38)+COUNTIF('5月'!DE4:DE34,$B38)+COUNTIF('5月'!DF4:DF34,$B38)+COUNTIF('5月'!DJ4:DJ34,$B38)+COUNTIF('5月'!DK4:DK34,$B38)+COUNTIF('5月'!DO4:DO34,$B38)+COUNTIF('5月'!DP4:DP34,$B38)+COUNTIF('5月'!DT4:DT34,$B38)+COUNTIF('5月'!DU4:DU34,$B38)+COUNTIF('5月'!DY4:DY34,$B38)+COUNTIF('5月'!DZ4:DZ34,$B38)+COUNTIF('5月'!ED4:ED34,$B38)+COUNTIF('5月'!EE4:EE34,$B38)+COUNTIF('5月'!EI4:EI34,$B38)+COUNTIF('5月'!EJ4:EJ34,$B38)+COUNTIF('5月'!EN4:EN34,$B38)+COUNTIF('5月'!EO4:EO34,$B38)+COUNTIF('5月'!ES4:ES34,$B38)+COUNTIF('5月'!ET4:ET34,$B38)),0)</f>
        <v>0</v>
      </c>
      <c r="H38" s="76">
        <f>IFERROR(IF($B38="","",COUNTIF('6月'!D4:D34,$B38)+COUNTIF('6月'!E4:E34,$B38)+COUNTIF('6月'!I4:I34,$B38)+COUNTIF('6月'!J4:J34,$B38)+COUNTIF('6月'!N4:N34,$B38)+COUNTIF('6月'!O4:O34,$B38)+COUNTIF('6月'!S4:S34,$B38)+COUNTIF('6月'!T4:T34,$B38)+COUNTIF('6月'!X4:X34,$B38)+COUNTIF('6月'!Y4:Y34,$B38)+COUNTIF('6月'!AC4:AC34,$B38)+COUNTIF('6月'!AD4:AD34,$B38)+COUNTIF('6月'!AH4:AH34,$B38)+COUNTIF('6月'!AI4:AI34,$B38)+COUNTIF('6月'!AM4:AM34,$B38)+COUNTIF('6月'!AN4:AN34,$B38)+COUNTIF('6月'!AR4:AR34,$B38)+COUNTIF('6月'!AS4:AS34,$B38)+COUNTIF('6月'!AW4:AW34,$B38)+COUNTIF('6月'!AX4:AX34,$B38)+COUNTIF('6月'!BB4:BB34,$B38)+COUNTIF('6月'!BC4:BC34,$B38)+COUNTIF('6月'!BG4:BG34,$B38)+COUNTIF('6月'!BH4:BH34,$B38)+COUNTIF('6月'!BL4:BL34,$B38)+COUNTIF('6月'!BM4:BM34,$B38)+COUNTIF('6月'!BQ4:BQ34,$B38)+COUNTIF('6月'!BR4:BR34,$B38)+COUNTIF('6月'!BV4:BV34,$B38)+COUNTIF('6月'!BW4:BW34,$B38)+COUNTIF('6月'!CA4:CA34,$B38)+COUNTIF('6月'!CB4:CB34,$B38)+COUNTIF('6月'!CF4:CF34,$B38)+COUNTIF('6月'!CG4:CG34,$B38)+COUNTIF('6月'!CK4:CK34,$B38)+COUNTIF('6月'!CL4:CL34,$B38)+COUNTIF('6月'!CP4:CP34,$B38)+COUNTIF('6月'!CQ4:CQ34,$B38)+COUNTIF('6月'!CU4:CU34,$B38)+COUNTIF('6月'!CV4:CV34,$B38)+COUNTIF('6月'!CZ4:CZ34,$B38)+COUNTIF('6月'!DA4:DA34,$B38)+COUNTIF('6月'!DE4:DE34,$B38)+COUNTIF('6月'!DF4:DF34,$B38)+COUNTIF('6月'!DJ4:DJ34,$B38)+COUNTIF('6月'!DK4:DK34,$B38)+COUNTIF('6月'!DO4:DO34,$B38)+COUNTIF('6月'!DP4:DP34,$B38)+COUNTIF('6月'!DT4:DT34,$B38)+COUNTIF('6月'!DU4:DU34,$B38)+COUNTIF('6月'!DY4:DY34,$B38)+COUNTIF('6月'!DZ4:DZ34,$B38)+COUNTIF('6月'!ED4:ED34,$B38)+COUNTIF('6月'!EE4:EE34,$B38)+COUNTIF('6月'!EI4:EI34,$B38)+COUNTIF('6月'!EJ4:EJ34,$B38)+COUNTIF('6月'!EN4:EN34,$B38)+COUNTIF('6月'!EO4:EO34,$B38)+COUNTIF('6月'!ES4:ES34,$B38)+COUNTIF('6月'!ET4:ET34,$B38)),0)</f>
        <v>0</v>
      </c>
      <c r="I38" s="76">
        <f>IFERROR(IF($B38="","",COUNTIF('7月'!D4:D34,$B38)+COUNTIF('7月'!E4:E34,$B38)+COUNTIF('7月'!I4:I34,$B38)+COUNTIF('7月'!J4:J34,$B38)+COUNTIF('7月'!N4:N34,$B38)+COUNTIF('7月'!O4:O34,$B38)+COUNTIF('7月'!S4:S34,$B38)+COUNTIF('7月'!T4:T34,$B38)+COUNTIF('7月'!X4:X34,$B38)+COUNTIF('7月'!Y4:Y34,$B38)+COUNTIF('7月'!AC4:AC34,$B38)+COUNTIF('7月'!AD4:AD34,$B38)+COUNTIF('7月'!AH4:AH34,$B38)+COUNTIF('7月'!AI4:AI34,$B38)+COUNTIF('7月'!AM4:AM34,$B38)+COUNTIF('7月'!AN4:AN34,$B38)+COUNTIF('7月'!AR4:AR34,$B38)+COUNTIF('7月'!AS4:AS34,$B38)+COUNTIF('7月'!AW4:AW34,$B38)+COUNTIF('7月'!AX4:AX34,$B38)+COUNTIF('7月'!BB4:BB34,$B38)+COUNTIF('7月'!BC4:BC34,$B38)+COUNTIF('7月'!BG4:BG34,$B38)+COUNTIF('7月'!BH4:BH34,$B38)+COUNTIF('7月'!BL4:BL34,$B38)+COUNTIF('7月'!BM4:BM34,$B38)+COUNTIF('7月'!BQ4:BQ34,$B38)+COUNTIF('7月'!BR4:BR34,$B38)+COUNTIF('7月'!BV4:BV34,$B38)+COUNTIF('7月'!BW4:BW34,$B38)+COUNTIF('7月'!CA4:CA34,$B38)+COUNTIF('7月'!CB4:CB34,$B38)+COUNTIF('7月'!CF4:CF34,$B38)+COUNTIF('7月'!CG4:CG34,$B38)+COUNTIF('7月'!CK4:CK34,$B38)+COUNTIF('7月'!CL4:CL34,$B38)+COUNTIF('7月'!CP4:CP34,$B38)+COUNTIF('7月'!CQ4:CQ34,$B38)+COUNTIF('7月'!CU4:CU34,$B38)+COUNTIF('7月'!CV4:CV34,$B38)+COUNTIF('7月'!CZ4:CZ34,$B38)+COUNTIF('7月'!DA4:DA34,$B38)+COUNTIF('7月'!DE4:DE34,$B38)+COUNTIF('7月'!DF4:DF34,$B38)+COUNTIF('7月'!DJ4:DJ34,$B38)+COUNTIF('7月'!DK4:DK34,$B38)+COUNTIF('7月'!DO4:DO34,$B38)+COUNTIF('7月'!DP4:DP34,$B38)+COUNTIF('7月'!DT4:DT34,$B38)+COUNTIF('7月'!DU4:DU34,$B38)+COUNTIF('7月'!DY4:DY34,$B38)+COUNTIF('7月'!DZ4:DZ34,$B38)+COUNTIF('7月'!ED4:ED34,$B38)+COUNTIF('7月'!EE4:EE34,$B38)+COUNTIF('7月'!EI4:EI34,$B38)+COUNTIF('7月'!EJ4:EJ34,$B38)+COUNTIF('7月'!EN4:EN34,$B38)+COUNTIF('7月'!EO4:EO34,$B38)+COUNTIF('7月'!ES4:ES34,$B38)+COUNTIF('7月'!ET4:ET34,$B38)),0)</f>
        <v>0</v>
      </c>
      <c r="J38" s="76">
        <f>IFERROR(IF($B38="","",COUNTIF('8月'!D4:D34,$B38)+COUNTIF('8月'!E4:E34,$B38)+COUNTIF('8月'!I4:I34,$B38)+COUNTIF('8月'!J4:J34,$B38)+COUNTIF('8月'!N4:N34,$B38)+COUNTIF('8月'!O4:O34,$B38)+COUNTIF('8月'!S4:S34,$B38)+COUNTIF('8月'!T4:T34,$B38)+COUNTIF('8月'!X4:X34,$B38)+COUNTIF('8月'!Y4:Y34,$B38)+COUNTIF('8月'!AC4:AC34,$B38)+COUNTIF('8月'!AD4:AD34,$B38)+COUNTIF('8月'!AH4:AH34,$B38)+COUNTIF('8月'!AI4:AI34,$B38)+COUNTIF('8月'!AM4:AM34,$B38)+COUNTIF('8月'!AN4:AN34,$B38)+COUNTIF('8月'!AR4:AR34,$B38)+COUNTIF('8月'!AS4:AS34,$B38)+COUNTIF('8月'!AW4:AW34,$B38)+COUNTIF('8月'!AX4:AX34,$B38)+COUNTIF('8月'!BB4:BB34,$B38)+COUNTIF('8月'!BC4:BC34,$B38)+COUNTIF('8月'!BG4:BG34,$B38)+COUNTIF('8月'!BH4:BH34,$B38)+COUNTIF('8月'!BL4:BL34,$B38)+COUNTIF('8月'!BM4:BM34,$B38)+COUNTIF('8月'!BQ4:BQ34,$B38)+COUNTIF('8月'!BR4:BR34,$B38)+COUNTIF('8月'!BV4:BV34,$B38)+COUNTIF('8月'!BW4:BW34,$B38)+COUNTIF('8月'!CA4:CA34,$B38)+COUNTIF('8月'!CB4:CB34,$B38)+COUNTIF('8月'!CF4:CF34,$B38)+COUNTIF('8月'!CG4:CG34,$B38)+COUNTIF('8月'!CK4:CK34,$B38)+COUNTIF('8月'!CL4:CL34,$B38)+COUNTIF('8月'!CP4:CP34,$B38)+COUNTIF('8月'!CQ4:CQ34,$B38)+COUNTIF('8月'!CU4:CU34,$B38)+COUNTIF('8月'!CV4:CV34,$B38)+COUNTIF('8月'!CZ4:CZ34,$B38)+COUNTIF('8月'!DA4:DA34,$B38)+COUNTIF('8月'!DE4:DE34,$B38)+COUNTIF('8月'!DF4:DF34,$B38)+COUNTIF('8月'!DJ4:DJ34,$B38)+COUNTIF('8月'!DK4:DK34,$B38)+COUNTIF('8月'!DO4:DO34,$B38)+COUNTIF('8月'!DP4:DP34,$B38)+COUNTIF('8月'!DT4:DT34,$B38)+COUNTIF('8月'!DU4:DU34,$B38)+COUNTIF('8月'!DY4:DY34,$B38)+COUNTIF('8月'!DZ4:DZ34,$B38)+COUNTIF('8月'!ED4:ED34,$B38)+COUNTIF('8月'!EE4:EE34,$B38)+COUNTIF('8月'!EI4:EI34,$B38)+COUNTIF('8月'!EJ4:EJ34,$B38)+COUNTIF('8月'!EN4:EN34,$B38)+COUNTIF('8月'!EO4:EO34,$B38)+COUNTIF('8月'!ES4:ES34,$B38)+COUNTIF('8月'!ET4:ET34,$B38)),0)</f>
        <v>0</v>
      </c>
      <c r="K38" s="76">
        <f>IFERROR(IF($B38="","",COUNTIF('9月'!D4:D34,$B38)+COUNTIF('9月'!E4:E34,$B38)+COUNTIF('9月'!I4:I34,$B38)+COUNTIF('9月'!J4:J34,$B38)+COUNTIF('9月'!N4:N34,$B38)+COUNTIF('9月'!O4:O34,$B38)+COUNTIF('9月'!S4:S34,$B38)+COUNTIF('9月'!T4:T34,$B38)+COUNTIF('9月'!X4:X34,$B38)+COUNTIF('9月'!Y4:Y34,$B38)+COUNTIF('9月'!AC4:AC34,$B38)+COUNTIF('9月'!AD4:AD34,$B38)+COUNTIF('9月'!AH4:AH34,$B38)+COUNTIF('9月'!AI4:AI34,$B38)+COUNTIF('9月'!AM4:AM34,$B38)+COUNTIF('9月'!AN4:AN34,$B38)+COUNTIF('9月'!AR4:AR34,$B38)+COUNTIF('9月'!AS4:AS34,$B38)+COUNTIF('9月'!AW4:AW34,$B38)+COUNTIF('9月'!AX4:AX34,$B38)+COUNTIF('9月'!BB4:BB34,$B38)+COUNTIF('9月'!BC4:BC34,$B38)+COUNTIF('9月'!BG4:BG34,$B38)+COUNTIF('9月'!BH4:BH34,$B38)+COUNTIF('9月'!BL4:BL34,$B38)+COUNTIF('9月'!BM4:BM34,$B38)+COUNTIF('9月'!BQ4:BQ34,$B38)+COUNTIF('9月'!BR4:BR34,$B38)+COUNTIF('9月'!BV4:BV34,$B38)+COUNTIF('9月'!BW4:BW34,$B38)+COUNTIF('9月'!CA4:CA34,$B38)+COUNTIF('9月'!CB4:CB34,$B38)+COUNTIF('9月'!CF4:CF34,$B38)+COUNTIF('9月'!CG4:CG34,$B38)+COUNTIF('9月'!CK4:CK34,$B38)+COUNTIF('9月'!CL4:CL34,$B38)+COUNTIF('9月'!CP4:CP34,$B38)+COUNTIF('9月'!CQ4:CQ34,$B38)+COUNTIF('9月'!CU4:CU34,$B38)+COUNTIF('9月'!CV4:CV34,$B38)+COUNTIF('9月'!CZ4:CZ34,$B38)+COUNTIF('9月'!DA4:DA34,$B38)+COUNTIF('9月'!DE4:DE34,$B38)+COUNTIF('9月'!DF4:DF34,$B38)+COUNTIF('9月'!DJ4:DJ34,$B38)+COUNTIF('9月'!DK4:DK34,$B38)+COUNTIF('9月'!DO4:DO34,$B38)+COUNTIF('9月'!DP4:DP34,$B38)+COUNTIF('9月'!DT4:DT34,$B38)+COUNTIF('9月'!DU4:DU34,$B38)+COUNTIF('9月'!DY4:DY34,$B38)+COUNTIF('9月'!DZ4:DZ34,$B38)+COUNTIF('9月'!ED4:ED34,$B38)+COUNTIF('9月'!EE4:EE34,$B38)+COUNTIF('9月'!EI4:EI34,$B38)+COUNTIF('9月'!EJ4:EJ34,$B38)+COUNTIF('9月'!EN4:EN34,$B38)+COUNTIF('9月'!EO4:EO34,$B38)+COUNTIF('9月'!ES4:ES34,$B38)+COUNTIF('9月'!ET4:ET34,$B38)),0)</f>
        <v>0</v>
      </c>
      <c r="L38" s="76">
        <f>IFERROR(IF($B38="","",COUNTIF('10月'!D4:D34,$B38)+COUNTIF('10月'!E4:E34,$B38)+COUNTIF('10月'!I4:I34,$B38)+COUNTIF('10月'!J4:J34,$B38)+COUNTIF('10月'!N4:N34,$B38)+COUNTIF('10月'!O4:O34,$B38)+COUNTIF('10月'!S4:S34,$B38)+COUNTIF('10月'!T4:T34,$B38)+COUNTIF('10月'!X4:X34,$B38)+COUNTIF('10月'!Y4:Y34,$B38)+COUNTIF('10月'!AC4:AC34,$B38)+COUNTIF('10月'!AD4:AD34,$B38)+COUNTIF('10月'!AH4:AH34,$B38)+COUNTIF('10月'!AI4:AI34,$B38)+COUNTIF('10月'!AM4:AM34,$B38)+COUNTIF('10月'!AN4:AN34,$B38)+COUNTIF('10月'!AR4:AR34,$B38)+COUNTIF('10月'!AS4:AS34,$B38)+COUNTIF('10月'!AW4:AW34,$B38)+COUNTIF('10月'!AX4:AX34,$B38)+COUNTIF('10月'!BB4:BB34,$B38)+COUNTIF('10月'!BC4:BC34,$B38)+COUNTIF('10月'!BG4:BG34,$B38)+COUNTIF('10月'!BH4:BH34,$B38)+COUNTIF('10月'!BL4:BL34,$B38)+COUNTIF('10月'!BM4:BM34,$B38)+COUNTIF('10月'!BQ4:BQ34,$B38)+COUNTIF('10月'!BR4:BR34,$B38)+COUNTIF('10月'!BV4:BV34,$B38)+COUNTIF('10月'!BW4:BW34,$B38)+COUNTIF('10月'!CA4:CA34,$B38)+COUNTIF('10月'!CB4:CB34,$B38)+COUNTIF('10月'!CF4:CF34,$B38)+COUNTIF('10月'!CG4:CG34,$B38)+COUNTIF('10月'!CK4:CK34,$B38)+COUNTIF('10月'!CL4:CL34,$B38)+COUNTIF('10月'!CP4:CP34,$B38)+COUNTIF('10月'!CQ4:CQ34,$B38)+COUNTIF('10月'!CU4:CU34,$B38)+COUNTIF('10月'!CV4:CV34,$B38)+COUNTIF('10月'!CZ4:CZ34,$B38)+COUNTIF('10月'!DA4:DA34,$B38)+COUNTIF('10月'!DE4:DE34,$B38)+COUNTIF('10月'!DF4:DF34,$B38)+COUNTIF('10月'!DJ4:DJ34,$B38)+COUNTIF('10月'!DK4:DK34,$B38)+COUNTIF('10月'!DO4:DO34,$B38)+COUNTIF('10月'!DP4:DP34,$B38)+COUNTIF('10月'!DT4:DT34,$B38)+COUNTIF('10月'!DU4:DU34,$B38)+COUNTIF('10月'!DY4:DY34,$B38)+COUNTIF('10月'!DZ4:DZ34,$B38)+COUNTIF('10月'!ED4:ED34,$B38)+COUNTIF('10月'!EE4:EE34,$B38)+COUNTIF('10月'!EI4:EI34,$B38)+COUNTIF('10月'!EJ4:EJ34,$B38)+COUNTIF('10月'!EN4:EN34,$B38)+COUNTIF('10月'!EO4:EO34,$B38)+COUNTIF('10月'!ES4:ES34,$B38)+COUNTIF('10月'!ET4:ET34,$B38)),0)</f>
        <v>0</v>
      </c>
      <c r="M38" s="76">
        <f>IFERROR(IF($B38="","",COUNTIF('11月'!D4:D34,$B38)+COUNTIF('11月'!E4:E34,$B38)+COUNTIF('11月'!I4:I34,$B38)+COUNTIF('11月'!J4:J34,$B38)+COUNTIF('11月'!N4:N34,$B38)+COUNTIF('11月'!O4:O34,$B38)+COUNTIF('11月'!S4:S34,$B38)+COUNTIF('11月'!T4:T34,$B38)+COUNTIF('11月'!X4:X34,$B38)+COUNTIF('11月'!Y4:Y34,$B38)+COUNTIF('11月'!AC4:AC34,$B38)+COUNTIF('11月'!AD4:AD34,$B38)+COUNTIF('11月'!AH4:AH34,$B38)+COUNTIF('11月'!AI4:AI34,$B38)+COUNTIF('11月'!AM4:AM34,$B38)+COUNTIF('11月'!AN4:AN34,$B38)+COUNTIF('11月'!AR4:AR34,$B38)+COUNTIF('11月'!AS4:AS34,$B38)+COUNTIF('11月'!AW4:AW34,$B38)+COUNTIF('11月'!AX4:AX34,$B38)+COUNTIF('11月'!BB4:BB34,$B38)+COUNTIF('11月'!BC4:BC34,$B38)+COUNTIF('11月'!BG4:BG34,$B38)+COUNTIF('11月'!BH4:BH34,$B38)+COUNTIF('11月'!BL4:BL34,$B38)+COUNTIF('11月'!BM4:BM34,$B38)+COUNTIF('11月'!BQ4:BQ34,$B38)+COUNTIF('11月'!BR4:BR34,$B38)+COUNTIF('11月'!BV4:BV34,$B38)+COUNTIF('11月'!BW4:BW34,$B38)+COUNTIF('11月'!CA4:CA34,$B38)+COUNTIF('11月'!CB4:CB34,$B38)+COUNTIF('11月'!CF4:CF34,$B38)+COUNTIF('11月'!CG4:CG34,$B38)+COUNTIF('11月'!CK4:CK34,$B38)+COUNTIF('11月'!CL4:CL34,$B38)+COUNTIF('11月'!CP4:CP34,$B38)+COUNTIF('11月'!CQ4:CQ34,$B38)+COUNTIF('11月'!CU4:CU34,$B38)+COUNTIF('11月'!CV4:CV34,$B38)+COUNTIF('11月'!CZ4:CZ34,$B38)+COUNTIF('11月'!DA4:DA34,$B38)+COUNTIF('11月'!DE4:DE34,$B38)+COUNTIF('11月'!DF4:DF34,$B38)+COUNTIF('11月'!DJ4:DJ34,$B38)+COUNTIF('11月'!DK4:DK34,$B38)+COUNTIF('11月'!DO4:DO34,$B38)+COUNTIF('11月'!DP4:DP34,$B38)+COUNTIF('11月'!DT4:DT34,$B38)+COUNTIF('11月'!DU4:DU34,$B38)+COUNTIF('11月'!DY4:DY34,$B38)+COUNTIF('11月'!DZ4:DZ34,$B38)+COUNTIF('11月'!ED4:ED34,$B38)+COUNTIF('11月'!EE4:EE34,$B38)+COUNTIF('11月'!EI4:EI34,$B38)+COUNTIF('11月'!EJ4:EJ34,$B38)+COUNTIF('11月'!EN4:EN34,$B38)+COUNTIF('11月'!EO4:EO34,$B38)+COUNTIF('11月'!ES4:ES34,$B38)+COUNTIF('11月'!ET4:ET34,$B38)),0)</f>
        <v>0</v>
      </c>
      <c r="N38" s="76">
        <f>IFERROR(IF($B38="","",COUNTIF('12月'!D4:D34,$B38)+COUNTIF('12月'!E4:E34,$B38)+COUNTIF('12月'!I4:I34,$B38)+COUNTIF('12月'!J4:J34,$B38)+COUNTIF('12月'!N4:N34,$B38)+COUNTIF('12月'!O4:O34,$B38)+COUNTIF('12月'!S4:S34,$B38)+COUNTIF('12月'!T4:T34,$B38)+COUNTIF('12月'!X4:X34,$B38)+COUNTIF('12月'!Y4:Y34,$B38)+COUNTIF('12月'!AC4:AC34,$B38)+COUNTIF('12月'!AD4:AD34,$B38)+COUNTIF('12月'!AH4:AH34,$B38)+COUNTIF('12月'!AI4:AI34,$B38)+COUNTIF('12月'!AM4:AM34,$B38)+COUNTIF('12月'!AN4:AN34,$B38)+COUNTIF('12月'!AR4:AR34,$B38)+COUNTIF('12月'!AS4:AS34,$B38)+COUNTIF('12月'!AW4:AW34,$B38)+COUNTIF('12月'!AX4:AX34,$B38)+COUNTIF('12月'!BB4:BB34,$B38)+COUNTIF('12月'!BC4:BC34,$B38)+COUNTIF('12月'!BG4:BG34,$B38)+COUNTIF('12月'!BH4:BH34,$B38)+COUNTIF('12月'!BL4:BL34,$B38)+COUNTIF('12月'!BM4:BM34,$B38)+COUNTIF('12月'!BQ4:BQ34,$B38)+COUNTIF('12月'!BR4:BR34,$B38)+COUNTIF('12月'!BV4:BV34,$B38)+COUNTIF('12月'!BW4:BW34,$B38)+COUNTIF('12月'!CA4:CA34,$B38)+COUNTIF('12月'!CB4:CB34,$B38)+COUNTIF('12月'!CF4:CF34,$B38)+COUNTIF('12月'!CG4:CG34,$B38)+COUNTIF('12月'!CK4:CK34,$B38)+COUNTIF('12月'!CL4:CL34,$B38)+COUNTIF('12月'!CP4:CP34,$B38)+COUNTIF('12月'!CQ4:CQ34,$B38)+COUNTIF('12月'!CU4:CU34,$B38)+COUNTIF('12月'!CV4:CV34,$B38)+COUNTIF('12月'!CZ4:CZ34,$B38)+COUNTIF('12月'!DA4:DA34,$B38)+COUNTIF('12月'!DE4:DE34,$B38)+COUNTIF('12月'!DF4:DF34,$B38)+COUNTIF('12月'!DJ4:DJ34,$B38)+COUNTIF('12月'!DK4:DK34,$B38)+COUNTIF('12月'!DO4:DO34,$B38)+COUNTIF('12月'!DP4:DP34,$B38)+COUNTIF('12月'!DT4:DT34,$B38)+COUNTIF('12月'!DU4:DU34,$B38)+COUNTIF('12月'!DY4:DY34,$B38)+COUNTIF('12月'!DZ4:DZ34,$B38)+COUNTIF('12月'!ED4:ED34,$B38)+COUNTIF('12月'!EE4:EE34,$B38)+COUNTIF('12月'!EI4:EI34,$B38)+COUNTIF('12月'!EJ4:EJ34,$B38)+COUNTIF('12月'!EN4:EN34,$B38)+COUNTIF('12月'!EO4:EO34,$B38)+COUNTIF('12月'!ES4:ES34,$B38)+COUNTIF('12月'!ET4:ET34,$B38)),0)</f>
        <v>0</v>
      </c>
      <c r="O38" s="78">
        <f t="shared" si="0"/>
        <v>0</v>
      </c>
    </row>
    <row r="39" spans="1:15" ht="19.5" customHeight="1">
      <c r="A39" s="76">
        <v>37</v>
      </c>
      <c r="B39" s="77">
        <f>IFERROR(現場マスタ!$C$40,"")</f>
        <v>0</v>
      </c>
      <c r="C39" s="76">
        <f>IFERROR(IF($B39="","",COUNTIF('1月'!D4:D34,$B39)+COUNTIF('1月'!E4:E34,$B39)+COUNTIF('1月'!I4:I34,$B39)+COUNTIF('1月'!J4:J34,$B39)+COUNTIF('1月'!N4:N34,$B39)+COUNTIF('1月'!O4:O34,$B39)+COUNTIF('1月'!S4:S34,$B39)+COUNTIF('1月'!T4:T34,$B39)+COUNTIF('1月'!X4:X34,$B39)+COUNTIF('1月'!Y4:Y34,$B39)+COUNTIF('1月'!AC4:AC34,$B39)+COUNTIF('1月'!AD4:AD34,$B39)+COUNTIF('1月'!AH4:AH34,$B39)+COUNTIF('1月'!AI4:AI34,$B39)+COUNTIF('1月'!AM4:AM34,$B39)+COUNTIF('1月'!AN4:AN34,$B39)+COUNTIF('1月'!AR4:AR34,$B39)+COUNTIF('1月'!AS4:AS34,$B39)+COUNTIF('1月'!AW4:AW34,$B39)+COUNTIF('1月'!AX4:AX34,$B39)+COUNTIF('1月'!BB4:BB34,$B39)+COUNTIF('1月'!BC4:BC34,$B39)+COUNTIF('1月'!BG4:BG34,$B39)+COUNTIF('1月'!BH4:BH34,$B39)+COUNTIF('1月'!BL4:BL34,$B39)+COUNTIF('1月'!BM4:BM34,$B39)+COUNTIF('1月'!BQ4:BQ34,$B39)+COUNTIF('1月'!BR4:BR34,$B39)+COUNTIF('1月'!BV4:BV34,$B39)+COUNTIF('1月'!BW4:BW34,$B39)+COUNTIF('1月'!CA4:CA34,$B39)+COUNTIF('1月'!CB4:CB34,$B39)+COUNTIF('1月'!CF4:CF34,$B39)+COUNTIF('1月'!CG4:CG34,$B39)+COUNTIF('1月'!CK4:CK34,$B39)+COUNTIF('1月'!CL4:CL34,$B39)+COUNTIF('1月'!CP4:CP34,$B39)+COUNTIF('1月'!CQ4:CQ34,$B39)+COUNTIF('1月'!CU4:CU34,$B39)+COUNTIF('1月'!CV4:CV34,$B39)+COUNTIF('1月'!CZ4:CZ34,$B39)+COUNTIF('1月'!DA4:DA34,$B39)+COUNTIF('1月'!DE4:DE34,$B39)+COUNTIF('1月'!DF4:DF34,$B39)+COUNTIF('1月'!DJ4:DJ34,$B39)+COUNTIF('1月'!DK4:DK34,$B39)+COUNTIF('1月'!DO4:DO34,$B39)+COUNTIF('1月'!DP4:DP34,$B39)+COUNTIF('1月'!DT4:DT34,$B39)+COUNTIF('1月'!DU4:DU34,$B39)+COUNTIF('1月'!DY4:DY34,$B39)+COUNTIF('1月'!DZ4:DZ34,$B39)+COUNTIF('1月'!ED4:ED34,$B39)+COUNTIF('1月'!EE4:EE34,$B39)+COUNTIF('1月'!EI4:EI34,$B39)+COUNTIF('1月'!EJ4:EJ34,$B39)+COUNTIF('1月'!EN4:EN34,$B39)+COUNTIF('1月'!EO4:EO34,$B39)+COUNTIF('1月'!ES4:ES34,$B39)+COUNTIF('1月'!ET4:ET34,$B39)),0)</f>
        <v>0</v>
      </c>
      <c r="D39" s="76">
        <f>IFERROR(IF($B39="","",COUNTIF('2月'!D4:D34,$B39)+COUNTIF('2月'!E4:E34,$B39)+COUNTIF('2月'!I4:I34,$B39)+COUNTIF('2月'!J4:J34,$B39)+COUNTIF('2月'!N4:N34,$B39)+COUNTIF('2月'!O4:O34,$B39)+COUNTIF('2月'!S4:S34,$B39)+COUNTIF('2月'!T4:T34,$B39)+COUNTIF('2月'!X4:X34,$B39)+COUNTIF('2月'!Y4:Y34,$B39)+COUNTIF('2月'!AC4:AC34,$B39)+COUNTIF('2月'!AD4:AD34,$B39)+COUNTIF('2月'!AH4:AH34,$B39)+COUNTIF('2月'!AI4:AI34,$B39)+COUNTIF('2月'!AM4:AM34,$B39)+COUNTIF('2月'!AN4:AN34,$B39)+COUNTIF('2月'!AR4:AR34,$B39)+COUNTIF('2月'!AS4:AS34,$B39)+COUNTIF('2月'!AW4:AW34,$B39)+COUNTIF('2月'!AX4:AX34,$B39)+COUNTIF('2月'!BB4:BB34,$B39)+COUNTIF('2月'!BC4:BC34,$B39)+COUNTIF('2月'!BG4:BG34,$B39)+COUNTIF('2月'!BH4:BH34,$B39)+COUNTIF('2月'!BL4:BL34,$B39)+COUNTIF('2月'!BM4:BM34,$B39)+COUNTIF('2月'!BQ4:BQ34,$B39)+COUNTIF('2月'!BR4:BR34,$B39)+COUNTIF('2月'!BV4:BV34,$B39)+COUNTIF('2月'!BW4:BW34,$B39)+COUNTIF('2月'!CA4:CA34,$B39)+COUNTIF('2月'!CB4:CB34,$B39)+COUNTIF('2月'!CF4:CF34,$B39)+COUNTIF('2月'!CG4:CG34,$B39)+COUNTIF('2月'!CK4:CK34,$B39)+COUNTIF('2月'!CL4:CL34,$B39)+COUNTIF('2月'!CP4:CP34,$B39)+COUNTIF('2月'!CQ4:CQ34,$B39)+COUNTIF('2月'!CU4:CU34,$B39)+COUNTIF('2月'!CV4:CV34,$B39)+COUNTIF('2月'!CZ4:CZ34,$B39)+COUNTIF('2月'!DA4:DA34,$B39)+COUNTIF('2月'!DE4:DE34,$B39)+COUNTIF('2月'!DF4:DF34,$B39)+COUNTIF('2月'!DJ4:DJ34,$B39)+COUNTIF('2月'!DK4:DK34,$B39)+COUNTIF('2月'!DO4:DO34,$B39)+COUNTIF('2月'!DP4:DP34,$B39)+COUNTIF('2月'!DT4:DT34,$B39)+COUNTIF('2月'!DU4:DU34,$B39)+COUNTIF('2月'!DY4:DY34,$B39)+COUNTIF('2月'!DZ4:DZ34,$B39)+COUNTIF('2月'!ED4:ED34,$B39)+COUNTIF('2月'!EE4:EE34,$B39)+COUNTIF('2月'!EI4:EI34,$B39)+COUNTIF('2月'!EJ4:EJ34,$B39)+COUNTIF('2月'!EN4:EN34,$B39)+COUNTIF('2月'!EO4:EO34,$B39)+COUNTIF('2月'!ES4:ES34,$B39)+COUNTIF('2月'!ET4:ET34,$B39)),0)</f>
        <v>0</v>
      </c>
      <c r="E39" s="76">
        <f>IFERROR(IF($B39="","",COUNTIF('3月'!D4:D34,$B39)+COUNTIF('3月'!E4:E34,$B39)+COUNTIF('3月'!I4:I34,$B39)+COUNTIF('3月'!J4:J34,$B39)+COUNTIF('3月'!N4:N34,$B39)+COUNTIF('3月'!O4:O34,$B39)+COUNTIF('3月'!S4:S34,$B39)+COUNTIF('3月'!T4:T34,$B39)+COUNTIF('3月'!X4:X34,$B39)+COUNTIF('3月'!Y4:Y34,$B39)+COUNTIF('3月'!AC4:AC34,$B39)+COUNTIF('3月'!AD4:AD34,$B39)+COUNTIF('3月'!AH4:AH34,$B39)+COUNTIF('3月'!AI4:AI34,$B39)+COUNTIF('3月'!AM4:AM34,$B39)+COUNTIF('3月'!AN4:AN34,$B39)+COUNTIF('3月'!AR4:AR34,$B39)+COUNTIF('3月'!AS4:AS34,$B39)+COUNTIF('3月'!AW4:AW34,$B39)+COUNTIF('3月'!AX4:AX34,$B39)+COUNTIF('3月'!BB4:BB34,$B39)+COUNTIF('3月'!BC4:BC34,$B39)+COUNTIF('3月'!BG4:BG34,$B39)+COUNTIF('3月'!BH4:BH34,$B39)+COUNTIF('3月'!BL4:BL34,$B39)+COUNTIF('3月'!BM4:BM34,$B39)+COUNTIF('3月'!BQ4:BQ34,$B39)+COUNTIF('3月'!BR4:BR34,$B39)+COUNTIF('3月'!BV4:BV34,$B39)+COUNTIF('3月'!BW4:BW34,$B39)+COUNTIF('3月'!CA4:CA34,$B39)+COUNTIF('3月'!CB4:CB34,$B39)+COUNTIF('3月'!CF4:CF34,$B39)+COUNTIF('3月'!CG4:CG34,$B39)+COUNTIF('3月'!CK4:CK34,$B39)+COUNTIF('3月'!CL4:CL34,$B39)+COUNTIF('3月'!CP4:CP34,$B39)+COUNTIF('3月'!CQ4:CQ34,$B39)+COUNTIF('3月'!CU4:CU34,$B39)+COUNTIF('3月'!CV4:CV34,$B39)+COUNTIF('3月'!CZ4:CZ34,$B39)+COUNTIF('3月'!DA4:DA34,$B39)+COUNTIF('3月'!DE4:DE34,$B39)+COUNTIF('3月'!DF4:DF34,$B39)+COUNTIF('3月'!DJ4:DJ34,$B39)+COUNTIF('3月'!DK4:DK34,$B39)+COUNTIF('3月'!DO4:DO34,$B39)+COUNTIF('3月'!DP4:DP34,$B39)+COUNTIF('3月'!DT4:DT34,$B39)+COUNTIF('3月'!DU4:DU34,$B39)+COUNTIF('3月'!DY4:DY34,$B39)+COUNTIF('3月'!DZ4:DZ34,$B39)+COUNTIF('3月'!ED4:ED34,$B39)+COUNTIF('3月'!EE4:EE34,$B39)+COUNTIF('3月'!EI4:EI34,$B39)+COUNTIF('3月'!EJ4:EJ34,$B39)+COUNTIF('3月'!EN4:EN34,$B39)+COUNTIF('3月'!EO4:EO34,$B39)+COUNTIF('3月'!ES4:ES34,$B39)+COUNTIF('3月'!ET4:ET34,$B39)),0)</f>
        <v>0</v>
      </c>
      <c r="F39" s="76">
        <f>IFERROR(IF($B39="","",COUNTIF('4月'!D4:D34,$B39)+COUNTIF('4月'!E4:E34,$B39)+COUNTIF('4月'!I4:I34,$B39)+COUNTIF('4月'!J4:J34,$B39)+COUNTIF('4月'!N4:N34,$B39)+COUNTIF('4月'!O4:O34,$B39)+COUNTIF('4月'!S4:S34,$B39)+COUNTIF('4月'!T4:T34,$B39)+COUNTIF('4月'!X4:X34,$B39)+COUNTIF('4月'!Y4:Y34,$B39)+COUNTIF('4月'!AC4:AC34,$B39)+COUNTIF('4月'!AD4:AD34,$B39)+COUNTIF('4月'!AH4:AH34,$B39)+COUNTIF('4月'!AI4:AI34,$B39)+COUNTIF('4月'!AM4:AM34,$B39)+COUNTIF('4月'!AN4:AN34,$B39)+COUNTIF('4月'!AR4:AR34,$B39)+COUNTIF('4月'!AS4:AS34,$B39)+COUNTIF('4月'!AW4:AW34,$B39)+COUNTIF('4月'!AX4:AX34,$B39)+COUNTIF('4月'!BB4:BB34,$B39)+COUNTIF('4月'!BC4:BC34,$B39)+COUNTIF('4月'!BG4:BG34,$B39)+COUNTIF('4月'!BH4:BH34,$B39)+COUNTIF('4月'!BL4:BL34,$B39)+COUNTIF('4月'!BM4:BM34,$B39)+COUNTIF('4月'!BQ4:BQ34,$B39)+COUNTIF('4月'!BR4:BR34,$B39)+COUNTIF('4月'!BV4:BV34,$B39)+COUNTIF('4月'!BW4:BW34,$B39)+COUNTIF('4月'!CA4:CA34,$B39)+COUNTIF('4月'!CB4:CB34,$B39)+COUNTIF('4月'!CF4:CF34,$B39)+COUNTIF('4月'!CG4:CG34,$B39)+COUNTIF('4月'!CK4:CK34,$B39)+COUNTIF('4月'!CL4:CL34,$B39)+COUNTIF('4月'!CP4:CP34,$B39)+COUNTIF('4月'!CQ4:CQ34,$B39)+COUNTIF('4月'!CU4:CU34,$B39)+COUNTIF('4月'!CV4:CV34,$B39)+COUNTIF('4月'!CZ4:CZ34,$B39)+COUNTIF('4月'!DA4:DA34,$B39)+COUNTIF('4月'!DE4:DE34,$B39)+COUNTIF('4月'!DF4:DF34,$B39)+COUNTIF('4月'!DJ4:DJ34,$B39)+COUNTIF('4月'!DK4:DK34,$B39)+COUNTIF('4月'!DO4:DO34,$B39)+COUNTIF('4月'!DP4:DP34,$B39)+COUNTIF('4月'!DT4:DT34,$B39)+COUNTIF('4月'!DU4:DU34,$B39)+COUNTIF('4月'!DY4:DY34,$B39)+COUNTIF('4月'!DZ4:DZ34,$B39)+COUNTIF('4月'!ED4:ED34,$B39)+COUNTIF('4月'!EE4:EE34,$B39)+COUNTIF('4月'!EI4:EI34,$B39)+COUNTIF('4月'!EJ4:EJ34,$B39)+COUNTIF('4月'!EN4:EN34,$B39)+COUNTIF('4月'!EO4:EO34,$B39)+COUNTIF('4月'!ES4:ES34,$B39)+COUNTIF('4月'!ET4:ET34,$B39)),0)</f>
        <v>0</v>
      </c>
      <c r="G39" s="76">
        <f>IFERROR(IF($B39="","",COUNTIF('5月'!D4:D34,$B39)+COUNTIF('5月'!E4:E34,$B39)+COUNTIF('5月'!I4:I34,$B39)+COUNTIF('5月'!J4:J34,$B39)+COUNTIF('5月'!N4:N34,$B39)+COUNTIF('5月'!O4:O34,$B39)+COUNTIF('5月'!S4:S34,$B39)+COUNTIF('5月'!T4:T34,$B39)+COUNTIF('5月'!X4:X34,$B39)+COUNTIF('5月'!Y4:Y34,$B39)+COUNTIF('5月'!AC4:AC34,$B39)+COUNTIF('5月'!AD4:AD34,$B39)+COUNTIF('5月'!AH4:AH34,$B39)+COUNTIF('5月'!AI4:AI34,$B39)+COUNTIF('5月'!AM4:AM34,$B39)+COUNTIF('5月'!AN4:AN34,$B39)+COUNTIF('5月'!AR4:AR34,$B39)+COUNTIF('5月'!AS4:AS34,$B39)+COUNTIF('5月'!AW4:AW34,$B39)+COUNTIF('5月'!AX4:AX34,$B39)+COUNTIF('5月'!BB4:BB34,$B39)+COUNTIF('5月'!BC4:BC34,$B39)+COUNTIF('5月'!BG4:BG34,$B39)+COUNTIF('5月'!BH4:BH34,$B39)+COUNTIF('5月'!BL4:BL34,$B39)+COUNTIF('5月'!BM4:BM34,$B39)+COUNTIF('5月'!BQ4:BQ34,$B39)+COUNTIF('5月'!BR4:BR34,$B39)+COUNTIF('5月'!BV4:BV34,$B39)+COUNTIF('5月'!BW4:BW34,$B39)+COUNTIF('5月'!CA4:CA34,$B39)+COUNTIF('5月'!CB4:CB34,$B39)+COUNTIF('5月'!CF4:CF34,$B39)+COUNTIF('5月'!CG4:CG34,$B39)+COUNTIF('5月'!CK4:CK34,$B39)+COUNTIF('5月'!CL4:CL34,$B39)+COUNTIF('5月'!CP4:CP34,$B39)+COUNTIF('5月'!CQ4:CQ34,$B39)+COUNTIF('5月'!CU4:CU34,$B39)+COUNTIF('5月'!CV4:CV34,$B39)+COUNTIF('5月'!CZ4:CZ34,$B39)+COUNTIF('5月'!DA4:DA34,$B39)+COUNTIF('5月'!DE4:DE34,$B39)+COUNTIF('5月'!DF4:DF34,$B39)+COUNTIF('5月'!DJ4:DJ34,$B39)+COUNTIF('5月'!DK4:DK34,$B39)+COUNTIF('5月'!DO4:DO34,$B39)+COUNTIF('5月'!DP4:DP34,$B39)+COUNTIF('5月'!DT4:DT34,$B39)+COUNTIF('5月'!DU4:DU34,$B39)+COUNTIF('5月'!DY4:DY34,$B39)+COUNTIF('5月'!DZ4:DZ34,$B39)+COUNTIF('5月'!ED4:ED34,$B39)+COUNTIF('5月'!EE4:EE34,$B39)+COUNTIF('5月'!EI4:EI34,$B39)+COUNTIF('5月'!EJ4:EJ34,$B39)+COUNTIF('5月'!EN4:EN34,$B39)+COUNTIF('5月'!EO4:EO34,$B39)+COUNTIF('5月'!ES4:ES34,$B39)+COUNTIF('5月'!ET4:ET34,$B39)),0)</f>
        <v>0</v>
      </c>
      <c r="H39" s="76">
        <f>IFERROR(IF($B39="","",COUNTIF('6月'!D4:D34,$B39)+COUNTIF('6月'!E4:E34,$B39)+COUNTIF('6月'!I4:I34,$B39)+COUNTIF('6月'!J4:J34,$B39)+COUNTIF('6月'!N4:N34,$B39)+COUNTIF('6月'!O4:O34,$B39)+COUNTIF('6月'!S4:S34,$B39)+COUNTIF('6月'!T4:T34,$B39)+COUNTIF('6月'!X4:X34,$B39)+COUNTIF('6月'!Y4:Y34,$B39)+COUNTIF('6月'!AC4:AC34,$B39)+COUNTIF('6月'!AD4:AD34,$B39)+COUNTIF('6月'!AH4:AH34,$B39)+COUNTIF('6月'!AI4:AI34,$B39)+COUNTIF('6月'!AM4:AM34,$B39)+COUNTIF('6月'!AN4:AN34,$B39)+COUNTIF('6月'!AR4:AR34,$B39)+COUNTIF('6月'!AS4:AS34,$B39)+COUNTIF('6月'!AW4:AW34,$B39)+COUNTIF('6月'!AX4:AX34,$B39)+COUNTIF('6月'!BB4:BB34,$B39)+COUNTIF('6月'!BC4:BC34,$B39)+COUNTIF('6月'!BG4:BG34,$B39)+COUNTIF('6月'!BH4:BH34,$B39)+COUNTIF('6月'!BL4:BL34,$B39)+COUNTIF('6月'!BM4:BM34,$B39)+COUNTIF('6月'!BQ4:BQ34,$B39)+COUNTIF('6月'!BR4:BR34,$B39)+COUNTIF('6月'!BV4:BV34,$B39)+COUNTIF('6月'!BW4:BW34,$B39)+COUNTIF('6月'!CA4:CA34,$B39)+COUNTIF('6月'!CB4:CB34,$B39)+COUNTIF('6月'!CF4:CF34,$B39)+COUNTIF('6月'!CG4:CG34,$B39)+COUNTIF('6月'!CK4:CK34,$B39)+COUNTIF('6月'!CL4:CL34,$B39)+COUNTIF('6月'!CP4:CP34,$B39)+COUNTIF('6月'!CQ4:CQ34,$B39)+COUNTIF('6月'!CU4:CU34,$B39)+COUNTIF('6月'!CV4:CV34,$B39)+COUNTIF('6月'!CZ4:CZ34,$B39)+COUNTIF('6月'!DA4:DA34,$B39)+COUNTIF('6月'!DE4:DE34,$B39)+COUNTIF('6月'!DF4:DF34,$B39)+COUNTIF('6月'!DJ4:DJ34,$B39)+COUNTIF('6月'!DK4:DK34,$B39)+COUNTIF('6月'!DO4:DO34,$B39)+COUNTIF('6月'!DP4:DP34,$B39)+COUNTIF('6月'!DT4:DT34,$B39)+COUNTIF('6月'!DU4:DU34,$B39)+COUNTIF('6月'!DY4:DY34,$B39)+COUNTIF('6月'!DZ4:DZ34,$B39)+COUNTIF('6月'!ED4:ED34,$B39)+COUNTIF('6月'!EE4:EE34,$B39)+COUNTIF('6月'!EI4:EI34,$B39)+COUNTIF('6月'!EJ4:EJ34,$B39)+COUNTIF('6月'!EN4:EN34,$B39)+COUNTIF('6月'!EO4:EO34,$B39)+COUNTIF('6月'!ES4:ES34,$B39)+COUNTIF('6月'!ET4:ET34,$B39)),0)</f>
        <v>0</v>
      </c>
      <c r="I39" s="76">
        <f>IFERROR(IF($B39="","",COUNTIF('7月'!D4:D34,$B39)+COUNTIF('7月'!E4:E34,$B39)+COUNTIF('7月'!I4:I34,$B39)+COUNTIF('7月'!J4:J34,$B39)+COUNTIF('7月'!N4:N34,$B39)+COUNTIF('7月'!O4:O34,$B39)+COUNTIF('7月'!S4:S34,$B39)+COUNTIF('7月'!T4:T34,$B39)+COUNTIF('7月'!X4:X34,$B39)+COUNTIF('7月'!Y4:Y34,$B39)+COUNTIF('7月'!AC4:AC34,$B39)+COUNTIF('7月'!AD4:AD34,$B39)+COUNTIF('7月'!AH4:AH34,$B39)+COUNTIF('7月'!AI4:AI34,$B39)+COUNTIF('7月'!AM4:AM34,$B39)+COUNTIF('7月'!AN4:AN34,$B39)+COUNTIF('7月'!AR4:AR34,$B39)+COUNTIF('7月'!AS4:AS34,$B39)+COUNTIF('7月'!AW4:AW34,$B39)+COUNTIF('7月'!AX4:AX34,$B39)+COUNTIF('7月'!BB4:BB34,$B39)+COUNTIF('7月'!BC4:BC34,$B39)+COUNTIF('7月'!BG4:BG34,$B39)+COUNTIF('7月'!BH4:BH34,$B39)+COUNTIF('7月'!BL4:BL34,$B39)+COUNTIF('7月'!BM4:BM34,$B39)+COUNTIF('7月'!BQ4:BQ34,$B39)+COUNTIF('7月'!BR4:BR34,$B39)+COUNTIF('7月'!BV4:BV34,$B39)+COUNTIF('7月'!BW4:BW34,$B39)+COUNTIF('7月'!CA4:CA34,$B39)+COUNTIF('7月'!CB4:CB34,$B39)+COUNTIF('7月'!CF4:CF34,$B39)+COUNTIF('7月'!CG4:CG34,$B39)+COUNTIF('7月'!CK4:CK34,$B39)+COUNTIF('7月'!CL4:CL34,$B39)+COUNTIF('7月'!CP4:CP34,$B39)+COUNTIF('7月'!CQ4:CQ34,$B39)+COUNTIF('7月'!CU4:CU34,$B39)+COUNTIF('7月'!CV4:CV34,$B39)+COUNTIF('7月'!CZ4:CZ34,$B39)+COUNTIF('7月'!DA4:DA34,$B39)+COUNTIF('7月'!DE4:DE34,$B39)+COUNTIF('7月'!DF4:DF34,$B39)+COUNTIF('7月'!DJ4:DJ34,$B39)+COUNTIF('7月'!DK4:DK34,$B39)+COUNTIF('7月'!DO4:DO34,$B39)+COUNTIF('7月'!DP4:DP34,$B39)+COUNTIF('7月'!DT4:DT34,$B39)+COUNTIF('7月'!DU4:DU34,$B39)+COUNTIF('7月'!DY4:DY34,$B39)+COUNTIF('7月'!DZ4:DZ34,$B39)+COUNTIF('7月'!ED4:ED34,$B39)+COUNTIF('7月'!EE4:EE34,$B39)+COUNTIF('7月'!EI4:EI34,$B39)+COUNTIF('7月'!EJ4:EJ34,$B39)+COUNTIF('7月'!EN4:EN34,$B39)+COUNTIF('7月'!EO4:EO34,$B39)+COUNTIF('7月'!ES4:ES34,$B39)+COUNTIF('7月'!ET4:ET34,$B39)),0)</f>
        <v>0</v>
      </c>
      <c r="J39" s="76">
        <f>IFERROR(IF($B39="","",COUNTIF('8月'!D4:D34,$B39)+COUNTIF('8月'!E4:E34,$B39)+COUNTIF('8月'!I4:I34,$B39)+COUNTIF('8月'!J4:J34,$B39)+COUNTIF('8月'!N4:N34,$B39)+COUNTIF('8月'!O4:O34,$B39)+COUNTIF('8月'!S4:S34,$B39)+COUNTIF('8月'!T4:T34,$B39)+COUNTIF('8月'!X4:X34,$B39)+COUNTIF('8月'!Y4:Y34,$B39)+COUNTIF('8月'!AC4:AC34,$B39)+COUNTIF('8月'!AD4:AD34,$B39)+COUNTIF('8月'!AH4:AH34,$B39)+COUNTIF('8月'!AI4:AI34,$B39)+COUNTIF('8月'!AM4:AM34,$B39)+COUNTIF('8月'!AN4:AN34,$B39)+COUNTIF('8月'!AR4:AR34,$B39)+COUNTIF('8月'!AS4:AS34,$B39)+COUNTIF('8月'!AW4:AW34,$B39)+COUNTIF('8月'!AX4:AX34,$B39)+COUNTIF('8月'!BB4:BB34,$B39)+COUNTIF('8月'!BC4:BC34,$B39)+COUNTIF('8月'!BG4:BG34,$B39)+COUNTIF('8月'!BH4:BH34,$B39)+COUNTIF('8月'!BL4:BL34,$B39)+COUNTIF('8月'!BM4:BM34,$B39)+COUNTIF('8月'!BQ4:BQ34,$B39)+COUNTIF('8月'!BR4:BR34,$B39)+COUNTIF('8月'!BV4:BV34,$B39)+COUNTIF('8月'!BW4:BW34,$B39)+COUNTIF('8月'!CA4:CA34,$B39)+COUNTIF('8月'!CB4:CB34,$B39)+COUNTIF('8月'!CF4:CF34,$B39)+COUNTIF('8月'!CG4:CG34,$B39)+COUNTIF('8月'!CK4:CK34,$B39)+COUNTIF('8月'!CL4:CL34,$B39)+COUNTIF('8月'!CP4:CP34,$B39)+COUNTIF('8月'!CQ4:CQ34,$B39)+COUNTIF('8月'!CU4:CU34,$B39)+COUNTIF('8月'!CV4:CV34,$B39)+COUNTIF('8月'!CZ4:CZ34,$B39)+COUNTIF('8月'!DA4:DA34,$B39)+COUNTIF('8月'!DE4:DE34,$B39)+COUNTIF('8月'!DF4:DF34,$B39)+COUNTIF('8月'!DJ4:DJ34,$B39)+COUNTIF('8月'!DK4:DK34,$B39)+COUNTIF('8月'!DO4:DO34,$B39)+COUNTIF('8月'!DP4:DP34,$B39)+COUNTIF('8月'!DT4:DT34,$B39)+COUNTIF('8月'!DU4:DU34,$B39)+COUNTIF('8月'!DY4:DY34,$B39)+COUNTIF('8月'!DZ4:DZ34,$B39)+COUNTIF('8月'!ED4:ED34,$B39)+COUNTIF('8月'!EE4:EE34,$B39)+COUNTIF('8月'!EI4:EI34,$B39)+COUNTIF('8月'!EJ4:EJ34,$B39)+COUNTIF('8月'!EN4:EN34,$B39)+COUNTIF('8月'!EO4:EO34,$B39)+COUNTIF('8月'!ES4:ES34,$B39)+COUNTIF('8月'!ET4:ET34,$B39)),0)</f>
        <v>0</v>
      </c>
      <c r="K39" s="76">
        <f>IFERROR(IF($B39="","",COUNTIF('9月'!D4:D34,$B39)+COUNTIF('9月'!E4:E34,$B39)+COUNTIF('9月'!I4:I34,$B39)+COUNTIF('9月'!J4:J34,$B39)+COUNTIF('9月'!N4:N34,$B39)+COUNTIF('9月'!O4:O34,$B39)+COUNTIF('9月'!S4:S34,$B39)+COUNTIF('9月'!T4:T34,$B39)+COUNTIF('9月'!X4:X34,$B39)+COUNTIF('9月'!Y4:Y34,$B39)+COUNTIF('9月'!AC4:AC34,$B39)+COUNTIF('9月'!AD4:AD34,$B39)+COUNTIF('9月'!AH4:AH34,$B39)+COUNTIF('9月'!AI4:AI34,$B39)+COUNTIF('9月'!AM4:AM34,$B39)+COUNTIF('9月'!AN4:AN34,$B39)+COUNTIF('9月'!AR4:AR34,$B39)+COUNTIF('9月'!AS4:AS34,$B39)+COUNTIF('9月'!AW4:AW34,$B39)+COUNTIF('9月'!AX4:AX34,$B39)+COUNTIF('9月'!BB4:BB34,$B39)+COUNTIF('9月'!BC4:BC34,$B39)+COUNTIF('9月'!BG4:BG34,$B39)+COUNTIF('9月'!BH4:BH34,$B39)+COUNTIF('9月'!BL4:BL34,$B39)+COUNTIF('9月'!BM4:BM34,$B39)+COUNTIF('9月'!BQ4:BQ34,$B39)+COUNTIF('9月'!BR4:BR34,$B39)+COUNTIF('9月'!BV4:BV34,$B39)+COUNTIF('9月'!BW4:BW34,$B39)+COUNTIF('9月'!CA4:CA34,$B39)+COUNTIF('9月'!CB4:CB34,$B39)+COUNTIF('9月'!CF4:CF34,$B39)+COUNTIF('9月'!CG4:CG34,$B39)+COUNTIF('9月'!CK4:CK34,$B39)+COUNTIF('9月'!CL4:CL34,$B39)+COUNTIF('9月'!CP4:CP34,$B39)+COUNTIF('9月'!CQ4:CQ34,$B39)+COUNTIF('9月'!CU4:CU34,$B39)+COUNTIF('9月'!CV4:CV34,$B39)+COUNTIF('9月'!CZ4:CZ34,$B39)+COUNTIF('9月'!DA4:DA34,$B39)+COUNTIF('9月'!DE4:DE34,$B39)+COUNTIF('9月'!DF4:DF34,$B39)+COUNTIF('9月'!DJ4:DJ34,$B39)+COUNTIF('9月'!DK4:DK34,$B39)+COUNTIF('9月'!DO4:DO34,$B39)+COUNTIF('9月'!DP4:DP34,$B39)+COUNTIF('9月'!DT4:DT34,$B39)+COUNTIF('9月'!DU4:DU34,$B39)+COUNTIF('9月'!DY4:DY34,$B39)+COUNTIF('9月'!DZ4:DZ34,$B39)+COUNTIF('9月'!ED4:ED34,$B39)+COUNTIF('9月'!EE4:EE34,$B39)+COUNTIF('9月'!EI4:EI34,$B39)+COUNTIF('9月'!EJ4:EJ34,$B39)+COUNTIF('9月'!EN4:EN34,$B39)+COUNTIF('9月'!EO4:EO34,$B39)+COUNTIF('9月'!ES4:ES34,$B39)+COUNTIF('9月'!ET4:ET34,$B39)),0)</f>
        <v>0</v>
      </c>
      <c r="L39" s="76">
        <f>IFERROR(IF($B39="","",COUNTIF('10月'!D4:D34,$B39)+COUNTIF('10月'!E4:E34,$B39)+COUNTIF('10月'!I4:I34,$B39)+COUNTIF('10月'!J4:J34,$B39)+COUNTIF('10月'!N4:N34,$B39)+COUNTIF('10月'!O4:O34,$B39)+COUNTIF('10月'!S4:S34,$B39)+COUNTIF('10月'!T4:T34,$B39)+COUNTIF('10月'!X4:X34,$B39)+COUNTIF('10月'!Y4:Y34,$B39)+COUNTIF('10月'!AC4:AC34,$B39)+COUNTIF('10月'!AD4:AD34,$B39)+COUNTIF('10月'!AH4:AH34,$B39)+COUNTIF('10月'!AI4:AI34,$B39)+COUNTIF('10月'!AM4:AM34,$B39)+COUNTIF('10月'!AN4:AN34,$B39)+COUNTIF('10月'!AR4:AR34,$B39)+COUNTIF('10月'!AS4:AS34,$B39)+COUNTIF('10月'!AW4:AW34,$B39)+COUNTIF('10月'!AX4:AX34,$B39)+COUNTIF('10月'!BB4:BB34,$B39)+COUNTIF('10月'!BC4:BC34,$B39)+COUNTIF('10月'!BG4:BG34,$B39)+COUNTIF('10月'!BH4:BH34,$B39)+COUNTIF('10月'!BL4:BL34,$B39)+COUNTIF('10月'!BM4:BM34,$B39)+COUNTIF('10月'!BQ4:BQ34,$B39)+COUNTIF('10月'!BR4:BR34,$B39)+COUNTIF('10月'!BV4:BV34,$B39)+COUNTIF('10月'!BW4:BW34,$B39)+COUNTIF('10月'!CA4:CA34,$B39)+COUNTIF('10月'!CB4:CB34,$B39)+COUNTIF('10月'!CF4:CF34,$B39)+COUNTIF('10月'!CG4:CG34,$B39)+COUNTIF('10月'!CK4:CK34,$B39)+COUNTIF('10月'!CL4:CL34,$B39)+COUNTIF('10月'!CP4:CP34,$B39)+COUNTIF('10月'!CQ4:CQ34,$B39)+COUNTIF('10月'!CU4:CU34,$B39)+COUNTIF('10月'!CV4:CV34,$B39)+COUNTIF('10月'!CZ4:CZ34,$B39)+COUNTIF('10月'!DA4:DA34,$B39)+COUNTIF('10月'!DE4:DE34,$B39)+COUNTIF('10月'!DF4:DF34,$B39)+COUNTIF('10月'!DJ4:DJ34,$B39)+COUNTIF('10月'!DK4:DK34,$B39)+COUNTIF('10月'!DO4:DO34,$B39)+COUNTIF('10月'!DP4:DP34,$B39)+COUNTIF('10月'!DT4:DT34,$B39)+COUNTIF('10月'!DU4:DU34,$B39)+COUNTIF('10月'!DY4:DY34,$B39)+COUNTIF('10月'!DZ4:DZ34,$B39)+COUNTIF('10月'!ED4:ED34,$B39)+COUNTIF('10月'!EE4:EE34,$B39)+COUNTIF('10月'!EI4:EI34,$B39)+COUNTIF('10月'!EJ4:EJ34,$B39)+COUNTIF('10月'!EN4:EN34,$B39)+COUNTIF('10月'!EO4:EO34,$B39)+COUNTIF('10月'!ES4:ES34,$B39)+COUNTIF('10月'!ET4:ET34,$B39)),0)</f>
        <v>0</v>
      </c>
      <c r="M39" s="76">
        <f>IFERROR(IF($B39="","",COUNTIF('11月'!D4:D34,$B39)+COUNTIF('11月'!E4:E34,$B39)+COUNTIF('11月'!I4:I34,$B39)+COUNTIF('11月'!J4:J34,$B39)+COUNTIF('11月'!N4:N34,$B39)+COUNTIF('11月'!O4:O34,$B39)+COUNTIF('11月'!S4:S34,$B39)+COUNTIF('11月'!T4:T34,$B39)+COUNTIF('11月'!X4:X34,$B39)+COUNTIF('11月'!Y4:Y34,$B39)+COUNTIF('11月'!AC4:AC34,$B39)+COUNTIF('11月'!AD4:AD34,$B39)+COUNTIF('11月'!AH4:AH34,$B39)+COUNTIF('11月'!AI4:AI34,$B39)+COUNTIF('11月'!AM4:AM34,$B39)+COUNTIF('11月'!AN4:AN34,$B39)+COUNTIF('11月'!AR4:AR34,$B39)+COUNTIF('11月'!AS4:AS34,$B39)+COUNTIF('11月'!AW4:AW34,$B39)+COUNTIF('11月'!AX4:AX34,$B39)+COUNTIF('11月'!BB4:BB34,$B39)+COUNTIF('11月'!BC4:BC34,$B39)+COUNTIF('11月'!BG4:BG34,$B39)+COUNTIF('11月'!BH4:BH34,$B39)+COUNTIF('11月'!BL4:BL34,$B39)+COUNTIF('11月'!BM4:BM34,$B39)+COUNTIF('11月'!BQ4:BQ34,$B39)+COUNTIF('11月'!BR4:BR34,$B39)+COUNTIF('11月'!BV4:BV34,$B39)+COUNTIF('11月'!BW4:BW34,$B39)+COUNTIF('11月'!CA4:CA34,$B39)+COUNTIF('11月'!CB4:CB34,$B39)+COUNTIF('11月'!CF4:CF34,$B39)+COUNTIF('11月'!CG4:CG34,$B39)+COUNTIF('11月'!CK4:CK34,$B39)+COUNTIF('11月'!CL4:CL34,$B39)+COUNTIF('11月'!CP4:CP34,$B39)+COUNTIF('11月'!CQ4:CQ34,$B39)+COUNTIF('11月'!CU4:CU34,$B39)+COUNTIF('11月'!CV4:CV34,$B39)+COUNTIF('11月'!CZ4:CZ34,$B39)+COUNTIF('11月'!DA4:DA34,$B39)+COUNTIF('11月'!DE4:DE34,$B39)+COUNTIF('11月'!DF4:DF34,$B39)+COUNTIF('11月'!DJ4:DJ34,$B39)+COUNTIF('11月'!DK4:DK34,$B39)+COUNTIF('11月'!DO4:DO34,$B39)+COUNTIF('11月'!DP4:DP34,$B39)+COUNTIF('11月'!DT4:DT34,$B39)+COUNTIF('11月'!DU4:DU34,$B39)+COUNTIF('11月'!DY4:DY34,$B39)+COUNTIF('11月'!DZ4:DZ34,$B39)+COUNTIF('11月'!ED4:ED34,$B39)+COUNTIF('11月'!EE4:EE34,$B39)+COUNTIF('11月'!EI4:EI34,$B39)+COUNTIF('11月'!EJ4:EJ34,$B39)+COUNTIF('11月'!EN4:EN34,$B39)+COUNTIF('11月'!EO4:EO34,$B39)+COUNTIF('11月'!ES4:ES34,$B39)+COUNTIF('11月'!ET4:ET34,$B39)),0)</f>
        <v>0</v>
      </c>
      <c r="N39" s="76">
        <f>IFERROR(IF($B39="","",COUNTIF('12月'!D4:D34,$B39)+COUNTIF('12月'!E4:E34,$B39)+COUNTIF('12月'!I4:I34,$B39)+COUNTIF('12月'!J4:J34,$B39)+COUNTIF('12月'!N4:N34,$B39)+COUNTIF('12月'!O4:O34,$B39)+COUNTIF('12月'!S4:S34,$B39)+COUNTIF('12月'!T4:T34,$B39)+COUNTIF('12月'!X4:X34,$B39)+COUNTIF('12月'!Y4:Y34,$B39)+COUNTIF('12月'!AC4:AC34,$B39)+COUNTIF('12月'!AD4:AD34,$B39)+COUNTIF('12月'!AH4:AH34,$B39)+COUNTIF('12月'!AI4:AI34,$B39)+COUNTIF('12月'!AM4:AM34,$B39)+COUNTIF('12月'!AN4:AN34,$B39)+COUNTIF('12月'!AR4:AR34,$B39)+COUNTIF('12月'!AS4:AS34,$B39)+COUNTIF('12月'!AW4:AW34,$B39)+COUNTIF('12月'!AX4:AX34,$B39)+COUNTIF('12月'!BB4:BB34,$B39)+COUNTIF('12月'!BC4:BC34,$B39)+COUNTIF('12月'!BG4:BG34,$B39)+COUNTIF('12月'!BH4:BH34,$B39)+COUNTIF('12月'!BL4:BL34,$B39)+COUNTIF('12月'!BM4:BM34,$B39)+COUNTIF('12月'!BQ4:BQ34,$B39)+COUNTIF('12月'!BR4:BR34,$B39)+COUNTIF('12月'!BV4:BV34,$B39)+COUNTIF('12月'!BW4:BW34,$B39)+COUNTIF('12月'!CA4:CA34,$B39)+COUNTIF('12月'!CB4:CB34,$B39)+COUNTIF('12月'!CF4:CF34,$B39)+COUNTIF('12月'!CG4:CG34,$B39)+COUNTIF('12月'!CK4:CK34,$B39)+COUNTIF('12月'!CL4:CL34,$B39)+COUNTIF('12月'!CP4:CP34,$B39)+COUNTIF('12月'!CQ4:CQ34,$B39)+COUNTIF('12月'!CU4:CU34,$B39)+COUNTIF('12月'!CV4:CV34,$B39)+COUNTIF('12月'!CZ4:CZ34,$B39)+COUNTIF('12月'!DA4:DA34,$B39)+COUNTIF('12月'!DE4:DE34,$B39)+COUNTIF('12月'!DF4:DF34,$B39)+COUNTIF('12月'!DJ4:DJ34,$B39)+COUNTIF('12月'!DK4:DK34,$B39)+COUNTIF('12月'!DO4:DO34,$B39)+COUNTIF('12月'!DP4:DP34,$B39)+COUNTIF('12月'!DT4:DT34,$B39)+COUNTIF('12月'!DU4:DU34,$B39)+COUNTIF('12月'!DY4:DY34,$B39)+COUNTIF('12月'!DZ4:DZ34,$B39)+COUNTIF('12月'!ED4:ED34,$B39)+COUNTIF('12月'!EE4:EE34,$B39)+COUNTIF('12月'!EI4:EI34,$B39)+COUNTIF('12月'!EJ4:EJ34,$B39)+COUNTIF('12月'!EN4:EN34,$B39)+COUNTIF('12月'!EO4:EO34,$B39)+COUNTIF('12月'!ES4:ES34,$B39)+COUNTIF('12月'!ET4:ET34,$B39)),0)</f>
        <v>0</v>
      </c>
      <c r="O39" s="78">
        <f t="shared" si="0"/>
        <v>0</v>
      </c>
    </row>
    <row r="40" spans="1:15" ht="19.5" customHeight="1">
      <c r="A40" s="76">
        <v>38</v>
      </c>
      <c r="B40" s="77">
        <f>IFERROR(現場マスタ!$C$41,"")</f>
        <v>0</v>
      </c>
      <c r="C40" s="76">
        <f>IFERROR(IF($B40="","",COUNTIF('1月'!D4:D34,$B40)+COUNTIF('1月'!E4:E34,$B40)+COUNTIF('1月'!I4:I34,$B40)+COUNTIF('1月'!J4:J34,$B40)+COUNTIF('1月'!N4:N34,$B40)+COUNTIF('1月'!O4:O34,$B40)+COUNTIF('1月'!S4:S34,$B40)+COUNTIF('1月'!T4:T34,$B40)+COUNTIF('1月'!X4:X34,$B40)+COUNTIF('1月'!Y4:Y34,$B40)+COUNTIF('1月'!AC4:AC34,$B40)+COUNTIF('1月'!AD4:AD34,$B40)+COUNTIF('1月'!AH4:AH34,$B40)+COUNTIF('1月'!AI4:AI34,$B40)+COUNTIF('1月'!AM4:AM34,$B40)+COUNTIF('1月'!AN4:AN34,$B40)+COUNTIF('1月'!AR4:AR34,$B40)+COUNTIF('1月'!AS4:AS34,$B40)+COUNTIF('1月'!AW4:AW34,$B40)+COUNTIF('1月'!AX4:AX34,$B40)+COUNTIF('1月'!BB4:BB34,$B40)+COUNTIF('1月'!BC4:BC34,$B40)+COUNTIF('1月'!BG4:BG34,$B40)+COUNTIF('1月'!BH4:BH34,$B40)+COUNTIF('1月'!BL4:BL34,$B40)+COUNTIF('1月'!BM4:BM34,$B40)+COUNTIF('1月'!BQ4:BQ34,$B40)+COUNTIF('1月'!BR4:BR34,$B40)+COUNTIF('1月'!BV4:BV34,$B40)+COUNTIF('1月'!BW4:BW34,$B40)+COUNTIF('1月'!CA4:CA34,$B40)+COUNTIF('1月'!CB4:CB34,$B40)+COUNTIF('1月'!CF4:CF34,$B40)+COUNTIF('1月'!CG4:CG34,$B40)+COUNTIF('1月'!CK4:CK34,$B40)+COUNTIF('1月'!CL4:CL34,$B40)+COUNTIF('1月'!CP4:CP34,$B40)+COUNTIF('1月'!CQ4:CQ34,$B40)+COUNTIF('1月'!CU4:CU34,$B40)+COUNTIF('1月'!CV4:CV34,$B40)+COUNTIF('1月'!CZ4:CZ34,$B40)+COUNTIF('1月'!DA4:DA34,$B40)+COUNTIF('1月'!DE4:DE34,$B40)+COUNTIF('1月'!DF4:DF34,$B40)+COUNTIF('1月'!DJ4:DJ34,$B40)+COUNTIF('1月'!DK4:DK34,$B40)+COUNTIF('1月'!DO4:DO34,$B40)+COUNTIF('1月'!DP4:DP34,$B40)+COUNTIF('1月'!DT4:DT34,$B40)+COUNTIF('1月'!DU4:DU34,$B40)+COUNTIF('1月'!DY4:DY34,$B40)+COUNTIF('1月'!DZ4:DZ34,$B40)+COUNTIF('1月'!ED4:ED34,$B40)+COUNTIF('1月'!EE4:EE34,$B40)+COUNTIF('1月'!EI4:EI34,$B40)+COUNTIF('1月'!EJ4:EJ34,$B40)+COUNTIF('1月'!EN4:EN34,$B40)+COUNTIF('1月'!EO4:EO34,$B40)+COUNTIF('1月'!ES4:ES34,$B40)+COUNTIF('1月'!ET4:ET34,$B40)),0)</f>
        <v>0</v>
      </c>
      <c r="D40" s="76">
        <f>IFERROR(IF($B40="","",COUNTIF('2月'!D4:D34,$B40)+COUNTIF('2月'!E4:E34,$B40)+COUNTIF('2月'!I4:I34,$B40)+COUNTIF('2月'!J4:J34,$B40)+COUNTIF('2月'!N4:N34,$B40)+COUNTIF('2月'!O4:O34,$B40)+COUNTIF('2月'!S4:S34,$B40)+COUNTIF('2月'!T4:T34,$B40)+COUNTIF('2月'!X4:X34,$B40)+COUNTIF('2月'!Y4:Y34,$B40)+COUNTIF('2月'!AC4:AC34,$B40)+COUNTIF('2月'!AD4:AD34,$B40)+COUNTIF('2月'!AH4:AH34,$B40)+COUNTIF('2月'!AI4:AI34,$B40)+COUNTIF('2月'!AM4:AM34,$B40)+COUNTIF('2月'!AN4:AN34,$B40)+COUNTIF('2月'!AR4:AR34,$B40)+COUNTIF('2月'!AS4:AS34,$B40)+COUNTIF('2月'!AW4:AW34,$B40)+COUNTIF('2月'!AX4:AX34,$B40)+COUNTIF('2月'!BB4:BB34,$B40)+COUNTIF('2月'!BC4:BC34,$B40)+COUNTIF('2月'!BG4:BG34,$B40)+COUNTIF('2月'!BH4:BH34,$B40)+COUNTIF('2月'!BL4:BL34,$B40)+COUNTIF('2月'!BM4:BM34,$B40)+COUNTIF('2月'!BQ4:BQ34,$B40)+COUNTIF('2月'!BR4:BR34,$B40)+COUNTIF('2月'!BV4:BV34,$B40)+COUNTIF('2月'!BW4:BW34,$B40)+COUNTIF('2月'!CA4:CA34,$B40)+COUNTIF('2月'!CB4:CB34,$B40)+COUNTIF('2月'!CF4:CF34,$B40)+COUNTIF('2月'!CG4:CG34,$B40)+COUNTIF('2月'!CK4:CK34,$B40)+COUNTIF('2月'!CL4:CL34,$B40)+COUNTIF('2月'!CP4:CP34,$B40)+COUNTIF('2月'!CQ4:CQ34,$B40)+COUNTIF('2月'!CU4:CU34,$B40)+COUNTIF('2月'!CV4:CV34,$B40)+COUNTIF('2月'!CZ4:CZ34,$B40)+COUNTIF('2月'!DA4:DA34,$B40)+COUNTIF('2月'!DE4:DE34,$B40)+COUNTIF('2月'!DF4:DF34,$B40)+COUNTIF('2月'!DJ4:DJ34,$B40)+COUNTIF('2月'!DK4:DK34,$B40)+COUNTIF('2月'!DO4:DO34,$B40)+COUNTIF('2月'!DP4:DP34,$B40)+COUNTIF('2月'!DT4:DT34,$B40)+COUNTIF('2月'!DU4:DU34,$B40)+COUNTIF('2月'!DY4:DY34,$B40)+COUNTIF('2月'!DZ4:DZ34,$B40)+COUNTIF('2月'!ED4:ED34,$B40)+COUNTIF('2月'!EE4:EE34,$B40)+COUNTIF('2月'!EI4:EI34,$B40)+COUNTIF('2月'!EJ4:EJ34,$B40)+COUNTIF('2月'!EN4:EN34,$B40)+COUNTIF('2月'!EO4:EO34,$B40)+COUNTIF('2月'!ES4:ES34,$B40)+COUNTIF('2月'!ET4:ET34,$B40)),0)</f>
        <v>0</v>
      </c>
      <c r="E40" s="76">
        <f>IFERROR(IF($B40="","",COUNTIF('3月'!D4:D34,$B40)+COUNTIF('3月'!E4:E34,$B40)+COUNTIF('3月'!I4:I34,$B40)+COUNTIF('3月'!J4:J34,$B40)+COUNTIF('3月'!N4:N34,$B40)+COUNTIF('3月'!O4:O34,$B40)+COUNTIF('3月'!S4:S34,$B40)+COUNTIF('3月'!T4:T34,$B40)+COUNTIF('3月'!X4:X34,$B40)+COUNTIF('3月'!Y4:Y34,$B40)+COUNTIF('3月'!AC4:AC34,$B40)+COUNTIF('3月'!AD4:AD34,$B40)+COUNTIF('3月'!AH4:AH34,$B40)+COUNTIF('3月'!AI4:AI34,$B40)+COUNTIF('3月'!AM4:AM34,$B40)+COUNTIF('3月'!AN4:AN34,$B40)+COUNTIF('3月'!AR4:AR34,$B40)+COUNTIF('3月'!AS4:AS34,$B40)+COUNTIF('3月'!AW4:AW34,$B40)+COUNTIF('3月'!AX4:AX34,$B40)+COUNTIF('3月'!BB4:BB34,$B40)+COUNTIF('3月'!BC4:BC34,$B40)+COUNTIF('3月'!BG4:BG34,$B40)+COUNTIF('3月'!BH4:BH34,$B40)+COUNTIF('3月'!BL4:BL34,$B40)+COUNTIF('3月'!BM4:BM34,$B40)+COUNTIF('3月'!BQ4:BQ34,$B40)+COUNTIF('3月'!BR4:BR34,$B40)+COUNTIF('3月'!BV4:BV34,$B40)+COUNTIF('3月'!BW4:BW34,$B40)+COUNTIF('3月'!CA4:CA34,$B40)+COUNTIF('3月'!CB4:CB34,$B40)+COUNTIF('3月'!CF4:CF34,$B40)+COUNTIF('3月'!CG4:CG34,$B40)+COUNTIF('3月'!CK4:CK34,$B40)+COUNTIF('3月'!CL4:CL34,$B40)+COUNTIF('3月'!CP4:CP34,$B40)+COUNTIF('3月'!CQ4:CQ34,$B40)+COUNTIF('3月'!CU4:CU34,$B40)+COUNTIF('3月'!CV4:CV34,$B40)+COUNTIF('3月'!CZ4:CZ34,$B40)+COUNTIF('3月'!DA4:DA34,$B40)+COUNTIF('3月'!DE4:DE34,$B40)+COUNTIF('3月'!DF4:DF34,$B40)+COUNTIF('3月'!DJ4:DJ34,$B40)+COUNTIF('3月'!DK4:DK34,$B40)+COUNTIF('3月'!DO4:DO34,$B40)+COUNTIF('3月'!DP4:DP34,$B40)+COUNTIF('3月'!DT4:DT34,$B40)+COUNTIF('3月'!DU4:DU34,$B40)+COUNTIF('3月'!DY4:DY34,$B40)+COUNTIF('3月'!DZ4:DZ34,$B40)+COUNTIF('3月'!ED4:ED34,$B40)+COUNTIF('3月'!EE4:EE34,$B40)+COUNTIF('3月'!EI4:EI34,$B40)+COUNTIF('3月'!EJ4:EJ34,$B40)+COUNTIF('3月'!EN4:EN34,$B40)+COUNTIF('3月'!EO4:EO34,$B40)+COUNTIF('3月'!ES4:ES34,$B40)+COUNTIF('3月'!ET4:ET34,$B40)),0)</f>
        <v>0</v>
      </c>
      <c r="F40" s="76">
        <f>IFERROR(IF($B40="","",COUNTIF('4月'!D4:D34,$B40)+COUNTIF('4月'!E4:E34,$B40)+COUNTIF('4月'!I4:I34,$B40)+COUNTIF('4月'!J4:J34,$B40)+COUNTIF('4月'!N4:N34,$B40)+COUNTIF('4月'!O4:O34,$B40)+COUNTIF('4月'!S4:S34,$B40)+COUNTIF('4月'!T4:T34,$B40)+COUNTIF('4月'!X4:X34,$B40)+COUNTIF('4月'!Y4:Y34,$B40)+COUNTIF('4月'!AC4:AC34,$B40)+COUNTIF('4月'!AD4:AD34,$B40)+COUNTIF('4月'!AH4:AH34,$B40)+COUNTIF('4月'!AI4:AI34,$B40)+COUNTIF('4月'!AM4:AM34,$B40)+COUNTIF('4月'!AN4:AN34,$B40)+COUNTIF('4月'!AR4:AR34,$B40)+COUNTIF('4月'!AS4:AS34,$B40)+COUNTIF('4月'!AW4:AW34,$B40)+COUNTIF('4月'!AX4:AX34,$B40)+COUNTIF('4月'!BB4:BB34,$B40)+COUNTIF('4月'!BC4:BC34,$B40)+COUNTIF('4月'!BG4:BG34,$B40)+COUNTIF('4月'!BH4:BH34,$B40)+COUNTIF('4月'!BL4:BL34,$B40)+COUNTIF('4月'!BM4:BM34,$B40)+COUNTIF('4月'!BQ4:BQ34,$B40)+COUNTIF('4月'!BR4:BR34,$B40)+COUNTIF('4月'!BV4:BV34,$B40)+COUNTIF('4月'!BW4:BW34,$B40)+COUNTIF('4月'!CA4:CA34,$B40)+COUNTIF('4月'!CB4:CB34,$B40)+COUNTIF('4月'!CF4:CF34,$B40)+COUNTIF('4月'!CG4:CG34,$B40)+COUNTIF('4月'!CK4:CK34,$B40)+COUNTIF('4月'!CL4:CL34,$B40)+COUNTIF('4月'!CP4:CP34,$B40)+COUNTIF('4月'!CQ4:CQ34,$B40)+COUNTIF('4月'!CU4:CU34,$B40)+COUNTIF('4月'!CV4:CV34,$B40)+COUNTIF('4月'!CZ4:CZ34,$B40)+COUNTIF('4月'!DA4:DA34,$B40)+COUNTIF('4月'!DE4:DE34,$B40)+COUNTIF('4月'!DF4:DF34,$B40)+COUNTIF('4月'!DJ4:DJ34,$B40)+COUNTIF('4月'!DK4:DK34,$B40)+COUNTIF('4月'!DO4:DO34,$B40)+COUNTIF('4月'!DP4:DP34,$B40)+COUNTIF('4月'!DT4:DT34,$B40)+COUNTIF('4月'!DU4:DU34,$B40)+COUNTIF('4月'!DY4:DY34,$B40)+COUNTIF('4月'!DZ4:DZ34,$B40)+COUNTIF('4月'!ED4:ED34,$B40)+COUNTIF('4月'!EE4:EE34,$B40)+COUNTIF('4月'!EI4:EI34,$B40)+COUNTIF('4月'!EJ4:EJ34,$B40)+COUNTIF('4月'!EN4:EN34,$B40)+COUNTIF('4月'!EO4:EO34,$B40)+COUNTIF('4月'!ES4:ES34,$B40)+COUNTIF('4月'!ET4:ET34,$B40)),0)</f>
        <v>0</v>
      </c>
      <c r="G40" s="76">
        <f>IFERROR(IF($B40="","",COUNTIF('5月'!D4:D34,$B40)+COUNTIF('5月'!E4:E34,$B40)+COUNTIF('5月'!I4:I34,$B40)+COUNTIF('5月'!J4:J34,$B40)+COUNTIF('5月'!N4:N34,$B40)+COUNTIF('5月'!O4:O34,$B40)+COUNTIF('5月'!S4:S34,$B40)+COUNTIF('5月'!T4:T34,$B40)+COUNTIF('5月'!X4:X34,$B40)+COUNTIF('5月'!Y4:Y34,$B40)+COUNTIF('5月'!AC4:AC34,$B40)+COUNTIF('5月'!AD4:AD34,$B40)+COUNTIF('5月'!AH4:AH34,$B40)+COUNTIF('5月'!AI4:AI34,$B40)+COUNTIF('5月'!AM4:AM34,$B40)+COUNTIF('5月'!AN4:AN34,$B40)+COUNTIF('5月'!AR4:AR34,$B40)+COUNTIF('5月'!AS4:AS34,$B40)+COUNTIF('5月'!AW4:AW34,$B40)+COUNTIF('5月'!AX4:AX34,$B40)+COUNTIF('5月'!BB4:BB34,$B40)+COUNTIF('5月'!BC4:BC34,$B40)+COUNTIF('5月'!BG4:BG34,$B40)+COUNTIF('5月'!BH4:BH34,$B40)+COUNTIF('5月'!BL4:BL34,$B40)+COUNTIF('5月'!BM4:BM34,$B40)+COUNTIF('5月'!BQ4:BQ34,$B40)+COUNTIF('5月'!BR4:BR34,$B40)+COUNTIF('5月'!BV4:BV34,$B40)+COUNTIF('5月'!BW4:BW34,$B40)+COUNTIF('5月'!CA4:CA34,$B40)+COUNTIF('5月'!CB4:CB34,$B40)+COUNTIF('5月'!CF4:CF34,$B40)+COUNTIF('5月'!CG4:CG34,$B40)+COUNTIF('5月'!CK4:CK34,$B40)+COUNTIF('5月'!CL4:CL34,$B40)+COUNTIF('5月'!CP4:CP34,$B40)+COUNTIF('5月'!CQ4:CQ34,$B40)+COUNTIF('5月'!CU4:CU34,$B40)+COUNTIF('5月'!CV4:CV34,$B40)+COUNTIF('5月'!CZ4:CZ34,$B40)+COUNTIF('5月'!DA4:DA34,$B40)+COUNTIF('5月'!DE4:DE34,$B40)+COUNTIF('5月'!DF4:DF34,$B40)+COUNTIF('5月'!DJ4:DJ34,$B40)+COUNTIF('5月'!DK4:DK34,$B40)+COUNTIF('5月'!DO4:DO34,$B40)+COUNTIF('5月'!DP4:DP34,$B40)+COUNTIF('5月'!DT4:DT34,$B40)+COUNTIF('5月'!DU4:DU34,$B40)+COUNTIF('5月'!DY4:DY34,$B40)+COUNTIF('5月'!DZ4:DZ34,$B40)+COUNTIF('5月'!ED4:ED34,$B40)+COUNTIF('5月'!EE4:EE34,$B40)+COUNTIF('5月'!EI4:EI34,$B40)+COUNTIF('5月'!EJ4:EJ34,$B40)+COUNTIF('5月'!EN4:EN34,$B40)+COUNTIF('5月'!EO4:EO34,$B40)+COUNTIF('5月'!ES4:ES34,$B40)+COUNTIF('5月'!ET4:ET34,$B40)),0)</f>
        <v>0</v>
      </c>
      <c r="H40" s="76">
        <f>IFERROR(IF($B40="","",COUNTIF('6月'!D4:D34,$B40)+COUNTIF('6月'!E4:E34,$B40)+COUNTIF('6月'!I4:I34,$B40)+COUNTIF('6月'!J4:J34,$B40)+COUNTIF('6月'!N4:N34,$B40)+COUNTIF('6月'!O4:O34,$B40)+COUNTIF('6月'!S4:S34,$B40)+COUNTIF('6月'!T4:T34,$B40)+COUNTIF('6月'!X4:X34,$B40)+COUNTIF('6月'!Y4:Y34,$B40)+COUNTIF('6月'!AC4:AC34,$B40)+COUNTIF('6月'!AD4:AD34,$B40)+COUNTIF('6月'!AH4:AH34,$B40)+COUNTIF('6月'!AI4:AI34,$B40)+COUNTIF('6月'!AM4:AM34,$B40)+COUNTIF('6月'!AN4:AN34,$B40)+COUNTIF('6月'!AR4:AR34,$B40)+COUNTIF('6月'!AS4:AS34,$B40)+COUNTIF('6月'!AW4:AW34,$B40)+COUNTIF('6月'!AX4:AX34,$B40)+COUNTIF('6月'!BB4:BB34,$B40)+COUNTIF('6月'!BC4:BC34,$B40)+COUNTIF('6月'!BG4:BG34,$B40)+COUNTIF('6月'!BH4:BH34,$B40)+COUNTIF('6月'!BL4:BL34,$B40)+COUNTIF('6月'!BM4:BM34,$B40)+COUNTIF('6月'!BQ4:BQ34,$B40)+COUNTIF('6月'!BR4:BR34,$B40)+COUNTIF('6月'!BV4:BV34,$B40)+COUNTIF('6月'!BW4:BW34,$B40)+COUNTIF('6月'!CA4:CA34,$B40)+COUNTIF('6月'!CB4:CB34,$B40)+COUNTIF('6月'!CF4:CF34,$B40)+COUNTIF('6月'!CG4:CG34,$B40)+COUNTIF('6月'!CK4:CK34,$B40)+COUNTIF('6月'!CL4:CL34,$B40)+COUNTIF('6月'!CP4:CP34,$B40)+COUNTIF('6月'!CQ4:CQ34,$B40)+COUNTIF('6月'!CU4:CU34,$B40)+COUNTIF('6月'!CV4:CV34,$B40)+COUNTIF('6月'!CZ4:CZ34,$B40)+COUNTIF('6月'!DA4:DA34,$B40)+COUNTIF('6月'!DE4:DE34,$B40)+COUNTIF('6月'!DF4:DF34,$B40)+COUNTIF('6月'!DJ4:DJ34,$B40)+COUNTIF('6月'!DK4:DK34,$B40)+COUNTIF('6月'!DO4:DO34,$B40)+COUNTIF('6月'!DP4:DP34,$B40)+COUNTIF('6月'!DT4:DT34,$B40)+COUNTIF('6月'!DU4:DU34,$B40)+COUNTIF('6月'!DY4:DY34,$B40)+COUNTIF('6月'!DZ4:DZ34,$B40)+COUNTIF('6月'!ED4:ED34,$B40)+COUNTIF('6月'!EE4:EE34,$B40)+COUNTIF('6月'!EI4:EI34,$B40)+COUNTIF('6月'!EJ4:EJ34,$B40)+COUNTIF('6月'!EN4:EN34,$B40)+COUNTIF('6月'!EO4:EO34,$B40)+COUNTIF('6月'!ES4:ES34,$B40)+COUNTIF('6月'!ET4:ET34,$B40)),0)</f>
        <v>0</v>
      </c>
      <c r="I40" s="76">
        <f>IFERROR(IF($B40="","",COUNTIF('7月'!D4:D34,$B40)+COUNTIF('7月'!E4:E34,$B40)+COUNTIF('7月'!I4:I34,$B40)+COUNTIF('7月'!J4:J34,$B40)+COUNTIF('7月'!N4:N34,$B40)+COUNTIF('7月'!O4:O34,$B40)+COUNTIF('7月'!S4:S34,$B40)+COUNTIF('7月'!T4:T34,$B40)+COUNTIF('7月'!X4:X34,$B40)+COUNTIF('7月'!Y4:Y34,$B40)+COUNTIF('7月'!AC4:AC34,$B40)+COUNTIF('7月'!AD4:AD34,$B40)+COUNTIF('7月'!AH4:AH34,$B40)+COUNTIF('7月'!AI4:AI34,$B40)+COUNTIF('7月'!AM4:AM34,$B40)+COUNTIF('7月'!AN4:AN34,$B40)+COUNTIF('7月'!AR4:AR34,$B40)+COUNTIF('7月'!AS4:AS34,$B40)+COUNTIF('7月'!AW4:AW34,$B40)+COUNTIF('7月'!AX4:AX34,$B40)+COUNTIF('7月'!BB4:BB34,$B40)+COUNTIF('7月'!BC4:BC34,$B40)+COUNTIF('7月'!BG4:BG34,$B40)+COUNTIF('7月'!BH4:BH34,$B40)+COUNTIF('7月'!BL4:BL34,$B40)+COUNTIF('7月'!BM4:BM34,$B40)+COUNTIF('7月'!BQ4:BQ34,$B40)+COUNTIF('7月'!BR4:BR34,$B40)+COUNTIF('7月'!BV4:BV34,$B40)+COUNTIF('7月'!BW4:BW34,$B40)+COUNTIF('7月'!CA4:CA34,$B40)+COUNTIF('7月'!CB4:CB34,$B40)+COUNTIF('7月'!CF4:CF34,$B40)+COUNTIF('7月'!CG4:CG34,$B40)+COUNTIF('7月'!CK4:CK34,$B40)+COUNTIF('7月'!CL4:CL34,$B40)+COUNTIF('7月'!CP4:CP34,$B40)+COUNTIF('7月'!CQ4:CQ34,$B40)+COUNTIF('7月'!CU4:CU34,$B40)+COUNTIF('7月'!CV4:CV34,$B40)+COUNTIF('7月'!CZ4:CZ34,$B40)+COUNTIF('7月'!DA4:DA34,$B40)+COUNTIF('7月'!DE4:DE34,$B40)+COUNTIF('7月'!DF4:DF34,$B40)+COUNTIF('7月'!DJ4:DJ34,$B40)+COUNTIF('7月'!DK4:DK34,$B40)+COUNTIF('7月'!DO4:DO34,$B40)+COUNTIF('7月'!DP4:DP34,$B40)+COUNTIF('7月'!DT4:DT34,$B40)+COUNTIF('7月'!DU4:DU34,$B40)+COUNTIF('7月'!DY4:DY34,$B40)+COUNTIF('7月'!DZ4:DZ34,$B40)+COUNTIF('7月'!ED4:ED34,$B40)+COUNTIF('7月'!EE4:EE34,$B40)+COUNTIF('7月'!EI4:EI34,$B40)+COUNTIF('7月'!EJ4:EJ34,$B40)+COUNTIF('7月'!EN4:EN34,$B40)+COUNTIF('7月'!EO4:EO34,$B40)+COUNTIF('7月'!ES4:ES34,$B40)+COUNTIF('7月'!ET4:ET34,$B40)),0)</f>
        <v>0</v>
      </c>
      <c r="J40" s="76">
        <f>IFERROR(IF($B40="","",COUNTIF('8月'!D4:D34,$B40)+COUNTIF('8月'!E4:E34,$B40)+COUNTIF('8月'!I4:I34,$B40)+COUNTIF('8月'!J4:J34,$B40)+COUNTIF('8月'!N4:N34,$B40)+COUNTIF('8月'!O4:O34,$B40)+COUNTIF('8月'!S4:S34,$B40)+COUNTIF('8月'!T4:T34,$B40)+COUNTIF('8月'!X4:X34,$B40)+COUNTIF('8月'!Y4:Y34,$B40)+COUNTIF('8月'!AC4:AC34,$B40)+COUNTIF('8月'!AD4:AD34,$B40)+COUNTIF('8月'!AH4:AH34,$B40)+COUNTIF('8月'!AI4:AI34,$B40)+COUNTIF('8月'!AM4:AM34,$B40)+COUNTIF('8月'!AN4:AN34,$B40)+COUNTIF('8月'!AR4:AR34,$B40)+COUNTIF('8月'!AS4:AS34,$B40)+COUNTIF('8月'!AW4:AW34,$B40)+COUNTIF('8月'!AX4:AX34,$B40)+COUNTIF('8月'!BB4:BB34,$B40)+COUNTIF('8月'!BC4:BC34,$B40)+COUNTIF('8月'!BG4:BG34,$B40)+COUNTIF('8月'!BH4:BH34,$B40)+COUNTIF('8月'!BL4:BL34,$B40)+COUNTIF('8月'!BM4:BM34,$B40)+COUNTIF('8月'!BQ4:BQ34,$B40)+COUNTIF('8月'!BR4:BR34,$B40)+COUNTIF('8月'!BV4:BV34,$B40)+COUNTIF('8月'!BW4:BW34,$B40)+COUNTIF('8月'!CA4:CA34,$B40)+COUNTIF('8月'!CB4:CB34,$B40)+COUNTIF('8月'!CF4:CF34,$B40)+COUNTIF('8月'!CG4:CG34,$B40)+COUNTIF('8月'!CK4:CK34,$B40)+COUNTIF('8月'!CL4:CL34,$B40)+COUNTIF('8月'!CP4:CP34,$B40)+COUNTIF('8月'!CQ4:CQ34,$B40)+COUNTIF('8月'!CU4:CU34,$B40)+COUNTIF('8月'!CV4:CV34,$B40)+COUNTIF('8月'!CZ4:CZ34,$B40)+COUNTIF('8月'!DA4:DA34,$B40)+COUNTIF('8月'!DE4:DE34,$B40)+COUNTIF('8月'!DF4:DF34,$B40)+COUNTIF('8月'!DJ4:DJ34,$B40)+COUNTIF('8月'!DK4:DK34,$B40)+COUNTIF('8月'!DO4:DO34,$B40)+COUNTIF('8月'!DP4:DP34,$B40)+COUNTIF('8月'!DT4:DT34,$B40)+COUNTIF('8月'!DU4:DU34,$B40)+COUNTIF('8月'!DY4:DY34,$B40)+COUNTIF('8月'!DZ4:DZ34,$B40)+COUNTIF('8月'!ED4:ED34,$B40)+COUNTIF('8月'!EE4:EE34,$B40)+COUNTIF('8月'!EI4:EI34,$B40)+COUNTIF('8月'!EJ4:EJ34,$B40)+COUNTIF('8月'!EN4:EN34,$B40)+COUNTIF('8月'!EO4:EO34,$B40)+COUNTIF('8月'!ES4:ES34,$B40)+COUNTIF('8月'!ET4:ET34,$B40)),0)</f>
        <v>0</v>
      </c>
      <c r="K40" s="76">
        <f>IFERROR(IF($B40="","",COUNTIF('9月'!D4:D34,$B40)+COUNTIF('9月'!E4:E34,$B40)+COUNTIF('9月'!I4:I34,$B40)+COUNTIF('9月'!J4:J34,$B40)+COUNTIF('9月'!N4:N34,$B40)+COUNTIF('9月'!O4:O34,$B40)+COUNTIF('9月'!S4:S34,$B40)+COUNTIF('9月'!T4:T34,$B40)+COUNTIF('9月'!X4:X34,$B40)+COUNTIF('9月'!Y4:Y34,$B40)+COUNTIF('9月'!AC4:AC34,$B40)+COUNTIF('9月'!AD4:AD34,$B40)+COUNTIF('9月'!AH4:AH34,$B40)+COUNTIF('9月'!AI4:AI34,$B40)+COUNTIF('9月'!AM4:AM34,$B40)+COUNTIF('9月'!AN4:AN34,$B40)+COUNTIF('9月'!AR4:AR34,$B40)+COUNTIF('9月'!AS4:AS34,$B40)+COUNTIF('9月'!AW4:AW34,$B40)+COUNTIF('9月'!AX4:AX34,$B40)+COUNTIF('9月'!BB4:BB34,$B40)+COUNTIF('9月'!BC4:BC34,$B40)+COUNTIF('9月'!BG4:BG34,$B40)+COUNTIF('9月'!BH4:BH34,$B40)+COUNTIF('9月'!BL4:BL34,$B40)+COUNTIF('9月'!BM4:BM34,$B40)+COUNTIF('9月'!BQ4:BQ34,$B40)+COUNTIF('9月'!BR4:BR34,$B40)+COUNTIF('9月'!BV4:BV34,$B40)+COUNTIF('9月'!BW4:BW34,$B40)+COUNTIF('9月'!CA4:CA34,$B40)+COUNTIF('9月'!CB4:CB34,$B40)+COUNTIF('9月'!CF4:CF34,$B40)+COUNTIF('9月'!CG4:CG34,$B40)+COUNTIF('9月'!CK4:CK34,$B40)+COUNTIF('9月'!CL4:CL34,$B40)+COUNTIF('9月'!CP4:CP34,$B40)+COUNTIF('9月'!CQ4:CQ34,$B40)+COUNTIF('9月'!CU4:CU34,$B40)+COUNTIF('9月'!CV4:CV34,$B40)+COUNTIF('9月'!CZ4:CZ34,$B40)+COUNTIF('9月'!DA4:DA34,$B40)+COUNTIF('9月'!DE4:DE34,$B40)+COUNTIF('9月'!DF4:DF34,$B40)+COUNTIF('9月'!DJ4:DJ34,$B40)+COUNTIF('9月'!DK4:DK34,$B40)+COUNTIF('9月'!DO4:DO34,$B40)+COUNTIF('9月'!DP4:DP34,$B40)+COUNTIF('9月'!DT4:DT34,$B40)+COUNTIF('9月'!DU4:DU34,$B40)+COUNTIF('9月'!DY4:DY34,$B40)+COUNTIF('9月'!DZ4:DZ34,$B40)+COUNTIF('9月'!ED4:ED34,$B40)+COUNTIF('9月'!EE4:EE34,$B40)+COUNTIF('9月'!EI4:EI34,$B40)+COUNTIF('9月'!EJ4:EJ34,$B40)+COUNTIF('9月'!EN4:EN34,$B40)+COUNTIF('9月'!EO4:EO34,$B40)+COUNTIF('9月'!ES4:ES34,$B40)+COUNTIF('9月'!ET4:ET34,$B40)),0)</f>
        <v>0</v>
      </c>
      <c r="L40" s="76">
        <f>IFERROR(IF($B40="","",COUNTIF('10月'!D4:D34,$B40)+COUNTIF('10月'!E4:E34,$B40)+COUNTIF('10月'!I4:I34,$B40)+COUNTIF('10月'!J4:J34,$B40)+COUNTIF('10月'!N4:N34,$B40)+COUNTIF('10月'!O4:O34,$B40)+COUNTIF('10月'!S4:S34,$B40)+COUNTIF('10月'!T4:T34,$B40)+COUNTIF('10月'!X4:X34,$B40)+COUNTIF('10月'!Y4:Y34,$B40)+COUNTIF('10月'!AC4:AC34,$B40)+COUNTIF('10月'!AD4:AD34,$B40)+COUNTIF('10月'!AH4:AH34,$B40)+COUNTIF('10月'!AI4:AI34,$B40)+COUNTIF('10月'!AM4:AM34,$B40)+COUNTIF('10月'!AN4:AN34,$B40)+COUNTIF('10月'!AR4:AR34,$B40)+COUNTIF('10月'!AS4:AS34,$B40)+COUNTIF('10月'!AW4:AW34,$B40)+COUNTIF('10月'!AX4:AX34,$B40)+COUNTIF('10月'!BB4:BB34,$B40)+COUNTIF('10月'!BC4:BC34,$B40)+COUNTIF('10月'!BG4:BG34,$B40)+COUNTIF('10月'!BH4:BH34,$B40)+COUNTIF('10月'!BL4:BL34,$B40)+COUNTIF('10月'!BM4:BM34,$B40)+COUNTIF('10月'!BQ4:BQ34,$B40)+COUNTIF('10月'!BR4:BR34,$B40)+COUNTIF('10月'!BV4:BV34,$B40)+COUNTIF('10月'!BW4:BW34,$B40)+COUNTIF('10月'!CA4:CA34,$B40)+COUNTIF('10月'!CB4:CB34,$B40)+COUNTIF('10月'!CF4:CF34,$B40)+COUNTIF('10月'!CG4:CG34,$B40)+COUNTIF('10月'!CK4:CK34,$B40)+COUNTIF('10月'!CL4:CL34,$B40)+COUNTIF('10月'!CP4:CP34,$B40)+COUNTIF('10月'!CQ4:CQ34,$B40)+COUNTIF('10月'!CU4:CU34,$B40)+COUNTIF('10月'!CV4:CV34,$B40)+COUNTIF('10月'!CZ4:CZ34,$B40)+COUNTIF('10月'!DA4:DA34,$B40)+COUNTIF('10月'!DE4:DE34,$B40)+COUNTIF('10月'!DF4:DF34,$B40)+COUNTIF('10月'!DJ4:DJ34,$B40)+COUNTIF('10月'!DK4:DK34,$B40)+COUNTIF('10月'!DO4:DO34,$B40)+COUNTIF('10月'!DP4:DP34,$B40)+COUNTIF('10月'!DT4:DT34,$B40)+COUNTIF('10月'!DU4:DU34,$B40)+COUNTIF('10月'!DY4:DY34,$B40)+COUNTIF('10月'!DZ4:DZ34,$B40)+COUNTIF('10月'!ED4:ED34,$B40)+COUNTIF('10月'!EE4:EE34,$B40)+COUNTIF('10月'!EI4:EI34,$B40)+COUNTIF('10月'!EJ4:EJ34,$B40)+COUNTIF('10月'!EN4:EN34,$B40)+COUNTIF('10月'!EO4:EO34,$B40)+COUNTIF('10月'!ES4:ES34,$B40)+COUNTIF('10月'!ET4:ET34,$B40)),0)</f>
        <v>0</v>
      </c>
      <c r="M40" s="76">
        <f>IFERROR(IF($B40="","",COUNTIF('11月'!D4:D34,$B40)+COUNTIF('11月'!E4:E34,$B40)+COUNTIF('11月'!I4:I34,$B40)+COUNTIF('11月'!J4:J34,$B40)+COUNTIF('11月'!N4:N34,$B40)+COUNTIF('11月'!O4:O34,$B40)+COUNTIF('11月'!S4:S34,$B40)+COUNTIF('11月'!T4:T34,$B40)+COUNTIF('11月'!X4:X34,$B40)+COUNTIF('11月'!Y4:Y34,$B40)+COUNTIF('11月'!AC4:AC34,$B40)+COUNTIF('11月'!AD4:AD34,$B40)+COUNTIF('11月'!AH4:AH34,$B40)+COUNTIF('11月'!AI4:AI34,$B40)+COUNTIF('11月'!AM4:AM34,$B40)+COUNTIF('11月'!AN4:AN34,$B40)+COUNTIF('11月'!AR4:AR34,$B40)+COUNTIF('11月'!AS4:AS34,$B40)+COUNTIF('11月'!AW4:AW34,$B40)+COUNTIF('11月'!AX4:AX34,$B40)+COUNTIF('11月'!BB4:BB34,$B40)+COUNTIF('11月'!BC4:BC34,$B40)+COUNTIF('11月'!BG4:BG34,$B40)+COUNTIF('11月'!BH4:BH34,$B40)+COUNTIF('11月'!BL4:BL34,$B40)+COUNTIF('11月'!BM4:BM34,$B40)+COUNTIF('11月'!BQ4:BQ34,$B40)+COUNTIF('11月'!BR4:BR34,$B40)+COUNTIF('11月'!BV4:BV34,$B40)+COUNTIF('11月'!BW4:BW34,$B40)+COUNTIF('11月'!CA4:CA34,$B40)+COUNTIF('11月'!CB4:CB34,$B40)+COUNTIF('11月'!CF4:CF34,$B40)+COUNTIF('11月'!CG4:CG34,$B40)+COUNTIF('11月'!CK4:CK34,$B40)+COUNTIF('11月'!CL4:CL34,$B40)+COUNTIF('11月'!CP4:CP34,$B40)+COUNTIF('11月'!CQ4:CQ34,$B40)+COUNTIF('11月'!CU4:CU34,$B40)+COUNTIF('11月'!CV4:CV34,$B40)+COUNTIF('11月'!CZ4:CZ34,$B40)+COUNTIF('11月'!DA4:DA34,$B40)+COUNTIF('11月'!DE4:DE34,$B40)+COUNTIF('11月'!DF4:DF34,$B40)+COUNTIF('11月'!DJ4:DJ34,$B40)+COUNTIF('11月'!DK4:DK34,$B40)+COUNTIF('11月'!DO4:DO34,$B40)+COUNTIF('11月'!DP4:DP34,$B40)+COUNTIF('11月'!DT4:DT34,$B40)+COUNTIF('11月'!DU4:DU34,$B40)+COUNTIF('11月'!DY4:DY34,$B40)+COUNTIF('11月'!DZ4:DZ34,$B40)+COUNTIF('11月'!ED4:ED34,$B40)+COUNTIF('11月'!EE4:EE34,$B40)+COUNTIF('11月'!EI4:EI34,$B40)+COUNTIF('11月'!EJ4:EJ34,$B40)+COUNTIF('11月'!EN4:EN34,$B40)+COUNTIF('11月'!EO4:EO34,$B40)+COUNTIF('11月'!ES4:ES34,$B40)+COUNTIF('11月'!ET4:ET34,$B40)),0)</f>
        <v>0</v>
      </c>
      <c r="N40" s="76">
        <f>IFERROR(IF($B40="","",COUNTIF('12月'!D4:D34,$B40)+COUNTIF('12月'!E4:E34,$B40)+COUNTIF('12月'!I4:I34,$B40)+COUNTIF('12月'!J4:J34,$B40)+COUNTIF('12月'!N4:N34,$B40)+COUNTIF('12月'!O4:O34,$B40)+COUNTIF('12月'!S4:S34,$B40)+COUNTIF('12月'!T4:T34,$B40)+COUNTIF('12月'!X4:X34,$B40)+COUNTIF('12月'!Y4:Y34,$B40)+COUNTIF('12月'!AC4:AC34,$B40)+COUNTIF('12月'!AD4:AD34,$B40)+COUNTIF('12月'!AH4:AH34,$B40)+COUNTIF('12月'!AI4:AI34,$B40)+COUNTIF('12月'!AM4:AM34,$B40)+COUNTIF('12月'!AN4:AN34,$B40)+COUNTIF('12月'!AR4:AR34,$B40)+COUNTIF('12月'!AS4:AS34,$B40)+COUNTIF('12月'!AW4:AW34,$B40)+COUNTIF('12月'!AX4:AX34,$B40)+COUNTIF('12月'!BB4:BB34,$B40)+COUNTIF('12月'!BC4:BC34,$B40)+COUNTIF('12月'!BG4:BG34,$B40)+COUNTIF('12月'!BH4:BH34,$B40)+COUNTIF('12月'!BL4:BL34,$B40)+COUNTIF('12月'!BM4:BM34,$B40)+COUNTIF('12月'!BQ4:BQ34,$B40)+COUNTIF('12月'!BR4:BR34,$B40)+COUNTIF('12月'!BV4:BV34,$B40)+COUNTIF('12月'!BW4:BW34,$B40)+COUNTIF('12月'!CA4:CA34,$B40)+COUNTIF('12月'!CB4:CB34,$B40)+COUNTIF('12月'!CF4:CF34,$B40)+COUNTIF('12月'!CG4:CG34,$B40)+COUNTIF('12月'!CK4:CK34,$B40)+COUNTIF('12月'!CL4:CL34,$B40)+COUNTIF('12月'!CP4:CP34,$B40)+COUNTIF('12月'!CQ4:CQ34,$B40)+COUNTIF('12月'!CU4:CU34,$B40)+COUNTIF('12月'!CV4:CV34,$B40)+COUNTIF('12月'!CZ4:CZ34,$B40)+COUNTIF('12月'!DA4:DA34,$B40)+COUNTIF('12月'!DE4:DE34,$B40)+COUNTIF('12月'!DF4:DF34,$B40)+COUNTIF('12月'!DJ4:DJ34,$B40)+COUNTIF('12月'!DK4:DK34,$B40)+COUNTIF('12月'!DO4:DO34,$B40)+COUNTIF('12月'!DP4:DP34,$B40)+COUNTIF('12月'!DT4:DT34,$B40)+COUNTIF('12月'!DU4:DU34,$B40)+COUNTIF('12月'!DY4:DY34,$B40)+COUNTIF('12月'!DZ4:DZ34,$B40)+COUNTIF('12月'!ED4:ED34,$B40)+COUNTIF('12月'!EE4:EE34,$B40)+COUNTIF('12月'!EI4:EI34,$B40)+COUNTIF('12月'!EJ4:EJ34,$B40)+COUNTIF('12月'!EN4:EN34,$B40)+COUNTIF('12月'!EO4:EO34,$B40)+COUNTIF('12月'!ES4:ES34,$B40)+COUNTIF('12月'!ET4:ET34,$B40)),0)</f>
        <v>0</v>
      </c>
      <c r="O40" s="78">
        <f t="shared" si="0"/>
        <v>0</v>
      </c>
    </row>
    <row r="41" spans="1:15" ht="19.5" customHeight="1">
      <c r="A41" s="76">
        <v>39</v>
      </c>
      <c r="B41" s="77">
        <f>IFERROR(現場マスタ!$C$42,"")</f>
        <v>0</v>
      </c>
      <c r="C41" s="76">
        <f>IFERROR(IF($B41="","",COUNTIF('1月'!D4:D34,$B41)+COUNTIF('1月'!E4:E34,$B41)+COUNTIF('1月'!I4:I34,$B41)+COUNTIF('1月'!J4:J34,$B41)+COUNTIF('1月'!N4:N34,$B41)+COUNTIF('1月'!O4:O34,$B41)+COUNTIF('1月'!S4:S34,$B41)+COUNTIF('1月'!T4:T34,$B41)+COUNTIF('1月'!X4:X34,$B41)+COUNTIF('1月'!Y4:Y34,$B41)+COUNTIF('1月'!AC4:AC34,$B41)+COUNTIF('1月'!AD4:AD34,$B41)+COUNTIF('1月'!AH4:AH34,$B41)+COUNTIF('1月'!AI4:AI34,$B41)+COUNTIF('1月'!AM4:AM34,$B41)+COUNTIF('1月'!AN4:AN34,$B41)+COUNTIF('1月'!AR4:AR34,$B41)+COUNTIF('1月'!AS4:AS34,$B41)+COUNTIF('1月'!AW4:AW34,$B41)+COUNTIF('1月'!AX4:AX34,$B41)+COUNTIF('1月'!BB4:BB34,$B41)+COUNTIF('1月'!BC4:BC34,$B41)+COUNTIF('1月'!BG4:BG34,$B41)+COUNTIF('1月'!BH4:BH34,$B41)+COUNTIF('1月'!BL4:BL34,$B41)+COUNTIF('1月'!BM4:BM34,$B41)+COUNTIF('1月'!BQ4:BQ34,$B41)+COUNTIF('1月'!BR4:BR34,$B41)+COUNTIF('1月'!BV4:BV34,$B41)+COUNTIF('1月'!BW4:BW34,$B41)+COUNTIF('1月'!CA4:CA34,$B41)+COUNTIF('1月'!CB4:CB34,$B41)+COUNTIF('1月'!CF4:CF34,$B41)+COUNTIF('1月'!CG4:CG34,$B41)+COUNTIF('1月'!CK4:CK34,$B41)+COUNTIF('1月'!CL4:CL34,$B41)+COUNTIF('1月'!CP4:CP34,$B41)+COUNTIF('1月'!CQ4:CQ34,$B41)+COUNTIF('1月'!CU4:CU34,$B41)+COUNTIF('1月'!CV4:CV34,$B41)+COUNTIF('1月'!CZ4:CZ34,$B41)+COUNTIF('1月'!DA4:DA34,$B41)+COUNTIF('1月'!DE4:DE34,$B41)+COUNTIF('1月'!DF4:DF34,$B41)+COUNTIF('1月'!DJ4:DJ34,$B41)+COUNTIF('1月'!DK4:DK34,$B41)+COUNTIF('1月'!DO4:DO34,$B41)+COUNTIF('1月'!DP4:DP34,$B41)+COUNTIF('1月'!DT4:DT34,$B41)+COUNTIF('1月'!DU4:DU34,$B41)+COUNTIF('1月'!DY4:DY34,$B41)+COUNTIF('1月'!DZ4:DZ34,$B41)+COUNTIF('1月'!ED4:ED34,$B41)+COUNTIF('1月'!EE4:EE34,$B41)+COUNTIF('1月'!EI4:EI34,$B41)+COUNTIF('1月'!EJ4:EJ34,$B41)+COUNTIF('1月'!EN4:EN34,$B41)+COUNTIF('1月'!EO4:EO34,$B41)+COUNTIF('1月'!ES4:ES34,$B41)+COUNTIF('1月'!ET4:ET34,$B41)),0)</f>
        <v>0</v>
      </c>
      <c r="D41" s="76">
        <f>IFERROR(IF($B41="","",COUNTIF('2月'!D4:D34,$B41)+COUNTIF('2月'!E4:E34,$B41)+COUNTIF('2月'!I4:I34,$B41)+COUNTIF('2月'!J4:J34,$B41)+COUNTIF('2月'!N4:N34,$B41)+COUNTIF('2月'!O4:O34,$B41)+COUNTIF('2月'!S4:S34,$B41)+COUNTIF('2月'!T4:T34,$B41)+COUNTIF('2月'!X4:X34,$B41)+COUNTIF('2月'!Y4:Y34,$B41)+COUNTIF('2月'!AC4:AC34,$B41)+COUNTIF('2月'!AD4:AD34,$B41)+COUNTIF('2月'!AH4:AH34,$B41)+COUNTIF('2月'!AI4:AI34,$B41)+COUNTIF('2月'!AM4:AM34,$B41)+COUNTIF('2月'!AN4:AN34,$B41)+COUNTIF('2月'!AR4:AR34,$B41)+COUNTIF('2月'!AS4:AS34,$B41)+COUNTIF('2月'!AW4:AW34,$B41)+COUNTIF('2月'!AX4:AX34,$B41)+COUNTIF('2月'!BB4:BB34,$B41)+COUNTIF('2月'!BC4:BC34,$B41)+COUNTIF('2月'!BG4:BG34,$B41)+COUNTIF('2月'!BH4:BH34,$B41)+COUNTIF('2月'!BL4:BL34,$B41)+COUNTIF('2月'!BM4:BM34,$B41)+COUNTIF('2月'!BQ4:BQ34,$B41)+COUNTIF('2月'!BR4:BR34,$B41)+COUNTIF('2月'!BV4:BV34,$B41)+COUNTIF('2月'!BW4:BW34,$B41)+COUNTIF('2月'!CA4:CA34,$B41)+COUNTIF('2月'!CB4:CB34,$B41)+COUNTIF('2月'!CF4:CF34,$B41)+COUNTIF('2月'!CG4:CG34,$B41)+COUNTIF('2月'!CK4:CK34,$B41)+COUNTIF('2月'!CL4:CL34,$B41)+COUNTIF('2月'!CP4:CP34,$B41)+COUNTIF('2月'!CQ4:CQ34,$B41)+COUNTIF('2月'!CU4:CU34,$B41)+COUNTIF('2月'!CV4:CV34,$B41)+COUNTIF('2月'!CZ4:CZ34,$B41)+COUNTIF('2月'!DA4:DA34,$B41)+COUNTIF('2月'!DE4:DE34,$B41)+COUNTIF('2月'!DF4:DF34,$B41)+COUNTIF('2月'!DJ4:DJ34,$B41)+COUNTIF('2月'!DK4:DK34,$B41)+COUNTIF('2月'!DO4:DO34,$B41)+COUNTIF('2月'!DP4:DP34,$B41)+COUNTIF('2月'!DT4:DT34,$B41)+COUNTIF('2月'!DU4:DU34,$B41)+COUNTIF('2月'!DY4:DY34,$B41)+COUNTIF('2月'!DZ4:DZ34,$B41)+COUNTIF('2月'!ED4:ED34,$B41)+COUNTIF('2月'!EE4:EE34,$B41)+COUNTIF('2月'!EI4:EI34,$B41)+COUNTIF('2月'!EJ4:EJ34,$B41)+COUNTIF('2月'!EN4:EN34,$B41)+COUNTIF('2月'!EO4:EO34,$B41)+COUNTIF('2月'!ES4:ES34,$B41)+COUNTIF('2月'!ET4:ET34,$B41)),0)</f>
        <v>0</v>
      </c>
      <c r="E41" s="76">
        <f>IFERROR(IF($B41="","",COUNTIF('3月'!D4:D34,$B41)+COUNTIF('3月'!E4:E34,$B41)+COUNTIF('3月'!I4:I34,$B41)+COUNTIF('3月'!J4:J34,$B41)+COUNTIF('3月'!N4:N34,$B41)+COUNTIF('3月'!O4:O34,$B41)+COUNTIF('3月'!S4:S34,$B41)+COUNTIF('3月'!T4:T34,$B41)+COUNTIF('3月'!X4:X34,$B41)+COUNTIF('3月'!Y4:Y34,$B41)+COUNTIF('3月'!AC4:AC34,$B41)+COUNTIF('3月'!AD4:AD34,$B41)+COUNTIF('3月'!AH4:AH34,$B41)+COUNTIF('3月'!AI4:AI34,$B41)+COUNTIF('3月'!AM4:AM34,$B41)+COUNTIF('3月'!AN4:AN34,$B41)+COUNTIF('3月'!AR4:AR34,$B41)+COUNTIF('3月'!AS4:AS34,$B41)+COUNTIF('3月'!AW4:AW34,$B41)+COUNTIF('3月'!AX4:AX34,$B41)+COUNTIF('3月'!BB4:BB34,$B41)+COUNTIF('3月'!BC4:BC34,$B41)+COUNTIF('3月'!BG4:BG34,$B41)+COUNTIF('3月'!BH4:BH34,$B41)+COUNTIF('3月'!BL4:BL34,$B41)+COUNTIF('3月'!BM4:BM34,$B41)+COUNTIF('3月'!BQ4:BQ34,$B41)+COUNTIF('3月'!BR4:BR34,$B41)+COUNTIF('3月'!BV4:BV34,$B41)+COUNTIF('3月'!BW4:BW34,$B41)+COUNTIF('3月'!CA4:CA34,$B41)+COUNTIF('3月'!CB4:CB34,$B41)+COUNTIF('3月'!CF4:CF34,$B41)+COUNTIF('3月'!CG4:CG34,$B41)+COUNTIF('3月'!CK4:CK34,$B41)+COUNTIF('3月'!CL4:CL34,$B41)+COUNTIF('3月'!CP4:CP34,$B41)+COUNTIF('3月'!CQ4:CQ34,$B41)+COUNTIF('3月'!CU4:CU34,$B41)+COUNTIF('3月'!CV4:CV34,$B41)+COUNTIF('3月'!CZ4:CZ34,$B41)+COUNTIF('3月'!DA4:DA34,$B41)+COUNTIF('3月'!DE4:DE34,$B41)+COUNTIF('3月'!DF4:DF34,$B41)+COUNTIF('3月'!DJ4:DJ34,$B41)+COUNTIF('3月'!DK4:DK34,$B41)+COUNTIF('3月'!DO4:DO34,$B41)+COUNTIF('3月'!DP4:DP34,$B41)+COUNTIF('3月'!DT4:DT34,$B41)+COUNTIF('3月'!DU4:DU34,$B41)+COUNTIF('3月'!DY4:DY34,$B41)+COUNTIF('3月'!DZ4:DZ34,$B41)+COUNTIF('3月'!ED4:ED34,$B41)+COUNTIF('3月'!EE4:EE34,$B41)+COUNTIF('3月'!EI4:EI34,$B41)+COUNTIF('3月'!EJ4:EJ34,$B41)+COUNTIF('3月'!EN4:EN34,$B41)+COUNTIF('3月'!EO4:EO34,$B41)+COUNTIF('3月'!ES4:ES34,$B41)+COUNTIF('3月'!ET4:ET34,$B41)),0)</f>
        <v>0</v>
      </c>
      <c r="F41" s="76">
        <f>IFERROR(IF($B41="","",COUNTIF('4月'!D4:D34,$B41)+COUNTIF('4月'!E4:E34,$B41)+COUNTIF('4月'!I4:I34,$B41)+COUNTIF('4月'!J4:J34,$B41)+COUNTIF('4月'!N4:N34,$B41)+COUNTIF('4月'!O4:O34,$B41)+COUNTIF('4月'!S4:S34,$B41)+COUNTIF('4月'!T4:T34,$B41)+COUNTIF('4月'!X4:X34,$B41)+COUNTIF('4月'!Y4:Y34,$B41)+COUNTIF('4月'!AC4:AC34,$B41)+COUNTIF('4月'!AD4:AD34,$B41)+COUNTIF('4月'!AH4:AH34,$B41)+COUNTIF('4月'!AI4:AI34,$B41)+COUNTIF('4月'!AM4:AM34,$B41)+COUNTIF('4月'!AN4:AN34,$B41)+COUNTIF('4月'!AR4:AR34,$B41)+COUNTIF('4月'!AS4:AS34,$B41)+COUNTIF('4月'!AW4:AW34,$B41)+COUNTIF('4月'!AX4:AX34,$B41)+COUNTIF('4月'!BB4:BB34,$B41)+COUNTIF('4月'!BC4:BC34,$B41)+COUNTIF('4月'!BG4:BG34,$B41)+COUNTIF('4月'!BH4:BH34,$B41)+COUNTIF('4月'!BL4:BL34,$B41)+COUNTIF('4月'!BM4:BM34,$B41)+COUNTIF('4月'!BQ4:BQ34,$B41)+COUNTIF('4月'!BR4:BR34,$B41)+COUNTIF('4月'!BV4:BV34,$B41)+COUNTIF('4月'!BW4:BW34,$B41)+COUNTIF('4月'!CA4:CA34,$B41)+COUNTIF('4月'!CB4:CB34,$B41)+COUNTIF('4月'!CF4:CF34,$B41)+COUNTIF('4月'!CG4:CG34,$B41)+COUNTIF('4月'!CK4:CK34,$B41)+COUNTIF('4月'!CL4:CL34,$B41)+COUNTIF('4月'!CP4:CP34,$B41)+COUNTIF('4月'!CQ4:CQ34,$B41)+COUNTIF('4月'!CU4:CU34,$B41)+COUNTIF('4月'!CV4:CV34,$B41)+COUNTIF('4月'!CZ4:CZ34,$B41)+COUNTIF('4月'!DA4:DA34,$B41)+COUNTIF('4月'!DE4:DE34,$B41)+COUNTIF('4月'!DF4:DF34,$B41)+COUNTIF('4月'!DJ4:DJ34,$B41)+COUNTIF('4月'!DK4:DK34,$B41)+COUNTIF('4月'!DO4:DO34,$B41)+COUNTIF('4月'!DP4:DP34,$B41)+COUNTIF('4月'!DT4:DT34,$B41)+COUNTIF('4月'!DU4:DU34,$B41)+COUNTIF('4月'!DY4:DY34,$B41)+COUNTIF('4月'!DZ4:DZ34,$B41)+COUNTIF('4月'!ED4:ED34,$B41)+COUNTIF('4月'!EE4:EE34,$B41)+COUNTIF('4月'!EI4:EI34,$B41)+COUNTIF('4月'!EJ4:EJ34,$B41)+COUNTIF('4月'!EN4:EN34,$B41)+COUNTIF('4月'!EO4:EO34,$B41)+COUNTIF('4月'!ES4:ES34,$B41)+COUNTIF('4月'!ET4:ET34,$B41)),0)</f>
        <v>0</v>
      </c>
      <c r="G41" s="76">
        <f>IFERROR(IF($B41="","",COUNTIF('5月'!D4:D34,$B41)+COUNTIF('5月'!E4:E34,$B41)+COUNTIF('5月'!I4:I34,$B41)+COUNTIF('5月'!J4:J34,$B41)+COUNTIF('5月'!N4:N34,$B41)+COUNTIF('5月'!O4:O34,$B41)+COUNTIF('5月'!S4:S34,$B41)+COUNTIF('5月'!T4:T34,$B41)+COUNTIF('5月'!X4:X34,$B41)+COUNTIF('5月'!Y4:Y34,$B41)+COUNTIF('5月'!AC4:AC34,$B41)+COUNTIF('5月'!AD4:AD34,$B41)+COUNTIF('5月'!AH4:AH34,$B41)+COUNTIF('5月'!AI4:AI34,$B41)+COUNTIF('5月'!AM4:AM34,$B41)+COUNTIF('5月'!AN4:AN34,$B41)+COUNTIF('5月'!AR4:AR34,$B41)+COUNTIF('5月'!AS4:AS34,$B41)+COUNTIF('5月'!AW4:AW34,$B41)+COUNTIF('5月'!AX4:AX34,$B41)+COUNTIF('5月'!BB4:BB34,$B41)+COUNTIF('5月'!BC4:BC34,$B41)+COUNTIF('5月'!BG4:BG34,$B41)+COUNTIF('5月'!BH4:BH34,$B41)+COUNTIF('5月'!BL4:BL34,$B41)+COUNTIF('5月'!BM4:BM34,$B41)+COUNTIF('5月'!BQ4:BQ34,$B41)+COUNTIF('5月'!BR4:BR34,$B41)+COUNTIF('5月'!BV4:BV34,$B41)+COUNTIF('5月'!BW4:BW34,$B41)+COUNTIF('5月'!CA4:CA34,$B41)+COUNTIF('5月'!CB4:CB34,$B41)+COUNTIF('5月'!CF4:CF34,$B41)+COUNTIF('5月'!CG4:CG34,$B41)+COUNTIF('5月'!CK4:CK34,$B41)+COUNTIF('5月'!CL4:CL34,$B41)+COUNTIF('5月'!CP4:CP34,$B41)+COUNTIF('5月'!CQ4:CQ34,$B41)+COUNTIF('5月'!CU4:CU34,$B41)+COUNTIF('5月'!CV4:CV34,$B41)+COUNTIF('5月'!CZ4:CZ34,$B41)+COUNTIF('5月'!DA4:DA34,$B41)+COUNTIF('5月'!DE4:DE34,$B41)+COUNTIF('5月'!DF4:DF34,$B41)+COUNTIF('5月'!DJ4:DJ34,$B41)+COUNTIF('5月'!DK4:DK34,$B41)+COUNTIF('5月'!DO4:DO34,$B41)+COUNTIF('5月'!DP4:DP34,$B41)+COUNTIF('5月'!DT4:DT34,$B41)+COUNTIF('5月'!DU4:DU34,$B41)+COUNTIF('5月'!DY4:DY34,$B41)+COUNTIF('5月'!DZ4:DZ34,$B41)+COUNTIF('5月'!ED4:ED34,$B41)+COUNTIF('5月'!EE4:EE34,$B41)+COUNTIF('5月'!EI4:EI34,$B41)+COUNTIF('5月'!EJ4:EJ34,$B41)+COUNTIF('5月'!EN4:EN34,$B41)+COUNTIF('5月'!EO4:EO34,$B41)+COUNTIF('5月'!ES4:ES34,$B41)+COUNTIF('5月'!ET4:ET34,$B41)),0)</f>
        <v>0</v>
      </c>
      <c r="H41" s="76">
        <f>IFERROR(IF($B41="","",COUNTIF('6月'!D4:D34,$B41)+COUNTIF('6月'!E4:E34,$B41)+COUNTIF('6月'!I4:I34,$B41)+COUNTIF('6月'!J4:J34,$B41)+COUNTIF('6月'!N4:N34,$B41)+COUNTIF('6月'!O4:O34,$B41)+COUNTIF('6月'!S4:S34,$B41)+COUNTIF('6月'!T4:T34,$B41)+COUNTIF('6月'!X4:X34,$B41)+COUNTIF('6月'!Y4:Y34,$B41)+COUNTIF('6月'!AC4:AC34,$B41)+COUNTIF('6月'!AD4:AD34,$B41)+COUNTIF('6月'!AH4:AH34,$B41)+COUNTIF('6月'!AI4:AI34,$B41)+COUNTIF('6月'!AM4:AM34,$B41)+COUNTIF('6月'!AN4:AN34,$B41)+COUNTIF('6月'!AR4:AR34,$B41)+COUNTIF('6月'!AS4:AS34,$B41)+COUNTIF('6月'!AW4:AW34,$B41)+COUNTIF('6月'!AX4:AX34,$B41)+COUNTIF('6月'!BB4:BB34,$B41)+COUNTIF('6月'!BC4:BC34,$B41)+COUNTIF('6月'!BG4:BG34,$B41)+COUNTIF('6月'!BH4:BH34,$B41)+COUNTIF('6月'!BL4:BL34,$B41)+COUNTIF('6月'!BM4:BM34,$B41)+COUNTIF('6月'!BQ4:BQ34,$B41)+COUNTIF('6月'!BR4:BR34,$B41)+COUNTIF('6月'!BV4:BV34,$B41)+COUNTIF('6月'!BW4:BW34,$B41)+COUNTIF('6月'!CA4:CA34,$B41)+COUNTIF('6月'!CB4:CB34,$B41)+COUNTIF('6月'!CF4:CF34,$B41)+COUNTIF('6月'!CG4:CG34,$B41)+COUNTIF('6月'!CK4:CK34,$B41)+COUNTIF('6月'!CL4:CL34,$B41)+COUNTIF('6月'!CP4:CP34,$B41)+COUNTIF('6月'!CQ4:CQ34,$B41)+COUNTIF('6月'!CU4:CU34,$B41)+COUNTIF('6月'!CV4:CV34,$B41)+COUNTIF('6月'!CZ4:CZ34,$B41)+COUNTIF('6月'!DA4:DA34,$B41)+COUNTIF('6月'!DE4:DE34,$B41)+COUNTIF('6月'!DF4:DF34,$B41)+COUNTIF('6月'!DJ4:DJ34,$B41)+COUNTIF('6月'!DK4:DK34,$B41)+COUNTIF('6月'!DO4:DO34,$B41)+COUNTIF('6月'!DP4:DP34,$B41)+COUNTIF('6月'!DT4:DT34,$B41)+COUNTIF('6月'!DU4:DU34,$B41)+COUNTIF('6月'!DY4:DY34,$B41)+COUNTIF('6月'!DZ4:DZ34,$B41)+COUNTIF('6月'!ED4:ED34,$B41)+COUNTIF('6月'!EE4:EE34,$B41)+COUNTIF('6月'!EI4:EI34,$B41)+COUNTIF('6月'!EJ4:EJ34,$B41)+COUNTIF('6月'!EN4:EN34,$B41)+COUNTIF('6月'!EO4:EO34,$B41)+COUNTIF('6月'!ES4:ES34,$B41)+COUNTIF('6月'!ET4:ET34,$B41)),0)</f>
        <v>0</v>
      </c>
      <c r="I41" s="76">
        <f>IFERROR(IF($B41="","",COUNTIF('7月'!D4:D34,$B41)+COUNTIF('7月'!E4:E34,$B41)+COUNTIF('7月'!I4:I34,$B41)+COUNTIF('7月'!J4:J34,$B41)+COUNTIF('7月'!N4:N34,$B41)+COUNTIF('7月'!O4:O34,$B41)+COUNTIF('7月'!S4:S34,$B41)+COUNTIF('7月'!T4:T34,$B41)+COUNTIF('7月'!X4:X34,$B41)+COUNTIF('7月'!Y4:Y34,$B41)+COUNTIF('7月'!AC4:AC34,$B41)+COUNTIF('7月'!AD4:AD34,$B41)+COUNTIF('7月'!AH4:AH34,$B41)+COUNTIF('7月'!AI4:AI34,$B41)+COUNTIF('7月'!AM4:AM34,$B41)+COUNTIF('7月'!AN4:AN34,$B41)+COUNTIF('7月'!AR4:AR34,$B41)+COUNTIF('7月'!AS4:AS34,$B41)+COUNTIF('7月'!AW4:AW34,$B41)+COUNTIF('7月'!AX4:AX34,$B41)+COUNTIF('7月'!BB4:BB34,$B41)+COUNTIF('7月'!BC4:BC34,$B41)+COUNTIF('7月'!BG4:BG34,$B41)+COUNTIF('7月'!BH4:BH34,$B41)+COUNTIF('7月'!BL4:BL34,$B41)+COUNTIF('7月'!BM4:BM34,$B41)+COUNTIF('7月'!BQ4:BQ34,$B41)+COUNTIF('7月'!BR4:BR34,$B41)+COUNTIF('7月'!BV4:BV34,$B41)+COUNTIF('7月'!BW4:BW34,$B41)+COUNTIF('7月'!CA4:CA34,$B41)+COUNTIF('7月'!CB4:CB34,$B41)+COUNTIF('7月'!CF4:CF34,$B41)+COUNTIF('7月'!CG4:CG34,$B41)+COUNTIF('7月'!CK4:CK34,$B41)+COUNTIF('7月'!CL4:CL34,$B41)+COUNTIF('7月'!CP4:CP34,$B41)+COUNTIF('7月'!CQ4:CQ34,$B41)+COUNTIF('7月'!CU4:CU34,$B41)+COUNTIF('7月'!CV4:CV34,$B41)+COUNTIF('7月'!CZ4:CZ34,$B41)+COUNTIF('7月'!DA4:DA34,$B41)+COUNTIF('7月'!DE4:DE34,$B41)+COUNTIF('7月'!DF4:DF34,$B41)+COUNTIF('7月'!DJ4:DJ34,$B41)+COUNTIF('7月'!DK4:DK34,$B41)+COUNTIF('7月'!DO4:DO34,$B41)+COUNTIF('7月'!DP4:DP34,$B41)+COUNTIF('7月'!DT4:DT34,$B41)+COUNTIF('7月'!DU4:DU34,$B41)+COUNTIF('7月'!DY4:DY34,$B41)+COUNTIF('7月'!DZ4:DZ34,$B41)+COUNTIF('7月'!ED4:ED34,$B41)+COUNTIF('7月'!EE4:EE34,$B41)+COUNTIF('7月'!EI4:EI34,$B41)+COUNTIF('7月'!EJ4:EJ34,$B41)+COUNTIF('7月'!EN4:EN34,$B41)+COUNTIF('7月'!EO4:EO34,$B41)+COUNTIF('7月'!ES4:ES34,$B41)+COUNTIF('7月'!ET4:ET34,$B41)),0)</f>
        <v>0</v>
      </c>
      <c r="J41" s="76">
        <f>IFERROR(IF($B41="","",COUNTIF('8月'!D4:D34,$B41)+COUNTIF('8月'!E4:E34,$B41)+COUNTIF('8月'!I4:I34,$B41)+COUNTIF('8月'!J4:J34,$B41)+COUNTIF('8月'!N4:N34,$B41)+COUNTIF('8月'!O4:O34,$B41)+COUNTIF('8月'!S4:S34,$B41)+COUNTIF('8月'!T4:T34,$B41)+COUNTIF('8月'!X4:X34,$B41)+COUNTIF('8月'!Y4:Y34,$B41)+COUNTIF('8月'!AC4:AC34,$B41)+COUNTIF('8月'!AD4:AD34,$B41)+COUNTIF('8月'!AH4:AH34,$B41)+COUNTIF('8月'!AI4:AI34,$B41)+COUNTIF('8月'!AM4:AM34,$B41)+COUNTIF('8月'!AN4:AN34,$B41)+COUNTIF('8月'!AR4:AR34,$B41)+COUNTIF('8月'!AS4:AS34,$B41)+COUNTIF('8月'!AW4:AW34,$B41)+COUNTIF('8月'!AX4:AX34,$B41)+COUNTIF('8月'!BB4:BB34,$B41)+COUNTIF('8月'!BC4:BC34,$B41)+COUNTIF('8月'!BG4:BG34,$B41)+COUNTIF('8月'!BH4:BH34,$B41)+COUNTIF('8月'!BL4:BL34,$B41)+COUNTIF('8月'!BM4:BM34,$B41)+COUNTIF('8月'!BQ4:BQ34,$B41)+COUNTIF('8月'!BR4:BR34,$B41)+COUNTIF('8月'!BV4:BV34,$B41)+COUNTIF('8月'!BW4:BW34,$B41)+COUNTIF('8月'!CA4:CA34,$B41)+COUNTIF('8月'!CB4:CB34,$B41)+COUNTIF('8月'!CF4:CF34,$B41)+COUNTIF('8月'!CG4:CG34,$B41)+COUNTIF('8月'!CK4:CK34,$B41)+COUNTIF('8月'!CL4:CL34,$B41)+COUNTIF('8月'!CP4:CP34,$B41)+COUNTIF('8月'!CQ4:CQ34,$B41)+COUNTIF('8月'!CU4:CU34,$B41)+COUNTIF('8月'!CV4:CV34,$B41)+COUNTIF('8月'!CZ4:CZ34,$B41)+COUNTIF('8月'!DA4:DA34,$B41)+COUNTIF('8月'!DE4:DE34,$B41)+COUNTIF('8月'!DF4:DF34,$B41)+COUNTIF('8月'!DJ4:DJ34,$B41)+COUNTIF('8月'!DK4:DK34,$B41)+COUNTIF('8月'!DO4:DO34,$B41)+COUNTIF('8月'!DP4:DP34,$B41)+COUNTIF('8月'!DT4:DT34,$B41)+COUNTIF('8月'!DU4:DU34,$B41)+COUNTIF('8月'!DY4:DY34,$B41)+COUNTIF('8月'!DZ4:DZ34,$B41)+COUNTIF('8月'!ED4:ED34,$B41)+COUNTIF('8月'!EE4:EE34,$B41)+COUNTIF('8月'!EI4:EI34,$B41)+COUNTIF('8月'!EJ4:EJ34,$B41)+COUNTIF('8月'!EN4:EN34,$B41)+COUNTIF('8月'!EO4:EO34,$B41)+COUNTIF('8月'!ES4:ES34,$B41)+COUNTIF('8月'!ET4:ET34,$B41)),0)</f>
        <v>0</v>
      </c>
      <c r="K41" s="76">
        <f>IFERROR(IF($B41="","",COUNTIF('9月'!D4:D34,$B41)+COUNTIF('9月'!E4:E34,$B41)+COUNTIF('9月'!I4:I34,$B41)+COUNTIF('9月'!J4:J34,$B41)+COUNTIF('9月'!N4:N34,$B41)+COUNTIF('9月'!O4:O34,$B41)+COUNTIF('9月'!S4:S34,$B41)+COUNTIF('9月'!T4:T34,$B41)+COUNTIF('9月'!X4:X34,$B41)+COUNTIF('9月'!Y4:Y34,$B41)+COUNTIF('9月'!AC4:AC34,$B41)+COUNTIF('9月'!AD4:AD34,$B41)+COUNTIF('9月'!AH4:AH34,$B41)+COUNTIF('9月'!AI4:AI34,$B41)+COUNTIF('9月'!AM4:AM34,$B41)+COUNTIF('9月'!AN4:AN34,$B41)+COUNTIF('9月'!AR4:AR34,$B41)+COUNTIF('9月'!AS4:AS34,$B41)+COUNTIF('9月'!AW4:AW34,$B41)+COUNTIF('9月'!AX4:AX34,$B41)+COUNTIF('9月'!BB4:BB34,$B41)+COUNTIF('9月'!BC4:BC34,$B41)+COUNTIF('9月'!BG4:BG34,$B41)+COUNTIF('9月'!BH4:BH34,$B41)+COUNTIF('9月'!BL4:BL34,$B41)+COUNTIF('9月'!BM4:BM34,$B41)+COUNTIF('9月'!BQ4:BQ34,$B41)+COUNTIF('9月'!BR4:BR34,$B41)+COUNTIF('9月'!BV4:BV34,$B41)+COUNTIF('9月'!BW4:BW34,$B41)+COUNTIF('9月'!CA4:CA34,$B41)+COUNTIF('9月'!CB4:CB34,$B41)+COUNTIF('9月'!CF4:CF34,$B41)+COUNTIF('9月'!CG4:CG34,$B41)+COUNTIF('9月'!CK4:CK34,$B41)+COUNTIF('9月'!CL4:CL34,$B41)+COUNTIF('9月'!CP4:CP34,$B41)+COUNTIF('9月'!CQ4:CQ34,$B41)+COUNTIF('9月'!CU4:CU34,$B41)+COUNTIF('9月'!CV4:CV34,$B41)+COUNTIF('9月'!CZ4:CZ34,$B41)+COUNTIF('9月'!DA4:DA34,$B41)+COUNTIF('9月'!DE4:DE34,$B41)+COUNTIF('9月'!DF4:DF34,$B41)+COUNTIF('9月'!DJ4:DJ34,$B41)+COUNTIF('9月'!DK4:DK34,$B41)+COUNTIF('9月'!DO4:DO34,$B41)+COUNTIF('9月'!DP4:DP34,$B41)+COUNTIF('9月'!DT4:DT34,$B41)+COUNTIF('9月'!DU4:DU34,$B41)+COUNTIF('9月'!DY4:DY34,$B41)+COUNTIF('9月'!DZ4:DZ34,$B41)+COUNTIF('9月'!ED4:ED34,$B41)+COUNTIF('9月'!EE4:EE34,$B41)+COUNTIF('9月'!EI4:EI34,$B41)+COUNTIF('9月'!EJ4:EJ34,$B41)+COUNTIF('9月'!EN4:EN34,$B41)+COUNTIF('9月'!EO4:EO34,$B41)+COUNTIF('9月'!ES4:ES34,$B41)+COUNTIF('9月'!ET4:ET34,$B41)),0)</f>
        <v>0</v>
      </c>
      <c r="L41" s="76">
        <f>IFERROR(IF($B41="","",COUNTIF('10月'!D4:D34,$B41)+COUNTIF('10月'!E4:E34,$B41)+COUNTIF('10月'!I4:I34,$B41)+COUNTIF('10月'!J4:J34,$B41)+COUNTIF('10月'!N4:N34,$B41)+COUNTIF('10月'!O4:O34,$B41)+COUNTIF('10月'!S4:S34,$B41)+COUNTIF('10月'!T4:T34,$B41)+COUNTIF('10月'!X4:X34,$B41)+COUNTIF('10月'!Y4:Y34,$B41)+COUNTIF('10月'!AC4:AC34,$B41)+COUNTIF('10月'!AD4:AD34,$B41)+COUNTIF('10月'!AH4:AH34,$B41)+COUNTIF('10月'!AI4:AI34,$B41)+COUNTIF('10月'!AM4:AM34,$B41)+COUNTIF('10月'!AN4:AN34,$B41)+COUNTIF('10月'!AR4:AR34,$B41)+COUNTIF('10月'!AS4:AS34,$B41)+COUNTIF('10月'!AW4:AW34,$B41)+COUNTIF('10月'!AX4:AX34,$B41)+COUNTIF('10月'!BB4:BB34,$B41)+COUNTIF('10月'!BC4:BC34,$B41)+COUNTIF('10月'!BG4:BG34,$B41)+COUNTIF('10月'!BH4:BH34,$B41)+COUNTIF('10月'!BL4:BL34,$B41)+COUNTIF('10月'!BM4:BM34,$B41)+COUNTIF('10月'!BQ4:BQ34,$B41)+COUNTIF('10月'!BR4:BR34,$B41)+COUNTIF('10月'!BV4:BV34,$B41)+COUNTIF('10月'!BW4:BW34,$B41)+COUNTIF('10月'!CA4:CA34,$B41)+COUNTIF('10月'!CB4:CB34,$B41)+COUNTIF('10月'!CF4:CF34,$B41)+COUNTIF('10月'!CG4:CG34,$B41)+COUNTIF('10月'!CK4:CK34,$B41)+COUNTIF('10月'!CL4:CL34,$B41)+COUNTIF('10月'!CP4:CP34,$B41)+COUNTIF('10月'!CQ4:CQ34,$B41)+COUNTIF('10月'!CU4:CU34,$B41)+COUNTIF('10月'!CV4:CV34,$B41)+COUNTIF('10月'!CZ4:CZ34,$B41)+COUNTIF('10月'!DA4:DA34,$B41)+COUNTIF('10月'!DE4:DE34,$B41)+COUNTIF('10月'!DF4:DF34,$B41)+COUNTIF('10月'!DJ4:DJ34,$B41)+COUNTIF('10月'!DK4:DK34,$B41)+COUNTIF('10月'!DO4:DO34,$B41)+COUNTIF('10月'!DP4:DP34,$B41)+COUNTIF('10月'!DT4:DT34,$B41)+COUNTIF('10月'!DU4:DU34,$B41)+COUNTIF('10月'!DY4:DY34,$B41)+COUNTIF('10月'!DZ4:DZ34,$B41)+COUNTIF('10月'!ED4:ED34,$B41)+COUNTIF('10月'!EE4:EE34,$B41)+COUNTIF('10月'!EI4:EI34,$B41)+COUNTIF('10月'!EJ4:EJ34,$B41)+COUNTIF('10月'!EN4:EN34,$B41)+COUNTIF('10月'!EO4:EO34,$B41)+COUNTIF('10月'!ES4:ES34,$B41)+COUNTIF('10月'!ET4:ET34,$B41)),0)</f>
        <v>0</v>
      </c>
      <c r="M41" s="76">
        <f>IFERROR(IF($B41="","",COUNTIF('11月'!D4:D34,$B41)+COUNTIF('11月'!E4:E34,$B41)+COUNTIF('11月'!I4:I34,$B41)+COUNTIF('11月'!J4:J34,$B41)+COUNTIF('11月'!N4:N34,$B41)+COUNTIF('11月'!O4:O34,$B41)+COUNTIF('11月'!S4:S34,$B41)+COUNTIF('11月'!T4:T34,$B41)+COUNTIF('11月'!X4:X34,$B41)+COUNTIF('11月'!Y4:Y34,$B41)+COUNTIF('11月'!AC4:AC34,$B41)+COUNTIF('11月'!AD4:AD34,$B41)+COUNTIF('11月'!AH4:AH34,$B41)+COUNTIF('11月'!AI4:AI34,$B41)+COUNTIF('11月'!AM4:AM34,$B41)+COUNTIF('11月'!AN4:AN34,$B41)+COUNTIF('11月'!AR4:AR34,$B41)+COUNTIF('11月'!AS4:AS34,$B41)+COUNTIF('11月'!AW4:AW34,$B41)+COUNTIF('11月'!AX4:AX34,$B41)+COUNTIF('11月'!BB4:BB34,$B41)+COUNTIF('11月'!BC4:BC34,$B41)+COUNTIF('11月'!BG4:BG34,$B41)+COUNTIF('11月'!BH4:BH34,$B41)+COUNTIF('11月'!BL4:BL34,$B41)+COUNTIF('11月'!BM4:BM34,$B41)+COUNTIF('11月'!BQ4:BQ34,$B41)+COUNTIF('11月'!BR4:BR34,$B41)+COUNTIF('11月'!BV4:BV34,$B41)+COUNTIF('11月'!BW4:BW34,$B41)+COUNTIF('11月'!CA4:CA34,$B41)+COUNTIF('11月'!CB4:CB34,$B41)+COUNTIF('11月'!CF4:CF34,$B41)+COUNTIF('11月'!CG4:CG34,$B41)+COUNTIF('11月'!CK4:CK34,$B41)+COUNTIF('11月'!CL4:CL34,$B41)+COUNTIF('11月'!CP4:CP34,$B41)+COUNTIF('11月'!CQ4:CQ34,$B41)+COUNTIF('11月'!CU4:CU34,$B41)+COUNTIF('11月'!CV4:CV34,$B41)+COUNTIF('11月'!CZ4:CZ34,$B41)+COUNTIF('11月'!DA4:DA34,$B41)+COUNTIF('11月'!DE4:DE34,$B41)+COUNTIF('11月'!DF4:DF34,$B41)+COUNTIF('11月'!DJ4:DJ34,$B41)+COUNTIF('11月'!DK4:DK34,$B41)+COUNTIF('11月'!DO4:DO34,$B41)+COUNTIF('11月'!DP4:DP34,$B41)+COUNTIF('11月'!DT4:DT34,$B41)+COUNTIF('11月'!DU4:DU34,$B41)+COUNTIF('11月'!DY4:DY34,$B41)+COUNTIF('11月'!DZ4:DZ34,$B41)+COUNTIF('11月'!ED4:ED34,$B41)+COUNTIF('11月'!EE4:EE34,$B41)+COUNTIF('11月'!EI4:EI34,$B41)+COUNTIF('11月'!EJ4:EJ34,$B41)+COUNTIF('11月'!EN4:EN34,$B41)+COUNTIF('11月'!EO4:EO34,$B41)+COUNTIF('11月'!ES4:ES34,$B41)+COUNTIF('11月'!ET4:ET34,$B41)),0)</f>
        <v>0</v>
      </c>
      <c r="N41" s="76">
        <f>IFERROR(IF($B41="","",COUNTIF('12月'!D4:D34,$B41)+COUNTIF('12月'!E4:E34,$B41)+COUNTIF('12月'!I4:I34,$B41)+COUNTIF('12月'!J4:J34,$B41)+COUNTIF('12月'!N4:N34,$B41)+COUNTIF('12月'!O4:O34,$B41)+COUNTIF('12月'!S4:S34,$B41)+COUNTIF('12月'!T4:T34,$B41)+COUNTIF('12月'!X4:X34,$B41)+COUNTIF('12月'!Y4:Y34,$B41)+COUNTIF('12月'!AC4:AC34,$B41)+COUNTIF('12月'!AD4:AD34,$B41)+COUNTIF('12月'!AH4:AH34,$B41)+COUNTIF('12月'!AI4:AI34,$B41)+COUNTIF('12月'!AM4:AM34,$B41)+COUNTIF('12月'!AN4:AN34,$B41)+COUNTIF('12月'!AR4:AR34,$B41)+COUNTIF('12月'!AS4:AS34,$B41)+COUNTIF('12月'!AW4:AW34,$B41)+COUNTIF('12月'!AX4:AX34,$B41)+COUNTIF('12月'!BB4:BB34,$B41)+COUNTIF('12月'!BC4:BC34,$B41)+COUNTIF('12月'!BG4:BG34,$B41)+COUNTIF('12月'!BH4:BH34,$B41)+COUNTIF('12月'!BL4:BL34,$B41)+COUNTIF('12月'!BM4:BM34,$B41)+COUNTIF('12月'!BQ4:BQ34,$B41)+COUNTIF('12月'!BR4:BR34,$B41)+COUNTIF('12月'!BV4:BV34,$B41)+COUNTIF('12月'!BW4:BW34,$B41)+COUNTIF('12月'!CA4:CA34,$B41)+COUNTIF('12月'!CB4:CB34,$B41)+COUNTIF('12月'!CF4:CF34,$B41)+COUNTIF('12月'!CG4:CG34,$B41)+COUNTIF('12月'!CK4:CK34,$B41)+COUNTIF('12月'!CL4:CL34,$B41)+COUNTIF('12月'!CP4:CP34,$B41)+COUNTIF('12月'!CQ4:CQ34,$B41)+COUNTIF('12月'!CU4:CU34,$B41)+COUNTIF('12月'!CV4:CV34,$B41)+COUNTIF('12月'!CZ4:CZ34,$B41)+COUNTIF('12月'!DA4:DA34,$B41)+COUNTIF('12月'!DE4:DE34,$B41)+COUNTIF('12月'!DF4:DF34,$B41)+COUNTIF('12月'!DJ4:DJ34,$B41)+COUNTIF('12月'!DK4:DK34,$B41)+COUNTIF('12月'!DO4:DO34,$B41)+COUNTIF('12月'!DP4:DP34,$B41)+COUNTIF('12月'!DT4:DT34,$B41)+COUNTIF('12月'!DU4:DU34,$B41)+COUNTIF('12月'!DY4:DY34,$B41)+COUNTIF('12月'!DZ4:DZ34,$B41)+COUNTIF('12月'!ED4:ED34,$B41)+COUNTIF('12月'!EE4:EE34,$B41)+COUNTIF('12月'!EI4:EI34,$B41)+COUNTIF('12月'!EJ4:EJ34,$B41)+COUNTIF('12月'!EN4:EN34,$B41)+COUNTIF('12月'!EO4:EO34,$B41)+COUNTIF('12月'!ES4:ES34,$B41)+COUNTIF('12月'!ET4:ET34,$B41)),0)</f>
        <v>0</v>
      </c>
      <c r="O41" s="78">
        <f t="shared" si="0"/>
        <v>0</v>
      </c>
    </row>
    <row r="42" spans="1:15" ht="19.5" customHeight="1">
      <c r="A42" s="76">
        <v>40</v>
      </c>
      <c r="B42" s="77">
        <f>IFERROR(現場マスタ!$C$43,"")</f>
        <v>0</v>
      </c>
      <c r="C42" s="76">
        <f>IFERROR(IF($B42="","",COUNTIF('1月'!D4:D34,$B42)+COUNTIF('1月'!E4:E34,$B42)+COUNTIF('1月'!I4:I34,$B42)+COUNTIF('1月'!J4:J34,$B42)+COUNTIF('1月'!N4:N34,$B42)+COUNTIF('1月'!O4:O34,$B42)+COUNTIF('1月'!S4:S34,$B42)+COUNTIF('1月'!T4:T34,$B42)+COUNTIF('1月'!X4:X34,$B42)+COUNTIF('1月'!Y4:Y34,$B42)+COUNTIF('1月'!AC4:AC34,$B42)+COUNTIF('1月'!AD4:AD34,$B42)+COUNTIF('1月'!AH4:AH34,$B42)+COUNTIF('1月'!AI4:AI34,$B42)+COUNTIF('1月'!AM4:AM34,$B42)+COUNTIF('1月'!AN4:AN34,$B42)+COUNTIF('1月'!AR4:AR34,$B42)+COUNTIF('1月'!AS4:AS34,$B42)+COUNTIF('1月'!AW4:AW34,$B42)+COUNTIF('1月'!AX4:AX34,$B42)+COUNTIF('1月'!BB4:BB34,$B42)+COUNTIF('1月'!BC4:BC34,$B42)+COUNTIF('1月'!BG4:BG34,$B42)+COUNTIF('1月'!BH4:BH34,$B42)+COUNTIF('1月'!BL4:BL34,$B42)+COUNTIF('1月'!BM4:BM34,$B42)+COUNTIF('1月'!BQ4:BQ34,$B42)+COUNTIF('1月'!BR4:BR34,$B42)+COUNTIF('1月'!BV4:BV34,$B42)+COUNTIF('1月'!BW4:BW34,$B42)+COUNTIF('1月'!CA4:CA34,$B42)+COUNTIF('1月'!CB4:CB34,$B42)+COUNTIF('1月'!CF4:CF34,$B42)+COUNTIF('1月'!CG4:CG34,$B42)+COUNTIF('1月'!CK4:CK34,$B42)+COUNTIF('1月'!CL4:CL34,$B42)+COUNTIF('1月'!CP4:CP34,$B42)+COUNTIF('1月'!CQ4:CQ34,$B42)+COUNTIF('1月'!CU4:CU34,$B42)+COUNTIF('1月'!CV4:CV34,$B42)+COUNTIF('1月'!CZ4:CZ34,$B42)+COUNTIF('1月'!DA4:DA34,$B42)+COUNTIF('1月'!DE4:DE34,$B42)+COUNTIF('1月'!DF4:DF34,$B42)+COUNTIF('1月'!DJ4:DJ34,$B42)+COUNTIF('1月'!DK4:DK34,$B42)+COUNTIF('1月'!DO4:DO34,$B42)+COUNTIF('1月'!DP4:DP34,$B42)+COUNTIF('1月'!DT4:DT34,$B42)+COUNTIF('1月'!DU4:DU34,$B42)+COUNTIF('1月'!DY4:DY34,$B42)+COUNTIF('1月'!DZ4:DZ34,$B42)+COUNTIF('1月'!ED4:ED34,$B42)+COUNTIF('1月'!EE4:EE34,$B42)+COUNTIF('1月'!EI4:EI34,$B42)+COUNTIF('1月'!EJ4:EJ34,$B42)+COUNTIF('1月'!EN4:EN34,$B42)+COUNTIF('1月'!EO4:EO34,$B42)+COUNTIF('1月'!ES4:ES34,$B42)+COUNTIF('1月'!ET4:ET34,$B42)),0)</f>
        <v>0</v>
      </c>
      <c r="D42" s="76">
        <f>IFERROR(IF($B42="","",COUNTIF('2月'!D4:D34,$B42)+COUNTIF('2月'!E4:E34,$B42)+COUNTIF('2月'!I4:I34,$B42)+COUNTIF('2月'!J4:J34,$B42)+COUNTIF('2月'!N4:N34,$B42)+COUNTIF('2月'!O4:O34,$B42)+COUNTIF('2月'!S4:S34,$B42)+COUNTIF('2月'!T4:T34,$B42)+COUNTIF('2月'!X4:X34,$B42)+COUNTIF('2月'!Y4:Y34,$B42)+COUNTIF('2月'!AC4:AC34,$B42)+COUNTIF('2月'!AD4:AD34,$B42)+COUNTIF('2月'!AH4:AH34,$B42)+COUNTIF('2月'!AI4:AI34,$B42)+COUNTIF('2月'!AM4:AM34,$B42)+COUNTIF('2月'!AN4:AN34,$B42)+COUNTIF('2月'!AR4:AR34,$B42)+COUNTIF('2月'!AS4:AS34,$B42)+COUNTIF('2月'!AW4:AW34,$B42)+COUNTIF('2月'!AX4:AX34,$B42)+COUNTIF('2月'!BB4:BB34,$B42)+COUNTIF('2月'!BC4:BC34,$B42)+COUNTIF('2月'!BG4:BG34,$B42)+COUNTIF('2月'!BH4:BH34,$B42)+COUNTIF('2月'!BL4:BL34,$B42)+COUNTIF('2月'!BM4:BM34,$B42)+COUNTIF('2月'!BQ4:BQ34,$B42)+COUNTIF('2月'!BR4:BR34,$B42)+COUNTIF('2月'!BV4:BV34,$B42)+COUNTIF('2月'!BW4:BW34,$B42)+COUNTIF('2月'!CA4:CA34,$B42)+COUNTIF('2月'!CB4:CB34,$B42)+COUNTIF('2月'!CF4:CF34,$B42)+COUNTIF('2月'!CG4:CG34,$B42)+COUNTIF('2月'!CK4:CK34,$B42)+COUNTIF('2月'!CL4:CL34,$B42)+COUNTIF('2月'!CP4:CP34,$B42)+COUNTIF('2月'!CQ4:CQ34,$B42)+COUNTIF('2月'!CU4:CU34,$B42)+COUNTIF('2月'!CV4:CV34,$B42)+COUNTIF('2月'!CZ4:CZ34,$B42)+COUNTIF('2月'!DA4:DA34,$B42)+COUNTIF('2月'!DE4:DE34,$B42)+COUNTIF('2月'!DF4:DF34,$B42)+COUNTIF('2月'!DJ4:DJ34,$B42)+COUNTIF('2月'!DK4:DK34,$B42)+COUNTIF('2月'!DO4:DO34,$B42)+COUNTIF('2月'!DP4:DP34,$B42)+COUNTIF('2月'!DT4:DT34,$B42)+COUNTIF('2月'!DU4:DU34,$B42)+COUNTIF('2月'!DY4:DY34,$B42)+COUNTIF('2月'!DZ4:DZ34,$B42)+COUNTIF('2月'!ED4:ED34,$B42)+COUNTIF('2月'!EE4:EE34,$B42)+COUNTIF('2月'!EI4:EI34,$B42)+COUNTIF('2月'!EJ4:EJ34,$B42)+COUNTIF('2月'!EN4:EN34,$B42)+COUNTIF('2月'!EO4:EO34,$B42)+COUNTIF('2月'!ES4:ES34,$B42)+COUNTIF('2月'!ET4:ET34,$B42)),0)</f>
        <v>0</v>
      </c>
      <c r="E42" s="76">
        <f>IFERROR(IF($B42="","",COUNTIF('3月'!D4:D34,$B42)+COUNTIF('3月'!E4:E34,$B42)+COUNTIF('3月'!I4:I34,$B42)+COUNTIF('3月'!J4:J34,$B42)+COUNTIF('3月'!N4:N34,$B42)+COUNTIF('3月'!O4:O34,$B42)+COUNTIF('3月'!S4:S34,$B42)+COUNTIF('3月'!T4:T34,$B42)+COUNTIF('3月'!X4:X34,$B42)+COUNTIF('3月'!Y4:Y34,$B42)+COUNTIF('3月'!AC4:AC34,$B42)+COUNTIF('3月'!AD4:AD34,$B42)+COUNTIF('3月'!AH4:AH34,$B42)+COUNTIF('3月'!AI4:AI34,$B42)+COUNTIF('3月'!AM4:AM34,$B42)+COUNTIF('3月'!AN4:AN34,$B42)+COUNTIF('3月'!AR4:AR34,$B42)+COUNTIF('3月'!AS4:AS34,$B42)+COUNTIF('3月'!AW4:AW34,$B42)+COUNTIF('3月'!AX4:AX34,$B42)+COUNTIF('3月'!BB4:BB34,$B42)+COUNTIF('3月'!BC4:BC34,$B42)+COUNTIF('3月'!BG4:BG34,$B42)+COUNTIF('3月'!BH4:BH34,$B42)+COUNTIF('3月'!BL4:BL34,$B42)+COUNTIF('3月'!BM4:BM34,$B42)+COUNTIF('3月'!BQ4:BQ34,$B42)+COUNTIF('3月'!BR4:BR34,$B42)+COUNTIF('3月'!BV4:BV34,$B42)+COUNTIF('3月'!BW4:BW34,$B42)+COUNTIF('3月'!CA4:CA34,$B42)+COUNTIF('3月'!CB4:CB34,$B42)+COUNTIF('3月'!CF4:CF34,$B42)+COUNTIF('3月'!CG4:CG34,$B42)+COUNTIF('3月'!CK4:CK34,$B42)+COUNTIF('3月'!CL4:CL34,$B42)+COUNTIF('3月'!CP4:CP34,$B42)+COUNTIF('3月'!CQ4:CQ34,$B42)+COUNTIF('3月'!CU4:CU34,$B42)+COUNTIF('3月'!CV4:CV34,$B42)+COUNTIF('3月'!CZ4:CZ34,$B42)+COUNTIF('3月'!DA4:DA34,$B42)+COUNTIF('3月'!DE4:DE34,$B42)+COUNTIF('3月'!DF4:DF34,$B42)+COUNTIF('3月'!DJ4:DJ34,$B42)+COUNTIF('3月'!DK4:DK34,$B42)+COUNTIF('3月'!DO4:DO34,$B42)+COUNTIF('3月'!DP4:DP34,$B42)+COUNTIF('3月'!DT4:DT34,$B42)+COUNTIF('3月'!DU4:DU34,$B42)+COUNTIF('3月'!DY4:DY34,$B42)+COUNTIF('3月'!DZ4:DZ34,$B42)+COUNTIF('3月'!ED4:ED34,$B42)+COUNTIF('3月'!EE4:EE34,$B42)+COUNTIF('3月'!EI4:EI34,$B42)+COUNTIF('3月'!EJ4:EJ34,$B42)+COUNTIF('3月'!EN4:EN34,$B42)+COUNTIF('3月'!EO4:EO34,$B42)+COUNTIF('3月'!ES4:ES34,$B42)+COUNTIF('3月'!ET4:ET34,$B42)),0)</f>
        <v>0</v>
      </c>
      <c r="F42" s="76">
        <f>IFERROR(IF($B42="","",COUNTIF('4月'!D4:D34,$B42)+COUNTIF('4月'!E4:E34,$B42)+COUNTIF('4月'!I4:I34,$B42)+COUNTIF('4月'!J4:J34,$B42)+COUNTIF('4月'!N4:N34,$B42)+COUNTIF('4月'!O4:O34,$B42)+COUNTIF('4月'!S4:S34,$B42)+COUNTIF('4月'!T4:T34,$B42)+COUNTIF('4月'!X4:X34,$B42)+COUNTIF('4月'!Y4:Y34,$B42)+COUNTIF('4月'!AC4:AC34,$B42)+COUNTIF('4月'!AD4:AD34,$B42)+COUNTIF('4月'!AH4:AH34,$B42)+COUNTIF('4月'!AI4:AI34,$B42)+COUNTIF('4月'!AM4:AM34,$B42)+COUNTIF('4月'!AN4:AN34,$B42)+COUNTIF('4月'!AR4:AR34,$B42)+COUNTIF('4月'!AS4:AS34,$B42)+COUNTIF('4月'!AW4:AW34,$B42)+COUNTIF('4月'!AX4:AX34,$B42)+COUNTIF('4月'!BB4:BB34,$B42)+COUNTIF('4月'!BC4:BC34,$B42)+COUNTIF('4月'!BG4:BG34,$B42)+COUNTIF('4月'!BH4:BH34,$B42)+COUNTIF('4月'!BL4:BL34,$B42)+COUNTIF('4月'!BM4:BM34,$B42)+COUNTIF('4月'!BQ4:BQ34,$B42)+COUNTIF('4月'!BR4:BR34,$B42)+COUNTIF('4月'!BV4:BV34,$B42)+COUNTIF('4月'!BW4:BW34,$B42)+COUNTIF('4月'!CA4:CA34,$B42)+COUNTIF('4月'!CB4:CB34,$B42)+COUNTIF('4月'!CF4:CF34,$B42)+COUNTIF('4月'!CG4:CG34,$B42)+COUNTIF('4月'!CK4:CK34,$B42)+COUNTIF('4月'!CL4:CL34,$B42)+COUNTIF('4月'!CP4:CP34,$B42)+COUNTIF('4月'!CQ4:CQ34,$B42)+COUNTIF('4月'!CU4:CU34,$B42)+COUNTIF('4月'!CV4:CV34,$B42)+COUNTIF('4月'!CZ4:CZ34,$B42)+COUNTIF('4月'!DA4:DA34,$B42)+COUNTIF('4月'!DE4:DE34,$B42)+COUNTIF('4月'!DF4:DF34,$B42)+COUNTIF('4月'!DJ4:DJ34,$B42)+COUNTIF('4月'!DK4:DK34,$B42)+COUNTIF('4月'!DO4:DO34,$B42)+COUNTIF('4月'!DP4:DP34,$B42)+COUNTIF('4月'!DT4:DT34,$B42)+COUNTIF('4月'!DU4:DU34,$B42)+COUNTIF('4月'!DY4:DY34,$B42)+COUNTIF('4月'!DZ4:DZ34,$B42)+COUNTIF('4月'!ED4:ED34,$B42)+COUNTIF('4月'!EE4:EE34,$B42)+COUNTIF('4月'!EI4:EI34,$B42)+COUNTIF('4月'!EJ4:EJ34,$B42)+COUNTIF('4月'!EN4:EN34,$B42)+COUNTIF('4月'!EO4:EO34,$B42)+COUNTIF('4月'!ES4:ES34,$B42)+COUNTIF('4月'!ET4:ET34,$B42)),0)</f>
        <v>0</v>
      </c>
      <c r="G42" s="76">
        <f>IFERROR(IF($B42="","",COUNTIF('5月'!D4:D34,$B42)+COUNTIF('5月'!E4:E34,$B42)+COUNTIF('5月'!I4:I34,$B42)+COUNTIF('5月'!J4:J34,$B42)+COUNTIF('5月'!N4:N34,$B42)+COUNTIF('5月'!O4:O34,$B42)+COUNTIF('5月'!S4:S34,$B42)+COUNTIF('5月'!T4:T34,$B42)+COUNTIF('5月'!X4:X34,$B42)+COUNTIF('5月'!Y4:Y34,$B42)+COUNTIF('5月'!AC4:AC34,$B42)+COUNTIF('5月'!AD4:AD34,$B42)+COUNTIF('5月'!AH4:AH34,$B42)+COUNTIF('5月'!AI4:AI34,$B42)+COUNTIF('5月'!AM4:AM34,$B42)+COUNTIF('5月'!AN4:AN34,$B42)+COUNTIF('5月'!AR4:AR34,$B42)+COUNTIF('5月'!AS4:AS34,$B42)+COUNTIF('5月'!AW4:AW34,$B42)+COUNTIF('5月'!AX4:AX34,$B42)+COUNTIF('5月'!BB4:BB34,$B42)+COUNTIF('5月'!BC4:BC34,$B42)+COUNTIF('5月'!BG4:BG34,$B42)+COUNTIF('5月'!BH4:BH34,$B42)+COUNTIF('5月'!BL4:BL34,$B42)+COUNTIF('5月'!BM4:BM34,$B42)+COUNTIF('5月'!BQ4:BQ34,$B42)+COUNTIF('5月'!BR4:BR34,$B42)+COUNTIF('5月'!BV4:BV34,$B42)+COUNTIF('5月'!BW4:BW34,$B42)+COUNTIF('5月'!CA4:CA34,$B42)+COUNTIF('5月'!CB4:CB34,$B42)+COUNTIF('5月'!CF4:CF34,$B42)+COUNTIF('5月'!CG4:CG34,$B42)+COUNTIF('5月'!CK4:CK34,$B42)+COUNTIF('5月'!CL4:CL34,$B42)+COUNTIF('5月'!CP4:CP34,$B42)+COUNTIF('5月'!CQ4:CQ34,$B42)+COUNTIF('5月'!CU4:CU34,$B42)+COUNTIF('5月'!CV4:CV34,$B42)+COUNTIF('5月'!CZ4:CZ34,$B42)+COUNTIF('5月'!DA4:DA34,$B42)+COUNTIF('5月'!DE4:DE34,$B42)+COUNTIF('5月'!DF4:DF34,$B42)+COUNTIF('5月'!DJ4:DJ34,$B42)+COUNTIF('5月'!DK4:DK34,$B42)+COUNTIF('5月'!DO4:DO34,$B42)+COUNTIF('5月'!DP4:DP34,$B42)+COUNTIF('5月'!DT4:DT34,$B42)+COUNTIF('5月'!DU4:DU34,$B42)+COUNTIF('5月'!DY4:DY34,$B42)+COUNTIF('5月'!DZ4:DZ34,$B42)+COUNTIF('5月'!ED4:ED34,$B42)+COUNTIF('5月'!EE4:EE34,$B42)+COUNTIF('5月'!EI4:EI34,$B42)+COUNTIF('5月'!EJ4:EJ34,$B42)+COUNTIF('5月'!EN4:EN34,$B42)+COUNTIF('5月'!EO4:EO34,$B42)+COUNTIF('5月'!ES4:ES34,$B42)+COUNTIF('5月'!ET4:ET34,$B42)),0)</f>
        <v>0</v>
      </c>
      <c r="H42" s="76">
        <f>IFERROR(IF($B42="","",COUNTIF('6月'!D4:D34,$B42)+COUNTIF('6月'!E4:E34,$B42)+COUNTIF('6月'!I4:I34,$B42)+COUNTIF('6月'!J4:J34,$B42)+COUNTIF('6月'!N4:N34,$B42)+COUNTIF('6月'!O4:O34,$B42)+COUNTIF('6月'!S4:S34,$B42)+COUNTIF('6月'!T4:T34,$B42)+COUNTIF('6月'!X4:X34,$B42)+COUNTIF('6月'!Y4:Y34,$B42)+COUNTIF('6月'!AC4:AC34,$B42)+COUNTIF('6月'!AD4:AD34,$B42)+COUNTIF('6月'!AH4:AH34,$B42)+COUNTIF('6月'!AI4:AI34,$B42)+COUNTIF('6月'!AM4:AM34,$B42)+COUNTIF('6月'!AN4:AN34,$B42)+COUNTIF('6月'!AR4:AR34,$B42)+COUNTIF('6月'!AS4:AS34,$B42)+COUNTIF('6月'!AW4:AW34,$B42)+COUNTIF('6月'!AX4:AX34,$B42)+COUNTIF('6月'!BB4:BB34,$B42)+COUNTIF('6月'!BC4:BC34,$B42)+COUNTIF('6月'!BG4:BG34,$B42)+COUNTIF('6月'!BH4:BH34,$B42)+COUNTIF('6月'!BL4:BL34,$B42)+COUNTIF('6月'!BM4:BM34,$B42)+COUNTIF('6月'!BQ4:BQ34,$B42)+COUNTIF('6月'!BR4:BR34,$B42)+COUNTIF('6月'!BV4:BV34,$B42)+COUNTIF('6月'!BW4:BW34,$B42)+COUNTIF('6月'!CA4:CA34,$B42)+COUNTIF('6月'!CB4:CB34,$B42)+COUNTIF('6月'!CF4:CF34,$B42)+COUNTIF('6月'!CG4:CG34,$B42)+COUNTIF('6月'!CK4:CK34,$B42)+COUNTIF('6月'!CL4:CL34,$B42)+COUNTIF('6月'!CP4:CP34,$B42)+COUNTIF('6月'!CQ4:CQ34,$B42)+COUNTIF('6月'!CU4:CU34,$B42)+COUNTIF('6月'!CV4:CV34,$B42)+COUNTIF('6月'!CZ4:CZ34,$B42)+COUNTIF('6月'!DA4:DA34,$B42)+COUNTIF('6月'!DE4:DE34,$B42)+COUNTIF('6月'!DF4:DF34,$B42)+COUNTIF('6月'!DJ4:DJ34,$B42)+COUNTIF('6月'!DK4:DK34,$B42)+COUNTIF('6月'!DO4:DO34,$B42)+COUNTIF('6月'!DP4:DP34,$B42)+COUNTIF('6月'!DT4:DT34,$B42)+COUNTIF('6月'!DU4:DU34,$B42)+COUNTIF('6月'!DY4:DY34,$B42)+COUNTIF('6月'!DZ4:DZ34,$B42)+COUNTIF('6月'!ED4:ED34,$B42)+COUNTIF('6月'!EE4:EE34,$B42)+COUNTIF('6月'!EI4:EI34,$B42)+COUNTIF('6月'!EJ4:EJ34,$B42)+COUNTIF('6月'!EN4:EN34,$B42)+COUNTIF('6月'!EO4:EO34,$B42)+COUNTIF('6月'!ES4:ES34,$B42)+COUNTIF('6月'!ET4:ET34,$B42)),0)</f>
        <v>0</v>
      </c>
      <c r="I42" s="76">
        <f>IFERROR(IF($B42="","",COUNTIF('7月'!D4:D34,$B42)+COUNTIF('7月'!E4:E34,$B42)+COUNTIF('7月'!I4:I34,$B42)+COUNTIF('7月'!J4:J34,$B42)+COUNTIF('7月'!N4:N34,$B42)+COUNTIF('7月'!O4:O34,$B42)+COUNTIF('7月'!S4:S34,$B42)+COUNTIF('7月'!T4:T34,$B42)+COUNTIF('7月'!X4:X34,$B42)+COUNTIF('7月'!Y4:Y34,$B42)+COUNTIF('7月'!AC4:AC34,$B42)+COUNTIF('7月'!AD4:AD34,$B42)+COUNTIF('7月'!AH4:AH34,$B42)+COUNTIF('7月'!AI4:AI34,$B42)+COUNTIF('7月'!AM4:AM34,$B42)+COUNTIF('7月'!AN4:AN34,$B42)+COUNTIF('7月'!AR4:AR34,$B42)+COUNTIF('7月'!AS4:AS34,$B42)+COUNTIF('7月'!AW4:AW34,$B42)+COUNTIF('7月'!AX4:AX34,$B42)+COUNTIF('7月'!BB4:BB34,$B42)+COUNTIF('7月'!BC4:BC34,$B42)+COUNTIF('7月'!BG4:BG34,$B42)+COUNTIF('7月'!BH4:BH34,$B42)+COUNTIF('7月'!BL4:BL34,$B42)+COUNTIF('7月'!BM4:BM34,$B42)+COUNTIF('7月'!BQ4:BQ34,$B42)+COUNTIF('7月'!BR4:BR34,$B42)+COUNTIF('7月'!BV4:BV34,$B42)+COUNTIF('7月'!BW4:BW34,$B42)+COUNTIF('7月'!CA4:CA34,$B42)+COUNTIF('7月'!CB4:CB34,$B42)+COUNTIF('7月'!CF4:CF34,$B42)+COUNTIF('7月'!CG4:CG34,$B42)+COUNTIF('7月'!CK4:CK34,$B42)+COUNTIF('7月'!CL4:CL34,$B42)+COUNTIF('7月'!CP4:CP34,$B42)+COUNTIF('7月'!CQ4:CQ34,$B42)+COUNTIF('7月'!CU4:CU34,$B42)+COUNTIF('7月'!CV4:CV34,$B42)+COUNTIF('7月'!CZ4:CZ34,$B42)+COUNTIF('7月'!DA4:DA34,$B42)+COUNTIF('7月'!DE4:DE34,$B42)+COUNTIF('7月'!DF4:DF34,$B42)+COUNTIF('7月'!DJ4:DJ34,$B42)+COUNTIF('7月'!DK4:DK34,$B42)+COUNTIF('7月'!DO4:DO34,$B42)+COUNTIF('7月'!DP4:DP34,$B42)+COUNTIF('7月'!DT4:DT34,$B42)+COUNTIF('7月'!DU4:DU34,$B42)+COUNTIF('7月'!DY4:DY34,$B42)+COUNTIF('7月'!DZ4:DZ34,$B42)+COUNTIF('7月'!ED4:ED34,$B42)+COUNTIF('7月'!EE4:EE34,$B42)+COUNTIF('7月'!EI4:EI34,$B42)+COUNTIF('7月'!EJ4:EJ34,$B42)+COUNTIF('7月'!EN4:EN34,$B42)+COUNTIF('7月'!EO4:EO34,$B42)+COUNTIF('7月'!ES4:ES34,$B42)+COUNTIF('7月'!ET4:ET34,$B42)),0)</f>
        <v>0</v>
      </c>
      <c r="J42" s="76">
        <f>IFERROR(IF($B42="","",COUNTIF('8月'!D4:D34,$B42)+COUNTIF('8月'!E4:E34,$B42)+COUNTIF('8月'!I4:I34,$B42)+COUNTIF('8月'!J4:J34,$B42)+COUNTIF('8月'!N4:N34,$B42)+COUNTIF('8月'!O4:O34,$B42)+COUNTIF('8月'!S4:S34,$B42)+COUNTIF('8月'!T4:T34,$B42)+COUNTIF('8月'!X4:X34,$B42)+COUNTIF('8月'!Y4:Y34,$B42)+COUNTIF('8月'!AC4:AC34,$B42)+COUNTIF('8月'!AD4:AD34,$B42)+COUNTIF('8月'!AH4:AH34,$B42)+COUNTIF('8月'!AI4:AI34,$B42)+COUNTIF('8月'!AM4:AM34,$B42)+COUNTIF('8月'!AN4:AN34,$B42)+COUNTIF('8月'!AR4:AR34,$B42)+COUNTIF('8月'!AS4:AS34,$B42)+COUNTIF('8月'!AW4:AW34,$B42)+COUNTIF('8月'!AX4:AX34,$B42)+COUNTIF('8月'!BB4:BB34,$B42)+COUNTIF('8月'!BC4:BC34,$B42)+COUNTIF('8月'!BG4:BG34,$B42)+COUNTIF('8月'!BH4:BH34,$B42)+COUNTIF('8月'!BL4:BL34,$B42)+COUNTIF('8月'!BM4:BM34,$B42)+COUNTIF('8月'!BQ4:BQ34,$B42)+COUNTIF('8月'!BR4:BR34,$B42)+COUNTIF('8月'!BV4:BV34,$B42)+COUNTIF('8月'!BW4:BW34,$B42)+COUNTIF('8月'!CA4:CA34,$B42)+COUNTIF('8月'!CB4:CB34,$B42)+COUNTIF('8月'!CF4:CF34,$B42)+COUNTIF('8月'!CG4:CG34,$B42)+COUNTIF('8月'!CK4:CK34,$B42)+COUNTIF('8月'!CL4:CL34,$B42)+COUNTIF('8月'!CP4:CP34,$B42)+COUNTIF('8月'!CQ4:CQ34,$B42)+COUNTIF('8月'!CU4:CU34,$B42)+COUNTIF('8月'!CV4:CV34,$B42)+COUNTIF('8月'!CZ4:CZ34,$B42)+COUNTIF('8月'!DA4:DA34,$B42)+COUNTIF('8月'!DE4:DE34,$B42)+COUNTIF('8月'!DF4:DF34,$B42)+COUNTIF('8月'!DJ4:DJ34,$B42)+COUNTIF('8月'!DK4:DK34,$B42)+COUNTIF('8月'!DO4:DO34,$B42)+COUNTIF('8月'!DP4:DP34,$B42)+COUNTIF('8月'!DT4:DT34,$B42)+COUNTIF('8月'!DU4:DU34,$B42)+COUNTIF('8月'!DY4:DY34,$B42)+COUNTIF('8月'!DZ4:DZ34,$B42)+COUNTIF('8月'!ED4:ED34,$B42)+COUNTIF('8月'!EE4:EE34,$B42)+COUNTIF('8月'!EI4:EI34,$B42)+COUNTIF('8月'!EJ4:EJ34,$B42)+COUNTIF('8月'!EN4:EN34,$B42)+COUNTIF('8月'!EO4:EO34,$B42)+COUNTIF('8月'!ES4:ES34,$B42)+COUNTIF('8月'!ET4:ET34,$B42)),0)</f>
        <v>0</v>
      </c>
      <c r="K42" s="76">
        <f>IFERROR(IF($B42="","",COUNTIF('9月'!D4:D34,$B42)+COUNTIF('9月'!E4:E34,$B42)+COUNTIF('9月'!I4:I34,$B42)+COUNTIF('9月'!J4:J34,$B42)+COUNTIF('9月'!N4:N34,$B42)+COUNTIF('9月'!O4:O34,$B42)+COUNTIF('9月'!S4:S34,$B42)+COUNTIF('9月'!T4:T34,$B42)+COUNTIF('9月'!X4:X34,$B42)+COUNTIF('9月'!Y4:Y34,$B42)+COUNTIF('9月'!AC4:AC34,$B42)+COUNTIF('9月'!AD4:AD34,$B42)+COUNTIF('9月'!AH4:AH34,$B42)+COUNTIF('9月'!AI4:AI34,$B42)+COUNTIF('9月'!AM4:AM34,$B42)+COUNTIF('9月'!AN4:AN34,$B42)+COUNTIF('9月'!AR4:AR34,$B42)+COUNTIF('9月'!AS4:AS34,$B42)+COUNTIF('9月'!AW4:AW34,$B42)+COUNTIF('9月'!AX4:AX34,$B42)+COUNTIF('9月'!BB4:BB34,$B42)+COUNTIF('9月'!BC4:BC34,$B42)+COUNTIF('9月'!BG4:BG34,$B42)+COUNTIF('9月'!BH4:BH34,$B42)+COUNTIF('9月'!BL4:BL34,$B42)+COUNTIF('9月'!BM4:BM34,$B42)+COUNTIF('9月'!BQ4:BQ34,$B42)+COUNTIF('9月'!BR4:BR34,$B42)+COUNTIF('9月'!BV4:BV34,$B42)+COUNTIF('9月'!BW4:BW34,$B42)+COUNTIF('9月'!CA4:CA34,$B42)+COUNTIF('9月'!CB4:CB34,$B42)+COUNTIF('9月'!CF4:CF34,$B42)+COUNTIF('9月'!CG4:CG34,$B42)+COUNTIF('9月'!CK4:CK34,$B42)+COUNTIF('9月'!CL4:CL34,$B42)+COUNTIF('9月'!CP4:CP34,$B42)+COUNTIF('9月'!CQ4:CQ34,$B42)+COUNTIF('9月'!CU4:CU34,$B42)+COUNTIF('9月'!CV4:CV34,$B42)+COUNTIF('9月'!CZ4:CZ34,$B42)+COUNTIF('9月'!DA4:DA34,$B42)+COUNTIF('9月'!DE4:DE34,$B42)+COUNTIF('9月'!DF4:DF34,$B42)+COUNTIF('9月'!DJ4:DJ34,$B42)+COUNTIF('9月'!DK4:DK34,$B42)+COUNTIF('9月'!DO4:DO34,$B42)+COUNTIF('9月'!DP4:DP34,$B42)+COUNTIF('9月'!DT4:DT34,$B42)+COUNTIF('9月'!DU4:DU34,$B42)+COUNTIF('9月'!DY4:DY34,$B42)+COUNTIF('9月'!DZ4:DZ34,$B42)+COUNTIF('9月'!ED4:ED34,$B42)+COUNTIF('9月'!EE4:EE34,$B42)+COUNTIF('9月'!EI4:EI34,$B42)+COUNTIF('9月'!EJ4:EJ34,$B42)+COUNTIF('9月'!EN4:EN34,$B42)+COUNTIF('9月'!EO4:EO34,$B42)+COUNTIF('9月'!ES4:ES34,$B42)+COUNTIF('9月'!ET4:ET34,$B42)),0)</f>
        <v>0</v>
      </c>
      <c r="L42" s="76">
        <f>IFERROR(IF($B42="","",COUNTIF('10月'!D4:D34,$B42)+COUNTIF('10月'!E4:E34,$B42)+COUNTIF('10月'!I4:I34,$B42)+COUNTIF('10月'!J4:J34,$B42)+COUNTIF('10月'!N4:N34,$B42)+COUNTIF('10月'!O4:O34,$B42)+COUNTIF('10月'!S4:S34,$B42)+COUNTIF('10月'!T4:T34,$B42)+COUNTIF('10月'!X4:X34,$B42)+COUNTIF('10月'!Y4:Y34,$B42)+COUNTIF('10月'!AC4:AC34,$B42)+COUNTIF('10月'!AD4:AD34,$B42)+COUNTIF('10月'!AH4:AH34,$B42)+COUNTIF('10月'!AI4:AI34,$B42)+COUNTIF('10月'!AM4:AM34,$B42)+COUNTIF('10月'!AN4:AN34,$B42)+COUNTIF('10月'!AR4:AR34,$B42)+COUNTIF('10月'!AS4:AS34,$B42)+COUNTIF('10月'!AW4:AW34,$B42)+COUNTIF('10月'!AX4:AX34,$B42)+COUNTIF('10月'!BB4:BB34,$B42)+COUNTIF('10月'!BC4:BC34,$B42)+COUNTIF('10月'!BG4:BG34,$B42)+COUNTIF('10月'!BH4:BH34,$B42)+COUNTIF('10月'!BL4:BL34,$B42)+COUNTIF('10月'!BM4:BM34,$B42)+COUNTIF('10月'!BQ4:BQ34,$B42)+COUNTIF('10月'!BR4:BR34,$B42)+COUNTIF('10月'!BV4:BV34,$B42)+COUNTIF('10月'!BW4:BW34,$B42)+COUNTIF('10月'!CA4:CA34,$B42)+COUNTIF('10月'!CB4:CB34,$B42)+COUNTIF('10月'!CF4:CF34,$B42)+COUNTIF('10月'!CG4:CG34,$B42)+COUNTIF('10月'!CK4:CK34,$B42)+COUNTIF('10月'!CL4:CL34,$B42)+COUNTIF('10月'!CP4:CP34,$B42)+COUNTIF('10月'!CQ4:CQ34,$B42)+COUNTIF('10月'!CU4:CU34,$B42)+COUNTIF('10月'!CV4:CV34,$B42)+COUNTIF('10月'!CZ4:CZ34,$B42)+COUNTIF('10月'!DA4:DA34,$B42)+COUNTIF('10月'!DE4:DE34,$B42)+COUNTIF('10月'!DF4:DF34,$B42)+COUNTIF('10月'!DJ4:DJ34,$B42)+COUNTIF('10月'!DK4:DK34,$B42)+COUNTIF('10月'!DO4:DO34,$B42)+COUNTIF('10月'!DP4:DP34,$B42)+COUNTIF('10月'!DT4:DT34,$B42)+COUNTIF('10月'!DU4:DU34,$B42)+COUNTIF('10月'!DY4:DY34,$B42)+COUNTIF('10月'!DZ4:DZ34,$B42)+COUNTIF('10月'!ED4:ED34,$B42)+COUNTIF('10月'!EE4:EE34,$B42)+COUNTIF('10月'!EI4:EI34,$B42)+COUNTIF('10月'!EJ4:EJ34,$B42)+COUNTIF('10月'!EN4:EN34,$B42)+COUNTIF('10月'!EO4:EO34,$B42)+COUNTIF('10月'!ES4:ES34,$B42)+COUNTIF('10月'!ET4:ET34,$B42)),0)</f>
        <v>0</v>
      </c>
      <c r="M42" s="76">
        <f>IFERROR(IF($B42="","",COUNTIF('11月'!D4:D34,$B42)+COUNTIF('11月'!E4:E34,$B42)+COUNTIF('11月'!I4:I34,$B42)+COUNTIF('11月'!J4:J34,$B42)+COUNTIF('11月'!N4:N34,$B42)+COUNTIF('11月'!O4:O34,$B42)+COUNTIF('11月'!S4:S34,$B42)+COUNTIF('11月'!T4:T34,$B42)+COUNTIF('11月'!X4:X34,$B42)+COUNTIF('11月'!Y4:Y34,$B42)+COUNTIF('11月'!AC4:AC34,$B42)+COUNTIF('11月'!AD4:AD34,$B42)+COUNTIF('11月'!AH4:AH34,$B42)+COUNTIF('11月'!AI4:AI34,$B42)+COUNTIF('11月'!AM4:AM34,$B42)+COUNTIF('11月'!AN4:AN34,$B42)+COUNTIF('11月'!AR4:AR34,$B42)+COUNTIF('11月'!AS4:AS34,$B42)+COUNTIF('11月'!AW4:AW34,$B42)+COUNTIF('11月'!AX4:AX34,$B42)+COUNTIF('11月'!BB4:BB34,$B42)+COUNTIF('11月'!BC4:BC34,$B42)+COUNTIF('11月'!BG4:BG34,$B42)+COUNTIF('11月'!BH4:BH34,$B42)+COUNTIF('11月'!BL4:BL34,$B42)+COUNTIF('11月'!BM4:BM34,$B42)+COUNTIF('11月'!BQ4:BQ34,$B42)+COUNTIF('11月'!BR4:BR34,$B42)+COUNTIF('11月'!BV4:BV34,$B42)+COUNTIF('11月'!BW4:BW34,$B42)+COUNTIF('11月'!CA4:CA34,$B42)+COUNTIF('11月'!CB4:CB34,$B42)+COUNTIF('11月'!CF4:CF34,$B42)+COUNTIF('11月'!CG4:CG34,$B42)+COUNTIF('11月'!CK4:CK34,$B42)+COUNTIF('11月'!CL4:CL34,$B42)+COUNTIF('11月'!CP4:CP34,$B42)+COUNTIF('11月'!CQ4:CQ34,$B42)+COUNTIF('11月'!CU4:CU34,$B42)+COUNTIF('11月'!CV4:CV34,$B42)+COUNTIF('11月'!CZ4:CZ34,$B42)+COUNTIF('11月'!DA4:DA34,$B42)+COUNTIF('11月'!DE4:DE34,$B42)+COUNTIF('11月'!DF4:DF34,$B42)+COUNTIF('11月'!DJ4:DJ34,$B42)+COUNTIF('11月'!DK4:DK34,$B42)+COUNTIF('11月'!DO4:DO34,$B42)+COUNTIF('11月'!DP4:DP34,$B42)+COUNTIF('11月'!DT4:DT34,$B42)+COUNTIF('11月'!DU4:DU34,$B42)+COUNTIF('11月'!DY4:DY34,$B42)+COUNTIF('11月'!DZ4:DZ34,$B42)+COUNTIF('11月'!ED4:ED34,$B42)+COUNTIF('11月'!EE4:EE34,$B42)+COUNTIF('11月'!EI4:EI34,$B42)+COUNTIF('11月'!EJ4:EJ34,$B42)+COUNTIF('11月'!EN4:EN34,$B42)+COUNTIF('11月'!EO4:EO34,$B42)+COUNTIF('11月'!ES4:ES34,$B42)+COUNTIF('11月'!ET4:ET34,$B42)),0)</f>
        <v>0</v>
      </c>
      <c r="N42" s="76">
        <f>IFERROR(IF($B42="","",COUNTIF('12月'!D4:D34,$B42)+COUNTIF('12月'!E4:E34,$B42)+COUNTIF('12月'!I4:I34,$B42)+COUNTIF('12月'!J4:J34,$B42)+COUNTIF('12月'!N4:N34,$B42)+COUNTIF('12月'!O4:O34,$B42)+COUNTIF('12月'!S4:S34,$B42)+COUNTIF('12月'!T4:T34,$B42)+COUNTIF('12月'!X4:X34,$B42)+COUNTIF('12月'!Y4:Y34,$B42)+COUNTIF('12月'!AC4:AC34,$B42)+COUNTIF('12月'!AD4:AD34,$B42)+COUNTIF('12月'!AH4:AH34,$B42)+COUNTIF('12月'!AI4:AI34,$B42)+COUNTIF('12月'!AM4:AM34,$B42)+COUNTIF('12月'!AN4:AN34,$B42)+COUNTIF('12月'!AR4:AR34,$B42)+COUNTIF('12月'!AS4:AS34,$B42)+COUNTIF('12月'!AW4:AW34,$B42)+COUNTIF('12月'!AX4:AX34,$B42)+COUNTIF('12月'!BB4:BB34,$B42)+COUNTIF('12月'!BC4:BC34,$B42)+COUNTIF('12月'!BG4:BG34,$B42)+COUNTIF('12月'!BH4:BH34,$B42)+COUNTIF('12月'!BL4:BL34,$B42)+COUNTIF('12月'!BM4:BM34,$B42)+COUNTIF('12月'!BQ4:BQ34,$B42)+COUNTIF('12月'!BR4:BR34,$B42)+COUNTIF('12月'!BV4:BV34,$B42)+COUNTIF('12月'!BW4:BW34,$B42)+COUNTIF('12月'!CA4:CA34,$B42)+COUNTIF('12月'!CB4:CB34,$B42)+COUNTIF('12月'!CF4:CF34,$B42)+COUNTIF('12月'!CG4:CG34,$B42)+COUNTIF('12月'!CK4:CK34,$B42)+COUNTIF('12月'!CL4:CL34,$B42)+COUNTIF('12月'!CP4:CP34,$B42)+COUNTIF('12月'!CQ4:CQ34,$B42)+COUNTIF('12月'!CU4:CU34,$B42)+COUNTIF('12月'!CV4:CV34,$B42)+COUNTIF('12月'!CZ4:CZ34,$B42)+COUNTIF('12月'!DA4:DA34,$B42)+COUNTIF('12月'!DE4:DE34,$B42)+COUNTIF('12月'!DF4:DF34,$B42)+COUNTIF('12月'!DJ4:DJ34,$B42)+COUNTIF('12月'!DK4:DK34,$B42)+COUNTIF('12月'!DO4:DO34,$B42)+COUNTIF('12月'!DP4:DP34,$B42)+COUNTIF('12月'!DT4:DT34,$B42)+COUNTIF('12月'!DU4:DU34,$B42)+COUNTIF('12月'!DY4:DY34,$B42)+COUNTIF('12月'!DZ4:DZ34,$B42)+COUNTIF('12月'!ED4:ED34,$B42)+COUNTIF('12月'!EE4:EE34,$B42)+COUNTIF('12月'!EI4:EI34,$B42)+COUNTIF('12月'!EJ4:EJ34,$B42)+COUNTIF('12月'!EN4:EN34,$B42)+COUNTIF('12月'!EO4:EO34,$B42)+COUNTIF('12月'!ES4:ES34,$B42)+COUNTIF('12月'!ET4:ET34,$B42)),0)</f>
        <v>0</v>
      </c>
      <c r="O42" s="78">
        <f t="shared" si="0"/>
        <v>0</v>
      </c>
    </row>
    <row r="43" spans="1:15" ht="24" customHeight="1">
      <c r="A43" s="126"/>
      <c r="B43" s="126"/>
      <c r="C43" s="82">
        <f t="shared" ref="C43:O43" si="1">SUM(C3:C42)</f>
        <v>57</v>
      </c>
      <c r="D43" s="82">
        <f t="shared" si="1"/>
        <v>0</v>
      </c>
      <c r="E43" s="82">
        <f t="shared" si="1"/>
        <v>0</v>
      </c>
      <c r="F43" s="82">
        <f t="shared" si="1"/>
        <v>0</v>
      </c>
      <c r="G43" s="82">
        <f t="shared" si="1"/>
        <v>0</v>
      </c>
      <c r="H43" s="82">
        <f t="shared" si="1"/>
        <v>0</v>
      </c>
      <c r="I43" s="82">
        <f t="shared" si="1"/>
        <v>0</v>
      </c>
      <c r="J43" s="82">
        <f t="shared" si="1"/>
        <v>0</v>
      </c>
      <c r="K43" s="82">
        <f t="shared" si="1"/>
        <v>0</v>
      </c>
      <c r="L43" s="82">
        <f t="shared" si="1"/>
        <v>0</v>
      </c>
      <c r="M43" s="82">
        <f t="shared" si="1"/>
        <v>0</v>
      </c>
      <c r="N43" s="82">
        <f t="shared" si="1"/>
        <v>0</v>
      </c>
      <c r="O43" s="82">
        <f t="shared" si="1"/>
        <v>57</v>
      </c>
    </row>
  </sheetData>
  <mergeCells count="2">
    <mergeCell ref="A1:O1"/>
    <mergeCell ref="A43:B43"/>
  </mergeCells>
  <phoneticPr fontId="43"/>
  <pageMargins left="0.75" right="0.75" top="1" bottom="1" header="0.511811023622047" footer="0.511811023622047"/>
  <pageSetup paperSize="9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F33"/>
  <sheetViews>
    <sheetView zoomScaleNormal="100" workbookViewId="0">
      <selection activeCell="C11" sqref="C11"/>
    </sheetView>
  </sheetViews>
  <sheetFormatPr defaultColWidth="8.7109375" defaultRowHeight="15"/>
  <cols>
    <col min="1" max="1" width="2" customWidth="1"/>
    <col min="2" max="2" width="8" customWidth="1"/>
    <col min="3" max="3" width="22" customWidth="1"/>
    <col min="4" max="4" width="18" customWidth="1"/>
    <col min="5" max="5" width="30" customWidth="1"/>
    <col min="6" max="6" width="14" customWidth="1"/>
  </cols>
  <sheetData>
    <row r="2" spans="2:6" ht="21" customHeight="1">
      <c r="B2" s="105" t="s">
        <v>53</v>
      </c>
      <c r="C2" s="105"/>
      <c r="D2" s="105"/>
      <c r="E2" s="105"/>
      <c r="F2" s="105"/>
    </row>
    <row r="3" spans="2:6" ht="16.5" customHeight="1">
      <c r="B3" s="13" t="s">
        <v>54</v>
      </c>
      <c r="C3" s="14" t="s">
        <v>55</v>
      </c>
      <c r="D3" s="14" t="s">
        <v>56</v>
      </c>
      <c r="E3" s="14" t="s">
        <v>57</v>
      </c>
      <c r="F3" s="14" t="s">
        <v>107</v>
      </c>
    </row>
    <row r="4" spans="2:6" ht="15" customHeight="1">
      <c r="B4" s="15">
        <v>1</v>
      </c>
      <c r="C4" s="16" t="s">
        <v>122</v>
      </c>
      <c r="D4" s="16" t="s">
        <v>58</v>
      </c>
      <c r="E4" s="17"/>
      <c r="F4" s="17" t="s">
        <v>108</v>
      </c>
    </row>
    <row r="5" spans="2:6" ht="15" customHeight="1">
      <c r="B5" s="18">
        <v>2</v>
      </c>
      <c r="C5" s="19" t="s">
        <v>123</v>
      </c>
      <c r="D5" s="19" t="s">
        <v>121</v>
      </c>
      <c r="E5" s="20"/>
      <c r="F5" s="20" t="s">
        <v>108</v>
      </c>
    </row>
    <row r="6" spans="2:6" ht="15" customHeight="1">
      <c r="B6" s="15">
        <v>3</v>
      </c>
      <c r="C6" s="16" t="s">
        <v>124</v>
      </c>
      <c r="D6" s="16"/>
      <c r="E6" s="17"/>
      <c r="F6" s="17" t="s">
        <v>108</v>
      </c>
    </row>
    <row r="7" spans="2:6" ht="15" customHeight="1">
      <c r="B7" s="18">
        <v>4</v>
      </c>
      <c r="C7" s="19" t="s">
        <v>125</v>
      </c>
      <c r="D7" s="19"/>
      <c r="E7" s="20"/>
      <c r="F7" s="20" t="s">
        <v>108</v>
      </c>
    </row>
    <row r="8" spans="2:6" ht="15" customHeight="1">
      <c r="B8" s="15">
        <v>5</v>
      </c>
      <c r="C8" s="16" t="s">
        <v>126</v>
      </c>
      <c r="D8" s="16"/>
      <c r="E8" s="17"/>
      <c r="F8" s="17" t="s">
        <v>108</v>
      </c>
    </row>
    <row r="9" spans="2:6" ht="15" customHeight="1">
      <c r="B9" s="18">
        <v>6</v>
      </c>
      <c r="C9" s="19" t="s">
        <v>127</v>
      </c>
      <c r="D9" s="19"/>
      <c r="E9" s="20"/>
      <c r="F9" s="20" t="s">
        <v>108</v>
      </c>
    </row>
    <row r="10" spans="2:6" ht="15" customHeight="1">
      <c r="B10" s="15">
        <v>7</v>
      </c>
      <c r="C10" s="16" t="s">
        <v>128</v>
      </c>
      <c r="D10" s="16"/>
      <c r="E10" s="17"/>
      <c r="F10" s="128" t="s">
        <v>109</v>
      </c>
    </row>
    <row r="11" spans="2:6" ht="15" customHeight="1">
      <c r="B11" s="18">
        <v>8</v>
      </c>
      <c r="C11" s="19"/>
      <c r="D11" s="19"/>
      <c r="E11" s="20"/>
      <c r="F11" s="20"/>
    </row>
    <row r="12" spans="2:6" ht="15" customHeight="1">
      <c r="B12" s="15">
        <v>9</v>
      </c>
      <c r="C12" s="16"/>
      <c r="D12" s="16"/>
      <c r="E12" s="17"/>
      <c r="F12" s="17"/>
    </row>
    <row r="13" spans="2:6" ht="15" customHeight="1">
      <c r="B13" s="18">
        <v>10</v>
      </c>
      <c r="C13" s="19"/>
      <c r="D13" s="19"/>
      <c r="E13" s="20"/>
      <c r="F13" s="20"/>
    </row>
    <row r="14" spans="2:6" ht="15" customHeight="1">
      <c r="B14" s="15">
        <v>11</v>
      </c>
      <c r="C14" s="16"/>
      <c r="D14" s="16"/>
      <c r="E14" s="17"/>
      <c r="F14" s="17"/>
    </row>
    <row r="15" spans="2:6" ht="15" customHeight="1">
      <c r="B15" s="18">
        <v>12</v>
      </c>
      <c r="C15" s="86"/>
      <c r="D15" s="19"/>
      <c r="E15" s="20"/>
      <c r="F15" s="87"/>
    </row>
    <row r="16" spans="2:6" ht="15" customHeight="1">
      <c r="B16" s="15">
        <v>13</v>
      </c>
      <c r="C16" s="17"/>
      <c r="D16" s="17"/>
      <c r="E16" s="17"/>
      <c r="F16" s="17"/>
    </row>
    <row r="17" spans="2:6" ht="15" customHeight="1">
      <c r="B17" s="18">
        <v>14</v>
      </c>
      <c r="C17" s="20"/>
      <c r="D17" s="20"/>
      <c r="E17" s="20"/>
      <c r="F17" s="20"/>
    </row>
    <row r="18" spans="2:6" ht="15" customHeight="1">
      <c r="B18" s="15">
        <v>15</v>
      </c>
      <c r="C18" s="17"/>
      <c r="D18" s="17"/>
      <c r="E18" s="17"/>
      <c r="F18" s="17"/>
    </row>
    <row r="19" spans="2:6" ht="15" customHeight="1">
      <c r="B19" s="18">
        <v>16</v>
      </c>
      <c r="C19" s="20"/>
      <c r="D19" s="20"/>
      <c r="E19" s="20"/>
      <c r="F19" s="20"/>
    </row>
    <row r="20" spans="2:6" ht="15" customHeight="1">
      <c r="B20" s="15">
        <v>17</v>
      </c>
      <c r="C20" s="17"/>
      <c r="D20" s="17"/>
      <c r="E20" s="17"/>
      <c r="F20" s="17"/>
    </row>
    <row r="21" spans="2:6" ht="15" customHeight="1">
      <c r="B21" s="18">
        <v>18</v>
      </c>
      <c r="C21" s="20"/>
      <c r="D21" s="20"/>
      <c r="E21" s="20"/>
      <c r="F21" s="20"/>
    </row>
    <row r="22" spans="2:6" ht="15" customHeight="1">
      <c r="B22" s="15">
        <v>19</v>
      </c>
      <c r="C22" s="17"/>
      <c r="D22" s="17"/>
      <c r="E22" s="17"/>
      <c r="F22" s="17"/>
    </row>
    <row r="23" spans="2:6" ht="15" customHeight="1">
      <c r="B23" s="18">
        <v>20</v>
      </c>
      <c r="C23" s="20"/>
      <c r="D23" s="20"/>
      <c r="E23" s="20"/>
      <c r="F23" s="20"/>
    </row>
    <row r="24" spans="2:6" ht="15" customHeight="1">
      <c r="B24" s="15">
        <v>21</v>
      </c>
      <c r="C24" s="17"/>
      <c r="D24" s="17"/>
      <c r="E24" s="17"/>
      <c r="F24" s="17"/>
    </row>
    <row r="25" spans="2:6" ht="15" customHeight="1">
      <c r="B25" s="18">
        <v>22</v>
      </c>
      <c r="C25" s="20"/>
      <c r="D25" s="20"/>
      <c r="E25" s="20"/>
      <c r="F25" s="20"/>
    </row>
    <row r="26" spans="2:6" ht="15" customHeight="1">
      <c r="B26" s="15">
        <v>23</v>
      </c>
      <c r="C26" s="17"/>
      <c r="D26" s="17"/>
      <c r="E26" s="17"/>
      <c r="F26" s="17"/>
    </row>
    <row r="27" spans="2:6" ht="15" customHeight="1">
      <c r="B27" s="18">
        <v>24</v>
      </c>
      <c r="C27" s="20"/>
      <c r="D27" s="20"/>
      <c r="E27" s="20"/>
      <c r="F27" s="20"/>
    </row>
    <row r="28" spans="2:6" ht="15" customHeight="1">
      <c r="B28" s="15">
        <v>25</v>
      </c>
      <c r="C28" s="17"/>
      <c r="D28" s="17"/>
      <c r="E28" s="17"/>
      <c r="F28" s="17"/>
    </row>
    <row r="29" spans="2:6" ht="15" customHeight="1">
      <c r="B29" s="18">
        <v>26</v>
      </c>
      <c r="C29" s="20"/>
      <c r="D29" s="20"/>
      <c r="E29" s="20"/>
      <c r="F29" s="20"/>
    </row>
    <row r="30" spans="2:6" ht="15" customHeight="1">
      <c r="B30" s="15">
        <v>27</v>
      </c>
      <c r="C30" s="17"/>
      <c r="D30" s="17"/>
      <c r="E30" s="17"/>
      <c r="F30" s="17"/>
    </row>
    <row r="31" spans="2:6" ht="15" customHeight="1">
      <c r="B31" s="18">
        <v>28</v>
      </c>
      <c r="C31" s="20"/>
      <c r="D31" s="20"/>
      <c r="E31" s="20"/>
      <c r="F31" s="20"/>
    </row>
    <row r="32" spans="2:6" ht="15" customHeight="1">
      <c r="B32" s="15">
        <v>29</v>
      </c>
      <c r="C32" s="17"/>
      <c r="D32" s="17"/>
      <c r="E32" s="17"/>
      <c r="F32" s="17"/>
    </row>
    <row r="33" spans="2:6" ht="15" customHeight="1">
      <c r="B33" s="18">
        <v>30</v>
      </c>
      <c r="C33" s="20"/>
      <c r="D33" s="20"/>
      <c r="E33" s="20"/>
      <c r="F33" s="20"/>
    </row>
  </sheetData>
  <mergeCells count="1">
    <mergeCell ref="B2:F2"/>
  </mergeCells>
  <phoneticPr fontId="43"/>
  <dataValidations count="1">
    <dataValidation type="list" allowBlank="1" showInputMessage="1" showErrorMessage="1" sqref="F4:F33" xr:uid="{00000000-0002-0000-0100-000000000000}">
      <formula1>"在籍,退職"</formula1>
    </dataValidation>
  </dataValidations>
  <pageMargins left="0.75" right="0.75" top="1" bottom="1" header="0.511811023622047" footer="0.511811023622047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D218"/>
  <sheetViews>
    <sheetView tabSelected="1" topLeftCell="A202" zoomScaleNormal="100" workbookViewId="0">
      <selection sqref="A1:D1"/>
    </sheetView>
  </sheetViews>
  <sheetFormatPr defaultColWidth="8.7109375" defaultRowHeight="15"/>
  <cols>
    <col min="1" max="1" width="22" customWidth="1"/>
    <col min="2" max="4" width="14" customWidth="1"/>
  </cols>
  <sheetData>
    <row r="1" spans="1:4" ht="30" customHeight="1">
      <c r="A1" s="122" t="str">
        <f>対象年度&amp;"年 月別現場集計"</f>
        <v>2026年 月別現場集計</v>
      </c>
      <c r="B1" s="122"/>
      <c r="C1" s="122"/>
      <c r="D1" s="122"/>
    </row>
    <row r="2" spans="1:4" ht="9.9499999999999993" customHeight="1"/>
    <row r="3" spans="1:4" ht="21.95" customHeight="1">
      <c r="A3" s="112" t="str">
        <f>対象年度&amp;"年 1月"</f>
        <v>2026年 1月</v>
      </c>
      <c r="B3" s="112"/>
      <c r="C3" s="112"/>
      <c r="D3" s="112"/>
    </row>
    <row r="4" spans="1:4" ht="20.100000000000001" customHeight="1">
      <c r="A4" s="60" t="s">
        <v>60</v>
      </c>
      <c r="B4" s="75" t="s">
        <v>110</v>
      </c>
      <c r="C4" s="75" t="s">
        <v>111</v>
      </c>
      <c r="D4" s="65" t="s">
        <v>112</v>
      </c>
    </row>
    <row r="5" spans="1:4" ht="18.95" customHeight="1">
      <c r="A5" s="77" t="str">
        <f>IFERROR(現場マスタ!$C$4,"")</f>
        <v>新宿</v>
      </c>
      <c r="B5" s="76">
        <f>IF($A$5="",0,COUNTIF('1月'!D4:D34,$A$5)+COUNTIF('1月'!I4:I34,$A$5)+COUNTIF('1月'!N4:N34,$A$5)+COUNTIF('1月'!S4:S34,$A$5)+COUNTIF('1月'!X4:X34,$A$5)+COUNTIF('1月'!AC4:AC34,$A$5)+COUNTIF('1月'!AH4:AH34,$A$5)+COUNTIF('1月'!AM4:AM34,$A$5)+COUNTIF('1月'!AR4:AR34,$A$5)+COUNTIF('1月'!AW4:AW34,$A$5)+COUNTIF('1月'!BB4:BB34,$A$5)+COUNTIF('1月'!BG4:BG34,$A$5)+COUNTIF('1月'!BL4:BL34,$A$5)+COUNTIF('1月'!BQ4:BQ34,$A$5)+COUNTIF('1月'!BV4:BV34,$A$5)+COUNTIF('1月'!CA4:CA34,$A$5)+COUNTIF('1月'!CF4:CF34,$A$5)+COUNTIF('1月'!CK4:CK34,$A$5)+COUNTIF('1月'!CP4:CP34,$A$5)+COUNTIF('1月'!CU4:CU34,$A$5)+COUNTIF('1月'!CZ4:CZ34,$A$5)+COUNTIF('1月'!DE4:DE34,$A$5)+COUNTIF('1月'!DJ4:DJ34,$A$5)+COUNTIF('1月'!DO4:DO34,$A$5)+COUNTIF('1月'!DT4:DT34,$A$5)+COUNTIF('1月'!DY4:DY34,$A$5)+COUNTIF('1月'!ED4:ED34,$A$5)+COUNTIF('1月'!EI4:EI34,$A$5)+COUNTIF('1月'!EN4:EN34,$A$5)+COUNTIF('1月'!ES4:ES34,$A$5))</f>
        <v>48</v>
      </c>
      <c r="C5" s="76">
        <f>IF($A$5="",0,COUNTIF('1月'!E4:E34,$A$5)+COUNTIF('1月'!J4:J34,$A$5)+COUNTIF('1月'!O4:O34,$A$5)+COUNTIF('1月'!T4:T34,$A$5)+COUNTIF('1月'!Y4:Y34,$A$5)+COUNTIF('1月'!AD4:AD34,$A$5)+COUNTIF('1月'!AI4:AI34,$A$5)+COUNTIF('1月'!AN4:AN34,$A$5)+COUNTIF('1月'!AS4:AS34,$A$5)+COUNTIF('1月'!AX4:AX34,$A$5)+COUNTIF('1月'!BC4:BC34,$A$5)+COUNTIF('1月'!BH4:BH34,$A$5)+COUNTIF('1月'!BM4:BM34,$A$5)+COUNTIF('1月'!BR4:BR34,$A$5)+COUNTIF('1月'!BW4:BW34,$A$5)+COUNTIF('1月'!CB4:CB34,$A$5)+COUNTIF('1月'!CG4:CG34,$A$5)+COUNTIF('1月'!CL4:CL34,$A$5)+COUNTIF('1月'!CQ4:CQ34,$A$5)+COUNTIF('1月'!CV4:CV34,$A$5)+COUNTIF('1月'!DA4:DA34,$A$5)+COUNTIF('1月'!DF4:DF34,$A$5)+COUNTIF('1月'!DK4:DK34,$A$5)+COUNTIF('1月'!DP4:DP34,$A$5)+COUNTIF('1月'!DU4:DU34,$A$5)+COUNTIF('1月'!DZ4:DZ34,$A$5)+COUNTIF('1月'!EE4:EE34,$A$5)+COUNTIF('1月'!EJ4:EJ34,$A$5)+COUNTIF('1月'!EO4:EO34,$A$5)+COUNTIF('1月'!ET4:ET34,$A$5))</f>
        <v>0</v>
      </c>
      <c r="D5" s="65">
        <f>IF($A$5="",0,B5+C5)</f>
        <v>48</v>
      </c>
    </row>
    <row r="6" spans="1:4" ht="18.95" customHeight="1">
      <c r="A6" s="77" t="str">
        <f>IFERROR(現場マスタ!$C$5,"")</f>
        <v>赤坂</v>
      </c>
      <c r="B6" s="76">
        <f>IF($A$6="",0,COUNTIF('1月'!D4:D34,$A$6)+COUNTIF('1月'!I4:I34,$A$6)+COUNTIF('1月'!N4:N34,$A$6)+COUNTIF('1月'!S4:S34,$A$6)+COUNTIF('1月'!X4:X34,$A$6)+COUNTIF('1月'!AC4:AC34,$A$6)+COUNTIF('1月'!AH4:AH34,$A$6)+COUNTIF('1月'!AM4:AM34,$A$6)+COUNTIF('1月'!AR4:AR34,$A$6)+COUNTIF('1月'!AW4:AW34,$A$6)+COUNTIF('1月'!BB4:BB34,$A$6)+COUNTIF('1月'!BG4:BG34,$A$6)+COUNTIF('1月'!BL4:BL34,$A$6)+COUNTIF('1月'!BQ4:BQ34,$A$6)+COUNTIF('1月'!BV4:BV34,$A$6)+COUNTIF('1月'!CA4:CA34,$A$6)+COUNTIF('1月'!CF4:CF34,$A$6)+COUNTIF('1月'!CK4:CK34,$A$6)+COUNTIF('1月'!CP4:CP34,$A$6)+COUNTIF('1月'!CU4:CU34,$A$6)+COUNTIF('1月'!CZ4:CZ34,$A$6)+COUNTIF('1月'!DE4:DE34,$A$6)+COUNTIF('1月'!DJ4:DJ34,$A$6)+COUNTIF('1月'!DO4:DO34,$A$6)+COUNTIF('1月'!DT4:DT34,$A$6)+COUNTIF('1月'!DY4:DY34,$A$6)+COUNTIF('1月'!ED4:ED34,$A$6)+COUNTIF('1月'!EI4:EI34,$A$6)+COUNTIF('1月'!EN4:EN34,$A$6)+COUNTIF('1月'!ES4:ES34,$A$6))</f>
        <v>0</v>
      </c>
      <c r="C6" s="76">
        <f>IF($A$6="",0,COUNTIF('1月'!E4:E34,$A$6)+COUNTIF('1月'!J4:J34,$A$6)+COUNTIF('1月'!O4:O34,$A$6)+COUNTIF('1月'!T4:T34,$A$6)+COUNTIF('1月'!Y4:Y34,$A$6)+COUNTIF('1月'!AD4:AD34,$A$6)+COUNTIF('1月'!AI4:AI34,$A$6)+COUNTIF('1月'!AN4:AN34,$A$6)+COUNTIF('1月'!AS4:AS34,$A$6)+COUNTIF('1月'!AX4:AX34,$A$6)+COUNTIF('1月'!BC4:BC34,$A$6)+COUNTIF('1月'!BH4:BH34,$A$6)+COUNTIF('1月'!BM4:BM34,$A$6)+COUNTIF('1月'!BR4:BR34,$A$6)+COUNTIF('1月'!BW4:BW34,$A$6)+COUNTIF('1月'!CB4:CB34,$A$6)+COUNTIF('1月'!CG4:CG34,$A$6)+COUNTIF('1月'!CL4:CL34,$A$6)+COUNTIF('1月'!CQ4:CQ34,$A$6)+COUNTIF('1月'!CV4:CV34,$A$6)+COUNTIF('1月'!DA4:DA34,$A$6)+COUNTIF('1月'!DF4:DF34,$A$6)+COUNTIF('1月'!DK4:DK34,$A$6)+COUNTIF('1月'!DP4:DP34,$A$6)+COUNTIF('1月'!DU4:DU34,$A$6)+COUNTIF('1月'!DZ4:DZ34,$A$6)+COUNTIF('1月'!EE4:EE34,$A$6)+COUNTIF('1月'!EJ4:EJ34,$A$6)+COUNTIF('1月'!EO4:EO34,$A$6)+COUNTIF('1月'!ET4:ET34,$A$6))</f>
        <v>0</v>
      </c>
      <c r="D6" s="65">
        <f>IF($A$6="",0,B6+C6)</f>
        <v>0</v>
      </c>
    </row>
    <row r="7" spans="1:4" ht="18.95" customHeight="1">
      <c r="A7" s="77" t="str">
        <f>IFERROR(現場マスタ!$C$6,"")</f>
        <v>渋谷ヒカリエ</v>
      </c>
      <c r="B7" s="76">
        <f>IF($A$7="",0,COUNTIF('1月'!D4:D34,$A$7)+COUNTIF('1月'!I4:I34,$A$7)+COUNTIF('1月'!N4:N34,$A$7)+COUNTIF('1月'!S4:S34,$A$7)+COUNTIF('1月'!X4:X34,$A$7)+COUNTIF('1月'!AC4:AC34,$A$7)+COUNTIF('1月'!AH4:AH34,$A$7)+COUNTIF('1月'!AM4:AM34,$A$7)+COUNTIF('1月'!AR4:AR34,$A$7)+COUNTIF('1月'!AW4:AW34,$A$7)+COUNTIF('1月'!BB4:BB34,$A$7)+COUNTIF('1月'!BG4:BG34,$A$7)+COUNTIF('1月'!BL4:BL34,$A$7)+COUNTIF('1月'!BQ4:BQ34,$A$7)+COUNTIF('1月'!BV4:BV34,$A$7)+COUNTIF('1月'!CA4:CA34,$A$7)+COUNTIF('1月'!CF4:CF34,$A$7)+COUNTIF('1月'!CK4:CK34,$A$7)+COUNTIF('1月'!CP4:CP34,$A$7)+COUNTIF('1月'!CU4:CU34,$A$7)+COUNTIF('1月'!CZ4:CZ34,$A$7)+COUNTIF('1月'!DE4:DE34,$A$7)+COUNTIF('1月'!DJ4:DJ34,$A$7)+COUNTIF('1月'!DO4:DO34,$A$7)+COUNTIF('1月'!DT4:DT34,$A$7)+COUNTIF('1月'!DY4:DY34,$A$7)+COUNTIF('1月'!ED4:ED34,$A$7)+COUNTIF('1月'!EI4:EI34,$A$7)+COUNTIF('1月'!EN4:EN34,$A$7)+COUNTIF('1月'!ES4:ES34,$A$7))</f>
        <v>0</v>
      </c>
      <c r="C7" s="76">
        <f>IF($A$7="",0,COUNTIF('1月'!E4:E34,$A$7)+COUNTIF('1月'!J4:J34,$A$7)+COUNTIF('1月'!O4:O34,$A$7)+COUNTIF('1月'!T4:T34,$A$7)+COUNTIF('1月'!Y4:Y34,$A$7)+COUNTIF('1月'!AD4:AD34,$A$7)+COUNTIF('1月'!AI4:AI34,$A$7)+COUNTIF('1月'!AN4:AN34,$A$7)+COUNTIF('1月'!AS4:AS34,$A$7)+COUNTIF('1月'!AX4:AX34,$A$7)+COUNTIF('1月'!BC4:BC34,$A$7)+COUNTIF('1月'!BH4:BH34,$A$7)+COUNTIF('1月'!BM4:BM34,$A$7)+COUNTIF('1月'!BR4:BR34,$A$7)+COUNTIF('1月'!BW4:BW34,$A$7)+COUNTIF('1月'!CB4:CB34,$A$7)+COUNTIF('1月'!CG4:CG34,$A$7)+COUNTIF('1月'!CL4:CL34,$A$7)+COUNTIF('1月'!CQ4:CQ34,$A$7)+COUNTIF('1月'!CV4:CV34,$A$7)+COUNTIF('1月'!DA4:DA34,$A$7)+COUNTIF('1月'!DF4:DF34,$A$7)+COUNTIF('1月'!DK4:DK34,$A$7)+COUNTIF('1月'!DP4:DP34,$A$7)+COUNTIF('1月'!DU4:DU34,$A$7)+COUNTIF('1月'!DZ4:DZ34,$A$7)+COUNTIF('1月'!EE4:EE34,$A$7)+COUNTIF('1月'!EJ4:EJ34,$A$7)+COUNTIF('1月'!EO4:EO34,$A$7)+COUNTIF('1月'!ET4:ET34,$A$7))</f>
        <v>0</v>
      </c>
      <c r="D7" s="65">
        <f>IF($A$7="",0,B7+C7)</f>
        <v>0</v>
      </c>
    </row>
    <row r="8" spans="1:4" ht="18.95" customHeight="1">
      <c r="A8" s="77" t="str">
        <f>IFERROR(現場マスタ!$C$7,"")</f>
        <v>六本木ヒルズ</v>
      </c>
      <c r="B8" s="76">
        <f>IF($A$8="",0,COUNTIF('1月'!D4:D34,$A$8)+COUNTIF('1月'!I4:I34,$A$8)+COUNTIF('1月'!N4:N34,$A$8)+COUNTIF('1月'!S4:S34,$A$8)+COUNTIF('1月'!X4:X34,$A$8)+COUNTIF('1月'!AC4:AC34,$A$8)+COUNTIF('1月'!AH4:AH34,$A$8)+COUNTIF('1月'!AM4:AM34,$A$8)+COUNTIF('1月'!AR4:AR34,$A$8)+COUNTIF('1月'!AW4:AW34,$A$8)+COUNTIF('1月'!BB4:BB34,$A$8)+COUNTIF('1月'!BG4:BG34,$A$8)+COUNTIF('1月'!BL4:BL34,$A$8)+COUNTIF('1月'!BQ4:BQ34,$A$8)+COUNTIF('1月'!BV4:BV34,$A$8)+COUNTIF('1月'!CA4:CA34,$A$8)+COUNTIF('1月'!CF4:CF34,$A$8)+COUNTIF('1月'!CK4:CK34,$A$8)+COUNTIF('1月'!CP4:CP34,$A$8)+COUNTIF('1月'!CU4:CU34,$A$8)+COUNTIF('1月'!CZ4:CZ34,$A$8)+COUNTIF('1月'!DE4:DE34,$A$8)+COUNTIF('1月'!DJ4:DJ34,$A$8)+COUNTIF('1月'!DO4:DO34,$A$8)+COUNTIF('1月'!DT4:DT34,$A$8)+COUNTIF('1月'!DY4:DY34,$A$8)+COUNTIF('1月'!ED4:ED34,$A$8)+COUNTIF('1月'!EI4:EI34,$A$8)+COUNTIF('1月'!EN4:EN34,$A$8)+COUNTIF('1月'!ES4:ES34,$A$8)+COUNTIF('1月'!D4:D34,"渋谷-夜勤")+COUNTIF('1月'!I4:I34,"渋谷-夜勤")+COUNTIF('1月'!N4:N34,"渋谷-夜勤")+COUNTIF('1月'!S4:S34,"渋谷-夜勤")+COUNTIF('1月'!X4:X34,"渋谷-夜勤")+COUNTIF('1月'!AC4:AC34,"渋谷-夜勤")+COUNTIF('1月'!AH4:AH34,"渋谷-夜勤")+COUNTIF('1月'!AM4:AM34,"渋谷-夜勤")+COUNTIF('1月'!AR4:AR34,"渋谷-夜勤")+COUNTIF('1月'!AW4:AW34,"渋谷-夜勤")+COUNTIF('1月'!BB4:BB34,"渋谷-夜勤")+COUNTIF('1月'!BG4:BG34,"渋谷-夜勤")+COUNTIF('1月'!BL4:BL34,"渋谷-夜勤")+COUNTIF('1月'!BQ4:BQ34,"渋谷-夜勤")+COUNTIF('1月'!BV4:BV34,"渋谷-夜勤")+COUNTIF('1月'!CA4:CA34,"渋谷-夜勤")+COUNTIF('1月'!CF4:CF34,"渋谷-夜勤")+COUNTIF('1月'!CK4:CK34,"渋谷-夜勤")+COUNTIF('1月'!CP4:CP34,"渋谷-夜勤")+COUNTIF('1月'!CU4:CU34,"渋谷-夜勤")+COUNTIF('1月'!CZ4:CZ34,"渋谷-夜勤")+COUNTIF('1月'!DE4:DE34,"渋谷-夜勤")+COUNTIF('1月'!DJ4:DJ34,"渋谷-夜勤")+COUNTIF('1月'!DO4:DO34,"渋谷-夜勤")+COUNTIF('1月'!DT4:DT34,"渋谷-夜勤")+COUNTIF('1月'!DY4:DY34,"渋谷-夜勤")+COUNTIF('1月'!ED4:ED34,"渋谷-夜勤")+COUNTIF('1月'!EI4:EI34,"渋谷-夜勤")+COUNTIF('1月'!EN4:EN34,"渋谷-夜勤")+COUNTIF('1月'!ES4:ES34,"渋谷-夜勤"))</f>
        <v>0</v>
      </c>
      <c r="C8" s="76">
        <f>IF($A$8="",0,COUNTIF('1月'!E4:E34,$A$8)+COUNTIF('1月'!J4:J34,$A$8)+COUNTIF('1月'!O4:O34,$A$8)+COUNTIF('1月'!T4:T34,$A$8)+COUNTIF('1月'!Y4:Y34,$A$8)+COUNTIF('1月'!AD4:AD34,$A$8)+COUNTIF('1月'!AI4:AI34,$A$8)+COUNTIF('1月'!AN4:AN34,$A$8)+COUNTIF('1月'!AS4:AS34,$A$8)+COUNTIF('1月'!AX4:AX34,$A$8)+COUNTIF('1月'!BC4:BC34,$A$8)+COUNTIF('1月'!BH4:BH34,$A$8)+COUNTIF('1月'!BM4:BM34,$A$8)+COUNTIF('1月'!BR4:BR34,$A$8)+COUNTIF('1月'!BW4:BW34,$A$8)+COUNTIF('1月'!CB4:CB34,$A$8)+COUNTIF('1月'!CG4:CG34,$A$8)+COUNTIF('1月'!CL4:CL34,$A$8)+COUNTIF('1月'!CQ4:CQ34,$A$8)+COUNTIF('1月'!CV4:CV34,$A$8)+COUNTIF('1月'!DA4:DA34,$A$8)+COUNTIF('1月'!DF4:DF34,$A$8)+COUNTIF('1月'!DK4:DK34,$A$8)+COUNTIF('1月'!DP4:DP34,$A$8)+COUNTIF('1月'!DU4:DU34,$A$8)+COUNTIF('1月'!DZ4:DZ34,$A$8)+COUNTIF('1月'!EE4:EE34,$A$8)+COUNTIF('1月'!EJ4:EJ34,$A$8)+COUNTIF('1月'!EO4:EO34,$A$8)+COUNTIF('1月'!ET4:ET34,$A$8)+COUNTIF('1月'!E4:E34,"渋谷-夜勤")+COUNTIF('1月'!J4:J34,"渋谷-夜勤")+COUNTIF('1月'!O4:O34,"渋谷-夜勤")+COUNTIF('1月'!T4:T34,"渋谷-夜勤")+COUNTIF('1月'!Y4:Y34,"渋谷-夜勤")+COUNTIF('1月'!AD4:AD34,"渋谷-夜勤")+COUNTIF('1月'!AI4:AI34,"渋谷-夜勤")+COUNTIF('1月'!AN4:AN34,"渋谷-夜勤")+COUNTIF('1月'!AS4:AS34,"渋谷-夜勤")+COUNTIF('1月'!AX4:AX34,"渋谷-夜勤")+COUNTIF('1月'!BC4:BC34,"渋谷-夜勤")+COUNTIF('1月'!BH4:BH34,"渋谷-夜勤")+COUNTIF('1月'!BM4:BM34,"渋谷-夜勤")+COUNTIF('1月'!BR4:BR34,"渋谷-夜勤")+COUNTIF('1月'!BW4:BW34,"渋谷-夜勤")+COUNTIF('1月'!CB4:CB34,"渋谷-夜勤")+COUNTIF('1月'!CG4:CG34,"渋谷-夜勤")+COUNTIF('1月'!CL4:CL34,"渋谷-夜勤")+COUNTIF('1月'!CQ4:CQ34,"渋谷-夜勤")+COUNTIF('1月'!CV4:CV34,"渋谷-夜勤")+COUNTIF('1月'!DA4:DA34,"渋谷-夜勤")+COUNTIF('1月'!DF4:DF34,"渋谷-夜勤")+COUNTIF('1月'!DK4:DK34,"渋谷-夜勤")+COUNTIF('1月'!DP4:DP34,"渋谷-夜勤")+COUNTIF('1月'!DU4:DU34,"渋谷-夜勤")+COUNTIF('1月'!DZ4:DZ34,"渋谷-夜勤")+COUNTIF('1月'!EE4:EE34,"渋谷-夜勤")+COUNTIF('1月'!EJ4:EJ34,"渋谷-夜勤")+COUNTIF('1月'!EO4:EO34,"渋谷-夜勤")+COUNTIF('1月'!ET4:ET34,"渋谷-夜勤"))</f>
        <v>0</v>
      </c>
      <c r="D8" s="65">
        <f>IF($A$8="",0,B8+C8)</f>
        <v>0</v>
      </c>
    </row>
    <row r="9" spans="1:4" ht="18.95" customHeight="1">
      <c r="A9" s="77" t="str">
        <f>IFERROR(現場マスタ!$C$10,"")</f>
        <v>有給</v>
      </c>
      <c r="B9" s="76">
        <f>IF($A$9="",0,COUNTIF('1月'!D4:D34,$A$9)+COUNTIF('1月'!I4:I34,$A$9)+COUNTIF('1月'!N4:N34,$A$9)+COUNTIF('1月'!S4:S34,$A$9)+COUNTIF('1月'!X4:X34,$A$9)+COUNTIF('1月'!AC4:AC34,$A$9)+COUNTIF('1月'!AH4:AH34,$A$9)+COUNTIF('1月'!AM4:AM34,$A$9)+COUNTIF('1月'!AR4:AR34,$A$9)+COUNTIF('1月'!AW4:AW34,$A$9)+COUNTIF('1月'!BB4:BB34,$A$9)+COUNTIF('1月'!BG4:BG34,$A$9)+COUNTIF('1月'!BL4:BL34,$A$9)+COUNTIF('1月'!BQ4:BQ34,$A$9)+COUNTIF('1月'!BV4:BV34,$A$9)+COUNTIF('1月'!CA4:CA34,$A$9)+COUNTIF('1月'!CF4:CF34,$A$9)+COUNTIF('1月'!CK4:CK34,$A$9)+COUNTIF('1月'!CP4:CP34,$A$9)+COUNTIF('1月'!CU4:CU34,$A$9)+COUNTIF('1月'!CZ4:CZ34,$A$9)+COUNTIF('1月'!DE4:DE34,$A$9)+COUNTIF('1月'!DJ4:DJ34,$A$9)+COUNTIF('1月'!DO4:DO34,$A$9)+COUNTIF('1月'!DT4:DT34,$A$9)+COUNTIF('1月'!DY4:DY34,$A$9)+COUNTIF('1月'!ED4:ED34,$A$9)+COUNTIF('1月'!EI4:EI34,$A$9)+COUNTIF('1月'!EN4:EN34,$A$9)+COUNTIF('1月'!ES4:ES34,$A$9)+COUNTIF('1月'!D4:D34,"六本木-夜勤")+COUNTIF('1月'!I4:I34,"六本木-夜勤")+COUNTIF('1月'!N4:N34,"六本木-夜勤")+COUNTIF('1月'!S4:S34,"六本木-夜勤")+COUNTIF('1月'!X4:X34,"六本木-夜勤")+COUNTIF('1月'!AC4:AC34,"六本木-夜勤")+COUNTIF('1月'!AH4:AH34,"六本木-夜勤")+COUNTIF('1月'!AM4:AM34,"六本木-夜勤")+COUNTIF('1月'!AR4:AR34,"六本木-夜勤")+COUNTIF('1月'!AW4:AW34,"六本木-夜勤")+COUNTIF('1月'!BB4:BB34,"六本木-夜勤")+COUNTIF('1月'!BG4:BG34,"六本木-夜勤")+COUNTIF('1月'!BL4:BL34,"六本木-夜勤")+COUNTIF('1月'!BQ4:BQ34,"六本木-夜勤")+COUNTIF('1月'!BV4:BV34,"六本木-夜勤")+COUNTIF('1月'!CA4:CA34,"六本木-夜勤")+COUNTIF('1月'!CF4:CF34,"六本木-夜勤")+COUNTIF('1月'!CK4:CK34,"六本木-夜勤")+COUNTIF('1月'!CP4:CP34,"六本木-夜勤")+COUNTIF('1月'!CU4:CU34,"六本木-夜勤")+COUNTIF('1月'!CZ4:CZ34,"六本木-夜勤")+COUNTIF('1月'!DE4:DE34,"六本木-夜勤")+COUNTIF('1月'!DJ4:DJ34,"六本木-夜勤")+COUNTIF('1月'!DO4:DO34,"六本木-夜勤")+COUNTIF('1月'!DT4:DT34,"六本木-夜勤")+COUNTIF('1月'!DY4:DY34,"六本木-夜勤")+COUNTIF('1月'!ED4:ED34,"六本木-夜勤")+COUNTIF('1月'!EI4:EI34,"六本木-夜勤")+COUNTIF('1月'!EN4:EN34,"六本木-夜勤")+COUNTIF('1月'!ES4:ES34,"六本木-夜勤")+COUNTIF('1月'!D4:D34,"六本木ー夜勤")+COUNTIF('1月'!I4:I34,"六本木ー夜勤")+COUNTIF('1月'!N4:N34,"六本木ー夜勤")+COUNTIF('1月'!S4:S34,"六本木ー夜勤")+COUNTIF('1月'!X4:X34,"六本木ー夜勤")+COUNTIF('1月'!AC4:AC34,"六本木ー夜勤")+COUNTIF('1月'!AH4:AH34,"六本木ー夜勤")+COUNTIF('1月'!AM4:AM34,"六本木ー夜勤")+COUNTIF('1月'!AR4:AR34,"六本木ー夜勤")+COUNTIF('1月'!AW4:AW34,"六本木ー夜勤")+COUNTIF('1月'!BB4:BB34,"六本木ー夜勤")+COUNTIF('1月'!BG4:BG34,"六本木ー夜勤")+COUNTIF('1月'!BL4:BL34,"六本木ー夜勤")+COUNTIF('1月'!BQ4:BQ34,"六本木ー夜勤")+COUNTIF('1月'!BV4:BV34,"六本木ー夜勤")+COUNTIF('1月'!CA4:CA34,"六本木ー夜勤")+COUNTIF('1月'!CF4:CF34,"六本木ー夜勤")+COUNTIF('1月'!CK4:CK34,"六本木ー夜勤")+COUNTIF('1月'!CP4:CP34,"六本木ー夜勤")+COUNTIF('1月'!CU4:CU34,"六本木ー夜勤")+COUNTIF('1月'!CZ4:CZ34,"六本木ー夜勤")+COUNTIF('1月'!DE4:DE34,"六本木ー夜勤")+COUNTIF('1月'!DJ4:DJ34,"六本木ー夜勤")+COUNTIF('1月'!DO4:DO34,"六本木ー夜勤")+COUNTIF('1月'!DT4:DT34,"六本木ー夜勤")+COUNTIF('1月'!DY4:DY34,"六本木ー夜勤")+COUNTIF('1月'!ED4:ED34,"六本木ー夜勤")+COUNTIF('1月'!EI4:EI34,"六本木ー夜勤")+COUNTIF('1月'!EN4:EN34,"六本木ー夜勤")+COUNTIF('1月'!ES4:ES34,"六本木ー夜勤"))</f>
        <v>1</v>
      </c>
      <c r="C9" s="76">
        <f>IF($A$9="",0,COUNTIF('1月'!E4:E34,$A$9)+COUNTIF('1月'!J4:J34,$A$9)+COUNTIF('1月'!O4:O34,$A$9)+COUNTIF('1月'!T4:T34,$A$9)+COUNTIF('1月'!Y4:Y34,$A$9)+COUNTIF('1月'!AD4:AD34,$A$9)+COUNTIF('1月'!AI4:AI34,$A$9)+COUNTIF('1月'!AN4:AN34,$A$9)+COUNTIF('1月'!AS4:AS34,$A$9)+COUNTIF('1月'!AX4:AX34,$A$9)+COUNTIF('1月'!BC4:BC34,$A$9)+COUNTIF('1月'!BH4:BH34,$A$9)+COUNTIF('1月'!BM4:BM34,$A$9)+COUNTIF('1月'!BR4:BR34,$A$9)+COUNTIF('1月'!BW4:BW34,$A$9)+COUNTIF('1月'!CB4:CB34,$A$9)+COUNTIF('1月'!CG4:CG34,$A$9)+COUNTIF('1月'!CL4:CL34,$A$9)+COUNTIF('1月'!CQ4:CQ34,$A$9)+COUNTIF('1月'!CV4:CV34,$A$9)+COUNTIF('1月'!DA4:DA34,$A$9)+COUNTIF('1月'!DF4:DF34,$A$9)+COUNTIF('1月'!DK4:DK34,$A$9)+COUNTIF('1月'!DP4:DP34,$A$9)+COUNTIF('1月'!DU4:DU34,$A$9)+COUNTIF('1月'!DZ4:DZ34,$A$9)+COUNTIF('1月'!EE4:EE34,$A$9)+COUNTIF('1月'!EJ4:EJ34,$A$9)+COUNTIF('1月'!EO4:EO34,$A$9)+COUNTIF('1月'!ET4:ET34,$A$9)+COUNTIF('1月'!E4:E34,"六本木-夜勤")+COUNTIF('1月'!J4:J34,"六本木-夜勤")+COUNTIF('1月'!O4:O34,"六本木-夜勤")+COUNTIF('1月'!T4:T34,"六本木-夜勤")+COUNTIF('1月'!Y4:Y34,"六本木-夜勤")+COUNTIF('1月'!AD4:AD34,"六本木-夜勤")+COUNTIF('1月'!AI4:AI34,"六本木-夜勤")+COUNTIF('1月'!AN4:AN34,"六本木-夜勤")+COUNTIF('1月'!AS4:AS34,"六本木-夜勤")+COUNTIF('1月'!AX4:AX34,"六本木-夜勤")+COUNTIF('1月'!BC4:BC34,"六本木-夜勤")+COUNTIF('1月'!BH4:BH34,"六本木-夜勤")+COUNTIF('1月'!BM4:BM34,"六本木-夜勤")+COUNTIF('1月'!BR4:BR34,"六本木-夜勤")+COUNTIF('1月'!BW4:BW34,"六本木-夜勤")+COUNTIF('1月'!CB4:CB34,"六本木-夜勤")+COUNTIF('1月'!CG4:CG34,"六本木-夜勤")+COUNTIF('1月'!CL4:CL34,"六本木-夜勤")+COUNTIF('1月'!CQ4:CQ34,"六本木-夜勤")+COUNTIF('1月'!CV4:CV34,"六本木-夜勤")+COUNTIF('1月'!DA4:DA34,"六本木-夜勤")+COUNTIF('1月'!DF4:DF34,"六本木-夜勤")+COUNTIF('1月'!DK4:DK34,"六本木-夜勤")+COUNTIF('1月'!DP4:DP34,"六本木-夜勤")+COUNTIF('1月'!DU4:DU34,"六本木-夜勤")+COUNTIF('1月'!DZ4:DZ34,"六本木-夜勤")+COUNTIF('1月'!EE4:EE34,"六本木-夜勤")+COUNTIF('1月'!EJ4:EJ34,"六本木-夜勤")+COUNTIF('1月'!EO4:EO34,"六本木-夜勤")+COUNTIF('1月'!ET4:ET34,"六本木-夜勤")+COUNTIF('1月'!E4:E34,"六本木ー夜勤")+COUNTIF('1月'!J4:J34,"六本木ー夜勤")+COUNTIF('1月'!O4:O34,"六本木ー夜勤")+COUNTIF('1月'!T4:T34,"六本木ー夜勤")+COUNTIF('1月'!Y4:Y34,"六本木ー夜勤")+COUNTIF('1月'!AD4:AD34,"六本木ー夜勤")+COUNTIF('1月'!AI4:AI34,"六本木ー夜勤")+COUNTIF('1月'!AN4:AN34,"六本木ー夜勤")+COUNTIF('1月'!AS4:AS34,"六本木ー夜勤")+COUNTIF('1月'!AX4:AX34,"六本木ー夜勤")+COUNTIF('1月'!BC4:BC34,"六本木ー夜勤")+COUNTIF('1月'!BH4:BH34,"六本木ー夜勤")+COUNTIF('1月'!BM4:BM34,"六本木ー夜勤")+COUNTIF('1月'!BR4:BR34,"六本木ー夜勤")+COUNTIF('1月'!BW4:BW34,"六本木ー夜勤")+COUNTIF('1月'!CB4:CB34,"六本木ー夜勤")+COUNTIF('1月'!CG4:CG34,"六本木ー夜勤")+COUNTIF('1月'!CL4:CL34,"六本木ー夜勤")+COUNTIF('1月'!CQ4:CQ34,"六本木ー夜勤")+COUNTIF('1月'!CV4:CV34,"六本木ー夜勤")+COUNTIF('1月'!DA4:DA34,"六本木ー夜勤")+COUNTIF('1月'!DF4:DF34,"六本木ー夜勤")+COUNTIF('1月'!DK4:DK34,"六本木ー夜勤")+COUNTIF('1月'!DP4:DP34,"六本木ー夜勤")+COUNTIF('1月'!DU4:DU34,"六本木ー夜勤")+COUNTIF('1月'!DZ4:DZ34,"六本木ー夜勤")+COUNTIF('1月'!EE4:EE34,"六本木ー夜勤")+COUNTIF('1月'!EJ4:EJ34,"六本木ー夜勤")+COUNTIF('1月'!EO4:EO34,"六本木ー夜勤")+COUNTIF('1月'!ET4:ET34,"六本木ー夜勤"))</f>
        <v>0</v>
      </c>
      <c r="D9" s="65">
        <f>IF($A$9="",0,B9+C9)</f>
        <v>1</v>
      </c>
    </row>
    <row r="10" spans="1:4" ht="18.95" customHeight="1">
      <c r="A10" s="77">
        <f>IFERROR(現場マスタ!$C$11,"")</f>
        <v>0</v>
      </c>
      <c r="B10" s="76">
        <v>0</v>
      </c>
      <c r="C10" s="76">
        <v>0</v>
      </c>
      <c r="D10" s="65">
        <v>0</v>
      </c>
    </row>
    <row r="11" spans="1:4" ht="18.95" customHeight="1">
      <c r="A11" s="77">
        <f>IFERROR(現場マスタ!$C$12,"")</f>
        <v>0</v>
      </c>
      <c r="B11" s="76">
        <f>IF($A$11="",0,COUNTIF('1月'!D4:D34,$A$11)+COUNTIF('1月'!I4:I34,$A$11)+COUNTIF('1月'!N4:N34,$A$11)+COUNTIF('1月'!S4:S34,$A$11)+COUNTIF('1月'!X4:X34,$A$11)+COUNTIF('1月'!AC4:AC34,$A$11)+COUNTIF('1月'!AH4:AH34,$A$11)+COUNTIF('1月'!AM4:AM34,$A$11)+COUNTIF('1月'!AR4:AR34,$A$11)+COUNTIF('1月'!AW4:AW34,$A$11)+COUNTIF('1月'!BB4:BB34,$A$11)+COUNTIF('1月'!BG4:BG34,$A$11)+COUNTIF('1月'!BL4:BL34,$A$11)+COUNTIF('1月'!BQ4:BQ34,$A$11)+COUNTIF('1月'!BV4:BV34,$A$11)+COUNTIF('1月'!CA4:CA34,$A$11)+COUNTIF('1月'!CF4:CF34,$A$11)+COUNTIF('1月'!CK4:CK34,$A$11)+COUNTIF('1月'!CP4:CP34,$A$11)+COUNTIF('1月'!CU4:CU34,$A$11)+COUNTIF('1月'!CZ4:CZ34,$A$11)+COUNTIF('1月'!DE4:DE34,$A$11)+COUNTIF('1月'!DJ4:DJ34,$A$11)+COUNTIF('1月'!DO4:DO34,$A$11)+COUNTIF('1月'!DT4:DT34,$A$11)+COUNTIF('1月'!DY4:DY34,$A$11)+COUNTIF('1月'!ED4:ED34,$A$11)+COUNTIF('1月'!EI4:EI34,$A$11)+COUNTIF('1月'!EN4:EN34,$A$11)+COUNTIF('1月'!ES4:ES34,$A$11))</f>
        <v>0</v>
      </c>
      <c r="C11" s="76">
        <f>IF($A$11="",0,COUNTIF('1月'!E4:E34,$A$11)+COUNTIF('1月'!J4:J34,$A$11)+COUNTIF('1月'!O4:O34,$A$11)+COUNTIF('1月'!T4:T34,$A$11)+COUNTIF('1月'!Y4:Y34,$A$11)+COUNTIF('1月'!AD4:AD34,$A$11)+COUNTIF('1月'!AI4:AI34,$A$11)+COUNTIF('1月'!AN4:AN34,$A$11)+COUNTIF('1月'!AS4:AS34,$A$11)+COUNTIF('1月'!AX4:AX34,$A$11)+COUNTIF('1月'!BC4:BC34,$A$11)+COUNTIF('1月'!BH4:BH34,$A$11)+COUNTIF('1月'!BM4:BM34,$A$11)+COUNTIF('1月'!BR4:BR34,$A$11)+COUNTIF('1月'!BW4:BW34,$A$11)+COUNTIF('1月'!CB4:CB34,$A$11)+COUNTIF('1月'!CG4:CG34,$A$11)+COUNTIF('1月'!CL4:CL34,$A$11)+COUNTIF('1月'!CQ4:CQ34,$A$11)+COUNTIF('1月'!CV4:CV34,$A$11)+COUNTIF('1月'!DA4:DA34,$A$11)+COUNTIF('1月'!DF4:DF34,$A$11)+COUNTIF('1月'!DK4:DK34,$A$11)+COUNTIF('1月'!DP4:DP34,$A$11)+COUNTIF('1月'!DU4:DU34,$A$11)+COUNTIF('1月'!DZ4:DZ34,$A$11)+COUNTIF('1月'!EE4:EE34,$A$11)+COUNTIF('1月'!EJ4:EJ34,$A$11)+COUNTIF('1月'!EO4:EO34,$A$11)+COUNTIF('1月'!ET4:ET34,$A$11))</f>
        <v>0</v>
      </c>
      <c r="D11" s="65">
        <f>IF($A$11="",0,B11+C11)</f>
        <v>0</v>
      </c>
    </row>
    <row r="12" spans="1:4" ht="18.95" customHeight="1">
      <c r="A12" s="77">
        <f>IFERROR(現場マスタ!$C$14,"")</f>
        <v>0</v>
      </c>
      <c r="B12" s="76">
        <v>0</v>
      </c>
      <c r="C12" s="76">
        <v>0</v>
      </c>
      <c r="D12" s="65">
        <v>0</v>
      </c>
    </row>
    <row r="13" spans="1:4" ht="18.95" customHeight="1">
      <c r="A13" s="77">
        <f>IFERROR(現場マスタ!$C$15,"")</f>
        <v>0</v>
      </c>
      <c r="B13" s="76">
        <v>0</v>
      </c>
      <c r="C13" s="76">
        <v>0</v>
      </c>
      <c r="D13" s="65">
        <v>0</v>
      </c>
    </row>
    <row r="14" spans="1:4" ht="18.95" customHeight="1">
      <c r="A14" s="77">
        <f>IFERROR(現場マスタ!$C$16,"")</f>
        <v>0</v>
      </c>
      <c r="B14" s="76">
        <f>IF($A$14="",0,COUNTIF('1月'!D4:D34,$A$14)+COUNTIF('1月'!I4:I34,$A$14)+COUNTIF('1月'!N4:N34,$A$14)+COUNTIF('1月'!S4:S34,$A$14)+COUNTIF('1月'!X4:X34,$A$14)+COUNTIF('1月'!AC4:AC34,$A$14)+COUNTIF('1月'!AH4:AH34,$A$14)+COUNTIF('1月'!AM4:AM34,$A$14)+COUNTIF('1月'!AR4:AR34,$A$14)+COUNTIF('1月'!AW4:AW34,$A$14)+COUNTIF('1月'!BB4:BB34,$A$14)+COUNTIF('1月'!BG4:BG34,$A$14)+COUNTIF('1月'!BL4:BL34,$A$14)+COUNTIF('1月'!BQ4:BQ34,$A$14)+COUNTIF('1月'!BV4:BV34,$A$14)+COUNTIF('1月'!CA4:CA34,$A$14)+COUNTIF('1月'!CF4:CF34,$A$14)+COUNTIF('1月'!CK4:CK34,$A$14)+COUNTIF('1月'!CP4:CP34,$A$14)+COUNTIF('1月'!CU4:CU34,$A$14)+COUNTIF('1月'!CZ4:CZ34,$A$14)+COUNTIF('1月'!DE4:DE34,$A$14)+COUNTIF('1月'!DJ4:DJ34,$A$14)+COUNTIF('1月'!DO4:DO34,$A$14)+COUNTIF('1月'!DT4:DT34,$A$14)+COUNTIF('1月'!DY4:DY34,$A$14)+COUNTIF('1月'!ED4:ED34,$A$14)+COUNTIF('1月'!EI4:EI34,$A$14)+COUNTIF('1月'!EN4:EN34,$A$14)+COUNTIF('1月'!ES4:ES34,$A$14)+COUNTIF('1月'!D4:D34,"三軒茶屋－夜勤")+COUNTIF('1月'!I4:I34,"三軒茶屋－夜勤")+COUNTIF('1月'!N4:N34,"三軒茶屋－夜勤")+COUNTIF('1月'!S4:S34,"三軒茶屋－夜勤")+COUNTIF('1月'!X4:X34,"三軒茶屋－夜勤")+COUNTIF('1月'!AC4:AC34,"三軒茶屋－夜勤")+COUNTIF('1月'!AH4:AH34,"三軒茶屋－夜勤")+COUNTIF('1月'!AM4:AM34,"三軒茶屋－夜勤")+COUNTIF('1月'!AR4:AR34,"三軒茶屋－夜勤")+COUNTIF('1月'!AW4:AW34,"三軒茶屋－夜勤")+COUNTIF('1月'!BB4:BB34,"三軒茶屋－夜勤")+COUNTIF('1月'!BG4:BG34,"三軒茶屋－夜勤")+COUNTIF('1月'!BL4:BL34,"三軒茶屋－夜勤")+COUNTIF('1月'!BQ4:BQ34,"三軒茶屋－夜勤")+COUNTIF('1月'!BV4:BV34,"三軒茶屋－夜勤")+COUNTIF('1月'!CA4:CA34,"三軒茶屋－夜勤")+COUNTIF('1月'!CF4:CF34,"三軒茶屋－夜勤")+COUNTIF('1月'!CK4:CK34,"三軒茶屋－夜勤")+COUNTIF('1月'!CP4:CP34,"三軒茶屋－夜勤")+COUNTIF('1月'!CU4:CU34,"三軒茶屋－夜勤")+COUNTIF('1月'!CZ4:CZ34,"三軒茶屋－夜勤")+COUNTIF('1月'!DE4:DE34,"三軒茶屋－夜勤")+COUNTIF('1月'!DJ4:DJ34,"三軒茶屋－夜勤")+COUNTIF('1月'!DO4:DO34,"三軒茶屋－夜勤")+COUNTIF('1月'!DT4:DT34,"三軒茶屋－夜勤")+COUNTIF('1月'!DY4:DY34,"三軒茶屋－夜勤")+COUNTIF('1月'!ED4:ED34,"三軒茶屋－夜勤")+COUNTIF('1月'!EI4:EI34,"三軒茶屋－夜勤")+COUNTIF('1月'!EN4:EN34,"三軒茶屋－夜勤")+COUNTIF('1月'!ES4:ES34,"三軒茶屋－夜勤"))</f>
        <v>0</v>
      </c>
      <c r="C14" s="76">
        <f>IF($A$14="",0,COUNTIF('1月'!E4:E34,$A$14)+COUNTIF('1月'!J4:J34,$A$14)+COUNTIF('1月'!O4:O34,$A$14)+COUNTIF('1月'!T4:T34,$A$14)+COUNTIF('1月'!Y4:Y34,$A$14)+COUNTIF('1月'!AD4:AD34,$A$14)+COUNTIF('1月'!AI4:AI34,$A$14)+COUNTIF('1月'!AN4:AN34,$A$14)+COUNTIF('1月'!AS4:AS34,$A$14)+COUNTIF('1月'!AX4:AX34,$A$14)+COUNTIF('1月'!BC4:BC34,$A$14)+COUNTIF('1月'!BH4:BH34,$A$14)+COUNTIF('1月'!BM4:BM34,$A$14)+COUNTIF('1月'!BR4:BR34,$A$14)+COUNTIF('1月'!BW4:BW34,$A$14)+COUNTIF('1月'!CB4:CB34,$A$14)+COUNTIF('1月'!CG4:CG34,$A$14)+COUNTIF('1月'!CL4:CL34,$A$14)+COUNTIF('1月'!CQ4:CQ34,$A$14)+COUNTIF('1月'!CV4:CV34,$A$14)+COUNTIF('1月'!DA4:DA34,$A$14)+COUNTIF('1月'!DF4:DF34,$A$14)+COUNTIF('1月'!DK4:DK34,$A$14)+COUNTIF('1月'!DP4:DP34,$A$14)+COUNTIF('1月'!DU4:DU34,$A$14)+COUNTIF('1月'!DZ4:DZ34,$A$14)+COUNTIF('1月'!EE4:EE34,$A$14)+COUNTIF('1月'!EJ4:EJ34,$A$14)+COUNTIF('1月'!EO4:EO34,$A$14)+COUNTIF('1月'!ET4:ET34,$A$14)+COUNTIF('1月'!E4:E34,"三軒茶屋－夜勤")+COUNTIF('1月'!J4:J34,"三軒茶屋－夜勤")+COUNTIF('1月'!O4:O34,"三軒茶屋－夜勤")+COUNTIF('1月'!T4:T34,"三軒茶屋－夜勤")+COUNTIF('1月'!Y4:Y34,"三軒茶屋－夜勤")+COUNTIF('1月'!AD4:AD34,"三軒茶屋－夜勤")+COUNTIF('1月'!AI4:AI34,"三軒茶屋－夜勤")+COUNTIF('1月'!AN4:AN34,"三軒茶屋－夜勤")+COUNTIF('1月'!AS4:AS34,"三軒茶屋－夜勤")+COUNTIF('1月'!AX4:AX34,"三軒茶屋－夜勤")+COUNTIF('1月'!BC4:BC34,"三軒茶屋－夜勤")+COUNTIF('1月'!BH4:BH34,"三軒茶屋－夜勤")+COUNTIF('1月'!BM4:BM34,"三軒茶屋－夜勤")+COUNTIF('1月'!BR4:BR34,"三軒茶屋－夜勤")+COUNTIF('1月'!BW4:BW34,"三軒茶屋－夜勤")+COUNTIF('1月'!CB4:CB34,"三軒茶屋－夜勤")+COUNTIF('1月'!CG4:CG34,"三軒茶屋－夜勤")+COUNTIF('1月'!CL4:CL34,"三軒茶屋－夜勤")+COUNTIF('1月'!CQ4:CQ34,"三軒茶屋－夜勤")+COUNTIF('1月'!CV4:CV34,"三軒茶屋－夜勤")+COUNTIF('1月'!DA4:DA34,"三軒茶屋－夜勤")+COUNTIF('1月'!DF4:DF34,"三軒茶屋－夜勤")+COUNTIF('1月'!DK4:DK34,"三軒茶屋－夜勤")+COUNTIF('1月'!DP4:DP34,"三軒茶屋－夜勤")+COUNTIF('1月'!DU4:DU34,"三軒茶屋－夜勤")+COUNTIF('1月'!DZ4:DZ34,"三軒茶屋－夜勤")+COUNTIF('1月'!EE4:EE34,"三軒茶屋－夜勤")+COUNTIF('1月'!EJ4:EJ34,"三軒茶屋－夜勤")+COUNTIF('1月'!EO4:EO34,"三軒茶屋－夜勤")+COUNTIF('1月'!ET4:ET34,"三軒茶屋－夜勤"))</f>
        <v>0</v>
      </c>
      <c r="D14" s="65">
        <f>IF($A$14="",0,B14+C14)</f>
        <v>0</v>
      </c>
    </row>
    <row r="15" spans="1:4" ht="18.95" customHeight="1">
      <c r="A15" s="77">
        <f>IFERROR(現場マスタ!$C$17,"")</f>
        <v>0</v>
      </c>
      <c r="B15" s="76">
        <f>IF($A$15="",0,COUNTIF('1月'!D4:D34,$A$15)+COUNTIF('1月'!I4:I34,$A$15)+COUNTIF('1月'!N4:N34,$A$15)+COUNTIF('1月'!S4:S34,$A$15)+COUNTIF('1月'!X4:X34,$A$15)+COUNTIF('1月'!AC4:AC34,$A$15)+COUNTIF('1月'!AH4:AH34,$A$15)+COUNTIF('1月'!AM4:AM34,$A$15)+COUNTIF('1月'!AR4:AR34,$A$15)+COUNTIF('1月'!AW4:AW34,$A$15)+COUNTIF('1月'!BB4:BB34,$A$15)+COUNTIF('1月'!BG4:BG34,$A$15)+COUNTIF('1月'!BL4:BL34,$A$15)+COUNTIF('1月'!BQ4:BQ34,$A$15)+COUNTIF('1月'!BV4:BV34,$A$15)+COUNTIF('1月'!CA4:CA34,$A$15)+COUNTIF('1月'!CF4:CF34,$A$15)+COUNTIF('1月'!CK4:CK34,$A$15)+COUNTIF('1月'!CP4:CP34,$A$15)+COUNTIF('1月'!CU4:CU34,$A$15)+COUNTIF('1月'!CZ4:CZ34,$A$15)+COUNTIF('1月'!DE4:DE34,$A$15)+COUNTIF('1月'!DJ4:DJ34,$A$15)+COUNTIF('1月'!DO4:DO34,$A$15)+COUNTIF('1月'!DT4:DT34,$A$15)+COUNTIF('1月'!DY4:DY34,$A$15)+COUNTIF('1月'!ED4:ED34,$A$15)+COUNTIF('1月'!EI4:EI34,$A$15)+COUNTIF('1月'!EN4:EN34,$A$15)+COUNTIF('1月'!ES4:ES34,$A$15)+COUNTIF('1月'!D4:D34,"荻窪ー夜勤")+COUNTIF('1月'!I4:I34,"荻窪ー夜勤")+COUNTIF('1月'!N4:N34,"荻窪ー夜勤")+COUNTIF('1月'!S4:S34,"荻窪ー夜勤")+COUNTIF('1月'!X4:X34,"荻窪ー夜勤")+COUNTIF('1月'!AC4:AC34,"荻窪ー夜勤")+COUNTIF('1月'!AH4:AH34,"荻窪ー夜勤")+COUNTIF('1月'!AM4:AM34,"荻窪ー夜勤")+COUNTIF('1月'!AR4:AR34,"荻窪ー夜勤")+COUNTIF('1月'!AW4:AW34,"荻窪ー夜勤")+COUNTIF('1月'!BB4:BB34,"荻窪ー夜勤")+COUNTIF('1月'!BG4:BG34,"荻窪ー夜勤")+COUNTIF('1月'!BL4:BL34,"荻窪ー夜勤")+COUNTIF('1月'!BQ4:BQ34,"荻窪ー夜勤")+COUNTIF('1月'!BV4:BV34,"荻窪ー夜勤")+COUNTIF('1月'!CA4:CA34,"荻窪ー夜勤")+COUNTIF('1月'!CF4:CF34,"荻窪ー夜勤")+COUNTIF('1月'!CK4:CK34,"荻窪ー夜勤")+COUNTIF('1月'!CP4:CP34,"荻窪ー夜勤")+COUNTIF('1月'!CU4:CU34,"荻窪ー夜勤")+COUNTIF('1月'!CZ4:CZ34,"荻窪ー夜勤")+COUNTIF('1月'!DE4:DE34,"荻窪ー夜勤")+COUNTIF('1月'!DJ4:DJ34,"荻窪ー夜勤")+COUNTIF('1月'!DO4:DO34,"荻窪ー夜勤")+COUNTIF('1月'!DT4:DT34,"荻窪ー夜勤")+COUNTIF('1月'!DY4:DY34,"荻窪ー夜勤")+COUNTIF('1月'!ED4:ED34,"荻窪ー夜勤")+COUNTIF('1月'!EI4:EI34,"荻窪ー夜勤")+COUNTIF('1月'!EN4:EN34,"荻窪ー夜勤")+COUNTIF('1月'!ES4:ES34,"荻窪ー夜勤"))</f>
        <v>0</v>
      </c>
      <c r="C15" s="76">
        <f>IF($A$15="",0,COUNTIF('1月'!E4:E34,$A$15)+COUNTIF('1月'!J4:J34,$A$15)+COUNTIF('1月'!O4:O34,$A$15)+COUNTIF('1月'!T4:T34,$A$15)+COUNTIF('1月'!Y4:Y34,$A$15)+COUNTIF('1月'!AD4:AD34,$A$15)+COUNTIF('1月'!AI4:AI34,$A$15)+COUNTIF('1月'!AN4:AN34,$A$15)+COUNTIF('1月'!AS4:AS34,$A$15)+COUNTIF('1月'!AX4:AX34,$A$15)+COUNTIF('1月'!BC4:BC34,$A$15)+COUNTIF('1月'!BH4:BH34,$A$15)+COUNTIF('1月'!BM4:BM34,$A$15)+COUNTIF('1月'!BR4:BR34,$A$15)+COUNTIF('1月'!BW4:BW34,$A$15)+COUNTIF('1月'!CB4:CB34,$A$15)+COUNTIF('1月'!CG4:CG34,$A$15)+COUNTIF('1月'!CL4:CL34,$A$15)+COUNTIF('1月'!CQ4:CQ34,$A$15)+COUNTIF('1月'!CV4:CV34,$A$15)+COUNTIF('1月'!DA4:DA34,$A$15)+COUNTIF('1月'!DF4:DF34,$A$15)+COUNTIF('1月'!DK4:DK34,$A$15)+COUNTIF('1月'!DP4:DP34,$A$15)+COUNTIF('1月'!DU4:DU34,$A$15)+COUNTIF('1月'!DZ4:DZ34,$A$15)+COUNTIF('1月'!EE4:EE34,$A$15)+COUNTIF('1月'!EJ4:EJ34,$A$15)+COUNTIF('1月'!EO4:EO34,$A$15)+COUNTIF('1月'!ET4:ET34,$A$15)+COUNTIF('1月'!E4:E34,"荻窪ー夜勤")+COUNTIF('1月'!J4:J34,"荻窪ー夜勤")+COUNTIF('1月'!O4:O34,"荻窪ー夜勤")+COUNTIF('1月'!T4:T34,"荻窪ー夜勤")+COUNTIF('1月'!Y4:Y34,"荻窪ー夜勤")+COUNTIF('1月'!AD4:AD34,"荻窪ー夜勤")+COUNTIF('1月'!AI4:AI34,"荻窪ー夜勤")+COUNTIF('1月'!AN4:AN34,"荻窪ー夜勤")+COUNTIF('1月'!AS4:AS34,"荻窪ー夜勤")+COUNTIF('1月'!AX4:AX34,"荻窪ー夜勤")+COUNTIF('1月'!BC4:BC34,"荻窪ー夜勤")+COUNTIF('1月'!BH4:BH34,"荻窪ー夜勤")+COUNTIF('1月'!BM4:BM34,"荻窪ー夜勤")+COUNTIF('1月'!BR4:BR34,"荻窪ー夜勤")+COUNTIF('1月'!BW4:BW34,"荻窪ー夜勤")+COUNTIF('1月'!CB4:CB34,"荻窪ー夜勤")+COUNTIF('1月'!CG4:CG34,"荻窪ー夜勤")+COUNTIF('1月'!CL4:CL34,"荻窪ー夜勤")+COUNTIF('1月'!CQ4:CQ34,"荻窪ー夜勤")+COUNTIF('1月'!CV4:CV34,"荻窪ー夜勤")+COUNTIF('1月'!DA4:DA34,"荻窪ー夜勤")+COUNTIF('1月'!DF4:DF34,"荻窪ー夜勤")+COUNTIF('1月'!DK4:DK34,"荻窪ー夜勤")+COUNTIF('1月'!DP4:DP34,"荻窪ー夜勤")+COUNTIF('1月'!DU4:DU34,"荻窪ー夜勤")+COUNTIF('1月'!DZ4:DZ34,"荻窪ー夜勤")+COUNTIF('1月'!EE4:EE34,"荻窪ー夜勤")+COUNTIF('1月'!EJ4:EJ34,"荻窪ー夜勤")+COUNTIF('1月'!EO4:EO34,"荻窪ー夜勤")+COUNTIF('1月'!ET4:ET34,"荻窪ー夜勤"))</f>
        <v>0</v>
      </c>
      <c r="D15" s="65">
        <f>IF($A$15="",0,B15+C15)</f>
        <v>0</v>
      </c>
    </row>
    <row r="16" spans="1:4" ht="18.95" customHeight="1">
      <c r="A16" s="77">
        <f>IFERROR(現場マスタ!$C$18,"")</f>
        <v>0</v>
      </c>
      <c r="B16" s="76">
        <f>IF($A$16="",0,COUNTIF('1月'!D4:D34,$A$16)+COUNTIF('1月'!I4:I34,$A$16)+COUNTIF('1月'!N4:N34,$A$16)+COUNTIF('1月'!S4:S34,$A$16)+COUNTIF('1月'!X4:X34,$A$16)+COUNTIF('1月'!AC4:AC34,$A$16)+COUNTIF('1月'!AH4:AH34,$A$16)+COUNTIF('1月'!AM4:AM34,$A$16)+COUNTIF('1月'!AR4:AR34,$A$16)+COUNTIF('1月'!AW4:AW34,$A$16)+COUNTIF('1月'!BB4:BB34,$A$16)+COUNTIF('1月'!BG4:BG34,$A$16)+COUNTIF('1月'!BL4:BL34,$A$16)+COUNTIF('1月'!BQ4:BQ34,$A$16)+COUNTIF('1月'!BV4:BV34,$A$16)+COUNTIF('1月'!CA4:CA34,$A$16)+COUNTIF('1月'!CF4:CF34,$A$16)+COUNTIF('1月'!CK4:CK34,$A$16)+COUNTIF('1月'!CP4:CP34,$A$16)+COUNTIF('1月'!CU4:CU34,$A$16)+COUNTIF('1月'!CZ4:CZ34,$A$16)+COUNTIF('1月'!DE4:DE34,$A$16)+COUNTIF('1月'!DJ4:DJ34,$A$16)+COUNTIF('1月'!DO4:DO34,$A$16)+COUNTIF('1月'!DT4:DT34,$A$16)+COUNTIF('1月'!DY4:DY34,$A$16)+COUNTIF('1月'!ED4:ED34,$A$16)+COUNTIF('1月'!EI4:EI34,$A$16)+COUNTIF('1月'!EN4:EN34,$A$16)+COUNTIF('1月'!ES4:ES34,$A$16))</f>
        <v>0</v>
      </c>
      <c r="C16" s="76">
        <f>IF($A$16="",0,COUNTIF('1月'!E4:E34,$A$16)+COUNTIF('1月'!J4:J34,$A$16)+COUNTIF('1月'!O4:O34,$A$16)+COUNTIF('1月'!T4:T34,$A$16)+COUNTIF('1月'!Y4:Y34,$A$16)+COUNTIF('1月'!AD4:AD34,$A$16)+COUNTIF('1月'!AI4:AI34,$A$16)+COUNTIF('1月'!AN4:AN34,$A$16)+COUNTIF('1月'!AS4:AS34,$A$16)+COUNTIF('1月'!AX4:AX34,$A$16)+COUNTIF('1月'!BC4:BC34,$A$16)+COUNTIF('1月'!BH4:BH34,$A$16)+COUNTIF('1月'!BM4:BM34,$A$16)+COUNTIF('1月'!BR4:BR34,$A$16)+COUNTIF('1月'!BW4:BW34,$A$16)+COUNTIF('1月'!CB4:CB34,$A$16)+COUNTIF('1月'!CG4:CG34,$A$16)+COUNTIF('1月'!CL4:CL34,$A$16)+COUNTIF('1月'!CQ4:CQ34,$A$16)+COUNTIF('1月'!CV4:CV34,$A$16)+COUNTIF('1月'!DA4:DA34,$A$16)+COUNTIF('1月'!DF4:DF34,$A$16)+COUNTIF('1月'!DK4:DK34,$A$16)+COUNTIF('1月'!DP4:DP34,$A$16)+COUNTIF('1月'!DU4:DU34,$A$16)+COUNTIF('1月'!DZ4:DZ34,$A$16)+COUNTIF('1月'!EE4:EE34,$A$16)+COUNTIF('1月'!EJ4:EJ34,$A$16)+COUNTIF('1月'!EO4:EO34,$A$16)+COUNTIF('1月'!ET4:ET34,$A$16))</f>
        <v>0</v>
      </c>
      <c r="D16" s="65">
        <f>IF($A$16="",0,B16+C16)</f>
        <v>0</v>
      </c>
    </row>
    <row r="17" spans="1:4" ht="18.95" customHeight="1">
      <c r="A17" s="77">
        <f>IFERROR(現場マスタ!$C$20,"")</f>
        <v>0</v>
      </c>
      <c r="B17" s="76">
        <f>IF($A$17="",0,COUNTIF('1月'!D4:D34,$A$17)+COUNTIF('1月'!I4:I34,$A$17)+COUNTIF('1月'!N4:N34,$A$17)+COUNTIF('1月'!S4:S34,$A$17)+COUNTIF('1月'!X4:X34,$A$17)+COUNTIF('1月'!AC4:AC34,$A$17)+COUNTIF('1月'!AH4:AH34,$A$17)+COUNTIF('1月'!AM4:AM34,$A$17)+COUNTIF('1月'!AR4:AR34,$A$17)+COUNTIF('1月'!AW4:AW34,$A$17)+COUNTIF('1月'!BB4:BB34,$A$17)+COUNTIF('1月'!BG4:BG34,$A$17)+COUNTIF('1月'!BL4:BL34,$A$17)+COUNTIF('1月'!BQ4:BQ34,$A$17)+COUNTIF('1月'!BV4:BV34,$A$17)+COUNTIF('1月'!CA4:CA34,$A$17)+COUNTIF('1月'!CF4:CF34,$A$17)+COUNTIF('1月'!CK4:CK34,$A$17)+COUNTIF('1月'!CP4:CP34,$A$17)+COUNTIF('1月'!CU4:CU34,$A$17)+COUNTIF('1月'!CZ4:CZ34,$A$17)+COUNTIF('1月'!DE4:DE34,$A$17)+COUNTIF('1月'!DJ4:DJ34,$A$17)+COUNTIF('1月'!DO4:DO34,$A$17)+COUNTIF('1月'!DT4:DT34,$A$17)+COUNTIF('1月'!DY4:DY34,$A$17)+COUNTIF('1月'!ED4:ED34,$A$17)+COUNTIF('1月'!EI4:EI34,$A$17)+COUNTIF('1月'!EN4:EN34,$A$17)+COUNTIF('1月'!ES4:ES34,$A$17))</f>
        <v>0</v>
      </c>
      <c r="C17" s="76">
        <f>IF($A$17="",0,COUNTIF('1月'!E4:E34,$A$17)+COUNTIF('1月'!J4:J34,$A$17)+COUNTIF('1月'!O4:O34,$A$17)+COUNTIF('1月'!T4:T34,$A$17)+COUNTIF('1月'!Y4:Y34,$A$17)+COUNTIF('1月'!AD4:AD34,$A$17)+COUNTIF('1月'!AI4:AI34,$A$17)+COUNTIF('1月'!AN4:AN34,$A$17)+COUNTIF('1月'!AS4:AS34,$A$17)+COUNTIF('1月'!AX4:AX34,$A$17)+COUNTIF('1月'!BC4:BC34,$A$17)+COUNTIF('1月'!BH4:BH34,$A$17)+COUNTIF('1月'!BM4:BM34,$A$17)+COUNTIF('1月'!BR4:BR34,$A$17)+COUNTIF('1月'!BW4:BW34,$A$17)+COUNTIF('1月'!CB4:CB34,$A$17)+COUNTIF('1月'!CG4:CG34,$A$17)+COUNTIF('1月'!CL4:CL34,$A$17)+COUNTIF('1月'!CQ4:CQ34,$A$17)+COUNTIF('1月'!CV4:CV34,$A$17)+COUNTIF('1月'!DA4:DA34,$A$17)+COUNTIF('1月'!DF4:DF34,$A$17)+COUNTIF('1月'!DK4:DK34,$A$17)+COUNTIF('1月'!DP4:DP34,$A$17)+COUNTIF('1月'!DU4:DU34,$A$17)+COUNTIF('1月'!DZ4:DZ34,$A$17)+COUNTIF('1月'!EE4:EE34,$A$17)+COUNTIF('1月'!EJ4:EJ34,$A$17)+COUNTIF('1月'!EO4:EO34,$A$17)+COUNTIF('1月'!ET4:ET34,$A$17))</f>
        <v>0</v>
      </c>
      <c r="D17" s="65">
        <f>IF($A$17="",0,B17+C17)</f>
        <v>0</v>
      </c>
    </row>
    <row r="18" spans="1:4" ht="18.95" customHeight="1">
      <c r="A18" s="77">
        <f>IFERROR(現場マスタ!$C$21,"")</f>
        <v>0</v>
      </c>
      <c r="B18" s="76">
        <f>IF($A$18="",0,COUNTIF('1月'!D4:D34,$A$18)+COUNTIF('1月'!I4:I34,$A$18)+COUNTIF('1月'!N4:N34,$A$18)+COUNTIF('1月'!S4:S34,$A$18)+COUNTIF('1月'!X4:X34,$A$18)+COUNTIF('1月'!AC4:AC34,$A$18)+COUNTIF('1月'!AH4:AH34,$A$18)+COUNTIF('1月'!AM4:AM34,$A$18)+COUNTIF('1月'!AR4:AR34,$A$18)+COUNTIF('1月'!AW4:AW34,$A$18)+COUNTIF('1月'!BB4:BB34,$A$18)+COUNTIF('1月'!BG4:BG34,$A$18)+COUNTIF('1月'!BL4:BL34,$A$18)+COUNTIF('1月'!BQ4:BQ34,$A$18)+COUNTIF('1月'!BV4:BV34,$A$18)+COUNTIF('1月'!CA4:CA34,$A$18)+COUNTIF('1月'!CF4:CF34,$A$18)+COUNTIF('1月'!CK4:CK34,$A$18)+COUNTIF('1月'!CP4:CP34,$A$18)+COUNTIF('1月'!CU4:CU34,$A$18)+COUNTIF('1月'!CZ4:CZ34,$A$18)+COUNTIF('1月'!DE4:DE34,$A$18)+COUNTIF('1月'!DJ4:DJ34,$A$18)+COUNTIF('1月'!DO4:DO34,$A$18)+COUNTIF('1月'!DT4:DT34,$A$18)+COUNTIF('1月'!DY4:DY34,$A$18)+COUNTIF('1月'!ED4:ED34,$A$18)+COUNTIF('1月'!EI4:EI34,$A$18)+COUNTIF('1月'!EN4:EN34,$A$18)+COUNTIF('1月'!ES4:ES34,$A$18))</f>
        <v>0</v>
      </c>
      <c r="C18" s="76">
        <f>IF($A$18="",0,COUNTIF('1月'!E4:E34,$A$18)+COUNTIF('1月'!J4:J34,$A$18)+COUNTIF('1月'!O4:O34,$A$18)+COUNTIF('1月'!T4:T34,$A$18)+COUNTIF('1月'!Y4:Y34,$A$18)+COUNTIF('1月'!AD4:AD34,$A$18)+COUNTIF('1月'!AI4:AI34,$A$18)+COUNTIF('1月'!AN4:AN34,$A$18)+COUNTIF('1月'!AS4:AS34,$A$18)+COUNTIF('1月'!AX4:AX34,$A$18)+COUNTIF('1月'!BC4:BC34,$A$18)+COUNTIF('1月'!BH4:BH34,$A$18)+COUNTIF('1月'!BM4:BM34,$A$18)+COUNTIF('1月'!BR4:BR34,$A$18)+COUNTIF('1月'!BW4:BW34,$A$18)+COUNTIF('1月'!CB4:CB34,$A$18)+COUNTIF('1月'!CG4:CG34,$A$18)+COUNTIF('1月'!CL4:CL34,$A$18)+COUNTIF('1月'!CQ4:CQ34,$A$18)+COUNTIF('1月'!CV4:CV34,$A$18)+COUNTIF('1月'!DA4:DA34,$A$18)+COUNTIF('1月'!DF4:DF34,$A$18)+COUNTIF('1月'!DK4:DK34,$A$18)+COUNTIF('1月'!DP4:DP34,$A$18)+COUNTIF('1月'!DU4:DU34,$A$18)+COUNTIF('1月'!DZ4:DZ34,$A$18)+COUNTIF('1月'!EE4:EE34,$A$18)+COUNTIF('1月'!EJ4:EJ34,$A$18)+COUNTIF('1月'!EO4:EO34,$A$18)+COUNTIF('1月'!ET4:ET34,$A$18))</f>
        <v>0</v>
      </c>
      <c r="D18" s="65">
        <f>IF($A$18="",0,B18+C18)</f>
        <v>0</v>
      </c>
    </row>
    <row r="19" spans="1:4" ht="18.95" customHeight="1">
      <c r="A19" s="77">
        <f>IFERROR(現場マスタ!$C$22,"")</f>
        <v>0</v>
      </c>
      <c r="B19" s="76">
        <f>IF($A$19="",0,COUNTIF('1月'!D4:D34,$A$19)+COUNTIF('1月'!I4:I34,$A$19)+COUNTIF('1月'!N4:N34,$A$19)+COUNTIF('1月'!S4:S34,$A$19)+COUNTIF('1月'!X4:X34,$A$19)+COUNTIF('1月'!AC4:AC34,$A$19)+COUNTIF('1月'!AH4:AH34,$A$19)+COUNTIF('1月'!AM4:AM34,$A$19)+COUNTIF('1月'!AR4:AR34,$A$19)+COUNTIF('1月'!AW4:AW34,$A$19)+COUNTIF('1月'!BB4:BB34,$A$19)+COUNTIF('1月'!BG4:BG34,$A$19)+COUNTIF('1月'!BL4:BL34,$A$19)+COUNTIF('1月'!BQ4:BQ34,$A$19)+COUNTIF('1月'!BV4:BV34,$A$19)+COUNTIF('1月'!CA4:CA34,$A$19)+COUNTIF('1月'!CF4:CF34,$A$19)+COUNTIF('1月'!CK4:CK34,$A$19)+COUNTIF('1月'!CP4:CP34,$A$19)+COUNTIF('1月'!CU4:CU34,$A$19)+COUNTIF('1月'!CZ4:CZ34,$A$19)+COUNTIF('1月'!DE4:DE34,$A$19)+COUNTIF('1月'!DJ4:DJ34,$A$19)+COUNTIF('1月'!DO4:DO34,$A$19)+COUNTIF('1月'!DT4:DT34,$A$19)+COUNTIF('1月'!DY4:DY34,$A$19)+COUNTIF('1月'!ED4:ED34,$A$19)+COUNTIF('1月'!EI4:EI34,$A$19)+COUNTIF('1月'!EN4:EN34,$A$19)+COUNTIF('1月'!ES4:ES34,$A$19))</f>
        <v>0</v>
      </c>
      <c r="C19" s="76">
        <f>IF($A$19="",0,COUNTIF('1月'!E4:E34,$A$19)+COUNTIF('1月'!J4:J34,$A$19)+COUNTIF('1月'!O4:O34,$A$19)+COUNTIF('1月'!T4:T34,$A$19)+COUNTIF('1月'!Y4:Y34,$A$19)+COUNTIF('1月'!AD4:AD34,$A$19)+COUNTIF('1月'!AI4:AI34,$A$19)+COUNTIF('1月'!AN4:AN34,$A$19)+COUNTIF('1月'!AS4:AS34,$A$19)+COUNTIF('1月'!AX4:AX34,$A$19)+COUNTIF('1月'!BC4:BC34,$A$19)+COUNTIF('1月'!BH4:BH34,$A$19)+COUNTIF('1月'!BM4:BM34,$A$19)+COUNTIF('1月'!BR4:BR34,$A$19)+COUNTIF('1月'!BW4:BW34,$A$19)+COUNTIF('1月'!CB4:CB34,$A$19)+COUNTIF('1月'!CG4:CG34,$A$19)+COUNTIF('1月'!CL4:CL34,$A$19)+COUNTIF('1月'!CQ4:CQ34,$A$19)+COUNTIF('1月'!CV4:CV34,$A$19)+COUNTIF('1月'!DA4:DA34,$A$19)+COUNTIF('1月'!DF4:DF34,$A$19)+COUNTIF('1月'!DK4:DK34,$A$19)+COUNTIF('1月'!DP4:DP34,$A$19)+COUNTIF('1月'!DU4:DU34,$A$19)+COUNTIF('1月'!DZ4:DZ34,$A$19)+COUNTIF('1月'!EE4:EE34,$A$19)+COUNTIF('1月'!EJ4:EJ34,$A$19)+COUNTIF('1月'!EO4:EO34,$A$19)+COUNTIF('1月'!ET4:ET34,$A$19))</f>
        <v>0</v>
      </c>
      <c r="D19" s="65">
        <f>IF($A$19="",0,B19+C19)</f>
        <v>0</v>
      </c>
    </row>
    <row r="20" spans="1:4" ht="9.9499999999999993" customHeight="1"/>
    <row r="21" spans="1:4" ht="21.95" customHeight="1">
      <c r="A21" s="112" t="str">
        <f>対象年度&amp;"年 2月"</f>
        <v>2026年 2月</v>
      </c>
      <c r="B21" s="112"/>
      <c r="C21" s="112"/>
      <c r="D21" s="112"/>
    </row>
    <row r="22" spans="1:4" ht="20.100000000000001" customHeight="1">
      <c r="A22" s="60" t="s">
        <v>60</v>
      </c>
      <c r="B22" s="75" t="s">
        <v>110</v>
      </c>
      <c r="C22" s="75" t="s">
        <v>111</v>
      </c>
      <c r="D22" s="65" t="s">
        <v>112</v>
      </c>
    </row>
    <row r="23" spans="1:4" ht="18.95" customHeight="1">
      <c r="A23" s="77" t="str">
        <f>IFERROR(現場マスタ!$C$4,"")</f>
        <v>新宿</v>
      </c>
      <c r="B23" s="76">
        <f>IF($A$23="",0,COUNTIF('2月'!D4:D34,$A$23)+COUNTIF('2月'!I4:I34,$A$23)+COUNTIF('2月'!N4:N34,$A$23)+COUNTIF('2月'!S4:S34,$A$23)+COUNTIF('2月'!X4:X34,$A$23)+COUNTIF('2月'!AC4:AC34,$A$23)+COUNTIF('2月'!AH4:AH34,$A$23)+COUNTIF('2月'!AM4:AM34,$A$23)+COUNTIF('2月'!AR4:AR34,$A$23)+COUNTIF('2月'!AW4:AW34,$A$23)+COUNTIF('2月'!BB4:BB34,$A$23)+COUNTIF('2月'!BG4:BG34,$A$23)+COUNTIF('2月'!BL4:BL34,$A$23)+COUNTIF('2月'!BQ4:BQ34,$A$23)+COUNTIF('2月'!BV4:BV34,$A$23)+COUNTIF('2月'!CA4:CA34,$A$23)+COUNTIF('2月'!CF4:CF34,$A$23)+COUNTIF('2月'!CK4:CK34,$A$23)+COUNTIF('2月'!CP4:CP34,$A$23)+COUNTIF('2月'!CU4:CU34,$A$23)+COUNTIF('2月'!CZ4:CZ34,$A$23)+COUNTIF('2月'!DE4:DE34,$A$23)+COUNTIF('2月'!DJ4:DJ34,$A$23)+COUNTIF('2月'!DO4:DO34,$A$23)+COUNTIF('2月'!DT4:DT34,$A$23)+COUNTIF('2月'!DY4:DY34,$A$23)+COUNTIF('2月'!ED4:ED34,$A$23)+COUNTIF('2月'!EI4:EI34,$A$23)+COUNTIF('2月'!EN4:EN34,$A$23)+COUNTIF('2月'!ES4:ES34,$A$23))</f>
        <v>0</v>
      </c>
      <c r="C23" s="76">
        <f>IF($A$23="",0,COUNTIF('2月'!E4:E34,$A$23)+COUNTIF('2月'!J4:J34,$A$23)+COUNTIF('2月'!O4:O34,$A$23)+COUNTIF('2月'!T4:T34,$A$23)+COUNTIF('2月'!Y4:Y34,$A$23)+COUNTIF('2月'!AD4:AD34,$A$23)+COUNTIF('2月'!AI4:AI34,$A$23)+COUNTIF('2月'!AN4:AN34,$A$23)+COUNTIF('2月'!AS4:AS34,$A$23)+COUNTIF('2月'!AX4:AX34,$A$23)+COUNTIF('2月'!BC4:BC34,$A$23)+COUNTIF('2月'!BH4:BH34,$A$23)+COUNTIF('2月'!BM4:BM34,$A$23)+COUNTIF('2月'!BR4:BR34,$A$23)+COUNTIF('2月'!BW4:BW34,$A$23)+COUNTIF('2月'!CB4:CB34,$A$23)+COUNTIF('2月'!CG4:CG34,$A$23)+COUNTIF('2月'!CL4:CL34,$A$23)+COUNTIF('2月'!CQ4:CQ34,$A$23)+COUNTIF('2月'!CV4:CV34,$A$23)+COUNTIF('2月'!DA4:DA34,$A$23)+COUNTIF('2月'!DF4:DF34,$A$23)+COUNTIF('2月'!DK4:DK34,$A$23)+COUNTIF('2月'!DP4:DP34,$A$23)+COUNTIF('2月'!DU4:DU34,$A$23)+COUNTIF('2月'!DZ4:DZ34,$A$23)+COUNTIF('2月'!EE4:EE34,$A$23)+COUNTIF('2月'!EJ4:EJ34,$A$23)+COUNTIF('2月'!EO4:EO34,$A$23)+COUNTIF('2月'!ET4:ET34,$A$23))</f>
        <v>0</v>
      </c>
      <c r="D23" s="65">
        <f>IF($A$23="",0,B23+C23)</f>
        <v>0</v>
      </c>
    </row>
    <row r="24" spans="1:4" ht="18.95" customHeight="1">
      <c r="A24" s="77" t="str">
        <f>IFERROR(現場マスタ!$C$5,"")</f>
        <v>赤坂</v>
      </c>
      <c r="B24" s="76">
        <f>IF($A$24="",0,COUNTIF('2月'!D4:D34,$A$24)+COUNTIF('2月'!I4:I34,$A$24)+COUNTIF('2月'!N4:N34,$A$24)+COUNTIF('2月'!S4:S34,$A$24)+COUNTIF('2月'!X4:X34,$A$24)+COUNTIF('2月'!AC4:AC34,$A$24)+COUNTIF('2月'!AH4:AH34,$A$24)+COUNTIF('2月'!AM4:AM34,$A$24)+COUNTIF('2月'!AR4:AR34,$A$24)+COUNTIF('2月'!AW4:AW34,$A$24)+COUNTIF('2月'!BB4:BB34,$A$24)+COUNTIF('2月'!BG4:BG34,$A$24)+COUNTIF('2月'!BL4:BL34,$A$24)+COUNTIF('2月'!BQ4:BQ34,$A$24)+COUNTIF('2月'!BV4:BV34,$A$24)+COUNTIF('2月'!CA4:CA34,$A$24)+COUNTIF('2月'!CF4:CF34,$A$24)+COUNTIF('2月'!CK4:CK34,$A$24)+COUNTIF('2月'!CP4:CP34,$A$24)+COUNTIF('2月'!CU4:CU34,$A$24)+COUNTIF('2月'!CZ4:CZ34,$A$24)+COUNTIF('2月'!DE4:DE34,$A$24)+COUNTIF('2月'!DJ4:DJ34,$A$24)+COUNTIF('2月'!DO4:DO34,$A$24)+COUNTIF('2月'!DT4:DT34,$A$24)+COUNTIF('2月'!DY4:DY34,$A$24)+COUNTIF('2月'!ED4:ED34,$A$24)+COUNTIF('2月'!EI4:EI34,$A$24)+COUNTIF('2月'!EN4:EN34,$A$24)+COUNTIF('2月'!ES4:ES34,$A$24))</f>
        <v>0</v>
      </c>
      <c r="C24" s="76">
        <f>IF($A$24="",0,COUNTIF('2月'!E4:E34,$A$24)+COUNTIF('2月'!J4:J34,$A$24)+COUNTIF('2月'!O4:O34,$A$24)+COUNTIF('2月'!T4:T34,$A$24)+COUNTIF('2月'!Y4:Y34,$A$24)+COUNTIF('2月'!AD4:AD34,$A$24)+COUNTIF('2月'!AI4:AI34,$A$24)+COUNTIF('2月'!AN4:AN34,$A$24)+COUNTIF('2月'!AS4:AS34,$A$24)+COUNTIF('2月'!AX4:AX34,$A$24)+COUNTIF('2月'!BC4:BC34,$A$24)+COUNTIF('2月'!BH4:BH34,$A$24)+COUNTIF('2月'!BM4:BM34,$A$24)+COUNTIF('2月'!BR4:BR34,$A$24)+COUNTIF('2月'!BW4:BW34,$A$24)+COUNTIF('2月'!CB4:CB34,$A$24)+COUNTIF('2月'!CG4:CG34,$A$24)+COUNTIF('2月'!CL4:CL34,$A$24)+COUNTIF('2月'!CQ4:CQ34,$A$24)+COUNTIF('2月'!CV4:CV34,$A$24)+COUNTIF('2月'!DA4:DA34,$A$24)+COUNTIF('2月'!DF4:DF34,$A$24)+COUNTIF('2月'!DK4:DK34,$A$24)+COUNTIF('2月'!DP4:DP34,$A$24)+COUNTIF('2月'!DU4:DU34,$A$24)+COUNTIF('2月'!DZ4:DZ34,$A$24)+COUNTIF('2月'!EE4:EE34,$A$24)+COUNTIF('2月'!EJ4:EJ34,$A$24)+COUNTIF('2月'!EO4:EO34,$A$24)+COUNTIF('2月'!ET4:ET34,$A$24))</f>
        <v>0</v>
      </c>
      <c r="D24" s="65">
        <f>IF($A$24="",0,B24+C24)</f>
        <v>0</v>
      </c>
    </row>
    <row r="25" spans="1:4" ht="18.95" customHeight="1">
      <c r="A25" s="77" t="str">
        <f>IFERROR(現場マスタ!$C$6,"")</f>
        <v>渋谷ヒカリエ</v>
      </c>
      <c r="B25" s="76">
        <f>IF($A$25="",0,COUNTIF('2月'!D4:D34,$A$25)+COUNTIF('2月'!I4:I34,$A$25)+COUNTIF('2月'!N4:N34,$A$25)+COUNTIF('2月'!S4:S34,$A$25)+COUNTIF('2月'!X4:X34,$A$25)+COUNTIF('2月'!AC4:AC34,$A$25)+COUNTIF('2月'!AH4:AH34,$A$25)+COUNTIF('2月'!AM4:AM34,$A$25)+COUNTIF('2月'!AR4:AR34,$A$25)+COUNTIF('2月'!AW4:AW34,$A$25)+COUNTIF('2月'!BB4:BB34,$A$25)+COUNTIF('2月'!BG4:BG34,$A$25)+COUNTIF('2月'!BL4:BL34,$A$25)+COUNTIF('2月'!BQ4:BQ34,$A$25)+COUNTIF('2月'!BV4:BV34,$A$25)+COUNTIF('2月'!CA4:CA34,$A$25)+COUNTIF('2月'!CF4:CF34,$A$25)+COUNTIF('2月'!CK4:CK34,$A$25)+COUNTIF('2月'!CP4:CP34,$A$25)+COUNTIF('2月'!CU4:CU34,$A$25)+COUNTIF('2月'!CZ4:CZ34,$A$25)+COUNTIF('2月'!DE4:DE34,$A$25)+COUNTIF('2月'!DJ4:DJ34,$A$25)+COUNTIF('2月'!DO4:DO34,$A$25)+COUNTIF('2月'!DT4:DT34,$A$25)+COUNTIF('2月'!DY4:DY34,$A$25)+COUNTIF('2月'!ED4:ED34,$A$25)+COUNTIF('2月'!EI4:EI34,$A$25)+COUNTIF('2月'!EN4:EN34,$A$25)+COUNTIF('2月'!ES4:ES34,$A$25))</f>
        <v>0</v>
      </c>
      <c r="C25" s="76">
        <f>IF($A$25="",0,COUNTIF('2月'!E4:E34,$A$25)+COUNTIF('2月'!J4:J34,$A$25)+COUNTIF('2月'!O4:O34,$A$25)+COUNTIF('2月'!T4:T34,$A$25)+COUNTIF('2月'!Y4:Y34,$A$25)+COUNTIF('2月'!AD4:AD34,$A$25)+COUNTIF('2月'!AI4:AI34,$A$25)+COUNTIF('2月'!AN4:AN34,$A$25)+COUNTIF('2月'!AS4:AS34,$A$25)+COUNTIF('2月'!AX4:AX34,$A$25)+COUNTIF('2月'!BC4:BC34,$A$25)+COUNTIF('2月'!BH4:BH34,$A$25)+COUNTIF('2月'!BM4:BM34,$A$25)+COUNTIF('2月'!BR4:BR34,$A$25)+COUNTIF('2月'!BW4:BW34,$A$25)+COUNTIF('2月'!CB4:CB34,$A$25)+COUNTIF('2月'!CG4:CG34,$A$25)+COUNTIF('2月'!CL4:CL34,$A$25)+COUNTIF('2月'!CQ4:CQ34,$A$25)+COUNTIF('2月'!CV4:CV34,$A$25)+COUNTIF('2月'!DA4:DA34,$A$25)+COUNTIF('2月'!DF4:DF34,$A$25)+COUNTIF('2月'!DK4:DK34,$A$25)+COUNTIF('2月'!DP4:DP34,$A$25)+COUNTIF('2月'!DU4:DU34,$A$25)+COUNTIF('2月'!DZ4:DZ34,$A$25)+COUNTIF('2月'!EE4:EE34,$A$25)+COUNTIF('2月'!EJ4:EJ34,$A$25)+COUNTIF('2月'!EO4:EO34,$A$25)+COUNTIF('2月'!ET4:ET34,$A$25))</f>
        <v>0</v>
      </c>
      <c r="D25" s="65">
        <f>IF($A$25="",0,B25+C25)</f>
        <v>0</v>
      </c>
    </row>
    <row r="26" spans="1:4" ht="18.95" customHeight="1">
      <c r="A26" s="77" t="str">
        <f>IFERROR(現場マスタ!$C$7,"")</f>
        <v>六本木ヒルズ</v>
      </c>
      <c r="B26" s="76">
        <f>IF($A$26="",0,COUNTIF('2月'!D4:D34,$A$26)+COUNTIF('2月'!I4:I34,$A$26)+COUNTIF('2月'!N4:N34,$A$26)+COUNTIF('2月'!S4:S34,$A$26)+COUNTIF('2月'!X4:X34,$A$26)+COUNTIF('2月'!AC4:AC34,$A$26)+COUNTIF('2月'!AH4:AH34,$A$26)+COUNTIF('2月'!AM4:AM34,$A$26)+COUNTIF('2月'!AR4:AR34,$A$26)+COUNTIF('2月'!AW4:AW34,$A$26)+COUNTIF('2月'!BB4:BB34,$A$26)+COUNTIF('2月'!BG4:BG34,$A$26)+COUNTIF('2月'!BL4:BL34,$A$26)+COUNTIF('2月'!BQ4:BQ34,$A$26)+COUNTIF('2月'!BV4:BV34,$A$26)+COUNTIF('2月'!CA4:CA34,$A$26)+COUNTIF('2月'!CF4:CF34,$A$26)+COUNTIF('2月'!CK4:CK34,$A$26)+COUNTIF('2月'!CP4:CP34,$A$26)+COUNTIF('2月'!CU4:CU34,$A$26)+COUNTIF('2月'!CZ4:CZ34,$A$26)+COUNTIF('2月'!DE4:DE34,$A$26)+COUNTIF('2月'!DJ4:DJ34,$A$26)+COUNTIF('2月'!DO4:DO34,$A$26)+COUNTIF('2月'!DT4:DT34,$A$26)+COUNTIF('2月'!DY4:DY34,$A$26)+COUNTIF('2月'!ED4:ED34,$A$26)+COUNTIF('2月'!EI4:EI34,$A$26)+COUNTIF('2月'!EN4:EN34,$A$26)+COUNTIF('2月'!ES4:ES34,$A$26)+COUNTIF('2月'!D4:D34,"渋谷-夜勤")+COUNTIF('2月'!I4:I34,"渋谷-夜勤")+COUNTIF('2月'!N4:N34,"渋谷-夜勤")+COUNTIF('2月'!S4:S34,"渋谷-夜勤")+COUNTIF('2月'!X4:X34,"渋谷-夜勤")+COUNTIF('2月'!AC4:AC34,"渋谷-夜勤")+COUNTIF('2月'!AH4:AH34,"渋谷-夜勤")+COUNTIF('2月'!AM4:AM34,"渋谷-夜勤")+COUNTIF('2月'!AR4:AR34,"渋谷-夜勤")+COUNTIF('2月'!AW4:AW34,"渋谷-夜勤")+COUNTIF('2月'!BB4:BB34,"渋谷-夜勤")+COUNTIF('2月'!BG4:BG34,"渋谷-夜勤")+COUNTIF('2月'!BL4:BL34,"渋谷-夜勤")+COUNTIF('2月'!BQ4:BQ34,"渋谷-夜勤")+COUNTIF('2月'!BV4:BV34,"渋谷-夜勤")+COUNTIF('2月'!CA4:CA34,"渋谷-夜勤")+COUNTIF('2月'!CF4:CF34,"渋谷-夜勤")+COUNTIF('2月'!CK4:CK34,"渋谷-夜勤")+COUNTIF('2月'!CP4:CP34,"渋谷-夜勤")+COUNTIF('2月'!CU4:CU34,"渋谷-夜勤")+COUNTIF('2月'!CZ4:CZ34,"渋谷-夜勤")+COUNTIF('2月'!DE4:DE34,"渋谷-夜勤")+COUNTIF('2月'!DJ4:DJ34,"渋谷-夜勤")+COUNTIF('2月'!DO4:DO34,"渋谷-夜勤")+COUNTIF('2月'!DT4:DT34,"渋谷-夜勤")+COUNTIF('2月'!DY4:DY34,"渋谷-夜勤")+COUNTIF('2月'!ED4:ED34,"渋谷-夜勤")+COUNTIF('2月'!EI4:EI34,"渋谷-夜勤")+COUNTIF('2月'!EN4:EN34,"渋谷-夜勤")+COUNTIF('2月'!ES4:ES34,"渋谷-夜勤"))</f>
        <v>0</v>
      </c>
      <c r="C26" s="76">
        <f>IF($A$26="",0,COUNTIF('2月'!E4:E34,$A$26)+COUNTIF('2月'!J4:J34,$A$26)+COUNTIF('2月'!O4:O34,$A$26)+COUNTIF('2月'!T4:T34,$A$26)+COUNTIF('2月'!Y4:Y34,$A$26)+COUNTIF('2月'!AD4:AD34,$A$26)+COUNTIF('2月'!AI4:AI34,$A$26)+COUNTIF('2月'!AN4:AN34,$A$26)+COUNTIF('2月'!AS4:AS34,$A$26)+COUNTIF('2月'!AX4:AX34,$A$26)+COUNTIF('2月'!BC4:BC34,$A$26)+COUNTIF('2月'!BH4:BH34,$A$26)+COUNTIF('2月'!BM4:BM34,$A$26)+COUNTIF('2月'!BR4:BR34,$A$26)+COUNTIF('2月'!BW4:BW34,$A$26)+COUNTIF('2月'!CB4:CB34,$A$26)+COUNTIF('2月'!CG4:CG34,$A$26)+COUNTIF('2月'!CL4:CL34,$A$26)+COUNTIF('2月'!CQ4:CQ34,$A$26)+COUNTIF('2月'!CV4:CV34,$A$26)+COUNTIF('2月'!DA4:DA34,$A$26)+COUNTIF('2月'!DF4:DF34,$A$26)+COUNTIF('2月'!DK4:DK34,$A$26)+COUNTIF('2月'!DP4:DP34,$A$26)+COUNTIF('2月'!DU4:DU34,$A$26)+COUNTIF('2月'!DZ4:DZ34,$A$26)+COUNTIF('2月'!EE4:EE34,$A$26)+COUNTIF('2月'!EJ4:EJ34,$A$26)+COUNTIF('2月'!EO4:EO34,$A$26)+COUNTIF('2月'!ET4:ET34,$A$26)+COUNTIF('2月'!E4:E34,"渋谷-夜勤")+COUNTIF('2月'!J4:J34,"渋谷-夜勤")+COUNTIF('2月'!O4:O34,"渋谷-夜勤")+COUNTIF('2月'!T4:T34,"渋谷-夜勤")+COUNTIF('2月'!Y4:Y34,"渋谷-夜勤")+COUNTIF('2月'!AD4:AD34,"渋谷-夜勤")+COUNTIF('2月'!AI4:AI34,"渋谷-夜勤")+COUNTIF('2月'!AN4:AN34,"渋谷-夜勤")+COUNTIF('2月'!AS4:AS34,"渋谷-夜勤")+COUNTIF('2月'!AX4:AX34,"渋谷-夜勤")+COUNTIF('2月'!BC4:BC34,"渋谷-夜勤")+COUNTIF('2月'!BH4:BH34,"渋谷-夜勤")+COUNTIF('2月'!BM4:BM34,"渋谷-夜勤")+COUNTIF('2月'!BR4:BR34,"渋谷-夜勤")+COUNTIF('2月'!BW4:BW34,"渋谷-夜勤")+COUNTIF('2月'!CB4:CB34,"渋谷-夜勤")+COUNTIF('2月'!CG4:CG34,"渋谷-夜勤")+COUNTIF('2月'!CL4:CL34,"渋谷-夜勤")+COUNTIF('2月'!CQ4:CQ34,"渋谷-夜勤")+COUNTIF('2月'!CV4:CV34,"渋谷-夜勤")+COUNTIF('2月'!DA4:DA34,"渋谷-夜勤")+COUNTIF('2月'!DF4:DF34,"渋谷-夜勤")+COUNTIF('2月'!DK4:DK34,"渋谷-夜勤")+COUNTIF('2月'!DP4:DP34,"渋谷-夜勤")+COUNTIF('2月'!DU4:DU34,"渋谷-夜勤")+COUNTIF('2月'!DZ4:DZ34,"渋谷-夜勤")+COUNTIF('2月'!EE4:EE34,"渋谷-夜勤")+COUNTIF('2月'!EJ4:EJ34,"渋谷-夜勤")+COUNTIF('2月'!EO4:EO34,"渋谷-夜勤")+COUNTIF('2月'!ET4:ET34,"渋谷-夜勤"))</f>
        <v>0</v>
      </c>
      <c r="D26" s="65">
        <f>IF($A$26="",0,B26+C26)</f>
        <v>0</v>
      </c>
    </row>
    <row r="27" spans="1:4" ht="18.95" customHeight="1">
      <c r="A27" s="77" t="str">
        <f>IFERROR(現場マスタ!$C$10,"")</f>
        <v>有給</v>
      </c>
      <c r="B27" s="76">
        <f>IF($A$27="",0,COUNTIF('2月'!D4:D34,$A$27)+COUNTIF('2月'!I4:I34,$A$27)+COUNTIF('2月'!N4:N34,$A$27)+COUNTIF('2月'!S4:S34,$A$27)+COUNTIF('2月'!X4:X34,$A$27)+COUNTIF('2月'!AC4:AC34,$A$27)+COUNTIF('2月'!AH4:AH34,$A$27)+COUNTIF('2月'!AM4:AM34,$A$27)+COUNTIF('2月'!AR4:AR34,$A$27)+COUNTIF('2月'!AW4:AW34,$A$27)+COUNTIF('2月'!BB4:BB34,$A$27)+COUNTIF('2月'!BG4:BG34,$A$27)+COUNTIF('2月'!BL4:BL34,$A$27)+COUNTIF('2月'!BQ4:BQ34,$A$27)+COUNTIF('2月'!BV4:BV34,$A$27)+COUNTIF('2月'!CA4:CA34,$A$27)+COUNTIF('2月'!CF4:CF34,$A$27)+COUNTIF('2月'!CK4:CK34,$A$27)+COUNTIF('2月'!CP4:CP34,$A$27)+COUNTIF('2月'!CU4:CU34,$A$27)+COUNTIF('2月'!CZ4:CZ34,$A$27)+COUNTIF('2月'!DE4:DE34,$A$27)+COUNTIF('2月'!DJ4:DJ34,$A$27)+COUNTIF('2月'!DO4:DO34,$A$27)+COUNTIF('2月'!DT4:DT34,$A$27)+COUNTIF('2月'!DY4:DY34,$A$27)+COUNTIF('2月'!ED4:ED34,$A$27)+COUNTIF('2月'!EI4:EI34,$A$27)+COUNTIF('2月'!EN4:EN34,$A$27)+COUNTIF('2月'!ES4:ES34,$A$27)+COUNTIF('2月'!D4:D34,"六本木-夜勤")+COUNTIF('2月'!I4:I34,"六本木-夜勤")+COUNTIF('2月'!N4:N34,"六本木-夜勤")+COUNTIF('2月'!S4:S34,"六本木-夜勤")+COUNTIF('2月'!X4:X34,"六本木-夜勤")+COUNTIF('2月'!AC4:AC34,"六本木-夜勤")+COUNTIF('2月'!AH4:AH34,"六本木-夜勤")+COUNTIF('2月'!AM4:AM34,"六本木-夜勤")+COUNTIF('2月'!AR4:AR34,"六本木-夜勤")+COUNTIF('2月'!AW4:AW34,"六本木-夜勤")+COUNTIF('2月'!BB4:BB34,"六本木-夜勤")+COUNTIF('2月'!BG4:BG34,"六本木-夜勤")+COUNTIF('2月'!BL4:BL34,"六本木-夜勤")+COUNTIF('2月'!BQ4:BQ34,"六本木-夜勤")+COUNTIF('2月'!BV4:BV34,"六本木-夜勤")+COUNTIF('2月'!CA4:CA34,"六本木-夜勤")+COUNTIF('2月'!CF4:CF34,"六本木-夜勤")+COUNTIF('2月'!CK4:CK34,"六本木-夜勤")+COUNTIF('2月'!CP4:CP34,"六本木-夜勤")+COUNTIF('2月'!CU4:CU34,"六本木-夜勤")+COUNTIF('2月'!CZ4:CZ34,"六本木-夜勤")+COUNTIF('2月'!DE4:DE34,"六本木-夜勤")+COUNTIF('2月'!DJ4:DJ34,"六本木-夜勤")+COUNTIF('2月'!DO4:DO34,"六本木-夜勤")+COUNTIF('2月'!DT4:DT34,"六本木-夜勤")+COUNTIF('2月'!DY4:DY34,"六本木-夜勤")+COUNTIF('2月'!ED4:ED34,"六本木-夜勤")+COUNTIF('2月'!EI4:EI34,"六本木-夜勤")+COUNTIF('2月'!EN4:EN34,"六本木-夜勤")+COUNTIF('2月'!ES4:ES34,"六本木-夜勤")+COUNTIF('2月'!D4:D34,"六本木ー夜勤")+COUNTIF('2月'!I4:I34,"六本木ー夜勤")+COUNTIF('2月'!N4:N34,"六本木ー夜勤")+COUNTIF('2月'!S4:S34,"六本木ー夜勤")+COUNTIF('2月'!X4:X34,"六本木ー夜勤")+COUNTIF('2月'!AC4:AC34,"六本木ー夜勤")+COUNTIF('2月'!AH4:AH34,"六本木ー夜勤")+COUNTIF('2月'!AM4:AM34,"六本木ー夜勤")+COUNTIF('2月'!AR4:AR34,"六本木ー夜勤")+COUNTIF('2月'!AW4:AW34,"六本木ー夜勤")+COUNTIF('2月'!BB4:BB34,"六本木ー夜勤")+COUNTIF('2月'!BG4:BG34,"六本木ー夜勤")+COUNTIF('2月'!BL4:BL34,"六本木ー夜勤")+COUNTIF('2月'!BQ4:BQ34,"六本木ー夜勤")+COUNTIF('2月'!BV4:BV34,"六本木ー夜勤")+COUNTIF('2月'!CA4:CA34,"六本木ー夜勤")+COUNTIF('2月'!CF4:CF34,"六本木ー夜勤")+COUNTIF('2月'!CK4:CK34,"六本木ー夜勤")+COUNTIF('2月'!CP4:CP34,"六本木ー夜勤")+COUNTIF('2月'!CU4:CU34,"六本木ー夜勤")+COUNTIF('2月'!CZ4:CZ34,"六本木ー夜勤")+COUNTIF('2月'!DE4:DE34,"六本木ー夜勤")+COUNTIF('2月'!DJ4:DJ34,"六本木ー夜勤")+COUNTIF('2月'!DO4:DO34,"六本木ー夜勤")+COUNTIF('2月'!DT4:DT34,"六本木ー夜勤")+COUNTIF('2月'!DY4:DY34,"六本木ー夜勤")+COUNTIF('2月'!ED4:ED34,"六本木ー夜勤")+COUNTIF('2月'!EI4:EI34,"六本木ー夜勤")+COUNTIF('2月'!EN4:EN34,"六本木ー夜勤")+COUNTIF('2月'!ES4:ES34,"六本木ー夜勤"))</f>
        <v>0</v>
      </c>
      <c r="C27" s="76">
        <f>IF($A$27="",0,COUNTIF('2月'!E4:E34,$A$27)+COUNTIF('2月'!J4:J34,$A$27)+COUNTIF('2月'!O4:O34,$A$27)+COUNTIF('2月'!T4:T34,$A$27)+COUNTIF('2月'!Y4:Y34,$A$27)+COUNTIF('2月'!AD4:AD34,$A$27)+COUNTIF('2月'!AI4:AI34,$A$27)+COUNTIF('2月'!AN4:AN34,$A$27)+COUNTIF('2月'!AS4:AS34,$A$27)+COUNTIF('2月'!AX4:AX34,$A$27)+COUNTIF('2月'!BC4:BC34,$A$27)+COUNTIF('2月'!BH4:BH34,$A$27)+COUNTIF('2月'!BM4:BM34,$A$27)+COUNTIF('2月'!BR4:BR34,$A$27)+COUNTIF('2月'!BW4:BW34,$A$27)+COUNTIF('2月'!CB4:CB34,$A$27)+COUNTIF('2月'!CG4:CG34,$A$27)+COUNTIF('2月'!CL4:CL34,$A$27)+COUNTIF('2月'!CQ4:CQ34,$A$27)+COUNTIF('2月'!CV4:CV34,$A$27)+COUNTIF('2月'!DA4:DA34,$A$27)+COUNTIF('2月'!DF4:DF34,$A$27)+COUNTIF('2月'!DK4:DK34,$A$27)+COUNTIF('2月'!DP4:DP34,$A$27)+COUNTIF('2月'!DU4:DU34,$A$27)+COUNTIF('2月'!DZ4:DZ34,$A$27)+COUNTIF('2月'!EE4:EE34,$A$27)+COUNTIF('2月'!EJ4:EJ34,$A$27)+COUNTIF('2月'!EO4:EO34,$A$27)+COUNTIF('2月'!ET4:ET34,$A$27)+COUNTIF('2月'!E4:E34,"六本木-夜勤")+COUNTIF('2月'!J4:J34,"六本木-夜勤")+COUNTIF('2月'!O4:O34,"六本木-夜勤")+COUNTIF('2月'!T4:T34,"六本木-夜勤")+COUNTIF('2月'!Y4:Y34,"六本木-夜勤")+COUNTIF('2月'!AD4:AD34,"六本木-夜勤")+COUNTIF('2月'!AI4:AI34,"六本木-夜勤")+COUNTIF('2月'!AN4:AN34,"六本木-夜勤")+COUNTIF('2月'!AS4:AS34,"六本木-夜勤")+COUNTIF('2月'!AX4:AX34,"六本木-夜勤")+COUNTIF('2月'!BC4:BC34,"六本木-夜勤")+COUNTIF('2月'!BH4:BH34,"六本木-夜勤")+COUNTIF('2月'!BM4:BM34,"六本木-夜勤")+COUNTIF('2月'!BR4:BR34,"六本木-夜勤")+COUNTIF('2月'!BW4:BW34,"六本木-夜勤")+COUNTIF('2月'!CB4:CB34,"六本木-夜勤")+COUNTIF('2月'!CG4:CG34,"六本木-夜勤")+COUNTIF('2月'!CL4:CL34,"六本木-夜勤")+COUNTIF('2月'!CQ4:CQ34,"六本木-夜勤")+COUNTIF('2月'!CV4:CV34,"六本木-夜勤")+COUNTIF('2月'!DA4:DA34,"六本木-夜勤")+COUNTIF('2月'!DF4:DF34,"六本木-夜勤")+COUNTIF('2月'!DK4:DK34,"六本木-夜勤")+COUNTIF('2月'!DP4:DP34,"六本木-夜勤")+COUNTIF('2月'!DU4:DU34,"六本木-夜勤")+COUNTIF('2月'!DZ4:DZ34,"六本木-夜勤")+COUNTIF('2月'!EE4:EE34,"六本木-夜勤")+COUNTIF('2月'!EJ4:EJ34,"六本木-夜勤")+COUNTIF('2月'!EO4:EO34,"六本木-夜勤")+COUNTIF('2月'!ET4:ET34,"六本木-夜勤")+COUNTIF('2月'!E4:E34,"六本木ー夜勤")+COUNTIF('2月'!J4:J34,"六本木ー夜勤")+COUNTIF('2月'!O4:O34,"六本木ー夜勤")+COUNTIF('2月'!T4:T34,"六本木ー夜勤")+COUNTIF('2月'!Y4:Y34,"六本木ー夜勤")+COUNTIF('2月'!AD4:AD34,"六本木ー夜勤")+COUNTIF('2月'!AI4:AI34,"六本木ー夜勤")+COUNTIF('2月'!AN4:AN34,"六本木ー夜勤")+COUNTIF('2月'!AS4:AS34,"六本木ー夜勤")+COUNTIF('2月'!AX4:AX34,"六本木ー夜勤")+COUNTIF('2月'!BC4:BC34,"六本木ー夜勤")+COUNTIF('2月'!BH4:BH34,"六本木ー夜勤")+COUNTIF('2月'!BM4:BM34,"六本木ー夜勤")+COUNTIF('2月'!BR4:BR34,"六本木ー夜勤")+COUNTIF('2月'!BW4:BW34,"六本木ー夜勤")+COUNTIF('2月'!CB4:CB34,"六本木ー夜勤")+COUNTIF('2月'!CG4:CG34,"六本木ー夜勤")+COUNTIF('2月'!CL4:CL34,"六本木ー夜勤")+COUNTIF('2月'!CQ4:CQ34,"六本木ー夜勤")+COUNTIF('2月'!CV4:CV34,"六本木ー夜勤")+COUNTIF('2月'!DA4:DA34,"六本木ー夜勤")+COUNTIF('2月'!DF4:DF34,"六本木ー夜勤")+COUNTIF('2月'!DK4:DK34,"六本木ー夜勤")+COUNTIF('2月'!DP4:DP34,"六本木ー夜勤")+COUNTIF('2月'!DU4:DU34,"六本木ー夜勤")+COUNTIF('2月'!DZ4:DZ34,"六本木ー夜勤")+COUNTIF('2月'!EE4:EE34,"六本木ー夜勤")+COUNTIF('2月'!EJ4:EJ34,"六本木ー夜勤")+COUNTIF('2月'!EO4:EO34,"六本木ー夜勤")+COUNTIF('2月'!ET4:ET34,"六本木ー夜勤"))</f>
        <v>0</v>
      </c>
      <c r="D27" s="65">
        <f>IF($A$27="",0,B27+C27)</f>
        <v>0</v>
      </c>
    </row>
    <row r="28" spans="1:4" ht="18.95" customHeight="1">
      <c r="A28" s="77">
        <f>IFERROR(現場マスタ!$C$11,"")</f>
        <v>0</v>
      </c>
      <c r="B28" s="76">
        <v>0</v>
      </c>
      <c r="C28" s="76">
        <v>0</v>
      </c>
      <c r="D28" s="65">
        <v>0</v>
      </c>
    </row>
    <row r="29" spans="1:4" ht="18.95" customHeight="1">
      <c r="A29" s="77">
        <f>IFERROR(現場マスタ!$C$12,"")</f>
        <v>0</v>
      </c>
      <c r="B29" s="76">
        <f>IF($A$29="",0,COUNTIF('2月'!D4:D34,$A$29)+COUNTIF('2月'!I4:I34,$A$29)+COUNTIF('2月'!N4:N34,$A$29)+COUNTIF('2月'!S4:S34,$A$29)+COUNTIF('2月'!X4:X34,$A$29)+COUNTIF('2月'!AC4:AC34,$A$29)+COUNTIF('2月'!AH4:AH34,$A$29)+COUNTIF('2月'!AM4:AM34,$A$29)+COUNTIF('2月'!AR4:AR34,$A$29)+COUNTIF('2月'!AW4:AW34,$A$29)+COUNTIF('2月'!BB4:BB34,$A$29)+COUNTIF('2月'!BG4:BG34,$A$29)+COUNTIF('2月'!BL4:BL34,$A$29)+COUNTIF('2月'!BQ4:BQ34,$A$29)+COUNTIF('2月'!BV4:BV34,$A$29)+COUNTIF('2月'!CA4:CA34,$A$29)+COUNTIF('2月'!CF4:CF34,$A$29)+COUNTIF('2月'!CK4:CK34,$A$29)+COUNTIF('2月'!CP4:CP34,$A$29)+COUNTIF('2月'!CU4:CU34,$A$29)+COUNTIF('2月'!CZ4:CZ34,$A$29)+COUNTIF('2月'!DE4:DE34,$A$29)+COUNTIF('2月'!DJ4:DJ34,$A$29)+COUNTIF('2月'!DO4:DO34,$A$29)+COUNTIF('2月'!DT4:DT34,$A$29)+COUNTIF('2月'!DY4:DY34,$A$29)+COUNTIF('2月'!ED4:ED34,$A$29)+COUNTIF('2月'!EI4:EI34,$A$29)+COUNTIF('2月'!EN4:EN34,$A$29)+COUNTIF('2月'!ES4:ES34,$A$29))</f>
        <v>0</v>
      </c>
      <c r="C29" s="76">
        <f>IF($A$29="",0,COUNTIF('2月'!E4:E34,$A$29)+COUNTIF('2月'!J4:J34,$A$29)+COUNTIF('2月'!O4:O34,$A$29)+COUNTIF('2月'!T4:T34,$A$29)+COUNTIF('2月'!Y4:Y34,$A$29)+COUNTIF('2月'!AD4:AD34,$A$29)+COUNTIF('2月'!AI4:AI34,$A$29)+COUNTIF('2月'!AN4:AN34,$A$29)+COUNTIF('2月'!AS4:AS34,$A$29)+COUNTIF('2月'!AX4:AX34,$A$29)+COUNTIF('2月'!BC4:BC34,$A$29)+COUNTIF('2月'!BH4:BH34,$A$29)+COUNTIF('2月'!BM4:BM34,$A$29)+COUNTIF('2月'!BR4:BR34,$A$29)+COUNTIF('2月'!BW4:BW34,$A$29)+COUNTIF('2月'!CB4:CB34,$A$29)+COUNTIF('2月'!CG4:CG34,$A$29)+COUNTIF('2月'!CL4:CL34,$A$29)+COUNTIF('2月'!CQ4:CQ34,$A$29)+COUNTIF('2月'!CV4:CV34,$A$29)+COUNTIF('2月'!DA4:DA34,$A$29)+COUNTIF('2月'!DF4:DF34,$A$29)+COUNTIF('2月'!DK4:DK34,$A$29)+COUNTIF('2月'!DP4:DP34,$A$29)+COUNTIF('2月'!DU4:DU34,$A$29)+COUNTIF('2月'!DZ4:DZ34,$A$29)+COUNTIF('2月'!EE4:EE34,$A$29)+COUNTIF('2月'!EJ4:EJ34,$A$29)+COUNTIF('2月'!EO4:EO34,$A$29)+COUNTIF('2月'!ET4:ET34,$A$29))</f>
        <v>0</v>
      </c>
      <c r="D29" s="65">
        <f>IF($A$29="",0,B29+C29)</f>
        <v>0</v>
      </c>
    </row>
    <row r="30" spans="1:4" ht="18.95" customHeight="1">
      <c r="A30" s="77">
        <f>IFERROR(現場マスタ!$C$14,"")</f>
        <v>0</v>
      </c>
      <c r="B30" s="76">
        <v>0</v>
      </c>
      <c r="C30" s="76">
        <v>0</v>
      </c>
      <c r="D30" s="65">
        <v>0</v>
      </c>
    </row>
    <row r="31" spans="1:4" ht="18.95" customHeight="1">
      <c r="A31" s="77">
        <f>IFERROR(現場マスタ!$C$15,"")</f>
        <v>0</v>
      </c>
      <c r="B31" s="76">
        <v>0</v>
      </c>
      <c r="C31" s="76">
        <v>0</v>
      </c>
      <c r="D31" s="65">
        <v>0</v>
      </c>
    </row>
    <row r="32" spans="1:4" ht="18.95" customHeight="1">
      <c r="A32" s="77">
        <f>IFERROR(現場マスタ!$C$16,"")</f>
        <v>0</v>
      </c>
      <c r="B32" s="76">
        <f>IF($A$32="",0,COUNTIF('2月'!D4:D34,$A$32)+COUNTIF('2月'!I4:I34,$A$32)+COUNTIF('2月'!N4:N34,$A$32)+COUNTIF('2月'!S4:S34,$A$32)+COUNTIF('2月'!X4:X34,$A$32)+COUNTIF('2月'!AC4:AC34,$A$32)+COUNTIF('2月'!AH4:AH34,$A$32)+COUNTIF('2月'!AM4:AM34,$A$32)+COUNTIF('2月'!AR4:AR34,$A$32)+COUNTIF('2月'!AW4:AW34,$A$32)+COUNTIF('2月'!BB4:BB34,$A$32)+COUNTIF('2月'!BG4:BG34,$A$32)+COUNTIF('2月'!BL4:BL34,$A$32)+COUNTIF('2月'!BQ4:BQ34,$A$32)+COUNTIF('2月'!BV4:BV34,$A$32)+COUNTIF('2月'!CA4:CA34,$A$32)+COUNTIF('2月'!CF4:CF34,$A$32)+COUNTIF('2月'!CK4:CK34,$A$32)+COUNTIF('2月'!CP4:CP34,$A$32)+COUNTIF('2月'!CU4:CU34,$A$32)+COUNTIF('2月'!CZ4:CZ34,$A$32)+COUNTIF('2月'!DE4:DE34,$A$32)+COUNTIF('2月'!DJ4:DJ34,$A$32)+COUNTIF('2月'!DO4:DO34,$A$32)+COUNTIF('2月'!DT4:DT34,$A$32)+COUNTIF('2月'!DY4:DY34,$A$32)+COUNTIF('2月'!ED4:ED34,$A$32)+COUNTIF('2月'!EI4:EI34,$A$32)+COUNTIF('2月'!EN4:EN34,$A$32)+COUNTIF('2月'!ES4:ES34,$A$32)+COUNTIF('2月'!D4:D34,"三軒茶屋－夜勤")+COUNTIF('2月'!I4:I34,"三軒茶屋－夜勤")+COUNTIF('2月'!N4:N34,"三軒茶屋－夜勤")+COUNTIF('2月'!S4:S34,"三軒茶屋－夜勤")+COUNTIF('2月'!X4:X34,"三軒茶屋－夜勤")+COUNTIF('2月'!AC4:AC34,"三軒茶屋－夜勤")+COUNTIF('2月'!AH4:AH34,"三軒茶屋－夜勤")+COUNTIF('2月'!AM4:AM34,"三軒茶屋－夜勤")+COUNTIF('2月'!AR4:AR34,"三軒茶屋－夜勤")+COUNTIF('2月'!AW4:AW34,"三軒茶屋－夜勤")+COUNTIF('2月'!BB4:BB34,"三軒茶屋－夜勤")+COUNTIF('2月'!BG4:BG34,"三軒茶屋－夜勤")+COUNTIF('2月'!BL4:BL34,"三軒茶屋－夜勤")+COUNTIF('2月'!BQ4:BQ34,"三軒茶屋－夜勤")+COUNTIF('2月'!BV4:BV34,"三軒茶屋－夜勤")+COUNTIF('2月'!CA4:CA34,"三軒茶屋－夜勤")+COUNTIF('2月'!CF4:CF34,"三軒茶屋－夜勤")+COUNTIF('2月'!CK4:CK34,"三軒茶屋－夜勤")+COUNTIF('2月'!CP4:CP34,"三軒茶屋－夜勤")+COUNTIF('2月'!CU4:CU34,"三軒茶屋－夜勤")+COUNTIF('2月'!CZ4:CZ34,"三軒茶屋－夜勤")+COUNTIF('2月'!DE4:DE34,"三軒茶屋－夜勤")+COUNTIF('2月'!DJ4:DJ34,"三軒茶屋－夜勤")+COUNTIF('2月'!DO4:DO34,"三軒茶屋－夜勤")+COUNTIF('2月'!DT4:DT34,"三軒茶屋－夜勤")+COUNTIF('2月'!DY4:DY34,"三軒茶屋－夜勤")+COUNTIF('2月'!ED4:ED34,"三軒茶屋－夜勤")+COUNTIF('2月'!EI4:EI34,"三軒茶屋－夜勤")+COUNTIF('2月'!EN4:EN34,"三軒茶屋－夜勤")+COUNTIF('2月'!ES4:ES34,"三軒茶屋－夜勤"))</f>
        <v>0</v>
      </c>
      <c r="C32" s="76">
        <f>IF($A$32="",0,COUNTIF('2月'!E4:E34,$A$32)+COUNTIF('2月'!J4:J34,$A$32)+COUNTIF('2月'!O4:O34,$A$32)+COUNTIF('2月'!T4:T34,$A$32)+COUNTIF('2月'!Y4:Y34,$A$32)+COUNTIF('2月'!AD4:AD34,$A$32)+COUNTIF('2月'!AI4:AI34,$A$32)+COUNTIF('2月'!AN4:AN34,$A$32)+COUNTIF('2月'!AS4:AS34,$A$32)+COUNTIF('2月'!AX4:AX34,$A$32)+COUNTIF('2月'!BC4:BC34,$A$32)+COUNTIF('2月'!BH4:BH34,$A$32)+COUNTIF('2月'!BM4:BM34,$A$32)+COUNTIF('2月'!BR4:BR34,$A$32)+COUNTIF('2月'!BW4:BW34,$A$32)+COUNTIF('2月'!CB4:CB34,$A$32)+COUNTIF('2月'!CG4:CG34,$A$32)+COUNTIF('2月'!CL4:CL34,$A$32)+COUNTIF('2月'!CQ4:CQ34,$A$32)+COUNTIF('2月'!CV4:CV34,$A$32)+COUNTIF('2月'!DA4:DA34,$A$32)+COUNTIF('2月'!DF4:DF34,$A$32)+COUNTIF('2月'!DK4:DK34,$A$32)+COUNTIF('2月'!DP4:DP34,$A$32)+COUNTIF('2月'!DU4:DU34,$A$32)+COUNTIF('2月'!DZ4:DZ34,$A$32)+COUNTIF('2月'!EE4:EE34,$A$32)+COUNTIF('2月'!EJ4:EJ34,$A$32)+COUNTIF('2月'!EO4:EO34,$A$32)+COUNTIF('2月'!ET4:ET34,$A$32)+COUNTIF('2月'!E4:E34,"三軒茶屋－夜勤")+COUNTIF('2月'!J4:J34,"三軒茶屋－夜勤")+COUNTIF('2月'!O4:O34,"三軒茶屋－夜勤")+COUNTIF('2月'!T4:T34,"三軒茶屋－夜勤")+COUNTIF('2月'!Y4:Y34,"三軒茶屋－夜勤")+COUNTIF('2月'!AD4:AD34,"三軒茶屋－夜勤")+COUNTIF('2月'!AI4:AI34,"三軒茶屋－夜勤")+COUNTIF('2月'!AN4:AN34,"三軒茶屋－夜勤")+COUNTIF('2月'!AS4:AS34,"三軒茶屋－夜勤")+COUNTIF('2月'!AX4:AX34,"三軒茶屋－夜勤")+COUNTIF('2月'!BC4:BC34,"三軒茶屋－夜勤")+COUNTIF('2月'!BH4:BH34,"三軒茶屋－夜勤")+COUNTIF('2月'!BM4:BM34,"三軒茶屋－夜勤")+COUNTIF('2月'!BR4:BR34,"三軒茶屋－夜勤")+COUNTIF('2月'!BW4:BW34,"三軒茶屋－夜勤")+COUNTIF('2月'!CB4:CB34,"三軒茶屋－夜勤")+COUNTIF('2月'!CG4:CG34,"三軒茶屋－夜勤")+COUNTIF('2月'!CL4:CL34,"三軒茶屋－夜勤")+COUNTIF('2月'!CQ4:CQ34,"三軒茶屋－夜勤")+COUNTIF('2月'!CV4:CV34,"三軒茶屋－夜勤")+COUNTIF('2月'!DA4:DA34,"三軒茶屋－夜勤")+COUNTIF('2月'!DF4:DF34,"三軒茶屋－夜勤")+COUNTIF('2月'!DK4:DK34,"三軒茶屋－夜勤")+COUNTIF('2月'!DP4:DP34,"三軒茶屋－夜勤")+COUNTIF('2月'!DU4:DU34,"三軒茶屋－夜勤")+COUNTIF('2月'!DZ4:DZ34,"三軒茶屋－夜勤")+COUNTIF('2月'!EE4:EE34,"三軒茶屋－夜勤")+COUNTIF('2月'!EJ4:EJ34,"三軒茶屋－夜勤")+COUNTIF('2月'!EO4:EO34,"三軒茶屋－夜勤")+COUNTIF('2月'!ET4:ET34,"三軒茶屋－夜勤"))</f>
        <v>0</v>
      </c>
      <c r="D32" s="65">
        <f>IF($A$32="",0,B32+C32)</f>
        <v>0</v>
      </c>
    </row>
    <row r="33" spans="1:4" ht="18.95" customHeight="1">
      <c r="A33" s="77">
        <f>IFERROR(現場マスタ!$C$17,"")</f>
        <v>0</v>
      </c>
      <c r="B33" s="76">
        <f>IF($A$33="",0,COUNTIF('2月'!D4:D34,$A$33)+COUNTIF('2月'!I4:I34,$A$33)+COUNTIF('2月'!N4:N34,$A$33)+COUNTIF('2月'!S4:S34,$A$33)+COUNTIF('2月'!X4:X34,$A$33)+COUNTIF('2月'!AC4:AC34,$A$33)+COUNTIF('2月'!AH4:AH34,$A$33)+COUNTIF('2月'!AM4:AM34,$A$33)+COUNTIF('2月'!AR4:AR34,$A$33)+COUNTIF('2月'!AW4:AW34,$A$33)+COUNTIF('2月'!BB4:BB34,$A$33)+COUNTIF('2月'!BG4:BG34,$A$33)+COUNTIF('2月'!BL4:BL34,$A$33)+COUNTIF('2月'!BQ4:BQ34,$A$33)+COUNTIF('2月'!BV4:BV34,$A$33)+COUNTIF('2月'!CA4:CA34,$A$33)+COUNTIF('2月'!CF4:CF34,$A$33)+COUNTIF('2月'!CK4:CK34,$A$33)+COUNTIF('2月'!CP4:CP34,$A$33)+COUNTIF('2月'!CU4:CU34,$A$33)+COUNTIF('2月'!CZ4:CZ34,$A$33)+COUNTIF('2月'!DE4:DE34,$A$33)+COUNTIF('2月'!DJ4:DJ34,$A$33)+COUNTIF('2月'!DO4:DO34,$A$33)+COUNTIF('2月'!DT4:DT34,$A$33)+COUNTIF('2月'!DY4:DY34,$A$33)+COUNTIF('2月'!ED4:ED34,$A$33)+COUNTIF('2月'!EI4:EI34,$A$33)+COUNTIF('2月'!EN4:EN34,$A$33)+COUNTIF('2月'!ES4:ES34,$A$33)+COUNTIF('2月'!D4:D34,"荻窪ー夜勤")+COUNTIF('2月'!I4:I34,"荻窪ー夜勤")+COUNTIF('2月'!N4:N34,"荻窪ー夜勤")+COUNTIF('2月'!S4:S34,"荻窪ー夜勤")+COUNTIF('2月'!X4:X34,"荻窪ー夜勤")+COUNTIF('2月'!AC4:AC34,"荻窪ー夜勤")+COUNTIF('2月'!AH4:AH34,"荻窪ー夜勤")+COUNTIF('2月'!AM4:AM34,"荻窪ー夜勤")+COUNTIF('2月'!AR4:AR34,"荻窪ー夜勤")+COUNTIF('2月'!AW4:AW34,"荻窪ー夜勤")+COUNTIF('2月'!BB4:BB34,"荻窪ー夜勤")+COUNTIF('2月'!BG4:BG34,"荻窪ー夜勤")+COUNTIF('2月'!BL4:BL34,"荻窪ー夜勤")+COUNTIF('2月'!BQ4:BQ34,"荻窪ー夜勤")+COUNTIF('2月'!BV4:BV34,"荻窪ー夜勤")+COUNTIF('2月'!CA4:CA34,"荻窪ー夜勤")+COUNTIF('2月'!CF4:CF34,"荻窪ー夜勤")+COUNTIF('2月'!CK4:CK34,"荻窪ー夜勤")+COUNTIF('2月'!CP4:CP34,"荻窪ー夜勤")+COUNTIF('2月'!CU4:CU34,"荻窪ー夜勤")+COUNTIF('2月'!CZ4:CZ34,"荻窪ー夜勤")+COUNTIF('2月'!DE4:DE34,"荻窪ー夜勤")+COUNTIF('2月'!DJ4:DJ34,"荻窪ー夜勤")+COUNTIF('2月'!DO4:DO34,"荻窪ー夜勤")+COUNTIF('2月'!DT4:DT34,"荻窪ー夜勤")+COUNTIF('2月'!DY4:DY34,"荻窪ー夜勤")+COUNTIF('2月'!ED4:ED34,"荻窪ー夜勤")+COUNTIF('2月'!EI4:EI34,"荻窪ー夜勤")+COUNTIF('2月'!EN4:EN34,"荻窪ー夜勤")+COUNTIF('2月'!ES4:ES34,"荻窪ー夜勤"))</f>
        <v>0</v>
      </c>
      <c r="C33" s="76">
        <f>IF($A$33="",0,COUNTIF('2月'!E4:E34,$A$33)+COUNTIF('2月'!J4:J34,$A$33)+COUNTIF('2月'!O4:O34,$A$33)+COUNTIF('2月'!T4:T34,$A$33)+COUNTIF('2月'!Y4:Y34,$A$33)+COUNTIF('2月'!AD4:AD34,$A$33)+COUNTIF('2月'!AI4:AI34,$A$33)+COUNTIF('2月'!AN4:AN34,$A$33)+COUNTIF('2月'!AS4:AS34,$A$33)+COUNTIF('2月'!AX4:AX34,$A$33)+COUNTIF('2月'!BC4:BC34,$A$33)+COUNTIF('2月'!BH4:BH34,$A$33)+COUNTIF('2月'!BM4:BM34,$A$33)+COUNTIF('2月'!BR4:BR34,$A$33)+COUNTIF('2月'!BW4:BW34,$A$33)+COUNTIF('2月'!CB4:CB34,$A$33)+COUNTIF('2月'!CG4:CG34,$A$33)+COUNTIF('2月'!CL4:CL34,$A$33)+COUNTIF('2月'!CQ4:CQ34,$A$33)+COUNTIF('2月'!CV4:CV34,$A$33)+COUNTIF('2月'!DA4:DA34,$A$33)+COUNTIF('2月'!DF4:DF34,$A$33)+COUNTIF('2月'!DK4:DK34,$A$33)+COUNTIF('2月'!DP4:DP34,$A$33)+COUNTIF('2月'!DU4:DU34,$A$33)+COUNTIF('2月'!DZ4:DZ34,$A$33)+COUNTIF('2月'!EE4:EE34,$A$33)+COUNTIF('2月'!EJ4:EJ34,$A$33)+COUNTIF('2月'!EO4:EO34,$A$33)+COUNTIF('2月'!ET4:ET34,$A$33)+COUNTIF('2月'!E4:E34,"荻窪ー夜勤")+COUNTIF('2月'!J4:J34,"荻窪ー夜勤")+COUNTIF('2月'!O4:O34,"荻窪ー夜勤")+COUNTIF('2月'!T4:T34,"荻窪ー夜勤")+COUNTIF('2月'!Y4:Y34,"荻窪ー夜勤")+COUNTIF('2月'!AD4:AD34,"荻窪ー夜勤")+COUNTIF('2月'!AI4:AI34,"荻窪ー夜勤")+COUNTIF('2月'!AN4:AN34,"荻窪ー夜勤")+COUNTIF('2月'!AS4:AS34,"荻窪ー夜勤")+COUNTIF('2月'!AX4:AX34,"荻窪ー夜勤")+COUNTIF('2月'!BC4:BC34,"荻窪ー夜勤")+COUNTIF('2月'!BH4:BH34,"荻窪ー夜勤")+COUNTIF('2月'!BM4:BM34,"荻窪ー夜勤")+COUNTIF('2月'!BR4:BR34,"荻窪ー夜勤")+COUNTIF('2月'!BW4:BW34,"荻窪ー夜勤")+COUNTIF('2月'!CB4:CB34,"荻窪ー夜勤")+COUNTIF('2月'!CG4:CG34,"荻窪ー夜勤")+COUNTIF('2月'!CL4:CL34,"荻窪ー夜勤")+COUNTIF('2月'!CQ4:CQ34,"荻窪ー夜勤")+COUNTIF('2月'!CV4:CV34,"荻窪ー夜勤")+COUNTIF('2月'!DA4:DA34,"荻窪ー夜勤")+COUNTIF('2月'!DF4:DF34,"荻窪ー夜勤")+COUNTIF('2月'!DK4:DK34,"荻窪ー夜勤")+COUNTIF('2月'!DP4:DP34,"荻窪ー夜勤")+COUNTIF('2月'!DU4:DU34,"荻窪ー夜勤")+COUNTIF('2月'!DZ4:DZ34,"荻窪ー夜勤")+COUNTIF('2月'!EE4:EE34,"荻窪ー夜勤")+COUNTIF('2月'!EJ4:EJ34,"荻窪ー夜勤")+COUNTIF('2月'!EO4:EO34,"荻窪ー夜勤")+COUNTIF('2月'!ET4:ET34,"荻窪ー夜勤"))</f>
        <v>0</v>
      </c>
      <c r="D33" s="65">
        <f>IF($A$33="",0,B33+C33)</f>
        <v>0</v>
      </c>
    </row>
    <row r="34" spans="1:4" ht="18.95" customHeight="1">
      <c r="A34" s="77">
        <f>IFERROR(現場マスタ!$C$18,"")</f>
        <v>0</v>
      </c>
      <c r="B34" s="76">
        <f>IF($A$34="",0,COUNTIF('2月'!D4:D34,$A$34)+COUNTIF('2月'!I4:I34,$A$34)+COUNTIF('2月'!N4:N34,$A$34)+COUNTIF('2月'!S4:S34,$A$34)+COUNTIF('2月'!X4:X34,$A$34)+COUNTIF('2月'!AC4:AC34,$A$34)+COUNTIF('2月'!AH4:AH34,$A$34)+COUNTIF('2月'!AM4:AM34,$A$34)+COUNTIF('2月'!AR4:AR34,$A$34)+COUNTIF('2月'!AW4:AW34,$A$34)+COUNTIF('2月'!BB4:BB34,$A$34)+COUNTIF('2月'!BG4:BG34,$A$34)+COUNTIF('2月'!BL4:BL34,$A$34)+COUNTIF('2月'!BQ4:BQ34,$A$34)+COUNTIF('2月'!BV4:BV34,$A$34)+COUNTIF('2月'!CA4:CA34,$A$34)+COUNTIF('2月'!CF4:CF34,$A$34)+COUNTIF('2月'!CK4:CK34,$A$34)+COUNTIF('2月'!CP4:CP34,$A$34)+COUNTIF('2月'!CU4:CU34,$A$34)+COUNTIF('2月'!CZ4:CZ34,$A$34)+COUNTIF('2月'!DE4:DE34,$A$34)+COUNTIF('2月'!DJ4:DJ34,$A$34)+COUNTIF('2月'!DO4:DO34,$A$34)+COUNTIF('2月'!DT4:DT34,$A$34)+COUNTIF('2月'!DY4:DY34,$A$34)+COUNTIF('2月'!ED4:ED34,$A$34)+COUNTIF('2月'!EI4:EI34,$A$34)+COUNTIF('2月'!EN4:EN34,$A$34)+COUNTIF('2月'!ES4:ES34,$A$34))</f>
        <v>0</v>
      </c>
      <c r="C34" s="76">
        <f>IF($A$34="",0,COUNTIF('2月'!E4:E34,$A$34)+COUNTIF('2月'!J4:J34,$A$34)+COUNTIF('2月'!O4:O34,$A$34)+COUNTIF('2月'!T4:T34,$A$34)+COUNTIF('2月'!Y4:Y34,$A$34)+COUNTIF('2月'!AD4:AD34,$A$34)+COUNTIF('2月'!AI4:AI34,$A$34)+COUNTIF('2月'!AN4:AN34,$A$34)+COUNTIF('2月'!AS4:AS34,$A$34)+COUNTIF('2月'!AX4:AX34,$A$34)+COUNTIF('2月'!BC4:BC34,$A$34)+COUNTIF('2月'!BH4:BH34,$A$34)+COUNTIF('2月'!BM4:BM34,$A$34)+COUNTIF('2月'!BR4:BR34,$A$34)+COUNTIF('2月'!BW4:BW34,$A$34)+COUNTIF('2月'!CB4:CB34,$A$34)+COUNTIF('2月'!CG4:CG34,$A$34)+COUNTIF('2月'!CL4:CL34,$A$34)+COUNTIF('2月'!CQ4:CQ34,$A$34)+COUNTIF('2月'!CV4:CV34,$A$34)+COUNTIF('2月'!DA4:DA34,$A$34)+COUNTIF('2月'!DF4:DF34,$A$34)+COUNTIF('2月'!DK4:DK34,$A$34)+COUNTIF('2月'!DP4:DP34,$A$34)+COUNTIF('2月'!DU4:DU34,$A$34)+COUNTIF('2月'!DZ4:DZ34,$A$34)+COUNTIF('2月'!EE4:EE34,$A$34)+COUNTIF('2月'!EJ4:EJ34,$A$34)+COUNTIF('2月'!EO4:EO34,$A$34)+COUNTIF('2月'!ET4:ET34,$A$34))</f>
        <v>0</v>
      </c>
      <c r="D34" s="65">
        <f>IF($A$34="",0,B34+C34)</f>
        <v>0</v>
      </c>
    </row>
    <row r="35" spans="1:4" ht="18.95" customHeight="1">
      <c r="A35" s="77">
        <f>IFERROR(現場マスタ!$C$20,"")</f>
        <v>0</v>
      </c>
      <c r="B35" s="76">
        <f>IF($A$35="",0,COUNTIF('2月'!D4:D34,$A$35)+COUNTIF('2月'!I4:I34,$A$35)+COUNTIF('2月'!N4:N34,$A$35)+COUNTIF('2月'!S4:S34,$A$35)+COUNTIF('2月'!X4:X34,$A$35)+COUNTIF('2月'!AC4:AC34,$A$35)+COUNTIF('2月'!AH4:AH34,$A$35)+COUNTIF('2月'!AM4:AM34,$A$35)+COUNTIF('2月'!AR4:AR34,$A$35)+COUNTIF('2月'!AW4:AW34,$A$35)+COUNTIF('2月'!BB4:BB34,$A$35)+COUNTIF('2月'!BG4:BG34,$A$35)+COUNTIF('2月'!BL4:BL34,$A$35)+COUNTIF('2月'!BQ4:BQ34,$A$35)+COUNTIF('2月'!BV4:BV34,$A$35)+COUNTIF('2月'!CA4:CA34,$A$35)+COUNTIF('2月'!CF4:CF34,$A$35)+COUNTIF('2月'!CK4:CK34,$A$35)+COUNTIF('2月'!CP4:CP34,$A$35)+COUNTIF('2月'!CU4:CU34,$A$35)+COUNTIF('2月'!CZ4:CZ34,$A$35)+COUNTIF('2月'!DE4:DE34,$A$35)+COUNTIF('2月'!DJ4:DJ34,$A$35)+COUNTIF('2月'!DO4:DO34,$A$35)+COUNTIF('2月'!DT4:DT34,$A$35)+COUNTIF('2月'!DY4:DY34,$A$35)+COUNTIF('2月'!ED4:ED34,$A$35)+COUNTIF('2月'!EI4:EI34,$A$35)+COUNTIF('2月'!EN4:EN34,$A$35)+COUNTIF('2月'!ES4:ES34,$A$35))</f>
        <v>0</v>
      </c>
      <c r="C35" s="76">
        <f>IF($A$35="",0,COUNTIF('2月'!E4:E34,$A$35)+COUNTIF('2月'!J4:J34,$A$35)+COUNTIF('2月'!O4:O34,$A$35)+COUNTIF('2月'!T4:T34,$A$35)+COUNTIF('2月'!Y4:Y34,$A$35)+COUNTIF('2月'!AD4:AD34,$A$35)+COUNTIF('2月'!AI4:AI34,$A$35)+COUNTIF('2月'!AN4:AN34,$A$35)+COUNTIF('2月'!AS4:AS34,$A$35)+COUNTIF('2月'!AX4:AX34,$A$35)+COUNTIF('2月'!BC4:BC34,$A$35)+COUNTIF('2月'!BH4:BH34,$A$35)+COUNTIF('2月'!BM4:BM34,$A$35)+COUNTIF('2月'!BR4:BR34,$A$35)+COUNTIF('2月'!BW4:BW34,$A$35)+COUNTIF('2月'!CB4:CB34,$A$35)+COUNTIF('2月'!CG4:CG34,$A$35)+COUNTIF('2月'!CL4:CL34,$A$35)+COUNTIF('2月'!CQ4:CQ34,$A$35)+COUNTIF('2月'!CV4:CV34,$A$35)+COUNTIF('2月'!DA4:DA34,$A$35)+COUNTIF('2月'!DF4:DF34,$A$35)+COUNTIF('2月'!DK4:DK34,$A$35)+COUNTIF('2月'!DP4:DP34,$A$35)+COUNTIF('2月'!DU4:DU34,$A$35)+COUNTIF('2月'!DZ4:DZ34,$A$35)+COUNTIF('2月'!EE4:EE34,$A$35)+COUNTIF('2月'!EJ4:EJ34,$A$35)+COUNTIF('2月'!EO4:EO34,$A$35)+COUNTIF('2月'!ET4:ET34,$A$35))</f>
        <v>0</v>
      </c>
      <c r="D35" s="65">
        <f>IF($A$35="",0,B35+C35)</f>
        <v>0</v>
      </c>
    </row>
    <row r="36" spans="1:4" ht="18.95" customHeight="1">
      <c r="A36" s="77">
        <f>IFERROR(現場マスタ!$C$21,"")</f>
        <v>0</v>
      </c>
      <c r="B36" s="76">
        <f>IF($A$36="",0,COUNTIF('2月'!D4:D34,$A$36)+COUNTIF('2月'!I4:I34,$A$36)+COUNTIF('2月'!N4:N34,$A$36)+COUNTIF('2月'!S4:S34,$A$36)+COUNTIF('2月'!X4:X34,$A$36)+COUNTIF('2月'!AC4:AC34,$A$36)+COUNTIF('2月'!AH4:AH34,$A$36)+COUNTIF('2月'!AM4:AM34,$A$36)+COUNTIF('2月'!AR4:AR34,$A$36)+COUNTIF('2月'!AW4:AW34,$A$36)+COUNTIF('2月'!BB4:BB34,$A$36)+COUNTIF('2月'!BG4:BG34,$A$36)+COUNTIF('2月'!BL4:BL34,$A$36)+COUNTIF('2月'!BQ4:BQ34,$A$36)+COUNTIF('2月'!BV4:BV34,$A$36)+COUNTIF('2月'!CA4:CA34,$A$36)+COUNTIF('2月'!CF4:CF34,$A$36)+COUNTIF('2月'!CK4:CK34,$A$36)+COUNTIF('2月'!CP4:CP34,$A$36)+COUNTIF('2月'!CU4:CU34,$A$36)+COUNTIF('2月'!CZ4:CZ34,$A$36)+COUNTIF('2月'!DE4:DE34,$A$36)+COUNTIF('2月'!DJ4:DJ34,$A$36)+COUNTIF('2月'!DO4:DO34,$A$36)+COUNTIF('2月'!DT4:DT34,$A$36)+COUNTIF('2月'!DY4:DY34,$A$36)+COUNTIF('2月'!ED4:ED34,$A$36)+COUNTIF('2月'!EI4:EI34,$A$36)+COUNTIF('2月'!EN4:EN34,$A$36)+COUNTIF('2月'!ES4:ES34,$A$36))</f>
        <v>0</v>
      </c>
      <c r="C36" s="76">
        <f>IF($A$36="",0,COUNTIF('2月'!E4:E34,$A$36)+COUNTIF('2月'!J4:J34,$A$36)+COUNTIF('2月'!O4:O34,$A$36)+COUNTIF('2月'!T4:T34,$A$36)+COUNTIF('2月'!Y4:Y34,$A$36)+COUNTIF('2月'!AD4:AD34,$A$36)+COUNTIF('2月'!AI4:AI34,$A$36)+COUNTIF('2月'!AN4:AN34,$A$36)+COUNTIF('2月'!AS4:AS34,$A$36)+COUNTIF('2月'!AX4:AX34,$A$36)+COUNTIF('2月'!BC4:BC34,$A$36)+COUNTIF('2月'!BH4:BH34,$A$36)+COUNTIF('2月'!BM4:BM34,$A$36)+COUNTIF('2月'!BR4:BR34,$A$36)+COUNTIF('2月'!BW4:BW34,$A$36)+COUNTIF('2月'!CB4:CB34,$A$36)+COUNTIF('2月'!CG4:CG34,$A$36)+COUNTIF('2月'!CL4:CL34,$A$36)+COUNTIF('2月'!CQ4:CQ34,$A$36)+COUNTIF('2月'!CV4:CV34,$A$36)+COUNTIF('2月'!DA4:DA34,$A$36)+COUNTIF('2月'!DF4:DF34,$A$36)+COUNTIF('2月'!DK4:DK34,$A$36)+COUNTIF('2月'!DP4:DP34,$A$36)+COUNTIF('2月'!DU4:DU34,$A$36)+COUNTIF('2月'!DZ4:DZ34,$A$36)+COUNTIF('2月'!EE4:EE34,$A$36)+COUNTIF('2月'!EJ4:EJ34,$A$36)+COUNTIF('2月'!EO4:EO34,$A$36)+COUNTIF('2月'!ET4:ET34,$A$36))</f>
        <v>0</v>
      </c>
      <c r="D36" s="65">
        <f>IF($A$36="",0,B36+C36)</f>
        <v>0</v>
      </c>
    </row>
    <row r="37" spans="1:4" ht="18.95" customHeight="1">
      <c r="A37" s="77">
        <f>IFERROR(現場マスタ!$C$22,"")</f>
        <v>0</v>
      </c>
      <c r="B37" s="76">
        <f>IF($A$37="",0,COUNTIF('2月'!D4:D34,$A$37)+COUNTIF('2月'!I4:I34,$A$37)+COUNTIF('2月'!N4:N34,$A$37)+COUNTIF('2月'!S4:S34,$A$37)+COUNTIF('2月'!X4:X34,$A$37)+COUNTIF('2月'!AC4:AC34,$A$37)+COUNTIF('2月'!AH4:AH34,$A$37)+COUNTIF('2月'!AM4:AM34,$A$37)+COUNTIF('2月'!AR4:AR34,$A$37)+COUNTIF('2月'!AW4:AW34,$A$37)+COUNTIF('2月'!BB4:BB34,$A$37)+COUNTIF('2月'!BG4:BG34,$A$37)+COUNTIF('2月'!BL4:BL34,$A$37)+COUNTIF('2月'!BQ4:BQ34,$A$37)+COUNTIF('2月'!BV4:BV34,$A$37)+COUNTIF('2月'!CA4:CA34,$A$37)+COUNTIF('2月'!CF4:CF34,$A$37)+COUNTIF('2月'!CK4:CK34,$A$37)+COUNTIF('2月'!CP4:CP34,$A$37)+COUNTIF('2月'!CU4:CU34,$A$37)+COUNTIF('2月'!CZ4:CZ34,$A$37)+COUNTIF('2月'!DE4:DE34,$A$37)+COUNTIF('2月'!DJ4:DJ34,$A$37)+COUNTIF('2月'!DO4:DO34,$A$37)+COUNTIF('2月'!DT4:DT34,$A$37)+COUNTIF('2月'!DY4:DY34,$A$37)+COUNTIF('2月'!ED4:ED34,$A$37)+COUNTIF('2月'!EI4:EI34,$A$37)+COUNTIF('2月'!EN4:EN34,$A$37)+COUNTIF('2月'!ES4:ES34,$A$37))</f>
        <v>0</v>
      </c>
      <c r="C37" s="76">
        <f>IF($A$37="",0,COUNTIF('2月'!E4:E34,$A$37)+COUNTIF('2月'!J4:J34,$A$37)+COUNTIF('2月'!O4:O34,$A$37)+COUNTIF('2月'!T4:T34,$A$37)+COUNTIF('2月'!Y4:Y34,$A$37)+COUNTIF('2月'!AD4:AD34,$A$37)+COUNTIF('2月'!AI4:AI34,$A$37)+COUNTIF('2月'!AN4:AN34,$A$37)+COUNTIF('2月'!AS4:AS34,$A$37)+COUNTIF('2月'!AX4:AX34,$A$37)+COUNTIF('2月'!BC4:BC34,$A$37)+COUNTIF('2月'!BH4:BH34,$A$37)+COUNTIF('2月'!BM4:BM34,$A$37)+COUNTIF('2月'!BR4:BR34,$A$37)+COUNTIF('2月'!BW4:BW34,$A$37)+COUNTIF('2月'!CB4:CB34,$A$37)+COUNTIF('2月'!CG4:CG34,$A$37)+COUNTIF('2月'!CL4:CL34,$A$37)+COUNTIF('2月'!CQ4:CQ34,$A$37)+COUNTIF('2月'!CV4:CV34,$A$37)+COUNTIF('2月'!DA4:DA34,$A$37)+COUNTIF('2月'!DF4:DF34,$A$37)+COUNTIF('2月'!DK4:DK34,$A$37)+COUNTIF('2月'!DP4:DP34,$A$37)+COUNTIF('2月'!DU4:DU34,$A$37)+COUNTIF('2月'!DZ4:DZ34,$A$37)+COUNTIF('2月'!EE4:EE34,$A$37)+COUNTIF('2月'!EJ4:EJ34,$A$37)+COUNTIF('2月'!EO4:EO34,$A$37)+COUNTIF('2月'!ET4:ET34,$A$37))</f>
        <v>0</v>
      </c>
      <c r="D37" s="65">
        <f>IF($A$37="",0,B37+C37)</f>
        <v>0</v>
      </c>
    </row>
    <row r="38" spans="1:4" ht="9.9499999999999993" customHeight="1"/>
    <row r="39" spans="1:4" ht="21.95" customHeight="1">
      <c r="A39" s="112" t="str">
        <f>対象年度&amp;"年 3月"</f>
        <v>2026年 3月</v>
      </c>
      <c r="B39" s="112"/>
      <c r="C39" s="112"/>
      <c r="D39" s="112"/>
    </row>
    <row r="40" spans="1:4" ht="20.100000000000001" customHeight="1">
      <c r="A40" s="60" t="s">
        <v>60</v>
      </c>
      <c r="B40" s="75" t="s">
        <v>110</v>
      </c>
      <c r="C40" s="75" t="s">
        <v>111</v>
      </c>
      <c r="D40" s="65" t="s">
        <v>112</v>
      </c>
    </row>
    <row r="41" spans="1:4" ht="18.95" customHeight="1">
      <c r="A41" s="77" t="str">
        <f>IFERROR(現場マスタ!$C$4,"")</f>
        <v>新宿</v>
      </c>
      <c r="B41" s="76">
        <f>IF($A$41="",0,COUNTIF('3月'!D4:D34,$A$41)+COUNTIF('3月'!I4:I34,$A$41)+COUNTIF('3月'!N4:N34,$A$41)+COUNTIF('3月'!S4:S34,$A$41)+COUNTIF('3月'!X4:X34,$A$41)+COUNTIF('3月'!AC4:AC34,$A$41)+COUNTIF('3月'!AH4:AH34,$A$41)+COUNTIF('3月'!AM4:AM34,$A$41)+COUNTIF('3月'!AR4:AR34,$A$41)+COUNTIF('3月'!AW4:AW34,$A$41)+COUNTIF('3月'!BB4:BB34,$A$41)+COUNTIF('3月'!BG4:BG34,$A$41)+COUNTIF('3月'!BL4:BL34,$A$41)+COUNTIF('3月'!BQ4:BQ34,$A$41)+COUNTIF('3月'!BV4:BV34,$A$41)+COUNTIF('3月'!CA4:CA34,$A$41)+COUNTIF('3月'!CF4:CF34,$A$41)+COUNTIF('3月'!CK4:CK34,$A$41)+COUNTIF('3月'!CP4:CP34,$A$41)+COUNTIF('3月'!CU4:CU34,$A$41)+COUNTIF('3月'!CZ4:CZ34,$A$41)+COUNTIF('3月'!DE4:DE34,$A$41)+COUNTIF('3月'!DJ4:DJ34,$A$41)+COUNTIF('3月'!DO4:DO34,$A$41)+COUNTIF('3月'!DT4:DT34,$A$41)+COUNTIF('3月'!DY4:DY34,$A$41)+COUNTIF('3月'!ED4:ED34,$A$41)+COUNTIF('3月'!EI4:EI34,$A$41)+COUNTIF('3月'!EN4:EN34,$A$41)+COUNTIF('3月'!ES4:ES34,$A$41))</f>
        <v>0</v>
      </c>
      <c r="C41" s="76">
        <f>IF($A$41="",0,COUNTIF('3月'!E4:E34,$A$41)+COUNTIF('3月'!J4:J34,$A$41)+COUNTIF('3月'!O4:O34,$A$41)+COUNTIF('3月'!T4:T34,$A$41)+COUNTIF('3月'!Y4:Y34,$A$41)+COUNTIF('3月'!AD4:AD34,$A$41)+COUNTIF('3月'!AI4:AI34,$A$41)+COUNTIF('3月'!AN4:AN34,$A$41)+COUNTIF('3月'!AS4:AS34,$A$41)+COUNTIF('3月'!AX4:AX34,$A$41)+COUNTIF('3月'!BC4:BC34,$A$41)+COUNTIF('3月'!BH4:BH34,$A$41)+COUNTIF('3月'!BM4:BM34,$A$41)+COUNTIF('3月'!BR4:BR34,$A$41)+COUNTIF('3月'!BW4:BW34,$A$41)+COUNTIF('3月'!CB4:CB34,$A$41)+COUNTIF('3月'!CG4:CG34,$A$41)+COUNTIF('3月'!CL4:CL34,$A$41)+COUNTIF('3月'!CQ4:CQ34,$A$41)+COUNTIF('3月'!CV4:CV34,$A$41)+COUNTIF('3月'!DA4:DA34,$A$41)+COUNTIF('3月'!DF4:DF34,$A$41)+COUNTIF('3月'!DK4:DK34,$A$41)+COUNTIF('3月'!DP4:DP34,$A$41)+COUNTIF('3月'!DU4:DU34,$A$41)+COUNTIF('3月'!DZ4:DZ34,$A$41)+COUNTIF('3月'!EE4:EE34,$A$41)+COUNTIF('3月'!EJ4:EJ34,$A$41)+COUNTIF('3月'!EO4:EO34,$A$41)+COUNTIF('3月'!ET4:ET34,$A$41))</f>
        <v>0</v>
      </c>
      <c r="D41" s="65">
        <f>IF($A$41="",0,B41+C41)</f>
        <v>0</v>
      </c>
    </row>
    <row r="42" spans="1:4" ht="18.95" customHeight="1">
      <c r="A42" s="77" t="str">
        <f>IFERROR(現場マスタ!$C$5,"")</f>
        <v>赤坂</v>
      </c>
      <c r="B42" s="76">
        <f>IF($A$42="",0,COUNTIF('3月'!D4:D34,$A$42)+COUNTIF('3月'!I4:I34,$A$42)+COUNTIF('3月'!N4:N34,$A$42)+COUNTIF('3月'!S4:S34,$A$42)+COUNTIF('3月'!X4:X34,$A$42)+COUNTIF('3月'!AC4:AC34,$A$42)+COUNTIF('3月'!AH4:AH34,$A$42)+COUNTIF('3月'!AM4:AM34,$A$42)+COUNTIF('3月'!AR4:AR34,$A$42)+COUNTIF('3月'!AW4:AW34,$A$42)+COUNTIF('3月'!BB4:BB34,$A$42)+COUNTIF('3月'!BG4:BG34,$A$42)+COUNTIF('3月'!BL4:BL34,$A$42)+COUNTIF('3月'!BQ4:BQ34,$A$42)+COUNTIF('3月'!BV4:BV34,$A$42)+COUNTIF('3月'!CA4:CA34,$A$42)+COUNTIF('3月'!CF4:CF34,$A$42)+COUNTIF('3月'!CK4:CK34,$A$42)+COUNTIF('3月'!CP4:CP34,$A$42)+COUNTIF('3月'!CU4:CU34,$A$42)+COUNTIF('3月'!CZ4:CZ34,$A$42)+COUNTIF('3月'!DE4:DE34,$A$42)+COUNTIF('3月'!DJ4:DJ34,$A$42)+COUNTIF('3月'!DO4:DO34,$A$42)+COUNTIF('3月'!DT4:DT34,$A$42)+COUNTIF('3月'!DY4:DY34,$A$42)+COUNTIF('3月'!ED4:ED34,$A$42)+COUNTIF('3月'!EI4:EI34,$A$42)+COUNTIF('3月'!EN4:EN34,$A$42)+COUNTIF('3月'!ES4:ES34,$A$42))</f>
        <v>0</v>
      </c>
      <c r="C42" s="76">
        <f>IF($A$42="",0,COUNTIF('3月'!E4:E34,$A$42)+COUNTIF('3月'!J4:J34,$A$42)+COUNTIF('3月'!O4:O34,$A$42)+COUNTIF('3月'!T4:T34,$A$42)+COUNTIF('3月'!Y4:Y34,$A$42)+COUNTIF('3月'!AD4:AD34,$A$42)+COUNTIF('3月'!AI4:AI34,$A$42)+COUNTIF('3月'!AN4:AN34,$A$42)+COUNTIF('3月'!AS4:AS34,$A$42)+COUNTIF('3月'!AX4:AX34,$A$42)+COUNTIF('3月'!BC4:BC34,$A$42)+COUNTIF('3月'!BH4:BH34,$A$42)+COUNTIF('3月'!BM4:BM34,$A$42)+COUNTIF('3月'!BR4:BR34,$A$42)+COUNTIF('3月'!BW4:BW34,$A$42)+COUNTIF('3月'!CB4:CB34,$A$42)+COUNTIF('3月'!CG4:CG34,$A$42)+COUNTIF('3月'!CL4:CL34,$A$42)+COUNTIF('3月'!CQ4:CQ34,$A$42)+COUNTIF('3月'!CV4:CV34,$A$42)+COUNTIF('3月'!DA4:DA34,$A$42)+COUNTIF('3月'!DF4:DF34,$A$42)+COUNTIF('3月'!DK4:DK34,$A$42)+COUNTIF('3月'!DP4:DP34,$A$42)+COUNTIF('3月'!DU4:DU34,$A$42)+COUNTIF('3月'!DZ4:DZ34,$A$42)+COUNTIF('3月'!EE4:EE34,$A$42)+COUNTIF('3月'!EJ4:EJ34,$A$42)+COUNTIF('3月'!EO4:EO34,$A$42)+COUNTIF('3月'!ET4:ET34,$A$42))</f>
        <v>0</v>
      </c>
      <c r="D42" s="65">
        <f>IF($A$42="",0,B42+C42)</f>
        <v>0</v>
      </c>
    </row>
    <row r="43" spans="1:4" ht="18.95" customHeight="1">
      <c r="A43" s="77" t="str">
        <f>IFERROR(現場マスタ!$C$6,"")</f>
        <v>渋谷ヒカリエ</v>
      </c>
      <c r="B43" s="76">
        <f>IF($A$43="",0,COUNTIF('3月'!D4:D34,$A$43)+COUNTIF('3月'!I4:I34,$A$43)+COUNTIF('3月'!N4:N34,$A$43)+COUNTIF('3月'!S4:S34,$A$43)+COUNTIF('3月'!X4:X34,$A$43)+COUNTIF('3月'!AC4:AC34,$A$43)+COUNTIF('3月'!AH4:AH34,$A$43)+COUNTIF('3月'!AM4:AM34,$A$43)+COUNTIF('3月'!AR4:AR34,$A$43)+COUNTIF('3月'!AW4:AW34,$A$43)+COUNTIF('3月'!BB4:BB34,$A$43)+COUNTIF('3月'!BG4:BG34,$A$43)+COUNTIF('3月'!BL4:BL34,$A$43)+COUNTIF('3月'!BQ4:BQ34,$A$43)+COUNTIF('3月'!BV4:BV34,$A$43)+COUNTIF('3月'!CA4:CA34,$A$43)+COUNTIF('3月'!CF4:CF34,$A$43)+COUNTIF('3月'!CK4:CK34,$A$43)+COUNTIF('3月'!CP4:CP34,$A$43)+COUNTIF('3月'!CU4:CU34,$A$43)+COUNTIF('3月'!CZ4:CZ34,$A$43)+COUNTIF('3月'!DE4:DE34,$A$43)+COUNTIF('3月'!DJ4:DJ34,$A$43)+COUNTIF('3月'!DO4:DO34,$A$43)+COUNTIF('3月'!DT4:DT34,$A$43)+COUNTIF('3月'!DY4:DY34,$A$43)+COUNTIF('3月'!ED4:ED34,$A$43)+COUNTIF('3月'!EI4:EI34,$A$43)+COUNTIF('3月'!EN4:EN34,$A$43)+COUNTIF('3月'!ES4:ES34,$A$43))</f>
        <v>0</v>
      </c>
      <c r="C43" s="76">
        <f>IF($A$43="",0,COUNTIF('3月'!E4:E34,$A$43)+COUNTIF('3月'!J4:J34,$A$43)+COUNTIF('3月'!O4:O34,$A$43)+COUNTIF('3月'!T4:T34,$A$43)+COUNTIF('3月'!Y4:Y34,$A$43)+COUNTIF('3月'!AD4:AD34,$A$43)+COUNTIF('3月'!AI4:AI34,$A$43)+COUNTIF('3月'!AN4:AN34,$A$43)+COUNTIF('3月'!AS4:AS34,$A$43)+COUNTIF('3月'!AX4:AX34,$A$43)+COUNTIF('3月'!BC4:BC34,$A$43)+COUNTIF('3月'!BH4:BH34,$A$43)+COUNTIF('3月'!BM4:BM34,$A$43)+COUNTIF('3月'!BR4:BR34,$A$43)+COUNTIF('3月'!BW4:BW34,$A$43)+COUNTIF('3月'!CB4:CB34,$A$43)+COUNTIF('3月'!CG4:CG34,$A$43)+COUNTIF('3月'!CL4:CL34,$A$43)+COUNTIF('3月'!CQ4:CQ34,$A$43)+COUNTIF('3月'!CV4:CV34,$A$43)+COUNTIF('3月'!DA4:DA34,$A$43)+COUNTIF('3月'!DF4:DF34,$A$43)+COUNTIF('3月'!DK4:DK34,$A$43)+COUNTIF('3月'!DP4:DP34,$A$43)+COUNTIF('3月'!DU4:DU34,$A$43)+COUNTIF('3月'!DZ4:DZ34,$A$43)+COUNTIF('3月'!EE4:EE34,$A$43)+COUNTIF('3月'!EJ4:EJ34,$A$43)+COUNTIF('3月'!EO4:EO34,$A$43)+COUNTIF('3月'!ET4:ET34,$A$43))</f>
        <v>0</v>
      </c>
      <c r="D43" s="65">
        <f>IF($A$43="",0,B43+C43)</f>
        <v>0</v>
      </c>
    </row>
    <row r="44" spans="1:4" ht="18.95" customHeight="1">
      <c r="A44" s="77" t="str">
        <f>IFERROR(現場マスタ!$C$7,"")</f>
        <v>六本木ヒルズ</v>
      </c>
      <c r="B44" s="76">
        <f>IF($A$44="",0,COUNTIF('3月'!D4:D34,$A$44)+COUNTIF('3月'!I4:I34,$A$44)+COUNTIF('3月'!N4:N34,$A$44)+COUNTIF('3月'!S4:S34,$A$44)+COUNTIF('3月'!X4:X34,$A$44)+COUNTIF('3月'!AC4:AC34,$A$44)+COUNTIF('3月'!AH4:AH34,$A$44)+COUNTIF('3月'!AM4:AM34,$A$44)+COUNTIF('3月'!AR4:AR34,$A$44)+COUNTIF('3月'!AW4:AW34,$A$44)+COUNTIF('3月'!BB4:BB34,$A$44)+COUNTIF('3月'!BG4:BG34,$A$44)+COUNTIF('3月'!BL4:BL34,$A$44)+COUNTIF('3月'!BQ4:BQ34,$A$44)+COUNTIF('3月'!BV4:BV34,$A$44)+COUNTIF('3月'!CA4:CA34,$A$44)+COUNTIF('3月'!CF4:CF34,$A$44)+COUNTIF('3月'!CK4:CK34,$A$44)+COUNTIF('3月'!CP4:CP34,$A$44)+COUNTIF('3月'!CU4:CU34,$A$44)+COUNTIF('3月'!CZ4:CZ34,$A$44)+COUNTIF('3月'!DE4:DE34,$A$44)+COUNTIF('3月'!DJ4:DJ34,$A$44)+COUNTIF('3月'!DO4:DO34,$A$44)+COUNTIF('3月'!DT4:DT34,$A$44)+COUNTIF('3月'!DY4:DY34,$A$44)+COUNTIF('3月'!ED4:ED34,$A$44)+COUNTIF('3月'!EI4:EI34,$A$44)+COUNTIF('3月'!EN4:EN34,$A$44)+COUNTIF('3月'!ES4:ES34,$A$44)+COUNTIF('3月'!D4:D34,"渋谷-夜勤")+COUNTIF('3月'!I4:I34,"渋谷-夜勤")+COUNTIF('3月'!N4:N34,"渋谷-夜勤")+COUNTIF('3月'!S4:S34,"渋谷-夜勤")+COUNTIF('3月'!X4:X34,"渋谷-夜勤")+COUNTIF('3月'!AC4:AC34,"渋谷-夜勤")+COUNTIF('3月'!AH4:AH34,"渋谷-夜勤")+COUNTIF('3月'!AM4:AM34,"渋谷-夜勤")+COUNTIF('3月'!AR4:AR34,"渋谷-夜勤")+COUNTIF('3月'!AW4:AW34,"渋谷-夜勤")+COUNTIF('3月'!BB4:BB34,"渋谷-夜勤")+COUNTIF('3月'!BG4:BG34,"渋谷-夜勤")+COUNTIF('3月'!BL4:BL34,"渋谷-夜勤")+COUNTIF('3月'!BQ4:BQ34,"渋谷-夜勤")+COUNTIF('3月'!BV4:BV34,"渋谷-夜勤")+COUNTIF('3月'!CA4:CA34,"渋谷-夜勤")+COUNTIF('3月'!CF4:CF34,"渋谷-夜勤")+COUNTIF('3月'!CK4:CK34,"渋谷-夜勤")+COUNTIF('3月'!CP4:CP34,"渋谷-夜勤")+COUNTIF('3月'!CU4:CU34,"渋谷-夜勤")+COUNTIF('3月'!CZ4:CZ34,"渋谷-夜勤")+COUNTIF('3月'!DE4:DE34,"渋谷-夜勤")+COUNTIF('3月'!DJ4:DJ34,"渋谷-夜勤")+COUNTIF('3月'!DO4:DO34,"渋谷-夜勤")+COUNTIF('3月'!DT4:DT34,"渋谷-夜勤")+COUNTIF('3月'!DY4:DY34,"渋谷-夜勤")+COUNTIF('3月'!ED4:ED34,"渋谷-夜勤")+COUNTIF('3月'!EI4:EI34,"渋谷-夜勤")+COUNTIF('3月'!EN4:EN34,"渋谷-夜勤")+COUNTIF('3月'!ES4:ES34,"渋谷-夜勤"))</f>
        <v>0</v>
      </c>
      <c r="C44" s="76">
        <f>IF($A$44="",0,COUNTIF('3月'!E4:E34,$A$44)+COUNTIF('3月'!J4:J34,$A$44)+COUNTIF('3月'!O4:O34,$A$44)+COUNTIF('3月'!T4:T34,$A$44)+COUNTIF('3月'!Y4:Y34,$A$44)+COUNTIF('3月'!AD4:AD34,$A$44)+COUNTIF('3月'!AI4:AI34,$A$44)+COUNTIF('3月'!AN4:AN34,$A$44)+COUNTIF('3月'!AS4:AS34,$A$44)+COUNTIF('3月'!AX4:AX34,$A$44)+COUNTIF('3月'!BC4:BC34,$A$44)+COUNTIF('3月'!BH4:BH34,$A$44)+COUNTIF('3月'!BM4:BM34,$A$44)+COUNTIF('3月'!BR4:BR34,$A$44)+COUNTIF('3月'!BW4:BW34,$A$44)+COUNTIF('3月'!CB4:CB34,$A$44)+COUNTIF('3月'!CG4:CG34,$A$44)+COUNTIF('3月'!CL4:CL34,$A$44)+COUNTIF('3月'!CQ4:CQ34,$A$44)+COUNTIF('3月'!CV4:CV34,$A$44)+COUNTIF('3月'!DA4:DA34,$A$44)+COUNTIF('3月'!DF4:DF34,$A$44)+COUNTIF('3月'!DK4:DK34,$A$44)+COUNTIF('3月'!DP4:DP34,$A$44)+COUNTIF('3月'!DU4:DU34,$A$44)+COUNTIF('3月'!DZ4:DZ34,$A$44)+COUNTIF('3月'!EE4:EE34,$A$44)+COUNTIF('3月'!EJ4:EJ34,$A$44)+COUNTIF('3月'!EO4:EO34,$A$44)+COUNTIF('3月'!ET4:ET34,$A$44)+COUNTIF('3月'!E4:E34,"渋谷-夜勤")+COUNTIF('3月'!J4:J34,"渋谷-夜勤")+COUNTIF('3月'!O4:O34,"渋谷-夜勤")+COUNTIF('3月'!T4:T34,"渋谷-夜勤")+COUNTIF('3月'!Y4:Y34,"渋谷-夜勤")+COUNTIF('3月'!AD4:AD34,"渋谷-夜勤")+COUNTIF('3月'!AI4:AI34,"渋谷-夜勤")+COUNTIF('3月'!AN4:AN34,"渋谷-夜勤")+COUNTIF('3月'!AS4:AS34,"渋谷-夜勤")+COUNTIF('3月'!AX4:AX34,"渋谷-夜勤")+COUNTIF('3月'!BC4:BC34,"渋谷-夜勤")+COUNTIF('3月'!BH4:BH34,"渋谷-夜勤")+COUNTIF('3月'!BM4:BM34,"渋谷-夜勤")+COUNTIF('3月'!BR4:BR34,"渋谷-夜勤")+COUNTIF('3月'!BW4:BW34,"渋谷-夜勤")+COUNTIF('3月'!CB4:CB34,"渋谷-夜勤")+COUNTIF('3月'!CG4:CG34,"渋谷-夜勤")+COUNTIF('3月'!CL4:CL34,"渋谷-夜勤")+COUNTIF('3月'!CQ4:CQ34,"渋谷-夜勤")+COUNTIF('3月'!CV4:CV34,"渋谷-夜勤")+COUNTIF('3月'!DA4:DA34,"渋谷-夜勤")+COUNTIF('3月'!DF4:DF34,"渋谷-夜勤")+COUNTIF('3月'!DK4:DK34,"渋谷-夜勤")+COUNTIF('3月'!DP4:DP34,"渋谷-夜勤")+COUNTIF('3月'!DU4:DU34,"渋谷-夜勤")+COUNTIF('3月'!DZ4:DZ34,"渋谷-夜勤")+COUNTIF('3月'!EE4:EE34,"渋谷-夜勤")+COUNTIF('3月'!EJ4:EJ34,"渋谷-夜勤")+COUNTIF('3月'!EO4:EO34,"渋谷-夜勤")+COUNTIF('3月'!ET4:ET34,"渋谷-夜勤"))</f>
        <v>0</v>
      </c>
      <c r="D44" s="65">
        <f>IF($A$44="",0,B44+C44)</f>
        <v>0</v>
      </c>
    </row>
    <row r="45" spans="1:4" ht="18.95" customHeight="1">
      <c r="A45" s="77" t="str">
        <f>IFERROR(現場マスタ!$C$10,"")</f>
        <v>有給</v>
      </c>
      <c r="B45" s="76">
        <f>IF($A$45="",0,COUNTIF('3月'!D4:D34,$A$45)+COUNTIF('3月'!I4:I34,$A$45)+COUNTIF('3月'!N4:N34,$A$45)+COUNTIF('3月'!S4:S34,$A$45)+COUNTIF('3月'!X4:X34,$A$45)+COUNTIF('3月'!AC4:AC34,$A$45)+COUNTIF('3月'!AH4:AH34,$A$45)+COUNTIF('3月'!AM4:AM34,$A$45)+COUNTIF('3月'!AR4:AR34,$A$45)+COUNTIF('3月'!AW4:AW34,$A$45)+COUNTIF('3月'!BB4:BB34,$A$45)+COUNTIF('3月'!BG4:BG34,$A$45)+COUNTIF('3月'!BL4:BL34,$A$45)+COUNTIF('3月'!BQ4:BQ34,$A$45)+COUNTIF('3月'!BV4:BV34,$A$45)+COUNTIF('3月'!CA4:CA34,$A$45)+COUNTIF('3月'!CF4:CF34,$A$45)+COUNTIF('3月'!CK4:CK34,$A$45)+COUNTIF('3月'!CP4:CP34,$A$45)+COUNTIF('3月'!CU4:CU34,$A$45)+COUNTIF('3月'!CZ4:CZ34,$A$45)+COUNTIF('3月'!DE4:DE34,$A$45)+COUNTIF('3月'!DJ4:DJ34,$A$45)+COUNTIF('3月'!DO4:DO34,$A$45)+COUNTIF('3月'!DT4:DT34,$A$45)+COUNTIF('3月'!DY4:DY34,$A$45)+COUNTIF('3月'!ED4:ED34,$A$45)+COUNTIF('3月'!EI4:EI34,$A$45)+COUNTIF('3月'!EN4:EN34,$A$45)+COUNTIF('3月'!ES4:ES34,$A$45)+COUNTIF('3月'!D4:D34,"六本木-夜勤")+COUNTIF('3月'!I4:I34,"六本木-夜勤")+COUNTIF('3月'!N4:N34,"六本木-夜勤")+COUNTIF('3月'!S4:S34,"六本木-夜勤")+COUNTIF('3月'!X4:X34,"六本木-夜勤")+COUNTIF('3月'!AC4:AC34,"六本木-夜勤")+COUNTIF('3月'!AH4:AH34,"六本木-夜勤")+COUNTIF('3月'!AM4:AM34,"六本木-夜勤")+COUNTIF('3月'!AR4:AR34,"六本木-夜勤")+COUNTIF('3月'!AW4:AW34,"六本木-夜勤")+COUNTIF('3月'!BB4:BB34,"六本木-夜勤")+COUNTIF('3月'!BG4:BG34,"六本木-夜勤")+COUNTIF('3月'!BL4:BL34,"六本木-夜勤")+COUNTIF('3月'!BQ4:BQ34,"六本木-夜勤")+COUNTIF('3月'!BV4:BV34,"六本木-夜勤")+COUNTIF('3月'!CA4:CA34,"六本木-夜勤")+COUNTIF('3月'!CF4:CF34,"六本木-夜勤")+COUNTIF('3月'!CK4:CK34,"六本木-夜勤")+COUNTIF('3月'!CP4:CP34,"六本木-夜勤")+COUNTIF('3月'!CU4:CU34,"六本木-夜勤")+COUNTIF('3月'!CZ4:CZ34,"六本木-夜勤")+COUNTIF('3月'!DE4:DE34,"六本木-夜勤")+COUNTIF('3月'!DJ4:DJ34,"六本木-夜勤")+COUNTIF('3月'!DO4:DO34,"六本木-夜勤")+COUNTIF('3月'!DT4:DT34,"六本木-夜勤")+COUNTIF('3月'!DY4:DY34,"六本木-夜勤")+COUNTIF('3月'!ED4:ED34,"六本木-夜勤")+COUNTIF('3月'!EI4:EI34,"六本木-夜勤")+COUNTIF('3月'!EN4:EN34,"六本木-夜勤")+COUNTIF('3月'!ES4:ES34,"六本木-夜勤")+COUNTIF('3月'!D4:D34,"六本木ー夜勤")+COUNTIF('3月'!I4:I34,"六本木ー夜勤")+COUNTIF('3月'!N4:N34,"六本木ー夜勤")+COUNTIF('3月'!S4:S34,"六本木ー夜勤")+COUNTIF('3月'!X4:X34,"六本木ー夜勤")+COUNTIF('3月'!AC4:AC34,"六本木ー夜勤")+COUNTIF('3月'!AH4:AH34,"六本木ー夜勤")+COUNTIF('3月'!AM4:AM34,"六本木ー夜勤")+COUNTIF('3月'!AR4:AR34,"六本木ー夜勤")+COUNTIF('3月'!AW4:AW34,"六本木ー夜勤")+COUNTIF('3月'!BB4:BB34,"六本木ー夜勤")+COUNTIF('3月'!BG4:BG34,"六本木ー夜勤")+COUNTIF('3月'!BL4:BL34,"六本木ー夜勤")+COUNTIF('3月'!BQ4:BQ34,"六本木ー夜勤")+COUNTIF('3月'!BV4:BV34,"六本木ー夜勤")+COUNTIF('3月'!CA4:CA34,"六本木ー夜勤")+COUNTIF('3月'!CF4:CF34,"六本木ー夜勤")+COUNTIF('3月'!CK4:CK34,"六本木ー夜勤")+COUNTIF('3月'!CP4:CP34,"六本木ー夜勤")+COUNTIF('3月'!CU4:CU34,"六本木ー夜勤")+COUNTIF('3月'!CZ4:CZ34,"六本木ー夜勤")+COUNTIF('3月'!DE4:DE34,"六本木ー夜勤")+COUNTIF('3月'!DJ4:DJ34,"六本木ー夜勤")+COUNTIF('3月'!DO4:DO34,"六本木ー夜勤")+COUNTIF('3月'!DT4:DT34,"六本木ー夜勤")+COUNTIF('3月'!DY4:DY34,"六本木ー夜勤")+COUNTIF('3月'!ED4:ED34,"六本木ー夜勤")+COUNTIF('3月'!EI4:EI34,"六本木ー夜勤")+COUNTIF('3月'!EN4:EN34,"六本木ー夜勤")+COUNTIF('3月'!ES4:ES34,"六本木ー夜勤"))</f>
        <v>0</v>
      </c>
      <c r="C45" s="76">
        <f>IF($A$45="",0,COUNTIF('3月'!E4:E34,$A$45)+COUNTIF('3月'!J4:J34,$A$45)+COUNTIF('3月'!O4:O34,$A$45)+COUNTIF('3月'!T4:T34,$A$45)+COUNTIF('3月'!Y4:Y34,$A$45)+COUNTIF('3月'!AD4:AD34,$A$45)+COUNTIF('3月'!AI4:AI34,$A$45)+COUNTIF('3月'!AN4:AN34,$A$45)+COUNTIF('3月'!AS4:AS34,$A$45)+COUNTIF('3月'!AX4:AX34,$A$45)+COUNTIF('3月'!BC4:BC34,$A$45)+COUNTIF('3月'!BH4:BH34,$A$45)+COUNTIF('3月'!BM4:BM34,$A$45)+COUNTIF('3月'!BR4:BR34,$A$45)+COUNTIF('3月'!BW4:BW34,$A$45)+COUNTIF('3月'!CB4:CB34,$A$45)+COUNTIF('3月'!CG4:CG34,$A$45)+COUNTIF('3月'!CL4:CL34,$A$45)+COUNTIF('3月'!CQ4:CQ34,$A$45)+COUNTIF('3月'!CV4:CV34,$A$45)+COUNTIF('3月'!DA4:DA34,$A$45)+COUNTIF('3月'!DF4:DF34,$A$45)+COUNTIF('3月'!DK4:DK34,$A$45)+COUNTIF('3月'!DP4:DP34,$A$45)+COUNTIF('3月'!DU4:DU34,$A$45)+COUNTIF('3月'!DZ4:DZ34,$A$45)+COUNTIF('3月'!EE4:EE34,$A$45)+COUNTIF('3月'!EJ4:EJ34,$A$45)+COUNTIF('3月'!EO4:EO34,$A$45)+COUNTIF('3月'!ET4:ET34,$A$45)+COUNTIF('3月'!E4:E34,"六本木-夜勤")+COUNTIF('3月'!J4:J34,"六本木-夜勤")+COUNTIF('3月'!O4:O34,"六本木-夜勤")+COUNTIF('3月'!T4:T34,"六本木-夜勤")+COUNTIF('3月'!Y4:Y34,"六本木-夜勤")+COUNTIF('3月'!AD4:AD34,"六本木-夜勤")+COUNTIF('3月'!AI4:AI34,"六本木-夜勤")+COUNTIF('3月'!AN4:AN34,"六本木-夜勤")+COUNTIF('3月'!AS4:AS34,"六本木-夜勤")+COUNTIF('3月'!AX4:AX34,"六本木-夜勤")+COUNTIF('3月'!BC4:BC34,"六本木-夜勤")+COUNTIF('3月'!BH4:BH34,"六本木-夜勤")+COUNTIF('3月'!BM4:BM34,"六本木-夜勤")+COUNTIF('3月'!BR4:BR34,"六本木-夜勤")+COUNTIF('3月'!BW4:BW34,"六本木-夜勤")+COUNTIF('3月'!CB4:CB34,"六本木-夜勤")+COUNTIF('3月'!CG4:CG34,"六本木-夜勤")+COUNTIF('3月'!CL4:CL34,"六本木-夜勤")+COUNTIF('3月'!CQ4:CQ34,"六本木-夜勤")+COUNTIF('3月'!CV4:CV34,"六本木-夜勤")+COUNTIF('3月'!DA4:DA34,"六本木-夜勤")+COUNTIF('3月'!DF4:DF34,"六本木-夜勤")+COUNTIF('3月'!DK4:DK34,"六本木-夜勤")+COUNTIF('3月'!DP4:DP34,"六本木-夜勤")+COUNTIF('3月'!DU4:DU34,"六本木-夜勤")+COUNTIF('3月'!DZ4:DZ34,"六本木-夜勤")+COUNTIF('3月'!EE4:EE34,"六本木-夜勤")+COUNTIF('3月'!EJ4:EJ34,"六本木-夜勤")+COUNTIF('3月'!EO4:EO34,"六本木-夜勤")+COUNTIF('3月'!ET4:ET34,"六本木-夜勤")+COUNTIF('3月'!E4:E34,"六本木ー夜勤")+COUNTIF('3月'!J4:J34,"六本木ー夜勤")+COUNTIF('3月'!O4:O34,"六本木ー夜勤")+COUNTIF('3月'!T4:T34,"六本木ー夜勤")+COUNTIF('3月'!Y4:Y34,"六本木ー夜勤")+COUNTIF('3月'!AD4:AD34,"六本木ー夜勤")+COUNTIF('3月'!AI4:AI34,"六本木ー夜勤")+COUNTIF('3月'!AN4:AN34,"六本木ー夜勤")+COUNTIF('3月'!AS4:AS34,"六本木ー夜勤")+COUNTIF('3月'!AX4:AX34,"六本木ー夜勤")+COUNTIF('3月'!BC4:BC34,"六本木ー夜勤")+COUNTIF('3月'!BH4:BH34,"六本木ー夜勤")+COUNTIF('3月'!BM4:BM34,"六本木ー夜勤")+COUNTIF('3月'!BR4:BR34,"六本木ー夜勤")+COUNTIF('3月'!BW4:BW34,"六本木ー夜勤")+COUNTIF('3月'!CB4:CB34,"六本木ー夜勤")+COUNTIF('3月'!CG4:CG34,"六本木ー夜勤")+COUNTIF('3月'!CL4:CL34,"六本木ー夜勤")+COUNTIF('3月'!CQ4:CQ34,"六本木ー夜勤")+COUNTIF('3月'!CV4:CV34,"六本木ー夜勤")+COUNTIF('3月'!DA4:DA34,"六本木ー夜勤")+COUNTIF('3月'!DF4:DF34,"六本木ー夜勤")+COUNTIF('3月'!DK4:DK34,"六本木ー夜勤")+COUNTIF('3月'!DP4:DP34,"六本木ー夜勤")+COUNTIF('3月'!DU4:DU34,"六本木ー夜勤")+COUNTIF('3月'!DZ4:DZ34,"六本木ー夜勤")+COUNTIF('3月'!EE4:EE34,"六本木ー夜勤")+COUNTIF('3月'!EJ4:EJ34,"六本木ー夜勤")+COUNTIF('3月'!EO4:EO34,"六本木ー夜勤")+COUNTIF('3月'!ET4:ET34,"六本木ー夜勤"))</f>
        <v>0</v>
      </c>
      <c r="D45" s="65">
        <f>IF($A$45="",0,B45+C45)</f>
        <v>0</v>
      </c>
    </row>
    <row r="46" spans="1:4" ht="18.95" customHeight="1">
      <c r="A46" s="77">
        <f>IFERROR(現場マスタ!$C$11,"")</f>
        <v>0</v>
      </c>
      <c r="B46" s="76">
        <v>0</v>
      </c>
      <c r="C46" s="76">
        <v>0</v>
      </c>
      <c r="D46" s="65">
        <v>0</v>
      </c>
    </row>
    <row r="47" spans="1:4" ht="18.95" customHeight="1">
      <c r="A47" s="77">
        <f>IFERROR(現場マスタ!$C$12,"")</f>
        <v>0</v>
      </c>
      <c r="B47" s="76">
        <f>IF($A$47="",0,COUNTIF('3月'!D4:D34,$A$47)+COUNTIF('3月'!I4:I34,$A$47)+COUNTIF('3月'!N4:N34,$A$47)+COUNTIF('3月'!S4:S34,$A$47)+COUNTIF('3月'!X4:X34,$A$47)+COUNTIF('3月'!AC4:AC34,$A$47)+COUNTIF('3月'!AH4:AH34,$A$47)+COUNTIF('3月'!AM4:AM34,$A$47)+COUNTIF('3月'!AR4:AR34,$A$47)+COUNTIF('3月'!AW4:AW34,$A$47)+COUNTIF('3月'!BB4:BB34,$A$47)+COUNTIF('3月'!BG4:BG34,$A$47)+COUNTIF('3月'!BL4:BL34,$A$47)+COUNTIF('3月'!BQ4:BQ34,$A$47)+COUNTIF('3月'!BV4:BV34,$A$47)+COUNTIF('3月'!CA4:CA34,$A$47)+COUNTIF('3月'!CF4:CF34,$A$47)+COUNTIF('3月'!CK4:CK34,$A$47)+COUNTIF('3月'!CP4:CP34,$A$47)+COUNTIF('3月'!CU4:CU34,$A$47)+COUNTIF('3月'!CZ4:CZ34,$A$47)+COUNTIF('3月'!DE4:DE34,$A$47)+COUNTIF('3月'!DJ4:DJ34,$A$47)+COUNTIF('3月'!DO4:DO34,$A$47)+COUNTIF('3月'!DT4:DT34,$A$47)+COUNTIF('3月'!DY4:DY34,$A$47)+COUNTIF('3月'!ED4:ED34,$A$47)+COUNTIF('3月'!EI4:EI34,$A$47)+COUNTIF('3月'!EN4:EN34,$A$47)+COUNTIF('3月'!ES4:ES34,$A$47))</f>
        <v>0</v>
      </c>
      <c r="C47" s="76">
        <f>IF($A$47="",0,COUNTIF('3月'!E4:E34,$A$47)+COUNTIF('3月'!J4:J34,$A$47)+COUNTIF('3月'!O4:O34,$A$47)+COUNTIF('3月'!T4:T34,$A$47)+COUNTIF('3月'!Y4:Y34,$A$47)+COUNTIF('3月'!AD4:AD34,$A$47)+COUNTIF('3月'!AI4:AI34,$A$47)+COUNTIF('3月'!AN4:AN34,$A$47)+COUNTIF('3月'!AS4:AS34,$A$47)+COUNTIF('3月'!AX4:AX34,$A$47)+COUNTIF('3月'!BC4:BC34,$A$47)+COUNTIF('3月'!BH4:BH34,$A$47)+COUNTIF('3月'!BM4:BM34,$A$47)+COUNTIF('3月'!BR4:BR34,$A$47)+COUNTIF('3月'!BW4:BW34,$A$47)+COUNTIF('3月'!CB4:CB34,$A$47)+COUNTIF('3月'!CG4:CG34,$A$47)+COUNTIF('3月'!CL4:CL34,$A$47)+COUNTIF('3月'!CQ4:CQ34,$A$47)+COUNTIF('3月'!CV4:CV34,$A$47)+COUNTIF('3月'!DA4:DA34,$A$47)+COUNTIF('3月'!DF4:DF34,$A$47)+COUNTIF('3月'!DK4:DK34,$A$47)+COUNTIF('3月'!DP4:DP34,$A$47)+COUNTIF('3月'!DU4:DU34,$A$47)+COUNTIF('3月'!DZ4:DZ34,$A$47)+COUNTIF('3月'!EE4:EE34,$A$47)+COUNTIF('3月'!EJ4:EJ34,$A$47)+COUNTIF('3月'!EO4:EO34,$A$47)+COUNTIF('3月'!ET4:ET34,$A$47))</f>
        <v>0</v>
      </c>
      <c r="D47" s="65">
        <f>IF($A$47="",0,B47+C47)</f>
        <v>0</v>
      </c>
    </row>
    <row r="48" spans="1:4" ht="18.95" customHeight="1">
      <c r="A48" s="77">
        <f>IFERROR(現場マスタ!$C$14,"")</f>
        <v>0</v>
      </c>
      <c r="B48" s="76">
        <v>0</v>
      </c>
      <c r="C48" s="76">
        <v>0</v>
      </c>
      <c r="D48" s="65">
        <v>0</v>
      </c>
    </row>
    <row r="49" spans="1:4" ht="18.95" customHeight="1">
      <c r="A49" s="77">
        <f>IFERROR(現場マスタ!$C$15,"")</f>
        <v>0</v>
      </c>
      <c r="B49" s="76">
        <v>0</v>
      </c>
      <c r="C49" s="76">
        <v>0</v>
      </c>
      <c r="D49" s="65">
        <v>0</v>
      </c>
    </row>
    <row r="50" spans="1:4" ht="18.95" customHeight="1">
      <c r="A50" s="77">
        <f>IFERROR(現場マスタ!$C$16,"")</f>
        <v>0</v>
      </c>
      <c r="B50" s="76">
        <f>IF($A$50="",0,COUNTIF('3月'!D4:D34,$A$50)+COUNTIF('3月'!I4:I34,$A$50)+COUNTIF('3月'!N4:N34,$A$50)+COUNTIF('3月'!S4:S34,$A$50)+COUNTIF('3月'!X4:X34,$A$50)+COUNTIF('3月'!AC4:AC34,$A$50)+COUNTIF('3月'!AH4:AH34,$A$50)+COUNTIF('3月'!AM4:AM34,$A$50)+COUNTIF('3月'!AR4:AR34,$A$50)+COUNTIF('3月'!AW4:AW34,$A$50)+COUNTIF('3月'!BB4:BB34,$A$50)+COUNTIF('3月'!BG4:BG34,$A$50)+COUNTIF('3月'!BL4:BL34,$A$50)+COUNTIF('3月'!BQ4:BQ34,$A$50)+COUNTIF('3月'!BV4:BV34,$A$50)+COUNTIF('3月'!CA4:CA34,$A$50)+COUNTIF('3月'!CF4:CF34,$A$50)+COUNTIF('3月'!CK4:CK34,$A$50)+COUNTIF('3月'!CP4:CP34,$A$50)+COUNTIF('3月'!CU4:CU34,$A$50)+COUNTIF('3月'!CZ4:CZ34,$A$50)+COUNTIF('3月'!DE4:DE34,$A$50)+COUNTIF('3月'!DJ4:DJ34,$A$50)+COUNTIF('3月'!DO4:DO34,$A$50)+COUNTIF('3月'!DT4:DT34,$A$50)+COUNTIF('3月'!DY4:DY34,$A$50)+COUNTIF('3月'!ED4:ED34,$A$50)+COUNTIF('3月'!EI4:EI34,$A$50)+COUNTIF('3月'!EN4:EN34,$A$50)+COUNTIF('3月'!ES4:ES34,$A$50)+COUNTIF('3月'!D4:D34,"三軒茶屋－夜勤")+COUNTIF('3月'!I4:I34,"三軒茶屋－夜勤")+COUNTIF('3月'!N4:N34,"三軒茶屋－夜勤")+COUNTIF('3月'!S4:S34,"三軒茶屋－夜勤")+COUNTIF('3月'!X4:X34,"三軒茶屋－夜勤")+COUNTIF('3月'!AC4:AC34,"三軒茶屋－夜勤")+COUNTIF('3月'!AH4:AH34,"三軒茶屋－夜勤")+COUNTIF('3月'!AM4:AM34,"三軒茶屋－夜勤")+COUNTIF('3月'!AR4:AR34,"三軒茶屋－夜勤")+COUNTIF('3月'!AW4:AW34,"三軒茶屋－夜勤")+COUNTIF('3月'!BB4:BB34,"三軒茶屋－夜勤")+COUNTIF('3月'!BG4:BG34,"三軒茶屋－夜勤")+COUNTIF('3月'!BL4:BL34,"三軒茶屋－夜勤")+COUNTIF('3月'!BQ4:BQ34,"三軒茶屋－夜勤")+COUNTIF('3月'!BV4:BV34,"三軒茶屋－夜勤")+COUNTIF('3月'!CA4:CA34,"三軒茶屋－夜勤")+COUNTIF('3月'!CF4:CF34,"三軒茶屋－夜勤")+COUNTIF('3月'!CK4:CK34,"三軒茶屋－夜勤")+COUNTIF('3月'!CP4:CP34,"三軒茶屋－夜勤")+COUNTIF('3月'!CU4:CU34,"三軒茶屋－夜勤")+COUNTIF('3月'!CZ4:CZ34,"三軒茶屋－夜勤")+COUNTIF('3月'!DE4:DE34,"三軒茶屋－夜勤")+COUNTIF('3月'!DJ4:DJ34,"三軒茶屋－夜勤")+COUNTIF('3月'!DO4:DO34,"三軒茶屋－夜勤")+COUNTIF('3月'!DT4:DT34,"三軒茶屋－夜勤")+COUNTIF('3月'!DY4:DY34,"三軒茶屋－夜勤")+COUNTIF('3月'!ED4:ED34,"三軒茶屋－夜勤")+COUNTIF('3月'!EI4:EI34,"三軒茶屋－夜勤")+COUNTIF('3月'!EN4:EN34,"三軒茶屋－夜勤")+COUNTIF('3月'!ES4:ES34,"三軒茶屋－夜勤"))</f>
        <v>0</v>
      </c>
      <c r="C50" s="76">
        <f>IF($A$50="",0,COUNTIF('3月'!E4:E34,$A$50)+COUNTIF('3月'!J4:J34,$A$50)+COUNTIF('3月'!O4:O34,$A$50)+COUNTIF('3月'!T4:T34,$A$50)+COUNTIF('3月'!Y4:Y34,$A$50)+COUNTIF('3月'!AD4:AD34,$A$50)+COUNTIF('3月'!AI4:AI34,$A$50)+COUNTIF('3月'!AN4:AN34,$A$50)+COUNTIF('3月'!AS4:AS34,$A$50)+COUNTIF('3月'!AX4:AX34,$A$50)+COUNTIF('3月'!BC4:BC34,$A$50)+COUNTIF('3月'!BH4:BH34,$A$50)+COUNTIF('3月'!BM4:BM34,$A$50)+COUNTIF('3月'!BR4:BR34,$A$50)+COUNTIF('3月'!BW4:BW34,$A$50)+COUNTIF('3月'!CB4:CB34,$A$50)+COUNTIF('3月'!CG4:CG34,$A$50)+COUNTIF('3月'!CL4:CL34,$A$50)+COUNTIF('3月'!CQ4:CQ34,$A$50)+COUNTIF('3月'!CV4:CV34,$A$50)+COUNTIF('3月'!DA4:DA34,$A$50)+COUNTIF('3月'!DF4:DF34,$A$50)+COUNTIF('3月'!DK4:DK34,$A$50)+COUNTIF('3月'!DP4:DP34,$A$50)+COUNTIF('3月'!DU4:DU34,$A$50)+COUNTIF('3月'!DZ4:DZ34,$A$50)+COUNTIF('3月'!EE4:EE34,$A$50)+COUNTIF('3月'!EJ4:EJ34,$A$50)+COUNTIF('3月'!EO4:EO34,$A$50)+COUNTIF('3月'!ET4:ET34,$A$50)+COUNTIF('3月'!E4:E34,"三軒茶屋－夜勤")+COUNTIF('3月'!J4:J34,"三軒茶屋－夜勤")+COUNTIF('3月'!O4:O34,"三軒茶屋－夜勤")+COUNTIF('3月'!T4:T34,"三軒茶屋－夜勤")+COUNTIF('3月'!Y4:Y34,"三軒茶屋－夜勤")+COUNTIF('3月'!AD4:AD34,"三軒茶屋－夜勤")+COUNTIF('3月'!AI4:AI34,"三軒茶屋－夜勤")+COUNTIF('3月'!AN4:AN34,"三軒茶屋－夜勤")+COUNTIF('3月'!AS4:AS34,"三軒茶屋－夜勤")+COUNTIF('3月'!AX4:AX34,"三軒茶屋－夜勤")+COUNTIF('3月'!BC4:BC34,"三軒茶屋－夜勤")+COUNTIF('3月'!BH4:BH34,"三軒茶屋－夜勤")+COUNTIF('3月'!BM4:BM34,"三軒茶屋－夜勤")+COUNTIF('3月'!BR4:BR34,"三軒茶屋－夜勤")+COUNTIF('3月'!BW4:BW34,"三軒茶屋－夜勤")+COUNTIF('3月'!CB4:CB34,"三軒茶屋－夜勤")+COUNTIF('3月'!CG4:CG34,"三軒茶屋－夜勤")+COUNTIF('3月'!CL4:CL34,"三軒茶屋－夜勤")+COUNTIF('3月'!CQ4:CQ34,"三軒茶屋－夜勤")+COUNTIF('3月'!CV4:CV34,"三軒茶屋－夜勤")+COUNTIF('3月'!DA4:DA34,"三軒茶屋－夜勤")+COUNTIF('3月'!DF4:DF34,"三軒茶屋－夜勤")+COUNTIF('3月'!DK4:DK34,"三軒茶屋－夜勤")+COUNTIF('3月'!DP4:DP34,"三軒茶屋－夜勤")+COUNTIF('3月'!DU4:DU34,"三軒茶屋－夜勤")+COUNTIF('3月'!DZ4:DZ34,"三軒茶屋－夜勤")+COUNTIF('3月'!EE4:EE34,"三軒茶屋－夜勤")+COUNTIF('3月'!EJ4:EJ34,"三軒茶屋－夜勤")+COUNTIF('3月'!EO4:EO34,"三軒茶屋－夜勤")+COUNTIF('3月'!ET4:ET34,"三軒茶屋－夜勤"))</f>
        <v>0</v>
      </c>
      <c r="D50" s="65">
        <f>IF($A$50="",0,B50+C50)</f>
        <v>0</v>
      </c>
    </row>
    <row r="51" spans="1:4" ht="18.95" customHeight="1">
      <c r="A51" s="77">
        <f>IFERROR(現場マスタ!$C$17,"")</f>
        <v>0</v>
      </c>
      <c r="B51" s="76">
        <f>IF($A$51="",0,COUNTIF('3月'!D4:D34,$A$51)+COUNTIF('3月'!I4:I34,$A$51)+COUNTIF('3月'!N4:N34,$A$51)+COUNTIF('3月'!S4:S34,$A$51)+COUNTIF('3月'!X4:X34,$A$51)+COUNTIF('3月'!AC4:AC34,$A$51)+COUNTIF('3月'!AH4:AH34,$A$51)+COUNTIF('3月'!AM4:AM34,$A$51)+COUNTIF('3月'!AR4:AR34,$A$51)+COUNTIF('3月'!AW4:AW34,$A$51)+COUNTIF('3月'!BB4:BB34,$A$51)+COUNTIF('3月'!BG4:BG34,$A$51)+COUNTIF('3月'!BL4:BL34,$A$51)+COUNTIF('3月'!BQ4:BQ34,$A$51)+COUNTIF('3月'!BV4:BV34,$A$51)+COUNTIF('3月'!CA4:CA34,$A$51)+COUNTIF('3月'!CF4:CF34,$A$51)+COUNTIF('3月'!CK4:CK34,$A$51)+COUNTIF('3月'!CP4:CP34,$A$51)+COUNTIF('3月'!CU4:CU34,$A$51)+COUNTIF('3月'!CZ4:CZ34,$A$51)+COUNTIF('3月'!DE4:DE34,$A$51)+COUNTIF('3月'!DJ4:DJ34,$A$51)+COUNTIF('3月'!DO4:DO34,$A$51)+COUNTIF('3月'!DT4:DT34,$A$51)+COUNTIF('3月'!DY4:DY34,$A$51)+COUNTIF('3月'!ED4:ED34,$A$51)+COUNTIF('3月'!EI4:EI34,$A$51)+COUNTIF('3月'!EN4:EN34,$A$51)+COUNTIF('3月'!ES4:ES34,$A$51)+COUNTIF('3月'!D4:D34,"荻窪ー夜勤")+COUNTIF('3月'!I4:I34,"荻窪ー夜勤")+COUNTIF('3月'!N4:N34,"荻窪ー夜勤")+COUNTIF('3月'!S4:S34,"荻窪ー夜勤")+COUNTIF('3月'!X4:X34,"荻窪ー夜勤")+COUNTIF('3月'!AC4:AC34,"荻窪ー夜勤")+COUNTIF('3月'!AH4:AH34,"荻窪ー夜勤")+COUNTIF('3月'!AM4:AM34,"荻窪ー夜勤")+COUNTIF('3月'!AR4:AR34,"荻窪ー夜勤")+COUNTIF('3月'!AW4:AW34,"荻窪ー夜勤")+COUNTIF('3月'!BB4:BB34,"荻窪ー夜勤")+COUNTIF('3月'!BG4:BG34,"荻窪ー夜勤")+COUNTIF('3月'!BL4:BL34,"荻窪ー夜勤")+COUNTIF('3月'!BQ4:BQ34,"荻窪ー夜勤")+COUNTIF('3月'!BV4:BV34,"荻窪ー夜勤")+COUNTIF('3月'!CA4:CA34,"荻窪ー夜勤")+COUNTIF('3月'!CF4:CF34,"荻窪ー夜勤")+COUNTIF('3月'!CK4:CK34,"荻窪ー夜勤")+COUNTIF('3月'!CP4:CP34,"荻窪ー夜勤")+COUNTIF('3月'!CU4:CU34,"荻窪ー夜勤")+COUNTIF('3月'!CZ4:CZ34,"荻窪ー夜勤")+COUNTIF('3月'!DE4:DE34,"荻窪ー夜勤")+COUNTIF('3月'!DJ4:DJ34,"荻窪ー夜勤")+COUNTIF('3月'!DO4:DO34,"荻窪ー夜勤")+COUNTIF('3月'!DT4:DT34,"荻窪ー夜勤")+COUNTIF('3月'!DY4:DY34,"荻窪ー夜勤")+COUNTIF('3月'!ED4:ED34,"荻窪ー夜勤")+COUNTIF('3月'!EI4:EI34,"荻窪ー夜勤")+COUNTIF('3月'!EN4:EN34,"荻窪ー夜勤")+COUNTIF('3月'!ES4:ES34,"荻窪ー夜勤"))</f>
        <v>0</v>
      </c>
      <c r="C51" s="76">
        <f>IF($A$51="",0,COUNTIF('3月'!E4:E34,$A$51)+COUNTIF('3月'!J4:J34,$A$51)+COUNTIF('3月'!O4:O34,$A$51)+COUNTIF('3月'!T4:T34,$A$51)+COUNTIF('3月'!Y4:Y34,$A$51)+COUNTIF('3月'!AD4:AD34,$A$51)+COUNTIF('3月'!AI4:AI34,$A$51)+COUNTIF('3月'!AN4:AN34,$A$51)+COUNTIF('3月'!AS4:AS34,$A$51)+COUNTIF('3月'!AX4:AX34,$A$51)+COUNTIF('3月'!BC4:BC34,$A$51)+COUNTIF('3月'!BH4:BH34,$A$51)+COUNTIF('3月'!BM4:BM34,$A$51)+COUNTIF('3月'!BR4:BR34,$A$51)+COUNTIF('3月'!BW4:BW34,$A$51)+COUNTIF('3月'!CB4:CB34,$A$51)+COUNTIF('3月'!CG4:CG34,$A$51)+COUNTIF('3月'!CL4:CL34,$A$51)+COUNTIF('3月'!CQ4:CQ34,$A$51)+COUNTIF('3月'!CV4:CV34,$A$51)+COUNTIF('3月'!DA4:DA34,$A$51)+COUNTIF('3月'!DF4:DF34,$A$51)+COUNTIF('3月'!DK4:DK34,$A$51)+COUNTIF('3月'!DP4:DP34,$A$51)+COUNTIF('3月'!DU4:DU34,$A$51)+COUNTIF('3月'!DZ4:DZ34,$A$51)+COUNTIF('3月'!EE4:EE34,$A$51)+COUNTIF('3月'!EJ4:EJ34,$A$51)+COUNTIF('3月'!EO4:EO34,$A$51)+COUNTIF('3月'!ET4:ET34,$A$51)+COUNTIF('3月'!E4:E34,"荻窪ー夜勤")+COUNTIF('3月'!J4:J34,"荻窪ー夜勤")+COUNTIF('3月'!O4:O34,"荻窪ー夜勤")+COUNTIF('3月'!T4:T34,"荻窪ー夜勤")+COUNTIF('3月'!Y4:Y34,"荻窪ー夜勤")+COUNTIF('3月'!AD4:AD34,"荻窪ー夜勤")+COUNTIF('3月'!AI4:AI34,"荻窪ー夜勤")+COUNTIF('3月'!AN4:AN34,"荻窪ー夜勤")+COUNTIF('3月'!AS4:AS34,"荻窪ー夜勤")+COUNTIF('3月'!AX4:AX34,"荻窪ー夜勤")+COUNTIF('3月'!BC4:BC34,"荻窪ー夜勤")+COUNTIF('3月'!BH4:BH34,"荻窪ー夜勤")+COUNTIF('3月'!BM4:BM34,"荻窪ー夜勤")+COUNTIF('3月'!BR4:BR34,"荻窪ー夜勤")+COUNTIF('3月'!BW4:BW34,"荻窪ー夜勤")+COUNTIF('3月'!CB4:CB34,"荻窪ー夜勤")+COUNTIF('3月'!CG4:CG34,"荻窪ー夜勤")+COUNTIF('3月'!CL4:CL34,"荻窪ー夜勤")+COUNTIF('3月'!CQ4:CQ34,"荻窪ー夜勤")+COUNTIF('3月'!CV4:CV34,"荻窪ー夜勤")+COUNTIF('3月'!DA4:DA34,"荻窪ー夜勤")+COUNTIF('3月'!DF4:DF34,"荻窪ー夜勤")+COUNTIF('3月'!DK4:DK34,"荻窪ー夜勤")+COUNTIF('3月'!DP4:DP34,"荻窪ー夜勤")+COUNTIF('3月'!DU4:DU34,"荻窪ー夜勤")+COUNTIF('3月'!DZ4:DZ34,"荻窪ー夜勤")+COUNTIF('3月'!EE4:EE34,"荻窪ー夜勤")+COUNTIF('3月'!EJ4:EJ34,"荻窪ー夜勤")+COUNTIF('3月'!EO4:EO34,"荻窪ー夜勤")+COUNTIF('3月'!ET4:ET34,"荻窪ー夜勤"))</f>
        <v>0</v>
      </c>
      <c r="D51" s="65">
        <f>IF($A$51="",0,B51+C51)</f>
        <v>0</v>
      </c>
    </row>
    <row r="52" spans="1:4" ht="18.95" customHeight="1">
      <c r="A52" s="77">
        <f>IFERROR(現場マスタ!$C$18,"")</f>
        <v>0</v>
      </c>
      <c r="B52" s="76">
        <f>IF($A$52="",0,COUNTIF('3月'!D4:D34,$A$52)+COUNTIF('3月'!I4:I34,$A$52)+COUNTIF('3月'!N4:N34,$A$52)+COUNTIF('3月'!S4:S34,$A$52)+COUNTIF('3月'!X4:X34,$A$52)+COUNTIF('3月'!AC4:AC34,$A$52)+COUNTIF('3月'!AH4:AH34,$A$52)+COUNTIF('3月'!AM4:AM34,$A$52)+COUNTIF('3月'!AR4:AR34,$A$52)+COUNTIF('3月'!AW4:AW34,$A$52)+COUNTIF('3月'!BB4:BB34,$A$52)+COUNTIF('3月'!BG4:BG34,$A$52)+COUNTIF('3月'!BL4:BL34,$A$52)+COUNTIF('3月'!BQ4:BQ34,$A$52)+COUNTIF('3月'!BV4:BV34,$A$52)+COUNTIF('3月'!CA4:CA34,$A$52)+COUNTIF('3月'!CF4:CF34,$A$52)+COUNTIF('3月'!CK4:CK34,$A$52)+COUNTIF('3月'!CP4:CP34,$A$52)+COUNTIF('3月'!CU4:CU34,$A$52)+COUNTIF('3月'!CZ4:CZ34,$A$52)+COUNTIF('3月'!DE4:DE34,$A$52)+COUNTIF('3月'!DJ4:DJ34,$A$52)+COUNTIF('3月'!DO4:DO34,$A$52)+COUNTIF('3月'!DT4:DT34,$A$52)+COUNTIF('3月'!DY4:DY34,$A$52)+COUNTIF('3月'!ED4:ED34,$A$52)+COUNTIF('3月'!EI4:EI34,$A$52)+COUNTIF('3月'!EN4:EN34,$A$52)+COUNTIF('3月'!ES4:ES34,$A$52))</f>
        <v>0</v>
      </c>
      <c r="C52" s="76">
        <f>IF($A$52="",0,COUNTIF('3月'!E4:E34,$A$52)+COUNTIF('3月'!J4:J34,$A$52)+COUNTIF('3月'!O4:O34,$A$52)+COUNTIF('3月'!T4:T34,$A$52)+COUNTIF('3月'!Y4:Y34,$A$52)+COUNTIF('3月'!AD4:AD34,$A$52)+COUNTIF('3月'!AI4:AI34,$A$52)+COUNTIF('3月'!AN4:AN34,$A$52)+COUNTIF('3月'!AS4:AS34,$A$52)+COUNTIF('3月'!AX4:AX34,$A$52)+COUNTIF('3月'!BC4:BC34,$A$52)+COUNTIF('3月'!BH4:BH34,$A$52)+COUNTIF('3月'!BM4:BM34,$A$52)+COUNTIF('3月'!BR4:BR34,$A$52)+COUNTIF('3月'!BW4:BW34,$A$52)+COUNTIF('3月'!CB4:CB34,$A$52)+COUNTIF('3月'!CG4:CG34,$A$52)+COUNTIF('3月'!CL4:CL34,$A$52)+COUNTIF('3月'!CQ4:CQ34,$A$52)+COUNTIF('3月'!CV4:CV34,$A$52)+COUNTIF('3月'!DA4:DA34,$A$52)+COUNTIF('3月'!DF4:DF34,$A$52)+COUNTIF('3月'!DK4:DK34,$A$52)+COUNTIF('3月'!DP4:DP34,$A$52)+COUNTIF('3月'!DU4:DU34,$A$52)+COUNTIF('3月'!DZ4:DZ34,$A$52)+COUNTIF('3月'!EE4:EE34,$A$52)+COUNTIF('3月'!EJ4:EJ34,$A$52)+COUNTIF('3月'!EO4:EO34,$A$52)+COUNTIF('3月'!ET4:ET34,$A$52))</f>
        <v>0</v>
      </c>
      <c r="D52" s="65">
        <f>IF($A$52="",0,B52+C52)</f>
        <v>0</v>
      </c>
    </row>
    <row r="53" spans="1:4" ht="18.95" customHeight="1">
      <c r="A53" s="77">
        <f>IFERROR(現場マスタ!$C$20,"")</f>
        <v>0</v>
      </c>
      <c r="B53" s="76">
        <f>IF($A$53="",0,COUNTIF('3月'!D4:D34,$A$53)+COUNTIF('3月'!I4:I34,$A$53)+COUNTIF('3月'!N4:N34,$A$53)+COUNTIF('3月'!S4:S34,$A$53)+COUNTIF('3月'!X4:X34,$A$53)+COUNTIF('3月'!AC4:AC34,$A$53)+COUNTIF('3月'!AH4:AH34,$A$53)+COUNTIF('3月'!AM4:AM34,$A$53)+COUNTIF('3月'!AR4:AR34,$A$53)+COUNTIF('3月'!AW4:AW34,$A$53)+COUNTIF('3月'!BB4:BB34,$A$53)+COUNTIF('3月'!BG4:BG34,$A$53)+COUNTIF('3月'!BL4:BL34,$A$53)+COUNTIF('3月'!BQ4:BQ34,$A$53)+COUNTIF('3月'!BV4:BV34,$A$53)+COUNTIF('3月'!CA4:CA34,$A$53)+COUNTIF('3月'!CF4:CF34,$A$53)+COUNTIF('3月'!CK4:CK34,$A$53)+COUNTIF('3月'!CP4:CP34,$A$53)+COUNTIF('3月'!CU4:CU34,$A$53)+COUNTIF('3月'!CZ4:CZ34,$A$53)+COUNTIF('3月'!DE4:DE34,$A$53)+COUNTIF('3月'!DJ4:DJ34,$A$53)+COUNTIF('3月'!DO4:DO34,$A$53)+COUNTIF('3月'!DT4:DT34,$A$53)+COUNTIF('3月'!DY4:DY34,$A$53)+COUNTIF('3月'!ED4:ED34,$A$53)+COUNTIF('3月'!EI4:EI34,$A$53)+COUNTIF('3月'!EN4:EN34,$A$53)+COUNTIF('3月'!ES4:ES34,$A$53))</f>
        <v>0</v>
      </c>
      <c r="C53" s="76">
        <f>IF($A$53="",0,COUNTIF('3月'!E4:E34,$A$53)+COUNTIF('3月'!J4:J34,$A$53)+COUNTIF('3月'!O4:O34,$A$53)+COUNTIF('3月'!T4:T34,$A$53)+COUNTIF('3月'!Y4:Y34,$A$53)+COUNTIF('3月'!AD4:AD34,$A$53)+COUNTIF('3月'!AI4:AI34,$A$53)+COUNTIF('3月'!AN4:AN34,$A$53)+COUNTIF('3月'!AS4:AS34,$A$53)+COUNTIF('3月'!AX4:AX34,$A$53)+COUNTIF('3月'!BC4:BC34,$A$53)+COUNTIF('3月'!BH4:BH34,$A$53)+COUNTIF('3月'!BM4:BM34,$A$53)+COUNTIF('3月'!BR4:BR34,$A$53)+COUNTIF('3月'!BW4:BW34,$A$53)+COUNTIF('3月'!CB4:CB34,$A$53)+COUNTIF('3月'!CG4:CG34,$A$53)+COUNTIF('3月'!CL4:CL34,$A$53)+COUNTIF('3月'!CQ4:CQ34,$A$53)+COUNTIF('3月'!CV4:CV34,$A$53)+COUNTIF('3月'!DA4:DA34,$A$53)+COUNTIF('3月'!DF4:DF34,$A$53)+COUNTIF('3月'!DK4:DK34,$A$53)+COUNTIF('3月'!DP4:DP34,$A$53)+COUNTIF('3月'!DU4:DU34,$A$53)+COUNTIF('3月'!DZ4:DZ34,$A$53)+COUNTIF('3月'!EE4:EE34,$A$53)+COUNTIF('3月'!EJ4:EJ34,$A$53)+COUNTIF('3月'!EO4:EO34,$A$53)+COUNTIF('3月'!ET4:ET34,$A$53))</f>
        <v>0</v>
      </c>
      <c r="D53" s="65">
        <f>IF($A$53="",0,B53+C53)</f>
        <v>0</v>
      </c>
    </row>
    <row r="54" spans="1:4" ht="18.95" customHeight="1">
      <c r="A54" s="77">
        <f>IFERROR(現場マスタ!$C$21,"")</f>
        <v>0</v>
      </c>
      <c r="B54" s="76">
        <f>IF($A$54="",0,COUNTIF('3月'!D4:D34,$A$54)+COUNTIF('3月'!I4:I34,$A$54)+COUNTIF('3月'!N4:N34,$A$54)+COUNTIF('3月'!S4:S34,$A$54)+COUNTIF('3月'!X4:X34,$A$54)+COUNTIF('3月'!AC4:AC34,$A$54)+COUNTIF('3月'!AH4:AH34,$A$54)+COUNTIF('3月'!AM4:AM34,$A$54)+COUNTIF('3月'!AR4:AR34,$A$54)+COUNTIF('3月'!AW4:AW34,$A$54)+COUNTIF('3月'!BB4:BB34,$A$54)+COUNTIF('3月'!BG4:BG34,$A$54)+COUNTIF('3月'!BL4:BL34,$A$54)+COUNTIF('3月'!BQ4:BQ34,$A$54)+COUNTIF('3月'!BV4:BV34,$A$54)+COUNTIF('3月'!CA4:CA34,$A$54)+COUNTIF('3月'!CF4:CF34,$A$54)+COUNTIF('3月'!CK4:CK34,$A$54)+COUNTIF('3月'!CP4:CP34,$A$54)+COUNTIF('3月'!CU4:CU34,$A$54)+COUNTIF('3月'!CZ4:CZ34,$A$54)+COUNTIF('3月'!DE4:DE34,$A$54)+COUNTIF('3月'!DJ4:DJ34,$A$54)+COUNTIF('3月'!DO4:DO34,$A$54)+COUNTIF('3月'!DT4:DT34,$A$54)+COUNTIF('3月'!DY4:DY34,$A$54)+COUNTIF('3月'!ED4:ED34,$A$54)+COUNTIF('3月'!EI4:EI34,$A$54)+COUNTIF('3月'!EN4:EN34,$A$54)+COUNTIF('3月'!ES4:ES34,$A$54))</f>
        <v>0</v>
      </c>
      <c r="C54" s="76">
        <f>IF($A$54="",0,COUNTIF('3月'!E4:E34,$A$54)+COUNTIF('3月'!J4:J34,$A$54)+COUNTIF('3月'!O4:O34,$A$54)+COUNTIF('3月'!T4:T34,$A$54)+COUNTIF('3月'!Y4:Y34,$A$54)+COUNTIF('3月'!AD4:AD34,$A$54)+COUNTIF('3月'!AI4:AI34,$A$54)+COUNTIF('3月'!AN4:AN34,$A$54)+COUNTIF('3月'!AS4:AS34,$A$54)+COUNTIF('3月'!AX4:AX34,$A$54)+COUNTIF('3月'!BC4:BC34,$A$54)+COUNTIF('3月'!BH4:BH34,$A$54)+COUNTIF('3月'!BM4:BM34,$A$54)+COUNTIF('3月'!BR4:BR34,$A$54)+COUNTIF('3月'!BW4:BW34,$A$54)+COUNTIF('3月'!CB4:CB34,$A$54)+COUNTIF('3月'!CG4:CG34,$A$54)+COUNTIF('3月'!CL4:CL34,$A$54)+COUNTIF('3月'!CQ4:CQ34,$A$54)+COUNTIF('3月'!CV4:CV34,$A$54)+COUNTIF('3月'!DA4:DA34,$A$54)+COUNTIF('3月'!DF4:DF34,$A$54)+COUNTIF('3月'!DK4:DK34,$A$54)+COUNTIF('3月'!DP4:DP34,$A$54)+COUNTIF('3月'!DU4:DU34,$A$54)+COUNTIF('3月'!DZ4:DZ34,$A$54)+COUNTIF('3月'!EE4:EE34,$A$54)+COUNTIF('3月'!EJ4:EJ34,$A$54)+COUNTIF('3月'!EO4:EO34,$A$54)+COUNTIF('3月'!ET4:ET34,$A$54))</f>
        <v>0</v>
      </c>
      <c r="D54" s="65">
        <f>IF($A$54="",0,B54+C54)</f>
        <v>0</v>
      </c>
    </row>
    <row r="55" spans="1:4" ht="18.95" customHeight="1">
      <c r="A55" s="77">
        <f>IFERROR(現場マスタ!$C$22,"")</f>
        <v>0</v>
      </c>
      <c r="B55" s="76">
        <f>IF($A$55="",0,COUNTIF('3月'!D4:D34,$A$55)+COUNTIF('3月'!I4:I34,$A$55)+COUNTIF('3月'!N4:N34,$A$55)+COUNTIF('3月'!S4:S34,$A$55)+COUNTIF('3月'!X4:X34,$A$55)+COUNTIF('3月'!AC4:AC34,$A$55)+COUNTIF('3月'!AH4:AH34,$A$55)+COUNTIF('3月'!AM4:AM34,$A$55)+COUNTIF('3月'!AR4:AR34,$A$55)+COUNTIF('3月'!AW4:AW34,$A$55)+COUNTIF('3月'!BB4:BB34,$A$55)+COUNTIF('3月'!BG4:BG34,$A$55)+COUNTIF('3月'!BL4:BL34,$A$55)+COUNTIF('3月'!BQ4:BQ34,$A$55)+COUNTIF('3月'!BV4:BV34,$A$55)+COUNTIF('3月'!CA4:CA34,$A$55)+COUNTIF('3月'!CF4:CF34,$A$55)+COUNTIF('3月'!CK4:CK34,$A$55)+COUNTIF('3月'!CP4:CP34,$A$55)+COUNTIF('3月'!CU4:CU34,$A$55)+COUNTIF('3月'!CZ4:CZ34,$A$55)+COUNTIF('3月'!DE4:DE34,$A$55)+COUNTIF('3月'!DJ4:DJ34,$A$55)+COUNTIF('3月'!DO4:DO34,$A$55)+COUNTIF('3月'!DT4:DT34,$A$55)+COUNTIF('3月'!DY4:DY34,$A$55)+COUNTIF('3月'!ED4:ED34,$A$55)+COUNTIF('3月'!EI4:EI34,$A$55)+COUNTIF('3月'!EN4:EN34,$A$55)+COUNTIF('3月'!ES4:ES34,$A$55))</f>
        <v>0</v>
      </c>
      <c r="C55" s="76">
        <f>IF($A$55="",0,COUNTIF('3月'!E4:E34,$A$55)+COUNTIF('3月'!J4:J34,$A$55)+COUNTIF('3月'!O4:O34,$A$55)+COUNTIF('3月'!T4:T34,$A$55)+COUNTIF('3月'!Y4:Y34,$A$55)+COUNTIF('3月'!AD4:AD34,$A$55)+COUNTIF('3月'!AI4:AI34,$A$55)+COUNTIF('3月'!AN4:AN34,$A$55)+COUNTIF('3月'!AS4:AS34,$A$55)+COUNTIF('3月'!AX4:AX34,$A$55)+COUNTIF('3月'!BC4:BC34,$A$55)+COUNTIF('3月'!BH4:BH34,$A$55)+COUNTIF('3月'!BM4:BM34,$A$55)+COUNTIF('3月'!BR4:BR34,$A$55)+COUNTIF('3月'!BW4:BW34,$A$55)+COUNTIF('3月'!CB4:CB34,$A$55)+COUNTIF('3月'!CG4:CG34,$A$55)+COUNTIF('3月'!CL4:CL34,$A$55)+COUNTIF('3月'!CQ4:CQ34,$A$55)+COUNTIF('3月'!CV4:CV34,$A$55)+COUNTIF('3月'!DA4:DA34,$A$55)+COUNTIF('3月'!DF4:DF34,$A$55)+COUNTIF('3月'!DK4:DK34,$A$55)+COUNTIF('3月'!DP4:DP34,$A$55)+COUNTIF('3月'!DU4:DU34,$A$55)+COUNTIF('3月'!DZ4:DZ34,$A$55)+COUNTIF('3月'!EE4:EE34,$A$55)+COUNTIF('3月'!EJ4:EJ34,$A$55)+COUNTIF('3月'!EO4:EO34,$A$55)+COUNTIF('3月'!ET4:ET34,$A$55))</f>
        <v>0</v>
      </c>
      <c r="D55" s="65">
        <f>IF($A$55="",0,B55+C55)</f>
        <v>0</v>
      </c>
    </row>
    <row r="56" spans="1:4" ht="9.9499999999999993" customHeight="1"/>
    <row r="57" spans="1:4" ht="21.95" customHeight="1">
      <c r="A57" s="112" t="str">
        <f>対象年度&amp;"年 4月"</f>
        <v>2026年 4月</v>
      </c>
      <c r="B57" s="112"/>
      <c r="C57" s="112"/>
      <c r="D57" s="112"/>
    </row>
    <row r="58" spans="1:4" ht="20.100000000000001" customHeight="1">
      <c r="A58" s="60" t="s">
        <v>60</v>
      </c>
      <c r="B58" s="75" t="s">
        <v>110</v>
      </c>
      <c r="C58" s="75" t="s">
        <v>111</v>
      </c>
      <c r="D58" s="65" t="s">
        <v>112</v>
      </c>
    </row>
    <row r="59" spans="1:4" ht="18.95" customHeight="1">
      <c r="A59" s="77" t="str">
        <f>IFERROR(現場マスタ!$C$4,"")</f>
        <v>新宿</v>
      </c>
      <c r="B59" s="76">
        <f>IF($A$59="",0,COUNTIF('4月'!D4:D34,$A$59)+COUNTIF('4月'!I4:I34,$A$59)+COUNTIF('4月'!N4:N34,$A$59)+COUNTIF('4月'!S4:S34,$A$59)+COUNTIF('4月'!X4:X34,$A$59)+COUNTIF('4月'!AC4:AC34,$A$59)+COUNTIF('4月'!AH4:AH34,$A$59)+COUNTIF('4月'!AM4:AM34,$A$59)+COUNTIF('4月'!AR4:AR34,$A$59)+COUNTIF('4月'!AW4:AW34,$A$59)+COUNTIF('4月'!BB4:BB34,$A$59)+COUNTIF('4月'!BG4:BG34,$A$59)+COUNTIF('4月'!BL4:BL34,$A$59)+COUNTIF('4月'!BQ4:BQ34,$A$59)+COUNTIF('4月'!BV4:BV34,$A$59)+COUNTIF('4月'!CA4:CA34,$A$59)+COUNTIF('4月'!CF4:CF34,$A$59)+COUNTIF('4月'!CK4:CK34,$A$59)+COUNTIF('4月'!CP4:CP34,$A$59)+COUNTIF('4月'!CU4:CU34,$A$59)+COUNTIF('4月'!CZ4:CZ34,$A$59)+COUNTIF('4月'!DE4:DE34,$A$59)+COUNTIF('4月'!DJ4:DJ34,$A$59)+COUNTIF('4月'!DO4:DO34,$A$59)+COUNTIF('4月'!DT4:DT34,$A$59)+COUNTIF('4月'!DY4:DY34,$A$59)+COUNTIF('4月'!ED4:ED34,$A$59)+COUNTIF('4月'!EI4:EI34,$A$59)+COUNTIF('4月'!EN4:EN34,$A$59)+COUNTIF('4月'!ES4:ES34,$A$59))</f>
        <v>0</v>
      </c>
      <c r="C59" s="76">
        <f>IF($A$59="",0,COUNTIF('4月'!E4:E34,$A$59)+COUNTIF('4月'!J4:J34,$A$59)+COUNTIF('4月'!O4:O34,$A$59)+COUNTIF('4月'!T4:T34,$A$59)+COUNTIF('4月'!Y4:Y34,$A$59)+COUNTIF('4月'!AD4:AD34,$A$59)+COUNTIF('4月'!AI4:AI34,$A$59)+COUNTIF('4月'!AN4:AN34,$A$59)+COUNTIF('4月'!AS4:AS34,$A$59)+COUNTIF('4月'!AX4:AX34,$A$59)+COUNTIF('4月'!BC4:BC34,$A$59)+COUNTIF('4月'!BH4:BH34,$A$59)+COUNTIF('4月'!BM4:BM34,$A$59)+COUNTIF('4月'!BR4:BR34,$A$59)+COUNTIF('4月'!BW4:BW34,$A$59)+COUNTIF('4月'!CB4:CB34,$A$59)+COUNTIF('4月'!CG4:CG34,$A$59)+COUNTIF('4月'!CL4:CL34,$A$59)+COUNTIF('4月'!CQ4:CQ34,$A$59)+COUNTIF('4月'!CV4:CV34,$A$59)+COUNTIF('4月'!DA4:DA34,$A$59)+COUNTIF('4月'!DF4:DF34,$A$59)+COUNTIF('4月'!DK4:DK34,$A$59)+COUNTIF('4月'!DP4:DP34,$A$59)+COUNTIF('4月'!DU4:DU34,$A$59)+COUNTIF('4月'!DZ4:DZ34,$A$59)+COUNTIF('4月'!EE4:EE34,$A$59)+COUNTIF('4月'!EJ4:EJ34,$A$59)+COUNTIF('4月'!EO4:EO34,$A$59)+COUNTIF('4月'!ET4:ET34,$A$59))</f>
        <v>0</v>
      </c>
      <c r="D59" s="65">
        <f>IF($A$59="",0,B59+C59)</f>
        <v>0</v>
      </c>
    </row>
    <row r="60" spans="1:4" ht="18.95" customHeight="1">
      <c r="A60" s="77" t="str">
        <f>IFERROR(現場マスタ!$C$5,"")</f>
        <v>赤坂</v>
      </c>
      <c r="B60" s="76">
        <f>IF($A$60="",0,COUNTIF('4月'!D4:D34,$A$60)+COUNTIF('4月'!I4:I34,$A$60)+COUNTIF('4月'!N4:N34,$A$60)+COUNTIF('4月'!S4:S34,$A$60)+COUNTIF('4月'!X4:X34,$A$60)+COUNTIF('4月'!AC4:AC34,$A$60)+COUNTIF('4月'!AH4:AH34,$A$60)+COUNTIF('4月'!AM4:AM34,$A$60)+COUNTIF('4月'!AR4:AR34,$A$60)+COUNTIF('4月'!AW4:AW34,$A$60)+COUNTIF('4月'!BB4:BB34,$A$60)+COUNTIF('4月'!BG4:BG34,$A$60)+COUNTIF('4月'!BL4:BL34,$A$60)+COUNTIF('4月'!BQ4:BQ34,$A$60)+COUNTIF('4月'!BV4:BV34,$A$60)+COUNTIF('4月'!CA4:CA34,$A$60)+COUNTIF('4月'!CF4:CF34,$A$60)+COUNTIF('4月'!CK4:CK34,$A$60)+COUNTIF('4月'!CP4:CP34,$A$60)+COUNTIF('4月'!CU4:CU34,$A$60)+COUNTIF('4月'!CZ4:CZ34,$A$60)+COUNTIF('4月'!DE4:DE34,$A$60)+COUNTIF('4月'!DJ4:DJ34,$A$60)+COUNTIF('4月'!DO4:DO34,$A$60)+COUNTIF('4月'!DT4:DT34,$A$60)+COUNTIF('4月'!DY4:DY34,$A$60)+COUNTIF('4月'!ED4:ED34,$A$60)+COUNTIF('4月'!EI4:EI34,$A$60)+COUNTIF('4月'!EN4:EN34,$A$60)+COUNTIF('4月'!ES4:ES34,$A$60))</f>
        <v>0</v>
      </c>
      <c r="C60" s="76">
        <f>IF($A$60="",0,COUNTIF('4月'!E4:E34,$A$60)+COUNTIF('4月'!J4:J34,$A$60)+COUNTIF('4月'!O4:O34,$A$60)+COUNTIF('4月'!T4:T34,$A$60)+COUNTIF('4月'!Y4:Y34,$A$60)+COUNTIF('4月'!AD4:AD34,$A$60)+COUNTIF('4月'!AI4:AI34,$A$60)+COUNTIF('4月'!AN4:AN34,$A$60)+COUNTIF('4月'!AS4:AS34,$A$60)+COUNTIF('4月'!AX4:AX34,$A$60)+COUNTIF('4月'!BC4:BC34,$A$60)+COUNTIF('4月'!BH4:BH34,$A$60)+COUNTIF('4月'!BM4:BM34,$A$60)+COUNTIF('4月'!BR4:BR34,$A$60)+COUNTIF('4月'!BW4:BW34,$A$60)+COUNTIF('4月'!CB4:CB34,$A$60)+COUNTIF('4月'!CG4:CG34,$A$60)+COUNTIF('4月'!CL4:CL34,$A$60)+COUNTIF('4月'!CQ4:CQ34,$A$60)+COUNTIF('4月'!CV4:CV34,$A$60)+COUNTIF('4月'!DA4:DA34,$A$60)+COUNTIF('4月'!DF4:DF34,$A$60)+COUNTIF('4月'!DK4:DK34,$A$60)+COUNTIF('4月'!DP4:DP34,$A$60)+COUNTIF('4月'!DU4:DU34,$A$60)+COUNTIF('4月'!DZ4:DZ34,$A$60)+COUNTIF('4月'!EE4:EE34,$A$60)+COUNTIF('4月'!EJ4:EJ34,$A$60)+COUNTIF('4月'!EO4:EO34,$A$60)+COUNTIF('4月'!ET4:ET34,$A$60))</f>
        <v>0</v>
      </c>
      <c r="D60" s="65">
        <f>IF($A$60="",0,B60+C60)</f>
        <v>0</v>
      </c>
    </row>
    <row r="61" spans="1:4" ht="18.95" customHeight="1">
      <c r="A61" s="77" t="str">
        <f>IFERROR(現場マスタ!$C$6,"")</f>
        <v>渋谷ヒカリエ</v>
      </c>
      <c r="B61" s="76">
        <f>IF($A$61="",0,COUNTIF('4月'!D4:D34,$A$61)+COUNTIF('4月'!I4:I34,$A$61)+COUNTIF('4月'!N4:N34,$A$61)+COUNTIF('4月'!S4:S34,$A$61)+COUNTIF('4月'!X4:X34,$A$61)+COUNTIF('4月'!AC4:AC34,$A$61)+COUNTIF('4月'!AH4:AH34,$A$61)+COUNTIF('4月'!AM4:AM34,$A$61)+COUNTIF('4月'!AR4:AR34,$A$61)+COUNTIF('4月'!AW4:AW34,$A$61)+COUNTIF('4月'!BB4:BB34,$A$61)+COUNTIF('4月'!BG4:BG34,$A$61)+COUNTIF('4月'!BL4:BL34,$A$61)+COUNTIF('4月'!BQ4:BQ34,$A$61)+COUNTIF('4月'!BV4:BV34,$A$61)+COUNTIF('4月'!CA4:CA34,$A$61)+COUNTIF('4月'!CF4:CF34,$A$61)+COUNTIF('4月'!CK4:CK34,$A$61)+COUNTIF('4月'!CP4:CP34,$A$61)+COUNTIF('4月'!CU4:CU34,$A$61)+COUNTIF('4月'!CZ4:CZ34,$A$61)+COUNTIF('4月'!DE4:DE34,$A$61)+COUNTIF('4月'!DJ4:DJ34,$A$61)+COUNTIF('4月'!DO4:DO34,$A$61)+COUNTIF('4月'!DT4:DT34,$A$61)+COUNTIF('4月'!DY4:DY34,$A$61)+COUNTIF('4月'!ED4:ED34,$A$61)+COUNTIF('4月'!EI4:EI34,$A$61)+COUNTIF('4月'!EN4:EN34,$A$61)+COUNTIF('4月'!ES4:ES34,$A$61))</f>
        <v>0</v>
      </c>
      <c r="C61" s="76">
        <f>IF($A$61="",0,COUNTIF('4月'!E4:E34,$A$61)+COUNTIF('4月'!J4:J34,$A$61)+COUNTIF('4月'!O4:O34,$A$61)+COUNTIF('4月'!T4:T34,$A$61)+COUNTIF('4月'!Y4:Y34,$A$61)+COUNTIF('4月'!AD4:AD34,$A$61)+COUNTIF('4月'!AI4:AI34,$A$61)+COUNTIF('4月'!AN4:AN34,$A$61)+COUNTIF('4月'!AS4:AS34,$A$61)+COUNTIF('4月'!AX4:AX34,$A$61)+COUNTIF('4月'!BC4:BC34,$A$61)+COUNTIF('4月'!BH4:BH34,$A$61)+COUNTIF('4月'!BM4:BM34,$A$61)+COUNTIF('4月'!BR4:BR34,$A$61)+COUNTIF('4月'!BW4:BW34,$A$61)+COUNTIF('4月'!CB4:CB34,$A$61)+COUNTIF('4月'!CG4:CG34,$A$61)+COUNTIF('4月'!CL4:CL34,$A$61)+COUNTIF('4月'!CQ4:CQ34,$A$61)+COUNTIF('4月'!CV4:CV34,$A$61)+COUNTIF('4月'!DA4:DA34,$A$61)+COUNTIF('4月'!DF4:DF34,$A$61)+COUNTIF('4月'!DK4:DK34,$A$61)+COUNTIF('4月'!DP4:DP34,$A$61)+COUNTIF('4月'!DU4:DU34,$A$61)+COUNTIF('4月'!DZ4:DZ34,$A$61)+COUNTIF('4月'!EE4:EE34,$A$61)+COUNTIF('4月'!EJ4:EJ34,$A$61)+COUNTIF('4月'!EO4:EO34,$A$61)+COUNTIF('4月'!ET4:ET34,$A$61))</f>
        <v>0</v>
      </c>
      <c r="D61" s="65">
        <f>IF($A$61="",0,B61+C61)</f>
        <v>0</v>
      </c>
    </row>
    <row r="62" spans="1:4" ht="18.95" customHeight="1">
      <c r="A62" s="77" t="str">
        <f>IFERROR(現場マスタ!$C$7,"")</f>
        <v>六本木ヒルズ</v>
      </c>
      <c r="B62" s="76">
        <f>IF($A$62="",0,COUNTIF('4月'!D4:D34,$A$62)+COUNTIF('4月'!I4:I34,$A$62)+COUNTIF('4月'!N4:N34,$A$62)+COUNTIF('4月'!S4:S34,$A$62)+COUNTIF('4月'!X4:X34,$A$62)+COUNTIF('4月'!AC4:AC34,$A$62)+COUNTIF('4月'!AH4:AH34,$A$62)+COUNTIF('4月'!AM4:AM34,$A$62)+COUNTIF('4月'!AR4:AR34,$A$62)+COUNTIF('4月'!AW4:AW34,$A$62)+COUNTIF('4月'!BB4:BB34,$A$62)+COUNTIF('4月'!BG4:BG34,$A$62)+COUNTIF('4月'!BL4:BL34,$A$62)+COUNTIF('4月'!BQ4:BQ34,$A$62)+COUNTIF('4月'!BV4:BV34,$A$62)+COUNTIF('4月'!CA4:CA34,$A$62)+COUNTIF('4月'!CF4:CF34,$A$62)+COUNTIF('4月'!CK4:CK34,$A$62)+COUNTIF('4月'!CP4:CP34,$A$62)+COUNTIF('4月'!CU4:CU34,$A$62)+COUNTIF('4月'!CZ4:CZ34,$A$62)+COUNTIF('4月'!DE4:DE34,$A$62)+COUNTIF('4月'!DJ4:DJ34,$A$62)+COUNTIF('4月'!DO4:DO34,$A$62)+COUNTIF('4月'!DT4:DT34,$A$62)+COUNTIF('4月'!DY4:DY34,$A$62)+COUNTIF('4月'!ED4:ED34,$A$62)+COUNTIF('4月'!EI4:EI34,$A$62)+COUNTIF('4月'!EN4:EN34,$A$62)+COUNTIF('4月'!ES4:ES34,$A$62)+COUNTIF('4月'!D4:D34,"渋谷-夜勤")+COUNTIF('4月'!I4:I34,"渋谷-夜勤")+COUNTIF('4月'!N4:N34,"渋谷-夜勤")+COUNTIF('4月'!S4:S34,"渋谷-夜勤")+COUNTIF('4月'!X4:X34,"渋谷-夜勤")+COUNTIF('4月'!AC4:AC34,"渋谷-夜勤")+COUNTIF('4月'!AH4:AH34,"渋谷-夜勤")+COUNTIF('4月'!AM4:AM34,"渋谷-夜勤")+COUNTIF('4月'!AR4:AR34,"渋谷-夜勤")+COUNTIF('4月'!AW4:AW34,"渋谷-夜勤")+COUNTIF('4月'!BB4:BB34,"渋谷-夜勤")+COUNTIF('4月'!BG4:BG34,"渋谷-夜勤")+COUNTIF('4月'!BL4:BL34,"渋谷-夜勤")+COUNTIF('4月'!BQ4:BQ34,"渋谷-夜勤")+COUNTIF('4月'!BV4:BV34,"渋谷-夜勤")+COUNTIF('4月'!CA4:CA34,"渋谷-夜勤")+COUNTIF('4月'!CF4:CF34,"渋谷-夜勤")+COUNTIF('4月'!CK4:CK34,"渋谷-夜勤")+COUNTIF('4月'!CP4:CP34,"渋谷-夜勤")+COUNTIF('4月'!CU4:CU34,"渋谷-夜勤")+COUNTIF('4月'!CZ4:CZ34,"渋谷-夜勤")+COUNTIF('4月'!DE4:DE34,"渋谷-夜勤")+COUNTIF('4月'!DJ4:DJ34,"渋谷-夜勤")+COUNTIF('4月'!DO4:DO34,"渋谷-夜勤")+COUNTIF('4月'!DT4:DT34,"渋谷-夜勤")+COUNTIF('4月'!DY4:DY34,"渋谷-夜勤")+COUNTIF('4月'!ED4:ED34,"渋谷-夜勤")+COUNTIF('4月'!EI4:EI34,"渋谷-夜勤")+COUNTIF('4月'!EN4:EN34,"渋谷-夜勤")+COUNTIF('4月'!ES4:ES34,"渋谷-夜勤"))</f>
        <v>0</v>
      </c>
      <c r="C62" s="76">
        <f>IF($A$62="",0,COUNTIF('4月'!E4:E34,$A$62)+COUNTIF('4月'!J4:J34,$A$62)+COUNTIF('4月'!O4:O34,$A$62)+COUNTIF('4月'!T4:T34,$A$62)+COUNTIF('4月'!Y4:Y34,$A$62)+COUNTIF('4月'!AD4:AD34,$A$62)+COUNTIF('4月'!AI4:AI34,$A$62)+COUNTIF('4月'!AN4:AN34,$A$62)+COUNTIF('4月'!AS4:AS34,$A$62)+COUNTIF('4月'!AX4:AX34,$A$62)+COUNTIF('4月'!BC4:BC34,$A$62)+COUNTIF('4月'!BH4:BH34,$A$62)+COUNTIF('4月'!BM4:BM34,$A$62)+COUNTIF('4月'!BR4:BR34,$A$62)+COUNTIF('4月'!BW4:BW34,$A$62)+COUNTIF('4月'!CB4:CB34,$A$62)+COUNTIF('4月'!CG4:CG34,$A$62)+COUNTIF('4月'!CL4:CL34,$A$62)+COUNTIF('4月'!CQ4:CQ34,$A$62)+COUNTIF('4月'!CV4:CV34,$A$62)+COUNTIF('4月'!DA4:DA34,$A$62)+COUNTIF('4月'!DF4:DF34,$A$62)+COUNTIF('4月'!DK4:DK34,$A$62)+COUNTIF('4月'!DP4:DP34,$A$62)+COUNTIF('4月'!DU4:DU34,$A$62)+COUNTIF('4月'!DZ4:DZ34,$A$62)+COUNTIF('4月'!EE4:EE34,$A$62)+COUNTIF('4月'!EJ4:EJ34,$A$62)+COUNTIF('4月'!EO4:EO34,$A$62)+COUNTIF('4月'!ET4:ET34,$A$62)+COUNTIF('4月'!E4:E34,"渋谷-夜勤")+COUNTIF('4月'!J4:J34,"渋谷-夜勤")+COUNTIF('4月'!O4:O34,"渋谷-夜勤")+COUNTIF('4月'!T4:T34,"渋谷-夜勤")+COUNTIF('4月'!Y4:Y34,"渋谷-夜勤")+COUNTIF('4月'!AD4:AD34,"渋谷-夜勤")+COUNTIF('4月'!AI4:AI34,"渋谷-夜勤")+COUNTIF('4月'!AN4:AN34,"渋谷-夜勤")+COUNTIF('4月'!AS4:AS34,"渋谷-夜勤")+COUNTIF('4月'!AX4:AX34,"渋谷-夜勤")+COUNTIF('4月'!BC4:BC34,"渋谷-夜勤")+COUNTIF('4月'!BH4:BH34,"渋谷-夜勤")+COUNTIF('4月'!BM4:BM34,"渋谷-夜勤")+COUNTIF('4月'!BR4:BR34,"渋谷-夜勤")+COUNTIF('4月'!BW4:BW34,"渋谷-夜勤")+COUNTIF('4月'!CB4:CB34,"渋谷-夜勤")+COUNTIF('4月'!CG4:CG34,"渋谷-夜勤")+COUNTIF('4月'!CL4:CL34,"渋谷-夜勤")+COUNTIF('4月'!CQ4:CQ34,"渋谷-夜勤")+COUNTIF('4月'!CV4:CV34,"渋谷-夜勤")+COUNTIF('4月'!DA4:DA34,"渋谷-夜勤")+COUNTIF('4月'!DF4:DF34,"渋谷-夜勤")+COUNTIF('4月'!DK4:DK34,"渋谷-夜勤")+COUNTIF('4月'!DP4:DP34,"渋谷-夜勤")+COUNTIF('4月'!DU4:DU34,"渋谷-夜勤")+COUNTIF('4月'!DZ4:DZ34,"渋谷-夜勤")+COUNTIF('4月'!EE4:EE34,"渋谷-夜勤")+COUNTIF('4月'!EJ4:EJ34,"渋谷-夜勤")+COUNTIF('4月'!EO4:EO34,"渋谷-夜勤")+COUNTIF('4月'!ET4:ET34,"渋谷-夜勤"))</f>
        <v>0</v>
      </c>
      <c r="D62" s="65">
        <f>IF($A$62="",0,B62+C62)</f>
        <v>0</v>
      </c>
    </row>
    <row r="63" spans="1:4" ht="18.95" customHeight="1">
      <c r="A63" s="77" t="str">
        <f>IFERROR(現場マスタ!$C$10,"")</f>
        <v>有給</v>
      </c>
      <c r="B63" s="76">
        <f>IF($A$63="",0,COUNTIF('4月'!D4:D34,$A$63)+COUNTIF('4月'!I4:I34,$A$63)+COUNTIF('4月'!N4:N34,$A$63)+COUNTIF('4月'!S4:S34,$A$63)+COUNTIF('4月'!X4:X34,$A$63)+COUNTIF('4月'!AC4:AC34,$A$63)+COUNTIF('4月'!AH4:AH34,$A$63)+COUNTIF('4月'!AM4:AM34,$A$63)+COUNTIF('4月'!AR4:AR34,$A$63)+COUNTIF('4月'!AW4:AW34,$A$63)+COUNTIF('4月'!BB4:BB34,$A$63)+COUNTIF('4月'!BG4:BG34,$A$63)+COUNTIF('4月'!BL4:BL34,$A$63)+COUNTIF('4月'!BQ4:BQ34,$A$63)+COUNTIF('4月'!BV4:BV34,$A$63)+COUNTIF('4月'!CA4:CA34,$A$63)+COUNTIF('4月'!CF4:CF34,$A$63)+COUNTIF('4月'!CK4:CK34,$A$63)+COUNTIF('4月'!CP4:CP34,$A$63)+COUNTIF('4月'!CU4:CU34,$A$63)+COUNTIF('4月'!CZ4:CZ34,$A$63)+COUNTIF('4月'!DE4:DE34,$A$63)+COUNTIF('4月'!DJ4:DJ34,$A$63)+COUNTIF('4月'!DO4:DO34,$A$63)+COUNTIF('4月'!DT4:DT34,$A$63)+COUNTIF('4月'!DY4:DY34,$A$63)+COUNTIF('4月'!ED4:ED34,$A$63)+COUNTIF('4月'!EI4:EI34,$A$63)+COUNTIF('4月'!EN4:EN34,$A$63)+COUNTIF('4月'!ES4:ES34,$A$63)+COUNTIF('4月'!D4:D34,"六本木-夜勤")+COUNTIF('4月'!I4:I34,"六本木-夜勤")+COUNTIF('4月'!N4:N34,"六本木-夜勤")+COUNTIF('4月'!S4:S34,"六本木-夜勤")+COUNTIF('4月'!X4:X34,"六本木-夜勤")+COUNTIF('4月'!AC4:AC34,"六本木-夜勤")+COUNTIF('4月'!AH4:AH34,"六本木-夜勤")+COUNTIF('4月'!AM4:AM34,"六本木-夜勤")+COUNTIF('4月'!AR4:AR34,"六本木-夜勤")+COUNTIF('4月'!AW4:AW34,"六本木-夜勤")+COUNTIF('4月'!BB4:BB34,"六本木-夜勤")+COUNTIF('4月'!BG4:BG34,"六本木-夜勤")+COUNTIF('4月'!BL4:BL34,"六本木-夜勤")+COUNTIF('4月'!BQ4:BQ34,"六本木-夜勤")+COUNTIF('4月'!BV4:BV34,"六本木-夜勤")+COUNTIF('4月'!CA4:CA34,"六本木-夜勤")+COUNTIF('4月'!CF4:CF34,"六本木-夜勤")+COUNTIF('4月'!CK4:CK34,"六本木-夜勤")+COUNTIF('4月'!CP4:CP34,"六本木-夜勤")+COUNTIF('4月'!CU4:CU34,"六本木-夜勤")+COUNTIF('4月'!CZ4:CZ34,"六本木-夜勤")+COUNTIF('4月'!DE4:DE34,"六本木-夜勤")+COUNTIF('4月'!DJ4:DJ34,"六本木-夜勤")+COUNTIF('4月'!DO4:DO34,"六本木-夜勤")+COUNTIF('4月'!DT4:DT34,"六本木-夜勤")+COUNTIF('4月'!DY4:DY34,"六本木-夜勤")+COUNTIF('4月'!ED4:ED34,"六本木-夜勤")+COUNTIF('4月'!EI4:EI34,"六本木-夜勤")+COUNTIF('4月'!EN4:EN34,"六本木-夜勤")+COUNTIF('4月'!ES4:ES34,"六本木-夜勤")+COUNTIF('4月'!D4:D34,"六本木ー夜勤")+COUNTIF('4月'!I4:I34,"六本木ー夜勤")+COUNTIF('4月'!N4:N34,"六本木ー夜勤")+COUNTIF('4月'!S4:S34,"六本木ー夜勤")+COUNTIF('4月'!X4:X34,"六本木ー夜勤")+COUNTIF('4月'!AC4:AC34,"六本木ー夜勤")+COUNTIF('4月'!AH4:AH34,"六本木ー夜勤")+COUNTIF('4月'!AM4:AM34,"六本木ー夜勤")+COUNTIF('4月'!AR4:AR34,"六本木ー夜勤")+COUNTIF('4月'!AW4:AW34,"六本木ー夜勤")+COUNTIF('4月'!BB4:BB34,"六本木ー夜勤")+COUNTIF('4月'!BG4:BG34,"六本木ー夜勤")+COUNTIF('4月'!BL4:BL34,"六本木ー夜勤")+COUNTIF('4月'!BQ4:BQ34,"六本木ー夜勤")+COUNTIF('4月'!BV4:BV34,"六本木ー夜勤")+COUNTIF('4月'!CA4:CA34,"六本木ー夜勤")+COUNTIF('4月'!CF4:CF34,"六本木ー夜勤")+COUNTIF('4月'!CK4:CK34,"六本木ー夜勤")+COUNTIF('4月'!CP4:CP34,"六本木ー夜勤")+COUNTIF('4月'!CU4:CU34,"六本木ー夜勤")+COUNTIF('4月'!CZ4:CZ34,"六本木ー夜勤")+COUNTIF('4月'!DE4:DE34,"六本木ー夜勤")+COUNTIF('4月'!DJ4:DJ34,"六本木ー夜勤")+COUNTIF('4月'!DO4:DO34,"六本木ー夜勤")+COUNTIF('4月'!DT4:DT34,"六本木ー夜勤")+COUNTIF('4月'!DY4:DY34,"六本木ー夜勤")+COUNTIF('4月'!ED4:ED34,"六本木ー夜勤")+COUNTIF('4月'!EI4:EI34,"六本木ー夜勤")+COUNTIF('4月'!EN4:EN34,"六本木ー夜勤")+COUNTIF('4月'!ES4:ES34,"六本木ー夜勤"))</f>
        <v>0</v>
      </c>
      <c r="C63" s="76">
        <f>IF($A$63="",0,COUNTIF('4月'!E4:E34,$A$63)+COUNTIF('4月'!J4:J34,$A$63)+COUNTIF('4月'!O4:O34,$A$63)+COUNTIF('4月'!T4:T34,$A$63)+COUNTIF('4月'!Y4:Y34,$A$63)+COUNTIF('4月'!AD4:AD34,$A$63)+COUNTIF('4月'!AI4:AI34,$A$63)+COUNTIF('4月'!AN4:AN34,$A$63)+COUNTIF('4月'!AS4:AS34,$A$63)+COUNTIF('4月'!AX4:AX34,$A$63)+COUNTIF('4月'!BC4:BC34,$A$63)+COUNTIF('4月'!BH4:BH34,$A$63)+COUNTIF('4月'!BM4:BM34,$A$63)+COUNTIF('4月'!BR4:BR34,$A$63)+COUNTIF('4月'!BW4:BW34,$A$63)+COUNTIF('4月'!CB4:CB34,$A$63)+COUNTIF('4月'!CG4:CG34,$A$63)+COUNTIF('4月'!CL4:CL34,$A$63)+COUNTIF('4月'!CQ4:CQ34,$A$63)+COUNTIF('4月'!CV4:CV34,$A$63)+COUNTIF('4月'!DA4:DA34,$A$63)+COUNTIF('4月'!DF4:DF34,$A$63)+COUNTIF('4月'!DK4:DK34,$A$63)+COUNTIF('4月'!DP4:DP34,$A$63)+COUNTIF('4月'!DU4:DU34,$A$63)+COUNTIF('4月'!DZ4:DZ34,$A$63)+COUNTIF('4月'!EE4:EE34,$A$63)+COUNTIF('4月'!EJ4:EJ34,$A$63)+COUNTIF('4月'!EO4:EO34,$A$63)+COUNTIF('4月'!ET4:ET34,$A$63)+COUNTIF('4月'!E4:E34,"六本木-夜勤")+COUNTIF('4月'!J4:J34,"六本木-夜勤")+COUNTIF('4月'!O4:O34,"六本木-夜勤")+COUNTIF('4月'!T4:T34,"六本木-夜勤")+COUNTIF('4月'!Y4:Y34,"六本木-夜勤")+COUNTIF('4月'!AD4:AD34,"六本木-夜勤")+COUNTIF('4月'!AI4:AI34,"六本木-夜勤")+COUNTIF('4月'!AN4:AN34,"六本木-夜勤")+COUNTIF('4月'!AS4:AS34,"六本木-夜勤")+COUNTIF('4月'!AX4:AX34,"六本木-夜勤")+COUNTIF('4月'!BC4:BC34,"六本木-夜勤")+COUNTIF('4月'!BH4:BH34,"六本木-夜勤")+COUNTIF('4月'!BM4:BM34,"六本木-夜勤")+COUNTIF('4月'!BR4:BR34,"六本木-夜勤")+COUNTIF('4月'!BW4:BW34,"六本木-夜勤")+COUNTIF('4月'!CB4:CB34,"六本木-夜勤")+COUNTIF('4月'!CG4:CG34,"六本木-夜勤")+COUNTIF('4月'!CL4:CL34,"六本木-夜勤")+COUNTIF('4月'!CQ4:CQ34,"六本木-夜勤")+COUNTIF('4月'!CV4:CV34,"六本木-夜勤")+COUNTIF('4月'!DA4:DA34,"六本木-夜勤")+COUNTIF('4月'!DF4:DF34,"六本木-夜勤")+COUNTIF('4月'!DK4:DK34,"六本木-夜勤")+COUNTIF('4月'!DP4:DP34,"六本木-夜勤")+COUNTIF('4月'!DU4:DU34,"六本木-夜勤")+COUNTIF('4月'!DZ4:DZ34,"六本木-夜勤")+COUNTIF('4月'!EE4:EE34,"六本木-夜勤")+COUNTIF('4月'!EJ4:EJ34,"六本木-夜勤")+COUNTIF('4月'!EO4:EO34,"六本木-夜勤")+COUNTIF('4月'!ET4:ET34,"六本木-夜勤")+COUNTIF('4月'!E4:E34,"六本木ー夜勤")+COUNTIF('4月'!J4:J34,"六本木ー夜勤")+COUNTIF('4月'!O4:O34,"六本木ー夜勤")+COUNTIF('4月'!T4:T34,"六本木ー夜勤")+COUNTIF('4月'!Y4:Y34,"六本木ー夜勤")+COUNTIF('4月'!AD4:AD34,"六本木ー夜勤")+COUNTIF('4月'!AI4:AI34,"六本木ー夜勤")+COUNTIF('4月'!AN4:AN34,"六本木ー夜勤")+COUNTIF('4月'!AS4:AS34,"六本木ー夜勤")+COUNTIF('4月'!AX4:AX34,"六本木ー夜勤")+COUNTIF('4月'!BC4:BC34,"六本木ー夜勤")+COUNTIF('4月'!BH4:BH34,"六本木ー夜勤")+COUNTIF('4月'!BM4:BM34,"六本木ー夜勤")+COUNTIF('4月'!BR4:BR34,"六本木ー夜勤")+COUNTIF('4月'!BW4:BW34,"六本木ー夜勤")+COUNTIF('4月'!CB4:CB34,"六本木ー夜勤")+COUNTIF('4月'!CG4:CG34,"六本木ー夜勤")+COUNTIF('4月'!CL4:CL34,"六本木ー夜勤")+COUNTIF('4月'!CQ4:CQ34,"六本木ー夜勤")+COUNTIF('4月'!CV4:CV34,"六本木ー夜勤")+COUNTIF('4月'!DA4:DA34,"六本木ー夜勤")+COUNTIF('4月'!DF4:DF34,"六本木ー夜勤")+COUNTIF('4月'!DK4:DK34,"六本木ー夜勤")+COUNTIF('4月'!DP4:DP34,"六本木ー夜勤")+COUNTIF('4月'!DU4:DU34,"六本木ー夜勤")+COUNTIF('4月'!DZ4:DZ34,"六本木ー夜勤")+COUNTIF('4月'!EE4:EE34,"六本木ー夜勤")+COUNTIF('4月'!EJ4:EJ34,"六本木ー夜勤")+COUNTIF('4月'!EO4:EO34,"六本木ー夜勤")+COUNTIF('4月'!ET4:ET34,"六本木ー夜勤"))</f>
        <v>0</v>
      </c>
      <c r="D63" s="65">
        <f>IF($A$63="",0,B63+C63)</f>
        <v>0</v>
      </c>
    </row>
    <row r="64" spans="1:4" ht="18.95" customHeight="1">
      <c r="A64" s="77">
        <f>IFERROR(現場マスタ!$C$11,"")</f>
        <v>0</v>
      </c>
      <c r="B64" s="76">
        <v>0</v>
      </c>
      <c r="C64" s="76">
        <v>0</v>
      </c>
      <c r="D64" s="65">
        <v>0</v>
      </c>
    </row>
    <row r="65" spans="1:4" ht="18.95" customHeight="1">
      <c r="A65" s="77">
        <f>IFERROR(現場マスタ!$C$12,"")</f>
        <v>0</v>
      </c>
      <c r="B65" s="76">
        <f>IF($A$65="",0,COUNTIF('4月'!D4:D34,$A$65)+COUNTIF('4月'!I4:I34,$A$65)+COUNTIF('4月'!N4:N34,$A$65)+COUNTIF('4月'!S4:S34,$A$65)+COUNTIF('4月'!X4:X34,$A$65)+COUNTIF('4月'!AC4:AC34,$A$65)+COUNTIF('4月'!AH4:AH34,$A$65)+COUNTIF('4月'!AM4:AM34,$A$65)+COUNTIF('4月'!AR4:AR34,$A$65)+COUNTIF('4月'!AW4:AW34,$A$65)+COUNTIF('4月'!BB4:BB34,$A$65)+COUNTIF('4月'!BG4:BG34,$A$65)+COUNTIF('4月'!BL4:BL34,$A$65)+COUNTIF('4月'!BQ4:BQ34,$A$65)+COUNTIF('4月'!BV4:BV34,$A$65)+COUNTIF('4月'!CA4:CA34,$A$65)+COUNTIF('4月'!CF4:CF34,$A$65)+COUNTIF('4月'!CK4:CK34,$A$65)+COUNTIF('4月'!CP4:CP34,$A$65)+COUNTIF('4月'!CU4:CU34,$A$65)+COUNTIF('4月'!CZ4:CZ34,$A$65)+COUNTIF('4月'!DE4:DE34,$A$65)+COUNTIF('4月'!DJ4:DJ34,$A$65)+COUNTIF('4月'!DO4:DO34,$A$65)+COUNTIF('4月'!DT4:DT34,$A$65)+COUNTIF('4月'!DY4:DY34,$A$65)+COUNTIF('4月'!ED4:ED34,$A$65)+COUNTIF('4月'!EI4:EI34,$A$65)+COUNTIF('4月'!EN4:EN34,$A$65)+COUNTIF('4月'!ES4:ES34,$A$65))</f>
        <v>0</v>
      </c>
      <c r="C65" s="76">
        <f>IF($A$65="",0,COUNTIF('4月'!E4:E34,$A$65)+COUNTIF('4月'!J4:J34,$A$65)+COUNTIF('4月'!O4:O34,$A$65)+COUNTIF('4月'!T4:T34,$A$65)+COUNTIF('4月'!Y4:Y34,$A$65)+COUNTIF('4月'!AD4:AD34,$A$65)+COUNTIF('4月'!AI4:AI34,$A$65)+COUNTIF('4月'!AN4:AN34,$A$65)+COUNTIF('4月'!AS4:AS34,$A$65)+COUNTIF('4月'!AX4:AX34,$A$65)+COUNTIF('4月'!BC4:BC34,$A$65)+COUNTIF('4月'!BH4:BH34,$A$65)+COUNTIF('4月'!BM4:BM34,$A$65)+COUNTIF('4月'!BR4:BR34,$A$65)+COUNTIF('4月'!BW4:BW34,$A$65)+COUNTIF('4月'!CB4:CB34,$A$65)+COUNTIF('4月'!CG4:CG34,$A$65)+COUNTIF('4月'!CL4:CL34,$A$65)+COUNTIF('4月'!CQ4:CQ34,$A$65)+COUNTIF('4月'!CV4:CV34,$A$65)+COUNTIF('4月'!DA4:DA34,$A$65)+COUNTIF('4月'!DF4:DF34,$A$65)+COUNTIF('4月'!DK4:DK34,$A$65)+COUNTIF('4月'!DP4:DP34,$A$65)+COUNTIF('4月'!DU4:DU34,$A$65)+COUNTIF('4月'!DZ4:DZ34,$A$65)+COUNTIF('4月'!EE4:EE34,$A$65)+COUNTIF('4月'!EJ4:EJ34,$A$65)+COUNTIF('4月'!EO4:EO34,$A$65)+COUNTIF('4月'!ET4:ET34,$A$65))</f>
        <v>0</v>
      </c>
      <c r="D65" s="65">
        <f>IF($A$65="",0,B65+C65)</f>
        <v>0</v>
      </c>
    </row>
    <row r="66" spans="1:4" ht="18.95" customHeight="1">
      <c r="A66" s="77">
        <f>IFERROR(現場マスタ!$C$14,"")</f>
        <v>0</v>
      </c>
      <c r="B66" s="76">
        <v>0</v>
      </c>
      <c r="C66" s="76">
        <v>0</v>
      </c>
      <c r="D66" s="65">
        <v>0</v>
      </c>
    </row>
    <row r="67" spans="1:4" ht="18.95" customHeight="1">
      <c r="A67" s="77">
        <f>IFERROR(現場マスタ!$C$15,"")</f>
        <v>0</v>
      </c>
      <c r="B67" s="76">
        <v>0</v>
      </c>
      <c r="C67" s="76">
        <v>0</v>
      </c>
      <c r="D67" s="65">
        <v>0</v>
      </c>
    </row>
    <row r="68" spans="1:4" ht="18.95" customHeight="1">
      <c r="A68" s="77">
        <f>IFERROR(現場マスタ!$C$16,"")</f>
        <v>0</v>
      </c>
      <c r="B68" s="76">
        <f>IF($A$68="",0,COUNTIF('4月'!D4:D34,$A$68)+COUNTIF('4月'!I4:I34,$A$68)+COUNTIF('4月'!N4:N34,$A$68)+COUNTIF('4月'!S4:S34,$A$68)+COUNTIF('4月'!X4:X34,$A$68)+COUNTIF('4月'!AC4:AC34,$A$68)+COUNTIF('4月'!AH4:AH34,$A$68)+COUNTIF('4月'!AM4:AM34,$A$68)+COUNTIF('4月'!AR4:AR34,$A$68)+COUNTIF('4月'!AW4:AW34,$A$68)+COUNTIF('4月'!BB4:BB34,$A$68)+COUNTIF('4月'!BG4:BG34,$A$68)+COUNTIF('4月'!BL4:BL34,$A$68)+COUNTIF('4月'!BQ4:BQ34,$A$68)+COUNTIF('4月'!BV4:BV34,$A$68)+COUNTIF('4月'!CA4:CA34,$A$68)+COUNTIF('4月'!CF4:CF34,$A$68)+COUNTIF('4月'!CK4:CK34,$A$68)+COUNTIF('4月'!CP4:CP34,$A$68)+COUNTIF('4月'!CU4:CU34,$A$68)+COUNTIF('4月'!CZ4:CZ34,$A$68)+COUNTIF('4月'!DE4:DE34,$A$68)+COUNTIF('4月'!DJ4:DJ34,$A$68)+COUNTIF('4月'!DO4:DO34,$A$68)+COUNTIF('4月'!DT4:DT34,$A$68)+COUNTIF('4月'!DY4:DY34,$A$68)+COUNTIF('4月'!ED4:ED34,$A$68)+COUNTIF('4月'!EI4:EI34,$A$68)+COUNTIF('4月'!EN4:EN34,$A$68)+COUNTIF('4月'!ES4:ES34,$A$68)+COUNTIF('4月'!D4:D34,"三軒茶屋－夜勤")+COUNTIF('4月'!I4:I34,"三軒茶屋－夜勤")+COUNTIF('4月'!N4:N34,"三軒茶屋－夜勤")+COUNTIF('4月'!S4:S34,"三軒茶屋－夜勤")+COUNTIF('4月'!X4:X34,"三軒茶屋－夜勤")+COUNTIF('4月'!AC4:AC34,"三軒茶屋－夜勤")+COUNTIF('4月'!AH4:AH34,"三軒茶屋－夜勤")+COUNTIF('4月'!AM4:AM34,"三軒茶屋－夜勤")+COUNTIF('4月'!AR4:AR34,"三軒茶屋－夜勤")+COUNTIF('4月'!AW4:AW34,"三軒茶屋－夜勤")+COUNTIF('4月'!BB4:BB34,"三軒茶屋－夜勤")+COUNTIF('4月'!BG4:BG34,"三軒茶屋－夜勤")+COUNTIF('4月'!BL4:BL34,"三軒茶屋－夜勤")+COUNTIF('4月'!BQ4:BQ34,"三軒茶屋－夜勤")+COUNTIF('4月'!BV4:BV34,"三軒茶屋－夜勤")+COUNTIF('4月'!CA4:CA34,"三軒茶屋－夜勤")+COUNTIF('4月'!CF4:CF34,"三軒茶屋－夜勤")+COUNTIF('4月'!CK4:CK34,"三軒茶屋－夜勤")+COUNTIF('4月'!CP4:CP34,"三軒茶屋－夜勤")+COUNTIF('4月'!CU4:CU34,"三軒茶屋－夜勤")+COUNTIF('4月'!CZ4:CZ34,"三軒茶屋－夜勤")+COUNTIF('4月'!DE4:DE34,"三軒茶屋－夜勤")+COUNTIF('4月'!DJ4:DJ34,"三軒茶屋－夜勤")+COUNTIF('4月'!DO4:DO34,"三軒茶屋－夜勤")+COUNTIF('4月'!DT4:DT34,"三軒茶屋－夜勤")+COUNTIF('4月'!DY4:DY34,"三軒茶屋－夜勤")+COUNTIF('4月'!ED4:ED34,"三軒茶屋－夜勤")+COUNTIF('4月'!EI4:EI34,"三軒茶屋－夜勤")+COUNTIF('4月'!EN4:EN34,"三軒茶屋－夜勤")+COUNTIF('4月'!ES4:ES34,"三軒茶屋－夜勤"))</f>
        <v>0</v>
      </c>
      <c r="C68" s="76">
        <f>IF($A$68="",0,COUNTIF('4月'!E4:E34,$A$68)+COUNTIF('4月'!J4:J34,$A$68)+COUNTIF('4月'!O4:O34,$A$68)+COUNTIF('4月'!T4:T34,$A$68)+COUNTIF('4月'!Y4:Y34,$A$68)+COUNTIF('4月'!AD4:AD34,$A$68)+COUNTIF('4月'!AI4:AI34,$A$68)+COUNTIF('4月'!AN4:AN34,$A$68)+COUNTIF('4月'!AS4:AS34,$A$68)+COUNTIF('4月'!AX4:AX34,$A$68)+COUNTIF('4月'!BC4:BC34,$A$68)+COUNTIF('4月'!BH4:BH34,$A$68)+COUNTIF('4月'!BM4:BM34,$A$68)+COUNTIF('4月'!BR4:BR34,$A$68)+COUNTIF('4月'!BW4:BW34,$A$68)+COUNTIF('4月'!CB4:CB34,$A$68)+COUNTIF('4月'!CG4:CG34,$A$68)+COUNTIF('4月'!CL4:CL34,$A$68)+COUNTIF('4月'!CQ4:CQ34,$A$68)+COUNTIF('4月'!CV4:CV34,$A$68)+COUNTIF('4月'!DA4:DA34,$A$68)+COUNTIF('4月'!DF4:DF34,$A$68)+COUNTIF('4月'!DK4:DK34,$A$68)+COUNTIF('4月'!DP4:DP34,$A$68)+COUNTIF('4月'!DU4:DU34,$A$68)+COUNTIF('4月'!DZ4:DZ34,$A$68)+COUNTIF('4月'!EE4:EE34,$A$68)+COUNTIF('4月'!EJ4:EJ34,$A$68)+COUNTIF('4月'!EO4:EO34,$A$68)+COUNTIF('4月'!ET4:ET34,$A$68)+COUNTIF('4月'!E4:E34,"三軒茶屋－夜勤")+COUNTIF('4月'!J4:J34,"三軒茶屋－夜勤")+COUNTIF('4月'!O4:O34,"三軒茶屋－夜勤")+COUNTIF('4月'!T4:T34,"三軒茶屋－夜勤")+COUNTIF('4月'!Y4:Y34,"三軒茶屋－夜勤")+COUNTIF('4月'!AD4:AD34,"三軒茶屋－夜勤")+COUNTIF('4月'!AI4:AI34,"三軒茶屋－夜勤")+COUNTIF('4月'!AN4:AN34,"三軒茶屋－夜勤")+COUNTIF('4月'!AS4:AS34,"三軒茶屋－夜勤")+COUNTIF('4月'!AX4:AX34,"三軒茶屋－夜勤")+COUNTIF('4月'!BC4:BC34,"三軒茶屋－夜勤")+COUNTIF('4月'!BH4:BH34,"三軒茶屋－夜勤")+COUNTIF('4月'!BM4:BM34,"三軒茶屋－夜勤")+COUNTIF('4月'!BR4:BR34,"三軒茶屋－夜勤")+COUNTIF('4月'!BW4:BW34,"三軒茶屋－夜勤")+COUNTIF('4月'!CB4:CB34,"三軒茶屋－夜勤")+COUNTIF('4月'!CG4:CG34,"三軒茶屋－夜勤")+COUNTIF('4月'!CL4:CL34,"三軒茶屋－夜勤")+COUNTIF('4月'!CQ4:CQ34,"三軒茶屋－夜勤")+COUNTIF('4月'!CV4:CV34,"三軒茶屋－夜勤")+COUNTIF('4月'!DA4:DA34,"三軒茶屋－夜勤")+COUNTIF('4月'!DF4:DF34,"三軒茶屋－夜勤")+COUNTIF('4月'!DK4:DK34,"三軒茶屋－夜勤")+COUNTIF('4月'!DP4:DP34,"三軒茶屋－夜勤")+COUNTIF('4月'!DU4:DU34,"三軒茶屋－夜勤")+COUNTIF('4月'!DZ4:DZ34,"三軒茶屋－夜勤")+COUNTIF('4月'!EE4:EE34,"三軒茶屋－夜勤")+COUNTIF('4月'!EJ4:EJ34,"三軒茶屋－夜勤")+COUNTIF('4月'!EO4:EO34,"三軒茶屋－夜勤")+COUNTIF('4月'!ET4:ET34,"三軒茶屋－夜勤"))</f>
        <v>0</v>
      </c>
      <c r="D68" s="65">
        <f>IF($A$68="",0,B68+C68)</f>
        <v>0</v>
      </c>
    </row>
    <row r="69" spans="1:4" ht="18.95" customHeight="1">
      <c r="A69" s="77">
        <f>IFERROR(現場マスタ!$C$17,"")</f>
        <v>0</v>
      </c>
      <c r="B69" s="76">
        <f>IF($A$69="",0,COUNTIF('4月'!D4:D34,$A$69)+COUNTIF('4月'!I4:I34,$A$69)+COUNTIF('4月'!N4:N34,$A$69)+COUNTIF('4月'!S4:S34,$A$69)+COUNTIF('4月'!X4:X34,$A$69)+COUNTIF('4月'!AC4:AC34,$A$69)+COUNTIF('4月'!AH4:AH34,$A$69)+COUNTIF('4月'!AM4:AM34,$A$69)+COUNTIF('4月'!AR4:AR34,$A$69)+COUNTIF('4月'!AW4:AW34,$A$69)+COUNTIF('4月'!BB4:BB34,$A$69)+COUNTIF('4月'!BG4:BG34,$A$69)+COUNTIF('4月'!BL4:BL34,$A$69)+COUNTIF('4月'!BQ4:BQ34,$A$69)+COUNTIF('4月'!BV4:BV34,$A$69)+COUNTIF('4月'!CA4:CA34,$A$69)+COUNTIF('4月'!CF4:CF34,$A$69)+COUNTIF('4月'!CK4:CK34,$A$69)+COUNTIF('4月'!CP4:CP34,$A$69)+COUNTIF('4月'!CU4:CU34,$A$69)+COUNTIF('4月'!CZ4:CZ34,$A$69)+COUNTIF('4月'!DE4:DE34,$A$69)+COUNTIF('4月'!DJ4:DJ34,$A$69)+COUNTIF('4月'!DO4:DO34,$A$69)+COUNTIF('4月'!DT4:DT34,$A$69)+COUNTIF('4月'!DY4:DY34,$A$69)+COUNTIF('4月'!ED4:ED34,$A$69)+COUNTIF('4月'!EI4:EI34,$A$69)+COUNTIF('4月'!EN4:EN34,$A$69)+COUNTIF('4月'!ES4:ES34,$A$69)+COUNTIF('4月'!D4:D34,"荻窪ー夜勤")+COUNTIF('4月'!I4:I34,"荻窪ー夜勤")+COUNTIF('4月'!N4:N34,"荻窪ー夜勤")+COUNTIF('4月'!S4:S34,"荻窪ー夜勤")+COUNTIF('4月'!X4:X34,"荻窪ー夜勤")+COUNTIF('4月'!AC4:AC34,"荻窪ー夜勤")+COUNTIF('4月'!AH4:AH34,"荻窪ー夜勤")+COUNTIF('4月'!AM4:AM34,"荻窪ー夜勤")+COUNTIF('4月'!AR4:AR34,"荻窪ー夜勤")+COUNTIF('4月'!AW4:AW34,"荻窪ー夜勤")+COUNTIF('4月'!BB4:BB34,"荻窪ー夜勤")+COUNTIF('4月'!BG4:BG34,"荻窪ー夜勤")+COUNTIF('4月'!BL4:BL34,"荻窪ー夜勤")+COUNTIF('4月'!BQ4:BQ34,"荻窪ー夜勤")+COUNTIF('4月'!BV4:BV34,"荻窪ー夜勤")+COUNTIF('4月'!CA4:CA34,"荻窪ー夜勤")+COUNTIF('4月'!CF4:CF34,"荻窪ー夜勤")+COUNTIF('4月'!CK4:CK34,"荻窪ー夜勤")+COUNTIF('4月'!CP4:CP34,"荻窪ー夜勤")+COUNTIF('4月'!CU4:CU34,"荻窪ー夜勤")+COUNTIF('4月'!CZ4:CZ34,"荻窪ー夜勤")+COUNTIF('4月'!DE4:DE34,"荻窪ー夜勤")+COUNTIF('4月'!DJ4:DJ34,"荻窪ー夜勤")+COUNTIF('4月'!DO4:DO34,"荻窪ー夜勤")+COUNTIF('4月'!DT4:DT34,"荻窪ー夜勤")+COUNTIF('4月'!DY4:DY34,"荻窪ー夜勤")+COUNTIF('4月'!ED4:ED34,"荻窪ー夜勤")+COUNTIF('4月'!EI4:EI34,"荻窪ー夜勤")+COUNTIF('4月'!EN4:EN34,"荻窪ー夜勤")+COUNTIF('4月'!ES4:ES34,"荻窪ー夜勤"))</f>
        <v>0</v>
      </c>
      <c r="C69" s="76">
        <f>IF($A$69="",0,COUNTIF('4月'!E4:E34,$A$69)+COUNTIF('4月'!J4:J34,$A$69)+COUNTIF('4月'!O4:O34,$A$69)+COUNTIF('4月'!T4:T34,$A$69)+COUNTIF('4月'!Y4:Y34,$A$69)+COUNTIF('4月'!AD4:AD34,$A$69)+COUNTIF('4月'!AI4:AI34,$A$69)+COUNTIF('4月'!AN4:AN34,$A$69)+COUNTIF('4月'!AS4:AS34,$A$69)+COUNTIF('4月'!AX4:AX34,$A$69)+COUNTIF('4月'!BC4:BC34,$A$69)+COUNTIF('4月'!BH4:BH34,$A$69)+COUNTIF('4月'!BM4:BM34,$A$69)+COUNTIF('4月'!BR4:BR34,$A$69)+COUNTIF('4月'!BW4:BW34,$A$69)+COUNTIF('4月'!CB4:CB34,$A$69)+COUNTIF('4月'!CG4:CG34,$A$69)+COUNTIF('4月'!CL4:CL34,$A$69)+COUNTIF('4月'!CQ4:CQ34,$A$69)+COUNTIF('4月'!CV4:CV34,$A$69)+COUNTIF('4月'!DA4:DA34,$A$69)+COUNTIF('4月'!DF4:DF34,$A$69)+COUNTIF('4月'!DK4:DK34,$A$69)+COUNTIF('4月'!DP4:DP34,$A$69)+COUNTIF('4月'!DU4:DU34,$A$69)+COUNTIF('4月'!DZ4:DZ34,$A$69)+COUNTIF('4月'!EE4:EE34,$A$69)+COUNTIF('4月'!EJ4:EJ34,$A$69)+COUNTIF('4月'!EO4:EO34,$A$69)+COUNTIF('4月'!ET4:ET34,$A$69)+COUNTIF('4月'!E4:E34,"荻窪ー夜勤")+COUNTIF('4月'!J4:J34,"荻窪ー夜勤")+COUNTIF('4月'!O4:O34,"荻窪ー夜勤")+COUNTIF('4月'!T4:T34,"荻窪ー夜勤")+COUNTIF('4月'!Y4:Y34,"荻窪ー夜勤")+COUNTIF('4月'!AD4:AD34,"荻窪ー夜勤")+COUNTIF('4月'!AI4:AI34,"荻窪ー夜勤")+COUNTIF('4月'!AN4:AN34,"荻窪ー夜勤")+COUNTIF('4月'!AS4:AS34,"荻窪ー夜勤")+COUNTIF('4月'!AX4:AX34,"荻窪ー夜勤")+COUNTIF('4月'!BC4:BC34,"荻窪ー夜勤")+COUNTIF('4月'!BH4:BH34,"荻窪ー夜勤")+COUNTIF('4月'!BM4:BM34,"荻窪ー夜勤")+COUNTIF('4月'!BR4:BR34,"荻窪ー夜勤")+COUNTIF('4月'!BW4:BW34,"荻窪ー夜勤")+COUNTIF('4月'!CB4:CB34,"荻窪ー夜勤")+COUNTIF('4月'!CG4:CG34,"荻窪ー夜勤")+COUNTIF('4月'!CL4:CL34,"荻窪ー夜勤")+COUNTIF('4月'!CQ4:CQ34,"荻窪ー夜勤")+COUNTIF('4月'!CV4:CV34,"荻窪ー夜勤")+COUNTIF('4月'!DA4:DA34,"荻窪ー夜勤")+COUNTIF('4月'!DF4:DF34,"荻窪ー夜勤")+COUNTIF('4月'!DK4:DK34,"荻窪ー夜勤")+COUNTIF('4月'!DP4:DP34,"荻窪ー夜勤")+COUNTIF('4月'!DU4:DU34,"荻窪ー夜勤")+COUNTIF('4月'!DZ4:DZ34,"荻窪ー夜勤")+COUNTIF('4月'!EE4:EE34,"荻窪ー夜勤")+COUNTIF('4月'!EJ4:EJ34,"荻窪ー夜勤")+COUNTIF('4月'!EO4:EO34,"荻窪ー夜勤")+COUNTIF('4月'!ET4:ET34,"荻窪ー夜勤"))</f>
        <v>0</v>
      </c>
      <c r="D69" s="65">
        <f>IF($A$69="",0,B69+C69)</f>
        <v>0</v>
      </c>
    </row>
    <row r="70" spans="1:4" ht="18.95" customHeight="1">
      <c r="A70" s="77">
        <f>IFERROR(現場マスタ!$C$18,"")</f>
        <v>0</v>
      </c>
      <c r="B70" s="76">
        <f>IF($A$70="",0,COUNTIF('4月'!D4:D34,$A$70)+COUNTIF('4月'!I4:I34,$A$70)+COUNTIF('4月'!N4:N34,$A$70)+COUNTIF('4月'!S4:S34,$A$70)+COUNTIF('4月'!X4:X34,$A$70)+COUNTIF('4月'!AC4:AC34,$A$70)+COUNTIF('4月'!AH4:AH34,$A$70)+COUNTIF('4月'!AM4:AM34,$A$70)+COUNTIF('4月'!AR4:AR34,$A$70)+COUNTIF('4月'!AW4:AW34,$A$70)+COUNTIF('4月'!BB4:BB34,$A$70)+COUNTIF('4月'!BG4:BG34,$A$70)+COUNTIF('4月'!BL4:BL34,$A$70)+COUNTIF('4月'!BQ4:BQ34,$A$70)+COUNTIF('4月'!BV4:BV34,$A$70)+COUNTIF('4月'!CA4:CA34,$A$70)+COUNTIF('4月'!CF4:CF34,$A$70)+COUNTIF('4月'!CK4:CK34,$A$70)+COUNTIF('4月'!CP4:CP34,$A$70)+COUNTIF('4月'!CU4:CU34,$A$70)+COUNTIF('4月'!CZ4:CZ34,$A$70)+COUNTIF('4月'!DE4:DE34,$A$70)+COUNTIF('4月'!DJ4:DJ34,$A$70)+COUNTIF('4月'!DO4:DO34,$A$70)+COUNTIF('4月'!DT4:DT34,$A$70)+COUNTIF('4月'!DY4:DY34,$A$70)+COUNTIF('4月'!ED4:ED34,$A$70)+COUNTIF('4月'!EI4:EI34,$A$70)+COUNTIF('4月'!EN4:EN34,$A$70)+COUNTIF('4月'!ES4:ES34,$A$70))</f>
        <v>0</v>
      </c>
      <c r="C70" s="76">
        <f>IF($A$70="",0,COUNTIF('4月'!E4:E34,$A$70)+COUNTIF('4月'!J4:J34,$A$70)+COUNTIF('4月'!O4:O34,$A$70)+COUNTIF('4月'!T4:T34,$A$70)+COUNTIF('4月'!Y4:Y34,$A$70)+COUNTIF('4月'!AD4:AD34,$A$70)+COUNTIF('4月'!AI4:AI34,$A$70)+COUNTIF('4月'!AN4:AN34,$A$70)+COUNTIF('4月'!AS4:AS34,$A$70)+COUNTIF('4月'!AX4:AX34,$A$70)+COUNTIF('4月'!BC4:BC34,$A$70)+COUNTIF('4月'!BH4:BH34,$A$70)+COUNTIF('4月'!BM4:BM34,$A$70)+COUNTIF('4月'!BR4:BR34,$A$70)+COUNTIF('4月'!BW4:BW34,$A$70)+COUNTIF('4月'!CB4:CB34,$A$70)+COUNTIF('4月'!CG4:CG34,$A$70)+COUNTIF('4月'!CL4:CL34,$A$70)+COUNTIF('4月'!CQ4:CQ34,$A$70)+COUNTIF('4月'!CV4:CV34,$A$70)+COUNTIF('4月'!DA4:DA34,$A$70)+COUNTIF('4月'!DF4:DF34,$A$70)+COUNTIF('4月'!DK4:DK34,$A$70)+COUNTIF('4月'!DP4:DP34,$A$70)+COUNTIF('4月'!DU4:DU34,$A$70)+COUNTIF('4月'!DZ4:DZ34,$A$70)+COUNTIF('4月'!EE4:EE34,$A$70)+COUNTIF('4月'!EJ4:EJ34,$A$70)+COUNTIF('4月'!EO4:EO34,$A$70)+COUNTIF('4月'!ET4:ET34,$A$70))</f>
        <v>0</v>
      </c>
      <c r="D70" s="65">
        <f>IF($A$70="",0,B70+C70)</f>
        <v>0</v>
      </c>
    </row>
    <row r="71" spans="1:4" ht="18.95" customHeight="1">
      <c r="A71" s="77">
        <f>IFERROR(現場マスタ!$C$20,"")</f>
        <v>0</v>
      </c>
      <c r="B71" s="76">
        <f>IF($A$71="",0,COUNTIF('4月'!D4:D34,$A$71)+COUNTIF('4月'!I4:I34,$A$71)+COUNTIF('4月'!N4:N34,$A$71)+COUNTIF('4月'!S4:S34,$A$71)+COUNTIF('4月'!X4:X34,$A$71)+COUNTIF('4月'!AC4:AC34,$A$71)+COUNTIF('4月'!AH4:AH34,$A$71)+COUNTIF('4月'!AM4:AM34,$A$71)+COUNTIF('4月'!AR4:AR34,$A$71)+COUNTIF('4月'!AW4:AW34,$A$71)+COUNTIF('4月'!BB4:BB34,$A$71)+COUNTIF('4月'!BG4:BG34,$A$71)+COUNTIF('4月'!BL4:BL34,$A$71)+COUNTIF('4月'!BQ4:BQ34,$A$71)+COUNTIF('4月'!BV4:BV34,$A$71)+COUNTIF('4月'!CA4:CA34,$A$71)+COUNTIF('4月'!CF4:CF34,$A$71)+COUNTIF('4月'!CK4:CK34,$A$71)+COUNTIF('4月'!CP4:CP34,$A$71)+COUNTIF('4月'!CU4:CU34,$A$71)+COUNTIF('4月'!CZ4:CZ34,$A$71)+COUNTIF('4月'!DE4:DE34,$A$71)+COUNTIF('4月'!DJ4:DJ34,$A$71)+COUNTIF('4月'!DO4:DO34,$A$71)+COUNTIF('4月'!DT4:DT34,$A$71)+COUNTIF('4月'!DY4:DY34,$A$71)+COUNTIF('4月'!ED4:ED34,$A$71)+COUNTIF('4月'!EI4:EI34,$A$71)+COUNTIF('4月'!EN4:EN34,$A$71)+COUNTIF('4月'!ES4:ES34,$A$71))</f>
        <v>0</v>
      </c>
      <c r="C71" s="76">
        <f>IF($A$71="",0,COUNTIF('4月'!E4:E34,$A$71)+COUNTIF('4月'!J4:J34,$A$71)+COUNTIF('4月'!O4:O34,$A$71)+COUNTIF('4月'!T4:T34,$A$71)+COUNTIF('4月'!Y4:Y34,$A$71)+COUNTIF('4月'!AD4:AD34,$A$71)+COUNTIF('4月'!AI4:AI34,$A$71)+COUNTIF('4月'!AN4:AN34,$A$71)+COUNTIF('4月'!AS4:AS34,$A$71)+COUNTIF('4月'!AX4:AX34,$A$71)+COUNTIF('4月'!BC4:BC34,$A$71)+COUNTIF('4月'!BH4:BH34,$A$71)+COUNTIF('4月'!BM4:BM34,$A$71)+COUNTIF('4月'!BR4:BR34,$A$71)+COUNTIF('4月'!BW4:BW34,$A$71)+COUNTIF('4月'!CB4:CB34,$A$71)+COUNTIF('4月'!CG4:CG34,$A$71)+COUNTIF('4月'!CL4:CL34,$A$71)+COUNTIF('4月'!CQ4:CQ34,$A$71)+COUNTIF('4月'!CV4:CV34,$A$71)+COUNTIF('4月'!DA4:DA34,$A$71)+COUNTIF('4月'!DF4:DF34,$A$71)+COUNTIF('4月'!DK4:DK34,$A$71)+COUNTIF('4月'!DP4:DP34,$A$71)+COUNTIF('4月'!DU4:DU34,$A$71)+COUNTIF('4月'!DZ4:DZ34,$A$71)+COUNTIF('4月'!EE4:EE34,$A$71)+COUNTIF('4月'!EJ4:EJ34,$A$71)+COUNTIF('4月'!EO4:EO34,$A$71)+COUNTIF('4月'!ET4:ET34,$A$71))</f>
        <v>0</v>
      </c>
      <c r="D71" s="65">
        <f>IF($A$71="",0,B71+C71)</f>
        <v>0</v>
      </c>
    </row>
    <row r="72" spans="1:4" ht="18.95" customHeight="1">
      <c r="A72" s="77">
        <f>IFERROR(現場マスタ!$C$21,"")</f>
        <v>0</v>
      </c>
      <c r="B72" s="76">
        <f>IF($A$72="",0,COUNTIF('4月'!D4:D34,$A$72)+COUNTIF('4月'!I4:I34,$A$72)+COUNTIF('4月'!N4:N34,$A$72)+COUNTIF('4月'!S4:S34,$A$72)+COUNTIF('4月'!X4:X34,$A$72)+COUNTIF('4月'!AC4:AC34,$A$72)+COUNTIF('4月'!AH4:AH34,$A$72)+COUNTIF('4月'!AM4:AM34,$A$72)+COUNTIF('4月'!AR4:AR34,$A$72)+COUNTIF('4月'!AW4:AW34,$A$72)+COUNTIF('4月'!BB4:BB34,$A$72)+COUNTIF('4月'!BG4:BG34,$A$72)+COUNTIF('4月'!BL4:BL34,$A$72)+COUNTIF('4月'!BQ4:BQ34,$A$72)+COUNTIF('4月'!BV4:BV34,$A$72)+COUNTIF('4月'!CA4:CA34,$A$72)+COUNTIF('4月'!CF4:CF34,$A$72)+COUNTIF('4月'!CK4:CK34,$A$72)+COUNTIF('4月'!CP4:CP34,$A$72)+COUNTIF('4月'!CU4:CU34,$A$72)+COUNTIF('4月'!CZ4:CZ34,$A$72)+COUNTIF('4月'!DE4:DE34,$A$72)+COUNTIF('4月'!DJ4:DJ34,$A$72)+COUNTIF('4月'!DO4:DO34,$A$72)+COUNTIF('4月'!DT4:DT34,$A$72)+COUNTIF('4月'!DY4:DY34,$A$72)+COUNTIF('4月'!ED4:ED34,$A$72)+COUNTIF('4月'!EI4:EI34,$A$72)+COUNTIF('4月'!EN4:EN34,$A$72)+COUNTIF('4月'!ES4:ES34,$A$72))</f>
        <v>0</v>
      </c>
      <c r="C72" s="76">
        <f>IF($A$72="",0,COUNTIF('4月'!E4:E34,$A$72)+COUNTIF('4月'!J4:J34,$A$72)+COUNTIF('4月'!O4:O34,$A$72)+COUNTIF('4月'!T4:T34,$A$72)+COUNTIF('4月'!Y4:Y34,$A$72)+COUNTIF('4月'!AD4:AD34,$A$72)+COUNTIF('4月'!AI4:AI34,$A$72)+COUNTIF('4月'!AN4:AN34,$A$72)+COUNTIF('4月'!AS4:AS34,$A$72)+COUNTIF('4月'!AX4:AX34,$A$72)+COUNTIF('4月'!BC4:BC34,$A$72)+COUNTIF('4月'!BH4:BH34,$A$72)+COUNTIF('4月'!BM4:BM34,$A$72)+COUNTIF('4月'!BR4:BR34,$A$72)+COUNTIF('4月'!BW4:BW34,$A$72)+COUNTIF('4月'!CB4:CB34,$A$72)+COUNTIF('4月'!CG4:CG34,$A$72)+COUNTIF('4月'!CL4:CL34,$A$72)+COUNTIF('4月'!CQ4:CQ34,$A$72)+COUNTIF('4月'!CV4:CV34,$A$72)+COUNTIF('4月'!DA4:DA34,$A$72)+COUNTIF('4月'!DF4:DF34,$A$72)+COUNTIF('4月'!DK4:DK34,$A$72)+COUNTIF('4月'!DP4:DP34,$A$72)+COUNTIF('4月'!DU4:DU34,$A$72)+COUNTIF('4月'!DZ4:DZ34,$A$72)+COUNTIF('4月'!EE4:EE34,$A$72)+COUNTIF('4月'!EJ4:EJ34,$A$72)+COUNTIF('4月'!EO4:EO34,$A$72)+COUNTIF('4月'!ET4:ET34,$A$72))</f>
        <v>0</v>
      </c>
      <c r="D72" s="65">
        <f>IF($A$72="",0,B72+C72)</f>
        <v>0</v>
      </c>
    </row>
    <row r="73" spans="1:4" ht="18.95" customHeight="1">
      <c r="A73" s="77">
        <f>IFERROR(現場マスタ!$C$22,"")</f>
        <v>0</v>
      </c>
      <c r="B73" s="76">
        <f>IF($A$73="",0,COUNTIF('4月'!D4:D34,$A$73)+COUNTIF('4月'!I4:I34,$A$73)+COUNTIF('4月'!N4:N34,$A$73)+COUNTIF('4月'!S4:S34,$A$73)+COUNTIF('4月'!X4:X34,$A$73)+COUNTIF('4月'!AC4:AC34,$A$73)+COUNTIF('4月'!AH4:AH34,$A$73)+COUNTIF('4月'!AM4:AM34,$A$73)+COUNTIF('4月'!AR4:AR34,$A$73)+COUNTIF('4月'!AW4:AW34,$A$73)+COUNTIF('4月'!BB4:BB34,$A$73)+COUNTIF('4月'!BG4:BG34,$A$73)+COUNTIF('4月'!BL4:BL34,$A$73)+COUNTIF('4月'!BQ4:BQ34,$A$73)+COUNTIF('4月'!BV4:BV34,$A$73)+COUNTIF('4月'!CA4:CA34,$A$73)+COUNTIF('4月'!CF4:CF34,$A$73)+COUNTIF('4月'!CK4:CK34,$A$73)+COUNTIF('4月'!CP4:CP34,$A$73)+COUNTIF('4月'!CU4:CU34,$A$73)+COUNTIF('4月'!CZ4:CZ34,$A$73)+COUNTIF('4月'!DE4:DE34,$A$73)+COUNTIF('4月'!DJ4:DJ34,$A$73)+COUNTIF('4月'!DO4:DO34,$A$73)+COUNTIF('4月'!DT4:DT34,$A$73)+COUNTIF('4月'!DY4:DY34,$A$73)+COUNTIF('4月'!ED4:ED34,$A$73)+COUNTIF('4月'!EI4:EI34,$A$73)+COUNTIF('4月'!EN4:EN34,$A$73)+COUNTIF('4月'!ES4:ES34,$A$73))</f>
        <v>0</v>
      </c>
      <c r="C73" s="76">
        <f>IF($A$73="",0,COUNTIF('4月'!E4:E34,$A$73)+COUNTIF('4月'!J4:J34,$A$73)+COUNTIF('4月'!O4:O34,$A$73)+COUNTIF('4月'!T4:T34,$A$73)+COUNTIF('4月'!Y4:Y34,$A$73)+COUNTIF('4月'!AD4:AD34,$A$73)+COUNTIF('4月'!AI4:AI34,$A$73)+COUNTIF('4月'!AN4:AN34,$A$73)+COUNTIF('4月'!AS4:AS34,$A$73)+COUNTIF('4月'!AX4:AX34,$A$73)+COUNTIF('4月'!BC4:BC34,$A$73)+COUNTIF('4月'!BH4:BH34,$A$73)+COUNTIF('4月'!BM4:BM34,$A$73)+COUNTIF('4月'!BR4:BR34,$A$73)+COUNTIF('4月'!BW4:BW34,$A$73)+COUNTIF('4月'!CB4:CB34,$A$73)+COUNTIF('4月'!CG4:CG34,$A$73)+COUNTIF('4月'!CL4:CL34,$A$73)+COUNTIF('4月'!CQ4:CQ34,$A$73)+COUNTIF('4月'!CV4:CV34,$A$73)+COUNTIF('4月'!DA4:DA34,$A$73)+COUNTIF('4月'!DF4:DF34,$A$73)+COUNTIF('4月'!DK4:DK34,$A$73)+COUNTIF('4月'!DP4:DP34,$A$73)+COUNTIF('4月'!DU4:DU34,$A$73)+COUNTIF('4月'!DZ4:DZ34,$A$73)+COUNTIF('4月'!EE4:EE34,$A$73)+COUNTIF('4月'!EJ4:EJ34,$A$73)+COUNTIF('4月'!EO4:EO34,$A$73)+COUNTIF('4月'!ET4:ET34,$A$73))</f>
        <v>0</v>
      </c>
      <c r="D73" s="65">
        <f>IF($A$73="",0,B73+C73)</f>
        <v>0</v>
      </c>
    </row>
    <row r="74" spans="1:4" ht="9.9499999999999993" customHeight="1"/>
    <row r="75" spans="1:4" ht="21.95" customHeight="1">
      <c r="A75" s="112" t="str">
        <f>対象年度&amp;"年 5月"</f>
        <v>2026年 5月</v>
      </c>
      <c r="B75" s="112"/>
      <c r="C75" s="112"/>
      <c r="D75" s="112"/>
    </row>
    <row r="76" spans="1:4" ht="20.100000000000001" customHeight="1">
      <c r="A76" s="60" t="s">
        <v>60</v>
      </c>
      <c r="B76" s="75" t="s">
        <v>110</v>
      </c>
      <c r="C76" s="75" t="s">
        <v>111</v>
      </c>
      <c r="D76" s="65" t="s">
        <v>112</v>
      </c>
    </row>
    <row r="77" spans="1:4" ht="18.95" customHeight="1">
      <c r="A77" s="77" t="str">
        <f>IFERROR(現場マスタ!$C$4,"")</f>
        <v>新宿</v>
      </c>
      <c r="B77" s="76">
        <f>IF($A$77="",0,COUNTIF('5月'!D4:D34,$A$77)+COUNTIF('5月'!I4:I34,$A$77)+COUNTIF('5月'!N4:N34,$A$77)+COUNTIF('5月'!S4:S34,$A$77)+COUNTIF('5月'!X4:X34,$A$77)+COUNTIF('5月'!AC4:AC34,$A$77)+COUNTIF('5月'!AH4:AH34,$A$77)+COUNTIF('5月'!AM4:AM34,$A$77)+COUNTIF('5月'!AR4:AR34,$A$77)+COUNTIF('5月'!AW4:AW34,$A$77)+COUNTIF('5月'!BB4:BB34,$A$77)+COUNTIF('5月'!BG4:BG34,$A$77)+COUNTIF('5月'!BL4:BL34,$A$77)+COUNTIF('5月'!BQ4:BQ34,$A$77)+COUNTIF('5月'!BV4:BV34,$A$77)+COUNTIF('5月'!CA4:CA34,$A$77)+COUNTIF('5月'!CF4:CF34,$A$77)+COUNTIF('5月'!CK4:CK34,$A$77)+COUNTIF('5月'!CP4:CP34,$A$77)+COUNTIF('5月'!CU4:CU34,$A$77)+COUNTIF('5月'!CZ4:CZ34,$A$77)+COUNTIF('5月'!DE4:DE34,$A$77)+COUNTIF('5月'!DJ4:DJ34,$A$77)+COUNTIF('5月'!DO4:DO34,$A$77)+COUNTIF('5月'!DT4:DT34,$A$77)+COUNTIF('5月'!DY4:DY34,$A$77)+COUNTIF('5月'!ED4:ED34,$A$77)+COUNTIF('5月'!EI4:EI34,$A$77)+COUNTIF('5月'!EN4:EN34,$A$77)+COUNTIF('5月'!ES4:ES34,$A$77))</f>
        <v>0</v>
      </c>
      <c r="C77" s="76">
        <f>IF($A$77="",0,COUNTIF('5月'!E4:E34,$A$77)+COUNTIF('5月'!J4:J34,$A$77)+COUNTIF('5月'!O4:O34,$A$77)+COUNTIF('5月'!T4:T34,$A$77)+COUNTIF('5月'!Y4:Y34,$A$77)+COUNTIF('5月'!AD4:AD34,$A$77)+COUNTIF('5月'!AI4:AI34,$A$77)+COUNTIF('5月'!AN4:AN34,$A$77)+COUNTIF('5月'!AS4:AS34,$A$77)+COUNTIF('5月'!AX4:AX34,$A$77)+COUNTIF('5月'!BC4:BC34,$A$77)+COUNTIF('5月'!BH4:BH34,$A$77)+COUNTIF('5月'!BM4:BM34,$A$77)+COUNTIF('5月'!BR4:BR34,$A$77)+COUNTIF('5月'!BW4:BW34,$A$77)+COUNTIF('5月'!CB4:CB34,$A$77)+COUNTIF('5月'!CG4:CG34,$A$77)+COUNTIF('5月'!CL4:CL34,$A$77)+COUNTIF('5月'!CQ4:CQ34,$A$77)+COUNTIF('5月'!CV4:CV34,$A$77)+COUNTIF('5月'!DA4:DA34,$A$77)+COUNTIF('5月'!DF4:DF34,$A$77)+COUNTIF('5月'!DK4:DK34,$A$77)+COUNTIF('5月'!DP4:DP34,$A$77)+COUNTIF('5月'!DU4:DU34,$A$77)+COUNTIF('5月'!DZ4:DZ34,$A$77)+COUNTIF('5月'!EE4:EE34,$A$77)+COUNTIF('5月'!EJ4:EJ34,$A$77)+COUNTIF('5月'!EO4:EO34,$A$77)+COUNTIF('5月'!ET4:ET34,$A$77))</f>
        <v>0</v>
      </c>
      <c r="D77" s="65">
        <f>IF($A$77="",0,B77+C77)</f>
        <v>0</v>
      </c>
    </row>
    <row r="78" spans="1:4" ht="18.95" customHeight="1">
      <c r="A78" s="77" t="str">
        <f>IFERROR(現場マスタ!$C$5,"")</f>
        <v>赤坂</v>
      </c>
      <c r="B78" s="76">
        <f>IF($A$78="",0,COUNTIF('5月'!D4:D34,$A$78)+COUNTIF('5月'!I4:I34,$A$78)+COUNTIF('5月'!N4:N34,$A$78)+COUNTIF('5月'!S4:S34,$A$78)+COUNTIF('5月'!X4:X34,$A$78)+COUNTIF('5月'!AC4:AC34,$A$78)+COUNTIF('5月'!AH4:AH34,$A$78)+COUNTIF('5月'!AM4:AM34,$A$78)+COUNTIF('5月'!AR4:AR34,$A$78)+COUNTIF('5月'!AW4:AW34,$A$78)+COUNTIF('5月'!BB4:BB34,$A$78)+COUNTIF('5月'!BG4:BG34,$A$78)+COUNTIF('5月'!BL4:BL34,$A$78)+COUNTIF('5月'!BQ4:BQ34,$A$78)+COUNTIF('5月'!BV4:BV34,$A$78)+COUNTIF('5月'!CA4:CA34,$A$78)+COUNTIF('5月'!CF4:CF34,$A$78)+COUNTIF('5月'!CK4:CK34,$A$78)+COUNTIF('5月'!CP4:CP34,$A$78)+COUNTIF('5月'!CU4:CU34,$A$78)+COUNTIF('5月'!CZ4:CZ34,$A$78)+COUNTIF('5月'!DE4:DE34,$A$78)+COUNTIF('5月'!DJ4:DJ34,$A$78)+COUNTIF('5月'!DO4:DO34,$A$78)+COUNTIF('5月'!DT4:DT34,$A$78)+COUNTIF('5月'!DY4:DY34,$A$78)+COUNTIF('5月'!ED4:ED34,$A$78)+COUNTIF('5月'!EI4:EI34,$A$78)+COUNTIF('5月'!EN4:EN34,$A$78)+COUNTIF('5月'!ES4:ES34,$A$78))</f>
        <v>0</v>
      </c>
      <c r="C78" s="76">
        <f>IF($A$78="",0,COUNTIF('5月'!E4:E34,$A$78)+COUNTIF('5月'!J4:J34,$A$78)+COUNTIF('5月'!O4:O34,$A$78)+COUNTIF('5月'!T4:T34,$A$78)+COUNTIF('5月'!Y4:Y34,$A$78)+COUNTIF('5月'!AD4:AD34,$A$78)+COUNTIF('5月'!AI4:AI34,$A$78)+COUNTIF('5月'!AN4:AN34,$A$78)+COUNTIF('5月'!AS4:AS34,$A$78)+COUNTIF('5月'!AX4:AX34,$A$78)+COUNTIF('5月'!BC4:BC34,$A$78)+COUNTIF('5月'!BH4:BH34,$A$78)+COUNTIF('5月'!BM4:BM34,$A$78)+COUNTIF('5月'!BR4:BR34,$A$78)+COUNTIF('5月'!BW4:BW34,$A$78)+COUNTIF('5月'!CB4:CB34,$A$78)+COUNTIF('5月'!CG4:CG34,$A$78)+COUNTIF('5月'!CL4:CL34,$A$78)+COUNTIF('5月'!CQ4:CQ34,$A$78)+COUNTIF('5月'!CV4:CV34,$A$78)+COUNTIF('5月'!DA4:DA34,$A$78)+COUNTIF('5月'!DF4:DF34,$A$78)+COUNTIF('5月'!DK4:DK34,$A$78)+COUNTIF('5月'!DP4:DP34,$A$78)+COUNTIF('5月'!DU4:DU34,$A$78)+COUNTIF('5月'!DZ4:DZ34,$A$78)+COUNTIF('5月'!EE4:EE34,$A$78)+COUNTIF('5月'!EJ4:EJ34,$A$78)+COUNTIF('5月'!EO4:EO34,$A$78)+COUNTIF('5月'!ET4:ET34,$A$78))</f>
        <v>0</v>
      </c>
      <c r="D78" s="65">
        <f>IF($A$78="",0,B78+C78)</f>
        <v>0</v>
      </c>
    </row>
    <row r="79" spans="1:4" ht="18.95" customHeight="1">
      <c r="A79" s="77" t="str">
        <f>IFERROR(現場マスタ!$C$6,"")</f>
        <v>渋谷ヒカリエ</v>
      </c>
      <c r="B79" s="76">
        <f>IF($A$79="",0,COUNTIF('5月'!D4:D34,$A$79)+COUNTIF('5月'!I4:I34,$A$79)+COUNTIF('5月'!N4:N34,$A$79)+COUNTIF('5月'!S4:S34,$A$79)+COUNTIF('5月'!X4:X34,$A$79)+COUNTIF('5月'!AC4:AC34,$A$79)+COUNTIF('5月'!AH4:AH34,$A$79)+COUNTIF('5月'!AM4:AM34,$A$79)+COUNTIF('5月'!AR4:AR34,$A$79)+COUNTIF('5月'!AW4:AW34,$A$79)+COUNTIF('5月'!BB4:BB34,$A$79)+COUNTIF('5月'!BG4:BG34,$A$79)+COUNTIF('5月'!BL4:BL34,$A$79)+COUNTIF('5月'!BQ4:BQ34,$A$79)+COUNTIF('5月'!BV4:BV34,$A$79)+COUNTIF('5月'!CA4:CA34,$A$79)+COUNTIF('5月'!CF4:CF34,$A$79)+COUNTIF('5月'!CK4:CK34,$A$79)+COUNTIF('5月'!CP4:CP34,$A$79)+COUNTIF('5月'!CU4:CU34,$A$79)+COUNTIF('5月'!CZ4:CZ34,$A$79)+COUNTIF('5月'!DE4:DE34,$A$79)+COUNTIF('5月'!DJ4:DJ34,$A$79)+COUNTIF('5月'!DO4:DO34,$A$79)+COUNTIF('5月'!DT4:DT34,$A$79)+COUNTIF('5月'!DY4:DY34,$A$79)+COUNTIF('5月'!ED4:ED34,$A$79)+COUNTIF('5月'!EI4:EI34,$A$79)+COUNTIF('5月'!EN4:EN34,$A$79)+COUNTIF('5月'!ES4:ES34,$A$79))</f>
        <v>0</v>
      </c>
      <c r="C79" s="76">
        <f>IF($A$79="",0,COUNTIF('5月'!E4:E34,$A$79)+COUNTIF('5月'!J4:J34,$A$79)+COUNTIF('5月'!O4:O34,$A$79)+COUNTIF('5月'!T4:T34,$A$79)+COUNTIF('5月'!Y4:Y34,$A$79)+COUNTIF('5月'!AD4:AD34,$A$79)+COUNTIF('5月'!AI4:AI34,$A$79)+COUNTIF('5月'!AN4:AN34,$A$79)+COUNTIF('5月'!AS4:AS34,$A$79)+COUNTIF('5月'!AX4:AX34,$A$79)+COUNTIF('5月'!BC4:BC34,$A$79)+COUNTIF('5月'!BH4:BH34,$A$79)+COUNTIF('5月'!BM4:BM34,$A$79)+COUNTIF('5月'!BR4:BR34,$A$79)+COUNTIF('5月'!BW4:BW34,$A$79)+COUNTIF('5月'!CB4:CB34,$A$79)+COUNTIF('5月'!CG4:CG34,$A$79)+COUNTIF('5月'!CL4:CL34,$A$79)+COUNTIF('5月'!CQ4:CQ34,$A$79)+COUNTIF('5月'!CV4:CV34,$A$79)+COUNTIF('5月'!DA4:DA34,$A$79)+COUNTIF('5月'!DF4:DF34,$A$79)+COUNTIF('5月'!DK4:DK34,$A$79)+COUNTIF('5月'!DP4:DP34,$A$79)+COUNTIF('5月'!DU4:DU34,$A$79)+COUNTIF('5月'!DZ4:DZ34,$A$79)+COUNTIF('5月'!EE4:EE34,$A$79)+COUNTIF('5月'!EJ4:EJ34,$A$79)+COUNTIF('5月'!EO4:EO34,$A$79)+COUNTIF('5月'!ET4:ET34,$A$79))</f>
        <v>0</v>
      </c>
      <c r="D79" s="65">
        <f>IF($A$79="",0,B79+C79)</f>
        <v>0</v>
      </c>
    </row>
    <row r="80" spans="1:4" ht="18.95" customHeight="1">
      <c r="A80" s="77" t="str">
        <f>IFERROR(現場マスタ!$C$7,"")</f>
        <v>六本木ヒルズ</v>
      </c>
      <c r="B80" s="76">
        <f>IF($A$80="",0,COUNTIF('5月'!D4:D34,$A$80)+COUNTIF('5月'!I4:I34,$A$80)+COUNTIF('5月'!N4:N34,$A$80)+COUNTIF('5月'!S4:S34,$A$80)+COUNTIF('5月'!X4:X34,$A$80)+COUNTIF('5月'!AC4:AC34,$A$80)+COUNTIF('5月'!AH4:AH34,$A$80)+COUNTIF('5月'!AM4:AM34,$A$80)+COUNTIF('5月'!AR4:AR34,$A$80)+COUNTIF('5月'!AW4:AW34,$A$80)+COUNTIF('5月'!BB4:BB34,$A$80)+COUNTIF('5月'!BG4:BG34,$A$80)+COUNTIF('5月'!BL4:BL34,$A$80)+COUNTIF('5月'!BQ4:BQ34,$A$80)+COUNTIF('5月'!BV4:BV34,$A$80)+COUNTIF('5月'!CA4:CA34,$A$80)+COUNTIF('5月'!CF4:CF34,$A$80)+COUNTIF('5月'!CK4:CK34,$A$80)+COUNTIF('5月'!CP4:CP34,$A$80)+COUNTIF('5月'!CU4:CU34,$A$80)+COUNTIF('5月'!CZ4:CZ34,$A$80)+COUNTIF('5月'!DE4:DE34,$A$80)+COUNTIF('5月'!DJ4:DJ34,$A$80)+COUNTIF('5月'!DO4:DO34,$A$80)+COUNTIF('5月'!DT4:DT34,$A$80)+COUNTIF('5月'!DY4:DY34,$A$80)+COUNTIF('5月'!ED4:ED34,$A$80)+COUNTIF('5月'!EI4:EI34,$A$80)+COUNTIF('5月'!EN4:EN34,$A$80)+COUNTIF('5月'!ES4:ES34,$A$80)+COUNTIF('5月'!D4:D34,"渋谷-夜勤")+COUNTIF('5月'!I4:I34,"渋谷-夜勤")+COUNTIF('5月'!N4:N34,"渋谷-夜勤")+COUNTIF('5月'!S4:S34,"渋谷-夜勤")+COUNTIF('5月'!X4:X34,"渋谷-夜勤")+COUNTIF('5月'!AC4:AC34,"渋谷-夜勤")+COUNTIF('5月'!AH4:AH34,"渋谷-夜勤")+COUNTIF('5月'!AM4:AM34,"渋谷-夜勤")+COUNTIF('5月'!AR4:AR34,"渋谷-夜勤")+COUNTIF('5月'!AW4:AW34,"渋谷-夜勤")+COUNTIF('5月'!BB4:BB34,"渋谷-夜勤")+COUNTIF('5月'!BG4:BG34,"渋谷-夜勤")+COUNTIF('5月'!BL4:BL34,"渋谷-夜勤")+COUNTIF('5月'!BQ4:BQ34,"渋谷-夜勤")+COUNTIF('5月'!BV4:BV34,"渋谷-夜勤")+COUNTIF('5月'!CA4:CA34,"渋谷-夜勤")+COUNTIF('5月'!CF4:CF34,"渋谷-夜勤")+COUNTIF('5月'!CK4:CK34,"渋谷-夜勤")+COUNTIF('5月'!CP4:CP34,"渋谷-夜勤")+COUNTIF('5月'!CU4:CU34,"渋谷-夜勤")+COUNTIF('5月'!CZ4:CZ34,"渋谷-夜勤")+COUNTIF('5月'!DE4:DE34,"渋谷-夜勤")+COUNTIF('5月'!DJ4:DJ34,"渋谷-夜勤")+COUNTIF('5月'!DO4:DO34,"渋谷-夜勤")+COUNTIF('5月'!DT4:DT34,"渋谷-夜勤")+COUNTIF('5月'!DY4:DY34,"渋谷-夜勤")+COUNTIF('5月'!ED4:ED34,"渋谷-夜勤")+COUNTIF('5月'!EI4:EI34,"渋谷-夜勤")+COUNTIF('5月'!EN4:EN34,"渋谷-夜勤")+COUNTIF('5月'!ES4:ES34,"渋谷-夜勤"))</f>
        <v>0</v>
      </c>
      <c r="C80" s="76">
        <f>IF($A$80="",0,COUNTIF('5月'!E4:E34,$A$80)+COUNTIF('5月'!J4:J34,$A$80)+COUNTIF('5月'!O4:O34,$A$80)+COUNTIF('5月'!T4:T34,$A$80)+COUNTIF('5月'!Y4:Y34,$A$80)+COUNTIF('5月'!AD4:AD34,$A$80)+COUNTIF('5月'!AI4:AI34,$A$80)+COUNTIF('5月'!AN4:AN34,$A$80)+COUNTIF('5月'!AS4:AS34,$A$80)+COUNTIF('5月'!AX4:AX34,$A$80)+COUNTIF('5月'!BC4:BC34,$A$80)+COUNTIF('5月'!BH4:BH34,$A$80)+COUNTIF('5月'!BM4:BM34,$A$80)+COUNTIF('5月'!BR4:BR34,$A$80)+COUNTIF('5月'!BW4:BW34,$A$80)+COUNTIF('5月'!CB4:CB34,$A$80)+COUNTIF('5月'!CG4:CG34,$A$80)+COUNTIF('5月'!CL4:CL34,$A$80)+COUNTIF('5月'!CQ4:CQ34,$A$80)+COUNTIF('5月'!CV4:CV34,$A$80)+COUNTIF('5月'!DA4:DA34,$A$80)+COUNTIF('5月'!DF4:DF34,$A$80)+COUNTIF('5月'!DK4:DK34,$A$80)+COUNTIF('5月'!DP4:DP34,$A$80)+COUNTIF('5月'!DU4:DU34,$A$80)+COUNTIF('5月'!DZ4:DZ34,$A$80)+COUNTIF('5月'!EE4:EE34,$A$80)+COUNTIF('5月'!EJ4:EJ34,$A$80)+COUNTIF('5月'!EO4:EO34,$A$80)+COUNTIF('5月'!ET4:ET34,$A$80)+COUNTIF('5月'!E4:E34,"渋谷-夜勤")+COUNTIF('5月'!J4:J34,"渋谷-夜勤")+COUNTIF('5月'!O4:O34,"渋谷-夜勤")+COUNTIF('5月'!T4:T34,"渋谷-夜勤")+COUNTIF('5月'!Y4:Y34,"渋谷-夜勤")+COUNTIF('5月'!AD4:AD34,"渋谷-夜勤")+COUNTIF('5月'!AI4:AI34,"渋谷-夜勤")+COUNTIF('5月'!AN4:AN34,"渋谷-夜勤")+COUNTIF('5月'!AS4:AS34,"渋谷-夜勤")+COUNTIF('5月'!AX4:AX34,"渋谷-夜勤")+COUNTIF('5月'!BC4:BC34,"渋谷-夜勤")+COUNTIF('5月'!BH4:BH34,"渋谷-夜勤")+COUNTIF('5月'!BM4:BM34,"渋谷-夜勤")+COUNTIF('5月'!BR4:BR34,"渋谷-夜勤")+COUNTIF('5月'!BW4:BW34,"渋谷-夜勤")+COUNTIF('5月'!CB4:CB34,"渋谷-夜勤")+COUNTIF('5月'!CG4:CG34,"渋谷-夜勤")+COUNTIF('5月'!CL4:CL34,"渋谷-夜勤")+COUNTIF('5月'!CQ4:CQ34,"渋谷-夜勤")+COUNTIF('5月'!CV4:CV34,"渋谷-夜勤")+COUNTIF('5月'!DA4:DA34,"渋谷-夜勤")+COUNTIF('5月'!DF4:DF34,"渋谷-夜勤")+COUNTIF('5月'!DK4:DK34,"渋谷-夜勤")+COUNTIF('5月'!DP4:DP34,"渋谷-夜勤")+COUNTIF('5月'!DU4:DU34,"渋谷-夜勤")+COUNTIF('5月'!DZ4:DZ34,"渋谷-夜勤")+COUNTIF('5月'!EE4:EE34,"渋谷-夜勤")+COUNTIF('5月'!EJ4:EJ34,"渋谷-夜勤")+COUNTIF('5月'!EO4:EO34,"渋谷-夜勤")+COUNTIF('5月'!ET4:ET34,"渋谷-夜勤"))</f>
        <v>0</v>
      </c>
      <c r="D80" s="65">
        <f>IF($A$80="",0,B80+C80)</f>
        <v>0</v>
      </c>
    </row>
    <row r="81" spans="1:4" ht="18.95" customHeight="1">
      <c r="A81" s="77" t="str">
        <f>IFERROR(現場マスタ!$C$10,"")</f>
        <v>有給</v>
      </c>
      <c r="B81" s="76">
        <f>IF($A$81="",0,COUNTIF('5月'!D4:D34,$A$81)+COUNTIF('5月'!I4:I34,$A$81)+COUNTIF('5月'!N4:N34,$A$81)+COUNTIF('5月'!S4:S34,$A$81)+COUNTIF('5月'!X4:X34,$A$81)+COUNTIF('5月'!AC4:AC34,$A$81)+COUNTIF('5月'!AH4:AH34,$A$81)+COUNTIF('5月'!AM4:AM34,$A$81)+COUNTIF('5月'!AR4:AR34,$A$81)+COUNTIF('5月'!AW4:AW34,$A$81)+COUNTIF('5月'!BB4:BB34,$A$81)+COUNTIF('5月'!BG4:BG34,$A$81)+COUNTIF('5月'!BL4:BL34,$A$81)+COUNTIF('5月'!BQ4:BQ34,$A$81)+COUNTIF('5月'!BV4:BV34,$A$81)+COUNTIF('5月'!CA4:CA34,$A$81)+COUNTIF('5月'!CF4:CF34,$A$81)+COUNTIF('5月'!CK4:CK34,$A$81)+COUNTIF('5月'!CP4:CP34,$A$81)+COUNTIF('5月'!CU4:CU34,$A$81)+COUNTIF('5月'!CZ4:CZ34,$A$81)+COUNTIF('5月'!DE4:DE34,$A$81)+COUNTIF('5月'!DJ4:DJ34,$A$81)+COUNTIF('5月'!DO4:DO34,$A$81)+COUNTIF('5月'!DT4:DT34,$A$81)+COUNTIF('5月'!DY4:DY34,$A$81)+COUNTIF('5月'!ED4:ED34,$A$81)+COUNTIF('5月'!EI4:EI34,$A$81)+COUNTIF('5月'!EN4:EN34,$A$81)+COUNTIF('5月'!ES4:ES34,$A$81)+COUNTIF('5月'!D4:D34,"六本木-夜勤")+COUNTIF('5月'!I4:I34,"六本木-夜勤")+COUNTIF('5月'!N4:N34,"六本木-夜勤")+COUNTIF('5月'!S4:S34,"六本木-夜勤")+COUNTIF('5月'!X4:X34,"六本木-夜勤")+COUNTIF('5月'!AC4:AC34,"六本木-夜勤")+COUNTIF('5月'!AH4:AH34,"六本木-夜勤")+COUNTIF('5月'!AM4:AM34,"六本木-夜勤")+COUNTIF('5月'!AR4:AR34,"六本木-夜勤")+COUNTIF('5月'!AW4:AW34,"六本木-夜勤")+COUNTIF('5月'!BB4:BB34,"六本木-夜勤")+COUNTIF('5月'!BG4:BG34,"六本木-夜勤")+COUNTIF('5月'!BL4:BL34,"六本木-夜勤")+COUNTIF('5月'!BQ4:BQ34,"六本木-夜勤")+COUNTIF('5月'!BV4:BV34,"六本木-夜勤")+COUNTIF('5月'!CA4:CA34,"六本木-夜勤")+COUNTIF('5月'!CF4:CF34,"六本木-夜勤")+COUNTIF('5月'!CK4:CK34,"六本木-夜勤")+COUNTIF('5月'!CP4:CP34,"六本木-夜勤")+COUNTIF('5月'!CU4:CU34,"六本木-夜勤")+COUNTIF('5月'!CZ4:CZ34,"六本木-夜勤")+COUNTIF('5月'!DE4:DE34,"六本木-夜勤")+COUNTIF('5月'!DJ4:DJ34,"六本木-夜勤")+COUNTIF('5月'!DO4:DO34,"六本木-夜勤")+COUNTIF('5月'!DT4:DT34,"六本木-夜勤")+COUNTIF('5月'!DY4:DY34,"六本木-夜勤")+COUNTIF('5月'!ED4:ED34,"六本木-夜勤")+COUNTIF('5月'!EI4:EI34,"六本木-夜勤")+COUNTIF('5月'!EN4:EN34,"六本木-夜勤")+COUNTIF('5月'!ES4:ES34,"六本木-夜勤")+COUNTIF('5月'!D4:D34,"六本木ー夜勤")+COUNTIF('5月'!I4:I34,"六本木ー夜勤")+COUNTIF('5月'!N4:N34,"六本木ー夜勤")+COUNTIF('5月'!S4:S34,"六本木ー夜勤")+COUNTIF('5月'!X4:X34,"六本木ー夜勤")+COUNTIF('5月'!AC4:AC34,"六本木ー夜勤")+COUNTIF('5月'!AH4:AH34,"六本木ー夜勤")+COUNTIF('5月'!AM4:AM34,"六本木ー夜勤")+COUNTIF('5月'!AR4:AR34,"六本木ー夜勤")+COUNTIF('5月'!AW4:AW34,"六本木ー夜勤")+COUNTIF('5月'!BB4:BB34,"六本木ー夜勤")+COUNTIF('5月'!BG4:BG34,"六本木ー夜勤")+COUNTIF('5月'!BL4:BL34,"六本木ー夜勤")+COUNTIF('5月'!BQ4:BQ34,"六本木ー夜勤")+COUNTIF('5月'!BV4:BV34,"六本木ー夜勤")+COUNTIF('5月'!CA4:CA34,"六本木ー夜勤")+COUNTIF('5月'!CF4:CF34,"六本木ー夜勤")+COUNTIF('5月'!CK4:CK34,"六本木ー夜勤")+COUNTIF('5月'!CP4:CP34,"六本木ー夜勤")+COUNTIF('5月'!CU4:CU34,"六本木ー夜勤")+COUNTIF('5月'!CZ4:CZ34,"六本木ー夜勤")+COUNTIF('5月'!DE4:DE34,"六本木ー夜勤")+COUNTIF('5月'!DJ4:DJ34,"六本木ー夜勤")+COUNTIF('5月'!DO4:DO34,"六本木ー夜勤")+COUNTIF('5月'!DT4:DT34,"六本木ー夜勤")+COUNTIF('5月'!DY4:DY34,"六本木ー夜勤")+COUNTIF('5月'!ED4:ED34,"六本木ー夜勤")+COUNTIF('5月'!EI4:EI34,"六本木ー夜勤")+COUNTIF('5月'!EN4:EN34,"六本木ー夜勤")+COUNTIF('5月'!ES4:ES34,"六本木ー夜勤"))</f>
        <v>0</v>
      </c>
      <c r="C81" s="76">
        <f>IF($A$81="",0,COUNTIF('5月'!E4:E34,$A$81)+COUNTIF('5月'!J4:J34,$A$81)+COUNTIF('5月'!O4:O34,$A$81)+COUNTIF('5月'!T4:T34,$A$81)+COUNTIF('5月'!Y4:Y34,$A$81)+COUNTIF('5月'!AD4:AD34,$A$81)+COUNTIF('5月'!AI4:AI34,$A$81)+COUNTIF('5月'!AN4:AN34,$A$81)+COUNTIF('5月'!AS4:AS34,$A$81)+COUNTIF('5月'!AX4:AX34,$A$81)+COUNTIF('5月'!BC4:BC34,$A$81)+COUNTIF('5月'!BH4:BH34,$A$81)+COUNTIF('5月'!BM4:BM34,$A$81)+COUNTIF('5月'!BR4:BR34,$A$81)+COUNTIF('5月'!BW4:BW34,$A$81)+COUNTIF('5月'!CB4:CB34,$A$81)+COUNTIF('5月'!CG4:CG34,$A$81)+COUNTIF('5月'!CL4:CL34,$A$81)+COUNTIF('5月'!CQ4:CQ34,$A$81)+COUNTIF('5月'!CV4:CV34,$A$81)+COUNTIF('5月'!DA4:DA34,$A$81)+COUNTIF('5月'!DF4:DF34,$A$81)+COUNTIF('5月'!DK4:DK34,$A$81)+COUNTIF('5月'!DP4:DP34,$A$81)+COUNTIF('5月'!DU4:DU34,$A$81)+COUNTIF('5月'!DZ4:DZ34,$A$81)+COUNTIF('5月'!EE4:EE34,$A$81)+COUNTIF('5月'!EJ4:EJ34,$A$81)+COUNTIF('5月'!EO4:EO34,$A$81)+COUNTIF('5月'!ET4:ET34,$A$81)+COUNTIF('5月'!E4:E34,"六本木-夜勤")+COUNTIF('5月'!J4:J34,"六本木-夜勤")+COUNTIF('5月'!O4:O34,"六本木-夜勤")+COUNTIF('5月'!T4:T34,"六本木-夜勤")+COUNTIF('5月'!Y4:Y34,"六本木-夜勤")+COUNTIF('5月'!AD4:AD34,"六本木-夜勤")+COUNTIF('5月'!AI4:AI34,"六本木-夜勤")+COUNTIF('5月'!AN4:AN34,"六本木-夜勤")+COUNTIF('5月'!AS4:AS34,"六本木-夜勤")+COUNTIF('5月'!AX4:AX34,"六本木-夜勤")+COUNTIF('5月'!BC4:BC34,"六本木-夜勤")+COUNTIF('5月'!BH4:BH34,"六本木-夜勤")+COUNTIF('5月'!BM4:BM34,"六本木-夜勤")+COUNTIF('5月'!BR4:BR34,"六本木-夜勤")+COUNTIF('5月'!BW4:BW34,"六本木-夜勤")+COUNTIF('5月'!CB4:CB34,"六本木-夜勤")+COUNTIF('5月'!CG4:CG34,"六本木-夜勤")+COUNTIF('5月'!CL4:CL34,"六本木-夜勤")+COUNTIF('5月'!CQ4:CQ34,"六本木-夜勤")+COUNTIF('5月'!CV4:CV34,"六本木-夜勤")+COUNTIF('5月'!DA4:DA34,"六本木-夜勤")+COUNTIF('5月'!DF4:DF34,"六本木-夜勤")+COUNTIF('5月'!DK4:DK34,"六本木-夜勤")+COUNTIF('5月'!DP4:DP34,"六本木-夜勤")+COUNTIF('5月'!DU4:DU34,"六本木-夜勤")+COUNTIF('5月'!DZ4:DZ34,"六本木-夜勤")+COUNTIF('5月'!EE4:EE34,"六本木-夜勤")+COUNTIF('5月'!EJ4:EJ34,"六本木-夜勤")+COUNTIF('5月'!EO4:EO34,"六本木-夜勤")+COUNTIF('5月'!ET4:ET34,"六本木-夜勤")+COUNTIF('5月'!E4:E34,"六本木ー夜勤")+COUNTIF('5月'!J4:J34,"六本木ー夜勤")+COUNTIF('5月'!O4:O34,"六本木ー夜勤")+COUNTIF('5月'!T4:T34,"六本木ー夜勤")+COUNTIF('5月'!Y4:Y34,"六本木ー夜勤")+COUNTIF('5月'!AD4:AD34,"六本木ー夜勤")+COUNTIF('5月'!AI4:AI34,"六本木ー夜勤")+COUNTIF('5月'!AN4:AN34,"六本木ー夜勤")+COUNTIF('5月'!AS4:AS34,"六本木ー夜勤")+COUNTIF('5月'!AX4:AX34,"六本木ー夜勤")+COUNTIF('5月'!BC4:BC34,"六本木ー夜勤")+COUNTIF('5月'!BH4:BH34,"六本木ー夜勤")+COUNTIF('5月'!BM4:BM34,"六本木ー夜勤")+COUNTIF('5月'!BR4:BR34,"六本木ー夜勤")+COUNTIF('5月'!BW4:BW34,"六本木ー夜勤")+COUNTIF('5月'!CB4:CB34,"六本木ー夜勤")+COUNTIF('5月'!CG4:CG34,"六本木ー夜勤")+COUNTIF('5月'!CL4:CL34,"六本木ー夜勤")+COUNTIF('5月'!CQ4:CQ34,"六本木ー夜勤")+COUNTIF('5月'!CV4:CV34,"六本木ー夜勤")+COUNTIF('5月'!DA4:DA34,"六本木ー夜勤")+COUNTIF('5月'!DF4:DF34,"六本木ー夜勤")+COUNTIF('5月'!DK4:DK34,"六本木ー夜勤")+COUNTIF('5月'!DP4:DP34,"六本木ー夜勤")+COUNTIF('5月'!DU4:DU34,"六本木ー夜勤")+COUNTIF('5月'!DZ4:DZ34,"六本木ー夜勤")+COUNTIF('5月'!EE4:EE34,"六本木ー夜勤")+COUNTIF('5月'!EJ4:EJ34,"六本木ー夜勤")+COUNTIF('5月'!EO4:EO34,"六本木ー夜勤")+COUNTIF('5月'!ET4:ET34,"六本木ー夜勤"))</f>
        <v>0</v>
      </c>
      <c r="D81" s="65">
        <f>IF($A$81="",0,B81+C81)</f>
        <v>0</v>
      </c>
    </row>
    <row r="82" spans="1:4" ht="18.95" customHeight="1">
      <c r="A82" s="77">
        <f>IFERROR(現場マスタ!$C$11,"")</f>
        <v>0</v>
      </c>
      <c r="B82" s="76">
        <v>0</v>
      </c>
      <c r="C82" s="76">
        <v>0</v>
      </c>
      <c r="D82" s="65">
        <v>0</v>
      </c>
    </row>
    <row r="83" spans="1:4" ht="18.95" customHeight="1">
      <c r="A83" s="77">
        <f>IFERROR(現場マスタ!$C$12,"")</f>
        <v>0</v>
      </c>
      <c r="B83" s="76">
        <f>IF($A$83="",0,COUNTIF('5月'!D4:D34,$A$83)+COUNTIF('5月'!I4:I34,$A$83)+COUNTIF('5月'!N4:N34,$A$83)+COUNTIF('5月'!S4:S34,$A$83)+COUNTIF('5月'!X4:X34,$A$83)+COUNTIF('5月'!AC4:AC34,$A$83)+COUNTIF('5月'!AH4:AH34,$A$83)+COUNTIF('5月'!AM4:AM34,$A$83)+COUNTIF('5月'!AR4:AR34,$A$83)+COUNTIF('5月'!AW4:AW34,$A$83)+COUNTIF('5月'!BB4:BB34,$A$83)+COUNTIF('5月'!BG4:BG34,$A$83)+COUNTIF('5月'!BL4:BL34,$A$83)+COUNTIF('5月'!BQ4:BQ34,$A$83)+COUNTIF('5月'!BV4:BV34,$A$83)+COUNTIF('5月'!CA4:CA34,$A$83)+COUNTIF('5月'!CF4:CF34,$A$83)+COUNTIF('5月'!CK4:CK34,$A$83)+COUNTIF('5月'!CP4:CP34,$A$83)+COUNTIF('5月'!CU4:CU34,$A$83)+COUNTIF('5月'!CZ4:CZ34,$A$83)+COUNTIF('5月'!DE4:DE34,$A$83)+COUNTIF('5月'!DJ4:DJ34,$A$83)+COUNTIF('5月'!DO4:DO34,$A$83)+COUNTIF('5月'!DT4:DT34,$A$83)+COUNTIF('5月'!DY4:DY34,$A$83)+COUNTIF('5月'!ED4:ED34,$A$83)+COUNTIF('5月'!EI4:EI34,$A$83)+COUNTIF('5月'!EN4:EN34,$A$83)+COUNTIF('5月'!ES4:ES34,$A$83))</f>
        <v>0</v>
      </c>
      <c r="C83" s="76">
        <f>IF($A$83="",0,COUNTIF('5月'!E4:E34,$A$83)+COUNTIF('5月'!J4:J34,$A$83)+COUNTIF('5月'!O4:O34,$A$83)+COUNTIF('5月'!T4:T34,$A$83)+COUNTIF('5月'!Y4:Y34,$A$83)+COUNTIF('5月'!AD4:AD34,$A$83)+COUNTIF('5月'!AI4:AI34,$A$83)+COUNTIF('5月'!AN4:AN34,$A$83)+COUNTIF('5月'!AS4:AS34,$A$83)+COUNTIF('5月'!AX4:AX34,$A$83)+COUNTIF('5月'!BC4:BC34,$A$83)+COUNTIF('5月'!BH4:BH34,$A$83)+COUNTIF('5月'!BM4:BM34,$A$83)+COUNTIF('5月'!BR4:BR34,$A$83)+COUNTIF('5月'!BW4:BW34,$A$83)+COUNTIF('5月'!CB4:CB34,$A$83)+COUNTIF('5月'!CG4:CG34,$A$83)+COUNTIF('5月'!CL4:CL34,$A$83)+COUNTIF('5月'!CQ4:CQ34,$A$83)+COUNTIF('5月'!CV4:CV34,$A$83)+COUNTIF('5月'!DA4:DA34,$A$83)+COUNTIF('5月'!DF4:DF34,$A$83)+COUNTIF('5月'!DK4:DK34,$A$83)+COUNTIF('5月'!DP4:DP34,$A$83)+COUNTIF('5月'!DU4:DU34,$A$83)+COUNTIF('5月'!DZ4:DZ34,$A$83)+COUNTIF('5月'!EE4:EE34,$A$83)+COUNTIF('5月'!EJ4:EJ34,$A$83)+COUNTIF('5月'!EO4:EO34,$A$83)+COUNTIF('5月'!ET4:ET34,$A$83))</f>
        <v>0</v>
      </c>
      <c r="D83" s="65">
        <f>IF($A$83="",0,B83+C83)</f>
        <v>0</v>
      </c>
    </row>
    <row r="84" spans="1:4" ht="18.95" customHeight="1">
      <c r="A84" s="77">
        <f>IFERROR(現場マスタ!$C$14,"")</f>
        <v>0</v>
      </c>
      <c r="B84" s="76">
        <v>0</v>
      </c>
      <c r="C84" s="76">
        <v>0</v>
      </c>
      <c r="D84" s="65">
        <v>0</v>
      </c>
    </row>
    <row r="85" spans="1:4" ht="18.95" customHeight="1">
      <c r="A85" s="77">
        <f>IFERROR(現場マスタ!$C$15,"")</f>
        <v>0</v>
      </c>
      <c r="B85" s="76">
        <v>0</v>
      </c>
      <c r="C85" s="76">
        <v>0</v>
      </c>
      <c r="D85" s="65">
        <v>0</v>
      </c>
    </row>
    <row r="86" spans="1:4" ht="18.95" customHeight="1">
      <c r="A86" s="77">
        <f>IFERROR(現場マスタ!$C$16,"")</f>
        <v>0</v>
      </c>
      <c r="B86" s="76">
        <f>IF($A$86="",0,COUNTIF('5月'!D4:D34,$A$86)+COUNTIF('5月'!I4:I34,$A$86)+COUNTIF('5月'!N4:N34,$A$86)+COUNTIF('5月'!S4:S34,$A$86)+COUNTIF('5月'!X4:X34,$A$86)+COUNTIF('5月'!AC4:AC34,$A$86)+COUNTIF('5月'!AH4:AH34,$A$86)+COUNTIF('5月'!AM4:AM34,$A$86)+COUNTIF('5月'!AR4:AR34,$A$86)+COUNTIF('5月'!AW4:AW34,$A$86)+COUNTIF('5月'!BB4:BB34,$A$86)+COUNTIF('5月'!BG4:BG34,$A$86)+COUNTIF('5月'!BL4:BL34,$A$86)+COUNTIF('5月'!BQ4:BQ34,$A$86)+COUNTIF('5月'!BV4:BV34,$A$86)+COUNTIF('5月'!CA4:CA34,$A$86)+COUNTIF('5月'!CF4:CF34,$A$86)+COUNTIF('5月'!CK4:CK34,$A$86)+COUNTIF('5月'!CP4:CP34,$A$86)+COUNTIF('5月'!CU4:CU34,$A$86)+COUNTIF('5月'!CZ4:CZ34,$A$86)+COUNTIF('5月'!DE4:DE34,$A$86)+COUNTIF('5月'!DJ4:DJ34,$A$86)+COUNTIF('5月'!DO4:DO34,$A$86)+COUNTIF('5月'!DT4:DT34,$A$86)+COUNTIF('5月'!DY4:DY34,$A$86)+COUNTIF('5月'!ED4:ED34,$A$86)+COUNTIF('5月'!EI4:EI34,$A$86)+COUNTIF('5月'!EN4:EN34,$A$86)+COUNTIF('5月'!ES4:ES34,$A$86)+COUNTIF('5月'!D4:D34,"三軒茶屋－夜勤")+COUNTIF('5月'!I4:I34,"三軒茶屋－夜勤")+COUNTIF('5月'!N4:N34,"三軒茶屋－夜勤")+COUNTIF('5月'!S4:S34,"三軒茶屋－夜勤")+COUNTIF('5月'!X4:X34,"三軒茶屋－夜勤")+COUNTIF('5月'!AC4:AC34,"三軒茶屋－夜勤")+COUNTIF('5月'!AH4:AH34,"三軒茶屋－夜勤")+COUNTIF('5月'!AM4:AM34,"三軒茶屋－夜勤")+COUNTIF('5月'!AR4:AR34,"三軒茶屋－夜勤")+COUNTIF('5月'!AW4:AW34,"三軒茶屋－夜勤")+COUNTIF('5月'!BB4:BB34,"三軒茶屋－夜勤")+COUNTIF('5月'!BG4:BG34,"三軒茶屋－夜勤")+COUNTIF('5月'!BL4:BL34,"三軒茶屋－夜勤")+COUNTIF('5月'!BQ4:BQ34,"三軒茶屋－夜勤")+COUNTIF('5月'!BV4:BV34,"三軒茶屋－夜勤")+COUNTIF('5月'!CA4:CA34,"三軒茶屋－夜勤")+COUNTIF('5月'!CF4:CF34,"三軒茶屋－夜勤")+COUNTIF('5月'!CK4:CK34,"三軒茶屋－夜勤")+COUNTIF('5月'!CP4:CP34,"三軒茶屋－夜勤")+COUNTIF('5月'!CU4:CU34,"三軒茶屋－夜勤")+COUNTIF('5月'!CZ4:CZ34,"三軒茶屋－夜勤")+COUNTIF('5月'!DE4:DE34,"三軒茶屋－夜勤")+COUNTIF('5月'!DJ4:DJ34,"三軒茶屋－夜勤")+COUNTIF('5月'!DO4:DO34,"三軒茶屋－夜勤")+COUNTIF('5月'!DT4:DT34,"三軒茶屋－夜勤")+COUNTIF('5月'!DY4:DY34,"三軒茶屋－夜勤")+COUNTIF('5月'!ED4:ED34,"三軒茶屋－夜勤")+COUNTIF('5月'!EI4:EI34,"三軒茶屋－夜勤")+COUNTIF('5月'!EN4:EN34,"三軒茶屋－夜勤")+COUNTIF('5月'!ES4:ES34,"三軒茶屋－夜勤"))</f>
        <v>0</v>
      </c>
      <c r="C86" s="76">
        <f>IF($A$86="",0,COUNTIF('5月'!E4:E34,$A$86)+COUNTIF('5月'!J4:J34,$A$86)+COUNTIF('5月'!O4:O34,$A$86)+COUNTIF('5月'!T4:T34,$A$86)+COUNTIF('5月'!Y4:Y34,$A$86)+COUNTIF('5月'!AD4:AD34,$A$86)+COUNTIF('5月'!AI4:AI34,$A$86)+COUNTIF('5月'!AN4:AN34,$A$86)+COUNTIF('5月'!AS4:AS34,$A$86)+COUNTIF('5月'!AX4:AX34,$A$86)+COUNTIF('5月'!BC4:BC34,$A$86)+COUNTIF('5月'!BH4:BH34,$A$86)+COUNTIF('5月'!BM4:BM34,$A$86)+COUNTIF('5月'!BR4:BR34,$A$86)+COUNTIF('5月'!BW4:BW34,$A$86)+COUNTIF('5月'!CB4:CB34,$A$86)+COUNTIF('5月'!CG4:CG34,$A$86)+COUNTIF('5月'!CL4:CL34,$A$86)+COUNTIF('5月'!CQ4:CQ34,$A$86)+COUNTIF('5月'!CV4:CV34,$A$86)+COUNTIF('5月'!DA4:DA34,$A$86)+COUNTIF('5月'!DF4:DF34,$A$86)+COUNTIF('5月'!DK4:DK34,$A$86)+COUNTIF('5月'!DP4:DP34,$A$86)+COUNTIF('5月'!DU4:DU34,$A$86)+COUNTIF('5月'!DZ4:DZ34,$A$86)+COUNTIF('5月'!EE4:EE34,$A$86)+COUNTIF('5月'!EJ4:EJ34,$A$86)+COUNTIF('5月'!EO4:EO34,$A$86)+COUNTIF('5月'!ET4:ET34,$A$86)+COUNTIF('5月'!E4:E34,"三軒茶屋－夜勤")+COUNTIF('5月'!J4:J34,"三軒茶屋－夜勤")+COUNTIF('5月'!O4:O34,"三軒茶屋－夜勤")+COUNTIF('5月'!T4:T34,"三軒茶屋－夜勤")+COUNTIF('5月'!Y4:Y34,"三軒茶屋－夜勤")+COUNTIF('5月'!AD4:AD34,"三軒茶屋－夜勤")+COUNTIF('5月'!AI4:AI34,"三軒茶屋－夜勤")+COUNTIF('5月'!AN4:AN34,"三軒茶屋－夜勤")+COUNTIF('5月'!AS4:AS34,"三軒茶屋－夜勤")+COUNTIF('5月'!AX4:AX34,"三軒茶屋－夜勤")+COUNTIF('5月'!BC4:BC34,"三軒茶屋－夜勤")+COUNTIF('5月'!BH4:BH34,"三軒茶屋－夜勤")+COUNTIF('5月'!BM4:BM34,"三軒茶屋－夜勤")+COUNTIF('5月'!BR4:BR34,"三軒茶屋－夜勤")+COUNTIF('5月'!BW4:BW34,"三軒茶屋－夜勤")+COUNTIF('5月'!CB4:CB34,"三軒茶屋－夜勤")+COUNTIF('5月'!CG4:CG34,"三軒茶屋－夜勤")+COUNTIF('5月'!CL4:CL34,"三軒茶屋－夜勤")+COUNTIF('5月'!CQ4:CQ34,"三軒茶屋－夜勤")+COUNTIF('5月'!CV4:CV34,"三軒茶屋－夜勤")+COUNTIF('5月'!DA4:DA34,"三軒茶屋－夜勤")+COUNTIF('5月'!DF4:DF34,"三軒茶屋－夜勤")+COUNTIF('5月'!DK4:DK34,"三軒茶屋－夜勤")+COUNTIF('5月'!DP4:DP34,"三軒茶屋－夜勤")+COUNTIF('5月'!DU4:DU34,"三軒茶屋－夜勤")+COUNTIF('5月'!DZ4:DZ34,"三軒茶屋－夜勤")+COUNTIF('5月'!EE4:EE34,"三軒茶屋－夜勤")+COUNTIF('5月'!EJ4:EJ34,"三軒茶屋－夜勤")+COUNTIF('5月'!EO4:EO34,"三軒茶屋－夜勤")+COUNTIF('5月'!ET4:ET34,"三軒茶屋－夜勤"))</f>
        <v>0</v>
      </c>
      <c r="D86" s="65">
        <f>IF($A$86="",0,B86+C86)</f>
        <v>0</v>
      </c>
    </row>
    <row r="87" spans="1:4" ht="18.95" customHeight="1">
      <c r="A87" s="77">
        <f>IFERROR(現場マスタ!$C$17,"")</f>
        <v>0</v>
      </c>
      <c r="B87" s="76">
        <f>IF($A$87="",0,COUNTIF('5月'!D4:D34,$A$87)+COUNTIF('5月'!I4:I34,$A$87)+COUNTIF('5月'!N4:N34,$A$87)+COUNTIF('5月'!S4:S34,$A$87)+COUNTIF('5月'!X4:X34,$A$87)+COUNTIF('5月'!AC4:AC34,$A$87)+COUNTIF('5月'!AH4:AH34,$A$87)+COUNTIF('5月'!AM4:AM34,$A$87)+COUNTIF('5月'!AR4:AR34,$A$87)+COUNTIF('5月'!AW4:AW34,$A$87)+COUNTIF('5月'!BB4:BB34,$A$87)+COUNTIF('5月'!BG4:BG34,$A$87)+COUNTIF('5月'!BL4:BL34,$A$87)+COUNTIF('5月'!BQ4:BQ34,$A$87)+COUNTIF('5月'!BV4:BV34,$A$87)+COUNTIF('5月'!CA4:CA34,$A$87)+COUNTIF('5月'!CF4:CF34,$A$87)+COUNTIF('5月'!CK4:CK34,$A$87)+COUNTIF('5月'!CP4:CP34,$A$87)+COUNTIF('5月'!CU4:CU34,$A$87)+COUNTIF('5月'!CZ4:CZ34,$A$87)+COUNTIF('5月'!DE4:DE34,$A$87)+COUNTIF('5月'!DJ4:DJ34,$A$87)+COUNTIF('5月'!DO4:DO34,$A$87)+COUNTIF('5月'!DT4:DT34,$A$87)+COUNTIF('5月'!DY4:DY34,$A$87)+COUNTIF('5月'!ED4:ED34,$A$87)+COUNTIF('5月'!EI4:EI34,$A$87)+COUNTIF('5月'!EN4:EN34,$A$87)+COUNTIF('5月'!ES4:ES34,$A$87)+COUNTIF('5月'!D4:D34,"荻窪ー夜勤")+COUNTIF('5月'!I4:I34,"荻窪ー夜勤")+COUNTIF('5月'!N4:N34,"荻窪ー夜勤")+COUNTIF('5月'!S4:S34,"荻窪ー夜勤")+COUNTIF('5月'!X4:X34,"荻窪ー夜勤")+COUNTIF('5月'!AC4:AC34,"荻窪ー夜勤")+COUNTIF('5月'!AH4:AH34,"荻窪ー夜勤")+COUNTIF('5月'!AM4:AM34,"荻窪ー夜勤")+COUNTIF('5月'!AR4:AR34,"荻窪ー夜勤")+COUNTIF('5月'!AW4:AW34,"荻窪ー夜勤")+COUNTIF('5月'!BB4:BB34,"荻窪ー夜勤")+COUNTIF('5月'!BG4:BG34,"荻窪ー夜勤")+COUNTIF('5月'!BL4:BL34,"荻窪ー夜勤")+COUNTIF('5月'!BQ4:BQ34,"荻窪ー夜勤")+COUNTIF('5月'!BV4:BV34,"荻窪ー夜勤")+COUNTIF('5月'!CA4:CA34,"荻窪ー夜勤")+COUNTIF('5月'!CF4:CF34,"荻窪ー夜勤")+COUNTIF('5月'!CK4:CK34,"荻窪ー夜勤")+COUNTIF('5月'!CP4:CP34,"荻窪ー夜勤")+COUNTIF('5月'!CU4:CU34,"荻窪ー夜勤")+COUNTIF('5月'!CZ4:CZ34,"荻窪ー夜勤")+COUNTIF('5月'!DE4:DE34,"荻窪ー夜勤")+COUNTIF('5月'!DJ4:DJ34,"荻窪ー夜勤")+COUNTIF('5月'!DO4:DO34,"荻窪ー夜勤")+COUNTIF('5月'!DT4:DT34,"荻窪ー夜勤")+COUNTIF('5月'!DY4:DY34,"荻窪ー夜勤")+COUNTIF('5月'!ED4:ED34,"荻窪ー夜勤")+COUNTIF('5月'!EI4:EI34,"荻窪ー夜勤")+COUNTIF('5月'!EN4:EN34,"荻窪ー夜勤")+COUNTIF('5月'!ES4:ES34,"荻窪ー夜勤"))</f>
        <v>0</v>
      </c>
      <c r="C87" s="76">
        <f>IF($A$87="",0,COUNTIF('5月'!E4:E34,$A$87)+COUNTIF('5月'!J4:J34,$A$87)+COUNTIF('5月'!O4:O34,$A$87)+COUNTIF('5月'!T4:T34,$A$87)+COUNTIF('5月'!Y4:Y34,$A$87)+COUNTIF('5月'!AD4:AD34,$A$87)+COUNTIF('5月'!AI4:AI34,$A$87)+COUNTIF('5月'!AN4:AN34,$A$87)+COUNTIF('5月'!AS4:AS34,$A$87)+COUNTIF('5月'!AX4:AX34,$A$87)+COUNTIF('5月'!BC4:BC34,$A$87)+COUNTIF('5月'!BH4:BH34,$A$87)+COUNTIF('5月'!BM4:BM34,$A$87)+COUNTIF('5月'!BR4:BR34,$A$87)+COUNTIF('5月'!BW4:BW34,$A$87)+COUNTIF('5月'!CB4:CB34,$A$87)+COUNTIF('5月'!CG4:CG34,$A$87)+COUNTIF('5月'!CL4:CL34,$A$87)+COUNTIF('5月'!CQ4:CQ34,$A$87)+COUNTIF('5月'!CV4:CV34,$A$87)+COUNTIF('5月'!DA4:DA34,$A$87)+COUNTIF('5月'!DF4:DF34,$A$87)+COUNTIF('5月'!DK4:DK34,$A$87)+COUNTIF('5月'!DP4:DP34,$A$87)+COUNTIF('5月'!DU4:DU34,$A$87)+COUNTIF('5月'!DZ4:DZ34,$A$87)+COUNTIF('5月'!EE4:EE34,$A$87)+COUNTIF('5月'!EJ4:EJ34,$A$87)+COUNTIF('5月'!EO4:EO34,$A$87)+COUNTIF('5月'!ET4:ET34,$A$87)+COUNTIF('5月'!E4:E34,"荻窪ー夜勤")+COUNTIF('5月'!J4:J34,"荻窪ー夜勤")+COUNTIF('5月'!O4:O34,"荻窪ー夜勤")+COUNTIF('5月'!T4:T34,"荻窪ー夜勤")+COUNTIF('5月'!Y4:Y34,"荻窪ー夜勤")+COUNTIF('5月'!AD4:AD34,"荻窪ー夜勤")+COUNTIF('5月'!AI4:AI34,"荻窪ー夜勤")+COUNTIF('5月'!AN4:AN34,"荻窪ー夜勤")+COUNTIF('5月'!AS4:AS34,"荻窪ー夜勤")+COUNTIF('5月'!AX4:AX34,"荻窪ー夜勤")+COUNTIF('5月'!BC4:BC34,"荻窪ー夜勤")+COUNTIF('5月'!BH4:BH34,"荻窪ー夜勤")+COUNTIF('5月'!BM4:BM34,"荻窪ー夜勤")+COUNTIF('5月'!BR4:BR34,"荻窪ー夜勤")+COUNTIF('5月'!BW4:BW34,"荻窪ー夜勤")+COUNTIF('5月'!CB4:CB34,"荻窪ー夜勤")+COUNTIF('5月'!CG4:CG34,"荻窪ー夜勤")+COUNTIF('5月'!CL4:CL34,"荻窪ー夜勤")+COUNTIF('5月'!CQ4:CQ34,"荻窪ー夜勤")+COUNTIF('5月'!CV4:CV34,"荻窪ー夜勤")+COUNTIF('5月'!DA4:DA34,"荻窪ー夜勤")+COUNTIF('5月'!DF4:DF34,"荻窪ー夜勤")+COUNTIF('5月'!DK4:DK34,"荻窪ー夜勤")+COUNTIF('5月'!DP4:DP34,"荻窪ー夜勤")+COUNTIF('5月'!DU4:DU34,"荻窪ー夜勤")+COUNTIF('5月'!DZ4:DZ34,"荻窪ー夜勤")+COUNTIF('5月'!EE4:EE34,"荻窪ー夜勤")+COUNTIF('5月'!EJ4:EJ34,"荻窪ー夜勤")+COUNTIF('5月'!EO4:EO34,"荻窪ー夜勤")+COUNTIF('5月'!ET4:ET34,"荻窪ー夜勤"))</f>
        <v>0</v>
      </c>
      <c r="D87" s="65">
        <f>IF($A$87="",0,B87+C87)</f>
        <v>0</v>
      </c>
    </row>
    <row r="88" spans="1:4" ht="18.95" customHeight="1">
      <c r="A88" s="77">
        <f>IFERROR(現場マスタ!$C$18,"")</f>
        <v>0</v>
      </c>
      <c r="B88" s="76">
        <f>IF($A$88="",0,COUNTIF('5月'!D4:D34,$A$88)+COUNTIF('5月'!I4:I34,$A$88)+COUNTIF('5月'!N4:N34,$A$88)+COUNTIF('5月'!S4:S34,$A$88)+COUNTIF('5月'!X4:X34,$A$88)+COUNTIF('5月'!AC4:AC34,$A$88)+COUNTIF('5月'!AH4:AH34,$A$88)+COUNTIF('5月'!AM4:AM34,$A$88)+COUNTIF('5月'!AR4:AR34,$A$88)+COUNTIF('5月'!AW4:AW34,$A$88)+COUNTIF('5月'!BB4:BB34,$A$88)+COUNTIF('5月'!BG4:BG34,$A$88)+COUNTIF('5月'!BL4:BL34,$A$88)+COUNTIF('5月'!BQ4:BQ34,$A$88)+COUNTIF('5月'!BV4:BV34,$A$88)+COUNTIF('5月'!CA4:CA34,$A$88)+COUNTIF('5月'!CF4:CF34,$A$88)+COUNTIF('5月'!CK4:CK34,$A$88)+COUNTIF('5月'!CP4:CP34,$A$88)+COUNTIF('5月'!CU4:CU34,$A$88)+COUNTIF('5月'!CZ4:CZ34,$A$88)+COUNTIF('5月'!DE4:DE34,$A$88)+COUNTIF('5月'!DJ4:DJ34,$A$88)+COUNTIF('5月'!DO4:DO34,$A$88)+COUNTIF('5月'!DT4:DT34,$A$88)+COUNTIF('5月'!DY4:DY34,$A$88)+COUNTIF('5月'!ED4:ED34,$A$88)+COUNTIF('5月'!EI4:EI34,$A$88)+COUNTIF('5月'!EN4:EN34,$A$88)+COUNTIF('5月'!ES4:ES34,$A$88))</f>
        <v>0</v>
      </c>
      <c r="C88" s="76">
        <f>IF($A$88="",0,COUNTIF('5月'!E4:E34,$A$88)+COUNTIF('5月'!J4:J34,$A$88)+COUNTIF('5月'!O4:O34,$A$88)+COUNTIF('5月'!T4:T34,$A$88)+COUNTIF('5月'!Y4:Y34,$A$88)+COUNTIF('5月'!AD4:AD34,$A$88)+COUNTIF('5月'!AI4:AI34,$A$88)+COUNTIF('5月'!AN4:AN34,$A$88)+COUNTIF('5月'!AS4:AS34,$A$88)+COUNTIF('5月'!AX4:AX34,$A$88)+COUNTIF('5月'!BC4:BC34,$A$88)+COUNTIF('5月'!BH4:BH34,$A$88)+COUNTIF('5月'!BM4:BM34,$A$88)+COUNTIF('5月'!BR4:BR34,$A$88)+COUNTIF('5月'!BW4:BW34,$A$88)+COUNTIF('5月'!CB4:CB34,$A$88)+COUNTIF('5月'!CG4:CG34,$A$88)+COUNTIF('5月'!CL4:CL34,$A$88)+COUNTIF('5月'!CQ4:CQ34,$A$88)+COUNTIF('5月'!CV4:CV34,$A$88)+COUNTIF('5月'!DA4:DA34,$A$88)+COUNTIF('5月'!DF4:DF34,$A$88)+COUNTIF('5月'!DK4:DK34,$A$88)+COUNTIF('5月'!DP4:DP34,$A$88)+COUNTIF('5月'!DU4:DU34,$A$88)+COUNTIF('5月'!DZ4:DZ34,$A$88)+COUNTIF('5月'!EE4:EE34,$A$88)+COUNTIF('5月'!EJ4:EJ34,$A$88)+COUNTIF('5月'!EO4:EO34,$A$88)+COUNTIF('5月'!ET4:ET34,$A$88))</f>
        <v>0</v>
      </c>
      <c r="D88" s="65">
        <f>IF($A$88="",0,B88+C88)</f>
        <v>0</v>
      </c>
    </row>
    <row r="89" spans="1:4" ht="18.95" customHeight="1">
      <c r="A89" s="77">
        <f>IFERROR(現場マスタ!$C$20,"")</f>
        <v>0</v>
      </c>
      <c r="B89" s="76">
        <f>IF($A$89="",0,COUNTIF('5月'!D4:D34,$A$89)+COUNTIF('5月'!I4:I34,$A$89)+COUNTIF('5月'!N4:N34,$A$89)+COUNTIF('5月'!S4:S34,$A$89)+COUNTIF('5月'!X4:X34,$A$89)+COUNTIF('5月'!AC4:AC34,$A$89)+COUNTIF('5月'!AH4:AH34,$A$89)+COUNTIF('5月'!AM4:AM34,$A$89)+COUNTIF('5月'!AR4:AR34,$A$89)+COUNTIF('5月'!AW4:AW34,$A$89)+COUNTIF('5月'!BB4:BB34,$A$89)+COUNTIF('5月'!BG4:BG34,$A$89)+COUNTIF('5月'!BL4:BL34,$A$89)+COUNTIF('5月'!BQ4:BQ34,$A$89)+COUNTIF('5月'!BV4:BV34,$A$89)+COUNTIF('5月'!CA4:CA34,$A$89)+COUNTIF('5月'!CF4:CF34,$A$89)+COUNTIF('5月'!CK4:CK34,$A$89)+COUNTIF('5月'!CP4:CP34,$A$89)+COUNTIF('5月'!CU4:CU34,$A$89)+COUNTIF('5月'!CZ4:CZ34,$A$89)+COUNTIF('5月'!DE4:DE34,$A$89)+COUNTIF('5月'!DJ4:DJ34,$A$89)+COUNTIF('5月'!DO4:DO34,$A$89)+COUNTIF('5月'!DT4:DT34,$A$89)+COUNTIF('5月'!DY4:DY34,$A$89)+COUNTIF('5月'!ED4:ED34,$A$89)+COUNTIF('5月'!EI4:EI34,$A$89)+COUNTIF('5月'!EN4:EN34,$A$89)+COUNTIF('5月'!ES4:ES34,$A$89))</f>
        <v>0</v>
      </c>
      <c r="C89" s="76">
        <f>IF($A$89="",0,COUNTIF('5月'!E4:E34,$A$89)+COUNTIF('5月'!J4:J34,$A$89)+COUNTIF('5月'!O4:O34,$A$89)+COUNTIF('5月'!T4:T34,$A$89)+COUNTIF('5月'!Y4:Y34,$A$89)+COUNTIF('5月'!AD4:AD34,$A$89)+COUNTIF('5月'!AI4:AI34,$A$89)+COUNTIF('5月'!AN4:AN34,$A$89)+COUNTIF('5月'!AS4:AS34,$A$89)+COUNTIF('5月'!AX4:AX34,$A$89)+COUNTIF('5月'!BC4:BC34,$A$89)+COUNTIF('5月'!BH4:BH34,$A$89)+COUNTIF('5月'!BM4:BM34,$A$89)+COUNTIF('5月'!BR4:BR34,$A$89)+COUNTIF('5月'!BW4:BW34,$A$89)+COUNTIF('5月'!CB4:CB34,$A$89)+COUNTIF('5月'!CG4:CG34,$A$89)+COUNTIF('5月'!CL4:CL34,$A$89)+COUNTIF('5月'!CQ4:CQ34,$A$89)+COUNTIF('5月'!CV4:CV34,$A$89)+COUNTIF('5月'!DA4:DA34,$A$89)+COUNTIF('5月'!DF4:DF34,$A$89)+COUNTIF('5月'!DK4:DK34,$A$89)+COUNTIF('5月'!DP4:DP34,$A$89)+COUNTIF('5月'!DU4:DU34,$A$89)+COUNTIF('5月'!DZ4:DZ34,$A$89)+COUNTIF('5月'!EE4:EE34,$A$89)+COUNTIF('5月'!EJ4:EJ34,$A$89)+COUNTIF('5月'!EO4:EO34,$A$89)+COUNTIF('5月'!ET4:ET34,$A$89))</f>
        <v>0</v>
      </c>
      <c r="D89" s="65">
        <f>IF($A$89="",0,B89+C89)</f>
        <v>0</v>
      </c>
    </row>
    <row r="90" spans="1:4" ht="18.95" customHeight="1">
      <c r="A90" s="77">
        <f>IFERROR(現場マスタ!$C$21,"")</f>
        <v>0</v>
      </c>
      <c r="B90" s="76">
        <f>IF($A$90="",0,COUNTIF('5月'!D4:D34,$A$90)+COUNTIF('5月'!I4:I34,$A$90)+COUNTIF('5月'!N4:N34,$A$90)+COUNTIF('5月'!S4:S34,$A$90)+COUNTIF('5月'!X4:X34,$A$90)+COUNTIF('5月'!AC4:AC34,$A$90)+COUNTIF('5月'!AH4:AH34,$A$90)+COUNTIF('5月'!AM4:AM34,$A$90)+COUNTIF('5月'!AR4:AR34,$A$90)+COUNTIF('5月'!AW4:AW34,$A$90)+COUNTIF('5月'!BB4:BB34,$A$90)+COUNTIF('5月'!BG4:BG34,$A$90)+COUNTIF('5月'!BL4:BL34,$A$90)+COUNTIF('5月'!BQ4:BQ34,$A$90)+COUNTIF('5月'!BV4:BV34,$A$90)+COUNTIF('5月'!CA4:CA34,$A$90)+COUNTIF('5月'!CF4:CF34,$A$90)+COUNTIF('5月'!CK4:CK34,$A$90)+COUNTIF('5月'!CP4:CP34,$A$90)+COUNTIF('5月'!CU4:CU34,$A$90)+COUNTIF('5月'!CZ4:CZ34,$A$90)+COUNTIF('5月'!DE4:DE34,$A$90)+COUNTIF('5月'!DJ4:DJ34,$A$90)+COUNTIF('5月'!DO4:DO34,$A$90)+COUNTIF('5月'!DT4:DT34,$A$90)+COUNTIF('5月'!DY4:DY34,$A$90)+COUNTIF('5月'!ED4:ED34,$A$90)+COUNTIF('5月'!EI4:EI34,$A$90)+COUNTIF('5月'!EN4:EN34,$A$90)+COUNTIF('5月'!ES4:ES34,$A$90))</f>
        <v>0</v>
      </c>
      <c r="C90" s="76">
        <f>IF($A$90="",0,COUNTIF('5月'!E4:E34,$A$90)+COUNTIF('5月'!J4:J34,$A$90)+COUNTIF('5月'!O4:O34,$A$90)+COUNTIF('5月'!T4:T34,$A$90)+COUNTIF('5月'!Y4:Y34,$A$90)+COUNTIF('5月'!AD4:AD34,$A$90)+COUNTIF('5月'!AI4:AI34,$A$90)+COUNTIF('5月'!AN4:AN34,$A$90)+COUNTIF('5月'!AS4:AS34,$A$90)+COUNTIF('5月'!AX4:AX34,$A$90)+COUNTIF('5月'!BC4:BC34,$A$90)+COUNTIF('5月'!BH4:BH34,$A$90)+COUNTIF('5月'!BM4:BM34,$A$90)+COUNTIF('5月'!BR4:BR34,$A$90)+COUNTIF('5月'!BW4:BW34,$A$90)+COUNTIF('5月'!CB4:CB34,$A$90)+COUNTIF('5月'!CG4:CG34,$A$90)+COUNTIF('5月'!CL4:CL34,$A$90)+COUNTIF('5月'!CQ4:CQ34,$A$90)+COUNTIF('5月'!CV4:CV34,$A$90)+COUNTIF('5月'!DA4:DA34,$A$90)+COUNTIF('5月'!DF4:DF34,$A$90)+COUNTIF('5月'!DK4:DK34,$A$90)+COUNTIF('5月'!DP4:DP34,$A$90)+COUNTIF('5月'!DU4:DU34,$A$90)+COUNTIF('5月'!DZ4:DZ34,$A$90)+COUNTIF('5月'!EE4:EE34,$A$90)+COUNTIF('5月'!EJ4:EJ34,$A$90)+COUNTIF('5月'!EO4:EO34,$A$90)+COUNTIF('5月'!ET4:ET34,$A$90))</f>
        <v>0</v>
      </c>
      <c r="D90" s="65">
        <f>IF($A$90="",0,B90+C90)</f>
        <v>0</v>
      </c>
    </row>
    <row r="91" spans="1:4" ht="18.95" customHeight="1">
      <c r="A91" s="77">
        <f>IFERROR(現場マスタ!$C$22,"")</f>
        <v>0</v>
      </c>
      <c r="B91" s="76">
        <f>IF($A$91="",0,COUNTIF('5月'!D4:D34,$A$91)+COUNTIF('5月'!I4:I34,$A$91)+COUNTIF('5月'!N4:N34,$A$91)+COUNTIF('5月'!S4:S34,$A$91)+COUNTIF('5月'!X4:X34,$A$91)+COUNTIF('5月'!AC4:AC34,$A$91)+COUNTIF('5月'!AH4:AH34,$A$91)+COUNTIF('5月'!AM4:AM34,$A$91)+COUNTIF('5月'!AR4:AR34,$A$91)+COUNTIF('5月'!AW4:AW34,$A$91)+COUNTIF('5月'!BB4:BB34,$A$91)+COUNTIF('5月'!BG4:BG34,$A$91)+COUNTIF('5月'!BL4:BL34,$A$91)+COUNTIF('5月'!BQ4:BQ34,$A$91)+COUNTIF('5月'!BV4:BV34,$A$91)+COUNTIF('5月'!CA4:CA34,$A$91)+COUNTIF('5月'!CF4:CF34,$A$91)+COUNTIF('5月'!CK4:CK34,$A$91)+COUNTIF('5月'!CP4:CP34,$A$91)+COUNTIF('5月'!CU4:CU34,$A$91)+COUNTIF('5月'!CZ4:CZ34,$A$91)+COUNTIF('5月'!DE4:DE34,$A$91)+COUNTIF('5月'!DJ4:DJ34,$A$91)+COUNTIF('5月'!DO4:DO34,$A$91)+COUNTIF('5月'!DT4:DT34,$A$91)+COUNTIF('5月'!DY4:DY34,$A$91)+COUNTIF('5月'!ED4:ED34,$A$91)+COUNTIF('5月'!EI4:EI34,$A$91)+COUNTIF('5月'!EN4:EN34,$A$91)+COUNTIF('5月'!ES4:ES34,$A$91))</f>
        <v>0</v>
      </c>
      <c r="C91" s="76">
        <f>IF($A$91="",0,COUNTIF('5月'!E4:E34,$A$91)+COUNTIF('5月'!J4:J34,$A$91)+COUNTIF('5月'!O4:O34,$A$91)+COUNTIF('5月'!T4:T34,$A$91)+COUNTIF('5月'!Y4:Y34,$A$91)+COUNTIF('5月'!AD4:AD34,$A$91)+COUNTIF('5月'!AI4:AI34,$A$91)+COUNTIF('5月'!AN4:AN34,$A$91)+COUNTIF('5月'!AS4:AS34,$A$91)+COUNTIF('5月'!AX4:AX34,$A$91)+COUNTIF('5月'!BC4:BC34,$A$91)+COUNTIF('5月'!BH4:BH34,$A$91)+COUNTIF('5月'!BM4:BM34,$A$91)+COUNTIF('5月'!BR4:BR34,$A$91)+COUNTIF('5月'!BW4:BW34,$A$91)+COUNTIF('5月'!CB4:CB34,$A$91)+COUNTIF('5月'!CG4:CG34,$A$91)+COUNTIF('5月'!CL4:CL34,$A$91)+COUNTIF('5月'!CQ4:CQ34,$A$91)+COUNTIF('5月'!CV4:CV34,$A$91)+COUNTIF('5月'!DA4:DA34,$A$91)+COUNTIF('5月'!DF4:DF34,$A$91)+COUNTIF('5月'!DK4:DK34,$A$91)+COUNTIF('5月'!DP4:DP34,$A$91)+COUNTIF('5月'!DU4:DU34,$A$91)+COUNTIF('5月'!DZ4:DZ34,$A$91)+COUNTIF('5月'!EE4:EE34,$A$91)+COUNTIF('5月'!EJ4:EJ34,$A$91)+COUNTIF('5月'!EO4:EO34,$A$91)+COUNTIF('5月'!ET4:ET34,$A$91))</f>
        <v>0</v>
      </c>
      <c r="D91" s="65">
        <f>IF($A$91="",0,B91+C91)</f>
        <v>0</v>
      </c>
    </row>
    <row r="92" spans="1:4" ht="9.9499999999999993" customHeight="1"/>
    <row r="93" spans="1:4" ht="21.95" customHeight="1">
      <c r="A93" s="112" t="str">
        <f>対象年度&amp;"年 6月"</f>
        <v>2026年 6月</v>
      </c>
      <c r="B93" s="112"/>
      <c r="C93" s="112"/>
      <c r="D93" s="112"/>
    </row>
    <row r="94" spans="1:4" ht="20.100000000000001" customHeight="1">
      <c r="A94" s="60" t="s">
        <v>60</v>
      </c>
      <c r="B94" s="75" t="s">
        <v>110</v>
      </c>
      <c r="C94" s="75" t="s">
        <v>111</v>
      </c>
      <c r="D94" s="65" t="s">
        <v>112</v>
      </c>
    </row>
    <row r="95" spans="1:4" ht="18.95" customHeight="1">
      <c r="A95" s="77" t="str">
        <f>IFERROR(現場マスタ!$C$4,"")</f>
        <v>新宿</v>
      </c>
      <c r="B95" s="76">
        <f>IF($A$95="",0,COUNTIF('6月'!D4:D34,$A$95)+COUNTIF('6月'!I4:I34,$A$95)+COUNTIF('6月'!N4:N34,$A$95)+COUNTIF('6月'!S4:S34,$A$95)+COUNTIF('6月'!X4:X34,$A$95)+COUNTIF('6月'!AC4:AC34,$A$95)+COUNTIF('6月'!AH4:AH34,$A$95)+COUNTIF('6月'!AM4:AM34,$A$95)+COUNTIF('6月'!AR4:AR34,$A$95)+COUNTIF('6月'!AW4:AW34,$A$95)+COUNTIF('6月'!BB4:BB34,$A$95)+COUNTIF('6月'!BG4:BG34,$A$95)+COUNTIF('6月'!BL4:BL34,$A$95)+COUNTIF('6月'!BQ4:BQ34,$A$95)+COUNTIF('6月'!BV4:BV34,$A$95)+COUNTIF('6月'!CA4:CA34,$A$95)+COUNTIF('6月'!CF4:CF34,$A$95)+COUNTIF('6月'!CK4:CK34,$A$95)+COUNTIF('6月'!CP4:CP34,$A$95)+COUNTIF('6月'!CU4:CU34,$A$95)+COUNTIF('6月'!CZ4:CZ34,$A$95)+COUNTIF('6月'!DE4:DE34,$A$95)+COUNTIF('6月'!DJ4:DJ34,$A$95)+COUNTIF('6月'!DO4:DO34,$A$95)+COUNTIF('6月'!DT4:DT34,$A$95)+COUNTIF('6月'!DY4:DY34,$A$95)+COUNTIF('6月'!ED4:ED34,$A$95)+COUNTIF('6月'!EI4:EI34,$A$95)+COUNTIF('6月'!EN4:EN34,$A$95)+COUNTIF('6月'!ES4:ES34,$A$95))</f>
        <v>0</v>
      </c>
      <c r="C95" s="76">
        <f>IF($A$95="",0,COUNTIF('6月'!E4:E34,$A$95)+COUNTIF('6月'!J4:J34,$A$95)+COUNTIF('6月'!O4:O34,$A$95)+COUNTIF('6月'!T4:T34,$A$95)+COUNTIF('6月'!Y4:Y34,$A$95)+COUNTIF('6月'!AD4:AD34,$A$95)+COUNTIF('6月'!AI4:AI34,$A$95)+COUNTIF('6月'!AN4:AN34,$A$95)+COUNTIF('6月'!AS4:AS34,$A$95)+COUNTIF('6月'!AX4:AX34,$A$95)+COUNTIF('6月'!BC4:BC34,$A$95)+COUNTIF('6月'!BH4:BH34,$A$95)+COUNTIF('6月'!BM4:BM34,$A$95)+COUNTIF('6月'!BR4:BR34,$A$95)+COUNTIF('6月'!BW4:BW34,$A$95)+COUNTIF('6月'!CB4:CB34,$A$95)+COUNTIF('6月'!CG4:CG34,$A$95)+COUNTIF('6月'!CL4:CL34,$A$95)+COUNTIF('6月'!CQ4:CQ34,$A$95)+COUNTIF('6月'!CV4:CV34,$A$95)+COUNTIF('6月'!DA4:DA34,$A$95)+COUNTIF('6月'!DF4:DF34,$A$95)+COUNTIF('6月'!DK4:DK34,$A$95)+COUNTIF('6月'!DP4:DP34,$A$95)+COUNTIF('6月'!DU4:DU34,$A$95)+COUNTIF('6月'!DZ4:DZ34,$A$95)+COUNTIF('6月'!EE4:EE34,$A$95)+COUNTIF('6月'!EJ4:EJ34,$A$95)+COUNTIF('6月'!EO4:EO34,$A$95)+COUNTIF('6月'!ET4:ET34,$A$95))</f>
        <v>0</v>
      </c>
      <c r="D95" s="65">
        <f>IF($A$95="",0,B95+C95)</f>
        <v>0</v>
      </c>
    </row>
    <row r="96" spans="1:4" ht="18.95" customHeight="1">
      <c r="A96" s="77" t="str">
        <f>IFERROR(現場マスタ!$C$5,"")</f>
        <v>赤坂</v>
      </c>
      <c r="B96" s="76">
        <f>IF($A$96="",0,COUNTIF('6月'!D4:D34,$A$96)+COUNTIF('6月'!I4:I34,$A$96)+COUNTIF('6月'!N4:N34,$A$96)+COUNTIF('6月'!S4:S34,$A$96)+COUNTIF('6月'!X4:X34,$A$96)+COUNTIF('6月'!AC4:AC34,$A$96)+COUNTIF('6月'!AH4:AH34,$A$96)+COUNTIF('6月'!AM4:AM34,$A$96)+COUNTIF('6月'!AR4:AR34,$A$96)+COUNTIF('6月'!AW4:AW34,$A$96)+COUNTIF('6月'!BB4:BB34,$A$96)+COUNTIF('6月'!BG4:BG34,$A$96)+COUNTIF('6月'!BL4:BL34,$A$96)+COUNTIF('6月'!BQ4:BQ34,$A$96)+COUNTIF('6月'!BV4:BV34,$A$96)+COUNTIF('6月'!CA4:CA34,$A$96)+COUNTIF('6月'!CF4:CF34,$A$96)+COUNTIF('6月'!CK4:CK34,$A$96)+COUNTIF('6月'!CP4:CP34,$A$96)+COUNTIF('6月'!CU4:CU34,$A$96)+COUNTIF('6月'!CZ4:CZ34,$A$96)+COUNTIF('6月'!DE4:DE34,$A$96)+COUNTIF('6月'!DJ4:DJ34,$A$96)+COUNTIF('6月'!DO4:DO34,$A$96)+COUNTIF('6月'!DT4:DT34,$A$96)+COUNTIF('6月'!DY4:DY34,$A$96)+COUNTIF('6月'!ED4:ED34,$A$96)+COUNTIF('6月'!EI4:EI34,$A$96)+COUNTIF('6月'!EN4:EN34,$A$96)+COUNTIF('6月'!ES4:ES34,$A$96))</f>
        <v>0</v>
      </c>
      <c r="C96" s="76">
        <f>IF($A$96="",0,COUNTIF('6月'!E4:E34,$A$96)+COUNTIF('6月'!J4:J34,$A$96)+COUNTIF('6月'!O4:O34,$A$96)+COUNTIF('6月'!T4:T34,$A$96)+COUNTIF('6月'!Y4:Y34,$A$96)+COUNTIF('6月'!AD4:AD34,$A$96)+COUNTIF('6月'!AI4:AI34,$A$96)+COUNTIF('6月'!AN4:AN34,$A$96)+COUNTIF('6月'!AS4:AS34,$A$96)+COUNTIF('6月'!AX4:AX34,$A$96)+COUNTIF('6月'!BC4:BC34,$A$96)+COUNTIF('6月'!BH4:BH34,$A$96)+COUNTIF('6月'!BM4:BM34,$A$96)+COUNTIF('6月'!BR4:BR34,$A$96)+COUNTIF('6月'!BW4:BW34,$A$96)+COUNTIF('6月'!CB4:CB34,$A$96)+COUNTIF('6月'!CG4:CG34,$A$96)+COUNTIF('6月'!CL4:CL34,$A$96)+COUNTIF('6月'!CQ4:CQ34,$A$96)+COUNTIF('6月'!CV4:CV34,$A$96)+COUNTIF('6月'!DA4:DA34,$A$96)+COUNTIF('6月'!DF4:DF34,$A$96)+COUNTIF('6月'!DK4:DK34,$A$96)+COUNTIF('6月'!DP4:DP34,$A$96)+COUNTIF('6月'!DU4:DU34,$A$96)+COUNTIF('6月'!DZ4:DZ34,$A$96)+COUNTIF('6月'!EE4:EE34,$A$96)+COUNTIF('6月'!EJ4:EJ34,$A$96)+COUNTIF('6月'!EO4:EO34,$A$96)+COUNTIF('6月'!ET4:ET34,$A$96))</f>
        <v>0</v>
      </c>
      <c r="D96" s="65">
        <f>IF($A$96="",0,B96+C96)</f>
        <v>0</v>
      </c>
    </row>
    <row r="97" spans="1:4" ht="18.95" customHeight="1">
      <c r="A97" s="77" t="str">
        <f>IFERROR(現場マスタ!$C$6,"")</f>
        <v>渋谷ヒカリエ</v>
      </c>
      <c r="B97" s="76">
        <f>IF($A$97="",0,COUNTIF('6月'!D4:D34,$A$97)+COUNTIF('6月'!I4:I34,$A$97)+COUNTIF('6月'!N4:N34,$A$97)+COUNTIF('6月'!S4:S34,$A$97)+COUNTIF('6月'!X4:X34,$A$97)+COUNTIF('6月'!AC4:AC34,$A$97)+COUNTIF('6月'!AH4:AH34,$A$97)+COUNTIF('6月'!AM4:AM34,$A$97)+COUNTIF('6月'!AR4:AR34,$A$97)+COUNTIF('6月'!AW4:AW34,$A$97)+COUNTIF('6月'!BB4:BB34,$A$97)+COUNTIF('6月'!BG4:BG34,$A$97)+COUNTIF('6月'!BL4:BL34,$A$97)+COUNTIF('6月'!BQ4:BQ34,$A$97)+COUNTIF('6月'!BV4:BV34,$A$97)+COUNTIF('6月'!CA4:CA34,$A$97)+COUNTIF('6月'!CF4:CF34,$A$97)+COUNTIF('6月'!CK4:CK34,$A$97)+COUNTIF('6月'!CP4:CP34,$A$97)+COUNTIF('6月'!CU4:CU34,$A$97)+COUNTIF('6月'!CZ4:CZ34,$A$97)+COUNTIF('6月'!DE4:DE34,$A$97)+COUNTIF('6月'!DJ4:DJ34,$A$97)+COUNTIF('6月'!DO4:DO34,$A$97)+COUNTIF('6月'!DT4:DT34,$A$97)+COUNTIF('6月'!DY4:DY34,$A$97)+COUNTIF('6月'!ED4:ED34,$A$97)+COUNTIF('6月'!EI4:EI34,$A$97)+COUNTIF('6月'!EN4:EN34,$A$97)+COUNTIF('6月'!ES4:ES34,$A$97))</f>
        <v>0</v>
      </c>
      <c r="C97" s="76">
        <f>IF($A$97="",0,COUNTIF('6月'!E4:E34,$A$97)+COUNTIF('6月'!J4:J34,$A$97)+COUNTIF('6月'!O4:O34,$A$97)+COUNTIF('6月'!T4:T34,$A$97)+COUNTIF('6月'!Y4:Y34,$A$97)+COUNTIF('6月'!AD4:AD34,$A$97)+COUNTIF('6月'!AI4:AI34,$A$97)+COUNTIF('6月'!AN4:AN34,$A$97)+COUNTIF('6月'!AS4:AS34,$A$97)+COUNTIF('6月'!AX4:AX34,$A$97)+COUNTIF('6月'!BC4:BC34,$A$97)+COUNTIF('6月'!BH4:BH34,$A$97)+COUNTIF('6月'!BM4:BM34,$A$97)+COUNTIF('6月'!BR4:BR34,$A$97)+COUNTIF('6月'!BW4:BW34,$A$97)+COUNTIF('6月'!CB4:CB34,$A$97)+COUNTIF('6月'!CG4:CG34,$A$97)+COUNTIF('6月'!CL4:CL34,$A$97)+COUNTIF('6月'!CQ4:CQ34,$A$97)+COUNTIF('6月'!CV4:CV34,$A$97)+COUNTIF('6月'!DA4:DA34,$A$97)+COUNTIF('6月'!DF4:DF34,$A$97)+COUNTIF('6月'!DK4:DK34,$A$97)+COUNTIF('6月'!DP4:DP34,$A$97)+COUNTIF('6月'!DU4:DU34,$A$97)+COUNTIF('6月'!DZ4:DZ34,$A$97)+COUNTIF('6月'!EE4:EE34,$A$97)+COUNTIF('6月'!EJ4:EJ34,$A$97)+COUNTIF('6月'!EO4:EO34,$A$97)+COUNTIF('6月'!ET4:ET34,$A$97))</f>
        <v>0</v>
      </c>
      <c r="D97" s="65">
        <f>IF($A$97="",0,B97+C97)</f>
        <v>0</v>
      </c>
    </row>
    <row r="98" spans="1:4" ht="18.95" customHeight="1">
      <c r="A98" s="77" t="str">
        <f>IFERROR(現場マスタ!$C$7,"")</f>
        <v>六本木ヒルズ</v>
      </c>
      <c r="B98" s="76">
        <f>IF($A$98="",0,COUNTIF('6月'!D4:D34,$A$98)+COUNTIF('6月'!I4:I34,$A$98)+COUNTIF('6月'!N4:N34,$A$98)+COUNTIF('6月'!S4:S34,$A$98)+COUNTIF('6月'!X4:X34,$A$98)+COUNTIF('6月'!AC4:AC34,$A$98)+COUNTIF('6月'!AH4:AH34,$A$98)+COUNTIF('6月'!AM4:AM34,$A$98)+COUNTIF('6月'!AR4:AR34,$A$98)+COUNTIF('6月'!AW4:AW34,$A$98)+COUNTIF('6月'!BB4:BB34,$A$98)+COUNTIF('6月'!BG4:BG34,$A$98)+COUNTIF('6月'!BL4:BL34,$A$98)+COUNTIF('6月'!BQ4:BQ34,$A$98)+COUNTIF('6月'!BV4:BV34,$A$98)+COUNTIF('6月'!CA4:CA34,$A$98)+COUNTIF('6月'!CF4:CF34,$A$98)+COUNTIF('6月'!CK4:CK34,$A$98)+COUNTIF('6月'!CP4:CP34,$A$98)+COUNTIF('6月'!CU4:CU34,$A$98)+COUNTIF('6月'!CZ4:CZ34,$A$98)+COUNTIF('6月'!DE4:DE34,$A$98)+COUNTIF('6月'!DJ4:DJ34,$A$98)+COUNTIF('6月'!DO4:DO34,$A$98)+COUNTIF('6月'!DT4:DT34,$A$98)+COUNTIF('6月'!DY4:DY34,$A$98)+COUNTIF('6月'!ED4:ED34,$A$98)+COUNTIF('6月'!EI4:EI34,$A$98)+COUNTIF('6月'!EN4:EN34,$A$98)+COUNTIF('6月'!ES4:ES34,$A$98)+COUNTIF('6月'!D4:D34,"渋谷-夜勤")+COUNTIF('6月'!I4:I34,"渋谷-夜勤")+COUNTIF('6月'!N4:N34,"渋谷-夜勤")+COUNTIF('6月'!S4:S34,"渋谷-夜勤")+COUNTIF('6月'!X4:X34,"渋谷-夜勤")+COUNTIF('6月'!AC4:AC34,"渋谷-夜勤")+COUNTIF('6月'!AH4:AH34,"渋谷-夜勤")+COUNTIF('6月'!AM4:AM34,"渋谷-夜勤")+COUNTIF('6月'!AR4:AR34,"渋谷-夜勤")+COUNTIF('6月'!AW4:AW34,"渋谷-夜勤")+COUNTIF('6月'!BB4:BB34,"渋谷-夜勤")+COUNTIF('6月'!BG4:BG34,"渋谷-夜勤")+COUNTIF('6月'!BL4:BL34,"渋谷-夜勤")+COUNTIF('6月'!BQ4:BQ34,"渋谷-夜勤")+COUNTIF('6月'!BV4:BV34,"渋谷-夜勤")+COUNTIF('6月'!CA4:CA34,"渋谷-夜勤")+COUNTIF('6月'!CF4:CF34,"渋谷-夜勤")+COUNTIF('6月'!CK4:CK34,"渋谷-夜勤")+COUNTIF('6月'!CP4:CP34,"渋谷-夜勤")+COUNTIF('6月'!CU4:CU34,"渋谷-夜勤")+COUNTIF('6月'!CZ4:CZ34,"渋谷-夜勤")+COUNTIF('6月'!DE4:DE34,"渋谷-夜勤")+COUNTIF('6月'!DJ4:DJ34,"渋谷-夜勤")+COUNTIF('6月'!DO4:DO34,"渋谷-夜勤")+COUNTIF('6月'!DT4:DT34,"渋谷-夜勤")+COUNTIF('6月'!DY4:DY34,"渋谷-夜勤")+COUNTIF('6月'!ED4:ED34,"渋谷-夜勤")+COUNTIF('6月'!EI4:EI34,"渋谷-夜勤")+COUNTIF('6月'!EN4:EN34,"渋谷-夜勤")+COUNTIF('6月'!ES4:ES34,"渋谷-夜勤"))</f>
        <v>0</v>
      </c>
      <c r="C98" s="76">
        <f>IF($A$98="",0,COUNTIF('6月'!E4:E34,$A$98)+COUNTIF('6月'!J4:J34,$A$98)+COUNTIF('6月'!O4:O34,$A$98)+COUNTIF('6月'!T4:T34,$A$98)+COUNTIF('6月'!Y4:Y34,$A$98)+COUNTIF('6月'!AD4:AD34,$A$98)+COUNTIF('6月'!AI4:AI34,$A$98)+COUNTIF('6月'!AN4:AN34,$A$98)+COUNTIF('6月'!AS4:AS34,$A$98)+COUNTIF('6月'!AX4:AX34,$A$98)+COUNTIF('6月'!BC4:BC34,$A$98)+COUNTIF('6月'!BH4:BH34,$A$98)+COUNTIF('6月'!BM4:BM34,$A$98)+COUNTIF('6月'!BR4:BR34,$A$98)+COUNTIF('6月'!BW4:BW34,$A$98)+COUNTIF('6月'!CB4:CB34,$A$98)+COUNTIF('6月'!CG4:CG34,$A$98)+COUNTIF('6月'!CL4:CL34,$A$98)+COUNTIF('6月'!CQ4:CQ34,$A$98)+COUNTIF('6月'!CV4:CV34,$A$98)+COUNTIF('6月'!DA4:DA34,$A$98)+COUNTIF('6月'!DF4:DF34,$A$98)+COUNTIF('6月'!DK4:DK34,$A$98)+COUNTIF('6月'!DP4:DP34,$A$98)+COUNTIF('6月'!DU4:DU34,$A$98)+COUNTIF('6月'!DZ4:DZ34,$A$98)+COUNTIF('6月'!EE4:EE34,$A$98)+COUNTIF('6月'!EJ4:EJ34,$A$98)+COUNTIF('6月'!EO4:EO34,$A$98)+COUNTIF('6月'!ET4:ET34,$A$98)+COUNTIF('6月'!E4:E34,"渋谷-夜勤")+COUNTIF('6月'!J4:J34,"渋谷-夜勤")+COUNTIF('6月'!O4:O34,"渋谷-夜勤")+COUNTIF('6月'!T4:T34,"渋谷-夜勤")+COUNTIF('6月'!Y4:Y34,"渋谷-夜勤")+COUNTIF('6月'!AD4:AD34,"渋谷-夜勤")+COUNTIF('6月'!AI4:AI34,"渋谷-夜勤")+COUNTIF('6月'!AN4:AN34,"渋谷-夜勤")+COUNTIF('6月'!AS4:AS34,"渋谷-夜勤")+COUNTIF('6月'!AX4:AX34,"渋谷-夜勤")+COUNTIF('6月'!BC4:BC34,"渋谷-夜勤")+COUNTIF('6月'!BH4:BH34,"渋谷-夜勤")+COUNTIF('6月'!BM4:BM34,"渋谷-夜勤")+COUNTIF('6月'!BR4:BR34,"渋谷-夜勤")+COUNTIF('6月'!BW4:BW34,"渋谷-夜勤")+COUNTIF('6月'!CB4:CB34,"渋谷-夜勤")+COUNTIF('6月'!CG4:CG34,"渋谷-夜勤")+COUNTIF('6月'!CL4:CL34,"渋谷-夜勤")+COUNTIF('6月'!CQ4:CQ34,"渋谷-夜勤")+COUNTIF('6月'!CV4:CV34,"渋谷-夜勤")+COUNTIF('6月'!DA4:DA34,"渋谷-夜勤")+COUNTIF('6月'!DF4:DF34,"渋谷-夜勤")+COUNTIF('6月'!DK4:DK34,"渋谷-夜勤")+COUNTIF('6月'!DP4:DP34,"渋谷-夜勤")+COUNTIF('6月'!DU4:DU34,"渋谷-夜勤")+COUNTIF('6月'!DZ4:DZ34,"渋谷-夜勤")+COUNTIF('6月'!EE4:EE34,"渋谷-夜勤")+COUNTIF('6月'!EJ4:EJ34,"渋谷-夜勤")+COUNTIF('6月'!EO4:EO34,"渋谷-夜勤")+COUNTIF('6月'!ET4:ET34,"渋谷-夜勤"))</f>
        <v>0</v>
      </c>
      <c r="D98" s="65">
        <f>IF($A$98="",0,B98+C98)</f>
        <v>0</v>
      </c>
    </row>
    <row r="99" spans="1:4" ht="18.95" customHeight="1">
      <c r="A99" s="77" t="str">
        <f>IFERROR(現場マスタ!$C$10,"")</f>
        <v>有給</v>
      </c>
      <c r="B99" s="76">
        <f>IF($A$99="",0,COUNTIF('6月'!D4:D34,$A$99)+COUNTIF('6月'!I4:I34,$A$99)+COUNTIF('6月'!N4:N34,$A$99)+COUNTIF('6月'!S4:S34,$A$99)+COUNTIF('6月'!X4:X34,$A$99)+COUNTIF('6月'!AC4:AC34,$A$99)+COUNTIF('6月'!AH4:AH34,$A$99)+COUNTIF('6月'!AM4:AM34,$A$99)+COUNTIF('6月'!AR4:AR34,$A$99)+COUNTIF('6月'!AW4:AW34,$A$99)+COUNTIF('6月'!BB4:BB34,$A$99)+COUNTIF('6月'!BG4:BG34,$A$99)+COUNTIF('6月'!BL4:BL34,$A$99)+COUNTIF('6月'!BQ4:BQ34,$A$99)+COUNTIF('6月'!BV4:BV34,$A$99)+COUNTIF('6月'!CA4:CA34,$A$99)+COUNTIF('6月'!CF4:CF34,$A$99)+COUNTIF('6月'!CK4:CK34,$A$99)+COUNTIF('6月'!CP4:CP34,$A$99)+COUNTIF('6月'!CU4:CU34,$A$99)+COUNTIF('6月'!CZ4:CZ34,$A$99)+COUNTIF('6月'!DE4:DE34,$A$99)+COUNTIF('6月'!DJ4:DJ34,$A$99)+COUNTIF('6月'!DO4:DO34,$A$99)+COUNTIF('6月'!DT4:DT34,$A$99)+COUNTIF('6月'!DY4:DY34,$A$99)+COUNTIF('6月'!ED4:ED34,$A$99)+COUNTIF('6月'!EI4:EI34,$A$99)+COUNTIF('6月'!EN4:EN34,$A$99)+COUNTIF('6月'!ES4:ES34,$A$99)+COUNTIF('6月'!D4:D34,"六本木-夜勤")+COUNTIF('6月'!I4:I34,"六本木-夜勤")+COUNTIF('6月'!N4:N34,"六本木-夜勤")+COUNTIF('6月'!S4:S34,"六本木-夜勤")+COUNTIF('6月'!X4:X34,"六本木-夜勤")+COUNTIF('6月'!AC4:AC34,"六本木-夜勤")+COUNTIF('6月'!AH4:AH34,"六本木-夜勤")+COUNTIF('6月'!AM4:AM34,"六本木-夜勤")+COUNTIF('6月'!AR4:AR34,"六本木-夜勤")+COUNTIF('6月'!AW4:AW34,"六本木-夜勤")+COUNTIF('6月'!BB4:BB34,"六本木-夜勤")+COUNTIF('6月'!BG4:BG34,"六本木-夜勤")+COUNTIF('6月'!BL4:BL34,"六本木-夜勤")+COUNTIF('6月'!BQ4:BQ34,"六本木-夜勤")+COUNTIF('6月'!BV4:BV34,"六本木-夜勤")+COUNTIF('6月'!CA4:CA34,"六本木-夜勤")+COUNTIF('6月'!CF4:CF34,"六本木-夜勤")+COUNTIF('6月'!CK4:CK34,"六本木-夜勤")+COUNTIF('6月'!CP4:CP34,"六本木-夜勤")+COUNTIF('6月'!CU4:CU34,"六本木-夜勤")+COUNTIF('6月'!CZ4:CZ34,"六本木-夜勤")+COUNTIF('6月'!DE4:DE34,"六本木-夜勤")+COUNTIF('6月'!DJ4:DJ34,"六本木-夜勤")+COUNTIF('6月'!DO4:DO34,"六本木-夜勤")+COUNTIF('6月'!DT4:DT34,"六本木-夜勤")+COUNTIF('6月'!DY4:DY34,"六本木-夜勤")+COUNTIF('6月'!ED4:ED34,"六本木-夜勤")+COUNTIF('6月'!EI4:EI34,"六本木-夜勤")+COUNTIF('6月'!EN4:EN34,"六本木-夜勤")+COUNTIF('6月'!ES4:ES34,"六本木-夜勤")+COUNTIF('6月'!D4:D34,"六本木ー夜勤")+COUNTIF('6月'!I4:I34,"六本木ー夜勤")+COUNTIF('6月'!N4:N34,"六本木ー夜勤")+COUNTIF('6月'!S4:S34,"六本木ー夜勤")+COUNTIF('6月'!X4:X34,"六本木ー夜勤")+COUNTIF('6月'!AC4:AC34,"六本木ー夜勤")+COUNTIF('6月'!AH4:AH34,"六本木ー夜勤")+COUNTIF('6月'!AM4:AM34,"六本木ー夜勤")+COUNTIF('6月'!AR4:AR34,"六本木ー夜勤")+COUNTIF('6月'!AW4:AW34,"六本木ー夜勤")+COUNTIF('6月'!BB4:BB34,"六本木ー夜勤")+COUNTIF('6月'!BG4:BG34,"六本木ー夜勤")+COUNTIF('6月'!BL4:BL34,"六本木ー夜勤")+COUNTIF('6月'!BQ4:BQ34,"六本木ー夜勤")+COUNTIF('6月'!BV4:BV34,"六本木ー夜勤")+COUNTIF('6月'!CA4:CA34,"六本木ー夜勤")+COUNTIF('6月'!CF4:CF34,"六本木ー夜勤")+COUNTIF('6月'!CK4:CK34,"六本木ー夜勤")+COUNTIF('6月'!CP4:CP34,"六本木ー夜勤")+COUNTIF('6月'!CU4:CU34,"六本木ー夜勤")+COUNTIF('6月'!CZ4:CZ34,"六本木ー夜勤")+COUNTIF('6月'!DE4:DE34,"六本木ー夜勤")+COUNTIF('6月'!DJ4:DJ34,"六本木ー夜勤")+COUNTIF('6月'!DO4:DO34,"六本木ー夜勤")+COUNTIF('6月'!DT4:DT34,"六本木ー夜勤")+COUNTIF('6月'!DY4:DY34,"六本木ー夜勤")+COUNTIF('6月'!ED4:ED34,"六本木ー夜勤")+COUNTIF('6月'!EI4:EI34,"六本木ー夜勤")+COUNTIF('6月'!EN4:EN34,"六本木ー夜勤")+COUNTIF('6月'!ES4:ES34,"六本木ー夜勤"))</f>
        <v>0</v>
      </c>
      <c r="C99" s="76">
        <f>IF($A$99="",0,COUNTIF('6月'!E4:E34,$A$99)+COUNTIF('6月'!J4:J34,$A$99)+COUNTIF('6月'!O4:O34,$A$99)+COUNTIF('6月'!T4:T34,$A$99)+COUNTIF('6月'!Y4:Y34,$A$99)+COUNTIF('6月'!AD4:AD34,$A$99)+COUNTIF('6月'!AI4:AI34,$A$99)+COUNTIF('6月'!AN4:AN34,$A$99)+COUNTIF('6月'!AS4:AS34,$A$99)+COUNTIF('6月'!AX4:AX34,$A$99)+COUNTIF('6月'!BC4:BC34,$A$99)+COUNTIF('6月'!BH4:BH34,$A$99)+COUNTIF('6月'!BM4:BM34,$A$99)+COUNTIF('6月'!BR4:BR34,$A$99)+COUNTIF('6月'!BW4:BW34,$A$99)+COUNTIF('6月'!CB4:CB34,$A$99)+COUNTIF('6月'!CG4:CG34,$A$99)+COUNTIF('6月'!CL4:CL34,$A$99)+COUNTIF('6月'!CQ4:CQ34,$A$99)+COUNTIF('6月'!CV4:CV34,$A$99)+COUNTIF('6月'!DA4:DA34,$A$99)+COUNTIF('6月'!DF4:DF34,$A$99)+COUNTIF('6月'!DK4:DK34,$A$99)+COUNTIF('6月'!DP4:DP34,$A$99)+COUNTIF('6月'!DU4:DU34,$A$99)+COUNTIF('6月'!DZ4:DZ34,$A$99)+COUNTIF('6月'!EE4:EE34,$A$99)+COUNTIF('6月'!EJ4:EJ34,$A$99)+COUNTIF('6月'!EO4:EO34,$A$99)+COUNTIF('6月'!ET4:ET34,$A$99)+COUNTIF('6月'!E4:E34,"六本木-夜勤")+COUNTIF('6月'!J4:J34,"六本木-夜勤")+COUNTIF('6月'!O4:O34,"六本木-夜勤")+COUNTIF('6月'!T4:T34,"六本木-夜勤")+COUNTIF('6月'!Y4:Y34,"六本木-夜勤")+COUNTIF('6月'!AD4:AD34,"六本木-夜勤")+COUNTIF('6月'!AI4:AI34,"六本木-夜勤")+COUNTIF('6月'!AN4:AN34,"六本木-夜勤")+COUNTIF('6月'!AS4:AS34,"六本木-夜勤")+COUNTIF('6月'!AX4:AX34,"六本木-夜勤")+COUNTIF('6月'!BC4:BC34,"六本木-夜勤")+COUNTIF('6月'!BH4:BH34,"六本木-夜勤")+COUNTIF('6月'!BM4:BM34,"六本木-夜勤")+COUNTIF('6月'!BR4:BR34,"六本木-夜勤")+COUNTIF('6月'!BW4:BW34,"六本木-夜勤")+COUNTIF('6月'!CB4:CB34,"六本木-夜勤")+COUNTIF('6月'!CG4:CG34,"六本木-夜勤")+COUNTIF('6月'!CL4:CL34,"六本木-夜勤")+COUNTIF('6月'!CQ4:CQ34,"六本木-夜勤")+COUNTIF('6月'!CV4:CV34,"六本木-夜勤")+COUNTIF('6月'!DA4:DA34,"六本木-夜勤")+COUNTIF('6月'!DF4:DF34,"六本木-夜勤")+COUNTIF('6月'!DK4:DK34,"六本木-夜勤")+COUNTIF('6月'!DP4:DP34,"六本木-夜勤")+COUNTIF('6月'!DU4:DU34,"六本木-夜勤")+COUNTIF('6月'!DZ4:DZ34,"六本木-夜勤")+COUNTIF('6月'!EE4:EE34,"六本木-夜勤")+COUNTIF('6月'!EJ4:EJ34,"六本木-夜勤")+COUNTIF('6月'!EO4:EO34,"六本木-夜勤")+COUNTIF('6月'!ET4:ET34,"六本木-夜勤")+COUNTIF('6月'!E4:E34,"六本木ー夜勤")+COUNTIF('6月'!J4:J34,"六本木ー夜勤")+COUNTIF('6月'!O4:O34,"六本木ー夜勤")+COUNTIF('6月'!T4:T34,"六本木ー夜勤")+COUNTIF('6月'!Y4:Y34,"六本木ー夜勤")+COUNTIF('6月'!AD4:AD34,"六本木ー夜勤")+COUNTIF('6月'!AI4:AI34,"六本木ー夜勤")+COUNTIF('6月'!AN4:AN34,"六本木ー夜勤")+COUNTIF('6月'!AS4:AS34,"六本木ー夜勤")+COUNTIF('6月'!AX4:AX34,"六本木ー夜勤")+COUNTIF('6月'!BC4:BC34,"六本木ー夜勤")+COUNTIF('6月'!BH4:BH34,"六本木ー夜勤")+COUNTIF('6月'!BM4:BM34,"六本木ー夜勤")+COUNTIF('6月'!BR4:BR34,"六本木ー夜勤")+COUNTIF('6月'!BW4:BW34,"六本木ー夜勤")+COUNTIF('6月'!CB4:CB34,"六本木ー夜勤")+COUNTIF('6月'!CG4:CG34,"六本木ー夜勤")+COUNTIF('6月'!CL4:CL34,"六本木ー夜勤")+COUNTIF('6月'!CQ4:CQ34,"六本木ー夜勤")+COUNTIF('6月'!CV4:CV34,"六本木ー夜勤")+COUNTIF('6月'!DA4:DA34,"六本木ー夜勤")+COUNTIF('6月'!DF4:DF34,"六本木ー夜勤")+COUNTIF('6月'!DK4:DK34,"六本木ー夜勤")+COUNTIF('6月'!DP4:DP34,"六本木ー夜勤")+COUNTIF('6月'!DU4:DU34,"六本木ー夜勤")+COUNTIF('6月'!DZ4:DZ34,"六本木ー夜勤")+COUNTIF('6月'!EE4:EE34,"六本木ー夜勤")+COUNTIF('6月'!EJ4:EJ34,"六本木ー夜勤")+COUNTIF('6月'!EO4:EO34,"六本木ー夜勤")+COUNTIF('6月'!ET4:ET34,"六本木ー夜勤"))</f>
        <v>0</v>
      </c>
      <c r="D99" s="65">
        <f>IF($A$99="",0,B99+C99)</f>
        <v>0</v>
      </c>
    </row>
    <row r="100" spans="1:4" ht="18.95" customHeight="1">
      <c r="A100" s="77">
        <f>IFERROR(現場マスタ!$C$11,"")</f>
        <v>0</v>
      </c>
      <c r="B100" s="76">
        <v>0</v>
      </c>
      <c r="C100" s="76">
        <v>0</v>
      </c>
      <c r="D100" s="65">
        <v>0</v>
      </c>
    </row>
    <row r="101" spans="1:4" ht="18.95" customHeight="1">
      <c r="A101" s="77">
        <f>IFERROR(現場マスタ!$C$12,"")</f>
        <v>0</v>
      </c>
      <c r="B101" s="76">
        <f>IF($A$101="",0,COUNTIF('6月'!D4:D34,$A$101)+COUNTIF('6月'!I4:I34,$A$101)+COUNTIF('6月'!N4:N34,$A$101)+COUNTIF('6月'!S4:S34,$A$101)+COUNTIF('6月'!X4:X34,$A$101)+COUNTIF('6月'!AC4:AC34,$A$101)+COUNTIF('6月'!AH4:AH34,$A$101)+COUNTIF('6月'!AM4:AM34,$A$101)+COUNTIF('6月'!AR4:AR34,$A$101)+COUNTIF('6月'!AW4:AW34,$A$101)+COUNTIF('6月'!BB4:BB34,$A$101)+COUNTIF('6月'!BG4:BG34,$A$101)+COUNTIF('6月'!BL4:BL34,$A$101)+COUNTIF('6月'!BQ4:BQ34,$A$101)+COUNTIF('6月'!BV4:BV34,$A$101)+COUNTIF('6月'!CA4:CA34,$A$101)+COUNTIF('6月'!CF4:CF34,$A$101)+COUNTIF('6月'!CK4:CK34,$A$101)+COUNTIF('6月'!CP4:CP34,$A$101)+COUNTIF('6月'!CU4:CU34,$A$101)+COUNTIF('6月'!CZ4:CZ34,$A$101)+COUNTIF('6月'!DE4:DE34,$A$101)+COUNTIF('6月'!DJ4:DJ34,$A$101)+COUNTIF('6月'!DO4:DO34,$A$101)+COUNTIF('6月'!DT4:DT34,$A$101)+COUNTIF('6月'!DY4:DY34,$A$101)+COUNTIF('6月'!ED4:ED34,$A$101)+COUNTIF('6月'!EI4:EI34,$A$101)+COUNTIF('6月'!EN4:EN34,$A$101)+COUNTIF('6月'!ES4:ES34,$A$101))</f>
        <v>0</v>
      </c>
      <c r="C101" s="76">
        <f>IF($A$101="",0,COUNTIF('6月'!E4:E34,$A$101)+COUNTIF('6月'!J4:J34,$A$101)+COUNTIF('6月'!O4:O34,$A$101)+COUNTIF('6月'!T4:T34,$A$101)+COUNTIF('6月'!Y4:Y34,$A$101)+COUNTIF('6月'!AD4:AD34,$A$101)+COUNTIF('6月'!AI4:AI34,$A$101)+COUNTIF('6月'!AN4:AN34,$A$101)+COUNTIF('6月'!AS4:AS34,$A$101)+COUNTIF('6月'!AX4:AX34,$A$101)+COUNTIF('6月'!BC4:BC34,$A$101)+COUNTIF('6月'!BH4:BH34,$A$101)+COUNTIF('6月'!BM4:BM34,$A$101)+COUNTIF('6月'!BR4:BR34,$A$101)+COUNTIF('6月'!BW4:BW34,$A$101)+COUNTIF('6月'!CB4:CB34,$A$101)+COUNTIF('6月'!CG4:CG34,$A$101)+COUNTIF('6月'!CL4:CL34,$A$101)+COUNTIF('6月'!CQ4:CQ34,$A$101)+COUNTIF('6月'!CV4:CV34,$A$101)+COUNTIF('6月'!DA4:DA34,$A$101)+COUNTIF('6月'!DF4:DF34,$A$101)+COUNTIF('6月'!DK4:DK34,$A$101)+COUNTIF('6月'!DP4:DP34,$A$101)+COUNTIF('6月'!DU4:DU34,$A$101)+COUNTIF('6月'!DZ4:DZ34,$A$101)+COUNTIF('6月'!EE4:EE34,$A$101)+COUNTIF('6月'!EJ4:EJ34,$A$101)+COUNTIF('6月'!EO4:EO34,$A$101)+COUNTIF('6月'!ET4:ET34,$A$101))</f>
        <v>0</v>
      </c>
      <c r="D101" s="65">
        <f>IF($A$101="",0,B101+C101)</f>
        <v>0</v>
      </c>
    </row>
    <row r="102" spans="1:4" ht="18.95" customHeight="1">
      <c r="A102" s="77">
        <f>IFERROR(現場マスタ!$C$14,"")</f>
        <v>0</v>
      </c>
      <c r="B102" s="76">
        <v>0</v>
      </c>
      <c r="C102" s="76">
        <v>0</v>
      </c>
      <c r="D102" s="65">
        <v>0</v>
      </c>
    </row>
    <row r="103" spans="1:4" ht="18.95" customHeight="1">
      <c r="A103" s="77">
        <f>IFERROR(現場マスタ!$C$15,"")</f>
        <v>0</v>
      </c>
      <c r="B103" s="76">
        <v>0</v>
      </c>
      <c r="C103" s="76">
        <v>0</v>
      </c>
      <c r="D103" s="65">
        <v>0</v>
      </c>
    </row>
    <row r="104" spans="1:4" ht="18.95" customHeight="1">
      <c r="A104" s="77">
        <f>IFERROR(現場マスタ!$C$16,"")</f>
        <v>0</v>
      </c>
      <c r="B104" s="76">
        <f>IF($A$104="",0,COUNTIF('6月'!D4:D34,$A$104)+COUNTIF('6月'!I4:I34,$A$104)+COUNTIF('6月'!N4:N34,$A$104)+COUNTIF('6月'!S4:S34,$A$104)+COUNTIF('6月'!X4:X34,$A$104)+COUNTIF('6月'!AC4:AC34,$A$104)+COUNTIF('6月'!AH4:AH34,$A$104)+COUNTIF('6月'!AM4:AM34,$A$104)+COUNTIF('6月'!AR4:AR34,$A$104)+COUNTIF('6月'!AW4:AW34,$A$104)+COUNTIF('6月'!BB4:BB34,$A$104)+COUNTIF('6月'!BG4:BG34,$A$104)+COUNTIF('6月'!BL4:BL34,$A$104)+COUNTIF('6月'!BQ4:BQ34,$A$104)+COUNTIF('6月'!BV4:BV34,$A$104)+COUNTIF('6月'!CA4:CA34,$A$104)+COUNTIF('6月'!CF4:CF34,$A$104)+COUNTIF('6月'!CK4:CK34,$A$104)+COUNTIF('6月'!CP4:CP34,$A$104)+COUNTIF('6月'!CU4:CU34,$A$104)+COUNTIF('6月'!CZ4:CZ34,$A$104)+COUNTIF('6月'!DE4:DE34,$A$104)+COUNTIF('6月'!DJ4:DJ34,$A$104)+COUNTIF('6月'!DO4:DO34,$A$104)+COUNTIF('6月'!DT4:DT34,$A$104)+COUNTIF('6月'!DY4:DY34,$A$104)+COUNTIF('6月'!ED4:ED34,$A$104)+COUNTIF('6月'!EI4:EI34,$A$104)+COUNTIF('6月'!EN4:EN34,$A$104)+COUNTIF('6月'!ES4:ES34,$A$104)+COUNTIF('6月'!D4:D34,"三軒茶屋－夜勤")+COUNTIF('6月'!I4:I34,"三軒茶屋－夜勤")+COUNTIF('6月'!N4:N34,"三軒茶屋－夜勤")+COUNTIF('6月'!S4:S34,"三軒茶屋－夜勤")+COUNTIF('6月'!X4:X34,"三軒茶屋－夜勤")+COUNTIF('6月'!AC4:AC34,"三軒茶屋－夜勤")+COUNTIF('6月'!AH4:AH34,"三軒茶屋－夜勤")+COUNTIF('6月'!AM4:AM34,"三軒茶屋－夜勤")+COUNTIF('6月'!AR4:AR34,"三軒茶屋－夜勤")+COUNTIF('6月'!AW4:AW34,"三軒茶屋－夜勤")+COUNTIF('6月'!BB4:BB34,"三軒茶屋－夜勤")+COUNTIF('6月'!BG4:BG34,"三軒茶屋－夜勤")+COUNTIF('6月'!BL4:BL34,"三軒茶屋－夜勤")+COUNTIF('6月'!BQ4:BQ34,"三軒茶屋－夜勤")+COUNTIF('6月'!BV4:BV34,"三軒茶屋－夜勤")+COUNTIF('6月'!CA4:CA34,"三軒茶屋－夜勤")+COUNTIF('6月'!CF4:CF34,"三軒茶屋－夜勤")+COUNTIF('6月'!CK4:CK34,"三軒茶屋－夜勤")+COUNTIF('6月'!CP4:CP34,"三軒茶屋－夜勤")+COUNTIF('6月'!CU4:CU34,"三軒茶屋－夜勤")+COUNTIF('6月'!CZ4:CZ34,"三軒茶屋－夜勤")+COUNTIF('6月'!DE4:DE34,"三軒茶屋－夜勤")+COUNTIF('6月'!DJ4:DJ34,"三軒茶屋－夜勤")+COUNTIF('6月'!DO4:DO34,"三軒茶屋－夜勤")+COUNTIF('6月'!DT4:DT34,"三軒茶屋－夜勤")+COUNTIF('6月'!DY4:DY34,"三軒茶屋－夜勤")+COUNTIF('6月'!ED4:ED34,"三軒茶屋－夜勤")+COUNTIF('6月'!EI4:EI34,"三軒茶屋－夜勤")+COUNTIF('6月'!EN4:EN34,"三軒茶屋－夜勤")+COUNTIF('6月'!ES4:ES34,"三軒茶屋－夜勤"))</f>
        <v>0</v>
      </c>
      <c r="C104" s="76">
        <f>IF($A$104="",0,COUNTIF('6月'!E4:E34,$A$104)+COUNTIF('6月'!J4:J34,$A$104)+COUNTIF('6月'!O4:O34,$A$104)+COUNTIF('6月'!T4:T34,$A$104)+COUNTIF('6月'!Y4:Y34,$A$104)+COUNTIF('6月'!AD4:AD34,$A$104)+COUNTIF('6月'!AI4:AI34,$A$104)+COUNTIF('6月'!AN4:AN34,$A$104)+COUNTIF('6月'!AS4:AS34,$A$104)+COUNTIF('6月'!AX4:AX34,$A$104)+COUNTIF('6月'!BC4:BC34,$A$104)+COUNTIF('6月'!BH4:BH34,$A$104)+COUNTIF('6月'!BM4:BM34,$A$104)+COUNTIF('6月'!BR4:BR34,$A$104)+COUNTIF('6月'!BW4:BW34,$A$104)+COUNTIF('6月'!CB4:CB34,$A$104)+COUNTIF('6月'!CG4:CG34,$A$104)+COUNTIF('6月'!CL4:CL34,$A$104)+COUNTIF('6月'!CQ4:CQ34,$A$104)+COUNTIF('6月'!CV4:CV34,$A$104)+COUNTIF('6月'!DA4:DA34,$A$104)+COUNTIF('6月'!DF4:DF34,$A$104)+COUNTIF('6月'!DK4:DK34,$A$104)+COUNTIF('6月'!DP4:DP34,$A$104)+COUNTIF('6月'!DU4:DU34,$A$104)+COUNTIF('6月'!DZ4:DZ34,$A$104)+COUNTIF('6月'!EE4:EE34,$A$104)+COUNTIF('6月'!EJ4:EJ34,$A$104)+COUNTIF('6月'!EO4:EO34,$A$104)+COUNTIF('6月'!ET4:ET34,$A$104)+COUNTIF('6月'!E4:E34,"三軒茶屋－夜勤")+COUNTIF('6月'!J4:J34,"三軒茶屋－夜勤")+COUNTIF('6月'!O4:O34,"三軒茶屋－夜勤")+COUNTIF('6月'!T4:T34,"三軒茶屋－夜勤")+COUNTIF('6月'!Y4:Y34,"三軒茶屋－夜勤")+COUNTIF('6月'!AD4:AD34,"三軒茶屋－夜勤")+COUNTIF('6月'!AI4:AI34,"三軒茶屋－夜勤")+COUNTIF('6月'!AN4:AN34,"三軒茶屋－夜勤")+COUNTIF('6月'!AS4:AS34,"三軒茶屋－夜勤")+COUNTIF('6月'!AX4:AX34,"三軒茶屋－夜勤")+COUNTIF('6月'!BC4:BC34,"三軒茶屋－夜勤")+COUNTIF('6月'!BH4:BH34,"三軒茶屋－夜勤")+COUNTIF('6月'!BM4:BM34,"三軒茶屋－夜勤")+COUNTIF('6月'!BR4:BR34,"三軒茶屋－夜勤")+COUNTIF('6月'!BW4:BW34,"三軒茶屋－夜勤")+COUNTIF('6月'!CB4:CB34,"三軒茶屋－夜勤")+COUNTIF('6月'!CG4:CG34,"三軒茶屋－夜勤")+COUNTIF('6月'!CL4:CL34,"三軒茶屋－夜勤")+COUNTIF('6月'!CQ4:CQ34,"三軒茶屋－夜勤")+COUNTIF('6月'!CV4:CV34,"三軒茶屋－夜勤")+COUNTIF('6月'!DA4:DA34,"三軒茶屋－夜勤")+COUNTIF('6月'!DF4:DF34,"三軒茶屋－夜勤")+COUNTIF('6月'!DK4:DK34,"三軒茶屋－夜勤")+COUNTIF('6月'!DP4:DP34,"三軒茶屋－夜勤")+COUNTIF('6月'!DU4:DU34,"三軒茶屋－夜勤")+COUNTIF('6月'!DZ4:DZ34,"三軒茶屋－夜勤")+COUNTIF('6月'!EE4:EE34,"三軒茶屋－夜勤")+COUNTIF('6月'!EJ4:EJ34,"三軒茶屋－夜勤")+COUNTIF('6月'!EO4:EO34,"三軒茶屋－夜勤")+COUNTIF('6月'!ET4:ET34,"三軒茶屋－夜勤"))</f>
        <v>0</v>
      </c>
      <c r="D104" s="65">
        <f>IF($A$104="",0,B104+C104)</f>
        <v>0</v>
      </c>
    </row>
    <row r="105" spans="1:4" ht="18.95" customHeight="1">
      <c r="A105" s="77">
        <f>IFERROR(現場マスタ!$C$17,"")</f>
        <v>0</v>
      </c>
      <c r="B105" s="76">
        <f>IF($A$105="",0,COUNTIF('6月'!D4:D34,$A$105)+COUNTIF('6月'!I4:I34,$A$105)+COUNTIF('6月'!N4:N34,$A$105)+COUNTIF('6月'!S4:S34,$A$105)+COUNTIF('6月'!X4:X34,$A$105)+COUNTIF('6月'!AC4:AC34,$A$105)+COUNTIF('6月'!AH4:AH34,$A$105)+COUNTIF('6月'!AM4:AM34,$A$105)+COUNTIF('6月'!AR4:AR34,$A$105)+COUNTIF('6月'!AW4:AW34,$A$105)+COUNTIF('6月'!BB4:BB34,$A$105)+COUNTIF('6月'!BG4:BG34,$A$105)+COUNTIF('6月'!BL4:BL34,$A$105)+COUNTIF('6月'!BQ4:BQ34,$A$105)+COUNTIF('6月'!BV4:BV34,$A$105)+COUNTIF('6月'!CA4:CA34,$A$105)+COUNTIF('6月'!CF4:CF34,$A$105)+COUNTIF('6月'!CK4:CK34,$A$105)+COUNTIF('6月'!CP4:CP34,$A$105)+COUNTIF('6月'!CU4:CU34,$A$105)+COUNTIF('6月'!CZ4:CZ34,$A$105)+COUNTIF('6月'!DE4:DE34,$A$105)+COUNTIF('6月'!DJ4:DJ34,$A$105)+COUNTIF('6月'!DO4:DO34,$A$105)+COUNTIF('6月'!DT4:DT34,$A$105)+COUNTIF('6月'!DY4:DY34,$A$105)+COUNTIF('6月'!ED4:ED34,$A$105)+COUNTIF('6月'!EI4:EI34,$A$105)+COUNTIF('6月'!EN4:EN34,$A$105)+COUNTIF('6月'!ES4:ES34,$A$105)+COUNTIF('6月'!D4:D34,"荻窪ー夜勤")+COUNTIF('6月'!I4:I34,"荻窪ー夜勤")+COUNTIF('6月'!N4:N34,"荻窪ー夜勤")+COUNTIF('6月'!S4:S34,"荻窪ー夜勤")+COUNTIF('6月'!X4:X34,"荻窪ー夜勤")+COUNTIF('6月'!AC4:AC34,"荻窪ー夜勤")+COUNTIF('6月'!AH4:AH34,"荻窪ー夜勤")+COUNTIF('6月'!AM4:AM34,"荻窪ー夜勤")+COUNTIF('6月'!AR4:AR34,"荻窪ー夜勤")+COUNTIF('6月'!AW4:AW34,"荻窪ー夜勤")+COUNTIF('6月'!BB4:BB34,"荻窪ー夜勤")+COUNTIF('6月'!BG4:BG34,"荻窪ー夜勤")+COUNTIF('6月'!BL4:BL34,"荻窪ー夜勤")+COUNTIF('6月'!BQ4:BQ34,"荻窪ー夜勤")+COUNTIF('6月'!BV4:BV34,"荻窪ー夜勤")+COUNTIF('6月'!CA4:CA34,"荻窪ー夜勤")+COUNTIF('6月'!CF4:CF34,"荻窪ー夜勤")+COUNTIF('6月'!CK4:CK34,"荻窪ー夜勤")+COUNTIF('6月'!CP4:CP34,"荻窪ー夜勤")+COUNTIF('6月'!CU4:CU34,"荻窪ー夜勤")+COUNTIF('6月'!CZ4:CZ34,"荻窪ー夜勤")+COUNTIF('6月'!DE4:DE34,"荻窪ー夜勤")+COUNTIF('6月'!DJ4:DJ34,"荻窪ー夜勤")+COUNTIF('6月'!DO4:DO34,"荻窪ー夜勤")+COUNTIF('6月'!DT4:DT34,"荻窪ー夜勤")+COUNTIF('6月'!DY4:DY34,"荻窪ー夜勤")+COUNTIF('6月'!ED4:ED34,"荻窪ー夜勤")+COUNTIF('6月'!EI4:EI34,"荻窪ー夜勤")+COUNTIF('6月'!EN4:EN34,"荻窪ー夜勤")+COUNTIF('6月'!ES4:ES34,"荻窪ー夜勤"))</f>
        <v>0</v>
      </c>
      <c r="C105" s="76">
        <f>IF($A$105="",0,COUNTIF('6月'!E4:E34,$A$105)+COUNTIF('6月'!J4:J34,$A$105)+COUNTIF('6月'!O4:O34,$A$105)+COUNTIF('6月'!T4:T34,$A$105)+COUNTIF('6月'!Y4:Y34,$A$105)+COUNTIF('6月'!AD4:AD34,$A$105)+COUNTIF('6月'!AI4:AI34,$A$105)+COUNTIF('6月'!AN4:AN34,$A$105)+COUNTIF('6月'!AS4:AS34,$A$105)+COUNTIF('6月'!AX4:AX34,$A$105)+COUNTIF('6月'!BC4:BC34,$A$105)+COUNTIF('6月'!BH4:BH34,$A$105)+COUNTIF('6月'!BM4:BM34,$A$105)+COUNTIF('6月'!BR4:BR34,$A$105)+COUNTIF('6月'!BW4:BW34,$A$105)+COUNTIF('6月'!CB4:CB34,$A$105)+COUNTIF('6月'!CG4:CG34,$A$105)+COUNTIF('6月'!CL4:CL34,$A$105)+COUNTIF('6月'!CQ4:CQ34,$A$105)+COUNTIF('6月'!CV4:CV34,$A$105)+COUNTIF('6月'!DA4:DA34,$A$105)+COUNTIF('6月'!DF4:DF34,$A$105)+COUNTIF('6月'!DK4:DK34,$A$105)+COUNTIF('6月'!DP4:DP34,$A$105)+COUNTIF('6月'!DU4:DU34,$A$105)+COUNTIF('6月'!DZ4:DZ34,$A$105)+COUNTIF('6月'!EE4:EE34,$A$105)+COUNTIF('6月'!EJ4:EJ34,$A$105)+COUNTIF('6月'!EO4:EO34,$A$105)+COUNTIF('6月'!ET4:ET34,$A$105)+COUNTIF('6月'!E4:E34,"荻窪ー夜勤")+COUNTIF('6月'!J4:J34,"荻窪ー夜勤")+COUNTIF('6月'!O4:O34,"荻窪ー夜勤")+COUNTIF('6月'!T4:T34,"荻窪ー夜勤")+COUNTIF('6月'!Y4:Y34,"荻窪ー夜勤")+COUNTIF('6月'!AD4:AD34,"荻窪ー夜勤")+COUNTIF('6月'!AI4:AI34,"荻窪ー夜勤")+COUNTIF('6月'!AN4:AN34,"荻窪ー夜勤")+COUNTIF('6月'!AS4:AS34,"荻窪ー夜勤")+COUNTIF('6月'!AX4:AX34,"荻窪ー夜勤")+COUNTIF('6月'!BC4:BC34,"荻窪ー夜勤")+COUNTIF('6月'!BH4:BH34,"荻窪ー夜勤")+COUNTIF('6月'!BM4:BM34,"荻窪ー夜勤")+COUNTIF('6月'!BR4:BR34,"荻窪ー夜勤")+COUNTIF('6月'!BW4:BW34,"荻窪ー夜勤")+COUNTIF('6月'!CB4:CB34,"荻窪ー夜勤")+COUNTIF('6月'!CG4:CG34,"荻窪ー夜勤")+COUNTIF('6月'!CL4:CL34,"荻窪ー夜勤")+COUNTIF('6月'!CQ4:CQ34,"荻窪ー夜勤")+COUNTIF('6月'!CV4:CV34,"荻窪ー夜勤")+COUNTIF('6月'!DA4:DA34,"荻窪ー夜勤")+COUNTIF('6月'!DF4:DF34,"荻窪ー夜勤")+COUNTIF('6月'!DK4:DK34,"荻窪ー夜勤")+COUNTIF('6月'!DP4:DP34,"荻窪ー夜勤")+COUNTIF('6月'!DU4:DU34,"荻窪ー夜勤")+COUNTIF('6月'!DZ4:DZ34,"荻窪ー夜勤")+COUNTIF('6月'!EE4:EE34,"荻窪ー夜勤")+COUNTIF('6月'!EJ4:EJ34,"荻窪ー夜勤")+COUNTIF('6月'!EO4:EO34,"荻窪ー夜勤")+COUNTIF('6月'!ET4:ET34,"荻窪ー夜勤"))</f>
        <v>0</v>
      </c>
      <c r="D105" s="65">
        <f>IF($A$105="",0,B105+C105)</f>
        <v>0</v>
      </c>
    </row>
    <row r="106" spans="1:4" ht="18.95" customHeight="1">
      <c r="A106" s="77">
        <f>IFERROR(現場マスタ!$C$18,"")</f>
        <v>0</v>
      </c>
      <c r="B106" s="76">
        <f>IF($A$106="",0,COUNTIF('6月'!D4:D34,$A$106)+COUNTIF('6月'!I4:I34,$A$106)+COUNTIF('6月'!N4:N34,$A$106)+COUNTIF('6月'!S4:S34,$A$106)+COUNTIF('6月'!X4:X34,$A$106)+COUNTIF('6月'!AC4:AC34,$A$106)+COUNTIF('6月'!AH4:AH34,$A$106)+COUNTIF('6月'!AM4:AM34,$A$106)+COUNTIF('6月'!AR4:AR34,$A$106)+COUNTIF('6月'!AW4:AW34,$A$106)+COUNTIF('6月'!BB4:BB34,$A$106)+COUNTIF('6月'!BG4:BG34,$A$106)+COUNTIF('6月'!BL4:BL34,$A$106)+COUNTIF('6月'!BQ4:BQ34,$A$106)+COUNTIF('6月'!BV4:BV34,$A$106)+COUNTIF('6月'!CA4:CA34,$A$106)+COUNTIF('6月'!CF4:CF34,$A$106)+COUNTIF('6月'!CK4:CK34,$A$106)+COUNTIF('6月'!CP4:CP34,$A$106)+COUNTIF('6月'!CU4:CU34,$A$106)+COUNTIF('6月'!CZ4:CZ34,$A$106)+COUNTIF('6月'!DE4:DE34,$A$106)+COUNTIF('6月'!DJ4:DJ34,$A$106)+COUNTIF('6月'!DO4:DO34,$A$106)+COUNTIF('6月'!DT4:DT34,$A$106)+COUNTIF('6月'!DY4:DY34,$A$106)+COUNTIF('6月'!ED4:ED34,$A$106)+COUNTIF('6月'!EI4:EI34,$A$106)+COUNTIF('6月'!EN4:EN34,$A$106)+COUNTIF('6月'!ES4:ES34,$A$106))</f>
        <v>0</v>
      </c>
      <c r="C106" s="76">
        <f>IF($A$106="",0,COUNTIF('6月'!E4:E34,$A$106)+COUNTIF('6月'!J4:J34,$A$106)+COUNTIF('6月'!O4:O34,$A$106)+COUNTIF('6月'!T4:T34,$A$106)+COUNTIF('6月'!Y4:Y34,$A$106)+COUNTIF('6月'!AD4:AD34,$A$106)+COUNTIF('6月'!AI4:AI34,$A$106)+COUNTIF('6月'!AN4:AN34,$A$106)+COUNTIF('6月'!AS4:AS34,$A$106)+COUNTIF('6月'!AX4:AX34,$A$106)+COUNTIF('6月'!BC4:BC34,$A$106)+COUNTIF('6月'!BH4:BH34,$A$106)+COUNTIF('6月'!BM4:BM34,$A$106)+COUNTIF('6月'!BR4:BR34,$A$106)+COUNTIF('6月'!BW4:BW34,$A$106)+COUNTIF('6月'!CB4:CB34,$A$106)+COUNTIF('6月'!CG4:CG34,$A$106)+COUNTIF('6月'!CL4:CL34,$A$106)+COUNTIF('6月'!CQ4:CQ34,$A$106)+COUNTIF('6月'!CV4:CV34,$A$106)+COUNTIF('6月'!DA4:DA34,$A$106)+COUNTIF('6月'!DF4:DF34,$A$106)+COUNTIF('6月'!DK4:DK34,$A$106)+COUNTIF('6月'!DP4:DP34,$A$106)+COUNTIF('6月'!DU4:DU34,$A$106)+COUNTIF('6月'!DZ4:DZ34,$A$106)+COUNTIF('6月'!EE4:EE34,$A$106)+COUNTIF('6月'!EJ4:EJ34,$A$106)+COUNTIF('6月'!EO4:EO34,$A$106)+COUNTIF('6月'!ET4:ET34,$A$106))</f>
        <v>0</v>
      </c>
      <c r="D106" s="65">
        <f>IF($A$106="",0,B106+C106)</f>
        <v>0</v>
      </c>
    </row>
    <row r="107" spans="1:4" ht="18.95" customHeight="1">
      <c r="A107" s="77">
        <f>IFERROR(現場マスタ!$C$20,"")</f>
        <v>0</v>
      </c>
      <c r="B107" s="76">
        <f>IF($A$107="",0,COUNTIF('6月'!D4:D34,$A$107)+COUNTIF('6月'!I4:I34,$A$107)+COUNTIF('6月'!N4:N34,$A$107)+COUNTIF('6月'!S4:S34,$A$107)+COUNTIF('6月'!X4:X34,$A$107)+COUNTIF('6月'!AC4:AC34,$A$107)+COUNTIF('6月'!AH4:AH34,$A$107)+COUNTIF('6月'!AM4:AM34,$A$107)+COUNTIF('6月'!AR4:AR34,$A$107)+COUNTIF('6月'!AW4:AW34,$A$107)+COUNTIF('6月'!BB4:BB34,$A$107)+COUNTIF('6月'!BG4:BG34,$A$107)+COUNTIF('6月'!BL4:BL34,$A$107)+COUNTIF('6月'!BQ4:BQ34,$A$107)+COUNTIF('6月'!BV4:BV34,$A$107)+COUNTIF('6月'!CA4:CA34,$A$107)+COUNTIF('6月'!CF4:CF34,$A$107)+COUNTIF('6月'!CK4:CK34,$A$107)+COUNTIF('6月'!CP4:CP34,$A$107)+COUNTIF('6月'!CU4:CU34,$A$107)+COUNTIF('6月'!CZ4:CZ34,$A$107)+COUNTIF('6月'!DE4:DE34,$A$107)+COUNTIF('6月'!DJ4:DJ34,$A$107)+COUNTIF('6月'!DO4:DO34,$A$107)+COUNTIF('6月'!DT4:DT34,$A$107)+COUNTIF('6月'!DY4:DY34,$A$107)+COUNTIF('6月'!ED4:ED34,$A$107)+COUNTIF('6月'!EI4:EI34,$A$107)+COUNTIF('6月'!EN4:EN34,$A$107)+COUNTIF('6月'!ES4:ES34,$A$107))</f>
        <v>0</v>
      </c>
      <c r="C107" s="76">
        <f>IF($A$107="",0,COUNTIF('6月'!E4:E34,$A$107)+COUNTIF('6月'!J4:J34,$A$107)+COUNTIF('6月'!O4:O34,$A$107)+COUNTIF('6月'!T4:T34,$A$107)+COUNTIF('6月'!Y4:Y34,$A$107)+COUNTIF('6月'!AD4:AD34,$A$107)+COUNTIF('6月'!AI4:AI34,$A$107)+COUNTIF('6月'!AN4:AN34,$A$107)+COUNTIF('6月'!AS4:AS34,$A$107)+COUNTIF('6月'!AX4:AX34,$A$107)+COUNTIF('6月'!BC4:BC34,$A$107)+COUNTIF('6月'!BH4:BH34,$A$107)+COUNTIF('6月'!BM4:BM34,$A$107)+COUNTIF('6月'!BR4:BR34,$A$107)+COUNTIF('6月'!BW4:BW34,$A$107)+COUNTIF('6月'!CB4:CB34,$A$107)+COUNTIF('6月'!CG4:CG34,$A$107)+COUNTIF('6月'!CL4:CL34,$A$107)+COUNTIF('6月'!CQ4:CQ34,$A$107)+COUNTIF('6月'!CV4:CV34,$A$107)+COUNTIF('6月'!DA4:DA34,$A$107)+COUNTIF('6月'!DF4:DF34,$A$107)+COUNTIF('6月'!DK4:DK34,$A$107)+COUNTIF('6月'!DP4:DP34,$A$107)+COUNTIF('6月'!DU4:DU34,$A$107)+COUNTIF('6月'!DZ4:DZ34,$A$107)+COUNTIF('6月'!EE4:EE34,$A$107)+COUNTIF('6月'!EJ4:EJ34,$A$107)+COUNTIF('6月'!EO4:EO34,$A$107)+COUNTIF('6月'!ET4:ET34,$A$107))</f>
        <v>0</v>
      </c>
      <c r="D107" s="65">
        <f>IF($A$107="",0,B107+C107)</f>
        <v>0</v>
      </c>
    </row>
    <row r="108" spans="1:4" ht="18.95" customHeight="1">
      <c r="A108" s="77">
        <f>IFERROR(現場マスタ!$C$21,"")</f>
        <v>0</v>
      </c>
      <c r="B108" s="76">
        <f>IF($A$108="",0,COUNTIF('6月'!D4:D34,$A$108)+COUNTIF('6月'!I4:I34,$A$108)+COUNTIF('6月'!N4:N34,$A$108)+COUNTIF('6月'!S4:S34,$A$108)+COUNTIF('6月'!X4:X34,$A$108)+COUNTIF('6月'!AC4:AC34,$A$108)+COUNTIF('6月'!AH4:AH34,$A$108)+COUNTIF('6月'!AM4:AM34,$A$108)+COUNTIF('6月'!AR4:AR34,$A$108)+COUNTIF('6月'!AW4:AW34,$A$108)+COUNTIF('6月'!BB4:BB34,$A$108)+COUNTIF('6月'!BG4:BG34,$A$108)+COUNTIF('6月'!BL4:BL34,$A$108)+COUNTIF('6月'!BQ4:BQ34,$A$108)+COUNTIF('6月'!BV4:BV34,$A$108)+COUNTIF('6月'!CA4:CA34,$A$108)+COUNTIF('6月'!CF4:CF34,$A$108)+COUNTIF('6月'!CK4:CK34,$A$108)+COUNTIF('6月'!CP4:CP34,$A$108)+COUNTIF('6月'!CU4:CU34,$A$108)+COUNTIF('6月'!CZ4:CZ34,$A$108)+COUNTIF('6月'!DE4:DE34,$A$108)+COUNTIF('6月'!DJ4:DJ34,$A$108)+COUNTIF('6月'!DO4:DO34,$A$108)+COUNTIF('6月'!DT4:DT34,$A$108)+COUNTIF('6月'!DY4:DY34,$A$108)+COUNTIF('6月'!ED4:ED34,$A$108)+COUNTIF('6月'!EI4:EI34,$A$108)+COUNTIF('6月'!EN4:EN34,$A$108)+COUNTIF('6月'!ES4:ES34,$A$108))</f>
        <v>0</v>
      </c>
      <c r="C108" s="76">
        <f>IF($A$108="",0,COUNTIF('6月'!E4:E34,$A$108)+COUNTIF('6月'!J4:J34,$A$108)+COUNTIF('6月'!O4:O34,$A$108)+COUNTIF('6月'!T4:T34,$A$108)+COUNTIF('6月'!Y4:Y34,$A$108)+COUNTIF('6月'!AD4:AD34,$A$108)+COUNTIF('6月'!AI4:AI34,$A$108)+COUNTIF('6月'!AN4:AN34,$A$108)+COUNTIF('6月'!AS4:AS34,$A$108)+COUNTIF('6月'!AX4:AX34,$A$108)+COUNTIF('6月'!BC4:BC34,$A$108)+COUNTIF('6月'!BH4:BH34,$A$108)+COUNTIF('6月'!BM4:BM34,$A$108)+COUNTIF('6月'!BR4:BR34,$A$108)+COUNTIF('6月'!BW4:BW34,$A$108)+COUNTIF('6月'!CB4:CB34,$A$108)+COUNTIF('6月'!CG4:CG34,$A$108)+COUNTIF('6月'!CL4:CL34,$A$108)+COUNTIF('6月'!CQ4:CQ34,$A$108)+COUNTIF('6月'!CV4:CV34,$A$108)+COUNTIF('6月'!DA4:DA34,$A$108)+COUNTIF('6月'!DF4:DF34,$A$108)+COUNTIF('6月'!DK4:DK34,$A$108)+COUNTIF('6月'!DP4:DP34,$A$108)+COUNTIF('6月'!DU4:DU34,$A$108)+COUNTIF('6月'!DZ4:DZ34,$A$108)+COUNTIF('6月'!EE4:EE34,$A$108)+COUNTIF('6月'!EJ4:EJ34,$A$108)+COUNTIF('6月'!EO4:EO34,$A$108)+COUNTIF('6月'!ET4:ET34,$A$108))</f>
        <v>0</v>
      </c>
      <c r="D108" s="65">
        <f>IF($A$108="",0,B108+C108)</f>
        <v>0</v>
      </c>
    </row>
    <row r="109" spans="1:4" ht="18.95" customHeight="1">
      <c r="A109" s="77">
        <f>IFERROR(現場マスタ!$C$22,"")</f>
        <v>0</v>
      </c>
      <c r="B109" s="76">
        <f>IF($A$109="",0,COUNTIF('6月'!D4:D34,$A$109)+COUNTIF('6月'!I4:I34,$A$109)+COUNTIF('6月'!N4:N34,$A$109)+COUNTIF('6月'!S4:S34,$A$109)+COUNTIF('6月'!X4:X34,$A$109)+COUNTIF('6月'!AC4:AC34,$A$109)+COUNTIF('6月'!AH4:AH34,$A$109)+COUNTIF('6月'!AM4:AM34,$A$109)+COUNTIF('6月'!AR4:AR34,$A$109)+COUNTIF('6月'!AW4:AW34,$A$109)+COUNTIF('6月'!BB4:BB34,$A$109)+COUNTIF('6月'!BG4:BG34,$A$109)+COUNTIF('6月'!BL4:BL34,$A$109)+COUNTIF('6月'!BQ4:BQ34,$A$109)+COUNTIF('6月'!BV4:BV34,$A$109)+COUNTIF('6月'!CA4:CA34,$A$109)+COUNTIF('6月'!CF4:CF34,$A$109)+COUNTIF('6月'!CK4:CK34,$A$109)+COUNTIF('6月'!CP4:CP34,$A$109)+COUNTIF('6月'!CU4:CU34,$A$109)+COUNTIF('6月'!CZ4:CZ34,$A$109)+COUNTIF('6月'!DE4:DE34,$A$109)+COUNTIF('6月'!DJ4:DJ34,$A$109)+COUNTIF('6月'!DO4:DO34,$A$109)+COUNTIF('6月'!DT4:DT34,$A$109)+COUNTIF('6月'!DY4:DY34,$A$109)+COUNTIF('6月'!ED4:ED34,$A$109)+COUNTIF('6月'!EI4:EI34,$A$109)+COUNTIF('6月'!EN4:EN34,$A$109)+COUNTIF('6月'!ES4:ES34,$A$109))</f>
        <v>0</v>
      </c>
      <c r="C109" s="76">
        <f>IF($A$109="",0,COUNTIF('6月'!E4:E34,$A$109)+COUNTIF('6月'!J4:J34,$A$109)+COUNTIF('6月'!O4:O34,$A$109)+COUNTIF('6月'!T4:T34,$A$109)+COUNTIF('6月'!Y4:Y34,$A$109)+COUNTIF('6月'!AD4:AD34,$A$109)+COUNTIF('6月'!AI4:AI34,$A$109)+COUNTIF('6月'!AN4:AN34,$A$109)+COUNTIF('6月'!AS4:AS34,$A$109)+COUNTIF('6月'!AX4:AX34,$A$109)+COUNTIF('6月'!BC4:BC34,$A$109)+COUNTIF('6月'!BH4:BH34,$A$109)+COUNTIF('6月'!BM4:BM34,$A$109)+COUNTIF('6月'!BR4:BR34,$A$109)+COUNTIF('6月'!BW4:BW34,$A$109)+COUNTIF('6月'!CB4:CB34,$A$109)+COUNTIF('6月'!CG4:CG34,$A$109)+COUNTIF('6月'!CL4:CL34,$A$109)+COUNTIF('6月'!CQ4:CQ34,$A$109)+COUNTIF('6月'!CV4:CV34,$A$109)+COUNTIF('6月'!DA4:DA34,$A$109)+COUNTIF('6月'!DF4:DF34,$A$109)+COUNTIF('6月'!DK4:DK34,$A$109)+COUNTIF('6月'!DP4:DP34,$A$109)+COUNTIF('6月'!DU4:DU34,$A$109)+COUNTIF('6月'!DZ4:DZ34,$A$109)+COUNTIF('6月'!EE4:EE34,$A$109)+COUNTIF('6月'!EJ4:EJ34,$A$109)+COUNTIF('6月'!EO4:EO34,$A$109)+COUNTIF('6月'!ET4:ET34,$A$109))</f>
        <v>0</v>
      </c>
      <c r="D109" s="65">
        <f>IF($A$109="",0,B109+C109)</f>
        <v>0</v>
      </c>
    </row>
    <row r="110" spans="1:4" ht="9.9499999999999993" customHeight="1"/>
    <row r="111" spans="1:4" ht="21.95" customHeight="1">
      <c r="A111" s="112" t="str">
        <f>対象年度&amp;"年 7月"</f>
        <v>2026年 7月</v>
      </c>
      <c r="B111" s="112"/>
      <c r="C111" s="112"/>
      <c r="D111" s="112"/>
    </row>
    <row r="112" spans="1:4" ht="20.100000000000001" customHeight="1">
      <c r="A112" s="60" t="s">
        <v>60</v>
      </c>
      <c r="B112" s="75" t="s">
        <v>110</v>
      </c>
      <c r="C112" s="75" t="s">
        <v>111</v>
      </c>
      <c r="D112" s="65" t="s">
        <v>112</v>
      </c>
    </row>
    <row r="113" spans="1:4" ht="18.95" customHeight="1">
      <c r="A113" s="77" t="str">
        <f>IFERROR(現場マスタ!$C$4,"")</f>
        <v>新宿</v>
      </c>
      <c r="B113" s="76">
        <f>IF($A$113="",0,COUNTIF('7月'!D4:D34,$A$113)+COUNTIF('7月'!I4:I34,$A$113)+COUNTIF('7月'!N4:N34,$A$113)+COUNTIF('7月'!S4:S34,$A$113)+COUNTIF('7月'!X4:X34,$A$113)+COUNTIF('7月'!AC4:AC34,$A$113)+COUNTIF('7月'!AH4:AH34,$A$113)+COUNTIF('7月'!AM4:AM34,$A$113)+COUNTIF('7月'!AR4:AR34,$A$113)+COUNTIF('7月'!AW4:AW34,$A$113)+COUNTIF('7月'!BB4:BB34,$A$113)+COUNTIF('7月'!BG4:BG34,$A$113)+COUNTIF('7月'!BL4:BL34,$A$113)+COUNTIF('7月'!BQ4:BQ34,$A$113)+COUNTIF('7月'!BV4:BV34,$A$113)+COUNTIF('7月'!CA4:CA34,$A$113)+COUNTIF('7月'!CF4:CF34,$A$113)+COUNTIF('7月'!CK4:CK34,$A$113)+COUNTIF('7月'!CP4:CP34,$A$113)+COUNTIF('7月'!CU4:CU34,$A$113)+COUNTIF('7月'!CZ4:CZ34,$A$113)+COUNTIF('7月'!DE4:DE34,$A$113)+COUNTIF('7月'!DJ4:DJ34,$A$113)+COUNTIF('7月'!DO4:DO34,$A$113)+COUNTIF('7月'!DT4:DT34,$A$113)+COUNTIF('7月'!DY4:DY34,$A$113)+COUNTIF('7月'!ED4:ED34,$A$113)+COUNTIF('7月'!EI4:EI34,$A$113)+COUNTIF('7月'!EN4:EN34,$A$113)+COUNTIF('7月'!ES4:ES34,$A$113))</f>
        <v>0</v>
      </c>
      <c r="C113" s="76">
        <f>IF($A$113="",0,COUNTIF('7月'!E4:E34,$A$113)+COUNTIF('7月'!J4:J34,$A$113)+COUNTIF('7月'!O4:O34,$A$113)+COUNTIF('7月'!T4:T34,$A$113)+COUNTIF('7月'!Y4:Y34,$A$113)+COUNTIF('7月'!AD4:AD34,$A$113)+COUNTIF('7月'!AI4:AI34,$A$113)+COUNTIF('7月'!AN4:AN34,$A$113)+COUNTIF('7月'!AS4:AS34,$A$113)+COUNTIF('7月'!AX4:AX34,$A$113)+COUNTIF('7月'!BC4:BC34,$A$113)+COUNTIF('7月'!BH4:BH34,$A$113)+COUNTIF('7月'!BM4:BM34,$A$113)+COUNTIF('7月'!BR4:BR34,$A$113)+COUNTIF('7月'!BW4:BW34,$A$113)+COUNTIF('7月'!CB4:CB34,$A$113)+COUNTIF('7月'!CG4:CG34,$A$113)+COUNTIF('7月'!CL4:CL34,$A$113)+COUNTIF('7月'!CQ4:CQ34,$A$113)+COUNTIF('7月'!CV4:CV34,$A$113)+COUNTIF('7月'!DA4:DA34,$A$113)+COUNTIF('7月'!DF4:DF34,$A$113)+COUNTIF('7月'!DK4:DK34,$A$113)+COUNTIF('7月'!DP4:DP34,$A$113)+COUNTIF('7月'!DU4:DU34,$A$113)+COUNTIF('7月'!DZ4:DZ34,$A$113)+COUNTIF('7月'!EE4:EE34,$A$113)+COUNTIF('7月'!EJ4:EJ34,$A$113)+COUNTIF('7月'!EO4:EO34,$A$113)+COUNTIF('7月'!ET4:ET34,$A$113))</f>
        <v>0</v>
      </c>
      <c r="D113" s="65">
        <f>IF($A$113="",0,B113+C113)</f>
        <v>0</v>
      </c>
    </row>
    <row r="114" spans="1:4" ht="18.95" customHeight="1">
      <c r="A114" s="77" t="str">
        <f>IFERROR(現場マスタ!$C$5,"")</f>
        <v>赤坂</v>
      </c>
      <c r="B114" s="76">
        <f>IF($A$114="",0,COUNTIF('7月'!D4:D34,$A$114)+COUNTIF('7月'!I4:I34,$A$114)+COUNTIF('7月'!N4:N34,$A$114)+COUNTIF('7月'!S4:S34,$A$114)+COUNTIF('7月'!X4:X34,$A$114)+COUNTIF('7月'!AC4:AC34,$A$114)+COUNTIF('7月'!AH4:AH34,$A$114)+COUNTIF('7月'!AM4:AM34,$A$114)+COUNTIF('7月'!AR4:AR34,$A$114)+COUNTIF('7月'!AW4:AW34,$A$114)+COUNTIF('7月'!BB4:BB34,$A$114)+COUNTIF('7月'!BG4:BG34,$A$114)+COUNTIF('7月'!BL4:BL34,$A$114)+COUNTIF('7月'!BQ4:BQ34,$A$114)+COUNTIF('7月'!BV4:BV34,$A$114)+COUNTIF('7月'!CA4:CA34,$A$114)+COUNTIF('7月'!CF4:CF34,$A$114)+COUNTIF('7月'!CK4:CK34,$A$114)+COUNTIF('7月'!CP4:CP34,$A$114)+COUNTIF('7月'!CU4:CU34,$A$114)+COUNTIF('7月'!CZ4:CZ34,$A$114)+COUNTIF('7月'!DE4:DE34,$A$114)+COUNTIF('7月'!DJ4:DJ34,$A$114)+COUNTIF('7月'!DO4:DO34,$A$114)+COUNTIF('7月'!DT4:DT34,$A$114)+COUNTIF('7月'!DY4:DY34,$A$114)+COUNTIF('7月'!ED4:ED34,$A$114)+COUNTIF('7月'!EI4:EI34,$A$114)+COUNTIF('7月'!EN4:EN34,$A$114)+COUNTIF('7月'!ES4:ES34,$A$114))</f>
        <v>0</v>
      </c>
      <c r="C114" s="76">
        <f>IF($A$114="",0,COUNTIF('7月'!E4:E34,$A$114)+COUNTIF('7月'!J4:J34,$A$114)+COUNTIF('7月'!O4:O34,$A$114)+COUNTIF('7月'!T4:T34,$A$114)+COUNTIF('7月'!Y4:Y34,$A$114)+COUNTIF('7月'!AD4:AD34,$A$114)+COUNTIF('7月'!AI4:AI34,$A$114)+COUNTIF('7月'!AN4:AN34,$A$114)+COUNTIF('7月'!AS4:AS34,$A$114)+COUNTIF('7月'!AX4:AX34,$A$114)+COUNTIF('7月'!BC4:BC34,$A$114)+COUNTIF('7月'!BH4:BH34,$A$114)+COUNTIF('7月'!BM4:BM34,$A$114)+COUNTIF('7月'!BR4:BR34,$A$114)+COUNTIF('7月'!BW4:BW34,$A$114)+COUNTIF('7月'!CB4:CB34,$A$114)+COUNTIF('7月'!CG4:CG34,$A$114)+COUNTIF('7月'!CL4:CL34,$A$114)+COUNTIF('7月'!CQ4:CQ34,$A$114)+COUNTIF('7月'!CV4:CV34,$A$114)+COUNTIF('7月'!DA4:DA34,$A$114)+COUNTIF('7月'!DF4:DF34,$A$114)+COUNTIF('7月'!DK4:DK34,$A$114)+COUNTIF('7月'!DP4:DP34,$A$114)+COUNTIF('7月'!DU4:DU34,$A$114)+COUNTIF('7月'!DZ4:DZ34,$A$114)+COUNTIF('7月'!EE4:EE34,$A$114)+COUNTIF('7月'!EJ4:EJ34,$A$114)+COUNTIF('7月'!EO4:EO34,$A$114)+COUNTIF('7月'!ET4:ET34,$A$114))</f>
        <v>0</v>
      </c>
      <c r="D114" s="65">
        <f>IF($A$114="",0,B114+C114)</f>
        <v>0</v>
      </c>
    </row>
    <row r="115" spans="1:4" ht="18.95" customHeight="1">
      <c r="A115" s="77" t="str">
        <f>IFERROR(現場マスタ!$C$6,"")</f>
        <v>渋谷ヒカリエ</v>
      </c>
      <c r="B115" s="76">
        <f>IF($A$115="",0,COUNTIF('7月'!D4:D34,$A$115)+COUNTIF('7月'!I4:I34,$A$115)+COUNTIF('7月'!N4:N34,$A$115)+COUNTIF('7月'!S4:S34,$A$115)+COUNTIF('7月'!X4:X34,$A$115)+COUNTIF('7月'!AC4:AC34,$A$115)+COUNTIF('7月'!AH4:AH34,$A$115)+COUNTIF('7月'!AM4:AM34,$A$115)+COUNTIF('7月'!AR4:AR34,$A$115)+COUNTIF('7月'!AW4:AW34,$A$115)+COUNTIF('7月'!BB4:BB34,$A$115)+COUNTIF('7月'!BG4:BG34,$A$115)+COUNTIF('7月'!BL4:BL34,$A$115)+COUNTIF('7月'!BQ4:BQ34,$A$115)+COUNTIF('7月'!BV4:BV34,$A$115)+COUNTIF('7月'!CA4:CA34,$A$115)+COUNTIF('7月'!CF4:CF34,$A$115)+COUNTIF('7月'!CK4:CK34,$A$115)+COUNTIF('7月'!CP4:CP34,$A$115)+COUNTIF('7月'!CU4:CU34,$A$115)+COUNTIF('7月'!CZ4:CZ34,$A$115)+COUNTIF('7月'!DE4:DE34,$A$115)+COUNTIF('7月'!DJ4:DJ34,$A$115)+COUNTIF('7月'!DO4:DO34,$A$115)+COUNTIF('7月'!DT4:DT34,$A$115)+COUNTIF('7月'!DY4:DY34,$A$115)+COUNTIF('7月'!ED4:ED34,$A$115)+COUNTIF('7月'!EI4:EI34,$A$115)+COUNTIF('7月'!EN4:EN34,$A$115)+COUNTIF('7月'!ES4:ES34,$A$115))</f>
        <v>0</v>
      </c>
      <c r="C115" s="76">
        <f>IF($A$115="",0,COUNTIF('7月'!E4:E34,$A$115)+COUNTIF('7月'!J4:J34,$A$115)+COUNTIF('7月'!O4:O34,$A$115)+COUNTIF('7月'!T4:T34,$A$115)+COUNTIF('7月'!Y4:Y34,$A$115)+COUNTIF('7月'!AD4:AD34,$A$115)+COUNTIF('7月'!AI4:AI34,$A$115)+COUNTIF('7月'!AN4:AN34,$A$115)+COUNTIF('7月'!AS4:AS34,$A$115)+COUNTIF('7月'!AX4:AX34,$A$115)+COUNTIF('7月'!BC4:BC34,$A$115)+COUNTIF('7月'!BH4:BH34,$A$115)+COUNTIF('7月'!BM4:BM34,$A$115)+COUNTIF('7月'!BR4:BR34,$A$115)+COUNTIF('7月'!BW4:BW34,$A$115)+COUNTIF('7月'!CB4:CB34,$A$115)+COUNTIF('7月'!CG4:CG34,$A$115)+COUNTIF('7月'!CL4:CL34,$A$115)+COUNTIF('7月'!CQ4:CQ34,$A$115)+COUNTIF('7月'!CV4:CV34,$A$115)+COUNTIF('7月'!DA4:DA34,$A$115)+COUNTIF('7月'!DF4:DF34,$A$115)+COUNTIF('7月'!DK4:DK34,$A$115)+COUNTIF('7月'!DP4:DP34,$A$115)+COUNTIF('7月'!DU4:DU34,$A$115)+COUNTIF('7月'!DZ4:DZ34,$A$115)+COUNTIF('7月'!EE4:EE34,$A$115)+COUNTIF('7月'!EJ4:EJ34,$A$115)+COUNTIF('7月'!EO4:EO34,$A$115)+COUNTIF('7月'!ET4:ET34,$A$115))</f>
        <v>0</v>
      </c>
      <c r="D115" s="65">
        <f>IF($A$115="",0,B115+C115)</f>
        <v>0</v>
      </c>
    </row>
    <row r="116" spans="1:4" ht="18.95" customHeight="1">
      <c r="A116" s="77" t="str">
        <f>IFERROR(現場マスタ!$C$7,"")</f>
        <v>六本木ヒルズ</v>
      </c>
      <c r="B116" s="76">
        <f>IF($A$116="",0,COUNTIF('7月'!D4:D34,$A$116)+COUNTIF('7月'!I4:I34,$A$116)+COUNTIF('7月'!N4:N34,$A$116)+COUNTIF('7月'!S4:S34,$A$116)+COUNTIF('7月'!X4:X34,$A$116)+COUNTIF('7月'!AC4:AC34,$A$116)+COUNTIF('7月'!AH4:AH34,$A$116)+COUNTIF('7月'!AM4:AM34,$A$116)+COUNTIF('7月'!AR4:AR34,$A$116)+COUNTIF('7月'!AW4:AW34,$A$116)+COUNTIF('7月'!BB4:BB34,$A$116)+COUNTIF('7月'!BG4:BG34,$A$116)+COUNTIF('7月'!BL4:BL34,$A$116)+COUNTIF('7月'!BQ4:BQ34,$A$116)+COUNTIF('7月'!BV4:BV34,$A$116)+COUNTIF('7月'!CA4:CA34,$A$116)+COUNTIF('7月'!CF4:CF34,$A$116)+COUNTIF('7月'!CK4:CK34,$A$116)+COUNTIF('7月'!CP4:CP34,$A$116)+COUNTIF('7月'!CU4:CU34,$A$116)+COUNTIF('7月'!CZ4:CZ34,$A$116)+COUNTIF('7月'!DE4:DE34,$A$116)+COUNTIF('7月'!DJ4:DJ34,$A$116)+COUNTIF('7月'!DO4:DO34,$A$116)+COUNTIF('7月'!DT4:DT34,$A$116)+COUNTIF('7月'!DY4:DY34,$A$116)+COUNTIF('7月'!ED4:ED34,$A$116)+COUNTIF('7月'!EI4:EI34,$A$116)+COUNTIF('7月'!EN4:EN34,$A$116)+COUNTIF('7月'!ES4:ES34,$A$116)+COUNTIF('7月'!D4:D34,"渋谷-夜勤")+COUNTIF('7月'!I4:I34,"渋谷-夜勤")+COUNTIF('7月'!N4:N34,"渋谷-夜勤")+COUNTIF('7月'!S4:S34,"渋谷-夜勤")+COUNTIF('7月'!X4:X34,"渋谷-夜勤")+COUNTIF('7月'!AC4:AC34,"渋谷-夜勤")+COUNTIF('7月'!AH4:AH34,"渋谷-夜勤")+COUNTIF('7月'!AM4:AM34,"渋谷-夜勤")+COUNTIF('7月'!AR4:AR34,"渋谷-夜勤")+COUNTIF('7月'!AW4:AW34,"渋谷-夜勤")+COUNTIF('7月'!BB4:BB34,"渋谷-夜勤")+COUNTIF('7月'!BG4:BG34,"渋谷-夜勤")+COUNTIF('7月'!BL4:BL34,"渋谷-夜勤")+COUNTIF('7月'!BQ4:BQ34,"渋谷-夜勤")+COUNTIF('7月'!BV4:BV34,"渋谷-夜勤")+COUNTIF('7月'!CA4:CA34,"渋谷-夜勤")+COUNTIF('7月'!CF4:CF34,"渋谷-夜勤")+COUNTIF('7月'!CK4:CK34,"渋谷-夜勤")+COUNTIF('7月'!CP4:CP34,"渋谷-夜勤")+COUNTIF('7月'!CU4:CU34,"渋谷-夜勤")+COUNTIF('7月'!CZ4:CZ34,"渋谷-夜勤")+COUNTIF('7月'!DE4:DE34,"渋谷-夜勤")+COUNTIF('7月'!DJ4:DJ34,"渋谷-夜勤")+COUNTIF('7月'!DO4:DO34,"渋谷-夜勤")+COUNTIF('7月'!DT4:DT34,"渋谷-夜勤")+COUNTIF('7月'!DY4:DY34,"渋谷-夜勤")+COUNTIF('7月'!ED4:ED34,"渋谷-夜勤")+COUNTIF('7月'!EI4:EI34,"渋谷-夜勤")+COUNTIF('7月'!EN4:EN34,"渋谷-夜勤")+COUNTIF('7月'!ES4:ES34,"渋谷-夜勤"))</f>
        <v>0</v>
      </c>
      <c r="C116" s="76">
        <f>IF($A$116="",0,COUNTIF('7月'!E4:E34,$A$116)+COUNTIF('7月'!J4:J34,$A$116)+COUNTIF('7月'!O4:O34,$A$116)+COUNTIF('7月'!T4:T34,$A$116)+COUNTIF('7月'!Y4:Y34,$A$116)+COUNTIF('7月'!AD4:AD34,$A$116)+COUNTIF('7月'!AI4:AI34,$A$116)+COUNTIF('7月'!AN4:AN34,$A$116)+COUNTIF('7月'!AS4:AS34,$A$116)+COUNTIF('7月'!AX4:AX34,$A$116)+COUNTIF('7月'!BC4:BC34,$A$116)+COUNTIF('7月'!BH4:BH34,$A$116)+COUNTIF('7月'!BM4:BM34,$A$116)+COUNTIF('7月'!BR4:BR34,$A$116)+COUNTIF('7月'!BW4:BW34,$A$116)+COUNTIF('7月'!CB4:CB34,$A$116)+COUNTIF('7月'!CG4:CG34,$A$116)+COUNTIF('7月'!CL4:CL34,$A$116)+COUNTIF('7月'!CQ4:CQ34,$A$116)+COUNTIF('7月'!CV4:CV34,$A$116)+COUNTIF('7月'!DA4:DA34,$A$116)+COUNTIF('7月'!DF4:DF34,$A$116)+COUNTIF('7月'!DK4:DK34,$A$116)+COUNTIF('7月'!DP4:DP34,$A$116)+COUNTIF('7月'!DU4:DU34,$A$116)+COUNTIF('7月'!DZ4:DZ34,$A$116)+COUNTIF('7月'!EE4:EE34,$A$116)+COUNTIF('7月'!EJ4:EJ34,$A$116)+COUNTIF('7月'!EO4:EO34,$A$116)+COUNTIF('7月'!ET4:ET34,$A$116)+COUNTIF('7月'!E4:E34,"渋谷-夜勤")+COUNTIF('7月'!J4:J34,"渋谷-夜勤")+COUNTIF('7月'!O4:O34,"渋谷-夜勤")+COUNTIF('7月'!T4:T34,"渋谷-夜勤")+COUNTIF('7月'!Y4:Y34,"渋谷-夜勤")+COUNTIF('7月'!AD4:AD34,"渋谷-夜勤")+COUNTIF('7月'!AI4:AI34,"渋谷-夜勤")+COUNTIF('7月'!AN4:AN34,"渋谷-夜勤")+COUNTIF('7月'!AS4:AS34,"渋谷-夜勤")+COUNTIF('7月'!AX4:AX34,"渋谷-夜勤")+COUNTIF('7月'!BC4:BC34,"渋谷-夜勤")+COUNTIF('7月'!BH4:BH34,"渋谷-夜勤")+COUNTIF('7月'!BM4:BM34,"渋谷-夜勤")+COUNTIF('7月'!BR4:BR34,"渋谷-夜勤")+COUNTIF('7月'!BW4:BW34,"渋谷-夜勤")+COUNTIF('7月'!CB4:CB34,"渋谷-夜勤")+COUNTIF('7月'!CG4:CG34,"渋谷-夜勤")+COUNTIF('7月'!CL4:CL34,"渋谷-夜勤")+COUNTIF('7月'!CQ4:CQ34,"渋谷-夜勤")+COUNTIF('7月'!CV4:CV34,"渋谷-夜勤")+COUNTIF('7月'!DA4:DA34,"渋谷-夜勤")+COUNTIF('7月'!DF4:DF34,"渋谷-夜勤")+COUNTIF('7月'!DK4:DK34,"渋谷-夜勤")+COUNTIF('7月'!DP4:DP34,"渋谷-夜勤")+COUNTIF('7月'!DU4:DU34,"渋谷-夜勤")+COUNTIF('7月'!DZ4:DZ34,"渋谷-夜勤")+COUNTIF('7月'!EE4:EE34,"渋谷-夜勤")+COUNTIF('7月'!EJ4:EJ34,"渋谷-夜勤")+COUNTIF('7月'!EO4:EO34,"渋谷-夜勤")+COUNTIF('7月'!ET4:ET34,"渋谷-夜勤"))</f>
        <v>0</v>
      </c>
      <c r="D116" s="65">
        <f>IF($A$116="",0,B116+C116)</f>
        <v>0</v>
      </c>
    </row>
    <row r="117" spans="1:4" ht="18.95" customHeight="1">
      <c r="A117" s="77" t="str">
        <f>IFERROR(現場マスタ!$C$10,"")</f>
        <v>有給</v>
      </c>
      <c r="B117" s="76">
        <f>IF($A$117="",0,COUNTIF('7月'!D4:D34,$A$117)+COUNTIF('7月'!I4:I34,$A$117)+COUNTIF('7月'!N4:N34,$A$117)+COUNTIF('7月'!S4:S34,$A$117)+COUNTIF('7月'!X4:X34,$A$117)+COUNTIF('7月'!AC4:AC34,$A$117)+COUNTIF('7月'!AH4:AH34,$A$117)+COUNTIF('7月'!AM4:AM34,$A$117)+COUNTIF('7月'!AR4:AR34,$A$117)+COUNTIF('7月'!AW4:AW34,$A$117)+COUNTIF('7月'!BB4:BB34,$A$117)+COUNTIF('7月'!BG4:BG34,$A$117)+COUNTIF('7月'!BL4:BL34,$A$117)+COUNTIF('7月'!BQ4:BQ34,$A$117)+COUNTIF('7月'!BV4:BV34,$A$117)+COUNTIF('7月'!CA4:CA34,$A$117)+COUNTIF('7月'!CF4:CF34,$A$117)+COUNTIF('7月'!CK4:CK34,$A$117)+COUNTIF('7月'!CP4:CP34,$A$117)+COUNTIF('7月'!CU4:CU34,$A$117)+COUNTIF('7月'!CZ4:CZ34,$A$117)+COUNTIF('7月'!DE4:DE34,$A$117)+COUNTIF('7月'!DJ4:DJ34,$A$117)+COUNTIF('7月'!DO4:DO34,$A$117)+COUNTIF('7月'!DT4:DT34,$A$117)+COUNTIF('7月'!DY4:DY34,$A$117)+COUNTIF('7月'!ED4:ED34,$A$117)+COUNTIF('7月'!EI4:EI34,$A$117)+COUNTIF('7月'!EN4:EN34,$A$117)+COUNTIF('7月'!ES4:ES34,$A$117)+COUNTIF('7月'!D4:D34,"六本木-夜勤")+COUNTIF('7月'!I4:I34,"六本木-夜勤")+COUNTIF('7月'!N4:N34,"六本木-夜勤")+COUNTIF('7月'!S4:S34,"六本木-夜勤")+COUNTIF('7月'!X4:X34,"六本木-夜勤")+COUNTIF('7月'!AC4:AC34,"六本木-夜勤")+COUNTIF('7月'!AH4:AH34,"六本木-夜勤")+COUNTIF('7月'!AM4:AM34,"六本木-夜勤")+COUNTIF('7月'!AR4:AR34,"六本木-夜勤")+COUNTIF('7月'!AW4:AW34,"六本木-夜勤")+COUNTIF('7月'!BB4:BB34,"六本木-夜勤")+COUNTIF('7月'!BG4:BG34,"六本木-夜勤")+COUNTIF('7月'!BL4:BL34,"六本木-夜勤")+COUNTIF('7月'!BQ4:BQ34,"六本木-夜勤")+COUNTIF('7月'!BV4:BV34,"六本木-夜勤")+COUNTIF('7月'!CA4:CA34,"六本木-夜勤")+COUNTIF('7月'!CF4:CF34,"六本木-夜勤")+COUNTIF('7月'!CK4:CK34,"六本木-夜勤")+COUNTIF('7月'!CP4:CP34,"六本木-夜勤")+COUNTIF('7月'!CU4:CU34,"六本木-夜勤")+COUNTIF('7月'!CZ4:CZ34,"六本木-夜勤")+COUNTIF('7月'!DE4:DE34,"六本木-夜勤")+COUNTIF('7月'!DJ4:DJ34,"六本木-夜勤")+COUNTIF('7月'!DO4:DO34,"六本木-夜勤")+COUNTIF('7月'!DT4:DT34,"六本木-夜勤")+COUNTIF('7月'!DY4:DY34,"六本木-夜勤")+COUNTIF('7月'!ED4:ED34,"六本木-夜勤")+COUNTIF('7月'!EI4:EI34,"六本木-夜勤")+COUNTIF('7月'!EN4:EN34,"六本木-夜勤")+COUNTIF('7月'!ES4:ES34,"六本木-夜勤")+COUNTIF('7月'!D4:D34,"六本木ー夜勤")+COUNTIF('7月'!I4:I34,"六本木ー夜勤")+COUNTIF('7月'!N4:N34,"六本木ー夜勤")+COUNTIF('7月'!S4:S34,"六本木ー夜勤")+COUNTIF('7月'!X4:X34,"六本木ー夜勤")+COUNTIF('7月'!AC4:AC34,"六本木ー夜勤")+COUNTIF('7月'!AH4:AH34,"六本木ー夜勤")+COUNTIF('7月'!AM4:AM34,"六本木ー夜勤")+COUNTIF('7月'!AR4:AR34,"六本木ー夜勤")+COUNTIF('7月'!AW4:AW34,"六本木ー夜勤")+COUNTIF('7月'!BB4:BB34,"六本木ー夜勤")+COUNTIF('7月'!BG4:BG34,"六本木ー夜勤")+COUNTIF('7月'!BL4:BL34,"六本木ー夜勤")+COUNTIF('7月'!BQ4:BQ34,"六本木ー夜勤")+COUNTIF('7月'!BV4:BV34,"六本木ー夜勤")+COUNTIF('7月'!CA4:CA34,"六本木ー夜勤")+COUNTIF('7月'!CF4:CF34,"六本木ー夜勤")+COUNTIF('7月'!CK4:CK34,"六本木ー夜勤")+COUNTIF('7月'!CP4:CP34,"六本木ー夜勤")+COUNTIF('7月'!CU4:CU34,"六本木ー夜勤")+COUNTIF('7月'!CZ4:CZ34,"六本木ー夜勤")+COUNTIF('7月'!DE4:DE34,"六本木ー夜勤")+COUNTIF('7月'!DJ4:DJ34,"六本木ー夜勤")+COUNTIF('7月'!DO4:DO34,"六本木ー夜勤")+COUNTIF('7月'!DT4:DT34,"六本木ー夜勤")+COUNTIF('7月'!DY4:DY34,"六本木ー夜勤")+COUNTIF('7月'!ED4:ED34,"六本木ー夜勤")+COUNTIF('7月'!EI4:EI34,"六本木ー夜勤")+COUNTIF('7月'!EN4:EN34,"六本木ー夜勤")+COUNTIF('7月'!ES4:ES34,"六本木ー夜勤"))</f>
        <v>0</v>
      </c>
      <c r="C117" s="76">
        <f>IF($A$117="",0,COUNTIF('7月'!E4:E34,$A$117)+COUNTIF('7月'!J4:J34,$A$117)+COUNTIF('7月'!O4:O34,$A$117)+COUNTIF('7月'!T4:T34,$A$117)+COUNTIF('7月'!Y4:Y34,$A$117)+COUNTIF('7月'!AD4:AD34,$A$117)+COUNTIF('7月'!AI4:AI34,$A$117)+COUNTIF('7月'!AN4:AN34,$A$117)+COUNTIF('7月'!AS4:AS34,$A$117)+COUNTIF('7月'!AX4:AX34,$A$117)+COUNTIF('7月'!BC4:BC34,$A$117)+COUNTIF('7月'!BH4:BH34,$A$117)+COUNTIF('7月'!BM4:BM34,$A$117)+COUNTIF('7月'!BR4:BR34,$A$117)+COUNTIF('7月'!BW4:BW34,$A$117)+COUNTIF('7月'!CB4:CB34,$A$117)+COUNTIF('7月'!CG4:CG34,$A$117)+COUNTIF('7月'!CL4:CL34,$A$117)+COUNTIF('7月'!CQ4:CQ34,$A$117)+COUNTIF('7月'!CV4:CV34,$A$117)+COUNTIF('7月'!DA4:DA34,$A$117)+COUNTIF('7月'!DF4:DF34,$A$117)+COUNTIF('7月'!DK4:DK34,$A$117)+COUNTIF('7月'!DP4:DP34,$A$117)+COUNTIF('7月'!DU4:DU34,$A$117)+COUNTIF('7月'!DZ4:DZ34,$A$117)+COUNTIF('7月'!EE4:EE34,$A$117)+COUNTIF('7月'!EJ4:EJ34,$A$117)+COUNTIF('7月'!EO4:EO34,$A$117)+COUNTIF('7月'!ET4:ET34,$A$117)+COUNTIF('7月'!E4:E34,"六本木-夜勤")+COUNTIF('7月'!J4:J34,"六本木-夜勤")+COUNTIF('7月'!O4:O34,"六本木-夜勤")+COUNTIF('7月'!T4:T34,"六本木-夜勤")+COUNTIF('7月'!Y4:Y34,"六本木-夜勤")+COUNTIF('7月'!AD4:AD34,"六本木-夜勤")+COUNTIF('7月'!AI4:AI34,"六本木-夜勤")+COUNTIF('7月'!AN4:AN34,"六本木-夜勤")+COUNTIF('7月'!AS4:AS34,"六本木-夜勤")+COUNTIF('7月'!AX4:AX34,"六本木-夜勤")+COUNTIF('7月'!BC4:BC34,"六本木-夜勤")+COUNTIF('7月'!BH4:BH34,"六本木-夜勤")+COUNTIF('7月'!BM4:BM34,"六本木-夜勤")+COUNTIF('7月'!BR4:BR34,"六本木-夜勤")+COUNTIF('7月'!BW4:BW34,"六本木-夜勤")+COUNTIF('7月'!CB4:CB34,"六本木-夜勤")+COUNTIF('7月'!CG4:CG34,"六本木-夜勤")+COUNTIF('7月'!CL4:CL34,"六本木-夜勤")+COUNTIF('7月'!CQ4:CQ34,"六本木-夜勤")+COUNTIF('7月'!CV4:CV34,"六本木-夜勤")+COUNTIF('7月'!DA4:DA34,"六本木-夜勤")+COUNTIF('7月'!DF4:DF34,"六本木-夜勤")+COUNTIF('7月'!DK4:DK34,"六本木-夜勤")+COUNTIF('7月'!DP4:DP34,"六本木-夜勤")+COUNTIF('7月'!DU4:DU34,"六本木-夜勤")+COUNTIF('7月'!DZ4:DZ34,"六本木-夜勤")+COUNTIF('7月'!EE4:EE34,"六本木-夜勤")+COUNTIF('7月'!EJ4:EJ34,"六本木-夜勤")+COUNTIF('7月'!EO4:EO34,"六本木-夜勤")+COUNTIF('7月'!ET4:ET34,"六本木-夜勤")+COUNTIF('7月'!E4:E34,"六本木ー夜勤")+COUNTIF('7月'!J4:J34,"六本木ー夜勤")+COUNTIF('7月'!O4:O34,"六本木ー夜勤")+COUNTIF('7月'!T4:T34,"六本木ー夜勤")+COUNTIF('7月'!Y4:Y34,"六本木ー夜勤")+COUNTIF('7月'!AD4:AD34,"六本木ー夜勤")+COUNTIF('7月'!AI4:AI34,"六本木ー夜勤")+COUNTIF('7月'!AN4:AN34,"六本木ー夜勤")+COUNTIF('7月'!AS4:AS34,"六本木ー夜勤")+COUNTIF('7月'!AX4:AX34,"六本木ー夜勤")+COUNTIF('7月'!BC4:BC34,"六本木ー夜勤")+COUNTIF('7月'!BH4:BH34,"六本木ー夜勤")+COUNTIF('7月'!BM4:BM34,"六本木ー夜勤")+COUNTIF('7月'!BR4:BR34,"六本木ー夜勤")+COUNTIF('7月'!BW4:BW34,"六本木ー夜勤")+COUNTIF('7月'!CB4:CB34,"六本木ー夜勤")+COUNTIF('7月'!CG4:CG34,"六本木ー夜勤")+COUNTIF('7月'!CL4:CL34,"六本木ー夜勤")+COUNTIF('7月'!CQ4:CQ34,"六本木ー夜勤")+COUNTIF('7月'!CV4:CV34,"六本木ー夜勤")+COUNTIF('7月'!DA4:DA34,"六本木ー夜勤")+COUNTIF('7月'!DF4:DF34,"六本木ー夜勤")+COUNTIF('7月'!DK4:DK34,"六本木ー夜勤")+COUNTIF('7月'!DP4:DP34,"六本木ー夜勤")+COUNTIF('7月'!DU4:DU34,"六本木ー夜勤")+COUNTIF('7月'!DZ4:DZ34,"六本木ー夜勤")+COUNTIF('7月'!EE4:EE34,"六本木ー夜勤")+COUNTIF('7月'!EJ4:EJ34,"六本木ー夜勤")+COUNTIF('7月'!EO4:EO34,"六本木ー夜勤")+COUNTIF('7月'!ET4:ET34,"六本木ー夜勤"))</f>
        <v>0</v>
      </c>
      <c r="D117" s="65">
        <f>IF($A$117="",0,B117+C117)</f>
        <v>0</v>
      </c>
    </row>
    <row r="118" spans="1:4" ht="18.95" customHeight="1">
      <c r="A118" s="77">
        <f>IFERROR(現場マスタ!$C$11,"")</f>
        <v>0</v>
      </c>
      <c r="B118" s="76">
        <v>0</v>
      </c>
      <c r="C118" s="76">
        <v>0</v>
      </c>
      <c r="D118" s="65">
        <v>0</v>
      </c>
    </row>
    <row r="119" spans="1:4" ht="18.95" customHeight="1">
      <c r="A119" s="77">
        <f>IFERROR(現場マスタ!$C$12,"")</f>
        <v>0</v>
      </c>
      <c r="B119" s="76">
        <f>IF($A$119="",0,COUNTIF('7月'!D4:D34,$A$119)+COUNTIF('7月'!I4:I34,$A$119)+COUNTIF('7月'!N4:N34,$A$119)+COUNTIF('7月'!S4:S34,$A$119)+COUNTIF('7月'!X4:X34,$A$119)+COUNTIF('7月'!AC4:AC34,$A$119)+COUNTIF('7月'!AH4:AH34,$A$119)+COUNTIF('7月'!AM4:AM34,$A$119)+COUNTIF('7月'!AR4:AR34,$A$119)+COUNTIF('7月'!AW4:AW34,$A$119)+COUNTIF('7月'!BB4:BB34,$A$119)+COUNTIF('7月'!BG4:BG34,$A$119)+COUNTIF('7月'!BL4:BL34,$A$119)+COUNTIF('7月'!BQ4:BQ34,$A$119)+COUNTIF('7月'!BV4:BV34,$A$119)+COUNTIF('7月'!CA4:CA34,$A$119)+COUNTIF('7月'!CF4:CF34,$A$119)+COUNTIF('7月'!CK4:CK34,$A$119)+COUNTIF('7月'!CP4:CP34,$A$119)+COUNTIF('7月'!CU4:CU34,$A$119)+COUNTIF('7月'!CZ4:CZ34,$A$119)+COUNTIF('7月'!DE4:DE34,$A$119)+COUNTIF('7月'!DJ4:DJ34,$A$119)+COUNTIF('7月'!DO4:DO34,$A$119)+COUNTIF('7月'!DT4:DT34,$A$119)+COUNTIF('7月'!DY4:DY34,$A$119)+COUNTIF('7月'!ED4:ED34,$A$119)+COUNTIF('7月'!EI4:EI34,$A$119)+COUNTIF('7月'!EN4:EN34,$A$119)+COUNTIF('7月'!ES4:ES34,$A$119))</f>
        <v>0</v>
      </c>
      <c r="C119" s="76">
        <f>IF($A$119="",0,COUNTIF('7月'!E4:E34,$A$119)+COUNTIF('7月'!J4:J34,$A$119)+COUNTIF('7月'!O4:O34,$A$119)+COUNTIF('7月'!T4:T34,$A$119)+COUNTIF('7月'!Y4:Y34,$A$119)+COUNTIF('7月'!AD4:AD34,$A$119)+COUNTIF('7月'!AI4:AI34,$A$119)+COUNTIF('7月'!AN4:AN34,$A$119)+COUNTIF('7月'!AS4:AS34,$A$119)+COUNTIF('7月'!AX4:AX34,$A$119)+COUNTIF('7月'!BC4:BC34,$A$119)+COUNTIF('7月'!BH4:BH34,$A$119)+COUNTIF('7月'!BM4:BM34,$A$119)+COUNTIF('7月'!BR4:BR34,$A$119)+COUNTIF('7月'!BW4:BW34,$A$119)+COUNTIF('7月'!CB4:CB34,$A$119)+COUNTIF('7月'!CG4:CG34,$A$119)+COUNTIF('7月'!CL4:CL34,$A$119)+COUNTIF('7月'!CQ4:CQ34,$A$119)+COUNTIF('7月'!CV4:CV34,$A$119)+COUNTIF('7月'!DA4:DA34,$A$119)+COUNTIF('7月'!DF4:DF34,$A$119)+COUNTIF('7月'!DK4:DK34,$A$119)+COUNTIF('7月'!DP4:DP34,$A$119)+COUNTIF('7月'!DU4:DU34,$A$119)+COUNTIF('7月'!DZ4:DZ34,$A$119)+COUNTIF('7月'!EE4:EE34,$A$119)+COUNTIF('7月'!EJ4:EJ34,$A$119)+COUNTIF('7月'!EO4:EO34,$A$119)+COUNTIF('7月'!ET4:ET34,$A$119))</f>
        <v>0</v>
      </c>
      <c r="D119" s="65">
        <f>IF($A$119="",0,B119+C119)</f>
        <v>0</v>
      </c>
    </row>
    <row r="120" spans="1:4" ht="18.95" customHeight="1">
      <c r="A120" s="77">
        <f>IFERROR(現場マスタ!$C$14,"")</f>
        <v>0</v>
      </c>
      <c r="B120" s="76">
        <v>0</v>
      </c>
      <c r="C120" s="76">
        <v>0</v>
      </c>
      <c r="D120" s="65">
        <v>0</v>
      </c>
    </row>
    <row r="121" spans="1:4" ht="18.95" customHeight="1">
      <c r="A121" s="77">
        <f>IFERROR(現場マスタ!$C$15,"")</f>
        <v>0</v>
      </c>
      <c r="B121" s="76">
        <v>0</v>
      </c>
      <c r="C121" s="76">
        <v>0</v>
      </c>
      <c r="D121" s="65">
        <v>0</v>
      </c>
    </row>
    <row r="122" spans="1:4" ht="18.95" customHeight="1">
      <c r="A122" s="77">
        <f>IFERROR(現場マスタ!$C$16,"")</f>
        <v>0</v>
      </c>
      <c r="B122" s="76">
        <f>IF($A$122="",0,COUNTIF('7月'!D4:D34,$A$122)+COUNTIF('7月'!I4:I34,$A$122)+COUNTIF('7月'!N4:N34,$A$122)+COUNTIF('7月'!S4:S34,$A$122)+COUNTIF('7月'!X4:X34,$A$122)+COUNTIF('7月'!AC4:AC34,$A$122)+COUNTIF('7月'!AH4:AH34,$A$122)+COUNTIF('7月'!AM4:AM34,$A$122)+COUNTIF('7月'!AR4:AR34,$A$122)+COUNTIF('7月'!AW4:AW34,$A$122)+COUNTIF('7月'!BB4:BB34,$A$122)+COUNTIF('7月'!BG4:BG34,$A$122)+COUNTIF('7月'!BL4:BL34,$A$122)+COUNTIF('7月'!BQ4:BQ34,$A$122)+COUNTIF('7月'!BV4:BV34,$A$122)+COUNTIF('7月'!CA4:CA34,$A$122)+COUNTIF('7月'!CF4:CF34,$A$122)+COUNTIF('7月'!CK4:CK34,$A$122)+COUNTIF('7月'!CP4:CP34,$A$122)+COUNTIF('7月'!CU4:CU34,$A$122)+COUNTIF('7月'!CZ4:CZ34,$A$122)+COUNTIF('7月'!DE4:DE34,$A$122)+COUNTIF('7月'!DJ4:DJ34,$A$122)+COUNTIF('7月'!DO4:DO34,$A$122)+COUNTIF('7月'!DT4:DT34,$A$122)+COUNTIF('7月'!DY4:DY34,$A$122)+COUNTIF('7月'!ED4:ED34,$A$122)+COUNTIF('7月'!EI4:EI34,$A$122)+COUNTIF('7月'!EN4:EN34,$A$122)+COUNTIF('7月'!ES4:ES34,$A$122)+COUNTIF('7月'!D4:D34,"三軒茶屋－夜勤")+COUNTIF('7月'!I4:I34,"三軒茶屋－夜勤")+COUNTIF('7月'!N4:N34,"三軒茶屋－夜勤")+COUNTIF('7月'!S4:S34,"三軒茶屋－夜勤")+COUNTIF('7月'!X4:X34,"三軒茶屋－夜勤")+COUNTIF('7月'!AC4:AC34,"三軒茶屋－夜勤")+COUNTIF('7月'!AH4:AH34,"三軒茶屋－夜勤")+COUNTIF('7月'!AM4:AM34,"三軒茶屋－夜勤")+COUNTIF('7月'!AR4:AR34,"三軒茶屋－夜勤")+COUNTIF('7月'!AW4:AW34,"三軒茶屋－夜勤")+COUNTIF('7月'!BB4:BB34,"三軒茶屋－夜勤")+COUNTIF('7月'!BG4:BG34,"三軒茶屋－夜勤")+COUNTIF('7月'!BL4:BL34,"三軒茶屋－夜勤")+COUNTIF('7月'!BQ4:BQ34,"三軒茶屋－夜勤")+COUNTIF('7月'!BV4:BV34,"三軒茶屋－夜勤")+COUNTIF('7月'!CA4:CA34,"三軒茶屋－夜勤")+COUNTIF('7月'!CF4:CF34,"三軒茶屋－夜勤")+COUNTIF('7月'!CK4:CK34,"三軒茶屋－夜勤")+COUNTIF('7月'!CP4:CP34,"三軒茶屋－夜勤")+COUNTIF('7月'!CU4:CU34,"三軒茶屋－夜勤")+COUNTIF('7月'!CZ4:CZ34,"三軒茶屋－夜勤")+COUNTIF('7月'!DE4:DE34,"三軒茶屋－夜勤")+COUNTIF('7月'!DJ4:DJ34,"三軒茶屋－夜勤")+COUNTIF('7月'!DO4:DO34,"三軒茶屋－夜勤")+COUNTIF('7月'!DT4:DT34,"三軒茶屋－夜勤")+COUNTIF('7月'!DY4:DY34,"三軒茶屋－夜勤")+COUNTIF('7月'!ED4:ED34,"三軒茶屋－夜勤")+COUNTIF('7月'!EI4:EI34,"三軒茶屋－夜勤")+COUNTIF('7月'!EN4:EN34,"三軒茶屋－夜勤")+COUNTIF('7月'!ES4:ES34,"三軒茶屋－夜勤"))</f>
        <v>0</v>
      </c>
      <c r="C122" s="76">
        <f>IF($A$122="",0,COUNTIF('7月'!E4:E34,$A$122)+COUNTIF('7月'!J4:J34,$A$122)+COUNTIF('7月'!O4:O34,$A$122)+COUNTIF('7月'!T4:T34,$A$122)+COUNTIF('7月'!Y4:Y34,$A$122)+COUNTIF('7月'!AD4:AD34,$A$122)+COUNTIF('7月'!AI4:AI34,$A$122)+COUNTIF('7月'!AN4:AN34,$A$122)+COUNTIF('7月'!AS4:AS34,$A$122)+COUNTIF('7月'!AX4:AX34,$A$122)+COUNTIF('7月'!BC4:BC34,$A$122)+COUNTIF('7月'!BH4:BH34,$A$122)+COUNTIF('7月'!BM4:BM34,$A$122)+COUNTIF('7月'!BR4:BR34,$A$122)+COUNTIF('7月'!BW4:BW34,$A$122)+COUNTIF('7月'!CB4:CB34,$A$122)+COUNTIF('7月'!CG4:CG34,$A$122)+COUNTIF('7月'!CL4:CL34,$A$122)+COUNTIF('7月'!CQ4:CQ34,$A$122)+COUNTIF('7月'!CV4:CV34,$A$122)+COUNTIF('7月'!DA4:DA34,$A$122)+COUNTIF('7月'!DF4:DF34,$A$122)+COUNTIF('7月'!DK4:DK34,$A$122)+COUNTIF('7月'!DP4:DP34,$A$122)+COUNTIF('7月'!DU4:DU34,$A$122)+COUNTIF('7月'!DZ4:DZ34,$A$122)+COUNTIF('7月'!EE4:EE34,$A$122)+COUNTIF('7月'!EJ4:EJ34,$A$122)+COUNTIF('7月'!EO4:EO34,$A$122)+COUNTIF('7月'!ET4:ET34,$A$122)+COUNTIF('7月'!E4:E34,"三軒茶屋－夜勤")+COUNTIF('7月'!J4:J34,"三軒茶屋－夜勤")+COUNTIF('7月'!O4:O34,"三軒茶屋－夜勤")+COUNTIF('7月'!T4:T34,"三軒茶屋－夜勤")+COUNTIF('7月'!Y4:Y34,"三軒茶屋－夜勤")+COUNTIF('7月'!AD4:AD34,"三軒茶屋－夜勤")+COUNTIF('7月'!AI4:AI34,"三軒茶屋－夜勤")+COUNTIF('7月'!AN4:AN34,"三軒茶屋－夜勤")+COUNTIF('7月'!AS4:AS34,"三軒茶屋－夜勤")+COUNTIF('7月'!AX4:AX34,"三軒茶屋－夜勤")+COUNTIF('7月'!BC4:BC34,"三軒茶屋－夜勤")+COUNTIF('7月'!BH4:BH34,"三軒茶屋－夜勤")+COUNTIF('7月'!BM4:BM34,"三軒茶屋－夜勤")+COUNTIF('7月'!BR4:BR34,"三軒茶屋－夜勤")+COUNTIF('7月'!BW4:BW34,"三軒茶屋－夜勤")+COUNTIF('7月'!CB4:CB34,"三軒茶屋－夜勤")+COUNTIF('7月'!CG4:CG34,"三軒茶屋－夜勤")+COUNTIF('7月'!CL4:CL34,"三軒茶屋－夜勤")+COUNTIF('7月'!CQ4:CQ34,"三軒茶屋－夜勤")+COUNTIF('7月'!CV4:CV34,"三軒茶屋－夜勤")+COUNTIF('7月'!DA4:DA34,"三軒茶屋－夜勤")+COUNTIF('7月'!DF4:DF34,"三軒茶屋－夜勤")+COUNTIF('7月'!DK4:DK34,"三軒茶屋－夜勤")+COUNTIF('7月'!DP4:DP34,"三軒茶屋－夜勤")+COUNTIF('7月'!DU4:DU34,"三軒茶屋－夜勤")+COUNTIF('7月'!DZ4:DZ34,"三軒茶屋－夜勤")+COUNTIF('7月'!EE4:EE34,"三軒茶屋－夜勤")+COUNTIF('7月'!EJ4:EJ34,"三軒茶屋－夜勤")+COUNTIF('7月'!EO4:EO34,"三軒茶屋－夜勤")+COUNTIF('7月'!ET4:ET34,"三軒茶屋－夜勤"))</f>
        <v>0</v>
      </c>
      <c r="D122" s="65">
        <f>IF($A$122="",0,B122+C122)</f>
        <v>0</v>
      </c>
    </row>
    <row r="123" spans="1:4" ht="18.95" customHeight="1">
      <c r="A123" s="77">
        <f>IFERROR(現場マスタ!$C$17,"")</f>
        <v>0</v>
      </c>
      <c r="B123" s="76">
        <f>IF($A$123="",0,COUNTIF('7月'!D4:D34,$A$123)+COUNTIF('7月'!I4:I34,$A$123)+COUNTIF('7月'!N4:N34,$A$123)+COUNTIF('7月'!S4:S34,$A$123)+COUNTIF('7月'!X4:X34,$A$123)+COUNTIF('7月'!AC4:AC34,$A$123)+COUNTIF('7月'!AH4:AH34,$A$123)+COUNTIF('7月'!AM4:AM34,$A$123)+COUNTIF('7月'!AR4:AR34,$A$123)+COUNTIF('7月'!AW4:AW34,$A$123)+COUNTIF('7月'!BB4:BB34,$A$123)+COUNTIF('7月'!BG4:BG34,$A$123)+COUNTIF('7月'!BL4:BL34,$A$123)+COUNTIF('7月'!BQ4:BQ34,$A$123)+COUNTIF('7月'!BV4:BV34,$A$123)+COUNTIF('7月'!CA4:CA34,$A$123)+COUNTIF('7月'!CF4:CF34,$A$123)+COUNTIF('7月'!CK4:CK34,$A$123)+COUNTIF('7月'!CP4:CP34,$A$123)+COUNTIF('7月'!CU4:CU34,$A$123)+COUNTIF('7月'!CZ4:CZ34,$A$123)+COUNTIF('7月'!DE4:DE34,$A$123)+COUNTIF('7月'!DJ4:DJ34,$A$123)+COUNTIF('7月'!DO4:DO34,$A$123)+COUNTIF('7月'!DT4:DT34,$A$123)+COUNTIF('7月'!DY4:DY34,$A$123)+COUNTIF('7月'!ED4:ED34,$A$123)+COUNTIF('7月'!EI4:EI34,$A$123)+COUNTIF('7月'!EN4:EN34,$A$123)+COUNTIF('7月'!ES4:ES34,$A$123)+COUNTIF('7月'!D4:D34,"荻窪ー夜勤")+COUNTIF('7月'!I4:I34,"荻窪ー夜勤")+COUNTIF('7月'!N4:N34,"荻窪ー夜勤")+COUNTIF('7月'!S4:S34,"荻窪ー夜勤")+COUNTIF('7月'!X4:X34,"荻窪ー夜勤")+COUNTIF('7月'!AC4:AC34,"荻窪ー夜勤")+COUNTIF('7月'!AH4:AH34,"荻窪ー夜勤")+COUNTIF('7月'!AM4:AM34,"荻窪ー夜勤")+COUNTIF('7月'!AR4:AR34,"荻窪ー夜勤")+COUNTIF('7月'!AW4:AW34,"荻窪ー夜勤")+COUNTIF('7月'!BB4:BB34,"荻窪ー夜勤")+COUNTIF('7月'!BG4:BG34,"荻窪ー夜勤")+COUNTIF('7月'!BL4:BL34,"荻窪ー夜勤")+COUNTIF('7月'!BQ4:BQ34,"荻窪ー夜勤")+COUNTIF('7月'!BV4:BV34,"荻窪ー夜勤")+COUNTIF('7月'!CA4:CA34,"荻窪ー夜勤")+COUNTIF('7月'!CF4:CF34,"荻窪ー夜勤")+COUNTIF('7月'!CK4:CK34,"荻窪ー夜勤")+COUNTIF('7月'!CP4:CP34,"荻窪ー夜勤")+COUNTIF('7月'!CU4:CU34,"荻窪ー夜勤")+COUNTIF('7月'!CZ4:CZ34,"荻窪ー夜勤")+COUNTIF('7月'!DE4:DE34,"荻窪ー夜勤")+COUNTIF('7月'!DJ4:DJ34,"荻窪ー夜勤")+COUNTIF('7月'!DO4:DO34,"荻窪ー夜勤")+COUNTIF('7月'!DT4:DT34,"荻窪ー夜勤")+COUNTIF('7月'!DY4:DY34,"荻窪ー夜勤")+COUNTIF('7月'!ED4:ED34,"荻窪ー夜勤")+COUNTIF('7月'!EI4:EI34,"荻窪ー夜勤")+COUNTIF('7月'!EN4:EN34,"荻窪ー夜勤")+COUNTIF('7月'!ES4:ES34,"荻窪ー夜勤"))</f>
        <v>0</v>
      </c>
      <c r="C123" s="76">
        <f>IF($A$123="",0,COUNTIF('7月'!E4:E34,$A$123)+COUNTIF('7月'!J4:J34,$A$123)+COUNTIF('7月'!O4:O34,$A$123)+COUNTIF('7月'!T4:T34,$A$123)+COUNTIF('7月'!Y4:Y34,$A$123)+COUNTIF('7月'!AD4:AD34,$A$123)+COUNTIF('7月'!AI4:AI34,$A$123)+COUNTIF('7月'!AN4:AN34,$A$123)+COUNTIF('7月'!AS4:AS34,$A$123)+COUNTIF('7月'!AX4:AX34,$A$123)+COUNTIF('7月'!BC4:BC34,$A$123)+COUNTIF('7月'!BH4:BH34,$A$123)+COUNTIF('7月'!BM4:BM34,$A$123)+COUNTIF('7月'!BR4:BR34,$A$123)+COUNTIF('7月'!BW4:BW34,$A$123)+COUNTIF('7月'!CB4:CB34,$A$123)+COUNTIF('7月'!CG4:CG34,$A$123)+COUNTIF('7月'!CL4:CL34,$A$123)+COUNTIF('7月'!CQ4:CQ34,$A$123)+COUNTIF('7月'!CV4:CV34,$A$123)+COUNTIF('7月'!DA4:DA34,$A$123)+COUNTIF('7月'!DF4:DF34,$A$123)+COUNTIF('7月'!DK4:DK34,$A$123)+COUNTIF('7月'!DP4:DP34,$A$123)+COUNTIF('7月'!DU4:DU34,$A$123)+COUNTIF('7月'!DZ4:DZ34,$A$123)+COUNTIF('7月'!EE4:EE34,$A$123)+COUNTIF('7月'!EJ4:EJ34,$A$123)+COUNTIF('7月'!EO4:EO34,$A$123)+COUNTIF('7月'!ET4:ET34,$A$123)+COUNTIF('7月'!E4:E34,"荻窪ー夜勤")+COUNTIF('7月'!J4:J34,"荻窪ー夜勤")+COUNTIF('7月'!O4:O34,"荻窪ー夜勤")+COUNTIF('7月'!T4:T34,"荻窪ー夜勤")+COUNTIF('7月'!Y4:Y34,"荻窪ー夜勤")+COUNTIF('7月'!AD4:AD34,"荻窪ー夜勤")+COUNTIF('7月'!AI4:AI34,"荻窪ー夜勤")+COUNTIF('7月'!AN4:AN34,"荻窪ー夜勤")+COUNTIF('7月'!AS4:AS34,"荻窪ー夜勤")+COUNTIF('7月'!AX4:AX34,"荻窪ー夜勤")+COUNTIF('7月'!BC4:BC34,"荻窪ー夜勤")+COUNTIF('7月'!BH4:BH34,"荻窪ー夜勤")+COUNTIF('7月'!BM4:BM34,"荻窪ー夜勤")+COUNTIF('7月'!BR4:BR34,"荻窪ー夜勤")+COUNTIF('7月'!BW4:BW34,"荻窪ー夜勤")+COUNTIF('7月'!CB4:CB34,"荻窪ー夜勤")+COUNTIF('7月'!CG4:CG34,"荻窪ー夜勤")+COUNTIF('7月'!CL4:CL34,"荻窪ー夜勤")+COUNTIF('7月'!CQ4:CQ34,"荻窪ー夜勤")+COUNTIF('7月'!CV4:CV34,"荻窪ー夜勤")+COUNTIF('7月'!DA4:DA34,"荻窪ー夜勤")+COUNTIF('7月'!DF4:DF34,"荻窪ー夜勤")+COUNTIF('7月'!DK4:DK34,"荻窪ー夜勤")+COUNTIF('7月'!DP4:DP34,"荻窪ー夜勤")+COUNTIF('7月'!DU4:DU34,"荻窪ー夜勤")+COUNTIF('7月'!DZ4:DZ34,"荻窪ー夜勤")+COUNTIF('7月'!EE4:EE34,"荻窪ー夜勤")+COUNTIF('7月'!EJ4:EJ34,"荻窪ー夜勤")+COUNTIF('7月'!EO4:EO34,"荻窪ー夜勤")+COUNTIF('7月'!ET4:ET34,"荻窪ー夜勤"))</f>
        <v>0</v>
      </c>
      <c r="D123" s="65">
        <f>IF($A$123="",0,B123+C123)</f>
        <v>0</v>
      </c>
    </row>
    <row r="124" spans="1:4" ht="18.95" customHeight="1">
      <c r="A124" s="77">
        <f>IFERROR(現場マスタ!$C$18,"")</f>
        <v>0</v>
      </c>
      <c r="B124" s="76">
        <f>IF($A$124="",0,COUNTIF('7月'!D4:D34,$A$124)+COUNTIF('7月'!I4:I34,$A$124)+COUNTIF('7月'!N4:N34,$A$124)+COUNTIF('7月'!S4:S34,$A$124)+COUNTIF('7月'!X4:X34,$A$124)+COUNTIF('7月'!AC4:AC34,$A$124)+COUNTIF('7月'!AH4:AH34,$A$124)+COUNTIF('7月'!AM4:AM34,$A$124)+COUNTIF('7月'!AR4:AR34,$A$124)+COUNTIF('7月'!AW4:AW34,$A$124)+COUNTIF('7月'!BB4:BB34,$A$124)+COUNTIF('7月'!BG4:BG34,$A$124)+COUNTIF('7月'!BL4:BL34,$A$124)+COUNTIF('7月'!BQ4:BQ34,$A$124)+COUNTIF('7月'!BV4:BV34,$A$124)+COUNTIF('7月'!CA4:CA34,$A$124)+COUNTIF('7月'!CF4:CF34,$A$124)+COUNTIF('7月'!CK4:CK34,$A$124)+COUNTIF('7月'!CP4:CP34,$A$124)+COUNTIF('7月'!CU4:CU34,$A$124)+COUNTIF('7月'!CZ4:CZ34,$A$124)+COUNTIF('7月'!DE4:DE34,$A$124)+COUNTIF('7月'!DJ4:DJ34,$A$124)+COUNTIF('7月'!DO4:DO34,$A$124)+COUNTIF('7月'!DT4:DT34,$A$124)+COUNTIF('7月'!DY4:DY34,$A$124)+COUNTIF('7月'!ED4:ED34,$A$124)+COUNTIF('7月'!EI4:EI34,$A$124)+COUNTIF('7月'!EN4:EN34,$A$124)+COUNTIF('7月'!ES4:ES34,$A$124))</f>
        <v>0</v>
      </c>
      <c r="C124" s="76">
        <f>IF($A$124="",0,COUNTIF('7月'!E4:E34,$A$124)+COUNTIF('7月'!J4:J34,$A$124)+COUNTIF('7月'!O4:O34,$A$124)+COUNTIF('7月'!T4:T34,$A$124)+COUNTIF('7月'!Y4:Y34,$A$124)+COUNTIF('7月'!AD4:AD34,$A$124)+COUNTIF('7月'!AI4:AI34,$A$124)+COUNTIF('7月'!AN4:AN34,$A$124)+COUNTIF('7月'!AS4:AS34,$A$124)+COUNTIF('7月'!AX4:AX34,$A$124)+COUNTIF('7月'!BC4:BC34,$A$124)+COUNTIF('7月'!BH4:BH34,$A$124)+COUNTIF('7月'!BM4:BM34,$A$124)+COUNTIF('7月'!BR4:BR34,$A$124)+COUNTIF('7月'!BW4:BW34,$A$124)+COUNTIF('7月'!CB4:CB34,$A$124)+COUNTIF('7月'!CG4:CG34,$A$124)+COUNTIF('7月'!CL4:CL34,$A$124)+COUNTIF('7月'!CQ4:CQ34,$A$124)+COUNTIF('7月'!CV4:CV34,$A$124)+COUNTIF('7月'!DA4:DA34,$A$124)+COUNTIF('7月'!DF4:DF34,$A$124)+COUNTIF('7月'!DK4:DK34,$A$124)+COUNTIF('7月'!DP4:DP34,$A$124)+COUNTIF('7月'!DU4:DU34,$A$124)+COUNTIF('7月'!DZ4:DZ34,$A$124)+COUNTIF('7月'!EE4:EE34,$A$124)+COUNTIF('7月'!EJ4:EJ34,$A$124)+COUNTIF('7月'!EO4:EO34,$A$124)+COUNTIF('7月'!ET4:ET34,$A$124))</f>
        <v>0</v>
      </c>
      <c r="D124" s="65">
        <f>IF($A$124="",0,B124+C124)</f>
        <v>0</v>
      </c>
    </row>
    <row r="125" spans="1:4" ht="18.95" customHeight="1">
      <c r="A125" s="77">
        <f>IFERROR(現場マスタ!$C$20,"")</f>
        <v>0</v>
      </c>
      <c r="B125" s="76">
        <f>IF($A$125="",0,COUNTIF('7月'!D4:D34,$A$125)+COUNTIF('7月'!I4:I34,$A$125)+COUNTIF('7月'!N4:N34,$A$125)+COUNTIF('7月'!S4:S34,$A$125)+COUNTIF('7月'!X4:X34,$A$125)+COUNTIF('7月'!AC4:AC34,$A$125)+COUNTIF('7月'!AH4:AH34,$A$125)+COUNTIF('7月'!AM4:AM34,$A$125)+COUNTIF('7月'!AR4:AR34,$A$125)+COUNTIF('7月'!AW4:AW34,$A$125)+COUNTIF('7月'!BB4:BB34,$A$125)+COUNTIF('7月'!BG4:BG34,$A$125)+COUNTIF('7月'!BL4:BL34,$A$125)+COUNTIF('7月'!BQ4:BQ34,$A$125)+COUNTIF('7月'!BV4:BV34,$A$125)+COUNTIF('7月'!CA4:CA34,$A$125)+COUNTIF('7月'!CF4:CF34,$A$125)+COUNTIF('7月'!CK4:CK34,$A$125)+COUNTIF('7月'!CP4:CP34,$A$125)+COUNTIF('7月'!CU4:CU34,$A$125)+COUNTIF('7月'!CZ4:CZ34,$A$125)+COUNTIF('7月'!DE4:DE34,$A$125)+COUNTIF('7月'!DJ4:DJ34,$A$125)+COUNTIF('7月'!DO4:DO34,$A$125)+COUNTIF('7月'!DT4:DT34,$A$125)+COUNTIF('7月'!DY4:DY34,$A$125)+COUNTIF('7月'!ED4:ED34,$A$125)+COUNTIF('7月'!EI4:EI34,$A$125)+COUNTIF('7月'!EN4:EN34,$A$125)+COUNTIF('7月'!ES4:ES34,$A$125))</f>
        <v>0</v>
      </c>
      <c r="C125" s="76">
        <f>IF($A$125="",0,COUNTIF('7月'!E4:E34,$A$125)+COUNTIF('7月'!J4:J34,$A$125)+COUNTIF('7月'!O4:O34,$A$125)+COUNTIF('7月'!T4:T34,$A$125)+COUNTIF('7月'!Y4:Y34,$A$125)+COUNTIF('7月'!AD4:AD34,$A$125)+COUNTIF('7月'!AI4:AI34,$A$125)+COUNTIF('7月'!AN4:AN34,$A$125)+COUNTIF('7月'!AS4:AS34,$A$125)+COUNTIF('7月'!AX4:AX34,$A$125)+COUNTIF('7月'!BC4:BC34,$A$125)+COUNTIF('7月'!BH4:BH34,$A$125)+COUNTIF('7月'!BM4:BM34,$A$125)+COUNTIF('7月'!BR4:BR34,$A$125)+COUNTIF('7月'!BW4:BW34,$A$125)+COUNTIF('7月'!CB4:CB34,$A$125)+COUNTIF('7月'!CG4:CG34,$A$125)+COUNTIF('7月'!CL4:CL34,$A$125)+COUNTIF('7月'!CQ4:CQ34,$A$125)+COUNTIF('7月'!CV4:CV34,$A$125)+COUNTIF('7月'!DA4:DA34,$A$125)+COUNTIF('7月'!DF4:DF34,$A$125)+COUNTIF('7月'!DK4:DK34,$A$125)+COUNTIF('7月'!DP4:DP34,$A$125)+COUNTIF('7月'!DU4:DU34,$A$125)+COUNTIF('7月'!DZ4:DZ34,$A$125)+COUNTIF('7月'!EE4:EE34,$A$125)+COUNTIF('7月'!EJ4:EJ34,$A$125)+COUNTIF('7月'!EO4:EO34,$A$125)+COUNTIF('7月'!ET4:ET34,$A$125))</f>
        <v>0</v>
      </c>
      <c r="D125" s="65">
        <f>IF($A$125="",0,B125+C125)</f>
        <v>0</v>
      </c>
    </row>
    <row r="126" spans="1:4" ht="18.95" customHeight="1">
      <c r="A126" s="77">
        <f>IFERROR(現場マスタ!$C$21,"")</f>
        <v>0</v>
      </c>
      <c r="B126" s="76">
        <f>IF($A$126="",0,COUNTIF('7月'!D4:D34,$A$126)+COUNTIF('7月'!I4:I34,$A$126)+COUNTIF('7月'!N4:N34,$A$126)+COUNTIF('7月'!S4:S34,$A$126)+COUNTIF('7月'!X4:X34,$A$126)+COUNTIF('7月'!AC4:AC34,$A$126)+COUNTIF('7月'!AH4:AH34,$A$126)+COUNTIF('7月'!AM4:AM34,$A$126)+COUNTIF('7月'!AR4:AR34,$A$126)+COUNTIF('7月'!AW4:AW34,$A$126)+COUNTIF('7月'!BB4:BB34,$A$126)+COUNTIF('7月'!BG4:BG34,$A$126)+COUNTIF('7月'!BL4:BL34,$A$126)+COUNTIF('7月'!BQ4:BQ34,$A$126)+COUNTIF('7月'!BV4:BV34,$A$126)+COUNTIF('7月'!CA4:CA34,$A$126)+COUNTIF('7月'!CF4:CF34,$A$126)+COUNTIF('7月'!CK4:CK34,$A$126)+COUNTIF('7月'!CP4:CP34,$A$126)+COUNTIF('7月'!CU4:CU34,$A$126)+COUNTIF('7月'!CZ4:CZ34,$A$126)+COUNTIF('7月'!DE4:DE34,$A$126)+COUNTIF('7月'!DJ4:DJ34,$A$126)+COUNTIF('7月'!DO4:DO34,$A$126)+COUNTIF('7月'!DT4:DT34,$A$126)+COUNTIF('7月'!DY4:DY34,$A$126)+COUNTIF('7月'!ED4:ED34,$A$126)+COUNTIF('7月'!EI4:EI34,$A$126)+COUNTIF('7月'!EN4:EN34,$A$126)+COUNTIF('7月'!ES4:ES34,$A$126))</f>
        <v>0</v>
      </c>
      <c r="C126" s="76">
        <f>IF($A$126="",0,COUNTIF('7月'!E4:E34,$A$126)+COUNTIF('7月'!J4:J34,$A$126)+COUNTIF('7月'!O4:O34,$A$126)+COUNTIF('7月'!T4:T34,$A$126)+COUNTIF('7月'!Y4:Y34,$A$126)+COUNTIF('7月'!AD4:AD34,$A$126)+COUNTIF('7月'!AI4:AI34,$A$126)+COUNTIF('7月'!AN4:AN34,$A$126)+COUNTIF('7月'!AS4:AS34,$A$126)+COUNTIF('7月'!AX4:AX34,$A$126)+COUNTIF('7月'!BC4:BC34,$A$126)+COUNTIF('7月'!BH4:BH34,$A$126)+COUNTIF('7月'!BM4:BM34,$A$126)+COUNTIF('7月'!BR4:BR34,$A$126)+COUNTIF('7月'!BW4:BW34,$A$126)+COUNTIF('7月'!CB4:CB34,$A$126)+COUNTIF('7月'!CG4:CG34,$A$126)+COUNTIF('7月'!CL4:CL34,$A$126)+COUNTIF('7月'!CQ4:CQ34,$A$126)+COUNTIF('7月'!CV4:CV34,$A$126)+COUNTIF('7月'!DA4:DA34,$A$126)+COUNTIF('7月'!DF4:DF34,$A$126)+COUNTIF('7月'!DK4:DK34,$A$126)+COUNTIF('7月'!DP4:DP34,$A$126)+COUNTIF('7月'!DU4:DU34,$A$126)+COUNTIF('7月'!DZ4:DZ34,$A$126)+COUNTIF('7月'!EE4:EE34,$A$126)+COUNTIF('7月'!EJ4:EJ34,$A$126)+COUNTIF('7月'!EO4:EO34,$A$126)+COUNTIF('7月'!ET4:ET34,$A$126))</f>
        <v>0</v>
      </c>
      <c r="D126" s="65">
        <f>IF($A$126="",0,B126+C126)</f>
        <v>0</v>
      </c>
    </row>
    <row r="127" spans="1:4" ht="18.95" customHeight="1">
      <c r="A127" s="77">
        <f>IFERROR(現場マスタ!$C$22,"")</f>
        <v>0</v>
      </c>
      <c r="B127" s="76">
        <f>IF($A$127="",0,COUNTIF('7月'!D4:D34,$A$127)+COUNTIF('7月'!I4:I34,$A$127)+COUNTIF('7月'!N4:N34,$A$127)+COUNTIF('7月'!S4:S34,$A$127)+COUNTIF('7月'!X4:X34,$A$127)+COUNTIF('7月'!AC4:AC34,$A$127)+COUNTIF('7月'!AH4:AH34,$A$127)+COUNTIF('7月'!AM4:AM34,$A$127)+COUNTIF('7月'!AR4:AR34,$A$127)+COUNTIF('7月'!AW4:AW34,$A$127)+COUNTIF('7月'!BB4:BB34,$A$127)+COUNTIF('7月'!BG4:BG34,$A$127)+COUNTIF('7月'!BL4:BL34,$A$127)+COUNTIF('7月'!BQ4:BQ34,$A$127)+COUNTIF('7月'!BV4:BV34,$A$127)+COUNTIF('7月'!CA4:CA34,$A$127)+COUNTIF('7月'!CF4:CF34,$A$127)+COUNTIF('7月'!CK4:CK34,$A$127)+COUNTIF('7月'!CP4:CP34,$A$127)+COUNTIF('7月'!CU4:CU34,$A$127)+COUNTIF('7月'!CZ4:CZ34,$A$127)+COUNTIF('7月'!DE4:DE34,$A$127)+COUNTIF('7月'!DJ4:DJ34,$A$127)+COUNTIF('7月'!DO4:DO34,$A$127)+COUNTIF('7月'!DT4:DT34,$A$127)+COUNTIF('7月'!DY4:DY34,$A$127)+COUNTIF('7月'!ED4:ED34,$A$127)+COUNTIF('7月'!EI4:EI34,$A$127)+COUNTIF('7月'!EN4:EN34,$A$127)+COUNTIF('7月'!ES4:ES34,$A$127))</f>
        <v>0</v>
      </c>
      <c r="C127" s="76">
        <f>IF($A$127="",0,COUNTIF('7月'!E4:E34,$A$127)+COUNTIF('7月'!J4:J34,$A$127)+COUNTIF('7月'!O4:O34,$A$127)+COUNTIF('7月'!T4:T34,$A$127)+COUNTIF('7月'!Y4:Y34,$A$127)+COUNTIF('7月'!AD4:AD34,$A$127)+COUNTIF('7月'!AI4:AI34,$A$127)+COUNTIF('7月'!AN4:AN34,$A$127)+COUNTIF('7月'!AS4:AS34,$A$127)+COUNTIF('7月'!AX4:AX34,$A$127)+COUNTIF('7月'!BC4:BC34,$A$127)+COUNTIF('7月'!BH4:BH34,$A$127)+COUNTIF('7月'!BM4:BM34,$A$127)+COUNTIF('7月'!BR4:BR34,$A$127)+COUNTIF('7月'!BW4:BW34,$A$127)+COUNTIF('7月'!CB4:CB34,$A$127)+COUNTIF('7月'!CG4:CG34,$A$127)+COUNTIF('7月'!CL4:CL34,$A$127)+COUNTIF('7月'!CQ4:CQ34,$A$127)+COUNTIF('7月'!CV4:CV34,$A$127)+COUNTIF('7月'!DA4:DA34,$A$127)+COUNTIF('7月'!DF4:DF34,$A$127)+COUNTIF('7月'!DK4:DK34,$A$127)+COUNTIF('7月'!DP4:DP34,$A$127)+COUNTIF('7月'!DU4:DU34,$A$127)+COUNTIF('7月'!DZ4:DZ34,$A$127)+COUNTIF('7月'!EE4:EE34,$A$127)+COUNTIF('7月'!EJ4:EJ34,$A$127)+COUNTIF('7月'!EO4:EO34,$A$127)+COUNTIF('7月'!ET4:ET34,$A$127))</f>
        <v>0</v>
      </c>
      <c r="D127" s="65">
        <f>IF($A$127="",0,B127+C127)</f>
        <v>0</v>
      </c>
    </row>
    <row r="128" spans="1:4" ht="9.9499999999999993" customHeight="1"/>
    <row r="129" spans="1:4" ht="21.95" customHeight="1">
      <c r="A129" s="112" t="str">
        <f>対象年度&amp;"年 8月"</f>
        <v>2026年 8月</v>
      </c>
      <c r="B129" s="112"/>
      <c r="C129" s="112"/>
      <c r="D129" s="112"/>
    </row>
    <row r="130" spans="1:4" ht="20.100000000000001" customHeight="1">
      <c r="A130" s="60" t="s">
        <v>60</v>
      </c>
      <c r="B130" s="75" t="s">
        <v>110</v>
      </c>
      <c r="C130" s="75" t="s">
        <v>111</v>
      </c>
      <c r="D130" s="65" t="s">
        <v>112</v>
      </c>
    </row>
    <row r="131" spans="1:4" ht="18.95" customHeight="1">
      <c r="A131" s="77" t="str">
        <f>IFERROR(現場マスタ!$C$4,"")</f>
        <v>新宿</v>
      </c>
      <c r="B131" s="76">
        <f>IF($A$131="",0,COUNTIF('8月'!D4:D34,$A$131)+COUNTIF('8月'!I4:I34,$A$131)+COUNTIF('8月'!N4:N34,$A$131)+COUNTIF('8月'!S4:S34,$A$131)+COUNTIF('8月'!X4:X34,$A$131)+COUNTIF('8月'!AC4:AC34,$A$131)+COUNTIF('8月'!AH4:AH34,$A$131)+COUNTIF('8月'!AM4:AM34,$A$131)+COUNTIF('8月'!AR4:AR34,$A$131)+COUNTIF('8月'!AW4:AW34,$A$131)+COUNTIF('8月'!BB4:BB34,$A$131)+COUNTIF('8月'!BG4:BG34,$A$131)+COUNTIF('8月'!BL4:BL34,$A$131)+COUNTIF('8月'!BQ4:BQ34,$A$131)+COUNTIF('8月'!BV4:BV34,$A$131)+COUNTIF('8月'!CA4:CA34,$A$131)+COUNTIF('8月'!CF4:CF34,$A$131)+COUNTIF('8月'!CK4:CK34,$A$131)+COUNTIF('8月'!CP4:CP34,$A$131)+COUNTIF('8月'!CU4:CU34,$A$131)+COUNTIF('8月'!CZ4:CZ34,$A$131)+COUNTIF('8月'!DE4:DE34,$A$131)+COUNTIF('8月'!DJ4:DJ34,$A$131)+COUNTIF('8月'!DO4:DO34,$A$131)+COUNTIF('8月'!DT4:DT34,$A$131)+COUNTIF('8月'!DY4:DY34,$A$131)+COUNTIF('8月'!ED4:ED34,$A$131)+COUNTIF('8月'!EI4:EI34,$A$131)+COUNTIF('8月'!EN4:EN34,$A$131)+COUNTIF('8月'!ES4:ES34,$A$131))</f>
        <v>0</v>
      </c>
      <c r="C131" s="76">
        <f>IF($A$131="",0,COUNTIF('8月'!E4:E34,$A$131)+COUNTIF('8月'!J4:J34,$A$131)+COUNTIF('8月'!O4:O34,$A$131)+COUNTIF('8月'!T4:T34,$A$131)+COUNTIF('8月'!Y4:Y34,$A$131)+COUNTIF('8月'!AD4:AD34,$A$131)+COUNTIF('8月'!AI4:AI34,$A$131)+COUNTIF('8月'!AN4:AN34,$A$131)+COUNTIF('8月'!AS4:AS34,$A$131)+COUNTIF('8月'!AX4:AX34,$A$131)+COUNTIF('8月'!BC4:BC34,$A$131)+COUNTIF('8月'!BH4:BH34,$A$131)+COUNTIF('8月'!BM4:BM34,$A$131)+COUNTIF('8月'!BR4:BR34,$A$131)+COUNTIF('8月'!BW4:BW34,$A$131)+COUNTIF('8月'!CB4:CB34,$A$131)+COUNTIF('8月'!CG4:CG34,$A$131)+COUNTIF('8月'!CL4:CL34,$A$131)+COUNTIF('8月'!CQ4:CQ34,$A$131)+COUNTIF('8月'!CV4:CV34,$A$131)+COUNTIF('8月'!DA4:DA34,$A$131)+COUNTIF('8月'!DF4:DF34,$A$131)+COUNTIF('8月'!DK4:DK34,$A$131)+COUNTIF('8月'!DP4:DP34,$A$131)+COUNTIF('8月'!DU4:DU34,$A$131)+COUNTIF('8月'!DZ4:DZ34,$A$131)+COUNTIF('8月'!EE4:EE34,$A$131)+COUNTIF('8月'!EJ4:EJ34,$A$131)+COUNTIF('8月'!EO4:EO34,$A$131)+COUNTIF('8月'!ET4:ET34,$A$131))</f>
        <v>0</v>
      </c>
      <c r="D131" s="65">
        <f>IF($A$131="",0,B131+C131)</f>
        <v>0</v>
      </c>
    </row>
    <row r="132" spans="1:4" ht="18.95" customHeight="1">
      <c r="A132" s="77" t="str">
        <f>IFERROR(現場マスタ!$C$5,"")</f>
        <v>赤坂</v>
      </c>
      <c r="B132" s="76">
        <f>IF($A$132="",0,COUNTIF('8月'!D4:D34,$A$132)+COUNTIF('8月'!I4:I34,$A$132)+COUNTIF('8月'!N4:N34,$A$132)+COUNTIF('8月'!S4:S34,$A$132)+COUNTIF('8月'!X4:X34,$A$132)+COUNTIF('8月'!AC4:AC34,$A$132)+COUNTIF('8月'!AH4:AH34,$A$132)+COUNTIF('8月'!AM4:AM34,$A$132)+COUNTIF('8月'!AR4:AR34,$A$132)+COUNTIF('8月'!AW4:AW34,$A$132)+COUNTIF('8月'!BB4:BB34,$A$132)+COUNTIF('8月'!BG4:BG34,$A$132)+COUNTIF('8月'!BL4:BL34,$A$132)+COUNTIF('8月'!BQ4:BQ34,$A$132)+COUNTIF('8月'!BV4:BV34,$A$132)+COUNTIF('8月'!CA4:CA34,$A$132)+COUNTIF('8月'!CF4:CF34,$A$132)+COUNTIF('8月'!CK4:CK34,$A$132)+COUNTIF('8月'!CP4:CP34,$A$132)+COUNTIF('8月'!CU4:CU34,$A$132)+COUNTIF('8月'!CZ4:CZ34,$A$132)+COUNTIF('8月'!DE4:DE34,$A$132)+COUNTIF('8月'!DJ4:DJ34,$A$132)+COUNTIF('8月'!DO4:DO34,$A$132)+COUNTIF('8月'!DT4:DT34,$A$132)+COUNTIF('8月'!DY4:DY34,$A$132)+COUNTIF('8月'!ED4:ED34,$A$132)+COUNTIF('8月'!EI4:EI34,$A$132)+COUNTIF('8月'!EN4:EN34,$A$132)+COUNTIF('8月'!ES4:ES34,$A$132))</f>
        <v>0</v>
      </c>
      <c r="C132" s="76">
        <f>IF($A$132="",0,COUNTIF('8月'!E4:E34,$A$132)+COUNTIF('8月'!J4:J34,$A$132)+COUNTIF('8月'!O4:O34,$A$132)+COUNTIF('8月'!T4:T34,$A$132)+COUNTIF('8月'!Y4:Y34,$A$132)+COUNTIF('8月'!AD4:AD34,$A$132)+COUNTIF('8月'!AI4:AI34,$A$132)+COUNTIF('8月'!AN4:AN34,$A$132)+COUNTIF('8月'!AS4:AS34,$A$132)+COUNTIF('8月'!AX4:AX34,$A$132)+COUNTIF('8月'!BC4:BC34,$A$132)+COUNTIF('8月'!BH4:BH34,$A$132)+COUNTIF('8月'!BM4:BM34,$A$132)+COUNTIF('8月'!BR4:BR34,$A$132)+COUNTIF('8月'!BW4:BW34,$A$132)+COUNTIF('8月'!CB4:CB34,$A$132)+COUNTIF('8月'!CG4:CG34,$A$132)+COUNTIF('8月'!CL4:CL34,$A$132)+COUNTIF('8月'!CQ4:CQ34,$A$132)+COUNTIF('8月'!CV4:CV34,$A$132)+COUNTIF('8月'!DA4:DA34,$A$132)+COUNTIF('8月'!DF4:DF34,$A$132)+COUNTIF('8月'!DK4:DK34,$A$132)+COUNTIF('8月'!DP4:DP34,$A$132)+COUNTIF('8月'!DU4:DU34,$A$132)+COUNTIF('8月'!DZ4:DZ34,$A$132)+COUNTIF('8月'!EE4:EE34,$A$132)+COUNTIF('8月'!EJ4:EJ34,$A$132)+COUNTIF('8月'!EO4:EO34,$A$132)+COUNTIF('8月'!ET4:ET34,$A$132))</f>
        <v>0</v>
      </c>
      <c r="D132" s="65">
        <f>IF($A$132="",0,B132+C132)</f>
        <v>0</v>
      </c>
    </row>
    <row r="133" spans="1:4" ht="18.95" customHeight="1">
      <c r="A133" s="77" t="str">
        <f>IFERROR(現場マスタ!$C$6,"")</f>
        <v>渋谷ヒカリエ</v>
      </c>
      <c r="B133" s="76">
        <f>IF($A$133="",0,COUNTIF('8月'!D4:D34,$A$133)+COUNTIF('8月'!I4:I34,$A$133)+COUNTIF('8月'!N4:N34,$A$133)+COUNTIF('8月'!S4:S34,$A$133)+COUNTIF('8月'!X4:X34,$A$133)+COUNTIF('8月'!AC4:AC34,$A$133)+COUNTIF('8月'!AH4:AH34,$A$133)+COUNTIF('8月'!AM4:AM34,$A$133)+COUNTIF('8月'!AR4:AR34,$A$133)+COUNTIF('8月'!AW4:AW34,$A$133)+COUNTIF('8月'!BB4:BB34,$A$133)+COUNTIF('8月'!BG4:BG34,$A$133)+COUNTIF('8月'!BL4:BL34,$A$133)+COUNTIF('8月'!BQ4:BQ34,$A$133)+COUNTIF('8月'!BV4:BV34,$A$133)+COUNTIF('8月'!CA4:CA34,$A$133)+COUNTIF('8月'!CF4:CF34,$A$133)+COUNTIF('8月'!CK4:CK34,$A$133)+COUNTIF('8月'!CP4:CP34,$A$133)+COUNTIF('8月'!CU4:CU34,$A$133)+COUNTIF('8月'!CZ4:CZ34,$A$133)+COUNTIF('8月'!DE4:DE34,$A$133)+COUNTIF('8月'!DJ4:DJ34,$A$133)+COUNTIF('8月'!DO4:DO34,$A$133)+COUNTIF('8月'!DT4:DT34,$A$133)+COUNTIF('8月'!DY4:DY34,$A$133)+COUNTIF('8月'!ED4:ED34,$A$133)+COUNTIF('8月'!EI4:EI34,$A$133)+COUNTIF('8月'!EN4:EN34,$A$133)+COUNTIF('8月'!ES4:ES34,$A$133))</f>
        <v>0</v>
      </c>
      <c r="C133" s="76">
        <f>IF($A$133="",0,COUNTIF('8月'!E4:E34,$A$133)+COUNTIF('8月'!J4:J34,$A$133)+COUNTIF('8月'!O4:O34,$A$133)+COUNTIF('8月'!T4:T34,$A$133)+COUNTIF('8月'!Y4:Y34,$A$133)+COUNTIF('8月'!AD4:AD34,$A$133)+COUNTIF('8月'!AI4:AI34,$A$133)+COUNTIF('8月'!AN4:AN34,$A$133)+COUNTIF('8月'!AS4:AS34,$A$133)+COUNTIF('8月'!AX4:AX34,$A$133)+COUNTIF('8月'!BC4:BC34,$A$133)+COUNTIF('8月'!BH4:BH34,$A$133)+COUNTIF('8月'!BM4:BM34,$A$133)+COUNTIF('8月'!BR4:BR34,$A$133)+COUNTIF('8月'!BW4:BW34,$A$133)+COUNTIF('8月'!CB4:CB34,$A$133)+COUNTIF('8月'!CG4:CG34,$A$133)+COUNTIF('8月'!CL4:CL34,$A$133)+COUNTIF('8月'!CQ4:CQ34,$A$133)+COUNTIF('8月'!CV4:CV34,$A$133)+COUNTIF('8月'!DA4:DA34,$A$133)+COUNTIF('8月'!DF4:DF34,$A$133)+COUNTIF('8月'!DK4:DK34,$A$133)+COUNTIF('8月'!DP4:DP34,$A$133)+COUNTIF('8月'!DU4:DU34,$A$133)+COUNTIF('8月'!DZ4:DZ34,$A$133)+COUNTIF('8月'!EE4:EE34,$A$133)+COUNTIF('8月'!EJ4:EJ34,$A$133)+COUNTIF('8月'!EO4:EO34,$A$133)+COUNTIF('8月'!ET4:ET34,$A$133))</f>
        <v>0</v>
      </c>
      <c r="D133" s="65">
        <f>IF($A$133="",0,B133+C133)</f>
        <v>0</v>
      </c>
    </row>
    <row r="134" spans="1:4" ht="18.95" customHeight="1">
      <c r="A134" s="77" t="str">
        <f>IFERROR(現場マスタ!$C$7,"")</f>
        <v>六本木ヒルズ</v>
      </c>
      <c r="B134" s="76">
        <f>IF($A$134="",0,COUNTIF('8月'!D4:D34,$A$134)+COUNTIF('8月'!I4:I34,$A$134)+COUNTIF('8月'!N4:N34,$A$134)+COUNTIF('8月'!S4:S34,$A$134)+COUNTIF('8月'!X4:X34,$A$134)+COUNTIF('8月'!AC4:AC34,$A$134)+COUNTIF('8月'!AH4:AH34,$A$134)+COUNTIF('8月'!AM4:AM34,$A$134)+COUNTIF('8月'!AR4:AR34,$A$134)+COUNTIF('8月'!AW4:AW34,$A$134)+COUNTIF('8月'!BB4:BB34,$A$134)+COUNTIF('8月'!BG4:BG34,$A$134)+COUNTIF('8月'!BL4:BL34,$A$134)+COUNTIF('8月'!BQ4:BQ34,$A$134)+COUNTIF('8月'!BV4:BV34,$A$134)+COUNTIF('8月'!CA4:CA34,$A$134)+COUNTIF('8月'!CF4:CF34,$A$134)+COUNTIF('8月'!CK4:CK34,$A$134)+COUNTIF('8月'!CP4:CP34,$A$134)+COUNTIF('8月'!CU4:CU34,$A$134)+COUNTIF('8月'!CZ4:CZ34,$A$134)+COUNTIF('8月'!DE4:DE34,$A$134)+COUNTIF('8月'!DJ4:DJ34,$A$134)+COUNTIF('8月'!DO4:DO34,$A$134)+COUNTIF('8月'!DT4:DT34,$A$134)+COUNTIF('8月'!DY4:DY34,$A$134)+COUNTIF('8月'!ED4:ED34,$A$134)+COUNTIF('8月'!EI4:EI34,$A$134)+COUNTIF('8月'!EN4:EN34,$A$134)+COUNTIF('8月'!ES4:ES34,$A$134)+COUNTIF('8月'!D4:D34,"渋谷-夜勤")+COUNTIF('8月'!I4:I34,"渋谷-夜勤")+COUNTIF('8月'!N4:N34,"渋谷-夜勤")+COUNTIF('8月'!S4:S34,"渋谷-夜勤")+COUNTIF('8月'!X4:X34,"渋谷-夜勤")+COUNTIF('8月'!AC4:AC34,"渋谷-夜勤")+COUNTIF('8月'!AH4:AH34,"渋谷-夜勤")+COUNTIF('8月'!AM4:AM34,"渋谷-夜勤")+COUNTIF('8月'!AR4:AR34,"渋谷-夜勤")+COUNTIF('8月'!AW4:AW34,"渋谷-夜勤")+COUNTIF('8月'!BB4:BB34,"渋谷-夜勤")+COUNTIF('8月'!BG4:BG34,"渋谷-夜勤")+COUNTIF('8月'!BL4:BL34,"渋谷-夜勤")+COUNTIF('8月'!BQ4:BQ34,"渋谷-夜勤")+COUNTIF('8月'!BV4:BV34,"渋谷-夜勤")+COUNTIF('8月'!CA4:CA34,"渋谷-夜勤")+COUNTIF('8月'!CF4:CF34,"渋谷-夜勤")+COUNTIF('8月'!CK4:CK34,"渋谷-夜勤")+COUNTIF('8月'!CP4:CP34,"渋谷-夜勤")+COUNTIF('8月'!CU4:CU34,"渋谷-夜勤")+COUNTIF('8月'!CZ4:CZ34,"渋谷-夜勤")+COUNTIF('8月'!DE4:DE34,"渋谷-夜勤")+COUNTIF('8月'!DJ4:DJ34,"渋谷-夜勤")+COUNTIF('8月'!DO4:DO34,"渋谷-夜勤")+COUNTIF('8月'!DT4:DT34,"渋谷-夜勤")+COUNTIF('8月'!DY4:DY34,"渋谷-夜勤")+COUNTIF('8月'!ED4:ED34,"渋谷-夜勤")+COUNTIF('8月'!EI4:EI34,"渋谷-夜勤")+COUNTIF('8月'!EN4:EN34,"渋谷-夜勤")+COUNTIF('8月'!ES4:ES34,"渋谷-夜勤"))</f>
        <v>0</v>
      </c>
      <c r="C134" s="76">
        <f>IF($A$134="",0,COUNTIF('8月'!E4:E34,$A$134)+COUNTIF('8月'!J4:J34,$A$134)+COUNTIF('8月'!O4:O34,$A$134)+COUNTIF('8月'!T4:T34,$A$134)+COUNTIF('8月'!Y4:Y34,$A$134)+COUNTIF('8月'!AD4:AD34,$A$134)+COUNTIF('8月'!AI4:AI34,$A$134)+COUNTIF('8月'!AN4:AN34,$A$134)+COUNTIF('8月'!AS4:AS34,$A$134)+COUNTIF('8月'!AX4:AX34,$A$134)+COUNTIF('8月'!BC4:BC34,$A$134)+COUNTIF('8月'!BH4:BH34,$A$134)+COUNTIF('8月'!BM4:BM34,$A$134)+COUNTIF('8月'!BR4:BR34,$A$134)+COUNTIF('8月'!BW4:BW34,$A$134)+COUNTIF('8月'!CB4:CB34,$A$134)+COUNTIF('8月'!CG4:CG34,$A$134)+COUNTIF('8月'!CL4:CL34,$A$134)+COUNTIF('8月'!CQ4:CQ34,$A$134)+COUNTIF('8月'!CV4:CV34,$A$134)+COUNTIF('8月'!DA4:DA34,$A$134)+COUNTIF('8月'!DF4:DF34,$A$134)+COUNTIF('8月'!DK4:DK34,$A$134)+COUNTIF('8月'!DP4:DP34,$A$134)+COUNTIF('8月'!DU4:DU34,$A$134)+COUNTIF('8月'!DZ4:DZ34,$A$134)+COUNTIF('8月'!EE4:EE34,$A$134)+COUNTIF('8月'!EJ4:EJ34,$A$134)+COUNTIF('8月'!EO4:EO34,$A$134)+COUNTIF('8月'!ET4:ET34,$A$134)+COUNTIF('8月'!E4:E34,"渋谷-夜勤")+COUNTIF('8月'!J4:J34,"渋谷-夜勤")+COUNTIF('8月'!O4:O34,"渋谷-夜勤")+COUNTIF('8月'!T4:T34,"渋谷-夜勤")+COUNTIF('8月'!Y4:Y34,"渋谷-夜勤")+COUNTIF('8月'!AD4:AD34,"渋谷-夜勤")+COUNTIF('8月'!AI4:AI34,"渋谷-夜勤")+COUNTIF('8月'!AN4:AN34,"渋谷-夜勤")+COUNTIF('8月'!AS4:AS34,"渋谷-夜勤")+COUNTIF('8月'!AX4:AX34,"渋谷-夜勤")+COUNTIF('8月'!BC4:BC34,"渋谷-夜勤")+COUNTIF('8月'!BH4:BH34,"渋谷-夜勤")+COUNTIF('8月'!BM4:BM34,"渋谷-夜勤")+COUNTIF('8月'!BR4:BR34,"渋谷-夜勤")+COUNTIF('8月'!BW4:BW34,"渋谷-夜勤")+COUNTIF('8月'!CB4:CB34,"渋谷-夜勤")+COUNTIF('8月'!CG4:CG34,"渋谷-夜勤")+COUNTIF('8月'!CL4:CL34,"渋谷-夜勤")+COUNTIF('8月'!CQ4:CQ34,"渋谷-夜勤")+COUNTIF('8月'!CV4:CV34,"渋谷-夜勤")+COUNTIF('8月'!DA4:DA34,"渋谷-夜勤")+COUNTIF('8月'!DF4:DF34,"渋谷-夜勤")+COUNTIF('8月'!DK4:DK34,"渋谷-夜勤")+COUNTIF('8月'!DP4:DP34,"渋谷-夜勤")+COUNTIF('8月'!DU4:DU34,"渋谷-夜勤")+COUNTIF('8月'!DZ4:DZ34,"渋谷-夜勤")+COUNTIF('8月'!EE4:EE34,"渋谷-夜勤")+COUNTIF('8月'!EJ4:EJ34,"渋谷-夜勤")+COUNTIF('8月'!EO4:EO34,"渋谷-夜勤")+COUNTIF('8月'!ET4:ET34,"渋谷-夜勤"))</f>
        <v>0</v>
      </c>
      <c r="D134" s="65">
        <f>IF($A$134="",0,B134+C134)</f>
        <v>0</v>
      </c>
    </row>
    <row r="135" spans="1:4" ht="18.95" customHeight="1">
      <c r="A135" s="77" t="str">
        <f>IFERROR(現場マスタ!$C$10,"")</f>
        <v>有給</v>
      </c>
      <c r="B135" s="76">
        <f>IF($A$135="",0,COUNTIF('8月'!D4:D34,$A$135)+COUNTIF('8月'!I4:I34,$A$135)+COUNTIF('8月'!N4:N34,$A$135)+COUNTIF('8月'!S4:S34,$A$135)+COUNTIF('8月'!X4:X34,$A$135)+COUNTIF('8月'!AC4:AC34,$A$135)+COUNTIF('8月'!AH4:AH34,$A$135)+COUNTIF('8月'!AM4:AM34,$A$135)+COUNTIF('8月'!AR4:AR34,$A$135)+COUNTIF('8月'!AW4:AW34,$A$135)+COUNTIF('8月'!BB4:BB34,$A$135)+COUNTIF('8月'!BG4:BG34,$A$135)+COUNTIF('8月'!BL4:BL34,$A$135)+COUNTIF('8月'!BQ4:BQ34,$A$135)+COUNTIF('8月'!BV4:BV34,$A$135)+COUNTIF('8月'!CA4:CA34,$A$135)+COUNTIF('8月'!CF4:CF34,$A$135)+COUNTIF('8月'!CK4:CK34,$A$135)+COUNTIF('8月'!CP4:CP34,$A$135)+COUNTIF('8月'!CU4:CU34,$A$135)+COUNTIF('8月'!CZ4:CZ34,$A$135)+COUNTIF('8月'!DE4:DE34,$A$135)+COUNTIF('8月'!DJ4:DJ34,$A$135)+COUNTIF('8月'!DO4:DO34,$A$135)+COUNTIF('8月'!DT4:DT34,$A$135)+COUNTIF('8月'!DY4:DY34,$A$135)+COUNTIF('8月'!ED4:ED34,$A$135)+COUNTIF('8月'!EI4:EI34,$A$135)+COUNTIF('8月'!EN4:EN34,$A$135)+COUNTIF('8月'!ES4:ES34,$A$135)+COUNTIF('8月'!D4:D34,"六本木-夜勤")+COUNTIF('8月'!I4:I34,"六本木-夜勤")+COUNTIF('8月'!N4:N34,"六本木-夜勤")+COUNTIF('8月'!S4:S34,"六本木-夜勤")+COUNTIF('8月'!X4:X34,"六本木-夜勤")+COUNTIF('8月'!AC4:AC34,"六本木-夜勤")+COUNTIF('8月'!AH4:AH34,"六本木-夜勤")+COUNTIF('8月'!AM4:AM34,"六本木-夜勤")+COUNTIF('8月'!AR4:AR34,"六本木-夜勤")+COUNTIF('8月'!AW4:AW34,"六本木-夜勤")+COUNTIF('8月'!BB4:BB34,"六本木-夜勤")+COUNTIF('8月'!BG4:BG34,"六本木-夜勤")+COUNTIF('8月'!BL4:BL34,"六本木-夜勤")+COUNTIF('8月'!BQ4:BQ34,"六本木-夜勤")+COUNTIF('8月'!BV4:BV34,"六本木-夜勤")+COUNTIF('8月'!CA4:CA34,"六本木-夜勤")+COUNTIF('8月'!CF4:CF34,"六本木-夜勤")+COUNTIF('8月'!CK4:CK34,"六本木-夜勤")+COUNTIF('8月'!CP4:CP34,"六本木-夜勤")+COUNTIF('8月'!CU4:CU34,"六本木-夜勤")+COUNTIF('8月'!CZ4:CZ34,"六本木-夜勤")+COUNTIF('8月'!DE4:DE34,"六本木-夜勤")+COUNTIF('8月'!DJ4:DJ34,"六本木-夜勤")+COUNTIF('8月'!DO4:DO34,"六本木-夜勤")+COUNTIF('8月'!DT4:DT34,"六本木-夜勤")+COUNTIF('8月'!DY4:DY34,"六本木-夜勤")+COUNTIF('8月'!ED4:ED34,"六本木-夜勤")+COUNTIF('8月'!EI4:EI34,"六本木-夜勤")+COUNTIF('8月'!EN4:EN34,"六本木-夜勤")+COUNTIF('8月'!ES4:ES34,"六本木-夜勤")+COUNTIF('8月'!D4:D34,"六本木ー夜勤")+COUNTIF('8月'!I4:I34,"六本木ー夜勤")+COUNTIF('8月'!N4:N34,"六本木ー夜勤")+COUNTIF('8月'!S4:S34,"六本木ー夜勤")+COUNTIF('8月'!X4:X34,"六本木ー夜勤")+COUNTIF('8月'!AC4:AC34,"六本木ー夜勤")+COUNTIF('8月'!AH4:AH34,"六本木ー夜勤")+COUNTIF('8月'!AM4:AM34,"六本木ー夜勤")+COUNTIF('8月'!AR4:AR34,"六本木ー夜勤")+COUNTIF('8月'!AW4:AW34,"六本木ー夜勤")+COUNTIF('8月'!BB4:BB34,"六本木ー夜勤")+COUNTIF('8月'!BG4:BG34,"六本木ー夜勤")+COUNTIF('8月'!BL4:BL34,"六本木ー夜勤")+COUNTIF('8月'!BQ4:BQ34,"六本木ー夜勤")+COUNTIF('8月'!BV4:BV34,"六本木ー夜勤")+COUNTIF('8月'!CA4:CA34,"六本木ー夜勤")+COUNTIF('8月'!CF4:CF34,"六本木ー夜勤")+COUNTIF('8月'!CK4:CK34,"六本木ー夜勤")+COUNTIF('8月'!CP4:CP34,"六本木ー夜勤")+COUNTIF('8月'!CU4:CU34,"六本木ー夜勤")+COUNTIF('8月'!CZ4:CZ34,"六本木ー夜勤")+COUNTIF('8月'!DE4:DE34,"六本木ー夜勤")+COUNTIF('8月'!DJ4:DJ34,"六本木ー夜勤")+COUNTIF('8月'!DO4:DO34,"六本木ー夜勤")+COUNTIF('8月'!DT4:DT34,"六本木ー夜勤")+COUNTIF('8月'!DY4:DY34,"六本木ー夜勤")+COUNTIF('8月'!ED4:ED34,"六本木ー夜勤")+COUNTIF('8月'!EI4:EI34,"六本木ー夜勤")+COUNTIF('8月'!EN4:EN34,"六本木ー夜勤")+COUNTIF('8月'!ES4:ES34,"六本木ー夜勤"))</f>
        <v>0</v>
      </c>
      <c r="C135" s="76">
        <f>IF($A$135="",0,COUNTIF('8月'!E4:E34,$A$135)+COUNTIF('8月'!J4:J34,$A$135)+COUNTIF('8月'!O4:O34,$A$135)+COUNTIF('8月'!T4:T34,$A$135)+COUNTIF('8月'!Y4:Y34,$A$135)+COUNTIF('8月'!AD4:AD34,$A$135)+COUNTIF('8月'!AI4:AI34,$A$135)+COUNTIF('8月'!AN4:AN34,$A$135)+COUNTIF('8月'!AS4:AS34,$A$135)+COUNTIF('8月'!AX4:AX34,$A$135)+COUNTIF('8月'!BC4:BC34,$A$135)+COUNTIF('8月'!BH4:BH34,$A$135)+COUNTIF('8月'!BM4:BM34,$A$135)+COUNTIF('8月'!BR4:BR34,$A$135)+COUNTIF('8月'!BW4:BW34,$A$135)+COUNTIF('8月'!CB4:CB34,$A$135)+COUNTIF('8月'!CG4:CG34,$A$135)+COUNTIF('8月'!CL4:CL34,$A$135)+COUNTIF('8月'!CQ4:CQ34,$A$135)+COUNTIF('8月'!CV4:CV34,$A$135)+COUNTIF('8月'!DA4:DA34,$A$135)+COUNTIF('8月'!DF4:DF34,$A$135)+COUNTIF('8月'!DK4:DK34,$A$135)+COUNTIF('8月'!DP4:DP34,$A$135)+COUNTIF('8月'!DU4:DU34,$A$135)+COUNTIF('8月'!DZ4:DZ34,$A$135)+COUNTIF('8月'!EE4:EE34,$A$135)+COUNTIF('8月'!EJ4:EJ34,$A$135)+COUNTIF('8月'!EO4:EO34,$A$135)+COUNTIF('8月'!ET4:ET34,$A$135)+COUNTIF('8月'!E4:E34,"六本木-夜勤")+COUNTIF('8月'!J4:J34,"六本木-夜勤")+COUNTIF('8月'!O4:O34,"六本木-夜勤")+COUNTIF('8月'!T4:T34,"六本木-夜勤")+COUNTIF('8月'!Y4:Y34,"六本木-夜勤")+COUNTIF('8月'!AD4:AD34,"六本木-夜勤")+COUNTIF('8月'!AI4:AI34,"六本木-夜勤")+COUNTIF('8月'!AN4:AN34,"六本木-夜勤")+COUNTIF('8月'!AS4:AS34,"六本木-夜勤")+COUNTIF('8月'!AX4:AX34,"六本木-夜勤")+COUNTIF('8月'!BC4:BC34,"六本木-夜勤")+COUNTIF('8月'!BH4:BH34,"六本木-夜勤")+COUNTIF('8月'!BM4:BM34,"六本木-夜勤")+COUNTIF('8月'!BR4:BR34,"六本木-夜勤")+COUNTIF('8月'!BW4:BW34,"六本木-夜勤")+COUNTIF('8月'!CB4:CB34,"六本木-夜勤")+COUNTIF('8月'!CG4:CG34,"六本木-夜勤")+COUNTIF('8月'!CL4:CL34,"六本木-夜勤")+COUNTIF('8月'!CQ4:CQ34,"六本木-夜勤")+COUNTIF('8月'!CV4:CV34,"六本木-夜勤")+COUNTIF('8月'!DA4:DA34,"六本木-夜勤")+COUNTIF('8月'!DF4:DF34,"六本木-夜勤")+COUNTIF('8月'!DK4:DK34,"六本木-夜勤")+COUNTIF('8月'!DP4:DP34,"六本木-夜勤")+COUNTIF('8月'!DU4:DU34,"六本木-夜勤")+COUNTIF('8月'!DZ4:DZ34,"六本木-夜勤")+COUNTIF('8月'!EE4:EE34,"六本木-夜勤")+COUNTIF('8月'!EJ4:EJ34,"六本木-夜勤")+COUNTIF('8月'!EO4:EO34,"六本木-夜勤")+COUNTIF('8月'!ET4:ET34,"六本木-夜勤")+COUNTIF('8月'!E4:E34,"六本木ー夜勤")+COUNTIF('8月'!J4:J34,"六本木ー夜勤")+COUNTIF('8月'!O4:O34,"六本木ー夜勤")+COUNTIF('8月'!T4:T34,"六本木ー夜勤")+COUNTIF('8月'!Y4:Y34,"六本木ー夜勤")+COUNTIF('8月'!AD4:AD34,"六本木ー夜勤")+COUNTIF('8月'!AI4:AI34,"六本木ー夜勤")+COUNTIF('8月'!AN4:AN34,"六本木ー夜勤")+COUNTIF('8月'!AS4:AS34,"六本木ー夜勤")+COUNTIF('8月'!AX4:AX34,"六本木ー夜勤")+COUNTIF('8月'!BC4:BC34,"六本木ー夜勤")+COUNTIF('8月'!BH4:BH34,"六本木ー夜勤")+COUNTIF('8月'!BM4:BM34,"六本木ー夜勤")+COUNTIF('8月'!BR4:BR34,"六本木ー夜勤")+COUNTIF('8月'!BW4:BW34,"六本木ー夜勤")+COUNTIF('8月'!CB4:CB34,"六本木ー夜勤")+COUNTIF('8月'!CG4:CG34,"六本木ー夜勤")+COUNTIF('8月'!CL4:CL34,"六本木ー夜勤")+COUNTIF('8月'!CQ4:CQ34,"六本木ー夜勤")+COUNTIF('8月'!CV4:CV34,"六本木ー夜勤")+COUNTIF('8月'!DA4:DA34,"六本木ー夜勤")+COUNTIF('8月'!DF4:DF34,"六本木ー夜勤")+COUNTIF('8月'!DK4:DK34,"六本木ー夜勤")+COUNTIF('8月'!DP4:DP34,"六本木ー夜勤")+COUNTIF('8月'!DU4:DU34,"六本木ー夜勤")+COUNTIF('8月'!DZ4:DZ34,"六本木ー夜勤")+COUNTIF('8月'!EE4:EE34,"六本木ー夜勤")+COUNTIF('8月'!EJ4:EJ34,"六本木ー夜勤")+COUNTIF('8月'!EO4:EO34,"六本木ー夜勤")+COUNTIF('8月'!ET4:ET34,"六本木ー夜勤"))</f>
        <v>0</v>
      </c>
      <c r="D135" s="65">
        <f>IF($A$135="",0,B135+C135)</f>
        <v>0</v>
      </c>
    </row>
    <row r="136" spans="1:4" ht="18.95" customHeight="1">
      <c r="A136" s="77">
        <f>IFERROR(現場マスタ!$C$11,"")</f>
        <v>0</v>
      </c>
      <c r="B136" s="76">
        <v>0</v>
      </c>
      <c r="C136" s="76">
        <v>0</v>
      </c>
      <c r="D136" s="65">
        <v>0</v>
      </c>
    </row>
    <row r="137" spans="1:4" ht="18.95" customHeight="1">
      <c r="A137" s="77">
        <f>IFERROR(現場マスタ!$C$12,"")</f>
        <v>0</v>
      </c>
      <c r="B137" s="76">
        <f>IF($A$137="",0,COUNTIF('8月'!D4:D34,$A$137)+COUNTIF('8月'!I4:I34,$A$137)+COUNTIF('8月'!N4:N34,$A$137)+COUNTIF('8月'!S4:S34,$A$137)+COUNTIF('8月'!X4:X34,$A$137)+COUNTIF('8月'!AC4:AC34,$A$137)+COUNTIF('8月'!AH4:AH34,$A$137)+COUNTIF('8月'!AM4:AM34,$A$137)+COUNTIF('8月'!AR4:AR34,$A$137)+COUNTIF('8月'!AW4:AW34,$A$137)+COUNTIF('8月'!BB4:BB34,$A$137)+COUNTIF('8月'!BG4:BG34,$A$137)+COUNTIF('8月'!BL4:BL34,$A$137)+COUNTIF('8月'!BQ4:BQ34,$A$137)+COUNTIF('8月'!BV4:BV34,$A$137)+COUNTIF('8月'!CA4:CA34,$A$137)+COUNTIF('8月'!CF4:CF34,$A$137)+COUNTIF('8月'!CK4:CK34,$A$137)+COUNTIF('8月'!CP4:CP34,$A$137)+COUNTIF('8月'!CU4:CU34,$A$137)+COUNTIF('8月'!CZ4:CZ34,$A$137)+COUNTIF('8月'!DE4:DE34,$A$137)+COUNTIF('8月'!DJ4:DJ34,$A$137)+COUNTIF('8月'!DO4:DO34,$A$137)+COUNTIF('8月'!DT4:DT34,$A$137)+COUNTIF('8月'!DY4:DY34,$A$137)+COUNTIF('8月'!ED4:ED34,$A$137)+COUNTIF('8月'!EI4:EI34,$A$137)+COUNTIF('8月'!EN4:EN34,$A$137)+COUNTIF('8月'!ES4:ES34,$A$137))</f>
        <v>0</v>
      </c>
      <c r="C137" s="76">
        <f>IF($A$137="",0,COUNTIF('8月'!E4:E34,$A$137)+COUNTIF('8月'!J4:J34,$A$137)+COUNTIF('8月'!O4:O34,$A$137)+COUNTIF('8月'!T4:T34,$A$137)+COUNTIF('8月'!Y4:Y34,$A$137)+COUNTIF('8月'!AD4:AD34,$A$137)+COUNTIF('8月'!AI4:AI34,$A$137)+COUNTIF('8月'!AN4:AN34,$A$137)+COUNTIF('8月'!AS4:AS34,$A$137)+COUNTIF('8月'!AX4:AX34,$A$137)+COUNTIF('8月'!BC4:BC34,$A$137)+COUNTIF('8月'!BH4:BH34,$A$137)+COUNTIF('8月'!BM4:BM34,$A$137)+COUNTIF('8月'!BR4:BR34,$A$137)+COUNTIF('8月'!BW4:BW34,$A$137)+COUNTIF('8月'!CB4:CB34,$A$137)+COUNTIF('8月'!CG4:CG34,$A$137)+COUNTIF('8月'!CL4:CL34,$A$137)+COUNTIF('8月'!CQ4:CQ34,$A$137)+COUNTIF('8月'!CV4:CV34,$A$137)+COUNTIF('8月'!DA4:DA34,$A$137)+COUNTIF('8月'!DF4:DF34,$A$137)+COUNTIF('8月'!DK4:DK34,$A$137)+COUNTIF('8月'!DP4:DP34,$A$137)+COUNTIF('8月'!DU4:DU34,$A$137)+COUNTIF('8月'!DZ4:DZ34,$A$137)+COUNTIF('8月'!EE4:EE34,$A$137)+COUNTIF('8月'!EJ4:EJ34,$A$137)+COUNTIF('8月'!EO4:EO34,$A$137)+COUNTIF('8月'!ET4:ET34,$A$137))</f>
        <v>0</v>
      </c>
      <c r="D137" s="65">
        <f>IF($A$137="",0,B137+C137)</f>
        <v>0</v>
      </c>
    </row>
    <row r="138" spans="1:4" ht="18.95" customHeight="1">
      <c r="A138" s="77">
        <f>IFERROR(現場マスタ!$C$14,"")</f>
        <v>0</v>
      </c>
      <c r="B138" s="76">
        <v>0</v>
      </c>
      <c r="C138" s="76">
        <v>0</v>
      </c>
      <c r="D138" s="65">
        <v>0</v>
      </c>
    </row>
    <row r="139" spans="1:4" ht="18.95" customHeight="1">
      <c r="A139" s="77">
        <f>IFERROR(現場マスタ!$C$15,"")</f>
        <v>0</v>
      </c>
      <c r="B139" s="76">
        <v>0</v>
      </c>
      <c r="C139" s="76">
        <v>0</v>
      </c>
      <c r="D139" s="65">
        <v>0</v>
      </c>
    </row>
    <row r="140" spans="1:4" ht="18.95" customHeight="1">
      <c r="A140" s="77">
        <f>IFERROR(現場マスタ!$C$16,"")</f>
        <v>0</v>
      </c>
      <c r="B140" s="76">
        <f>IF($A$140="",0,COUNTIF('8月'!D4:D34,$A$140)+COUNTIF('8月'!I4:I34,$A$140)+COUNTIF('8月'!N4:N34,$A$140)+COUNTIF('8月'!S4:S34,$A$140)+COUNTIF('8月'!X4:X34,$A$140)+COUNTIF('8月'!AC4:AC34,$A$140)+COUNTIF('8月'!AH4:AH34,$A$140)+COUNTIF('8月'!AM4:AM34,$A$140)+COUNTIF('8月'!AR4:AR34,$A$140)+COUNTIF('8月'!AW4:AW34,$A$140)+COUNTIF('8月'!BB4:BB34,$A$140)+COUNTIF('8月'!BG4:BG34,$A$140)+COUNTIF('8月'!BL4:BL34,$A$140)+COUNTIF('8月'!BQ4:BQ34,$A$140)+COUNTIF('8月'!BV4:BV34,$A$140)+COUNTIF('8月'!CA4:CA34,$A$140)+COUNTIF('8月'!CF4:CF34,$A$140)+COUNTIF('8月'!CK4:CK34,$A$140)+COUNTIF('8月'!CP4:CP34,$A$140)+COUNTIF('8月'!CU4:CU34,$A$140)+COUNTIF('8月'!CZ4:CZ34,$A$140)+COUNTIF('8月'!DE4:DE34,$A$140)+COUNTIF('8月'!DJ4:DJ34,$A$140)+COUNTIF('8月'!DO4:DO34,$A$140)+COUNTIF('8月'!DT4:DT34,$A$140)+COUNTIF('8月'!DY4:DY34,$A$140)+COUNTIF('8月'!ED4:ED34,$A$140)+COUNTIF('8月'!EI4:EI34,$A$140)+COUNTIF('8月'!EN4:EN34,$A$140)+COUNTIF('8月'!ES4:ES34,$A$140)+COUNTIF('8月'!D4:D34,"三軒茶屋－夜勤")+COUNTIF('8月'!I4:I34,"三軒茶屋－夜勤")+COUNTIF('8月'!N4:N34,"三軒茶屋－夜勤")+COUNTIF('8月'!S4:S34,"三軒茶屋－夜勤")+COUNTIF('8月'!X4:X34,"三軒茶屋－夜勤")+COUNTIF('8月'!AC4:AC34,"三軒茶屋－夜勤")+COUNTIF('8月'!AH4:AH34,"三軒茶屋－夜勤")+COUNTIF('8月'!AM4:AM34,"三軒茶屋－夜勤")+COUNTIF('8月'!AR4:AR34,"三軒茶屋－夜勤")+COUNTIF('8月'!AW4:AW34,"三軒茶屋－夜勤")+COUNTIF('8月'!BB4:BB34,"三軒茶屋－夜勤")+COUNTIF('8月'!BG4:BG34,"三軒茶屋－夜勤")+COUNTIF('8月'!BL4:BL34,"三軒茶屋－夜勤")+COUNTIF('8月'!BQ4:BQ34,"三軒茶屋－夜勤")+COUNTIF('8月'!BV4:BV34,"三軒茶屋－夜勤")+COUNTIF('8月'!CA4:CA34,"三軒茶屋－夜勤")+COUNTIF('8月'!CF4:CF34,"三軒茶屋－夜勤")+COUNTIF('8月'!CK4:CK34,"三軒茶屋－夜勤")+COUNTIF('8月'!CP4:CP34,"三軒茶屋－夜勤")+COUNTIF('8月'!CU4:CU34,"三軒茶屋－夜勤")+COUNTIF('8月'!CZ4:CZ34,"三軒茶屋－夜勤")+COUNTIF('8月'!DE4:DE34,"三軒茶屋－夜勤")+COUNTIF('8月'!DJ4:DJ34,"三軒茶屋－夜勤")+COUNTIF('8月'!DO4:DO34,"三軒茶屋－夜勤")+COUNTIF('8月'!DT4:DT34,"三軒茶屋－夜勤")+COUNTIF('8月'!DY4:DY34,"三軒茶屋－夜勤")+COUNTIF('8月'!ED4:ED34,"三軒茶屋－夜勤")+COUNTIF('8月'!EI4:EI34,"三軒茶屋－夜勤")+COUNTIF('8月'!EN4:EN34,"三軒茶屋－夜勤")+COUNTIF('8月'!ES4:ES34,"三軒茶屋－夜勤"))</f>
        <v>0</v>
      </c>
      <c r="C140" s="76">
        <f>IF($A$140="",0,COUNTIF('8月'!E4:E34,$A$140)+COUNTIF('8月'!J4:J34,$A$140)+COUNTIF('8月'!O4:O34,$A$140)+COUNTIF('8月'!T4:T34,$A$140)+COUNTIF('8月'!Y4:Y34,$A$140)+COUNTIF('8月'!AD4:AD34,$A$140)+COUNTIF('8月'!AI4:AI34,$A$140)+COUNTIF('8月'!AN4:AN34,$A$140)+COUNTIF('8月'!AS4:AS34,$A$140)+COUNTIF('8月'!AX4:AX34,$A$140)+COUNTIF('8月'!BC4:BC34,$A$140)+COUNTIF('8月'!BH4:BH34,$A$140)+COUNTIF('8月'!BM4:BM34,$A$140)+COUNTIF('8月'!BR4:BR34,$A$140)+COUNTIF('8月'!BW4:BW34,$A$140)+COUNTIF('8月'!CB4:CB34,$A$140)+COUNTIF('8月'!CG4:CG34,$A$140)+COUNTIF('8月'!CL4:CL34,$A$140)+COUNTIF('8月'!CQ4:CQ34,$A$140)+COUNTIF('8月'!CV4:CV34,$A$140)+COUNTIF('8月'!DA4:DA34,$A$140)+COUNTIF('8月'!DF4:DF34,$A$140)+COUNTIF('8月'!DK4:DK34,$A$140)+COUNTIF('8月'!DP4:DP34,$A$140)+COUNTIF('8月'!DU4:DU34,$A$140)+COUNTIF('8月'!DZ4:DZ34,$A$140)+COUNTIF('8月'!EE4:EE34,$A$140)+COUNTIF('8月'!EJ4:EJ34,$A$140)+COUNTIF('8月'!EO4:EO34,$A$140)+COUNTIF('8月'!ET4:ET34,$A$140)+COUNTIF('8月'!E4:E34,"三軒茶屋－夜勤")+COUNTIF('8月'!J4:J34,"三軒茶屋－夜勤")+COUNTIF('8月'!O4:O34,"三軒茶屋－夜勤")+COUNTIF('8月'!T4:T34,"三軒茶屋－夜勤")+COUNTIF('8月'!Y4:Y34,"三軒茶屋－夜勤")+COUNTIF('8月'!AD4:AD34,"三軒茶屋－夜勤")+COUNTIF('8月'!AI4:AI34,"三軒茶屋－夜勤")+COUNTIF('8月'!AN4:AN34,"三軒茶屋－夜勤")+COUNTIF('8月'!AS4:AS34,"三軒茶屋－夜勤")+COUNTIF('8月'!AX4:AX34,"三軒茶屋－夜勤")+COUNTIF('8月'!BC4:BC34,"三軒茶屋－夜勤")+COUNTIF('8月'!BH4:BH34,"三軒茶屋－夜勤")+COUNTIF('8月'!BM4:BM34,"三軒茶屋－夜勤")+COUNTIF('8月'!BR4:BR34,"三軒茶屋－夜勤")+COUNTIF('8月'!BW4:BW34,"三軒茶屋－夜勤")+COUNTIF('8月'!CB4:CB34,"三軒茶屋－夜勤")+COUNTIF('8月'!CG4:CG34,"三軒茶屋－夜勤")+COUNTIF('8月'!CL4:CL34,"三軒茶屋－夜勤")+COUNTIF('8月'!CQ4:CQ34,"三軒茶屋－夜勤")+COUNTIF('8月'!CV4:CV34,"三軒茶屋－夜勤")+COUNTIF('8月'!DA4:DA34,"三軒茶屋－夜勤")+COUNTIF('8月'!DF4:DF34,"三軒茶屋－夜勤")+COUNTIF('8月'!DK4:DK34,"三軒茶屋－夜勤")+COUNTIF('8月'!DP4:DP34,"三軒茶屋－夜勤")+COUNTIF('8月'!DU4:DU34,"三軒茶屋－夜勤")+COUNTIF('8月'!DZ4:DZ34,"三軒茶屋－夜勤")+COUNTIF('8月'!EE4:EE34,"三軒茶屋－夜勤")+COUNTIF('8月'!EJ4:EJ34,"三軒茶屋－夜勤")+COUNTIF('8月'!EO4:EO34,"三軒茶屋－夜勤")+COUNTIF('8月'!ET4:ET34,"三軒茶屋－夜勤"))</f>
        <v>0</v>
      </c>
      <c r="D140" s="65">
        <f>IF($A$140="",0,B140+C140)</f>
        <v>0</v>
      </c>
    </row>
    <row r="141" spans="1:4" ht="18.95" customHeight="1">
      <c r="A141" s="77">
        <f>IFERROR(現場マスタ!$C$17,"")</f>
        <v>0</v>
      </c>
      <c r="B141" s="76">
        <f>IF($A$141="",0,COUNTIF('8月'!D4:D34,$A$141)+COUNTIF('8月'!I4:I34,$A$141)+COUNTIF('8月'!N4:N34,$A$141)+COUNTIF('8月'!S4:S34,$A$141)+COUNTIF('8月'!X4:X34,$A$141)+COUNTIF('8月'!AC4:AC34,$A$141)+COUNTIF('8月'!AH4:AH34,$A$141)+COUNTIF('8月'!AM4:AM34,$A$141)+COUNTIF('8月'!AR4:AR34,$A$141)+COUNTIF('8月'!AW4:AW34,$A$141)+COUNTIF('8月'!BB4:BB34,$A$141)+COUNTIF('8月'!BG4:BG34,$A$141)+COUNTIF('8月'!BL4:BL34,$A$141)+COUNTIF('8月'!BQ4:BQ34,$A$141)+COUNTIF('8月'!BV4:BV34,$A$141)+COUNTIF('8月'!CA4:CA34,$A$141)+COUNTIF('8月'!CF4:CF34,$A$141)+COUNTIF('8月'!CK4:CK34,$A$141)+COUNTIF('8月'!CP4:CP34,$A$141)+COUNTIF('8月'!CU4:CU34,$A$141)+COUNTIF('8月'!CZ4:CZ34,$A$141)+COUNTIF('8月'!DE4:DE34,$A$141)+COUNTIF('8月'!DJ4:DJ34,$A$141)+COUNTIF('8月'!DO4:DO34,$A$141)+COUNTIF('8月'!DT4:DT34,$A$141)+COUNTIF('8月'!DY4:DY34,$A$141)+COUNTIF('8月'!ED4:ED34,$A$141)+COUNTIF('8月'!EI4:EI34,$A$141)+COUNTIF('8月'!EN4:EN34,$A$141)+COUNTIF('8月'!ES4:ES34,$A$141)+COUNTIF('8月'!D4:D34,"荻窪ー夜勤")+COUNTIF('8月'!I4:I34,"荻窪ー夜勤")+COUNTIF('8月'!N4:N34,"荻窪ー夜勤")+COUNTIF('8月'!S4:S34,"荻窪ー夜勤")+COUNTIF('8月'!X4:X34,"荻窪ー夜勤")+COUNTIF('8月'!AC4:AC34,"荻窪ー夜勤")+COUNTIF('8月'!AH4:AH34,"荻窪ー夜勤")+COUNTIF('8月'!AM4:AM34,"荻窪ー夜勤")+COUNTIF('8月'!AR4:AR34,"荻窪ー夜勤")+COUNTIF('8月'!AW4:AW34,"荻窪ー夜勤")+COUNTIF('8月'!BB4:BB34,"荻窪ー夜勤")+COUNTIF('8月'!BG4:BG34,"荻窪ー夜勤")+COUNTIF('8月'!BL4:BL34,"荻窪ー夜勤")+COUNTIF('8月'!BQ4:BQ34,"荻窪ー夜勤")+COUNTIF('8月'!BV4:BV34,"荻窪ー夜勤")+COUNTIF('8月'!CA4:CA34,"荻窪ー夜勤")+COUNTIF('8月'!CF4:CF34,"荻窪ー夜勤")+COUNTIF('8月'!CK4:CK34,"荻窪ー夜勤")+COUNTIF('8月'!CP4:CP34,"荻窪ー夜勤")+COUNTIF('8月'!CU4:CU34,"荻窪ー夜勤")+COUNTIF('8月'!CZ4:CZ34,"荻窪ー夜勤")+COUNTIF('8月'!DE4:DE34,"荻窪ー夜勤")+COUNTIF('8月'!DJ4:DJ34,"荻窪ー夜勤")+COUNTIF('8月'!DO4:DO34,"荻窪ー夜勤")+COUNTIF('8月'!DT4:DT34,"荻窪ー夜勤")+COUNTIF('8月'!DY4:DY34,"荻窪ー夜勤")+COUNTIF('8月'!ED4:ED34,"荻窪ー夜勤")+COUNTIF('8月'!EI4:EI34,"荻窪ー夜勤")+COUNTIF('8月'!EN4:EN34,"荻窪ー夜勤")+COUNTIF('8月'!ES4:ES34,"荻窪ー夜勤"))</f>
        <v>0</v>
      </c>
      <c r="C141" s="76">
        <f>IF($A$141="",0,COUNTIF('8月'!E4:E34,$A$141)+COUNTIF('8月'!J4:J34,$A$141)+COUNTIF('8月'!O4:O34,$A$141)+COUNTIF('8月'!T4:T34,$A$141)+COUNTIF('8月'!Y4:Y34,$A$141)+COUNTIF('8月'!AD4:AD34,$A$141)+COUNTIF('8月'!AI4:AI34,$A$141)+COUNTIF('8月'!AN4:AN34,$A$141)+COUNTIF('8月'!AS4:AS34,$A$141)+COUNTIF('8月'!AX4:AX34,$A$141)+COUNTIF('8月'!BC4:BC34,$A$141)+COUNTIF('8月'!BH4:BH34,$A$141)+COUNTIF('8月'!BM4:BM34,$A$141)+COUNTIF('8月'!BR4:BR34,$A$141)+COUNTIF('8月'!BW4:BW34,$A$141)+COUNTIF('8月'!CB4:CB34,$A$141)+COUNTIF('8月'!CG4:CG34,$A$141)+COUNTIF('8月'!CL4:CL34,$A$141)+COUNTIF('8月'!CQ4:CQ34,$A$141)+COUNTIF('8月'!CV4:CV34,$A$141)+COUNTIF('8月'!DA4:DA34,$A$141)+COUNTIF('8月'!DF4:DF34,$A$141)+COUNTIF('8月'!DK4:DK34,$A$141)+COUNTIF('8月'!DP4:DP34,$A$141)+COUNTIF('8月'!DU4:DU34,$A$141)+COUNTIF('8月'!DZ4:DZ34,$A$141)+COUNTIF('8月'!EE4:EE34,$A$141)+COUNTIF('8月'!EJ4:EJ34,$A$141)+COUNTIF('8月'!EO4:EO34,$A$141)+COUNTIF('8月'!ET4:ET34,$A$141)+COUNTIF('8月'!E4:E34,"荻窪ー夜勤")+COUNTIF('8月'!J4:J34,"荻窪ー夜勤")+COUNTIF('8月'!O4:O34,"荻窪ー夜勤")+COUNTIF('8月'!T4:T34,"荻窪ー夜勤")+COUNTIF('8月'!Y4:Y34,"荻窪ー夜勤")+COUNTIF('8月'!AD4:AD34,"荻窪ー夜勤")+COUNTIF('8月'!AI4:AI34,"荻窪ー夜勤")+COUNTIF('8月'!AN4:AN34,"荻窪ー夜勤")+COUNTIF('8月'!AS4:AS34,"荻窪ー夜勤")+COUNTIF('8月'!AX4:AX34,"荻窪ー夜勤")+COUNTIF('8月'!BC4:BC34,"荻窪ー夜勤")+COUNTIF('8月'!BH4:BH34,"荻窪ー夜勤")+COUNTIF('8月'!BM4:BM34,"荻窪ー夜勤")+COUNTIF('8月'!BR4:BR34,"荻窪ー夜勤")+COUNTIF('8月'!BW4:BW34,"荻窪ー夜勤")+COUNTIF('8月'!CB4:CB34,"荻窪ー夜勤")+COUNTIF('8月'!CG4:CG34,"荻窪ー夜勤")+COUNTIF('8月'!CL4:CL34,"荻窪ー夜勤")+COUNTIF('8月'!CQ4:CQ34,"荻窪ー夜勤")+COUNTIF('8月'!CV4:CV34,"荻窪ー夜勤")+COUNTIF('8月'!DA4:DA34,"荻窪ー夜勤")+COUNTIF('8月'!DF4:DF34,"荻窪ー夜勤")+COUNTIF('8月'!DK4:DK34,"荻窪ー夜勤")+COUNTIF('8月'!DP4:DP34,"荻窪ー夜勤")+COUNTIF('8月'!DU4:DU34,"荻窪ー夜勤")+COUNTIF('8月'!DZ4:DZ34,"荻窪ー夜勤")+COUNTIF('8月'!EE4:EE34,"荻窪ー夜勤")+COUNTIF('8月'!EJ4:EJ34,"荻窪ー夜勤")+COUNTIF('8月'!EO4:EO34,"荻窪ー夜勤")+COUNTIF('8月'!ET4:ET34,"荻窪ー夜勤"))</f>
        <v>0</v>
      </c>
      <c r="D141" s="65">
        <f>IF($A$141="",0,B141+C141)</f>
        <v>0</v>
      </c>
    </row>
    <row r="142" spans="1:4" ht="18.95" customHeight="1">
      <c r="A142" s="77">
        <f>IFERROR(現場マスタ!$C$18,"")</f>
        <v>0</v>
      </c>
      <c r="B142" s="76">
        <f>IF($A$142="",0,COUNTIF('8月'!D4:D34,$A$142)+COUNTIF('8月'!I4:I34,$A$142)+COUNTIF('8月'!N4:N34,$A$142)+COUNTIF('8月'!S4:S34,$A$142)+COUNTIF('8月'!X4:X34,$A$142)+COUNTIF('8月'!AC4:AC34,$A$142)+COUNTIF('8月'!AH4:AH34,$A$142)+COUNTIF('8月'!AM4:AM34,$A$142)+COUNTIF('8月'!AR4:AR34,$A$142)+COUNTIF('8月'!AW4:AW34,$A$142)+COUNTIF('8月'!BB4:BB34,$A$142)+COUNTIF('8月'!BG4:BG34,$A$142)+COUNTIF('8月'!BL4:BL34,$A$142)+COUNTIF('8月'!BQ4:BQ34,$A$142)+COUNTIF('8月'!BV4:BV34,$A$142)+COUNTIF('8月'!CA4:CA34,$A$142)+COUNTIF('8月'!CF4:CF34,$A$142)+COUNTIF('8月'!CK4:CK34,$A$142)+COUNTIF('8月'!CP4:CP34,$A$142)+COUNTIF('8月'!CU4:CU34,$A$142)+COUNTIF('8月'!CZ4:CZ34,$A$142)+COUNTIF('8月'!DE4:DE34,$A$142)+COUNTIF('8月'!DJ4:DJ34,$A$142)+COUNTIF('8月'!DO4:DO34,$A$142)+COUNTIF('8月'!DT4:DT34,$A$142)+COUNTIF('8月'!DY4:DY34,$A$142)+COUNTIF('8月'!ED4:ED34,$A$142)+COUNTIF('8月'!EI4:EI34,$A$142)+COUNTIF('8月'!EN4:EN34,$A$142)+COUNTIF('8月'!ES4:ES34,$A$142))</f>
        <v>0</v>
      </c>
      <c r="C142" s="76">
        <f>IF($A$142="",0,COUNTIF('8月'!E4:E34,$A$142)+COUNTIF('8月'!J4:J34,$A$142)+COUNTIF('8月'!O4:O34,$A$142)+COUNTIF('8月'!T4:T34,$A$142)+COUNTIF('8月'!Y4:Y34,$A$142)+COUNTIF('8月'!AD4:AD34,$A$142)+COUNTIF('8月'!AI4:AI34,$A$142)+COUNTIF('8月'!AN4:AN34,$A$142)+COUNTIF('8月'!AS4:AS34,$A$142)+COUNTIF('8月'!AX4:AX34,$A$142)+COUNTIF('8月'!BC4:BC34,$A$142)+COUNTIF('8月'!BH4:BH34,$A$142)+COUNTIF('8月'!BM4:BM34,$A$142)+COUNTIF('8月'!BR4:BR34,$A$142)+COUNTIF('8月'!BW4:BW34,$A$142)+COUNTIF('8月'!CB4:CB34,$A$142)+COUNTIF('8月'!CG4:CG34,$A$142)+COUNTIF('8月'!CL4:CL34,$A$142)+COUNTIF('8月'!CQ4:CQ34,$A$142)+COUNTIF('8月'!CV4:CV34,$A$142)+COUNTIF('8月'!DA4:DA34,$A$142)+COUNTIF('8月'!DF4:DF34,$A$142)+COUNTIF('8月'!DK4:DK34,$A$142)+COUNTIF('8月'!DP4:DP34,$A$142)+COUNTIF('8月'!DU4:DU34,$A$142)+COUNTIF('8月'!DZ4:DZ34,$A$142)+COUNTIF('8月'!EE4:EE34,$A$142)+COUNTIF('8月'!EJ4:EJ34,$A$142)+COUNTIF('8月'!EO4:EO34,$A$142)+COUNTIF('8月'!ET4:ET34,$A$142))</f>
        <v>0</v>
      </c>
      <c r="D142" s="65">
        <f>IF($A$142="",0,B142+C142)</f>
        <v>0</v>
      </c>
    </row>
    <row r="143" spans="1:4" ht="18.95" customHeight="1">
      <c r="A143" s="77">
        <f>IFERROR(現場マスタ!$C$20,"")</f>
        <v>0</v>
      </c>
      <c r="B143" s="76">
        <f>IF($A$143="",0,COUNTIF('8月'!D4:D34,$A$143)+COUNTIF('8月'!I4:I34,$A$143)+COUNTIF('8月'!N4:N34,$A$143)+COUNTIF('8月'!S4:S34,$A$143)+COUNTIF('8月'!X4:X34,$A$143)+COUNTIF('8月'!AC4:AC34,$A$143)+COUNTIF('8月'!AH4:AH34,$A$143)+COUNTIF('8月'!AM4:AM34,$A$143)+COUNTIF('8月'!AR4:AR34,$A$143)+COUNTIF('8月'!AW4:AW34,$A$143)+COUNTIF('8月'!BB4:BB34,$A$143)+COUNTIF('8月'!BG4:BG34,$A$143)+COUNTIF('8月'!BL4:BL34,$A$143)+COUNTIF('8月'!BQ4:BQ34,$A$143)+COUNTIF('8月'!BV4:BV34,$A$143)+COUNTIF('8月'!CA4:CA34,$A$143)+COUNTIF('8月'!CF4:CF34,$A$143)+COUNTIF('8月'!CK4:CK34,$A$143)+COUNTIF('8月'!CP4:CP34,$A$143)+COUNTIF('8月'!CU4:CU34,$A$143)+COUNTIF('8月'!CZ4:CZ34,$A$143)+COUNTIF('8月'!DE4:DE34,$A$143)+COUNTIF('8月'!DJ4:DJ34,$A$143)+COUNTIF('8月'!DO4:DO34,$A$143)+COUNTIF('8月'!DT4:DT34,$A$143)+COUNTIF('8月'!DY4:DY34,$A$143)+COUNTIF('8月'!ED4:ED34,$A$143)+COUNTIF('8月'!EI4:EI34,$A$143)+COUNTIF('8月'!EN4:EN34,$A$143)+COUNTIF('8月'!ES4:ES34,$A$143))</f>
        <v>0</v>
      </c>
      <c r="C143" s="76">
        <f>IF($A$143="",0,COUNTIF('8月'!E4:E34,$A$143)+COUNTIF('8月'!J4:J34,$A$143)+COUNTIF('8月'!O4:O34,$A$143)+COUNTIF('8月'!T4:T34,$A$143)+COUNTIF('8月'!Y4:Y34,$A$143)+COUNTIF('8月'!AD4:AD34,$A$143)+COUNTIF('8月'!AI4:AI34,$A$143)+COUNTIF('8月'!AN4:AN34,$A$143)+COUNTIF('8月'!AS4:AS34,$A$143)+COUNTIF('8月'!AX4:AX34,$A$143)+COUNTIF('8月'!BC4:BC34,$A$143)+COUNTIF('8月'!BH4:BH34,$A$143)+COUNTIF('8月'!BM4:BM34,$A$143)+COUNTIF('8月'!BR4:BR34,$A$143)+COUNTIF('8月'!BW4:BW34,$A$143)+COUNTIF('8月'!CB4:CB34,$A$143)+COUNTIF('8月'!CG4:CG34,$A$143)+COUNTIF('8月'!CL4:CL34,$A$143)+COUNTIF('8月'!CQ4:CQ34,$A$143)+COUNTIF('8月'!CV4:CV34,$A$143)+COUNTIF('8月'!DA4:DA34,$A$143)+COUNTIF('8月'!DF4:DF34,$A$143)+COUNTIF('8月'!DK4:DK34,$A$143)+COUNTIF('8月'!DP4:DP34,$A$143)+COUNTIF('8月'!DU4:DU34,$A$143)+COUNTIF('8月'!DZ4:DZ34,$A$143)+COUNTIF('8月'!EE4:EE34,$A$143)+COUNTIF('8月'!EJ4:EJ34,$A$143)+COUNTIF('8月'!EO4:EO34,$A$143)+COUNTIF('8月'!ET4:ET34,$A$143))</f>
        <v>0</v>
      </c>
      <c r="D143" s="65">
        <f>IF($A$143="",0,B143+C143)</f>
        <v>0</v>
      </c>
    </row>
    <row r="144" spans="1:4" ht="18.95" customHeight="1">
      <c r="A144" s="77">
        <f>IFERROR(現場マスタ!$C$21,"")</f>
        <v>0</v>
      </c>
      <c r="B144" s="76">
        <f>IF($A$144="",0,COUNTIF('8月'!D4:D34,$A$144)+COUNTIF('8月'!I4:I34,$A$144)+COUNTIF('8月'!N4:N34,$A$144)+COUNTIF('8月'!S4:S34,$A$144)+COUNTIF('8月'!X4:X34,$A$144)+COUNTIF('8月'!AC4:AC34,$A$144)+COUNTIF('8月'!AH4:AH34,$A$144)+COUNTIF('8月'!AM4:AM34,$A$144)+COUNTIF('8月'!AR4:AR34,$A$144)+COUNTIF('8月'!AW4:AW34,$A$144)+COUNTIF('8月'!BB4:BB34,$A$144)+COUNTIF('8月'!BG4:BG34,$A$144)+COUNTIF('8月'!BL4:BL34,$A$144)+COUNTIF('8月'!BQ4:BQ34,$A$144)+COUNTIF('8月'!BV4:BV34,$A$144)+COUNTIF('8月'!CA4:CA34,$A$144)+COUNTIF('8月'!CF4:CF34,$A$144)+COUNTIF('8月'!CK4:CK34,$A$144)+COUNTIF('8月'!CP4:CP34,$A$144)+COUNTIF('8月'!CU4:CU34,$A$144)+COUNTIF('8月'!CZ4:CZ34,$A$144)+COUNTIF('8月'!DE4:DE34,$A$144)+COUNTIF('8月'!DJ4:DJ34,$A$144)+COUNTIF('8月'!DO4:DO34,$A$144)+COUNTIF('8月'!DT4:DT34,$A$144)+COUNTIF('8月'!DY4:DY34,$A$144)+COUNTIF('8月'!ED4:ED34,$A$144)+COUNTIF('8月'!EI4:EI34,$A$144)+COUNTIF('8月'!EN4:EN34,$A$144)+COUNTIF('8月'!ES4:ES34,$A$144))</f>
        <v>0</v>
      </c>
      <c r="C144" s="76">
        <f>IF($A$144="",0,COUNTIF('8月'!E4:E34,$A$144)+COUNTIF('8月'!J4:J34,$A$144)+COUNTIF('8月'!O4:O34,$A$144)+COUNTIF('8月'!T4:T34,$A$144)+COUNTIF('8月'!Y4:Y34,$A$144)+COUNTIF('8月'!AD4:AD34,$A$144)+COUNTIF('8月'!AI4:AI34,$A$144)+COUNTIF('8月'!AN4:AN34,$A$144)+COUNTIF('8月'!AS4:AS34,$A$144)+COUNTIF('8月'!AX4:AX34,$A$144)+COUNTIF('8月'!BC4:BC34,$A$144)+COUNTIF('8月'!BH4:BH34,$A$144)+COUNTIF('8月'!BM4:BM34,$A$144)+COUNTIF('8月'!BR4:BR34,$A$144)+COUNTIF('8月'!BW4:BW34,$A$144)+COUNTIF('8月'!CB4:CB34,$A$144)+COUNTIF('8月'!CG4:CG34,$A$144)+COUNTIF('8月'!CL4:CL34,$A$144)+COUNTIF('8月'!CQ4:CQ34,$A$144)+COUNTIF('8月'!CV4:CV34,$A$144)+COUNTIF('8月'!DA4:DA34,$A$144)+COUNTIF('8月'!DF4:DF34,$A$144)+COUNTIF('8月'!DK4:DK34,$A$144)+COUNTIF('8月'!DP4:DP34,$A$144)+COUNTIF('8月'!DU4:DU34,$A$144)+COUNTIF('8月'!DZ4:DZ34,$A$144)+COUNTIF('8月'!EE4:EE34,$A$144)+COUNTIF('8月'!EJ4:EJ34,$A$144)+COUNTIF('8月'!EO4:EO34,$A$144)+COUNTIF('8月'!ET4:ET34,$A$144))</f>
        <v>0</v>
      </c>
      <c r="D144" s="65">
        <f>IF($A$144="",0,B144+C144)</f>
        <v>0</v>
      </c>
    </row>
    <row r="145" spans="1:4" ht="18.95" customHeight="1">
      <c r="A145" s="77">
        <f>IFERROR(現場マスタ!$C$22,"")</f>
        <v>0</v>
      </c>
      <c r="B145" s="76">
        <f>IF($A$145="",0,COUNTIF('8月'!D4:D34,$A$145)+COUNTIF('8月'!I4:I34,$A$145)+COUNTIF('8月'!N4:N34,$A$145)+COUNTIF('8月'!S4:S34,$A$145)+COUNTIF('8月'!X4:X34,$A$145)+COUNTIF('8月'!AC4:AC34,$A$145)+COUNTIF('8月'!AH4:AH34,$A$145)+COUNTIF('8月'!AM4:AM34,$A$145)+COUNTIF('8月'!AR4:AR34,$A$145)+COUNTIF('8月'!AW4:AW34,$A$145)+COUNTIF('8月'!BB4:BB34,$A$145)+COUNTIF('8月'!BG4:BG34,$A$145)+COUNTIF('8月'!BL4:BL34,$A$145)+COUNTIF('8月'!BQ4:BQ34,$A$145)+COUNTIF('8月'!BV4:BV34,$A$145)+COUNTIF('8月'!CA4:CA34,$A$145)+COUNTIF('8月'!CF4:CF34,$A$145)+COUNTIF('8月'!CK4:CK34,$A$145)+COUNTIF('8月'!CP4:CP34,$A$145)+COUNTIF('8月'!CU4:CU34,$A$145)+COUNTIF('8月'!CZ4:CZ34,$A$145)+COUNTIF('8月'!DE4:DE34,$A$145)+COUNTIF('8月'!DJ4:DJ34,$A$145)+COUNTIF('8月'!DO4:DO34,$A$145)+COUNTIF('8月'!DT4:DT34,$A$145)+COUNTIF('8月'!DY4:DY34,$A$145)+COUNTIF('8月'!ED4:ED34,$A$145)+COUNTIF('8月'!EI4:EI34,$A$145)+COUNTIF('8月'!EN4:EN34,$A$145)+COUNTIF('8月'!ES4:ES34,$A$145))</f>
        <v>0</v>
      </c>
      <c r="C145" s="76">
        <f>IF($A$145="",0,COUNTIF('8月'!E4:E34,$A$145)+COUNTIF('8月'!J4:J34,$A$145)+COUNTIF('8月'!O4:O34,$A$145)+COUNTIF('8月'!T4:T34,$A$145)+COUNTIF('8月'!Y4:Y34,$A$145)+COUNTIF('8月'!AD4:AD34,$A$145)+COUNTIF('8月'!AI4:AI34,$A$145)+COUNTIF('8月'!AN4:AN34,$A$145)+COUNTIF('8月'!AS4:AS34,$A$145)+COUNTIF('8月'!AX4:AX34,$A$145)+COUNTIF('8月'!BC4:BC34,$A$145)+COUNTIF('8月'!BH4:BH34,$A$145)+COUNTIF('8月'!BM4:BM34,$A$145)+COUNTIF('8月'!BR4:BR34,$A$145)+COUNTIF('8月'!BW4:BW34,$A$145)+COUNTIF('8月'!CB4:CB34,$A$145)+COUNTIF('8月'!CG4:CG34,$A$145)+COUNTIF('8月'!CL4:CL34,$A$145)+COUNTIF('8月'!CQ4:CQ34,$A$145)+COUNTIF('8月'!CV4:CV34,$A$145)+COUNTIF('8月'!DA4:DA34,$A$145)+COUNTIF('8月'!DF4:DF34,$A$145)+COUNTIF('8月'!DK4:DK34,$A$145)+COUNTIF('8月'!DP4:DP34,$A$145)+COUNTIF('8月'!DU4:DU34,$A$145)+COUNTIF('8月'!DZ4:DZ34,$A$145)+COUNTIF('8月'!EE4:EE34,$A$145)+COUNTIF('8月'!EJ4:EJ34,$A$145)+COUNTIF('8月'!EO4:EO34,$A$145)+COUNTIF('8月'!ET4:ET34,$A$145))</f>
        <v>0</v>
      </c>
      <c r="D145" s="65">
        <f>IF($A$145="",0,B145+C145)</f>
        <v>0</v>
      </c>
    </row>
    <row r="146" spans="1:4" ht="9.9499999999999993" customHeight="1"/>
    <row r="147" spans="1:4" ht="21.95" customHeight="1">
      <c r="A147" s="112" t="str">
        <f>対象年度&amp;"年 9月"</f>
        <v>2026年 9月</v>
      </c>
      <c r="B147" s="112"/>
      <c r="C147" s="112"/>
      <c r="D147" s="112"/>
    </row>
    <row r="148" spans="1:4" ht="20.100000000000001" customHeight="1">
      <c r="A148" s="60" t="s">
        <v>60</v>
      </c>
      <c r="B148" s="75" t="s">
        <v>110</v>
      </c>
      <c r="C148" s="75" t="s">
        <v>111</v>
      </c>
      <c r="D148" s="65" t="s">
        <v>112</v>
      </c>
    </row>
    <row r="149" spans="1:4" ht="18.95" customHeight="1">
      <c r="A149" s="77" t="str">
        <f>IFERROR(現場マスタ!$C$4,"")</f>
        <v>新宿</v>
      </c>
      <c r="B149" s="76">
        <f>IF($A$149="",0,COUNTIF('9月'!D4:D34,$A$149)+COUNTIF('9月'!I4:I34,$A$149)+COUNTIF('9月'!N4:N34,$A$149)+COUNTIF('9月'!S4:S34,$A$149)+COUNTIF('9月'!X4:X34,$A$149)+COUNTIF('9月'!AC4:AC34,$A$149)+COUNTIF('9月'!AH4:AH34,$A$149)+COUNTIF('9月'!AM4:AM34,$A$149)+COUNTIF('9月'!AR4:AR34,$A$149)+COUNTIF('9月'!AW4:AW34,$A$149)+COUNTIF('9月'!BB4:BB34,$A$149)+COUNTIF('9月'!BG4:BG34,$A$149)+COUNTIF('9月'!BL4:BL34,$A$149)+COUNTIF('9月'!BQ4:BQ34,$A$149)+COUNTIF('9月'!BV4:BV34,$A$149)+COUNTIF('9月'!CA4:CA34,$A$149)+COUNTIF('9月'!CF4:CF34,$A$149)+COUNTIF('9月'!CK4:CK34,$A$149)+COUNTIF('9月'!CP4:CP34,$A$149)+COUNTIF('9月'!CU4:CU34,$A$149)+COUNTIF('9月'!CZ4:CZ34,$A$149)+COUNTIF('9月'!DE4:DE34,$A$149)+COUNTIF('9月'!DJ4:DJ34,$A$149)+COUNTIF('9月'!DO4:DO34,$A$149)+COUNTIF('9月'!DT4:DT34,$A$149)+COUNTIF('9月'!DY4:DY34,$A$149)+COUNTIF('9月'!ED4:ED34,$A$149)+COUNTIF('9月'!EI4:EI34,$A$149)+COUNTIF('9月'!EN4:EN34,$A$149)+COUNTIF('9月'!ES4:ES34,$A$149))</f>
        <v>0</v>
      </c>
      <c r="C149" s="76">
        <f>IF($A$149="",0,COUNTIF('9月'!E4:E34,$A$149)+COUNTIF('9月'!J4:J34,$A$149)+COUNTIF('9月'!O4:O34,$A$149)+COUNTIF('9月'!T4:T34,$A$149)+COUNTIF('9月'!Y4:Y34,$A$149)+COUNTIF('9月'!AD4:AD34,$A$149)+COUNTIF('9月'!AI4:AI34,$A$149)+COUNTIF('9月'!AN4:AN34,$A$149)+COUNTIF('9月'!AS4:AS34,$A$149)+COUNTIF('9月'!AX4:AX34,$A$149)+COUNTIF('9月'!BC4:BC34,$A$149)+COUNTIF('9月'!BH4:BH34,$A$149)+COUNTIF('9月'!BM4:BM34,$A$149)+COUNTIF('9月'!BR4:BR34,$A$149)+COUNTIF('9月'!BW4:BW34,$A$149)+COUNTIF('9月'!CB4:CB34,$A$149)+COUNTIF('9月'!CG4:CG34,$A$149)+COUNTIF('9月'!CL4:CL34,$A$149)+COUNTIF('9月'!CQ4:CQ34,$A$149)+COUNTIF('9月'!CV4:CV34,$A$149)+COUNTIF('9月'!DA4:DA34,$A$149)+COUNTIF('9月'!DF4:DF34,$A$149)+COUNTIF('9月'!DK4:DK34,$A$149)+COUNTIF('9月'!DP4:DP34,$A$149)+COUNTIF('9月'!DU4:DU34,$A$149)+COUNTIF('9月'!DZ4:DZ34,$A$149)+COUNTIF('9月'!EE4:EE34,$A$149)+COUNTIF('9月'!EJ4:EJ34,$A$149)+COUNTIF('9月'!EO4:EO34,$A$149)+COUNTIF('9月'!ET4:ET34,$A$149))</f>
        <v>0</v>
      </c>
      <c r="D149" s="65">
        <f>IF($A$149="",0,B149+C149)</f>
        <v>0</v>
      </c>
    </row>
    <row r="150" spans="1:4" ht="18.95" customHeight="1">
      <c r="A150" s="77" t="str">
        <f>IFERROR(現場マスタ!$C$5,"")</f>
        <v>赤坂</v>
      </c>
      <c r="B150" s="76">
        <f>IF($A$150="",0,COUNTIF('9月'!D4:D34,$A$150)+COUNTIF('9月'!I4:I34,$A$150)+COUNTIF('9月'!N4:N34,$A$150)+COUNTIF('9月'!S4:S34,$A$150)+COUNTIF('9月'!X4:X34,$A$150)+COUNTIF('9月'!AC4:AC34,$A$150)+COUNTIF('9月'!AH4:AH34,$A$150)+COUNTIF('9月'!AM4:AM34,$A$150)+COUNTIF('9月'!AR4:AR34,$A$150)+COUNTIF('9月'!AW4:AW34,$A$150)+COUNTIF('9月'!BB4:BB34,$A$150)+COUNTIF('9月'!BG4:BG34,$A$150)+COUNTIF('9月'!BL4:BL34,$A$150)+COUNTIF('9月'!BQ4:BQ34,$A$150)+COUNTIF('9月'!BV4:BV34,$A$150)+COUNTIF('9月'!CA4:CA34,$A$150)+COUNTIF('9月'!CF4:CF34,$A$150)+COUNTIF('9月'!CK4:CK34,$A$150)+COUNTIF('9月'!CP4:CP34,$A$150)+COUNTIF('9月'!CU4:CU34,$A$150)+COUNTIF('9月'!CZ4:CZ34,$A$150)+COUNTIF('9月'!DE4:DE34,$A$150)+COUNTIF('9月'!DJ4:DJ34,$A$150)+COUNTIF('9月'!DO4:DO34,$A$150)+COUNTIF('9月'!DT4:DT34,$A$150)+COUNTIF('9月'!DY4:DY34,$A$150)+COUNTIF('9月'!ED4:ED34,$A$150)+COUNTIF('9月'!EI4:EI34,$A$150)+COUNTIF('9月'!EN4:EN34,$A$150)+COUNTIF('9月'!ES4:ES34,$A$150))</f>
        <v>0</v>
      </c>
      <c r="C150" s="76">
        <f>IF($A$150="",0,COUNTIF('9月'!E4:E34,$A$150)+COUNTIF('9月'!J4:J34,$A$150)+COUNTIF('9月'!O4:O34,$A$150)+COUNTIF('9月'!T4:T34,$A$150)+COUNTIF('9月'!Y4:Y34,$A$150)+COUNTIF('9月'!AD4:AD34,$A$150)+COUNTIF('9月'!AI4:AI34,$A$150)+COUNTIF('9月'!AN4:AN34,$A$150)+COUNTIF('9月'!AS4:AS34,$A$150)+COUNTIF('9月'!AX4:AX34,$A$150)+COUNTIF('9月'!BC4:BC34,$A$150)+COUNTIF('9月'!BH4:BH34,$A$150)+COUNTIF('9月'!BM4:BM34,$A$150)+COUNTIF('9月'!BR4:BR34,$A$150)+COUNTIF('9月'!BW4:BW34,$A$150)+COUNTIF('9月'!CB4:CB34,$A$150)+COUNTIF('9月'!CG4:CG34,$A$150)+COUNTIF('9月'!CL4:CL34,$A$150)+COUNTIF('9月'!CQ4:CQ34,$A$150)+COUNTIF('9月'!CV4:CV34,$A$150)+COUNTIF('9月'!DA4:DA34,$A$150)+COUNTIF('9月'!DF4:DF34,$A$150)+COUNTIF('9月'!DK4:DK34,$A$150)+COUNTIF('9月'!DP4:DP34,$A$150)+COUNTIF('9月'!DU4:DU34,$A$150)+COUNTIF('9月'!DZ4:DZ34,$A$150)+COUNTIF('9月'!EE4:EE34,$A$150)+COUNTIF('9月'!EJ4:EJ34,$A$150)+COUNTIF('9月'!EO4:EO34,$A$150)+COUNTIF('9月'!ET4:ET34,$A$150))</f>
        <v>0</v>
      </c>
      <c r="D150" s="65">
        <f>IF($A$150="",0,B150+C150)</f>
        <v>0</v>
      </c>
    </row>
    <row r="151" spans="1:4" ht="18.95" customHeight="1">
      <c r="A151" s="77" t="str">
        <f>IFERROR(現場マスタ!$C$6,"")</f>
        <v>渋谷ヒカリエ</v>
      </c>
      <c r="B151" s="76">
        <f>IF($A$151="",0,COUNTIF('9月'!D4:D34,$A$151)+COUNTIF('9月'!I4:I34,$A$151)+COUNTIF('9月'!N4:N34,$A$151)+COUNTIF('9月'!S4:S34,$A$151)+COUNTIF('9月'!X4:X34,$A$151)+COUNTIF('9月'!AC4:AC34,$A$151)+COUNTIF('9月'!AH4:AH34,$A$151)+COUNTIF('9月'!AM4:AM34,$A$151)+COUNTIF('9月'!AR4:AR34,$A$151)+COUNTIF('9月'!AW4:AW34,$A$151)+COUNTIF('9月'!BB4:BB34,$A$151)+COUNTIF('9月'!BG4:BG34,$A$151)+COUNTIF('9月'!BL4:BL34,$A$151)+COUNTIF('9月'!BQ4:BQ34,$A$151)+COUNTIF('9月'!BV4:BV34,$A$151)+COUNTIF('9月'!CA4:CA34,$A$151)+COUNTIF('9月'!CF4:CF34,$A$151)+COUNTIF('9月'!CK4:CK34,$A$151)+COUNTIF('9月'!CP4:CP34,$A$151)+COUNTIF('9月'!CU4:CU34,$A$151)+COUNTIF('9月'!CZ4:CZ34,$A$151)+COUNTIF('9月'!DE4:DE34,$A$151)+COUNTIF('9月'!DJ4:DJ34,$A$151)+COUNTIF('9月'!DO4:DO34,$A$151)+COUNTIF('9月'!DT4:DT34,$A$151)+COUNTIF('9月'!DY4:DY34,$A$151)+COUNTIF('9月'!ED4:ED34,$A$151)+COUNTIF('9月'!EI4:EI34,$A$151)+COUNTIF('9月'!EN4:EN34,$A$151)+COUNTIF('9月'!ES4:ES34,$A$151))</f>
        <v>0</v>
      </c>
      <c r="C151" s="76">
        <f>IF($A$151="",0,COUNTIF('9月'!E4:E34,$A$151)+COUNTIF('9月'!J4:J34,$A$151)+COUNTIF('9月'!O4:O34,$A$151)+COUNTIF('9月'!T4:T34,$A$151)+COUNTIF('9月'!Y4:Y34,$A$151)+COUNTIF('9月'!AD4:AD34,$A$151)+COUNTIF('9月'!AI4:AI34,$A$151)+COUNTIF('9月'!AN4:AN34,$A$151)+COUNTIF('9月'!AS4:AS34,$A$151)+COUNTIF('9月'!AX4:AX34,$A$151)+COUNTIF('9月'!BC4:BC34,$A$151)+COUNTIF('9月'!BH4:BH34,$A$151)+COUNTIF('9月'!BM4:BM34,$A$151)+COUNTIF('9月'!BR4:BR34,$A$151)+COUNTIF('9月'!BW4:BW34,$A$151)+COUNTIF('9月'!CB4:CB34,$A$151)+COUNTIF('9月'!CG4:CG34,$A$151)+COUNTIF('9月'!CL4:CL34,$A$151)+COUNTIF('9月'!CQ4:CQ34,$A$151)+COUNTIF('9月'!CV4:CV34,$A$151)+COUNTIF('9月'!DA4:DA34,$A$151)+COUNTIF('9月'!DF4:DF34,$A$151)+COUNTIF('9月'!DK4:DK34,$A$151)+COUNTIF('9月'!DP4:DP34,$A$151)+COUNTIF('9月'!DU4:DU34,$A$151)+COUNTIF('9月'!DZ4:DZ34,$A$151)+COUNTIF('9月'!EE4:EE34,$A$151)+COUNTIF('9月'!EJ4:EJ34,$A$151)+COUNTIF('9月'!EO4:EO34,$A$151)+COUNTIF('9月'!ET4:ET34,$A$151))</f>
        <v>0</v>
      </c>
      <c r="D151" s="65">
        <f>IF($A$151="",0,B151+C151)</f>
        <v>0</v>
      </c>
    </row>
    <row r="152" spans="1:4" ht="18.95" customHeight="1">
      <c r="A152" s="77" t="str">
        <f>IFERROR(現場マスタ!$C$7,"")</f>
        <v>六本木ヒルズ</v>
      </c>
      <c r="B152" s="76">
        <f>IF($A$152="",0,COUNTIF('9月'!D4:D34,$A$152)+COUNTIF('9月'!I4:I34,$A$152)+COUNTIF('9月'!N4:N34,$A$152)+COUNTIF('9月'!S4:S34,$A$152)+COUNTIF('9月'!X4:X34,$A$152)+COUNTIF('9月'!AC4:AC34,$A$152)+COUNTIF('9月'!AH4:AH34,$A$152)+COUNTIF('9月'!AM4:AM34,$A$152)+COUNTIF('9月'!AR4:AR34,$A$152)+COUNTIF('9月'!AW4:AW34,$A$152)+COUNTIF('9月'!BB4:BB34,$A$152)+COUNTIF('9月'!BG4:BG34,$A$152)+COUNTIF('9月'!BL4:BL34,$A$152)+COUNTIF('9月'!BQ4:BQ34,$A$152)+COUNTIF('9月'!BV4:BV34,$A$152)+COUNTIF('9月'!CA4:CA34,$A$152)+COUNTIF('9月'!CF4:CF34,$A$152)+COUNTIF('9月'!CK4:CK34,$A$152)+COUNTIF('9月'!CP4:CP34,$A$152)+COUNTIF('9月'!CU4:CU34,$A$152)+COUNTIF('9月'!CZ4:CZ34,$A$152)+COUNTIF('9月'!DE4:DE34,$A$152)+COUNTIF('9月'!DJ4:DJ34,$A$152)+COUNTIF('9月'!DO4:DO34,$A$152)+COUNTIF('9月'!DT4:DT34,$A$152)+COUNTIF('9月'!DY4:DY34,$A$152)+COUNTIF('9月'!ED4:ED34,$A$152)+COUNTIF('9月'!EI4:EI34,$A$152)+COUNTIF('9月'!EN4:EN34,$A$152)+COUNTIF('9月'!ES4:ES34,$A$152)+COUNTIF('9月'!D4:D34,"渋谷-夜勤")+COUNTIF('9月'!I4:I34,"渋谷-夜勤")+COUNTIF('9月'!N4:N34,"渋谷-夜勤")+COUNTIF('9月'!S4:S34,"渋谷-夜勤")+COUNTIF('9月'!X4:X34,"渋谷-夜勤")+COUNTIF('9月'!AC4:AC34,"渋谷-夜勤")+COUNTIF('9月'!AH4:AH34,"渋谷-夜勤")+COUNTIF('9月'!AM4:AM34,"渋谷-夜勤")+COUNTIF('9月'!AR4:AR34,"渋谷-夜勤")+COUNTIF('9月'!AW4:AW34,"渋谷-夜勤")+COUNTIF('9月'!BB4:BB34,"渋谷-夜勤")+COUNTIF('9月'!BG4:BG34,"渋谷-夜勤")+COUNTIF('9月'!BL4:BL34,"渋谷-夜勤")+COUNTIF('9月'!BQ4:BQ34,"渋谷-夜勤")+COUNTIF('9月'!BV4:BV34,"渋谷-夜勤")+COUNTIF('9月'!CA4:CA34,"渋谷-夜勤")+COUNTIF('9月'!CF4:CF34,"渋谷-夜勤")+COUNTIF('9月'!CK4:CK34,"渋谷-夜勤")+COUNTIF('9月'!CP4:CP34,"渋谷-夜勤")+COUNTIF('9月'!CU4:CU34,"渋谷-夜勤")+COUNTIF('9月'!CZ4:CZ34,"渋谷-夜勤")+COUNTIF('9月'!DE4:DE34,"渋谷-夜勤")+COUNTIF('9月'!DJ4:DJ34,"渋谷-夜勤")+COUNTIF('9月'!DO4:DO34,"渋谷-夜勤")+COUNTIF('9月'!DT4:DT34,"渋谷-夜勤")+COUNTIF('9月'!DY4:DY34,"渋谷-夜勤")+COUNTIF('9月'!ED4:ED34,"渋谷-夜勤")+COUNTIF('9月'!EI4:EI34,"渋谷-夜勤")+COUNTIF('9月'!EN4:EN34,"渋谷-夜勤")+COUNTIF('9月'!ES4:ES34,"渋谷-夜勤"))</f>
        <v>0</v>
      </c>
      <c r="C152" s="76">
        <f>IF($A$152="",0,COUNTIF('9月'!E4:E34,$A$152)+COUNTIF('9月'!J4:J34,$A$152)+COUNTIF('9月'!O4:O34,$A$152)+COUNTIF('9月'!T4:T34,$A$152)+COUNTIF('9月'!Y4:Y34,$A$152)+COUNTIF('9月'!AD4:AD34,$A$152)+COUNTIF('9月'!AI4:AI34,$A$152)+COUNTIF('9月'!AN4:AN34,$A$152)+COUNTIF('9月'!AS4:AS34,$A$152)+COUNTIF('9月'!AX4:AX34,$A$152)+COUNTIF('9月'!BC4:BC34,$A$152)+COUNTIF('9月'!BH4:BH34,$A$152)+COUNTIF('9月'!BM4:BM34,$A$152)+COUNTIF('9月'!BR4:BR34,$A$152)+COUNTIF('9月'!BW4:BW34,$A$152)+COUNTIF('9月'!CB4:CB34,$A$152)+COUNTIF('9月'!CG4:CG34,$A$152)+COUNTIF('9月'!CL4:CL34,$A$152)+COUNTIF('9月'!CQ4:CQ34,$A$152)+COUNTIF('9月'!CV4:CV34,$A$152)+COUNTIF('9月'!DA4:DA34,$A$152)+COUNTIF('9月'!DF4:DF34,$A$152)+COUNTIF('9月'!DK4:DK34,$A$152)+COUNTIF('9月'!DP4:DP34,$A$152)+COUNTIF('9月'!DU4:DU34,$A$152)+COUNTIF('9月'!DZ4:DZ34,$A$152)+COUNTIF('9月'!EE4:EE34,$A$152)+COUNTIF('9月'!EJ4:EJ34,$A$152)+COUNTIF('9月'!EO4:EO34,$A$152)+COUNTIF('9月'!ET4:ET34,$A$152)+COUNTIF('9月'!E4:E34,"渋谷-夜勤")+COUNTIF('9月'!J4:J34,"渋谷-夜勤")+COUNTIF('9月'!O4:O34,"渋谷-夜勤")+COUNTIF('9月'!T4:T34,"渋谷-夜勤")+COUNTIF('9月'!Y4:Y34,"渋谷-夜勤")+COUNTIF('9月'!AD4:AD34,"渋谷-夜勤")+COUNTIF('9月'!AI4:AI34,"渋谷-夜勤")+COUNTIF('9月'!AN4:AN34,"渋谷-夜勤")+COUNTIF('9月'!AS4:AS34,"渋谷-夜勤")+COUNTIF('9月'!AX4:AX34,"渋谷-夜勤")+COUNTIF('9月'!BC4:BC34,"渋谷-夜勤")+COUNTIF('9月'!BH4:BH34,"渋谷-夜勤")+COUNTIF('9月'!BM4:BM34,"渋谷-夜勤")+COUNTIF('9月'!BR4:BR34,"渋谷-夜勤")+COUNTIF('9月'!BW4:BW34,"渋谷-夜勤")+COUNTIF('9月'!CB4:CB34,"渋谷-夜勤")+COUNTIF('9月'!CG4:CG34,"渋谷-夜勤")+COUNTIF('9月'!CL4:CL34,"渋谷-夜勤")+COUNTIF('9月'!CQ4:CQ34,"渋谷-夜勤")+COUNTIF('9月'!CV4:CV34,"渋谷-夜勤")+COUNTIF('9月'!DA4:DA34,"渋谷-夜勤")+COUNTIF('9月'!DF4:DF34,"渋谷-夜勤")+COUNTIF('9月'!DK4:DK34,"渋谷-夜勤")+COUNTIF('9月'!DP4:DP34,"渋谷-夜勤")+COUNTIF('9月'!DU4:DU34,"渋谷-夜勤")+COUNTIF('9月'!DZ4:DZ34,"渋谷-夜勤")+COUNTIF('9月'!EE4:EE34,"渋谷-夜勤")+COUNTIF('9月'!EJ4:EJ34,"渋谷-夜勤")+COUNTIF('9月'!EO4:EO34,"渋谷-夜勤")+COUNTIF('9月'!ET4:ET34,"渋谷-夜勤"))</f>
        <v>0</v>
      </c>
      <c r="D152" s="65">
        <f>IF($A$152="",0,B152+C152)</f>
        <v>0</v>
      </c>
    </row>
    <row r="153" spans="1:4" ht="18.95" customHeight="1">
      <c r="A153" s="77" t="str">
        <f>IFERROR(現場マスタ!$C$10,"")</f>
        <v>有給</v>
      </c>
      <c r="B153" s="76">
        <f>IF($A$153="",0,COUNTIF('9月'!D4:D34,$A$153)+COUNTIF('9月'!I4:I34,$A$153)+COUNTIF('9月'!N4:N34,$A$153)+COUNTIF('9月'!S4:S34,$A$153)+COUNTIF('9月'!X4:X34,$A$153)+COUNTIF('9月'!AC4:AC34,$A$153)+COUNTIF('9月'!AH4:AH34,$A$153)+COUNTIF('9月'!AM4:AM34,$A$153)+COUNTIF('9月'!AR4:AR34,$A$153)+COUNTIF('9月'!AW4:AW34,$A$153)+COUNTIF('9月'!BB4:BB34,$A$153)+COUNTIF('9月'!BG4:BG34,$A$153)+COUNTIF('9月'!BL4:BL34,$A$153)+COUNTIF('9月'!BQ4:BQ34,$A$153)+COUNTIF('9月'!BV4:BV34,$A$153)+COUNTIF('9月'!CA4:CA34,$A$153)+COUNTIF('9月'!CF4:CF34,$A$153)+COUNTIF('9月'!CK4:CK34,$A$153)+COUNTIF('9月'!CP4:CP34,$A$153)+COUNTIF('9月'!CU4:CU34,$A$153)+COUNTIF('9月'!CZ4:CZ34,$A$153)+COUNTIF('9月'!DE4:DE34,$A$153)+COUNTIF('9月'!DJ4:DJ34,$A$153)+COUNTIF('9月'!DO4:DO34,$A$153)+COUNTIF('9月'!DT4:DT34,$A$153)+COUNTIF('9月'!DY4:DY34,$A$153)+COUNTIF('9月'!ED4:ED34,$A$153)+COUNTIF('9月'!EI4:EI34,$A$153)+COUNTIF('9月'!EN4:EN34,$A$153)+COUNTIF('9月'!ES4:ES34,$A$153)+COUNTIF('9月'!D4:D34,"六本木-夜勤")+COUNTIF('9月'!I4:I34,"六本木-夜勤")+COUNTIF('9月'!N4:N34,"六本木-夜勤")+COUNTIF('9月'!S4:S34,"六本木-夜勤")+COUNTIF('9月'!X4:X34,"六本木-夜勤")+COUNTIF('9月'!AC4:AC34,"六本木-夜勤")+COUNTIF('9月'!AH4:AH34,"六本木-夜勤")+COUNTIF('9月'!AM4:AM34,"六本木-夜勤")+COUNTIF('9月'!AR4:AR34,"六本木-夜勤")+COUNTIF('9月'!AW4:AW34,"六本木-夜勤")+COUNTIF('9月'!BB4:BB34,"六本木-夜勤")+COUNTIF('9月'!BG4:BG34,"六本木-夜勤")+COUNTIF('9月'!BL4:BL34,"六本木-夜勤")+COUNTIF('9月'!BQ4:BQ34,"六本木-夜勤")+COUNTIF('9月'!BV4:BV34,"六本木-夜勤")+COUNTIF('9月'!CA4:CA34,"六本木-夜勤")+COUNTIF('9月'!CF4:CF34,"六本木-夜勤")+COUNTIF('9月'!CK4:CK34,"六本木-夜勤")+COUNTIF('9月'!CP4:CP34,"六本木-夜勤")+COUNTIF('9月'!CU4:CU34,"六本木-夜勤")+COUNTIF('9月'!CZ4:CZ34,"六本木-夜勤")+COUNTIF('9月'!DE4:DE34,"六本木-夜勤")+COUNTIF('9月'!DJ4:DJ34,"六本木-夜勤")+COUNTIF('9月'!DO4:DO34,"六本木-夜勤")+COUNTIF('9月'!DT4:DT34,"六本木-夜勤")+COUNTIF('9月'!DY4:DY34,"六本木-夜勤")+COUNTIF('9月'!ED4:ED34,"六本木-夜勤")+COUNTIF('9月'!EI4:EI34,"六本木-夜勤")+COUNTIF('9月'!EN4:EN34,"六本木-夜勤")+COUNTIF('9月'!ES4:ES34,"六本木-夜勤")+COUNTIF('9月'!D4:D34,"六本木ー夜勤")+COUNTIF('9月'!I4:I34,"六本木ー夜勤")+COUNTIF('9月'!N4:N34,"六本木ー夜勤")+COUNTIF('9月'!S4:S34,"六本木ー夜勤")+COUNTIF('9月'!X4:X34,"六本木ー夜勤")+COUNTIF('9月'!AC4:AC34,"六本木ー夜勤")+COUNTIF('9月'!AH4:AH34,"六本木ー夜勤")+COUNTIF('9月'!AM4:AM34,"六本木ー夜勤")+COUNTIF('9月'!AR4:AR34,"六本木ー夜勤")+COUNTIF('9月'!AW4:AW34,"六本木ー夜勤")+COUNTIF('9月'!BB4:BB34,"六本木ー夜勤")+COUNTIF('9月'!BG4:BG34,"六本木ー夜勤")+COUNTIF('9月'!BL4:BL34,"六本木ー夜勤")+COUNTIF('9月'!BQ4:BQ34,"六本木ー夜勤")+COUNTIF('9月'!BV4:BV34,"六本木ー夜勤")+COUNTIF('9月'!CA4:CA34,"六本木ー夜勤")+COUNTIF('9月'!CF4:CF34,"六本木ー夜勤")+COUNTIF('9月'!CK4:CK34,"六本木ー夜勤")+COUNTIF('9月'!CP4:CP34,"六本木ー夜勤")+COUNTIF('9月'!CU4:CU34,"六本木ー夜勤")+COUNTIF('9月'!CZ4:CZ34,"六本木ー夜勤")+COUNTIF('9月'!DE4:DE34,"六本木ー夜勤")+COUNTIF('9月'!DJ4:DJ34,"六本木ー夜勤")+COUNTIF('9月'!DO4:DO34,"六本木ー夜勤")+COUNTIF('9月'!DT4:DT34,"六本木ー夜勤")+COUNTIF('9月'!DY4:DY34,"六本木ー夜勤")+COUNTIF('9月'!ED4:ED34,"六本木ー夜勤")+COUNTIF('9月'!EI4:EI34,"六本木ー夜勤")+COUNTIF('9月'!EN4:EN34,"六本木ー夜勤")+COUNTIF('9月'!ES4:ES34,"六本木ー夜勤"))</f>
        <v>0</v>
      </c>
      <c r="C153" s="76">
        <f>IF($A$153="",0,COUNTIF('9月'!E4:E34,$A$153)+COUNTIF('9月'!J4:J34,$A$153)+COUNTIF('9月'!O4:O34,$A$153)+COUNTIF('9月'!T4:T34,$A$153)+COUNTIF('9月'!Y4:Y34,$A$153)+COUNTIF('9月'!AD4:AD34,$A$153)+COUNTIF('9月'!AI4:AI34,$A$153)+COUNTIF('9月'!AN4:AN34,$A$153)+COUNTIF('9月'!AS4:AS34,$A$153)+COUNTIF('9月'!AX4:AX34,$A$153)+COUNTIF('9月'!BC4:BC34,$A$153)+COUNTIF('9月'!BH4:BH34,$A$153)+COUNTIF('9月'!BM4:BM34,$A$153)+COUNTIF('9月'!BR4:BR34,$A$153)+COUNTIF('9月'!BW4:BW34,$A$153)+COUNTIF('9月'!CB4:CB34,$A$153)+COUNTIF('9月'!CG4:CG34,$A$153)+COUNTIF('9月'!CL4:CL34,$A$153)+COUNTIF('9月'!CQ4:CQ34,$A$153)+COUNTIF('9月'!CV4:CV34,$A$153)+COUNTIF('9月'!DA4:DA34,$A$153)+COUNTIF('9月'!DF4:DF34,$A$153)+COUNTIF('9月'!DK4:DK34,$A$153)+COUNTIF('9月'!DP4:DP34,$A$153)+COUNTIF('9月'!DU4:DU34,$A$153)+COUNTIF('9月'!DZ4:DZ34,$A$153)+COUNTIF('9月'!EE4:EE34,$A$153)+COUNTIF('9月'!EJ4:EJ34,$A$153)+COUNTIF('9月'!EO4:EO34,$A$153)+COUNTIF('9月'!ET4:ET34,$A$153)+COUNTIF('9月'!E4:E34,"六本木-夜勤")+COUNTIF('9月'!J4:J34,"六本木-夜勤")+COUNTIF('9月'!O4:O34,"六本木-夜勤")+COUNTIF('9月'!T4:T34,"六本木-夜勤")+COUNTIF('9月'!Y4:Y34,"六本木-夜勤")+COUNTIF('9月'!AD4:AD34,"六本木-夜勤")+COUNTIF('9月'!AI4:AI34,"六本木-夜勤")+COUNTIF('9月'!AN4:AN34,"六本木-夜勤")+COUNTIF('9月'!AS4:AS34,"六本木-夜勤")+COUNTIF('9月'!AX4:AX34,"六本木-夜勤")+COUNTIF('9月'!BC4:BC34,"六本木-夜勤")+COUNTIF('9月'!BH4:BH34,"六本木-夜勤")+COUNTIF('9月'!BM4:BM34,"六本木-夜勤")+COUNTIF('9月'!BR4:BR34,"六本木-夜勤")+COUNTIF('9月'!BW4:BW34,"六本木-夜勤")+COUNTIF('9月'!CB4:CB34,"六本木-夜勤")+COUNTIF('9月'!CG4:CG34,"六本木-夜勤")+COUNTIF('9月'!CL4:CL34,"六本木-夜勤")+COUNTIF('9月'!CQ4:CQ34,"六本木-夜勤")+COUNTIF('9月'!CV4:CV34,"六本木-夜勤")+COUNTIF('9月'!DA4:DA34,"六本木-夜勤")+COUNTIF('9月'!DF4:DF34,"六本木-夜勤")+COUNTIF('9月'!DK4:DK34,"六本木-夜勤")+COUNTIF('9月'!DP4:DP34,"六本木-夜勤")+COUNTIF('9月'!DU4:DU34,"六本木-夜勤")+COUNTIF('9月'!DZ4:DZ34,"六本木-夜勤")+COUNTIF('9月'!EE4:EE34,"六本木-夜勤")+COUNTIF('9月'!EJ4:EJ34,"六本木-夜勤")+COUNTIF('9月'!EO4:EO34,"六本木-夜勤")+COUNTIF('9月'!ET4:ET34,"六本木-夜勤")+COUNTIF('9月'!E4:E34,"六本木ー夜勤")+COUNTIF('9月'!J4:J34,"六本木ー夜勤")+COUNTIF('9月'!O4:O34,"六本木ー夜勤")+COUNTIF('9月'!T4:T34,"六本木ー夜勤")+COUNTIF('9月'!Y4:Y34,"六本木ー夜勤")+COUNTIF('9月'!AD4:AD34,"六本木ー夜勤")+COUNTIF('9月'!AI4:AI34,"六本木ー夜勤")+COUNTIF('9月'!AN4:AN34,"六本木ー夜勤")+COUNTIF('9月'!AS4:AS34,"六本木ー夜勤")+COUNTIF('9月'!AX4:AX34,"六本木ー夜勤")+COUNTIF('9月'!BC4:BC34,"六本木ー夜勤")+COUNTIF('9月'!BH4:BH34,"六本木ー夜勤")+COUNTIF('9月'!BM4:BM34,"六本木ー夜勤")+COUNTIF('9月'!BR4:BR34,"六本木ー夜勤")+COUNTIF('9月'!BW4:BW34,"六本木ー夜勤")+COUNTIF('9月'!CB4:CB34,"六本木ー夜勤")+COUNTIF('9月'!CG4:CG34,"六本木ー夜勤")+COUNTIF('9月'!CL4:CL34,"六本木ー夜勤")+COUNTIF('9月'!CQ4:CQ34,"六本木ー夜勤")+COUNTIF('9月'!CV4:CV34,"六本木ー夜勤")+COUNTIF('9月'!DA4:DA34,"六本木ー夜勤")+COUNTIF('9月'!DF4:DF34,"六本木ー夜勤")+COUNTIF('9月'!DK4:DK34,"六本木ー夜勤")+COUNTIF('9月'!DP4:DP34,"六本木ー夜勤")+COUNTIF('9月'!DU4:DU34,"六本木ー夜勤")+COUNTIF('9月'!DZ4:DZ34,"六本木ー夜勤")+COUNTIF('9月'!EE4:EE34,"六本木ー夜勤")+COUNTIF('9月'!EJ4:EJ34,"六本木ー夜勤")+COUNTIF('9月'!EO4:EO34,"六本木ー夜勤")+COUNTIF('9月'!ET4:ET34,"六本木ー夜勤"))</f>
        <v>0</v>
      </c>
      <c r="D153" s="65">
        <f>IF($A$153="",0,B153+C153)</f>
        <v>0</v>
      </c>
    </row>
    <row r="154" spans="1:4" ht="18.95" customHeight="1">
      <c r="A154" s="77">
        <f>IFERROR(現場マスタ!$C$11,"")</f>
        <v>0</v>
      </c>
      <c r="B154" s="76">
        <v>0</v>
      </c>
      <c r="C154" s="76">
        <v>0</v>
      </c>
      <c r="D154" s="65">
        <v>0</v>
      </c>
    </row>
    <row r="155" spans="1:4" ht="18.95" customHeight="1">
      <c r="A155" s="77">
        <f>IFERROR(現場マスタ!$C$12,"")</f>
        <v>0</v>
      </c>
      <c r="B155" s="76">
        <f>IF($A$155="",0,COUNTIF('9月'!D4:D34,$A$155)+COUNTIF('9月'!I4:I34,$A$155)+COUNTIF('9月'!N4:N34,$A$155)+COUNTIF('9月'!S4:S34,$A$155)+COUNTIF('9月'!X4:X34,$A$155)+COUNTIF('9月'!AC4:AC34,$A$155)+COUNTIF('9月'!AH4:AH34,$A$155)+COUNTIF('9月'!AM4:AM34,$A$155)+COUNTIF('9月'!AR4:AR34,$A$155)+COUNTIF('9月'!AW4:AW34,$A$155)+COUNTIF('9月'!BB4:BB34,$A$155)+COUNTIF('9月'!BG4:BG34,$A$155)+COUNTIF('9月'!BL4:BL34,$A$155)+COUNTIF('9月'!BQ4:BQ34,$A$155)+COUNTIF('9月'!BV4:BV34,$A$155)+COUNTIF('9月'!CA4:CA34,$A$155)+COUNTIF('9月'!CF4:CF34,$A$155)+COUNTIF('9月'!CK4:CK34,$A$155)+COUNTIF('9月'!CP4:CP34,$A$155)+COUNTIF('9月'!CU4:CU34,$A$155)+COUNTIF('9月'!CZ4:CZ34,$A$155)+COUNTIF('9月'!DE4:DE34,$A$155)+COUNTIF('9月'!DJ4:DJ34,$A$155)+COUNTIF('9月'!DO4:DO34,$A$155)+COUNTIF('9月'!DT4:DT34,$A$155)+COUNTIF('9月'!DY4:DY34,$A$155)+COUNTIF('9月'!ED4:ED34,$A$155)+COUNTIF('9月'!EI4:EI34,$A$155)+COUNTIF('9月'!EN4:EN34,$A$155)+COUNTIF('9月'!ES4:ES34,$A$155))</f>
        <v>0</v>
      </c>
      <c r="C155" s="76">
        <f>IF($A$155="",0,COUNTIF('9月'!E4:E34,$A$155)+COUNTIF('9月'!J4:J34,$A$155)+COUNTIF('9月'!O4:O34,$A$155)+COUNTIF('9月'!T4:T34,$A$155)+COUNTIF('9月'!Y4:Y34,$A$155)+COUNTIF('9月'!AD4:AD34,$A$155)+COUNTIF('9月'!AI4:AI34,$A$155)+COUNTIF('9月'!AN4:AN34,$A$155)+COUNTIF('9月'!AS4:AS34,$A$155)+COUNTIF('9月'!AX4:AX34,$A$155)+COUNTIF('9月'!BC4:BC34,$A$155)+COUNTIF('9月'!BH4:BH34,$A$155)+COUNTIF('9月'!BM4:BM34,$A$155)+COUNTIF('9月'!BR4:BR34,$A$155)+COUNTIF('9月'!BW4:BW34,$A$155)+COUNTIF('9月'!CB4:CB34,$A$155)+COUNTIF('9月'!CG4:CG34,$A$155)+COUNTIF('9月'!CL4:CL34,$A$155)+COUNTIF('9月'!CQ4:CQ34,$A$155)+COUNTIF('9月'!CV4:CV34,$A$155)+COUNTIF('9月'!DA4:DA34,$A$155)+COUNTIF('9月'!DF4:DF34,$A$155)+COUNTIF('9月'!DK4:DK34,$A$155)+COUNTIF('9月'!DP4:DP34,$A$155)+COUNTIF('9月'!DU4:DU34,$A$155)+COUNTIF('9月'!DZ4:DZ34,$A$155)+COUNTIF('9月'!EE4:EE34,$A$155)+COUNTIF('9月'!EJ4:EJ34,$A$155)+COUNTIF('9月'!EO4:EO34,$A$155)+COUNTIF('9月'!ET4:ET34,$A$155))</f>
        <v>0</v>
      </c>
      <c r="D155" s="65">
        <f>IF($A$155="",0,B155+C155)</f>
        <v>0</v>
      </c>
    </row>
    <row r="156" spans="1:4" ht="18.95" customHeight="1">
      <c r="A156" s="77">
        <f>IFERROR(現場マスタ!$C$14,"")</f>
        <v>0</v>
      </c>
      <c r="B156" s="76">
        <v>0</v>
      </c>
      <c r="C156" s="76">
        <v>0</v>
      </c>
      <c r="D156" s="65">
        <v>0</v>
      </c>
    </row>
    <row r="157" spans="1:4" ht="18.95" customHeight="1">
      <c r="A157" s="77">
        <f>IFERROR(現場マスタ!$C$15,"")</f>
        <v>0</v>
      </c>
      <c r="B157" s="76">
        <v>0</v>
      </c>
      <c r="C157" s="76">
        <v>0</v>
      </c>
      <c r="D157" s="65">
        <v>0</v>
      </c>
    </row>
    <row r="158" spans="1:4" ht="18.95" customHeight="1">
      <c r="A158" s="77">
        <f>IFERROR(現場マスタ!$C$16,"")</f>
        <v>0</v>
      </c>
      <c r="B158" s="76">
        <f>IF($A$158="",0,COUNTIF('9月'!D4:D34,$A$158)+COUNTIF('9月'!I4:I34,$A$158)+COUNTIF('9月'!N4:N34,$A$158)+COUNTIF('9月'!S4:S34,$A$158)+COUNTIF('9月'!X4:X34,$A$158)+COUNTIF('9月'!AC4:AC34,$A$158)+COUNTIF('9月'!AH4:AH34,$A$158)+COUNTIF('9月'!AM4:AM34,$A$158)+COUNTIF('9月'!AR4:AR34,$A$158)+COUNTIF('9月'!AW4:AW34,$A$158)+COUNTIF('9月'!BB4:BB34,$A$158)+COUNTIF('9月'!BG4:BG34,$A$158)+COUNTIF('9月'!BL4:BL34,$A$158)+COUNTIF('9月'!BQ4:BQ34,$A$158)+COUNTIF('9月'!BV4:BV34,$A$158)+COUNTIF('9月'!CA4:CA34,$A$158)+COUNTIF('9月'!CF4:CF34,$A$158)+COUNTIF('9月'!CK4:CK34,$A$158)+COUNTIF('9月'!CP4:CP34,$A$158)+COUNTIF('9月'!CU4:CU34,$A$158)+COUNTIF('9月'!CZ4:CZ34,$A$158)+COUNTIF('9月'!DE4:DE34,$A$158)+COUNTIF('9月'!DJ4:DJ34,$A$158)+COUNTIF('9月'!DO4:DO34,$A$158)+COUNTIF('9月'!DT4:DT34,$A$158)+COUNTIF('9月'!DY4:DY34,$A$158)+COUNTIF('9月'!ED4:ED34,$A$158)+COUNTIF('9月'!EI4:EI34,$A$158)+COUNTIF('9月'!EN4:EN34,$A$158)+COUNTIF('9月'!ES4:ES34,$A$158)+COUNTIF('9月'!D4:D34,"三軒茶屋－夜勤")+COUNTIF('9月'!I4:I34,"三軒茶屋－夜勤")+COUNTIF('9月'!N4:N34,"三軒茶屋－夜勤")+COUNTIF('9月'!S4:S34,"三軒茶屋－夜勤")+COUNTIF('9月'!X4:X34,"三軒茶屋－夜勤")+COUNTIF('9月'!AC4:AC34,"三軒茶屋－夜勤")+COUNTIF('9月'!AH4:AH34,"三軒茶屋－夜勤")+COUNTIF('9月'!AM4:AM34,"三軒茶屋－夜勤")+COUNTIF('9月'!AR4:AR34,"三軒茶屋－夜勤")+COUNTIF('9月'!AW4:AW34,"三軒茶屋－夜勤")+COUNTIF('9月'!BB4:BB34,"三軒茶屋－夜勤")+COUNTIF('9月'!BG4:BG34,"三軒茶屋－夜勤")+COUNTIF('9月'!BL4:BL34,"三軒茶屋－夜勤")+COUNTIF('9月'!BQ4:BQ34,"三軒茶屋－夜勤")+COUNTIF('9月'!BV4:BV34,"三軒茶屋－夜勤")+COUNTIF('9月'!CA4:CA34,"三軒茶屋－夜勤")+COUNTIF('9月'!CF4:CF34,"三軒茶屋－夜勤")+COUNTIF('9月'!CK4:CK34,"三軒茶屋－夜勤")+COUNTIF('9月'!CP4:CP34,"三軒茶屋－夜勤")+COUNTIF('9月'!CU4:CU34,"三軒茶屋－夜勤")+COUNTIF('9月'!CZ4:CZ34,"三軒茶屋－夜勤")+COUNTIF('9月'!DE4:DE34,"三軒茶屋－夜勤")+COUNTIF('9月'!DJ4:DJ34,"三軒茶屋－夜勤")+COUNTIF('9月'!DO4:DO34,"三軒茶屋－夜勤")+COUNTIF('9月'!DT4:DT34,"三軒茶屋－夜勤")+COUNTIF('9月'!DY4:DY34,"三軒茶屋－夜勤")+COUNTIF('9月'!ED4:ED34,"三軒茶屋－夜勤")+COUNTIF('9月'!EI4:EI34,"三軒茶屋－夜勤")+COUNTIF('9月'!EN4:EN34,"三軒茶屋－夜勤")+COUNTIF('9月'!ES4:ES34,"三軒茶屋－夜勤"))</f>
        <v>0</v>
      </c>
      <c r="C158" s="76">
        <f>IF($A$158="",0,COUNTIF('9月'!E4:E34,$A$158)+COUNTIF('9月'!J4:J34,$A$158)+COUNTIF('9月'!O4:O34,$A$158)+COUNTIF('9月'!T4:T34,$A$158)+COUNTIF('9月'!Y4:Y34,$A$158)+COUNTIF('9月'!AD4:AD34,$A$158)+COUNTIF('9月'!AI4:AI34,$A$158)+COUNTIF('9月'!AN4:AN34,$A$158)+COUNTIF('9月'!AS4:AS34,$A$158)+COUNTIF('9月'!AX4:AX34,$A$158)+COUNTIF('9月'!BC4:BC34,$A$158)+COUNTIF('9月'!BH4:BH34,$A$158)+COUNTIF('9月'!BM4:BM34,$A$158)+COUNTIF('9月'!BR4:BR34,$A$158)+COUNTIF('9月'!BW4:BW34,$A$158)+COUNTIF('9月'!CB4:CB34,$A$158)+COUNTIF('9月'!CG4:CG34,$A$158)+COUNTIF('9月'!CL4:CL34,$A$158)+COUNTIF('9月'!CQ4:CQ34,$A$158)+COUNTIF('9月'!CV4:CV34,$A$158)+COUNTIF('9月'!DA4:DA34,$A$158)+COUNTIF('9月'!DF4:DF34,$A$158)+COUNTIF('9月'!DK4:DK34,$A$158)+COUNTIF('9月'!DP4:DP34,$A$158)+COUNTIF('9月'!DU4:DU34,$A$158)+COUNTIF('9月'!DZ4:DZ34,$A$158)+COUNTIF('9月'!EE4:EE34,$A$158)+COUNTIF('9月'!EJ4:EJ34,$A$158)+COUNTIF('9月'!EO4:EO34,$A$158)+COUNTIF('9月'!ET4:ET34,$A$158)+COUNTIF('9月'!E4:E34,"三軒茶屋－夜勤")+COUNTIF('9月'!J4:J34,"三軒茶屋－夜勤")+COUNTIF('9月'!O4:O34,"三軒茶屋－夜勤")+COUNTIF('9月'!T4:T34,"三軒茶屋－夜勤")+COUNTIF('9月'!Y4:Y34,"三軒茶屋－夜勤")+COUNTIF('9月'!AD4:AD34,"三軒茶屋－夜勤")+COUNTIF('9月'!AI4:AI34,"三軒茶屋－夜勤")+COUNTIF('9月'!AN4:AN34,"三軒茶屋－夜勤")+COUNTIF('9月'!AS4:AS34,"三軒茶屋－夜勤")+COUNTIF('9月'!AX4:AX34,"三軒茶屋－夜勤")+COUNTIF('9月'!BC4:BC34,"三軒茶屋－夜勤")+COUNTIF('9月'!BH4:BH34,"三軒茶屋－夜勤")+COUNTIF('9月'!BM4:BM34,"三軒茶屋－夜勤")+COUNTIF('9月'!BR4:BR34,"三軒茶屋－夜勤")+COUNTIF('9月'!BW4:BW34,"三軒茶屋－夜勤")+COUNTIF('9月'!CB4:CB34,"三軒茶屋－夜勤")+COUNTIF('9月'!CG4:CG34,"三軒茶屋－夜勤")+COUNTIF('9月'!CL4:CL34,"三軒茶屋－夜勤")+COUNTIF('9月'!CQ4:CQ34,"三軒茶屋－夜勤")+COUNTIF('9月'!CV4:CV34,"三軒茶屋－夜勤")+COUNTIF('9月'!DA4:DA34,"三軒茶屋－夜勤")+COUNTIF('9月'!DF4:DF34,"三軒茶屋－夜勤")+COUNTIF('9月'!DK4:DK34,"三軒茶屋－夜勤")+COUNTIF('9月'!DP4:DP34,"三軒茶屋－夜勤")+COUNTIF('9月'!DU4:DU34,"三軒茶屋－夜勤")+COUNTIF('9月'!DZ4:DZ34,"三軒茶屋－夜勤")+COUNTIF('9月'!EE4:EE34,"三軒茶屋－夜勤")+COUNTIF('9月'!EJ4:EJ34,"三軒茶屋－夜勤")+COUNTIF('9月'!EO4:EO34,"三軒茶屋－夜勤")+COUNTIF('9月'!ET4:ET34,"三軒茶屋－夜勤"))</f>
        <v>0</v>
      </c>
      <c r="D158" s="65">
        <f>IF($A$158="",0,B158+C158)</f>
        <v>0</v>
      </c>
    </row>
    <row r="159" spans="1:4" ht="18.95" customHeight="1">
      <c r="A159" s="77">
        <f>IFERROR(現場マスタ!$C$17,"")</f>
        <v>0</v>
      </c>
      <c r="B159" s="76">
        <f>IF($A$159="",0,COUNTIF('9月'!D4:D34,$A$159)+COUNTIF('9月'!I4:I34,$A$159)+COUNTIF('9月'!N4:N34,$A$159)+COUNTIF('9月'!S4:S34,$A$159)+COUNTIF('9月'!X4:X34,$A$159)+COUNTIF('9月'!AC4:AC34,$A$159)+COUNTIF('9月'!AH4:AH34,$A$159)+COUNTIF('9月'!AM4:AM34,$A$159)+COUNTIF('9月'!AR4:AR34,$A$159)+COUNTIF('9月'!AW4:AW34,$A$159)+COUNTIF('9月'!BB4:BB34,$A$159)+COUNTIF('9月'!BG4:BG34,$A$159)+COUNTIF('9月'!BL4:BL34,$A$159)+COUNTIF('9月'!BQ4:BQ34,$A$159)+COUNTIF('9月'!BV4:BV34,$A$159)+COUNTIF('9月'!CA4:CA34,$A$159)+COUNTIF('9月'!CF4:CF34,$A$159)+COUNTIF('9月'!CK4:CK34,$A$159)+COUNTIF('9月'!CP4:CP34,$A$159)+COUNTIF('9月'!CU4:CU34,$A$159)+COUNTIF('9月'!CZ4:CZ34,$A$159)+COUNTIF('9月'!DE4:DE34,$A$159)+COUNTIF('9月'!DJ4:DJ34,$A$159)+COUNTIF('9月'!DO4:DO34,$A$159)+COUNTIF('9月'!DT4:DT34,$A$159)+COUNTIF('9月'!DY4:DY34,$A$159)+COUNTIF('9月'!ED4:ED34,$A$159)+COUNTIF('9月'!EI4:EI34,$A$159)+COUNTIF('9月'!EN4:EN34,$A$159)+COUNTIF('9月'!ES4:ES34,$A$159)+COUNTIF('9月'!D4:D34,"荻窪ー夜勤")+COUNTIF('9月'!I4:I34,"荻窪ー夜勤")+COUNTIF('9月'!N4:N34,"荻窪ー夜勤")+COUNTIF('9月'!S4:S34,"荻窪ー夜勤")+COUNTIF('9月'!X4:X34,"荻窪ー夜勤")+COUNTIF('9月'!AC4:AC34,"荻窪ー夜勤")+COUNTIF('9月'!AH4:AH34,"荻窪ー夜勤")+COUNTIF('9月'!AM4:AM34,"荻窪ー夜勤")+COUNTIF('9月'!AR4:AR34,"荻窪ー夜勤")+COUNTIF('9月'!AW4:AW34,"荻窪ー夜勤")+COUNTIF('9月'!BB4:BB34,"荻窪ー夜勤")+COUNTIF('9月'!BG4:BG34,"荻窪ー夜勤")+COUNTIF('9月'!BL4:BL34,"荻窪ー夜勤")+COUNTIF('9月'!BQ4:BQ34,"荻窪ー夜勤")+COUNTIF('9月'!BV4:BV34,"荻窪ー夜勤")+COUNTIF('9月'!CA4:CA34,"荻窪ー夜勤")+COUNTIF('9月'!CF4:CF34,"荻窪ー夜勤")+COUNTIF('9月'!CK4:CK34,"荻窪ー夜勤")+COUNTIF('9月'!CP4:CP34,"荻窪ー夜勤")+COUNTIF('9月'!CU4:CU34,"荻窪ー夜勤")+COUNTIF('9月'!CZ4:CZ34,"荻窪ー夜勤")+COUNTIF('9月'!DE4:DE34,"荻窪ー夜勤")+COUNTIF('9月'!DJ4:DJ34,"荻窪ー夜勤")+COUNTIF('9月'!DO4:DO34,"荻窪ー夜勤")+COUNTIF('9月'!DT4:DT34,"荻窪ー夜勤")+COUNTIF('9月'!DY4:DY34,"荻窪ー夜勤")+COUNTIF('9月'!ED4:ED34,"荻窪ー夜勤")+COUNTIF('9月'!EI4:EI34,"荻窪ー夜勤")+COUNTIF('9月'!EN4:EN34,"荻窪ー夜勤")+COUNTIF('9月'!ES4:ES34,"荻窪ー夜勤"))</f>
        <v>0</v>
      </c>
      <c r="C159" s="76">
        <f>IF($A$159="",0,COUNTIF('9月'!E4:E34,$A$159)+COUNTIF('9月'!J4:J34,$A$159)+COUNTIF('9月'!O4:O34,$A$159)+COUNTIF('9月'!T4:T34,$A$159)+COUNTIF('9月'!Y4:Y34,$A$159)+COUNTIF('9月'!AD4:AD34,$A$159)+COUNTIF('9月'!AI4:AI34,$A$159)+COUNTIF('9月'!AN4:AN34,$A$159)+COUNTIF('9月'!AS4:AS34,$A$159)+COUNTIF('9月'!AX4:AX34,$A$159)+COUNTIF('9月'!BC4:BC34,$A$159)+COUNTIF('9月'!BH4:BH34,$A$159)+COUNTIF('9月'!BM4:BM34,$A$159)+COUNTIF('9月'!BR4:BR34,$A$159)+COUNTIF('9月'!BW4:BW34,$A$159)+COUNTIF('9月'!CB4:CB34,$A$159)+COUNTIF('9月'!CG4:CG34,$A$159)+COUNTIF('9月'!CL4:CL34,$A$159)+COUNTIF('9月'!CQ4:CQ34,$A$159)+COUNTIF('9月'!CV4:CV34,$A$159)+COUNTIF('9月'!DA4:DA34,$A$159)+COUNTIF('9月'!DF4:DF34,$A$159)+COUNTIF('9月'!DK4:DK34,$A$159)+COUNTIF('9月'!DP4:DP34,$A$159)+COUNTIF('9月'!DU4:DU34,$A$159)+COUNTIF('9月'!DZ4:DZ34,$A$159)+COUNTIF('9月'!EE4:EE34,$A$159)+COUNTIF('9月'!EJ4:EJ34,$A$159)+COUNTIF('9月'!EO4:EO34,$A$159)+COUNTIF('9月'!ET4:ET34,$A$159)+COUNTIF('9月'!E4:E34,"荻窪ー夜勤")+COUNTIF('9月'!J4:J34,"荻窪ー夜勤")+COUNTIF('9月'!O4:O34,"荻窪ー夜勤")+COUNTIF('9月'!T4:T34,"荻窪ー夜勤")+COUNTIF('9月'!Y4:Y34,"荻窪ー夜勤")+COUNTIF('9月'!AD4:AD34,"荻窪ー夜勤")+COUNTIF('9月'!AI4:AI34,"荻窪ー夜勤")+COUNTIF('9月'!AN4:AN34,"荻窪ー夜勤")+COUNTIF('9月'!AS4:AS34,"荻窪ー夜勤")+COUNTIF('9月'!AX4:AX34,"荻窪ー夜勤")+COUNTIF('9月'!BC4:BC34,"荻窪ー夜勤")+COUNTIF('9月'!BH4:BH34,"荻窪ー夜勤")+COUNTIF('9月'!BM4:BM34,"荻窪ー夜勤")+COUNTIF('9月'!BR4:BR34,"荻窪ー夜勤")+COUNTIF('9月'!BW4:BW34,"荻窪ー夜勤")+COUNTIF('9月'!CB4:CB34,"荻窪ー夜勤")+COUNTIF('9月'!CG4:CG34,"荻窪ー夜勤")+COUNTIF('9月'!CL4:CL34,"荻窪ー夜勤")+COUNTIF('9月'!CQ4:CQ34,"荻窪ー夜勤")+COUNTIF('9月'!CV4:CV34,"荻窪ー夜勤")+COUNTIF('9月'!DA4:DA34,"荻窪ー夜勤")+COUNTIF('9月'!DF4:DF34,"荻窪ー夜勤")+COUNTIF('9月'!DK4:DK34,"荻窪ー夜勤")+COUNTIF('9月'!DP4:DP34,"荻窪ー夜勤")+COUNTIF('9月'!DU4:DU34,"荻窪ー夜勤")+COUNTIF('9月'!DZ4:DZ34,"荻窪ー夜勤")+COUNTIF('9月'!EE4:EE34,"荻窪ー夜勤")+COUNTIF('9月'!EJ4:EJ34,"荻窪ー夜勤")+COUNTIF('9月'!EO4:EO34,"荻窪ー夜勤")+COUNTIF('9月'!ET4:ET34,"荻窪ー夜勤"))</f>
        <v>0</v>
      </c>
      <c r="D159" s="65">
        <f>IF($A$159="",0,B159+C159)</f>
        <v>0</v>
      </c>
    </row>
    <row r="160" spans="1:4" ht="18.95" customHeight="1">
      <c r="A160" s="77">
        <f>IFERROR(現場マスタ!$C$18,"")</f>
        <v>0</v>
      </c>
      <c r="B160" s="76">
        <f>IF($A$160="",0,COUNTIF('9月'!D4:D34,$A$160)+COUNTIF('9月'!I4:I34,$A$160)+COUNTIF('9月'!N4:N34,$A$160)+COUNTIF('9月'!S4:S34,$A$160)+COUNTIF('9月'!X4:X34,$A$160)+COUNTIF('9月'!AC4:AC34,$A$160)+COUNTIF('9月'!AH4:AH34,$A$160)+COUNTIF('9月'!AM4:AM34,$A$160)+COUNTIF('9月'!AR4:AR34,$A$160)+COUNTIF('9月'!AW4:AW34,$A$160)+COUNTIF('9月'!BB4:BB34,$A$160)+COUNTIF('9月'!BG4:BG34,$A$160)+COUNTIF('9月'!BL4:BL34,$A$160)+COUNTIF('9月'!BQ4:BQ34,$A$160)+COUNTIF('9月'!BV4:BV34,$A$160)+COUNTIF('9月'!CA4:CA34,$A$160)+COUNTIF('9月'!CF4:CF34,$A$160)+COUNTIF('9月'!CK4:CK34,$A$160)+COUNTIF('9月'!CP4:CP34,$A$160)+COUNTIF('9月'!CU4:CU34,$A$160)+COUNTIF('9月'!CZ4:CZ34,$A$160)+COUNTIF('9月'!DE4:DE34,$A$160)+COUNTIF('9月'!DJ4:DJ34,$A$160)+COUNTIF('9月'!DO4:DO34,$A$160)+COUNTIF('9月'!DT4:DT34,$A$160)+COUNTIF('9月'!DY4:DY34,$A$160)+COUNTIF('9月'!ED4:ED34,$A$160)+COUNTIF('9月'!EI4:EI34,$A$160)+COUNTIF('9月'!EN4:EN34,$A$160)+COUNTIF('9月'!ES4:ES34,$A$160))</f>
        <v>0</v>
      </c>
      <c r="C160" s="76">
        <f>IF($A$160="",0,COUNTIF('9月'!E4:E34,$A$160)+COUNTIF('9月'!J4:J34,$A$160)+COUNTIF('9月'!O4:O34,$A$160)+COUNTIF('9月'!T4:T34,$A$160)+COUNTIF('9月'!Y4:Y34,$A$160)+COUNTIF('9月'!AD4:AD34,$A$160)+COUNTIF('9月'!AI4:AI34,$A$160)+COUNTIF('9月'!AN4:AN34,$A$160)+COUNTIF('9月'!AS4:AS34,$A$160)+COUNTIF('9月'!AX4:AX34,$A$160)+COUNTIF('9月'!BC4:BC34,$A$160)+COUNTIF('9月'!BH4:BH34,$A$160)+COUNTIF('9月'!BM4:BM34,$A$160)+COUNTIF('9月'!BR4:BR34,$A$160)+COUNTIF('9月'!BW4:BW34,$A$160)+COUNTIF('9月'!CB4:CB34,$A$160)+COUNTIF('9月'!CG4:CG34,$A$160)+COUNTIF('9月'!CL4:CL34,$A$160)+COUNTIF('9月'!CQ4:CQ34,$A$160)+COUNTIF('9月'!CV4:CV34,$A$160)+COUNTIF('9月'!DA4:DA34,$A$160)+COUNTIF('9月'!DF4:DF34,$A$160)+COUNTIF('9月'!DK4:DK34,$A$160)+COUNTIF('9月'!DP4:DP34,$A$160)+COUNTIF('9月'!DU4:DU34,$A$160)+COUNTIF('9月'!DZ4:DZ34,$A$160)+COUNTIF('9月'!EE4:EE34,$A$160)+COUNTIF('9月'!EJ4:EJ34,$A$160)+COUNTIF('9月'!EO4:EO34,$A$160)+COUNTIF('9月'!ET4:ET34,$A$160))</f>
        <v>0</v>
      </c>
      <c r="D160" s="65">
        <f>IF($A$160="",0,B160+C160)</f>
        <v>0</v>
      </c>
    </row>
    <row r="161" spans="1:4" ht="18.95" customHeight="1">
      <c r="A161" s="77">
        <f>IFERROR(現場マスタ!$C$20,"")</f>
        <v>0</v>
      </c>
      <c r="B161" s="76">
        <f>IF($A$161="",0,COUNTIF('9月'!D4:D34,$A$161)+COUNTIF('9月'!I4:I34,$A$161)+COUNTIF('9月'!N4:N34,$A$161)+COUNTIF('9月'!S4:S34,$A$161)+COUNTIF('9月'!X4:X34,$A$161)+COUNTIF('9月'!AC4:AC34,$A$161)+COUNTIF('9月'!AH4:AH34,$A$161)+COUNTIF('9月'!AM4:AM34,$A$161)+COUNTIF('9月'!AR4:AR34,$A$161)+COUNTIF('9月'!AW4:AW34,$A$161)+COUNTIF('9月'!BB4:BB34,$A$161)+COUNTIF('9月'!BG4:BG34,$A$161)+COUNTIF('9月'!BL4:BL34,$A$161)+COUNTIF('9月'!BQ4:BQ34,$A$161)+COUNTIF('9月'!BV4:BV34,$A$161)+COUNTIF('9月'!CA4:CA34,$A$161)+COUNTIF('9月'!CF4:CF34,$A$161)+COUNTIF('9月'!CK4:CK34,$A$161)+COUNTIF('9月'!CP4:CP34,$A$161)+COUNTIF('9月'!CU4:CU34,$A$161)+COUNTIF('9月'!CZ4:CZ34,$A$161)+COUNTIF('9月'!DE4:DE34,$A$161)+COUNTIF('9月'!DJ4:DJ34,$A$161)+COUNTIF('9月'!DO4:DO34,$A$161)+COUNTIF('9月'!DT4:DT34,$A$161)+COUNTIF('9月'!DY4:DY34,$A$161)+COUNTIF('9月'!ED4:ED34,$A$161)+COUNTIF('9月'!EI4:EI34,$A$161)+COUNTIF('9月'!EN4:EN34,$A$161)+COUNTIF('9月'!ES4:ES34,$A$161))</f>
        <v>0</v>
      </c>
      <c r="C161" s="76">
        <f>IF($A$161="",0,COUNTIF('9月'!E4:E34,$A$161)+COUNTIF('9月'!J4:J34,$A$161)+COUNTIF('9月'!O4:O34,$A$161)+COUNTIF('9月'!T4:T34,$A$161)+COUNTIF('9月'!Y4:Y34,$A$161)+COUNTIF('9月'!AD4:AD34,$A$161)+COUNTIF('9月'!AI4:AI34,$A$161)+COUNTIF('9月'!AN4:AN34,$A$161)+COUNTIF('9月'!AS4:AS34,$A$161)+COUNTIF('9月'!AX4:AX34,$A$161)+COUNTIF('9月'!BC4:BC34,$A$161)+COUNTIF('9月'!BH4:BH34,$A$161)+COUNTIF('9月'!BM4:BM34,$A$161)+COUNTIF('9月'!BR4:BR34,$A$161)+COUNTIF('9月'!BW4:BW34,$A$161)+COUNTIF('9月'!CB4:CB34,$A$161)+COUNTIF('9月'!CG4:CG34,$A$161)+COUNTIF('9月'!CL4:CL34,$A$161)+COUNTIF('9月'!CQ4:CQ34,$A$161)+COUNTIF('9月'!CV4:CV34,$A$161)+COUNTIF('9月'!DA4:DA34,$A$161)+COUNTIF('9月'!DF4:DF34,$A$161)+COUNTIF('9月'!DK4:DK34,$A$161)+COUNTIF('9月'!DP4:DP34,$A$161)+COUNTIF('9月'!DU4:DU34,$A$161)+COUNTIF('9月'!DZ4:DZ34,$A$161)+COUNTIF('9月'!EE4:EE34,$A$161)+COUNTIF('9月'!EJ4:EJ34,$A$161)+COUNTIF('9月'!EO4:EO34,$A$161)+COUNTIF('9月'!ET4:ET34,$A$161))</f>
        <v>0</v>
      </c>
      <c r="D161" s="65">
        <f>IF($A$161="",0,B161+C161)</f>
        <v>0</v>
      </c>
    </row>
    <row r="162" spans="1:4" ht="18.95" customHeight="1">
      <c r="A162" s="77">
        <f>IFERROR(現場マスタ!$C$21,"")</f>
        <v>0</v>
      </c>
      <c r="B162" s="76">
        <f>IF($A$162="",0,COUNTIF('9月'!D4:D34,$A$162)+COUNTIF('9月'!I4:I34,$A$162)+COUNTIF('9月'!N4:N34,$A$162)+COUNTIF('9月'!S4:S34,$A$162)+COUNTIF('9月'!X4:X34,$A$162)+COUNTIF('9月'!AC4:AC34,$A$162)+COUNTIF('9月'!AH4:AH34,$A$162)+COUNTIF('9月'!AM4:AM34,$A$162)+COUNTIF('9月'!AR4:AR34,$A$162)+COUNTIF('9月'!AW4:AW34,$A$162)+COUNTIF('9月'!BB4:BB34,$A$162)+COUNTIF('9月'!BG4:BG34,$A$162)+COUNTIF('9月'!BL4:BL34,$A$162)+COUNTIF('9月'!BQ4:BQ34,$A$162)+COUNTIF('9月'!BV4:BV34,$A$162)+COUNTIF('9月'!CA4:CA34,$A$162)+COUNTIF('9月'!CF4:CF34,$A$162)+COUNTIF('9月'!CK4:CK34,$A$162)+COUNTIF('9月'!CP4:CP34,$A$162)+COUNTIF('9月'!CU4:CU34,$A$162)+COUNTIF('9月'!CZ4:CZ34,$A$162)+COUNTIF('9月'!DE4:DE34,$A$162)+COUNTIF('9月'!DJ4:DJ34,$A$162)+COUNTIF('9月'!DO4:DO34,$A$162)+COUNTIF('9月'!DT4:DT34,$A$162)+COUNTIF('9月'!DY4:DY34,$A$162)+COUNTIF('9月'!ED4:ED34,$A$162)+COUNTIF('9月'!EI4:EI34,$A$162)+COUNTIF('9月'!EN4:EN34,$A$162)+COUNTIF('9月'!ES4:ES34,$A$162))</f>
        <v>0</v>
      </c>
      <c r="C162" s="76">
        <f>IF($A$162="",0,COUNTIF('9月'!E4:E34,$A$162)+COUNTIF('9月'!J4:J34,$A$162)+COUNTIF('9月'!O4:O34,$A$162)+COUNTIF('9月'!T4:T34,$A$162)+COUNTIF('9月'!Y4:Y34,$A$162)+COUNTIF('9月'!AD4:AD34,$A$162)+COUNTIF('9月'!AI4:AI34,$A$162)+COUNTIF('9月'!AN4:AN34,$A$162)+COUNTIF('9月'!AS4:AS34,$A$162)+COUNTIF('9月'!AX4:AX34,$A$162)+COUNTIF('9月'!BC4:BC34,$A$162)+COUNTIF('9月'!BH4:BH34,$A$162)+COUNTIF('9月'!BM4:BM34,$A$162)+COUNTIF('9月'!BR4:BR34,$A$162)+COUNTIF('9月'!BW4:BW34,$A$162)+COUNTIF('9月'!CB4:CB34,$A$162)+COUNTIF('9月'!CG4:CG34,$A$162)+COUNTIF('9月'!CL4:CL34,$A$162)+COUNTIF('9月'!CQ4:CQ34,$A$162)+COUNTIF('9月'!CV4:CV34,$A$162)+COUNTIF('9月'!DA4:DA34,$A$162)+COUNTIF('9月'!DF4:DF34,$A$162)+COUNTIF('9月'!DK4:DK34,$A$162)+COUNTIF('9月'!DP4:DP34,$A$162)+COUNTIF('9月'!DU4:DU34,$A$162)+COUNTIF('9月'!DZ4:DZ34,$A$162)+COUNTIF('9月'!EE4:EE34,$A$162)+COUNTIF('9月'!EJ4:EJ34,$A$162)+COUNTIF('9月'!EO4:EO34,$A$162)+COUNTIF('9月'!ET4:ET34,$A$162))</f>
        <v>0</v>
      </c>
      <c r="D162" s="65">
        <f>IF($A$162="",0,B162+C162)</f>
        <v>0</v>
      </c>
    </row>
    <row r="163" spans="1:4" ht="18.95" customHeight="1">
      <c r="A163" s="77">
        <f>IFERROR(現場マスタ!$C$22,"")</f>
        <v>0</v>
      </c>
      <c r="B163" s="76">
        <f>IF($A$163="",0,COUNTIF('9月'!D4:D34,$A$163)+COUNTIF('9月'!I4:I34,$A$163)+COUNTIF('9月'!N4:N34,$A$163)+COUNTIF('9月'!S4:S34,$A$163)+COUNTIF('9月'!X4:X34,$A$163)+COUNTIF('9月'!AC4:AC34,$A$163)+COUNTIF('9月'!AH4:AH34,$A$163)+COUNTIF('9月'!AM4:AM34,$A$163)+COUNTIF('9月'!AR4:AR34,$A$163)+COUNTIF('9月'!AW4:AW34,$A$163)+COUNTIF('9月'!BB4:BB34,$A$163)+COUNTIF('9月'!BG4:BG34,$A$163)+COUNTIF('9月'!BL4:BL34,$A$163)+COUNTIF('9月'!BQ4:BQ34,$A$163)+COUNTIF('9月'!BV4:BV34,$A$163)+COUNTIF('9月'!CA4:CA34,$A$163)+COUNTIF('9月'!CF4:CF34,$A$163)+COUNTIF('9月'!CK4:CK34,$A$163)+COUNTIF('9月'!CP4:CP34,$A$163)+COUNTIF('9月'!CU4:CU34,$A$163)+COUNTIF('9月'!CZ4:CZ34,$A$163)+COUNTIF('9月'!DE4:DE34,$A$163)+COUNTIF('9月'!DJ4:DJ34,$A$163)+COUNTIF('9月'!DO4:DO34,$A$163)+COUNTIF('9月'!DT4:DT34,$A$163)+COUNTIF('9月'!DY4:DY34,$A$163)+COUNTIF('9月'!ED4:ED34,$A$163)+COUNTIF('9月'!EI4:EI34,$A$163)+COUNTIF('9月'!EN4:EN34,$A$163)+COUNTIF('9月'!ES4:ES34,$A$163))</f>
        <v>0</v>
      </c>
      <c r="C163" s="76">
        <f>IF($A$163="",0,COUNTIF('9月'!E4:E34,$A$163)+COUNTIF('9月'!J4:J34,$A$163)+COUNTIF('9月'!O4:O34,$A$163)+COUNTIF('9月'!T4:T34,$A$163)+COUNTIF('9月'!Y4:Y34,$A$163)+COUNTIF('9月'!AD4:AD34,$A$163)+COUNTIF('9月'!AI4:AI34,$A$163)+COUNTIF('9月'!AN4:AN34,$A$163)+COUNTIF('9月'!AS4:AS34,$A$163)+COUNTIF('9月'!AX4:AX34,$A$163)+COUNTIF('9月'!BC4:BC34,$A$163)+COUNTIF('9月'!BH4:BH34,$A$163)+COUNTIF('9月'!BM4:BM34,$A$163)+COUNTIF('9月'!BR4:BR34,$A$163)+COUNTIF('9月'!BW4:BW34,$A$163)+COUNTIF('9月'!CB4:CB34,$A$163)+COUNTIF('9月'!CG4:CG34,$A$163)+COUNTIF('9月'!CL4:CL34,$A$163)+COUNTIF('9月'!CQ4:CQ34,$A$163)+COUNTIF('9月'!CV4:CV34,$A$163)+COUNTIF('9月'!DA4:DA34,$A$163)+COUNTIF('9月'!DF4:DF34,$A$163)+COUNTIF('9月'!DK4:DK34,$A$163)+COUNTIF('9月'!DP4:DP34,$A$163)+COUNTIF('9月'!DU4:DU34,$A$163)+COUNTIF('9月'!DZ4:DZ34,$A$163)+COUNTIF('9月'!EE4:EE34,$A$163)+COUNTIF('9月'!EJ4:EJ34,$A$163)+COUNTIF('9月'!EO4:EO34,$A$163)+COUNTIF('9月'!ET4:ET34,$A$163))</f>
        <v>0</v>
      </c>
      <c r="D163" s="65">
        <f>IF($A$163="",0,B163+C163)</f>
        <v>0</v>
      </c>
    </row>
    <row r="164" spans="1:4" ht="9.9499999999999993" customHeight="1"/>
    <row r="165" spans="1:4" ht="21.95" customHeight="1">
      <c r="A165" s="112" t="str">
        <f>対象年度&amp;"年 10月"</f>
        <v>2026年 10月</v>
      </c>
      <c r="B165" s="112"/>
      <c r="C165" s="112"/>
      <c r="D165" s="112"/>
    </row>
    <row r="166" spans="1:4" ht="20.100000000000001" customHeight="1">
      <c r="A166" s="60" t="s">
        <v>60</v>
      </c>
      <c r="B166" s="75" t="s">
        <v>110</v>
      </c>
      <c r="C166" s="75" t="s">
        <v>111</v>
      </c>
      <c r="D166" s="65" t="s">
        <v>112</v>
      </c>
    </row>
    <row r="167" spans="1:4" ht="18.95" customHeight="1">
      <c r="A167" s="77" t="str">
        <f>IFERROR(現場マスタ!$C$4,"")</f>
        <v>新宿</v>
      </c>
      <c r="B167" s="76">
        <f>IF($A$167="",0,COUNTIF('10月'!D4:D34,$A$167)+COUNTIF('10月'!I4:I34,$A$167)+COUNTIF('10月'!N4:N34,$A$167)+COUNTIF('10月'!S4:S34,$A$167)+COUNTIF('10月'!X4:X34,$A$167)+COUNTIF('10月'!AC4:AC34,$A$167)+COUNTIF('10月'!AH4:AH34,$A$167)+COUNTIF('10月'!AM4:AM34,$A$167)+COUNTIF('10月'!AR4:AR34,$A$167)+COUNTIF('10月'!AW4:AW34,$A$167)+COUNTIF('10月'!BB4:BB34,$A$167)+COUNTIF('10月'!BG4:BG34,$A$167)+COUNTIF('10月'!BL4:BL34,$A$167)+COUNTIF('10月'!BQ4:BQ34,$A$167)+COUNTIF('10月'!BV4:BV34,$A$167)+COUNTIF('10月'!CA4:CA34,$A$167)+COUNTIF('10月'!CF4:CF34,$A$167)+COUNTIF('10月'!CK4:CK34,$A$167)+COUNTIF('10月'!CP4:CP34,$A$167)+COUNTIF('10月'!CU4:CU34,$A$167)+COUNTIF('10月'!CZ4:CZ34,$A$167)+COUNTIF('10月'!DE4:DE34,$A$167)+COUNTIF('10月'!DJ4:DJ34,$A$167)+COUNTIF('10月'!DO4:DO34,$A$167)+COUNTIF('10月'!DT4:DT34,$A$167)+COUNTIF('10月'!DY4:DY34,$A$167)+COUNTIF('10月'!ED4:ED34,$A$167)+COUNTIF('10月'!EI4:EI34,$A$167)+COUNTIF('10月'!EN4:EN34,$A$167)+COUNTIF('10月'!ES4:ES34,$A$167))</f>
        <v>0</v>
      </c>
      <c r="C167" s="76">
        <f>IF($A$167="",0,COUNTIF('10月'!E4:E34,$A$167)+COUNTIF('10月'!J4:J34,$A$167)+COUNTIF('10月'!O4:O34,$A$167)+COUNTIF('10月'!T4:T34,$A$167)+COUNTIF('10月'!Y4:Y34,$A$167)+COUNTIF('10月'!AD4:AD34,$A$167)+COUNTIF('10月'!AI4:AI34,$A$167)+COUNTIF('10月'!AN4:AN34,$A$167)+COUNTIF('10月'!AS4:AS34,$A$167)+COUNTIF('10月'!AX4:AX34,$A$167)+COUNTIF('10月'!BC4:BC34,$A$167)+COUNTIF('10月'!BH4:BH34,$A$167)+COUNTIF('10月'!BM4:BM34,$A$167)+COUNTIF('10月'!BR4:BR34,$A$167)+COUNTIF('10月'!BW4:BW34,$A$167)+COUNTIF('10月'!CB4:CB34,$A$167)+COUNTIF('10月'!CG4:CG34,$A$167)+COUNTIF('10月'!CL4:CL34,$A$167)+COUNTIF('10月'!CQ4:CQ34,$A$167)+COUNTIF('10月'!CV4:CV34,$A$167)+COUNTIF('10月'!DA4:DA34,$A$167)+COUNTIF('10月'!DF4:DF34,$A$167)+COUNTIF('10月'!DK4:DK34,$A$167)+COUNTIF('10月'!DP4:DP34,$A$167)+COUNTIF('10月'!DU4:DU34,$A$167)+COUNTIF('10月'!DZ4:DZ34,$A$167)+COUNTIF('10月'!EE4:EE34,$A$167)+COUNTIF('10月'!EJ4:EJ34,$A$167)+COUNTIF('10月'!EO4:EO34,$A$167)+COUNTIF('10月'!ET4:ET34,$A$167))</f>
        <v>0</v>
      </c>
      <c r="D167" s="65">
        <f>IF($A$167="",0,B167+C167)</f>
        <v>0</v>
      </c>
    </row>
    <row r="168" spans="1:4" ht="18.95" customHeight="1">
      <c r="A168" s="77" t="str">
        <f>IFERROR(現場マスタ!$C$5,"")</f>
        <v>赤坂</v>
      </c>
      <c r="B168" s="76">
        <f>IF($A$168="",0,COUNTIF('10月'!D4:D34,$A$168)+COUNTIF('10月'!I4:I34,$A$168)+COUNTIF('10月'!N4:N34,$A$168)+COUNTIF('10月'!S4:S34,$A$168)+COUNTIF('10月'!X4:X34,$A$168)+COUNTIF('10月'!AC4:AC34,$A$168)+COUNTIF('10月'!AH4:AH34,$A$168)+COUNTIF('10月'!AM4:AM34,$A$168)+COUNTIF('10月'!AR4:AR34,$A$168)+COUNTIF('10月'!AW4:AW34,$A$168)+COUNTIF('10月'!BB4:BB34,$A$168)+COUNTIF('10月'!BG4:BG34,$A$168)+COUNTIF('10月'!BL4:BL34,$A$168)+COUNTIF('10月'!BQ4:BQ34,$A$168)+COUNTIF('10月'!BV4:BV34,$A$168)+COUNTIF('10月'!CA4:CA34,$A$168)+COUNTIF('10月'!CF4:CF34,$A$168)+COUNTIF('10月'!CK4:CK34,$A$168)+COUNTIF('10月'!CP4:CP34,$A$168)+COUNTIF('10月'!CU4:CU34,$A$168)+COUNTIF('10月'!CZ4:CZ34,$A$168)+COUNTIF('10月'!DE4:DE34,$A$168)+COUNTIF('10月'!DJ4:DJ34,$A$168)+COUNTIF('10月'!DO4:DO34,$A$168)+COUNTIF('10月'!DT4:DT34,$A$168)+COUNTIF('10月'!DY4:DY34,$A$168)+COUNTIF('10月'!ED4:ED34,$A$168)+COUNTIF('10月'!EI4:EI34,$A$168)+COUNTIF('10月'!EN4:EN34,$A$168)+COUNTIF('10月'!ES4:ES34,$A$168))</f>
        <v>0</v>
      </c>
      <c r="C168" s="76">
        <f>IF($A$168="",0,COUNTIF('10月'!E4:E34,$A$168)+COUNTIF('10月'!J4:J34,$A$168)+COUNTIF('10月'!O4:O34,$A$168)+COUNTIF('10月'!T4:T34,$A$168)+COUNTIF('10月'!Y4:Y34,$A$168)+COUNTIF('10月'!AD4:AD34,$A$168)+COUNTIF('10月'!AI4:AI34,$A$168)+COUNTIF('10月'!AN4:AN34,$A$168)+COUNTIF('10月'!AS4:AS34,$A$168)+COUNTIF('10月'!AX4:AX34,$A$168)+COUNTIF('10月'!BC4:BC34,$A$168)+COUNTIF('10月'!BH4:BH34,$A$168)+COUNTIF('10月'!BM4:BM34,$A$168)+COUNTIF('10月'!BR4:BR34,$A$168)+COUNTIF('10月'!BW4:BW34,$A$168)+COUNTIF('10月'!CB4:CB34,$A$168)+COUNTIF('10月'!CG4:CG34,$A$168)+COUNTIF('10月'!CL4:CL34,$A$168)+COUNTIF('10月'!CQ4:CQ34,$A$168)+COUNTIF('10月'!CV4:CV34,$A$168)+COUNTIF('10月'!DA4:DA34,$A$168)+COUNTIF('10月'!DF4:DF34,$A$168)+COUNTIF('10月'!DK4:DK34,$A$168)+COUNTIF('10月'!DP4:DP34,$A$168)+COUNTIF('10月'!DU4:DU34,$A$168)+COUNTIF('10月'!DZ4:DZ34,$A$168)+COUNTIF('10月'!EE4:EE34,$A$168)+COUNTIF('10月'!EJ4:EJ34,$A$168)+COUNTIF('10月'!EO4:EO34,$A$168)+COUNTIF('10月'!ET4:ET34,$A$168))</f>
        <v>0</v>
      </c>
      <c r="D168" s="65">
        <f>IF($A$168="",0,B168+C168)</f>
        <v>0</v>
      </c>
    </row>
    <row r="169" spans="1:4" ht="18.95" customHeight="1">
      <c r="A169" s="77" t="str">
        <f>IFERROR(現場マスタ!$C$6,"")</f>
        <v>渋谷ヒカリエ</v>
      </c>
      <c r="B169" s="76">
        <f>IF($A$169="",0,COUNTIF('10月'!D4:D34,$A$169)+COUNTIF('10月'!I4:I34,$A$169)+COUNTIF('10月'!N4:N34,$A$169)+COUNTIF('10月'!S4:S34,$A$169)+COUNTIF('10月'!X4:X34,$A$169)+COUNTIF('10月'!AC4:AC34,$A$169)+COUNTIF('10月'!AH4:AH34,$A$169)+COUNTIF('10月'!AM4:AM34,$A$169)+COUNTIF('10月'!AR4:AR34,$A$169)+COUNTIF('10月'!AW4:AW34,$A$169)+COUNTIF('10月'!BB4:BB34,$A$169)+COUNTIF('10月'!BG4:BG34,$A$169)+COUNTIF('10月'!BL4:BL34,$A$169)+COUNTIF('10月'!BQ4:BQ34,$A$169)+COUNTIF('10月'!BV4:BV34,$A$169)+COUNTIF('10月'!CA4:CA34,$A$169)+COUNTIF('10月'!CF4:CF34,$A$169)+COUNTIF('10月'!CK4:CK34,$A$169)+COUNTIF('10月'!CP4:CP34,$A$169)+COUNTIF('10月'!CU4:CU34,$A$169)+COUNTIF('10月'!CZ4:CZ34,$A$169)+COUNTIF('10月'!DE4:DE34,$A$169)+COUNTIF('10月'!DJ4:DJ34,$A$169)+COUNTIF('10月'!DO4:DO34,$A$169)+COUNTIF('10月'!DT4:DT34,$A$169)+COUNTIF('10月'!DY4:DY34,$A$169)+COUNTIF('10月'!ED4:ED34,$A$169)+COUNTIF('10月'!EI4:EI34,$A$169)+COUNTIF('10月'!EN4:EN34,$A$169)+COUNTIF('10月'!ES4:ES34,$A$169))</f>
        <v>0</v>
      </c>
      <c r="C169" s="76">
        <f>IF($A$169="",0,COUNTIF('10月'!E4:E34,$A$169)+COUNTIF('10月'!J4:J34,$A$169)+COUNTIF('10月'!O4:O34,$A$169)+COUNTIF('10月'!T4:T34,$A$169)+COUNTIF('10月'!Y4:Y34,$A$169)+COUNTIF('10月'!AD4:AD34,$A$169)+COUNTIF('10月'!AI4:AI34,$A$169)+COUNTIF('10月'!AN4:AN34,$A$169)+COUNTIF('10月'!AS4:AS34,$A$169)+COUNTIF('10月'!AX4:AX34,$A$169)+COUNTIF('10月'!BC4:BC34,$A$169)+COUNTIF('10月'!BH4:BH34,$A$169)+COUNTIF('10月'!BM4:BM34,$A$169)+COUNTIF('10月'!BR4:BR34,$A$169)+COUNTIF('10月'!BW4:BW34,$A$169)+COUNTIF('10月'!CB4:CB34,$A$169)+COUNTIF('10月'!CG4:CG34,$A$169)+COUNTIF('10月'!CL4:CL34,$A$169)+COUNTIF('10月'!CQ4:CQ34,$A$169)+COUNTIF('10月'!CV4:CV34,$A$169)+COUNTIF('10月'!DA4:DA34,$A$169)+COUNTIF('10月'!DF4:DF34,$A$169)+COUNTIF('10月'!DK4:DK34,$A$169)+COUNTIF('10月'!DP4:DP34,$A$169)+COUNTIF('10月'!DU4:DU34,$A$169)+COUNTIF('10月'!DZ4:DZ34,$A$169)+COUNTIF('10月'!EE4:EE34,$A$169)+COUNTIF('10月'!EJ4:EJ34,$A$169)+COUNTIF('10月'!EO4:EO34,$A$169)+COUNTIF('10月'!ET4:ET34,$A$169))</f>
        <v>0</v>
      </c>
      <c r="D169" s="65">
        <f>IF($A$169="",0,B169+C169)</f>
        <v>0</v>
      </c>
    </row>
    <row r="170" spans="1:4" ht="18.95" customHeight="1">
      <c r="A170" s="77" t="str">
        <f>IFERROR(現場マスタ!$C$7,"")</f>
        <v>六本木ヒルズ</v>
      </c>
      <c r="B170" s="76">
        <f>IF($A$170="",0,COUNTIF('10月'!D4:D34,$A$170)+COUNTIF('10月'!I4:I34,$A$170)+COUNTIF('10月'!N4:N34,$A$170)+COUNTIF('10月'!S4:S34,$A$170)+COUNTIF('10月'!X4:X34,$A$170)+COUNTIF('10月'!AC4:AC34,$A$170)+COUNTIF('10月'!AH4:AH34,$A$170)+COUNTIF('10月'!AM4:AM34,$A$170)+COUNTIF('10月'!AR4:AR34,$A$170)+COUNTIF('10月'!AW4:AW34,$A$170)+COUNTIF('10月'!BB4:BB34,$A$170)+COUNTIF('10月'!BG4:BG34,$A$170)+COUNTIF('10月'!BL4:BL34,$A$170)+COUNTIF('10月'!BQ4:BQ34,$A$170)+COUNTIF('10月'!BV4:BV34,$A$170)+COUNTIF('10月'!CA4:CA34,$A$170)+COUNTIF('10月'!CF4:CF34,$A$170)+COUNTIF('10月'!CK4:CK34,$A$170)+COUNTIF('10月'!CP4:CP34,$A$170)+COUNTIF('10月'!CU4:CU34,$A$170)+COUNTIF('10月'!CZ4:CZ34,$A$170)+COUNTIF('10月'!DE4:DE34,$A$170)+COUNTIF('10月'!DJ4:DJ34,$A$170)+COUNTIF('10月'!DO4:DO34,$A$170)+COUNTIF('10月'!DT4:DT34,$A$170)+COUNTIF('10月'!DY4:DY34,$A$170)+COUNTIF('10月'!ED4:ED34,$A$170)+COUNTIF('10月'!EI4:EI34,$A$170)+COUNTIF('10月'!EN4:EN34,$A$170)+COUNTIF('10月'!ES4:ES34,$A$170)+COUNTIF('10月'!D4:D34,"渋谷-夜勤")+COUNTIF('10月'!I4:I34,"渋谷-夜勤")+COUNTIF('10月'!N4:N34,"渋谷-夜勤")+COUNTIF('10月'!S4:S34,"渋谷-夜勤")+COUNTIF('10月'!X4:X34,"渋谷-夜勤")+COUNTIF('10月'!AC4:AC34,"渋谷-夜勤")+COUNTIF('10月'!AH4:AH34,"渋谷-夜勤")+COUNTIF('10月'!AM4:AM34,"渋谷-夜勤")+COUNTIF('10月'!AR4:AR34,"渋谷-夜勤")+COUNTIF('10月'!AW4:AW34,"渋谷-夜勤")+COUNTIF('10月'!BB4:BB34,"渋谷-夜勤")+COUNTIF('10月'!BG4:BG34,"渋谷-夜勤")+COUNTIF('10月'!BL4:BL34,"渋谷-夜勤")+COUNTIF('10月'!BQ4:BQ34,"渋谷-夜勤")+COUNTIF('10月'!BV4:BV34,"渋谷-夜勤")+COUNTIF('10月'!CA4:CA34,"渋谷-夜勤")+COUNTIF('10月'!CF4:CF34,"渋谷-夜勤")+COUNTIF('10月'!CK4:CK34,"渋谷-夜勤")+COUNTIF('10月'!CP4:CP34,"渋谷-夜勤")+COUNTIF('10月'!CU4:CU34,"渋谷-夜勤")+COUNTIF('10月'!CZ4:CZ34,"渋谷-夜勤")+COUNTIF('10月'!DE4:DE34,"渋谷-夜勤")+COUNTIF('10月'!DJ4:DJ34,"渋谷-夜勤")+COUNTIF('10月'!DO4:DO34,"渋谷-夜勤")+COUNTIF('10月'!DT4:DT34,"渋谷-夜勤")+COUNTIF('10月'!DY4:DY34,"渋谷-夜勤")+COUNTIF('10月'!ED4:ED34,"渋谷-夜勤")+COUNTIF('10月'!EI4:EI34,"渋谷-夜勤")+COUNTIF('10月'!EN4:EN34,"渋谷-夜勤")+COUNTIF('10月'!ES4:ES34,"渋谷-夜勤"))</f>
        <v>0</v>
      </c>
      <c r="C170" s="76">
        <f>IF($A$170="",0,COUNTIF('10月'!E4:E34,$A$170)+COUNTIF('10月'!J4:J34,$A$170)+COUNTIF('10月'!O4:O34,$A$170)+COUNTIF('10月'!T4:T34,$A$170)+COUNTIF('10月'!Y4:Y34,$A$170)+COUNTIF('10月'!AD4:AD34,$A$170)+COUNTIF('10月'!AI4:AI34,$A$170)+COUNTIF('10月'!AN4:AN34,$A$170)+COUNTIF('10月'!AS4:AS34,$A$170)+COUNTIF('10月'!AX4:AX34,$A$170)+COUNTIF('10月'!BC4:BC34,$A$170)+COUNTIF('10月'!BH4:BH34,$A$170)+COUNTIF('10月'!BM4:BM34,$A$170)+COUNTIF('10月'!BR4:BR34,$A$170)+COUNTIF('10月'!BW4:BW34,$A$170)+COUNTIF('10月'!CB4:CB34,$A$170)+COUNTIF('10月'!CG4:CG34,$A$170)+COUNTIF('10月'!CL4:CL34,$A$170)+COUNTIF('10月'!CQ4:CQ34,$A$170)+COUNTIF('10月'!CV4:CV34,$A$170)+COUNTIF('10月'!DA4:DA34,$A$170)+COUNTIF('10月'!DF4:DF34,$A$170)+COUNTIF('10月'!DK4:DK34,$A$170)+COUNTIF('10月'!DP4:DP34,$A$170)+COUNTIF('10月'!DU4:DU34,$A$170)+COUNTIF('10月'!DZ4:DZ34,$A$170)+COUNTIF('10月'!EE4:EE34,$A$170)+COUNTIF('10月'!EJ4:EJ34,$A$170)+COUNTIF('10月'!EO4:EO34,$A$170)+COUNTIF('10月'!ET4:ET34,$A$170)+COUNTIF('10月'!E4:E34,"渋谷-夜勤")+COUNTIF('10月'!J4:J34,"渋谷-夜勤")+COUNTIF('10月'!O4:O34,"渋谷-夜勤")+COUNTIF('10月'!T4:T34,"渋谷-夜勤")+COUNTIF('10月'!Y4:Y34,"渋谷-夜勤")+COUNTIF('10月'!AD4:AD34,"渋谷-夜勤")+COUNTIF('10月'!AI4:AI34,"渋谷-夜勤")+COUNTIF('10月'!AN4:AN34,"渋谷-夜勤")+COUNTIF('10月'!AS4:AS34,"渋谷-夜勤")+COUNTIF('10月'!AX4:AX34,"渋谷-夜勤")+COUNTIF('10月'!BC4:BC34,"渋谷-夜勤")+COUNTIF('10月'!BH4:BH34,"渋谷-夜勤")+COUNTIF('10月'!BM4:BM34,"渋谷-夜勤")+COUNTIF('10月'!BR4:BR34,"渋谷-夜勤")+COUNTIF('10月'!BW4:BW34,"渋谷-夜勤")+COUNTIF('10月'!CB4:CB34,"渋谷-夜勤")+COUNTIF('10月'!CG4:CG34,"渋谷-夜勤")+COUNTIF('10月'!CL4:CL34,"渋谷-夜勤")+COUNTIF('10月'!CQ4:CQ34,"渋谷-夜勤")+COUNTIF('10月'!CV4:CV34,"渋谷-夜勤")+COUNTIF('10月'!DA4:DA34,"渋谷-夜勤")+COUNTIF('10月'!DF4:DF34,"渋谷-夜勤")+COUNTIF('10月'!DK4:DK34,"渋谷-夜勤")+COUNTIF('10月'!DP4:DP34,"渋谷-夜勤")+COUNTIF('10月'!DU4:DU34,"渋谷-夜勤")+COUNTIF('10月'!DZ4:DZ34,"渋谷-夜勤")+COUNTIF('10月'!EE4:EE34,"渋谷-夜勤")+COUNTIF('10月'!EJ4:EJ34,"渋谷-夜勤")+COUNTIF('10月'!EO4:EO34,"渋谷-夜勤")+COUNTIF('10月'!ET4:ET34,"渋谷-夜勤"))</f>
        <v>0</v>
      </c>
      <c r="D170" s="65">
        <f>IF($A$170="",0,B170+C170)</f>
        <v>0</v>
      </c>
    </row>
    <row r="171" spans="1:4" ht="18.95" customHeight="1">
      <c r="A171" s="77" t="str">
        <f>IFERROR(現場マスタ!$C$10,"")</f>
        <v>有給</v>
      </c>
      <c r="B171" s="76">
        <f>IF($A$171="",0,COUNTIF('10月'!D4:D34,$A$171)+COUNTIF('10月'!I4:I34,$A$171)+COUNTIF('10月'!N4:N34,$A$171)+COUNTIF('10月'!S4:S34,$A$171)+COUNTIF('10月'!X4:X34,$A$171)+COUNTIF('10月'!AC4:AC34,$A$171)+COUNTIF('10月'!AH4:AH34,$A$171)+COUNTIF('10月'!AM4:AM34,$A$171)+COUNTIF('10月'!AR4:AR34,$A$171)+COUNTIF('10月'!AW4:AW34,$A$171)+COUNTIF('10月'!BB4:BB34,$A$171)+COUNTIF('10月'!BG4:BG34,$A$171)+COUNTIF('10月'!BL4:BL34,$A$171)+COUNTIF('10月'!BQ4:BQ34,$A$171)+COUNTIF('10月'!BV4:BV34,$A$171)+COUNTIF('10月'!CA4:CA34,$A$171)+COUNTIF('10月'!CF4:CF34,$A$171)+COUNTIF('10月'!CK4:CK34,$A$171)+COUNTIF('10月'!CP4:CP34,$A$171)+COUNTIF('10月'!CU4:CU34,$A$171)+COUNTIF('10月'!CZ4:CZ34,$A$171)+COUNTIF('10月'!DE4:DE34,$A$171)+COUNTIF('10月'!DJ4:DJ34,$A$171)+COUNTIF('10月'!DO4:DO34,$A$171)+COUNTIF('10月'!DT4:DT34,$A$171)+COUNTIF('10月'!DY4:DY34,$A$171)+COUNTIF('10月'!ED4:ED34,$A$171)+COUNTIF('10月'!EI4:EI34,$A$171)+COUNTIF('10月'!EN4:EN34,$A$171)+COUNTIF('10月'!ES4:ES34,$A$171)+COUNTIF('10月'!D4:D34,"六本木-夜勤")+COUNTIF('10月'!I4:I34,"六本木-夜勤")+COUNTIF('10月'!N4:N34,"六本木-夜勤")+COUNTIF('10月'!S4:S34,"六本木-夜勤")+COUNTIF('10月'!X4:X34,"六本木-夜勤")+COUNTIF('10月'!AC4:AC34,"六本木-夜勤")+COUNTIF('10月'!AH4:AH34,"六本木-夜勤")+COUNTIF('10月'!AM4:AM34,"六本木-夜勤")+COUNTIF('10月'!AR4:AR34,"六本木-夜勤")+COUNTIF('10月'!AW4:AW34,"六本木-夜勤")+COUNTIF('10月'!BB4:BB34,"六本木-夜勤")+COUNTIF('10月'!BG4:BG34,"六本木-夜勤")+COUNTIF('10月'!BL4:BL34,"六本木-夜勤")+COUNTIF('10月'!BQ4:BQ34,"六本木-夜勤")+COUNTIF('10月'!BV4:BV34,"六本木-夜勤")+COUNTIF('10月'!CA4:CA34,"六本木-夜勤")+COUNTIF('10月'!CF4:CF34,"六本木-夜勤")+COUNTIF('10月'!CK4:CK34,"六本木-夜勤")+COUNTIF('10月'!CP4:CP34,"六本木-夜勤")+COUNTIF('10月'!CU4:CU34,"六本木-夜勤")+COUNTIF('10月'!CZ4:CZ34,"六本木-夜勤")+COUNTIF('10月'!DE4:DE34,"六本木-夜勤")+COUNTIF('10月'!DJ4:DJ34,"六本木-夜勤")+COUNTIF('10月'!DO4:DO34,"六本木-夜勤")+COUNTIF('10月'!DT4:DT34,"六本木-夜勤")+COUNTIF('10月'!DY4:DY34,"六本木-夜勤")+COUNTIF('10月'!ED4:ED34,"六本木-夜勤")+COUNTIF('10月'!EI4:EI34,"六本木-夜勤")+COUNTIF('10月'!EN4:EN34,"六本木-夜勤")+COUNTIF('10月'!ES4:ES34,"六本木-夜勤")+COUNTIF('10月'!D4:D34,"六本木ー夜勤")+COUNTIF('10月'!I4:I34,"六本木ー夜勤")+COUNTIF('10月'!N4:N34,"六本木ー夜勤")+COUNTIF('10月'!S4:S34,"六本木ー夜勤")+COUNTIF('10月'!X4:X34,"六本木ー夜勤")+COUNTIF('10月'!AC4:AC34,"六本木ー夜勤")+COUNTIF('10月'!AH4:AH34,"六本木ー夜勤")+COUNTIF('10月'!AM4:AM34,"六本木ー夜勤")+COUNTIF('10月'!AR4:AR34,"六本木ー夜勤")+COUNTIF('10月'!AW4:AW34,"六本木ー夜勤")+COUNTIF('10月'!BB4:BB34,"六本木ー夜勤")+COUNTIF('10月'!BG4:BG34,"六本木ー夜勤")+COUNTIF('10月'!BL4:BL34,"六本木ー夜勤")+COUNTIF('10月'!BQ4:BQ34,"六本木ー夜勤")+COUNTIF('10月'!BV4:BV34,"六本木ー夜勤")+COUNTIF('10月'!CA4:CA34,"六本木ー夜勤")+COUNTIF('10月'!CF4:CF34,"六本木ー夜勤")+COUNTIF('10月'!CK4:CK34,"六本木ー夜勤")+COUNTIF('10月'!CP4:CP34,"六本木ー夜勤")+COUNTIF('10月'!CU4:CU34,"六本木ー夜勤")+COUNTIF('10月'!CZ4:CZ34,"六本木ー夜勤")+COUNTIF('10月'!DE4:DE34,"六本木ー夜勤")+COUNTIF('10月'!DJ4:DJ34,"六本木ー夜勤")+COUNTIF('10月'!DO4:DO34,"六本木ー夜勤")+COUNTIF('10月'!DT4:DT34,"六本木ー夜勤")+COUNTIF('10月'!DY4:DY34,"六本木ー夜勤")+COUNTIF('10月'!ED4:ED34,"六本木ー夜勤")+COUNTIF('10月'!EI4:EI34,"六本木ー夜勤")+COUNTIF('10月'!EN4:EN34,"六本木ー夜勤")+COUNTIF('10月'!ES4:ES34,"六本木ー夜勤"))</f>
        <v>0</v>
      </c>
      <c r="C171" s="76">
        <f>IF($A$171="",0,COUNTIF('10月'!E4:E34,$A$171)+COUNTIF('10月'!J4:J34,$A$171)+COUNTIF('10月'!O4:O34,$A$171)+COUNTIF('10月'!T4:T34,$A$171)+COUNTIF('10月'!Y4:Y34,$A$171)+COUNTIF('10月'!AD4:AD34,$A$171)+COUNTIF('10月'!AI4:AI34,$A$171)+COUNTIF('10月'!AN4:AN34,$A$171)+COUNTIF('10月'!AS4:AS34,$A$171)+COUNTIF('10月'!AX4:AX34,$A$171)+COUNTIF('10月'!BC4:BC34,$A$171)+COUNTIF('10月'!BH4:BH34,$A$171)+COUNTIF('10月'!BM4:BM34,$A$171)+COUNTIF('10月'!BR4:BR34,$A$171)+COUNTIF('10月'!BW4:BW34,$A$171)+COUNTIF('10月'!CB4:CB34,$A$171)+COUNTIF('10月'!CG4:CG34,$A$171)+COUNTIF('10月'!CL4:CL34,$A$171)+COUNTIF('10月'!CQ4:CQ34,$A$171)+COUNTIF('10月'!CV4:CV34,$A$171)+COUNTIF('10月'!DA4:DA34,$A$171)+COUNTIF('10月'!DF4:DF34,$A$171)+COUNTIF('10月'!DK4:DK34,$A$171)+COUNTIF('10月'!DP4:DP34,$A$171)+COUNTIF('10月'!DU4:DU34,$A$171)+COUNTIF('10月'!DZ4:DZ34,$A$171)+COUNTIF('10月'!EE4:EE34,$A$171)+COUNTIF('10月'!EJ4:EJ34,$A$171)+COUNTIF('10月'!EO4:EO34,$A$171)+COUNTIF('10月'!ET4:ET34,$A$171)+COUNTIF('10月'!E4:E34,"六本木-夜勤")+COUNTIF('10月'!J4:J34,"六本木-夜勤")+COUNTIF('10月'!O4:O34,"六本木-夜勤")+COUNTIF('10月'!T4:T34,"六本木-夜勤")+COUNTIF('10月'!Y4:Y34,"六本木-夜勤")+COUNTIF('10月'!AD4:AD34,"六本木-夜勤")+COUNTIF('10月'!AI4:AI34,"六本木-夜勤")+COUNTIF('10月'!AN4:AN34,"六本木-夜勤")+COUNTIF('10月'!AS4:AS34,"六本木-夜勤")+COUNTIF('10月'!AX4:AX34,"六本木-夜勤")+COUNTIF('10月'!BC4:BC34,"六本木-夜勤")+COUNTIF('10月'!BH4:BH34,"六本木-夜勤")+COUNTIF('10月'!BM4:BM34,"六本木-夜勤")+COUNTIF('10月'!BR4:BR34,"六本木-夜勤")+COUNTIF('10月'!BW4:BW34,"六本木-夜勤")+COUNTIF('10月'!CB4:CB34,"六本木-夜勤")+COUNTIF('10月'!CG4:CG34,"六本木-夜勤")+COUNTIF('10月'!CL4:CL34,"六本木-夜勤")+COUNTIF('10月'!CQ4:CQ34,"六本木-夜勤")+COUNTIF('10月'!CV4:CV34,"六本木-夜勤")+COUNTIF('10月'!DA4:DA34,"六本木-夜勤")+COUNTIF('10月'!DF4:DF34,"六本木-夜勤")+COUNTIF('10月'!DK4:DK34,"六本木-夜勤")+COUNTIF('10月'!DP4:DP34,"六本木-夜勤")+COUNTIF('10月'!DU4:DU34,"六本木-夜勤")+COUNTIF('10月'!DZ4:DZ34,"六本木-夜勤")+COUNTIF('10月'!EE4:EE34,"六本木-夜勤")+COUNTIF('10月'!EJ4:EJ34,"六本木-夜勤")+COUNTIF('10月'!EO4:EO34,"六本木-夜勤")+COUNTIF('10月'!ET4:ET34,"六本木-夜勤")+COUNTIF('10月'!E4:E34,"六本木ー夜勤")+COUNTIF('10月'!J4:J34,"六本木ー夜勤")+COUNTIF('10月'!O4:O34,"六本木ー夜勤")+COUNTIF('10月'!T4:T34,"六本木ー夜勤")+COUNTIF('10月'!Y4:Y34,"六本木ー夜勤")+COUNTIF('10月'!AD4:AD34,"六本木ー夜勤")+COUNTIF('10月'!AI4:AI34,"六本木ー夜勤")+COUNTIF('10月'!AN4:AN34,"六本木ー夜勤")+COUNTIF('10月'!AS4:AS34,"六本木ー夜勤")+COUNTIF('10月'!AX4:AX34,"六本木ー夜勤")+COUNTIF('10月'!BC4:BC34,"六本木ー夜勤")+COUNTIF('10月'!BH4:BH34,"六本木ー夜勤")+COUNTIF('10月'!BM4:BM34,"六本木ー夜勤")+COUNTIF('10月'!BR4:BR34,"六本木ー夜勤")+COUNTIF('10月'!BW4:BW34,"六本木ー夜勤")+COUNTIF('10月'!CB4:CB34,"六本木ー夜勤")+COUNTIF('10月'!CG4:CG34,"六本木ー夜勤")+COUNTIF('10月'!CL4:CL34,"六本木ー夜勤")+COUNTIF('10月'!CQ4:CQ34,"六本木ー夜勤")+COUNTIF('10月'!CV4:CV34,"六本木ー夜勤")+COUNTIF('10月'!DA4:DA34,"六本木ー夜勤")+COUNTIF('10月'!DF4:DF34,"六本木ー夜勤")+COUNTIF('10月'!DK4:DK34,"六本木ー夜勤")+COUNTIF('10月'!DP4:DP34,"六本木ー夜勤")+COUNTIF('10月'!DU4:DU34,"六本木ー夜勤")+COUNTIF('10月'!DZ4:DZ34,"六本木ー夜勤")+COUNTIF('10月'!EE4:EE34,"六本木ー夜勤")+COUNTIF('10月'!EJ4:EJ34,"六本木ー夜勤")+COUNTIF('10月'!EO4:EO34,"六本木ー夜勤")+COUNTIF('10月'!ET4:ET34,"六本木ー夜勤"))</f>
        <v>0</v>
      </c>
      <c r="D171" s="65">
        <f>IF($A$171="",0,B171+C171)</f>
        <v>0</v>
      </c>
    </row>
    <row r="172" spans="1:4" ht="18.95" customHeight="1">
      <c r="A172" s="77">
        <f>IFERROR(現場マスタ!$C$11,"")</f>
        <v>0</v>
      </c>
      <c r="B172" s="76">
        <v>0</v>
      </c>
      <c r="C172" s="76">
        <v>0</v>
      </c>
      <c r="D172" s="65">
        <v>0</v>
      </c>
    </row>
    <row r="173" spans="1:4" ht="18.95" customHeight="1">
      <c r="A173" s="77">
        <f>IFERROR(現場マスタ!$C$12,"")</f>
        <v>0</v>
      </c>
      <c r="B173" s="76">
        <f>IF($A$173="",0,COUNTIF('10月'!D4:D34,$A$173)+COUNTIF('10月'!I4:I34,$A$173)+COUNTIF('10月'!N4:N34,$A$173)+COUNTIF('10月'!S4:S34,$A$173)+COUNTIF('10月'!X4:X34,$A$173)+COUNTIF('10月'!AC4:AC34,$A$173)+COUNTIF('10月'!AH4:AH34,$A$173)+COUNTIF('10月'!AM4:AM34,$A$173)+COUNTIF('10月'!AR4:AR34,$A$173)+COUNTIF('10月'!AW4:AW34,$A$173)+COUNTIF('10月'!BB4:BB34,$A$173)+COUNTIF('10月'!BG4:BG34,$A$173)+COUNTIF('10月'!BL4:BL34,$A$173)+COUNTIF('10月'!BQ4:BQ34,$A$173)+COUNTIF('10月'!BV4:BV34,$A$173)+COUNTIF('10月'!CA4:CA34,$A$173)+COUNTIF('10月'!CF4:CF34,$A$173)+COUNTIF('10月'!CK4:CK34,$A$173)+COUNTIF('10月'!CP4:CP34,$A$173)+COUNTIF('10月'!CU4:CU34,$A$173)+COUNTIF('10月'!CZ4:CZ34,$A$173)+COUNTIF('10月'!DE4:DE34,$A$173)+COUNTIF('10月'!DJ4:DJ34,$A$173)+COUNTIF('10月'!DO4:DO34,$A$173)+COUNTIF('10月'!DT4:DT34,$A$173)+COUNTIF('10月'!DY4:DY34,$A$173)+COUNTIF('10月'!ED4:ED34,$A$173)+COUNTIF('10月'!EI4:EI34,$A$173)+COUNTIF('10月'!EN4:EN34,$A$173)+COUNTIF('10月'!ES4:ES34,$A$173))</f>
        <v>0</v>
      </c>
      <c r="C173" s="76">
        <f>IF($A$173="",0,COUNTIF('10月'!E4:E34,$A$173)+COUNTIF('10月'!J4:J34,$A$173)+COUNTIF('10月'!O4:O34,$A$173)+COUNTIF('10月'!T4:T34,$A$173)+COUNTIF('10月'!Y4:Y34,$A$173)+COUNTIF('10月'!AD4:AD34,$A$173)+COUNTIF('10月'!AI4:AI34,$A$173)+COUNTIF('10月'!AN4:AN34,$A$173)+COUNTIF('10月'!AS4:AS34,$A$173)+COUNTIF('10月'!AX4:AX34,$A$173)+COUNTIF('10月'!BC4:BC34,$A$173)+COUNTIF('10月'!BH4:BH34,$A$173)+COUNTIF('10月'!BM4:BM34,$A$173)+COUNTIF('10月'!BR4:BR34,$A$173)+COUNTIF('10月'!BW4:BW34,$A$173)+COUNTIF('10月'!CB4:CB34,$A$173)+COUNTIF('10月'!CG4:CG34,$A$173)+COUNTIF('10月'!CL4:CL34,$A$173)+COUNTIF('10月'!CQ4:CQ34,$A$173)+COUNTIF('10月'!CV4:CV34,$A$173)+COUNTIF('10月'!DA4:DA34,$A$173)+COUNTIF('10月'!DF4:DF34,$A$173)+COUNTIF('10月'!DK4:DK34,$A$173)+COUNTIF('10月'!DP4:DP34,$A$173)+COUNTIF('10月'!DU4:DU34,$A$173)+COUNTIF('10月'!DZ4:DZ34,$A$173)+COUNTIF('10月'!EE4:EE34,$A$173)+COUNTIF('10月'!EJ4:EJ34,$A$173)+COUNTIF('10月'!EO4:EO34,$A$173)+COUNTIF('10月'!ET4:ET34,$A$173))</f>
        <v>0</v>
      </c>
      <c r="D173" s="65">
        <f>IF($A$173="",0,B173+C173)</f>
        <v>0</v>
      </c>
    </row>
    <row r="174" spans="1:4" ht="18.95" customHeight="1">
      <c r="A174" s="77">
        <f>IFERROR(現場マスタ!$C$14,"")</f>
        <v>0</v>
      </c>
      <c r="B174" s="76">
        <v>0</v>
      </c>
      <c r="C174" s="76">
        <v>0</v>
      </c>
      <c r="D174" s="65">
        <v>0</v>
      </c>
    </row>
    <row r="175" spans="1:4" ht="18.95" customHeight="1">
      <c r="A175" s="77">
        <f>IFERROR(現場マスタ!$C$15,"")</f>
        <v>0</v>
      </c>
      <c r="B175" s="76">
        <v>0</v>
      </c>
      <c r="C175" s="76">
        <v>0</v>
      </c>
      <c r="D175" s="65">
        <v>0</v>
      </c>
    </row>
    <row r="176" spans="1:4" ht="18.95" customHeight="1">
      <c r="A176" s="77">
        <f>IFERROR(現場マスタ!$C$16,"")</f>
        <v>0</v>
      </c>
      <c r="B176" s="76">
        <f>IF($A$176="",0,COUNTIF('10月'!D4:D34,$A$176)+COUNTIF('10月'!I4:I34,$A$176)+COUNTIF('10月'!N4:N34,$A$176)+COUNTIF('10月'!S4:S34,$A$176)+COUNTIF('10月'!X4:X34,$A$176)+COUNTIF('10月'!AC4:AC34,$A$176)+COUNTIF('10月'!AH4:AH34,$A$176)+COUNTIF('10月'!AM4:AM34,$A$176)+COUNTIF('10月'!AR4:AR34,$A$176)+COUNTIF('10月'!AW4:AW34,$A$176)+COUNTIF('10月'!BB4:BB34,$A$176)+COUNTIF('10月'!BG4:BG34,$A$176)+COUNTIF('10月'!BL4:BL34,$A$176)+COUNTIF('10月'!BQ4:BQ34,$A$176)+COUNTIF('10月'!BV4:BV34,$A$176)+COUNTIF('10月'!CA4:CA34,$A$176)+COUNTIF('10月'!CF4:CF34,$A$176)+COUNTIF('10月'!CK4:CK34,$A$176)+COUNTIF('10月'!CP4:CP34,$A$176)+COUNTIF('10月'!CU4:CU34,$A$176)+COUNTIF('10月'!CZ4:CZ34,$A$176)+COUNTIF('10月'!DE4:DE34,$A$176)+COUNTIF('10月'!DJ4:DJ34,$A$176)+COUNTIF('10月'!DO4:DO34,$A$176)+COUNTIF('10月'!DT4:DT34,$A$176)+COUNTIF('10月'!DY4:DY34,$A$176)+COUNTIF('10月'!ED4:ED34,$A$176)+COUNTIF('10月'!EI4:EI34,$A$176)+COUNTIF('10月'!EN4:EN34,$A$176)+COUNTIF('10月'!ES4:ES34,$A$176)+COUNTIF('10月'!D4:D34,"三軒茶屋－夜勤")+COUNTIF('10月'!I4:I34,"三軒茶屋－夜勤")+COUNTIF('10月'!N4:N34,"三軒茶屋－夜勤")+COUNTIF('10月'!S4:S34,"三軒茶屋－夜勤")+COUNTIF('10月'!X4:X34,"三軒茶屋－夜勤")+COUNTIF('10月'!AC4:AC34,"三軒茶屋－夜勤")+COUNTIF('10月'!AH4:AH34,"三軒茶屋－夜勤")+COUNTIF('10月'!AM4:AM34,"三軒茶屋－夜勤")+COUNTIF('10月'!AR4:AR34,"三軒茶屋－夜勤")+COUNTIF('10月'!AW4:AW34,"三軒茶屋－夜勤")+COUNTIF('10月'!BB4:BB34,"三軒茶屋－夜勤")+COUNTIF('10月'!BG4:BG34,"三軒茶屋－夜勤")+COUNTIF('10月'!BL4:BL34,"三軒茶屋－夜勤")+COUNTIF('10月'!BQ4:BQ34,"三軒茶屋－夜勤")+COUNTIF('10月'!BV4:BV34,"三軒茶屋－夜勤")+COUNTIF('10月'!CA4:CA34,"三軒茶屋－夜勤")+COUNTIF('10月'!CF4:CF34,"三軒茶屋－夜勤")+COUNTIF('10月'!CK4:CK34,"三軒茶屋－夜勤")+COUNTIF('10月'!CP4:CP34,"三軒茶屋－夜勤")+COUNTIF('10月'!CU4:CU34,"三軒茶屋－夜勤")+COUNTIF('10月'!CZ4:CZ34,"三軒茶屋－夜勤")+COUNTIF('10月'!DE4:DE34,"三軒茶屋－夜勤")+COUNTIF('10月'!DJ4:DJ34,"三軒茶屋－夜勤")+COUNTIF('10月'!DO4:DO34,"三軒茶屋－夜勤")+COUNTIF('10月'!DT4:DT34,"三軒茶屋－夜勤")+COUNTIF('10月'!DY4:DY34,"三軒茶屋－夜勤")+COUNTIF('10月'!ED4:ED34,"三軒茶屋－夜勤")+COUNTIF('10月'!EI4:EI34,"三軒茶屋－夜勤")+COUNTIF('10月'!EN4:EN34,"三軒茶屋－夜勤")+COUNTIF('10月'!ES4:ES34,"三軒茶屋－夜勤"))</f>
        <v>0</v>
      </c>
      <c r="C176" s="76">
        <f>IF($A$176="",0,COUNTIF('10月'!E4:E34,$A$176)+COUNTIF('10月'!J4:J34,$A$176)+COUNTIF('10月'!O4:O34,$A$176)+COUNTIF('10月'!T4:T34,$A$176)+COUNTIF('10月'!Y4:Y34,$A$176)+COUNTIF('10月'!AD4:AD34,$A$176)+COUNTIF('10月'!AI4:AI34,$A$176)+COUNTIF('10月'!AN4:AN34,$A$176)+COUNTIF('10月'!AS4:AS34,$A$176)+COUNTIF('10月'!AX4:AX34,$A$176)+COUNTIF('10月'!BC4:BC34,$A$176)+COUNTIF('10月'!BH4:BH34,$A$176)+COUNTIF('10月'!BM4:BM34,$A$176)+COUNTIF('10月'!BR4:BR34,$A$176)+COUNTIF('10月'!BW4:BW34,$A$176)+COUNTIF('10月'!CB4:CB34,$A$176)+COUNTIF('10月'!CG4:CG34,$A$176)+COUNTIF('10月'!CL4:CL34,$A$176)+COUNTIF('10月'!CQ4:CQ34,$A$176)+COUNTIF('10月'!CV4:CV34,$A$176)+COUNTIF('10月'!DA4:DA34,$A$176)+COUNTIF('10月'!DF4:DF34,$A$176)+COUNTIF('10月'!DK4:DK34,$A$176)+COUNTIF('10月'!DP4:DP34,$A$176)+COUNTIF('10月'!DU4:DU34,$A$176)+COUNTIF('10月'!DZ4:DZ34,$A$176)+COUNTIF('10月'!EE4:EE34,$A$176)+COUNTIF('10月'!EJ4:EJ34,$A$176)+COUNTIF('10月'!EO4:EO34,$A$176)+COUNTIF('10月'!ET4:ET34,$A$176)+COUNTIF('10月'!E4:E34,"三軒茶屋－夜勤")+COUNTIF('10月'!J4:J34,"三軒茶屋－夜勤")+COUNTIF('10月'!O4:O34,"三軒茶屋－夜勤")+COUNTIF('10月'!T4:T34,"三軒茶屋－夜勤")+COUNTIF('10月'!Y4:Y34,"三軒茶屋－夜勤")+COUNTIF('10月'!AD4:AD34,"三軒茶屋－夜勤")+COUNTIF('10月'!AI4:AI34,"三軒茶屋－夜勤")+COUNTIF('10月'!AN4:AN34,"三軒茶屋－夜勤")+COUNTIF('10月'!AS4:AS34,"三軒茶屋－夜勤")+COUNTIF('10月'!AX4:AX34,"三軒茶屋－夜勤")+COUNTIF('10月'!BC4:BC34,"三軒茶屋－夜勤")+COUNTIF('10月'!BH4:BH34,"三軒茶屋－夜勤")+COUNTIF('10月'!BM4:BM34,"三軒茶屋－夜勤")+COUNTIF('10月'!BR4:BR34,"三軒茶屋－夜勤")+COUNTIF('10月'!BW4:BW34,"三軒茶屋－夜勤")+COUNTIF('10月'!CB4:CB34,"三軒茶屋－夜勤")+COUNTIF('10月'!CG4:CG34,"三軒茶屋－夜勤")+COUNTIF('10月'!CL4:CL34,"三軒茶屋－夜勤")+COUNTIF('10月'!CQ4:CQ34,"三軒茶屋－夜勤")+COUNTIF('10月'!CV4:CV34,"三軒茶屋－夜勤")+COUNTIF('10月'!DA4:DA34,"三軒茶屋－夜勤")+COUNTIF('10月'!DF4:DF34,"三軒茶屋－夜勤")+COUNTIF('10月'!DK4:DK34,"三軒茶屋－夜勤")+COUNTIF('10月'!DP4:DP34,"三軒茶屋－夜勤")+COUNTIF('10月'!DU4:DU34,"三軒茶屋－夜勤")+COUNTIF('10月'!DZ4:DZ34,"三軒茶屋－夜勤")+COUNTIF('10月'!EE4:EE34,"三軒茶屋－夜勤")+COUNTIF('10月'!EJ4:EJ34,"三軒茶屋－夜勤")+COUNTIF('10月'!EO4:EO34,"三軒茶屋－夜勤")+COUNTIF('10月'!ET4:ET34,"三軒茶屋－夜勤"))</f>
        <v>0</v>
      </c>
      <c r="D176" s="65">
        <f>IF($A$176="",0,B176+C176)</f>
        <v>0</v>
      </c>
    </row>
    <row r="177" spans="1:4" ht="18.95" customHeight="1">
      <c r="A177" s="77">
        <f>IFERROR(現場マスタ!$C$17,"")</f>
        <v>0</v>
      </c>
      <c r="B177" s="76">
        <f>IF($A$177="",0,COUNTIF('10月'!D4:D34,$A$177)+COUNTIF('10月'!I4:I34,$A$177)+COUNTIF('10月'!N4:N34,$A$177)+COUNTIF('10月'!S4:S34,$A$177)+COUNTIF('10月'!X4:X34,$A$177)+COUNTIF('10月'!AC4:AC34,$A$177)+COUNTIF('10月'!AH4:AH34,$A$177)+COUNTIF('10月'!AM4:AM34,$A$177)+COUNTIF('10月'!AR4:AR34,$A$177)+COUNTIF('10月'!AW4:AW34,$A$177)+COUNTIF('10月'!BB4:BB34,$A$177)+COUNTIF('10月'!BG4:BG34,$A$177)+COUNTIF('10月'!BL4:BL34,$A$177)+COUNTIF('10月'!BQ4:BQ34,$A$177)+COUNTIF('10月'!BV4:BV34,$A$177)+COUNTIF('10月'!CA4:CA34,$A$177)+COUNTIF('10月'!CF4:CF34,$A$177)+COUNTIF('10月'!CK4:CK34,$A$177)+COUNTIF('10月'!CP4:CP34,$A$177)+COUNTIF('10月'!CU4:CU34,$A$177)+COUNTIF('10月'!CZ4:CZ34,$A$177)+COUNTIF('10月'!DE4:DE34,$A$177)+COUNTIF('10月'!DJ4:DJ34,$A$177)+COUNTIF('10月'!DO4:DO34,$A$177)+COUNTIF('10月'!DT4:DT34,$A$177)+COUNTIF('10月'!DY4:DY34,$A$177)+COUNTIF('10月'!ED4:ED34,$A$177)+COUNTIF('10月'!EI4:EI34,$A$177)+COUNTIF('10月'!EN4:EN34,$A$177)+COUNTIF('10月'!ES4:ES34,$A$177)+COUNTIF('10月'!D4:D34,"荻窪ー夜勤")+COUNTIF('10月'!I4:I34,"荻窪ー夜勤")+COUNTIF('10月'!N4:N34,"荻窪ー夜勤")+COUNTIF('10月'!S4:S34,"荻窪ー夜勤")+COUNTIF('10月'!X4:X34,"荻窪ー夜勤")+COUNTIF('10月'!AC4:AC34,"荻窪ー夜勤")+COUNTIF('10月'!AH4:AH34,"荻窪ー夜勤")+COUNTIF('10月'!AM4:AM34,"荻窪ー夜勤")+COUNTIF('10月'!AR4:AR34,"荻窪ー夜勤")+COUNTIF('10月'!AW4:AW34,"荻窪ー夜勤")+COUNTIF('10月'!BB4:BB34,"荻窪ー夜勤")+COUNTIF('10月'!BG4:BG34,"荻窪ー夜勤")+COUNTIF('10月'!BL4:BL34,"荻窪ー夜勤")+COUNTIF('10月'!BQ4:BQ34,"荻窪ー夜勤")+COUNTIF('10月'!BV4:BV34,"荻窪ー夜勤")+COUNTIF('10月'!CA4:CA34,"荻窪ー夜勤")+COUNTIF('10月'!CF4:CF34,"荻窪ー夜勤")+COUNTIF('10月'!CK4:CK34,"荻窪ー夜勤")+COUNTIF('10月'!CP4:CP34,"荻窪ー夜勤")+COUNTIF('10月'!CU4:CU34,"荻窪ー夜勤")+COUNTIF('10月'!CZ4:CZ34,"荻窪ー夜勤")+COUNTIF('10月'!DE4:DE34,"荻窪ー夜勤")+COUNTIF('10月'!DJ4:DJ34,"荻窪ー夜勤")+COUNTIF('10月'!DO4:DO34,"荻窪ー夜勤")+COUNTIF('10月'!DT4:DT34,"荻窪ー夜勤")+COUNTIF('10月'!DY4:DY34,"荻窪ー夜勤")+COUNTIF('10月'!ED4:ED34,"荻窪ー夜勤")+COUNTIF('10月'!EI4:EI34,"荻窪ー夜勤")+COUNTIF('10月'!EN4:EN34,"荻窪ー夜勤")+COUNTIF('10月'!ES4:ES34,"荻窪ー夜勤"))</f>
        <v>0</v>
      </c>
      <c r="C177" s="76">
        <f>IF($A$177="",0,COUNTIF('10月'!E4:E34,$A$177)+COUNTIF('10月'!J4:J34,$A$177)+COUNTIF('10月'!O4:O34,$A$177)+COUNTIF('10月'!T4:T34,$A$177)+COUNTIF('10月'!Y4:Y34,$A$177)+COUNTIF('10月'!AD4:AD34,$A$177)+COUNTIF('10月'!AI4:AI34,$A$177)+COUNTIF('10月'!AN4:AN34,$A$177)+COUNTIF('10月'!AS4:AS34,$A$177)+COUNTIF('10月'!AX4:AX34,$A$177)+COUNTIF('10月'!BC4:BC34,$A$177)+COUNTIF('10月'!BH4:BH34,$A$177)+COUNTIF('10月'!BM4:BM34,$A$177)+COUNTIF('10月'!BR4:BR34,$A$177)+COUNTIF('10月'!BW4:BW34,$A$177)+COUNTIF('10月'!CB4:CB34,$A$177)+COUNTIF('10月'!CG4:CG34,$A$177)+COUNTIF('10月'!CL4:CL34,$A$177)+COUNTIF('10月'!CQ4:CQ34,$A$177)+COUNTIF('10月'!CV4:CV34,$A$177)+COUNTIF('10月'!DA4:DA34,$A$177)+COUNTIF('10月'!DF4:DF34,$A$177)+COUNTIF('10月'!DK4:DK34,$A$177)+COUNTIF('10月'!DP4:DP34,$A$177)+COUNTIF('10月'!DU4:DU34,$A$177)+COUNTIF('10月'!DZ4:DZ34,$A$177)+COUNTIF('10月'!EE4:EE34,$A$177)+COUNTIF('10月'!EJ4:EJ34,$A$177)+COUNTIF('10月'!EO4:EO34,$A$177)+COUNTIF('10月'!ET4:ET34,$A$177)+COUNTIF('10月'!E4:E34,"荻窪ー夜勤")+COUNTIF('10月'!J4:J34,"荻窪ー夜勤")+COUNTIF('10月'!O4:O34,"荻窪ー夜勤")+COUNTIF('10月'!T4:T34,"荻窪ー夜勤")+COUNTIF('10月'!Y4:Y34,"荻窪ー夜勤")+COUNTIF('10月'!AD4:AD34,"荻窪ー夜勤")+COUNTIF('10月'!AI4:AI34,"荻窪ー夜勤")+COUNTIF('10月'!AN4:AN34,"荻窪ー夜勤")+COUNTIF('10月'!AS4:AS34,"荻窪ー夜勤")+COUNTIF('10月'!AX4:AX34,"荻窪ー夜勤")+COUNTIF('10月'!BC4:BC34,"荻窪ー夜勤")+COUNTIF('10月'!BH4:BH34,"荻窪ー夜勤")+COUNTIF('10月'!BM4:BM34,"荻窪ー夜勤")+COUNTIF('10月'!BR4:BR34,"荻窪ー夜勤")+COUNTIF('10月'!BW4:BW34,"荻窪ー夜勤")+COUNTIF('10月'!CB4:CB34,"荻窪ー夜勤")+COUNTIF('10月'!CG4:CG34,"荻窪ー夜勤")+COUNTIF('10月'!CL4:CL34,"荻窪ー夜勤")+COUNTIF('10月'!CQ4:CQ34,"荻窪ー夜勤")+COUNTIF('10月'!CV4:CV34,"荻窪ー夜勤")+COUNTIF('10月'!DA4:DA34,"荻窪ー夜勤")+COUNTIF('10月'!DF4:DF34,"荻窪ー夜勤")+COUNTIF('10月'!DK4:DK34,"荻窪ー夜勤")+COUNTIF('10月'!DP4:DP34,"荻窪ー夜勤")+COUNTIF('10月'!DU4:DU34,"荻窪ー夜勤")+COUNTIF('10月'!DZ4:DZ34,"荻窪ー夜勤")+COUNTIF('10月'!EE4:EE34,"荻窪ー夜勤")+COUNTIF('10月'!EJ4:EJ34,"荻窪ー夜勤")+COUNTIF('10月'!EO4:EO34,"荻窪ー夜勤")+COUNTIF('10月'!ET4:ET34,"荻窪ー夜勤"))</f>
        <v>0</v>
      </c>
      <c r="D177" s="65">
        <f>IF($A$177="",0,B177+C177)</f>
        <v>0</v>
      </c>
    </row>
    <row r="178" spans="1:4" ht="18.95" customHeight="1">
      <c r="A178" s="77">
        <f>IFERROR(現場マスタ!$C$18,"")</f>
        <v>0</v>
      </c>
      <c r="B178" s="76">
        <f>IF($A$178="",0,COUNTIF('10月'!D4:D34,$A$178)+COUNTIF('10月'!I4:I34,$A$178)+COUNTIF('10月'!N4:N34,$A$178)+COUNTIF('10月'!S4:S34,$A$178)+COUNTIF('10月'!X4:X34,$A$178)+COUNTIF('10月'!AC4:AC34,$A$178)+COUNTIF('10月'!AH4:AH34,$A$178)+COUNTIF('10月'!AM4:AM34,$A$178)+COUNTIF('10月'!AR4:AR34,$A$178)+COUNTIF('10月'!AW4:AW34,$A$178)+COUNTIF('10月'!BB4:BB34,$A$178)+COUNTIF('10月'!BG4:BG34,$A$178)+COUNTIF('10月'!BL4:BL34,$A$178)+COUNTIF('10月'!BQ4:BQ34,$A$178)+COUNTIF('10月'!BV4:BV34,$A$178)+COUNTIF('10月'!CA4:CA34,$A$178)+COUNTIF('10月'!CF4:CF34,$A$178)+COUNTIF('10月'!CK4:CK34,$A$178)+COUNTIF('10月'!CP4:CP34,$A$178)+COUNTIF('10月'!CU4:CU34,$A$178)+COUNTIF('10月'!CZ4:CZ34,$A$178)+COUNTIF('10月'!DE4:DE34,$A$178)+COUNTIF('10月'!DJ4:DJ34,$A$178)+COUNTIF('10月'!DO4:DO34,$A$178)+COUNTIF('10月'!DT4:DT34,$A$178)+COUNTIF('10月'!DY4:DY34,$A$178)+COUNTIF('10月'!ED4:ED34,$A$178)+COUNTIF('10月'!EI4:EI34,$A$178)+COUNTIF('10月'!EN4:EN34,$A$178)+COUNTIF('10月'!ES4:ES34,$A$178))</f>
        <v>0</v>
      </c>
      <c r="C178" s="76">
        <f>IF($A$178="",0,COUNTIF('10月'!E4:E34,$A$178)+COUNTIF('10月'!J4:J34,$A$178)+COUNTIF('10月'!O4:O34,$A$178)+COUNTIF('10月'!T4:T34,$A$178)+COUNTIF('10月'!Y4:Y34,$A$178)+COUNTIF('10月'!AD4:AD34,$A$178)+COUNTIF('10月'!AI4:AI34,$A$178)+COUNTIF('10月'!AN4:AN34,$A$178)+COUNTIF('10月'!AS4:AS34,$A$178)+COUNTIF('10月'!AX4:AX34,$A$178)+COUNTIF('10月'!BC4:BC34,$A$178)+COUNTIF('10月'!BH4:BH34,$A$178)+COUNTIF('10月'!BM4:BM34,$A$178)+COUNTIF('10月'!BR4:BR34,$A$178)+COUNTIF('10月'!BW4:BW34,$A$178)+COUNTIF('10月'!CB4:CB34,$A$178)+COUNTIF('10月'!CG4:CG34,$A$178)+COUNTIF('10月'!CL4:CL34,$A$178)+COUNTIF('10月'!CQ4:CQ34,$A$178)+COUNTIF('10月'!CV4:CV34,$A$178)+COUNTIF('10月'!DA4:DA34,$A$178)+COUNTIF('10月'!DF4:DF34,$A$178)+COUNTIF('10月'!DK4:DK34,$A$178)+COUNTIF('10月'!DP4:DP34,$A$178)+COUNTIF('10月'!DU4:DU34,$A$178)+COUNTIF('10月'!DZ4:DZ34,$A$178)+COUNTIF('10月'!EE4:EE34,$A$178)+COUNTIF('10月'!EJ4:EJ34,$A$178)+COUNTIF('10月'!EO4:EO34,$A$178)+COUNTIF('10月'!ET4:ET34,$A$178))</f>
        <v>0</v>
      </c>
      <c r="D178" s="65">
        <f>IF($A$178="",0,B178+C178)</f>
        <v>0</v>
      </c>
    </row>
    <row r="179" spans="1:4" ht="18.95" customHeight="1">
      <c r="A179" s="77">
        <f>IFERROR(現場マスタ!$C$20,"")</f>
        <v>0</v>
      </c>
      <c r="B179" s="76">
        <f>IF($A$179="",0,COUNTIF('10月'!D4:D34,$A$179)+COUNTIF('10月'!I4:I34,$A$179)+COUNTIF('10月'!N4:N34,$A$179)+COUNTIF('10月'!S4:S34,$A$179)+COUNTIF('10月'!X4:X34,$A$179)+COUNTIF('10月'!AC4:AC34,$A$179)+COUNTIF('10月'!AH4:AH34,$A$179)+COUNTIF('10月'!AM4:AM34,$A$179)+COUNTIF('10月'!AR4:AR34,$A$179)+COUNTIF('10月'!AW4:AW34,$A$179)+COUNTIF('10月'!BB4:BB34,$A$179)+COUNTIF('10月'!BG4:BG34,$A$179)+COUNTIF('10月'!BL4:BL34,$A$179)+COUNTIF('10月'!BQ4:BQ34,$A$179)+COUNTIF('10月'!BV4:BV34,$A$179)+COUNTIF('10月'!CA4:CA34,$A$179)+COUNTIF('10月'!CF4:CF34,$A$179)+COUNTIF('10月'!CK4:CK34,$A$179)+COUNTIF('10月'!CP4:CP34,$A$179)+COUNTIF('10月'!CU4:CU34,$A$179)+COUNTIF('10月'!CZ4:CZ34,$A$179)+COUNTIF('10月'!DE4:DE34,$A$179)+COUNTIF('10月'!DJ4:DJ34,$A$179)+COUNTIF('10月'!DO4:DO34,$A$179)+COUNTIF('10月'!DT4:DT34,$A$179)+COUNTIF('10月'!DY4:DY34,$A$179)+COUNTIF('10月'!ED4:ED34,$A$179)+COUNTIF('10月'!EI4:EI34,$A$179)+COUNTIF('10月'!EN4:EN34,$A$179)+COUNTIF('10月'!ES4:ES34,$A$179))</f>
        <v>0</v>
      </c>
      <c r="C179" s="76">
        <f>IF($A$179="",0,COUNTIF('10月'!E4:E34,$A$179)+COUNTIF('10月'!J4:J34,$A$179)+COUNTIF('10月'!O4:O34,$A$179)+COUNTIF('10月'!T4:T34,$A$179)+COUNTIF('10月'!Y4:Y34,$A$179)+COUNTIF('10月'!AD4:AD34,$A$179)+COUNTIF('10月'!AI4:AI34,$A$179)+COUNTIF('10月'!AN4:AN34,$A$179)+COUNTIF('10月'!AS4:AS34,$A$179)+COUNTIF('10月'!AX4:AX34,$A$179)+COUNTIF('10月'!BC4:BC34,$A$179)+COUNTIF('10月'!BH4:BH34,$A$179)+COUNTIF('10月'!BM4:BM34,$A$179)+COUNTIF('10月'!BR4:BR34,$A$179)+COUNTIF('10月'!BW4:BW34,$A$179)+COUNTIF('10月'!CB4:CB34,$A$179)+COUNTIF('10月'!CG4:CG34,$A$179)+COUNTIF('10月'!CL4:CL34,$A$179)+COUNTIF('10月'!CQ4:CQ34,$A$179)+COUNTIF('10月'!CV4:CV34,$A$179)+COUNTIF('10月'!DA4:DA34,$A$179)+COUNTIF('10月'!DF4:DF34,$A$179)+COUNTIF('10月'!DK4:DK34,$A$179)+COUNTIF('10月'!DP4:DP34,$A$179)+COUNTIF('10月'!DU4:DU34,$A$179)+COUNTIF('10月'!DZ4:DZ34,$A$179)+COUNTIF('10月'!EE4:EE34,$A$179)+COUNTIF('10月'!EJ4:EJ34,$A$179)+COUNTIF('10月'!EO4:EO34,$A$179)+COUNTIF('10月'!ET4:ET34,$A$179))</f>
        <v>0</v>
      </c>
      <c r="D179" s="65">
        <f>IF($A$179="",0,B179+C179)</f>
        <v>0</v>
      </c>
    </row>
    <row r="180" spans="1:4" ht="18.95" customHeight="1">
      <c r="A180" s="77">
        <f>IFERROR(現場マスタ!$C$21,"")</f>
        <v>0</v>
      </c>
      <c r="B180" s="76">
        <f>IF($A$180="",0,COUNTIF('10月'!D4:D34,$A$180)+COUNTIF('10月'!I4:I34,$A$180)+COUNTIF('10月'!N4:N34,$A$180)+COUNTIF('10月'!S4:S34,$A$180)+COUNTIF('10月'!X4:X34,$A$180)+COUNTIF('10月'!AC4:AC34,$A$180)+COUNTIF('10月'!AH4:AH34,$A$180)+COUNTIF('10月'!AM4:AM34,$A$180)+COUNTIF('10月'!AR4:AR34,$A$180)+COUNTIF('10月'!AW4:AW34,$A$180)+COUNTIF('10月'!BB4:BB34,$A$180)+COUNTIF('10月'!BG4:BG34,$A$180)+COUNTIF('10月'!BL4:BL34,$A$180)+COUNTIF('10月'!BQ4:BQ34,$A$180)+COUNTIF('10月'!BV4:BV34,$A$180)+COUNTIF('10月'!CA4:CA34,$A$180)+COUNTIF('10月'!CF4:CF34,$A$180)+COUNTIF('10月'!CK4:CK34,$A$180)+COUNTIF('10月'!CP4:CP34,$A$180)+COUNTIF('10月'!CU4:CU34,$A$180)+COUNTIF('10月'!CZ4:CZ34,$A$180)+COUNTIF('10月'!DE4:DE34,$A$180)+COUNTIF('10月'!DJ4:DJ34,$A$180)+COUNTIF('10月'!DO4:DO34,$A$180)+COUNTIF('10月'!DT4:DT34,$A$180)+COUNTIF('10月'!DY4:DY34,$A$180)+COUNTIF('10月'!ED4:ED34,$A$180)+COUNTIF('10月'!EI4:EI34,$A$180)+COUNTIF('10月'!EN4:EN34,$A$180)+COUNTIF('10月'!ES4:ES34,$A$180))</f>
        <v>0</v>
      </c>
      <c r="C180" s="76">
        <f>IF($A$180="",0,COUNTIF('10月'!E4:E34,$A$180)+COUNTIF('10月'!J4:J34,$A$180)+COUNTIF('10月'!O4:O34,$A$180)+COUNTIF('10月'!T4:T34,$A$180)+COUNTIF('10月'!Y4:Y34,$A$180)+COUNTIF('10月'!AD4:AD34,$A$180)+COUNTIF('10月'!AI4:AI34,$A$180)+COUNTIF('10月'!AN4:AN34,$A$180)+COUNTIF('10月'!AS4:AS34,$A$180)+COUNTIF('10月'!AX4:AX34,$A$180)+COUNTIF('10月'!BC4:BC34,$A$180)+COUNTIF('10月'!BH4:BH34,$A$180)+COUNTIF('10月'!BM4:BM34,$A$180)+COUNTIF('10月'!BR4:BR34,$A$180)+COUNTIF('10月'!BW4:BW34,$A$180)+COUNTIF('10月'!CB4:CB34,$A$180)+COUNTIF('10月'!CG4:CG34,$A$180)+COUNTIF('10月'!CL4:CL34,$A$180)+COUNTIF('10月'!CQ4:CQ34,$A$180)+COUNTIF('10月'!CV4:CV34,$A$180)+COUNTIF('10月'!DA4:DA34,$A$180)+COUNTIF('10月'!DF4:DF34,$A$180)+COUNTIF('10月'!DK4:DK34,$A$180)+COUNTIF('10月'!DP4:DP34,$A$180)+COUNTIF('10月'!DU4:DU34,$A$180)+COUNTIF('10月'!DZ4:DZ34,$A$180)+COUNTIF('10月'!EE4:EE34,$A$180)+COUNTIF('10月'!EJ4:EJ34,$A$180)+COUNTIF('10月'!EO4:EO34,$A$180)+COUNTIF('10月'!ET4:ET34,$A$180))</f>
        <v>0</v>
      </c>
      <c r="D180" s="65">
        <f>IF($A$180="",0,B180+C180)</f>
        <v>0</v>
      </c>
    </row>
    <row r="181" spans="1:4" ht="18.95" customHeight="1">
      <c r="A181" s="77">
        <f>IFERROR(現場マスタ!$C$22,"")</f>
        <v>0</v>
      </c>
      <c r="B181" s="76">
        <f>IF($A$181="",0,COUNTIF('10月'!D4:D34,$A$181)+COUNTIF('10月'!I4:I34,$A$181)+COUNTIF('10月'!N4:N34,$A$181)+COUNTIF('10月'!S4:S34,$A$181)+COUNTIF('10月'!X4:X34,$A$181)+COUNTIF('10月'!AC4:AC34,$A$181)+COUNTIF('10月'!AH4:AH34,$A$181)+COUNTIF('10月'!AM4:AM34,$A$181)+COUNTIF('10月'!AR4:AR34,$A$181)+COUNTIF('10月'!AW4:AW34,$A$181)+COUNTIF('10月'!BB4:BB34,$A$181)+COUNTIF('10月'!BG4:BG34,$A$181)+COUNTIF('10月'!BL4:BL34,$A$181)+COUNTIF('10月'!BQ4:BQ34,$A$181)+COUNTIF('10月'!BV4:BV34,$A$181)+COUNTIF('10月'!CA4:CA34,$A$181)+COUNTIF('10月'!CF4:CF34,$A$181)+COUNTIF('10月'!CK4:CK34,$A$181)+COUNTIF('10月'!CP4:CP34,$A$181)+COUNTIF('10月'!CU4:CU34,$A$181)+COUNTIF('10月'!CZ4:CZ34,$A$181)+COUNTIF('10月'!DE4:DE34,$A$181)+COUNTIF('10月'!DJ4:DJ34,$A$181)+COUNTIF('10月'!DO4:DO34,$A$181)+COUNTIF('10月'!DT4:DT34,$A$181)+COUNTIF('10月'!DY4:DY34,$A$181)+COUNTIF('10月'!ED4:ED34,$A$181)+COUNTIF('10月'!EI4:EI34,$A$181)+COUNTIF('10月'!EN4:EN34,$A$181)+COUNTIF('10月'!ES4:ES34,$A$181))</f>
        <v>0</v>
      </c>
      <c r="C181" s="76">
        <f>IF($A$181="",0,COUNTIF('10月'!E4:E34,$A$181)+COUNTIF('10月'!J4:J34,$A$181)+COUNTIF('10月'!O4:O34,$A$181)+COUNTIF('10月'!T4:T34,$A$181)+COUNTIF('10月'!Y4:Y34,$A$181)+COUNTIF('10月'!AD4:AD34,$A$181)+COUNTIF('10月'!AI4:AI34,$A$181)+COUNTIF('10月'!AN4:AN34,$A$181)+COUNTIF('10月'!AS4:AS34,$A$181)+COUNTIF('10月'!AX4:AX34,$A$181)+COUNTIF('10月'!BC4:BC34,$A$181)+COUNTIF('10月'!BH4:BH34,$A$181)+COUNTIF('10月'!BM4:BM34,$A$181)+COUNTIF('10月'!BR4:BR34,$A$181)+COUNTIF('10月'!BW4:BW34,$A$181)+COUNTIF('10月'!CB4:CB34,$A$181)+COUNTIF('10月'!CG4:CG34,$A$181)+COUNTIF('10月'!CL4:CL34,$A$181)+COUNTIF('10月'!CQ4:CQ34,$A$181)+COUNTIF('10月'!CV4:CV34,$A$181)+COUNTIF('10月'!DA4:DA34,$A$181)+COUNTIF('10月'!DF4:DF34,$A$181)+COUNTIF('10月'!DK4:DK34,$A$181)+COUNTIF('10月'!DP4:DP34,$A$181)+COUNTIF('10月'!DU4:DU34,$A$181)+COUNTIF('10月'!DZ4:DZ34,$A$181)+COUNTIF('10月'!EE4:EE34,$A$181)+COUNTIF('10月'!EJ4:EJ34,$A$181)+COUNTIF('10月'!EO4:EO34,$A$181)+COUNTIF('10月'!ET4:ET34,$A$181))</f>
        <v>0</v>
      </c>
      <c r="D181" s="65">
        <f>IF($A$181="",0,B181+C181)</f>
        <v>0</v>
      </c>
    </row>
    <row r="182" spans="1:4" ht="9.9499999999999993" customHeight="1"/>
    <row r="183" spans="1:4" ht="21.95" customHeight="1">
      <c r="A183" s="112" t="str">
        <f>対象年度&amp;"年 11月"</f>
        <v>2026年 11月</v>
      </c>
      <c r="B183" s="112"/>
      <c r="C183" s="112"/>
      <c r="D183" s="112"/>
    </row>
    <row r="184" spans="1:4" ht="20.100000000000001" customHeight="1">
      <c r="A184" s="60" t="s">
        <v>60</v>
      </c>
      <c r="B184" s="75" t="s">
        <v>110</v>
      </c>
      <c r="C184" s="75" t="s">
        <v>111</v>
      </c>
      <c r="D184" s="65" t="s">
        <v>112</v>
      </c>
    </row>
    <row r="185" spans="1:4" ht="18.95" customHeight="1">
      <c r="A185" s="77" t="str">
        <f>IFERROR(現場マスタ!$C$4,"")</f>
        <v>新宿</v>
      </c>
      <c r="B185" s="76">
        <f>IF($A$185="",0,COUNTIF('11月'!D4:D34,$A$185)+COUNTIF('11月'!I4:I34,$A$185)+COUNTIF('11月'!N4:N34,$A$185)+COUNTIF('11月'!S4:S34,$A$185)+COUNTIF('11月'!X4:X34,$A$185)+COUNTIF('11月'!AC4:AC34,$A$185)+COUNTIF('11月'!AH4:AH34,$A$185)+COUNTIF('11月'!AM4:AM34,$A$185)+COUNTIF('11月'!AR4:AR34,$A$185)+COUNTIF('11月'!AW4:AW34,$A$185)+COUNTIF('11月'!BB4:BB34,$A$185)+COUNTIF('11月'!BG4:BG34,$A$185)+COUNTIF('11月'!BL4:BL34,$A$185)+COUNTIF('11月'!BQ4:BQ34,$A$185)+COUNTIF('11月'!BV4:BV34,$A$185)+COUNTIF('11月'!CA4:CA34,$A$185)+COUNTIF('11月'!CF4:CF34,$A$185)+COUNTIF('11月'!CK4:CK34,$A$185)+COUNTIF('11月'!CP4:CP34,$A$185)+COUNTIF('11月'!CU4:CU34,$A$185)+COUNTIF('11月'!CZ4:CZ34,$A$185)+COUNTIF('11月'!DE4:DE34,$A$185)+COUNTIF('11月'!DJ4:DJ34,$A$185)+COUNTIF('11月'!DO4:DO34,$A$185)+COUNTIF('11月'!DT4:DT34,$A$185)+COUNTIF('11月'!DY4:DY34,$A$185)+COUNTIF('11月'!ED4:ED34,$A$185)+COUNTIF('11月'!EI4:EI34,$A$185)+COUNTIF('11月'!EN4:EN34,$A$185)+COUNTIF('11月'!ES4:ES34,$A$185))</f>
        <v>0</v>
      </c>
      <c r="C185" s="76">
        <f>IF($A$185="",0,COUNTIF('11月'!E4:E34,$A$185)+COUNTIF('11月'!J4:J34,$A$185)+COUNTIF('11月'!O4:O34,$A$185)+COUNTIF('11月'!T4:T34,$A$185)+COUNTIF('11月'!Y4:Y34,$A$185)+COUNTIF('11月'!AD4:AD34,$A$185)+COUNTIF('11月'!AI4:AI34,$A$185)+COUNTIF('11月'!AN4:AN34,$A$185)+COUNTIF('11月'!AS4:AS34,$A$185)+COUNTIF('11月'!AX4:AX34,$A$185)+COUNTIF('11月'!BC4:BC34,$A$185)+COUNTIF('11月'!BH4:BH34,$A$185)+COUNTIF('11月'!BM4:BM34,$A$185)+COUNTIF('11月'!BR4:BR34,$A$185)+COUNTIF('11月'!BW4:BW34,$A$185)+COUNTIF('11月'!CB4:CB34,$A$185)+COUNTIF('11月'!CG4:CG34,$A$185)+COUNTIF('11月'!CL4:CL34,$A$185)+COUNTIF('11月'!CQ4:CQ34,$A$185)+COUNTIF('11月'!CV4:CV34,$A$185)+COUNTIF('11月'!DA4:DA34,$A$185)+COUNTIF('11月'!DF4:DF34,$A$185)+COUNTIF('11月'!DK4:DK34,$A$185)+COUNTIF('11月'!DP4:DP34,$A$185)+COUNTIF('11月'!DU4:DU34,$A$185)+COUNTIF('11月'!DZ4:DZ34,$A$185)+COUNTIF('11月'!EE4:EE34,$A$185)+COUNTIF('11月'!EJ4:EJ34,$A$185)+COUNTIF('11月'!EO4:EO34,$A$185)+COUNTIF('11月'!ET4:ET34,$A$185))</f>
        <v>0</v>
      </c>
      <c r="D185" s="65">
        <f>IF($A$185="",0,B185+C185)</f>
        <v>0</v>
      </c>
    </row>
    <row r="186" spans="1:4" ht="18.95" customHeight="1">
      <c r="A186" s="77" t="str">
        <f>IFERROR(現場マスタ!$C$5,"")</f>
        <v>赤坂</v>
      </c>
      <c r="B186" s="76">
        <f>IF($A$186="",0,COUNTIF('11月'!D4:D34,$A$186)+COUNTIF('11月'!I4:I34,$A$186)+COUNTIF('11月'!N4:N34,$A$186)+COUNTIF('11月'!S4:S34,$A$186)+COUNTIF('11月'!X4:X34,$A$186)+COUNTIF('11月'!AC4:AC34,$A$186)+COUNTIF('11月'!AH4:AH34,$A$186)+COUNTIF('11月'!AM4:AM34,$A$186)+COUNTIF('11月'!AR4:AR34,$A$186)+COUNTIF('11月'!AW4:AW34,$A$186)+COUNTIF('11月'!BB4:BB34,$A$186)+COUNTIF('11月'!BG4:BG34,$A$186)+COUNTIF('11月'!BL4:BL34,$A$186)+COUNTIF('11月'!BQ4:BQ34,$A$186)+COUNTIF('11月'!BV4:BV34,$A$186)+COUNTIF('11月'!CA4:CA34,$A$186)+COUNTIF('11月'!CF4:CF34,$A$186)+COUNTIF('11月'!CK4:CK34,$A$186)+COUNTIF('11月'!CP4:CP34,$A$186)+COUNTIF('11月'!CU4:CU34,$A$186)+COUNTIF('11月'!CZ4:CZ34,$A$186)+COUNTIF('11月'!DE4:DE34,$A$186)+COUNTIF('11月'!DJ4:DJ34,$A$186)+COUNTIF('11月'!DO4:DO34,$A$186)+COUNTIF('11月'!DT4:DT34,$A$186)+COUNTIF('11月'!DY4:DY34,$A$186)+COUNTIF('11月'!ED4:ED34,$A$186)+COUNTIF('11月'!EI4:EI34,$A$186)+COUNTIF('11月'!EN4:EN34,$A$186)+COUNTIF('11月'!ES4:ES34,$A$186))</f>
        <v>0</v>
      </c>
      <c r="C186" s="76">
        <f>IF($A$186="",0,COUNTIF('11月'!E4:E34,$A$186)+COUNTIF('11月'!J4:J34,$A$186)+COUNTIF('11月'!O4:O34,$A$186)+COUNTIF('11月'!T4:T34,$A$186)+COUNTIF('11月'!Y4:Y34,$A$186)+COUNTIF('11月'!AD4:AD34,$A$186)+COUNTIF('11月'!AI4:AI34,$A$186)+COUNTIF('11月'!AN4:AN34,$A$186)+COUNTIF('11月'!AS4:AS34,$A$186)+COUNTIF('11月'!AX4:AX34,$A$186)+COUNTIF('11月'!BC4:BC34,$A$186)+COUNTIF('11月'!BH4:BH34,$A$186)+COUNTIF('11月'!BM4:BM34,$A$186)+COUNTIF('11月'!BR4:BR34,$A$186)+COUNTIF('11月'!BW4:BW34,$A$186)+COUNTIF('11月'!CB4:CB34,$A$186)+COUNTIF('11月'!CG4:CG34,$A$186)+COUNTIF('11月'!CL4:CL34,$A$186)+COUNTIF('11月'!CQ4:CQ34,$A$186)+COUNTIF('11月'!CV4:CV34,$A$186)+COUNTIF('11月'!DA4:DA34,$A$186)+COUNTIF('11月'!DF4:DF34,$A$186)+COUNTIF('11月'!DK4:DK34,$A$186)+COUNTIF('11月'!DP4:DP34,$A$186)+COUNTIF('11月'!DU4:DU34,$A$186)+COUNTIF('11月'!DZ4:DZ34,$A$186)+COUNTIF('11月'!EE4:EE34,$A$186)+COUNTIF('11月'!EJ4:EJ34,$A$186)+COUNTIF('11月'!EO4:EO34,$A$186)+COUNTIF('11月'!ET4:ET34,$A$186))</f>
        <v>0</v>
      </c>
      <c r="D186" s="65">
        <f>IF($A$186="",0,B186+C186)</f>
        <v>0</v>
      </c>
    </row>
    <row r="187" spans="1:4" ht="18.95" customHeight="1">
      <c r="A187" s="77" t="str">
        <f>IFERROR(現場マスタ!$C$6,"")</f>
        <v>渋谷ヒカリエ</v>
      </c>
      <c r="B187" s="76">
        <f>IF($A$187="",0,COUNTIF('11月'!D4:D34,$A$187)+COUNTIF('11月'!I4:I34,$A$187)+COUNTIF('11月'!N4:N34,$A$187)+COUNTIF('11月'!S4:S34,$A$187)+COUNTIF('11月'!X4:X34,$A$187)+COUNTIF('11月'!AC4:AC34,$A$187)+COUNTIF('11月'!AH4:AH34,$A$187)+COUNTIF('11月'!AM4:AM34,$A$187)+COUNTIF('11月'!AR4:AR34,$A$187)+COUNTIF('11月'!AW4:AW34,$A$187)+COUNTIF('11月'!BB4:BB34,$A$187)+COUNTIF('11月'!BG4:BG34,$A$187)+COUNTIF('11月'!BL4:BL34,$A$187)+COUNTIF('11月'!BQ4:BQ34,$A$187)+COUNTIF('11月'!BV4:BV34,$A$187)+COUNTIF('11月'!CA4:CA34,$A$187)+COUNTIF('11月'!CF4:CF34,$A$187)+COUNTIF('11月'!CK4:CK34,$A$187)+COUNTIF('11月'!CP4:CP34,$A$187)+COUNTIF('11月'!CU4:CU34,$A$187)+COUNTIF('11月'!CZ4:CZ34,$A$187)+COUNTIF('11月'!DE4:DE34,$A$187)+COUNTIF('11月'!DJ4:DJ34,$A$187)+COUNTIF('11月'!DO4:DO34,$A$187)+COUNTIF('11月'!DT4:DT34,$A$187)+COUNTIF('11月'!DY4:DY34,$A$187)+COUNTIF('11月'!ED4:ED34,$A$187)+COUNTIF('11月'!EI4:EI34,$A$187)+COUNTIF('11月'!EN4:EN34,$A$187)+COUNTIF('11月'!ES4:ES34,$A$187))</f>
        <v>0</v>
      </c>
      <c r="C187" s="76">
        <f>IF($A$187="",0,COUNTIF('11月'!E4:E34,$A$187)+COUNTIF('11月'!J4:J34,$A$187)+COUNTIF('11月'!O4:O34,$A$187)+COUNTIF('11月'!T4:T34,$A$187)+COUNTIF('11月'!Y4:Y34,$A$187)+COUNTIF('11月'!AD4:AD34,$A$187)+COUNTIF('11月'!AI4:AI34,$A$187)+COUNTIF('11月'!AN4:AN34,$A$187)+COUNTIF('11月'!AS4:AS34,$A$187)+COUNTIF('11月'!AX4:AX34,$A$187)+COUNTIF('11月'!BC4:BC34,$A$187)+COUNTIF('11月'!BH4:BH34,$A$187)+COUNTIF('11月'!BM4:BM34,$A$187)+COUNTIF('11月'!BR4:BR34,$A$187)+COUNTIF('11月'!BW4:BW34,$A$187)+COUNTIF('11月'!CB4:CB34,$A$187)+COUNTIF('11月'!CG4:CG34,$A$187)+COUNTIF('11月'!CL4:CL34,$A$187)+COUNTIF('11月'!CQ4:CQ34,$A$187)+COUNTIF('11月'!CV4:CV34,$A$187)+COUNTIF('11月'!DA4:DA34,$A$187)+COUNTIF('11月'!DF4:DF34,$A$187)+COUNTIF('11月'!DK4:DK34,$A$187)+COUNTIF('11月'!DP4:DP34,$A$187)+COUNTIF('11月'!DU4:DU34,$A$187)+COUNTIF('11月'!DZ4:DZ34,$A$187)+COUNTIF('11月'!EE4:EE34,$A$187)+COUNTIF('11月'!EJ4:EJ34,$A$187)+COUNTIF('11月'!EO4:EO34,$A$187)+COUNTIF('11月'!ET4:ET34,$A$187))</f>
        <v>0</v>
      </c>
      <c r="D187" s="65">
        <f>IF($A$187="",0,B187+C187)</f>
        <v>0</v>
      </c>
    </row>
    <row r="188" spans="1:4" ht="18.95" customHeight="1">
      <c r="A188" s="77" t="str">
        <f>IFERROR(現場マスタ!$C$7,"")</f>
        <v>六本木ヒルズ</v>
      </c>
      <c r="B188" s="76">
        <f>IF($A$188="",0,COUNTIF('11月'!D4:D34,$A$188)+COUNTIF('11月'!I4:I34,$A$188)+COUNTIF('11月'!N4:N34,$A$188)+COUNTIF('11月'!S4:S34,$A$188)+COUNTIF('11月'!X4:X34,$A$188)+COUNTIF('11月'!AC4:AC34,$A$188)+COUNTIF('11月'!AH4:AH34,$A$188)+COUNTIF('11月'!AM4:AM34,$A$188)+COUNTIF('11月'!AR4:AR34,$A$188)+COUNTIF('11月'!AW4:AW34,$A$188)+COUNTIF('11月'!BB4:BB34,$A$188)+COUNTIF('11月'!BG4:BG34,$A$188)+COUNTIF('11月'!BL4:BL34,$A$188)+COUNTIF('11月'!BQ4:BQ34,$A$188)+COUNTIF('11月'!BV4:BV34,$A$188)+COUNTIF('11月'!CA4:CA34,$A$188)+COUNTIF('11月'!CF4:CF34,$A$188)+COUNTIF('11月'!CK4:CK34,$A$188)+COUNTIF('11月'!CP4:CP34,$A$188)+COUNTIF('11月'!CU4:CU34,$A$188)+COUNTIF('11月'!CZ4:CZ34,$A$188)+COUNTIF('11月'!DE4:DE34,$A$188)+COUNTIF('11月'!DJ4:DJ34,$A$188)+COUNTIF('11月'!DO4:DO34,$A$188)+COUNTIF('11月'!DT4:DT34,$A$188)+COUNTIF('11月'!DY4:DY34,$A$188)+COUNTIF('11月'!ED4:ED34,$A$188)+COUNTIF('11月'!EI4:EI34,$A$188)+COUNTIF('11月'!EN4:EN34,$A$188)+COUNTIF('11月'!ES4:ES34,$A$188)+COUNTIF('11月'!D4:D34,"渋谷-夜勤")+COUNTIF('11月'!I4:I34,"渋谷-夜勤")+COUNTIF('11月'!N4:N34,"渋谷-夜勤")+COUNTIF('11月'!S4:S34,"渋谷-夜勤")+COUNTIF('11月'!X4:X34,"渋谷-夜勤")+COUNTIF('11月'!AC4:AC34,"渋谷-夜勤")+COUNTIF('11月'!AH4:AH34,"渋谷-夜勤")+COUNTIF('11月'!AM4:AM34,"渋谷-夜勤")+COUNTIF('11月'!AR4:AR34,"渋谷-夜勤")+COUNTIF('11月'!AW4:AW34,"渋谷-夜勤")+COUNTIF('11月'!BB4:BB34,"渋谷-夜勤")+COUNTIF('11月'!BG4:BG34,"渋谷-夜勤")+COUNTIF('11月'!BL4:BL34,"渋谷-夜勤")+COUNTIF('11月'!BQ4:BQ34,"渋谷-夜勤")+COUNTIF('11月'!BV4:BV34,"渋谷-夜勤")+COUNTIF('11月'!CA4:CA34,"渋谷-夜勤")+COUNTIF('11月'!CF4:CF34,"渋谷-夜勤")+COUNTIF('11月'!CK4:CK34,"渋谷-夜勤")+COUNTIF('11月'!CP4:CP34,"渋谷-夜勤")+COUNTIF('11月'!CU4:CU34,"渋谷-夜勤")+COUNTIF('11月'!CZ4:CZ34,"渋谷-夜勤")+COUNTIF('11月'!DE4:DE34,"渋谷-夜勤")+COUNTIF('11月'!DJ4:DJ34,"渋谷-夜勤")+COUNTIF('11月'!DO4:DO34,"渋谷-夜勤")+COUNTIF('11月'!DT4:DT34,"渋谷-夜勤")+COUNTIF('11月'!DY4:DY34,"渋谷-夜勤")+COUNTIF('11月'!ED4:ED34,"渋谷-夜勤")+COUNTIF('11月'!EI4:EI34,"渋谷-夜勤")+COUNTIF('11月'!EN4:EN34,"渋谷-夜勤")+COUNTIF('11月'!ES4:ES34,"渋谷-夜勤"))</f>
        <v>0</v>
      </c>
      <c r="C188" s="76">
        <f>IF($A$188="",0,COUNTIF('11月'!E4:E34,$A$188)+COUNTIF('11月'!J4:J34,$A$188)+COUNTIF('11月'!O4:O34,$A$188)+COUNTIF('11月'!T4:T34,$A$188)+COUNTIF('11月'!Y4:Y34,$A$188)+COUNTIF('11月'!AD4:AD34,$A$188)+COUNTIF('11月'!AI4:AI34,$A$188)+COUNTIF('11月'!AN4:AN34,$A$188)+COUNTIF('11月'!AS4:AS34,$A$188)+COUNTIF('11月'!AX4:AX34,$A$188)+COUNTIF('11月'!BC4:BC34,$A$188)+COUNTIF('11月'!BH4:BH34,$A$188)+COUNTIF('11月'!BM4:BM34,$A$188)+COUNTIF('11月'!BR4:BR34,$A$188)+COUNTIF('11月'!BW4:BW34,$A$188)+COUNTIF('11月'!CB4:CB34,$A$188)+COUNTIF('11月'!CG4:CG34,$A$188)+COUNTIF('11月'!CL4:CL34,$A$188)+COUNTIF('11月'!CQ4:CQ34,$A$188)+COUNTIF('11月'!CV4:CV34,$A$188)+COUNTIF('11月'!DA4:DA34,$A$188)+COUNTIF('11月'!DF4:DF34,$A$188)+COUNTIF('11月'!DK4:DK34,$A$188)+COUNTIF('11月'!DP4:DP34,$A$188)+COUNTIF('11月'!DU4:DU34,$A$188)+COUNTIF('11月'!DZ4:DZ34,$A$188)+COUNTIF('11月'!EE4:EE34,$A$188)+COUNTIF('11月'!EJ4:EJ34,$A$188)+COUNTIF('11月'!EO4:EO34,$A$188)+COUNTIF('11月'!ET4:ET34,$A$188)+COUNTIF('11月'!E4:E34,"渋谷-夜勤")+COUNTIF('11月'!J4:J34,"渋谷-夜勤")+COUNTIF('11月'!O4:O34,"渋谷-夜勤")+COUNTIF('11月'!T4:T34,"渋谷-夜勤")+COUNTIF('11月'!Y4:Y34,"渋谷-夜勤")+COUNTIF('11月'!AD4:AD34,"渋谷-夜勤")+COUNTIF('11月'!AI4:AI34,"渋谷-夜勤")+COUNTIF('11月'!AN4:AN34,"渋谷-夜勤")+COUNTIF('11月'!AS4:AS34,"渋谷-夜勤")+COUNTIF('11月'!AX4:AX34,"渋谷-夜勤")+COUNTIF('11月'!BC4:BC34,"渋谷-夜勤")+COUNTIF('11月'!BH4:BH34,"渋谷-夜勤")+COUNTIF('11月'!BM4:BM34,"渋谷-夜勤")+COUNTIF('11月'!BR4:BR34,"渋谷-夜勤")+COUNTIF('11月'!BW4:BW34,"渋谷-夜勤")+COUNTIF('11月'!CB4:CB34,"渋谷-夜勤")+COUNTIF('11月'!CG4:CG34,"渋谷-夜勤")+COUNTIF('11月'!CL4:CL34,"渋谷-夜勤")+COUNTIF('11月'!CQ4:CQ34,"渋谷-夜勤")+COUNTIF('11月'!CV4:CV34,"渋谷-夜勤")+COUNTIF('11月'!DA4:DA34,"渋谷-夜勤")+COUNTIF('11月'!DF4:DF34,"渋谷-夜勤")+COUNTIF('11月'!DK4:DK34,"渋谷-夜勤")+COUNTIF('11月'!DP4:DP34,"渋谷-夜勤")+COUNTIF('11月'!DU4:DU34,"渋谷-夜勤")+COUNTIF('11月'!DZ4:DZ34,"渋谷-夜勤")+COUNTIF('11月'!EE4:EE34,"渋谷-夜勤")+COUNTIF('11月'!EJ4:EJ34,"渋谷-夜勤")+COUNTIF('11月'!EO4:EO34,"渋谷-夜勤")+COUNTIF('11月'!ET4:ET34,"渋谷-夜勤"))</f>
        <v>0</v>
      </c>
      <c r="D188" s="65">
        <f>IF($A$188="",0,B188+C188)</f>
        <v>0</v>
      </c>
    </row>
    <row r="189" spans="1:4" ht="18.95" customHeight="1">
      <c r="A189" s="77" t="str">
        <f>IFERROR(現場マスタ!$C$10,"")</f>
        <v>有給</v>
      </c>
      <c r="B189" s="76">
        <f>IF($A$189="",0,COUNTIF('11月'!D4:D34,$A$189)+COUNTIF('11月'!I4:I34,$A$189)+COUNTIF('11月'!N4:N34,$A$189)+COUNTIF('11月'!S4:S34,$A$189)+COUNTIF('11月'!X4:X34,$A$189)+COUNTIF('11月'!AC4:AC34,$A$189)+COUNTIF('11月'!AH4:AH34,$A$189)+COUNTIF('11月'!AM4:AM34,$A$189)+COUNTIF('11月'!AR4:AR34,$A$189)+COUNTIF('11月'!AW4:AW34,$A$189)+COUNTIF('11月'!BB4:BB34,$A$189)+COUNTIF('11月'!BG4:BG34,$A$189)+COUNTIF('11月'!BL4:BL34,$A$189)+COUNTIF('11月'!BQ4:BQ34,$A$189)+COUNTIF('11月'!BV4:BV34,$A$189)+COUNTIF('11月'!CA4:CA34,$A$189)+COUNTIF('11月'!CF4:CF34,$A$189)+COUNTIF('11月'!CK4:CK34,$A$189)+COUNTIF('11月'!CP4:CP34,$A$189)+COUNTIF('11月'!CU4:CU34,$A$189)+COUNTIF('11月'!CZ4:CZ34,$A$189)+COUNTIF('11月'!DE4:DE34,$A$189)+COUNTIF('11月'!DJ4:DJ34,$A$189)+COUNTIF('11月'!DO4:DO34,$A$189)+COUNTIF('11月'!DT4:DT34,$A$189)+COUNTIF('11月'!DY4:DY34,$A$189)+COUNTIF('11月'!ED4:ED34,$A$189)+COUNTIF('11月'!EI4:EI34,$A$189)+COUNTIF('11月'!EN4:EN34,$A$189)+COUNTIF('11月'!ES4:ES34,$A$189)+COUNTIF('11月'!D4:D34,"六本木-夜勤")+COUNTIF('11月'!I4:I34,"六本木-夜勤")+COUNTIF('11月'!N4:N34,"六本木-夜勤")+COUNTIF('11月'!S4:S34,"六本木-夜勤")+COUNTIF('11月'!X4:X34,"六本木-夜勤")+COUNTIF('11月'!AC4:AC34,"六本木-夜勤")+COUNTIF('11月'!AH4:AH34,"六本木-夜勤")+COUNTIF('11月'!AM4:AM34,"六本木-夜勤")+COUNTIF('11月'!AR4:AR34,"六本木-夜勤")+COUNTIF('11月'!AW4:AW34,"六本木-夜勤")+COUNTIF('11月'!BB4:BB34,"六本木-夜勤")+COUNTIF('11月'!BG4:BG34,"六本木-夜勤")+COUNTIF('11月'!BL4:BL34,"六本木-夜勤")+COUNTIF('11月'!BQ4:BQ34,"六本木-夜勤")+COUNTIF('11月'!BV4:BV34,"六本木-夜勤")+COUNTIF('11月'!CA4:CA34,"六本木-夜勤")+COUNTIF('11月'!CF4:CF34,"六本木-夜勤")+COUNTIF('11月'!CK4:CK34,"六本木-夜勤")+COUNTIF('11月'!CP4:CP34,"六本木-夜勤")+COUNTIF('11月'!CU4:CU34,"六本木-夜勤")+COUNTIF('11月'!CZ4:CZ34,"六本木-夜勤")+COUNTIF('11月'!DE4:DE34,"六本木-夜勤")+COUNTIF('11月'!DJ4:DJ34,"六本木-夜勤")+COUNTIF('11月'!DO4:DO34,"六本木-夜勤")+COUNTIF('11月'!DT4:DT34,"六本木-夜勤")+COUNTIF('11月'!DY4:DY34,"六本木-夜勤")+COUNTIF('11月'!ED4:ED34,"六本木-夜勤")+COUNTIF('11月'!EI4:EI34,"六本木-夜勤")+COUNTIF('11月'!EN4:EN34,"六本木-夜勤")+COUNTIF('11月'!ES4:ES34,"六本木-夜勤")+COUNTIF('11月'!D4:D34,"六本木ー夜勤")+COUNTIF('11月'!I4:I34,"六本木ー夜勤")+COUNTIF('11月'!N4:N34,"六本木ー夜勤")+COUNTIF('11月'!S4:S34,"六本木ー夜勤")+COUNTIF('11月'!X4:X34,"六本木ー夜勤")+COUNTIF('11月'!AC4:AC34,"六本木ー夜勤")+COUNTIF('11月'!AH4:AH34,"六本木ー夜勤")+COUNTIF('11月'!AM4:AM34,"六本木ー夜勤")+COUNTIF('11月'!AR4:AR34,"六本木ー夜勤")+COUNTIF('11月'!AW4:AW34,"六本木ー夜勤")+COUNTIF('11月'!BB4:BB34,"六本木ー夜勤")+COUNTIF('11月'!BG4:BG34,"六本木ー夜勤")+COUNTIF('11月'!BL4:BL34,"六本木ー夜勤")+COUNTIF('11月'!BQ4:BQ34,"六本木ー夜勤")+COUNTIF('11月'!BV4:BV34,"六本木ー夜勤")+COUNTIF('11月'!CA4:CA34,"六本木ー夜勤")+COUNTIF('11月'!CF4:CF34,"六本木ー夜勤")+COUNTIF('11月'!CK4:CK34,"六本木ー夜勤")+COUNTIF('11月'!CP4:CP34,"六本木ー夜勤")+COUNTIF('11月'!CU4:CU34,"六本木ー夜勤")+COUNTIF('11月'!CZ4:CZ34,"六本木ー夜勤")+COUNTIF('11月'!DE4:DE34,"六本木ー夜勤")+COUNTIF('11月'!DJ4:DJ34,"六本木ー夜勤")+COUNTIF('11月'!DO4:DO34,"六本木ー夜勤")+COUNTIF('11月'!DT4:DT34,"六本木ー夜勤")+COUNTIF('11月'!DY4:DY34,"六本木ー夜勤")+COUNTIF('11月'!ED4:ED34,"六本木ー夜勤")+COUNTIF('11月'!EI4:EI34,"六本木ー夜勤")+COUNTIF('11月'!EN4:EN34,"六本木ー夜勤")+COUNTIF('11月'!ES4:ES34,"六本木ー夜勤"))</f>
        <v>0</v>
      </c>
      <c r="C189" s="76">
        <f>IF($A$189="",0,COUNTIF('11月'!E4:E34,$A$189)+COUNTIF('11月'!J4:J34,$A$189)+COUNTIF('11月'!O4:O34,$A$189)+COUNTIF('11月'!T4:T34,$A$189)+COUNTIF('11月'!Y4:Y34,$A$189)+COUNTIF('11月'!AD4:AD34,$A$189)+COUNTIF('11月'!AI4:AI34,$A$189)+COUNTIF('11月'!AN4:AN34,$A$189)+COUNTIF('11月'!AS4:AS34,$A$189)+COUNTIF('11月'!AX4:AX34,$A$189)+COUNTIF('11月'!BC4:BC34,$A$189)+COUNTIF('11月'!BH4:BH34,$A$189)+COUNTIF('11月'!BM4:BM34,$A$189)+COUNTIF('11月'!BR4:BR34,$A$189)+COUNTIF('11月'!BW4:BW34,$A$189)+COUNTIF('11月'!CB4:CB34,$A$189)+COUNTIF('11月'!CG4:CG34,$A$189)+COUNTIF('11月'!CL4:CL34,$A$189)+COUNTIF('11月'!CQ4:CQ34,$A$189)+COUNTIF('11月'!CV4:CV34,$A$189)+COUNTIF('11月'!DA4:DA34,$A$189)+COUNTIF('11月'!DF4:DF34,$A$189)+COUNTIF('11月'!DK4:DK34,$A$189)+COUNTIF('11月'!DP4:DP34,$A$189)+COUNTIF('11月'!DU4:DU34,$A$189)+COUNTIF('11月'!DZ4:DZ34,$A$189)+COUNTIF('11月'!EE4:EE34,$A$189)+COUNTIF('11月'!EJ4:EJ34,$A$189)+COUNTIF('11月'!EO4:EO34,$A$189)+COUNTIF('11月'!ET4:ET34,$A$189)+COUNTIF('11月'!E4:E34,"六本木-夜勤")+COUNTIF('11月'!J4:J34,"六本木-夜勤")+COUNTIF('11月'!O4:O34,"六本木-夜勤")+COUNTIF('11月'!T4:T34,"六本木-夜勤")+COUNTIF('11月'!Y4:Y34,"六本木-夜勤")+COUNTIF('11月'!AD4:AD34,"六本木-夜勤")+COUNTIF('11月'!AI4:AI34,"六本木-夜勤")+COUNTIF('11月'!AN4:AN34,"六本木-夜勤")+COUNTIF('11月'!AS4:AS34,"六本木-夜勤")+COUNTIF('11月'!AX4:AX34,"六本木-夜勤")+COUNTIF('11月'!BC4:BC34,"六本木-夜勤")+COUNTIF('11月'!BH4:BH34,"六本木-夜勤")+COUNTIF('11月'!BM4:BM34,"六本木-夜勤")+COUNTIF('11月'!BR4:BR34,"六本木-夜勤")+COUNTIF('11月'!BW4:BW34,"六本木-夜勤")+COUNTIF('11月'!CB4:CB34,"六本木-夜勤")+COUNTIF('11月'!CG4:CG34,"六本木-夜勤")+COUNTIF('11月'!CL4:CL34,"六本木-夜勤")+COUNTIF('11月'!CQ4:CQ34,"六本木-夜勤")+COUNTIF('11月'!CV4:CV34,"六本木-夜勤")+COUNTIF('11月'!DA4:DA34,"六本木-夜勤")+COUNTIF('11月'!DF4:DF34,"六本木-夜勤")+COUNTIF('11月'!DK4:DK34,"六本木-夜勤")+COUNTIF('11月'!DP4:DP34,"六本木-夜勤")+COUNTIF('11月'!DU4:DU34,"六本木-夜勤")+COUNTIF('11月'!DZ4:DZ34,"六本木-夜勤")+COUNTIF('11月'!EE4:EE34,"六本木-夜勤")+COUNTIF('11月'!EJ4:EJ34,"六本木-夜勤")+COUNTIF('11月'!EO4:EO34,"六本木-夜勤")+COUNTIF('11月'!ET4:ET34,"六本木-夜勤")+COUNTIF('11月'!E4:E34,"六本木ー夜勤")+COUNTIF('11月'!J4:J34,"六本木ー夜勤")+COUNTIF('11月'!O4:O34,"六本木ー夜勤")+COUNTIF('11月'!T4:T34,"六本木ー夜勤")+COUNTIF('11月'!Y4:Y34,"六本木ー夜勤")+COUNTIF('11月'!AD4:AD34,"六本木ー夜勤")+COUNTIF('11月'!AI4:AI34,"六本木ー夜勤")+COUNTIF('11月'!AN4:AN34,"六本木ー夜勤")+COUNTIF('11月'!AS4:AS34,"六本木ー夜勤")+COUNTIF('11月'!AX4:AX34,"六本木ー夜勤")+COUNTIF('11月'!BC4:BC34,"六本木ー夜勤")+COUNTIF('11月'!BH4:BH34,"六本木ー夜勤")+COUNTIF('11月'!BM4:BM34,"六本木ー夜勤")+COUNTIF('11月'!BR4:BR34,"六本木ー夜勤")+COUNTIF('11月'!BW4:BW34,"六本木ー夜勤")+COUNTIF('11月'!CB4:CB34,"六本木ー夜勤")+COUNTIF('11月'!CG4:CG34,"六本木ー夜勤")+COUNTIF('11月'!CL4:CL34,"六本木ー夜勤")+COUNTIF('11月'!CQ4:CQ34,"六本木ー夜勤")+COUNTIF('11月'!CV4:CV34,"六本木ー夜勤")+COUNTIF('11月'!DA4:DA34,"六本木ー夜勤")+COUNTIF('11月'!DF4:DF34,"六本木ー夜勤")+COUNTIF('11月'!DK4:DK34,"六本木ー夜勤")+COUNTIF('11月'!DP4:DP34,"六本木ー夜勤")+COUNTIF('11月'!DU4:DU34,"六本木ー夜勤")+COUNTIF('11月'!DZ4:DZ34,"六本木ー夜勤")+COUNTIF('11月'!EE4:EE34,"六本木ー夜勤")+COUNTIF('11月'!EJ4:EJ34,"六本木ー夜勤")+COUNTIF('11月'!EO4:EO34,"六本木ー夜勤")+COUNTIF('11月'!ET4:ET34,"六本木ー夜勤"))</f>
        <v>0</v>
      </c>
      <c r="D189" s="65">
        <f>IF($A$189="",0,B189+C189)</f>
        <v>0</v>
      </c>
    </row>
    <row r="190" spans="1:4" ht="18.95" customHeight="1">
      <c r="A190" s="77">
        <f>IFERROR(現場マスタ!$C$11,"")</f>
        <v>0</v>
      </c>
      <c r="B190" s="76">
        <v>0</v>
      </c>
      <c r="C190" s="76">
        <v>0</v>
      </c>
      <c r="D190" s="65">
        <v>0</v>
      </c>
    </row>
    <row r="191" spans="1:4" ht="18.95" customHeight="1">
      <c r="A191" s="77">
        <f>IFERROR(現場マスタ!$C$12,"")</f>
        <v>0</v>
      </c>
      <c r="B191" s="76">
        <f>IF($A$191="",0,COUNTIF('11月'!D4:D34,$A$191)+COUNTIF('11月'!I4:I34,$A$191)+COUNTIF('11月'!N4:N34,$A$191)+COUNTIF('11月'!S4:S34,$A$191)+COUNTIF('11月'!X4:X34,$A$191)+COUNTIF('11月'!AC4:AC34,$A$191)+COUNTIF('11月'!AH4:AH34,$A$191)+COUNTIF('11月'!AM4:AM34,$A$191)+COUNTIF('11月'!AR4:AR34,$A$191)+COUNTIF('11月'!AW4:AW34,$A$191)+COUNTIF('11月'!BB4:BB34,$A$191)+COUNTIF('11月'!BG4:BG34,$A$191)+COUNTIF('11月'!BL4:BL34,$A$191)+COUNTIF('11月'!BQ4:BQ34,$A$191)+COUNTIF('11月'!BV4:BV34,$A$191)+COUNTIF('11月'!CA4:CA34,$A$191)+COUNTIF('11月'!CF4:CF34,$A$191)+COUNTIF('11月'!CK4:CK34,$A$191)+COUNTIF('11月'!CP4:CP34,$A$191)+COUNTIF('11月'!CU4:CU34,$A$191)+COUNTIF('11月'!CZ4:CZ34,$A$191)+COUNTIF('11月'!DE4:DE34,$A$191)+COUNTIF('11月'!DJ4:DJ34,$A$191)+COUNTIF('11月'!DO4:DO34,$A$191)+COUNTIF('11月'!DT4:DT34,$A$191)+COUNTIF('11月'!DY4:DY34,$A$191)+COUNTIF('11月'!ED4:ED34,$A$191)+COUNTIF('11月'!EI4:EI34,$A$191)+COUNTIF('11月'!EN4:EN34,$A$191)+COUNTIF('11月'!ES4:ES34,$A$191))</f>
        <v>0</v>
      </c>
      <c r="C191" s="76">
        <f>IF($A$191="",0,COUNTIF('11月'!E4:E34,$A$191)+COUNTIF('11月'!J4:J34,$A$191)+COUNTIF('11月'!O4:O34,$A$191)+COUNTIF('11月'!T4:T34,$A$191)+COUNTIF('11月'!Y4:Y34,$A$191)+COUNTIF('11月'!AD4:AD34,$A$191)+COUNTIF('11月'!AI4:AI34,$A$191)+COUNTIF('11月'!AN4:AN34,$A$191)+COUNTIF('11月'!AS4:AS34,$A$191)+COUNTIF('11月'!AX4:AX34,$A$191)+COUNTIF('11月'!BC4:BC34,$A$191)+COUNTIF('11月'!BH4:BH34,$A$191)+COUNTIF('11月'!BM4:BM34,$A$191)+COUNTIF('11月'!BR4:BR34,$A$191)+COUNTIF('11月'!BW4:BW34,$A$191)+COUNTIF('11月'!CB4:CB34,$A$191)+COUNTIF('11月'!CG4:CG34,$A$191)+COUNTIF('11月'!CL4:CL34,$A$191)+COUNTIF('11月'!CQ4:CQ34,$A$191)+COUNTIF('11月'!CV4:CV34,$A$191)+COUNTIF('11月'!DA4:DA34,$A$191)+COUNTIF('11月'!DF4:DF34,$A$191)+COUNTIF('11月'!DK4:DK34,$A$191)+COUNTIF('11月'!DP4:DP34,$A$191)+COUNTIF('11月'!DU4:DU34,$A$191)+COUNTIF('11月'!DZ4:DZ34,$A$191)+COUNTIF('11月'!EE4:EE34,$A$191)+COUNTIF('11月'!EJ4:EJ34,$A$191)+COUNTIF('11月'!EO4:EO34,$A$191)+COUNTIF('11月'!ET4:ET34,$A$191))</f>
        <v>0</v>
      </c>
      <c r="D191" s="65">
        <f>IF($A$191="",0,B191+C191)</f>
        <v>0</v>
      </c>
    </row>
    <row r="192" spans="1:4" ht="18.95" customHeight="1">
      <c r="A192" s="77">
        <f>IFERROR(現場マスタ!$C$14,"")</f>
        <v>0</v>
      </c>
      <c r="B192" s="76">
        <v>0</v>
      </c>
      <c r="C192" s="76">
        <v>0</v>
      </c>
      <c r="D192" s="65">
        <v>0</v>
      </c>
    </row>
    <row r="193" spans="1:4" ht="18.95" customHeight="1">
      <c r="A193" s="77">
        <f>IFERROR(現場マスタ!$C$15,"")</f>
        <v>0</v>
      </c>
      <c r="B193" s="76">
        <v>0</v>
      </c>
      <c r="C193" s="76">
        <v>0</v>
      </c>
      <c r="D193" s="65">
        <v>0</v>
      </c>
    </row>
    <row r="194" spans="1:4" ht="18.95" customHeight="1">
      <c r="A194" s="77">
        <f>IFERROR(現場マスタ!$C$16,"")</f>
        <v>0</v>
      </c>
      <c r="B194" s="76">
        <f>IF($A$194="",0,COUNTIF('11月'!D4:D34,$A$194)+COUNTIF('11月'!I4:I34,$A$194)+COUNTIF('11月'!N4:N34,$A$194)+COUNTIF('11月'!S4:S34,$A$194)+COUNTIF('11月'!X4:X34,$A$194)+COUNTIF('11月'!AC4:AC34,$A$194)+COUNTIF('11月'!AH4:AH34,$A$194)+COUNTIF('11月'!AM4:AM34,$A$194)+COUNTIF('11月'!AR4:AR34,$A$194)+COUNTIF('11月'!AW4:AW34,$A$194)+COUNTIF('11月'!BB4:BB34,$A$194)+COUNTIF('11月'!BG4:BG34,$A$194)+COUNTIF('11月'!BL4:BL34,$A$194)+COUNTIF('11月'!BQ4:BQ34,$A$194)+COUNTIF('11月'!BV4:BV34,$A$194)+COUNTIF('11月'!CA4:CA34,$A$194)+COUNTIF('11月'!CF4:CF34,$A$194)+COUNTIF('11月'!CK4:CK34,$A$194)+COUNTIF('11月'!CP4:CP34,$A$194)+COUNTIF('11月'!CU4:CU34,$A$194)+COUNTIF('11月'!CZ4:CZ34,$A$194)+COUNTIF('11月'!DE4:DE34,$A$194)+COUNTIF('11月'!DJ4:DJ34,$A$194)+COUNTIF('11月'!DO4:DO34,$A$194)+COUNTIF('11月'!DT4:DT34,$A$194)+COUNTIF('11月'!DY4:DY34,$A$194)+COUNTIF('11月'!ED4:ED34,$A$194)+COUNTIF('11月'!EI4:EI34,$A$194)+COUNTIF('11月'!EN4:EN34,$A$194)+COUNTIF('11月'!ES4:ES34,$A$194)+COUNTIF('11月'!D4:D34,"三軒茶屋－夜勤")+COUNTIF('11月'!I4:I34,"三軒茶屋－夜勤")+COUNTIF('11月'!N4:N34,"三軒茶屋－夜勤")+COUNTIF('11月'!S4:S34,"三軒茶屋－夜勤")+COUNTIF('11月'!X4:X34,"三軒茶屋－夜勤")+COUNTIF('11月'!AC4:AC34,"三軒茶屋－夜勤")+COUNTIF('11月'!AH4:AH34,"三軒茶屋－夜勤")+COUNTIF('11月'!AM4:AM34,"三軒茶屋－夜勤")+COUNTIF('11月'!AR4:AR34,"三軒茶屋－夜勤")+COUNTIF('11月'!AW4:AW34,"三軒茶屋－夜勤")+COUNTIF('11月'!BB4:BB34,"三軒茶屋－夜勤")+COUNTIF('11月'!BG4:BG34,"三軒茶屋－夜勤")+COUNTIF('11月'!BL4:BL34,"三軒茶屋－夜勤")+COUNTIF('11月'!BQ4:BQ34,"三軒茶屋－夜勤")+COUNTIF('11月'!BV4:BV34,"三軒茶屋－夜勤")+COUNTIF('11月'!CA4:CA34,"三軒茶屋－夜勤")+COUNTIF('11月'!CF4:CF34,"三軒茶屋－夜勤")+COUNTIF('11月'!CK4:CK34,"三軒茶屋－夜勤")+COUNTIF('11月'!CP4:CP34,"三軒茶屋－夜勤")+COUNTIF('11月'!CU4:CU34,"三軒茶屋－夜勤")+COUNTIF('11月'!CZ4:CZ34,"三軒茶屋－夜勤")+COUNTIF('11月'!DE4:DE34,"三軒茶屋－夜勤")+COUNTIF('11月'!DJ4:DJ34,"三軒茶屋－夜勤")+COUNTIF('11月'!DO4:DO34,"三軒茶屋－夜勤")+COUNTIF('11月'!DT4:DT34,"三軒茶屋－夜勤")+COUNTIF('11月'!DY4:DY34,"三軒茶屋－夜勤")+COUNTIF('11月'!ED4:ED34,"三軒茶屋－夜勤")+COUNTIF('11月'!EI4:EI34,"三軒茶屋－夜勤")+COUNTIF('11月'!EN4:EN34,"三軒茶屋－夜勤")+COUNTIF('11月'!ES4:ES34,"三軒茶屋－夜勤"))</f>
        <v>0</v>
      </c>
      <c r="C194" s="76">
        <f>IF($A$194="",0,COUNTIF('11月'!E4:E34,$A$194)+COUNTIF('11月'!J4:J34,$A$194)+COUNTIF('11月'!O4:O34,$A$194)+COUNTIF('11月'!T4:T34,$A$194)+COUNTIF('11月'!Y4:Y34,$A$194)+COUNTIF('11月'!AD4:AD34,$A$194)+COUNTIF('11月'!AI4:AI34,$A$194)+COUNTIF('11月'!AN4:AN34,$A$194)+COUNTIF('11月'!AS4:AS34,$A$194)+COUNTIF('11月'!AX4:AX34,$A$194)+COUNTIF('11月'!BC4:BC34,$A$194)+COUNTIF('11月'!BH4:BH34,$A$194)+COUNTIF('11月'!BM4:BM34,$A$194)+COUNTIF('11月'!BR4:BR34,$A$194)+COUNTIF('11月'!BW4:BW34,$A$194)+COUNTIF('11月'!CB4:CB34,$A$194)+COUNTIF('11月'!CG4:CG34,$A$194)+COUNTIF('11月'!CL4:CL34,$A$194)+COUNTIF('11月'!CQ4:CQ34,$A$194)+COUNTIF('11月'!CV4:CV34,$A$194)+COUNTIF('11月'!DA4:DA34,$A$194)+COUNTIF('11月'!DF4:DF34,$A$194)+COUNTIF('11月'!DK4:DK34,$A$194)+COUNTIF('11月'!DP4:DP34,$A$194)+COUNTIF('11月'!DU4:DU34,$A$194)+COUNTIF('11月'!DZ4:DZ34,$A$194)+COUNTIF('11月'!EE4:EE34,$A$194)+COUNTIF('11月'!EJ4:EJ34,$A$194)+COUNTIF('11月'!EO4:EO34,$A$194)+COUNTIF('11月'!ET4:ET34,$A$194)+COUNTIF('11月'!E4:E34,"三軒茶屋－夜勤")+COUNTIF('11月'!J4:J34,"三軒茶屋－夜勤")+COUNTIF('11月'!O4:O34,"三軒茶屋－夜勤")+COUNTIF('11月'!T4:T34,"三軒茶屋－夜勤")+COUNTIF('11月'!Y4:Y34,"三軒茶屋－夜勤")+COUNTIF('11月'!AD4:AD34,"三軒茶屋－夜勤")+COUNTIF('11月'!AI4:AI34,"三軒茶屋－夜勤")+COUNTIF('11月'!AN4:AN34,"三軒茶屋－夜勤")+COUNTIF('11月'!AS4:AS34,"三軒茶屋－夜勤")+COUNTIF('11月'!AX4:AX34,"三軒茶屋－夜勤")+COUNTIF('11月'!BC4:BC34,"三軒茶屋－夜勤")+COUNTIF('11月'!BH4:BH34,"三軒茶屋－夜勤")+COUNTIF('11月'!BM4:BM34,"三軒茶屋－夜勤")+COUNTIF('11月'!BR4:BR34,"三軒茶屋－夜勤")+COUNTIF('11月'!BW4:BW34,"三軒茶屋－夜勤")+COUNTIF('11月'!CB4:CB34,"三軒茶屋－夜勤")+COUNTIF('11月'!CG4:CG34,"三軒茶屋－夜勤")+COUNTIF('11月'!CL4:CL34,"三軒茶屋－夜勤")+COUNTIF('11月'!CQ4:CQ34,"三軒茶屋－夜勤")+COUNTIF('11月'!CV4:CV34,"三軒茶屋－夜勤")+COUNTIF('11月'!DA4:DA34,"三軒茶屋－夜勤")+COUNTIF('11月'!DF4:DF34,"三軒茶屋－夜勤")+COUNTIF('11月'!DK4:DK34,"三軒茶屋－夜勤")+COUNTIF('11月'!DP4:DP34,"三軒茶屋－夜勤")+COUNTIF('11月'!DU4:DU34,"三軒茶屋－夜勤")+COUNTIF('11月'!DZ4:DZ34,"三軒茶屋－夜勤")+COUNTIF('11月'!EE4:EE34,"三軒茶屋－夜勤")+COUNTIF('11月'!EJ4:EJ34,"三軒茶屋－夜勤")+COUNTIF('11月'!EO4:EO34,"三軒茶屋－夜勤")+COUNTIF('11月'!ET4:ET34,"三軒茶屋－夜勤"))</f>
        <v>0</v>
      </c>
      <c r="D194" s="65">
        <f>IF($A$194="",0,B194+C194)</f>
        <v>0</v>
      </c>
    </row>
    <row r="195" spans="1:4" ht="18.95" customHeight="1">
      <c r="A195" s="77">
        <f>IFERROR(現場マスタ!$C$17,"")</f>
        <v>0</v>
      </c>
      <c r="B195" s="76">
        <f>IF($A$195="",0,COUNTIF('11月'!D4:D34,$A$195)+COUNTIF('11月'!I4:I34,$A$195)+COUNTIF('11月'!N4:N34,$A$195)+COUNTIF('11月'!S4:S34,$A$195)+COUNTIF('11月'!X4:X34,$A$195)+COUNTIF('11月'!AC4:AC34,$A$195)+COUNTIF('11月'!AH4:AH34,$A$195)+COUNTIF('11月'!AM4:AM34,$A$195)+COUNTIF('11月'!AR4:AR34,$A$195)+COUNTIF('11月'!AW4:AW34,$A$195)+COUNTIF('11月'!BB4:BB34,$A$195)+COUNTIF('11月'!BG4:BG34,$A$195)+COUNTIF('11月'!BL4:BL34,$A$195)+COUNTIF('11月'!BQ4:BQ34,$A$195)+COUNTIF('11月'!BV4:BV34,$A$195)+COUNTIF('11月'!CA4:CA34,$A$195)+COUNTIF('11月'!CF4:CF34,$A$195)+COUNTIF('11月'!CK4:CK34,$A$195)+COUNTIF('11月'!CP4:CP34,$A$195)+COUNTIF('11月'!CU4:CU34,$A$195)+COUNTIF('11月'!CZ4:CZ34,$A$195)+COUNTIF('11月'!DE4:DE34,$A$195)+COUNTIF('11月'!DJ4:DJ34,$A$195)+COUNTIF('11月'!DO4:DO34,$A$195)+COUNTIF('11月'!DT4:DT34,$A$195)+COUNTIF('11月'!DY4:DY34,$A$195)+COUNTIF('11月'!ED4:ED34,$A$195)+COUNTIF('11月'!EI4:EI34,$A$195)+COUNTIF('11月'!EN4:EN34,$A$195)+COUNTIF('11月'!ES4:ES34,$A$195)+COUNTIF('11月'!D4:D34,"荻窪ー夜勤")+COUNTIF('11月'!I4:I34,"荻窪ー夜勤")+COUNTIF('11月'!N4:N34,"荻窪ー夜勤")+COUNTIF('11月'!S4:S34,"荻窪ー夜勤")+COUNTIF('11月'!X4:X34,"荻窪ー夜勤")+COUNTIF('11月'!AC4:AC34,"荻窪ー夜勤")+COUNTIF('11月'!AH4:AH34,"荻窪ー夜勤")+COUNTIF('11月'!AM4:AM34,"荻窪ー夜勤")+COUNTIF('11月'!AR4:AR34,"荻窪ー夜勤")+COUNTIF('11月'!AW4:AW34,"荻窪ー夜勤")+COUNTIF('11月'!BB4:BB34,"荻窪ー夜勤")+COUNTIF('11月'!BG4:BG34,"荻窪ー夜勤")+COUNTIF('11月'!BL4:BL34,"荻窪ー夜勤")+COUNTIF('11月'!BQ4:BQ34,"荻窪ー夜勤")+COUNTIF('11月'!BV4:BV34,"荻窪ー夜勤")+COUNTIF('11月'!CA4:CA34,"荻窪ー夜勤")+COUNTIF('11月'!CF4:CF34,"荻窪ー夜勤")+COUNTIF('11月'!CK4:CK34,"荻窪ー夜勤")+COUNTIF('11月'!CP4:CP34,"荻窪ー夜勤")+COUNTIF('11月'!CU4:CU34,"荻窪ー夜勤")+COUNTIF('11月'!CZ4:CZ34,"荻窪ー夜勤")+COUNTIF('11月'!DE4:DE34,"荻窪ー夜勤")+COUNTIF('11月'!DJ4:DJ34,"荻窪ー夜勤")+COUNTIF('11月'!DO4:DO34,"荻窪ー夜勤")+COUNTIF('11月'!DT4:DT34,"荻窪ー夜勤")+COUNTIF('11月'!DY4:DY34,"荻窪ー夜勤")+COUNTIF('11月'!ED4:ED34,"荻窪ー夜勤")+COUNTIF('11月'!EI4:EI34,"荻窪ー夜勤")+COUNTIF('11月'!EN4:EN34,"荻窪ー夜勤")+COUNTIF('11月'!ES4:ES34,"荻窪ー夜勤"))</f>
        <v>0</v>
      </c>
      <c r="C195" s="76">
        <f>IF($A$195="",0,COUNTIF('11月'!E4:E34,$A$195)+COUNTIF('11月'!J4:J34,$A$195)+COUNTIF('11月'!O4:O34,$A$195)+COUNTIF('11月'!T4:T34,$A$195)+COUNTIF('11月'!Y4:Y34,$A$195)+COUNTIF('11月'!AD4:AD34,$A$195)+COUNTIF('11月'!AI4:AI34,$A$195)+COUNTIF('11月'!AN4:AN34,$A$195)+COUNTIF('11月'!AS4:AS34,$A$195)+COUNTIF('11月'!AX4:AX34,$A$195)+COUNTIF('11月'!BC4:BC34,$A$195)+COUNTIF('11月'!BH4:BH34,$A$195)+COUNTIF('11月'!BM4:BM34,$A$195)+COUNTIF('11月'!BR4:BR34,$A$195)+COUNTIF('11月'!BW4:BW34,$A$195)+COUNTIF('11月'!CB4:CB34,$A$195)+COUNTIF('11月'!CG4:CG34,$A$195)+COUNTIF('11月'!CL4:CL34,$A$195)+COUNTIF('11月'!CQ4:CQ34,$A$195)+COUNTIF('11月'!CV4:CV34,$A$195)+COUNTIF('11月'!DA4:DA34,$A$195)+COUNTIF('11月'!DF4:DF34,$A$195)+COUNTIF('11月'!DK4:DK34,$A$195)+COUNTIF('11月'!DP4:DP34,$A$195)+COUNTIF('11月'!DU4:DU34,$A$195)+COUNTIF('11月'!DZ4:DZ34,$A$195)+COUNTIF('11月'!EE4:EE34,$A$195)+COUNTIF('11月'!EJ4:EJ34,$A$195)+COUNTIF('11月'!EO4:EO34,$A$195)+COUNTIF('11月'!ET4:ET34,$A$195)+COUNTIF('11月'!E4:E34,"荻窪ー夜勤")+COUNTIF('11月'!J4:J34,"荻窪ー夜勤")+COUNTIF('11月'!O4:O34,"荻窪ー夜勤")+COUNTIF('11月'!T4:T34,"荻窪ー夜勤")+COUNTIF('11月'!Y4:Y34,"荻窪ー夜勤")+COUNTIF('11月'!AD4:AD34,"荻窪ー夜勤")+COUNTIF('11月'!AI4:AI34,"荻窪ー夜勤")+COUNTIF('11月'!AN4:AN34,"荻窪ー夜勤")+COUNTIF('11月'!AS4:AS34,"荻窪ー夜勤")+COUNTIF('11月'!AX4:AX34,"荻窪ー夜勤")+COUNTIF('11月'!BC4:BC34,"荻窪ー夜勤")+COUNTIF('11月'!BH4:BH34,"荻窪ー夜勤")+COUNTIF('11月'!BM4:BM34,"荻窪ー夜勤")+COUNTIF('11月'!BR4:BR34,"荻窪ー夜勤")+COUNTIF('11月'!BW4:BW34,"荻窪ー夜勤")+COUNTIF('11月'!CB4:CB34,"荻窪ー夜勤")+COUNTIF('11月'!CG4:CG34,"荻窪ー夜勤")+COUNTIF('11月'!CL4:CL34,"荻窪ー夜勤")+COUNTIF('11月'!CQ4:CQ34,"荻窪ー夜勤")+COUNTIF('11月'!CV4:CV34,"荻窪ー夜勤")+COUNTIF('11月'!DA4:DA34,"荻窪ー夜勤")+COUNTIF('11月'!DF4:DF34,"荻窪ー夜勤")+COUNTIF('11月'!DK4:DK34,"荻窪ー夜勤")+COUNTIF('11月'!DP4:DP34,"荻窪ー夜勤")+COUNTIF('11月'!DU4:DU34,"荻窪ー夜勤")+COUNTIF('11月'!DZ4:DZ34,"荻窪ー夜勤")+COUNTIF('11月'!EE4:EE34,"荻窪ー夜勤")+COUNTIF('11月'!EJ4:EJ34,"荻窪ー夜勤")+COUNTIF('11月'!EO4:EO34,"荻窪ー夜勤")+COUNTIF('11月'!ET4:ET34,"荻窪ー夜勤"))</f>
        <v>0</v>
      </c>
      <c r="D195" s="65">
        <f>IF($A$195="",0,B195+C195)</f>
        <v>0</v>
      </c>
    </row>
    <row r="196" spans="1:4" ht="18.95" customHeight="1">
      <c r="A196" s="77">
        <f>IFERROR(現場マスタ!$C$18,"")</f>
        <v>0</v>
      </c>
      <c r="B196" s="76">
        <f>IF($A$196="",0,COUNTIF('11月'!D4:D34,$A$196)+COUNTIF('11月'!I4:I34,$A$196)+COUNTIF('11月'!N4:N34,$A$196)+COUNTIF('11月'!S4:S34,$A$196)+COUNTIF('11月'!X4:X34,$A$196)+COUNTIF('11月'!AC4:AC34,$A$196)+COUNTIF('11月'!AH4:AH34,$A$196)+COUNTIF('11月'!AM4:AM34,$A$196)+COUNTIF('11月'!AR4:AR34,$A$196)+COUNTIF('11月'!AW4:AW34,$A$196)+COUNTIF('11月'!BB4:BB34,$A$196)+COUNTIF('11月'!BG4:BG34,$A$196)+COUNTIF('11月'!BL4:BL34,$A$196)+COUNTIF('11月'!BQ4:BQ34,$A$196)+COUNTIF('11月'!BV4:BV34,$A$196)+COUNTIF('11月'!CA4:CA34,$A$196)+COUNTIF('11月'!CF4:CF34,$A$196)+COUNTIF('11月'!CK4:CK34,$A$196)+COUNTIF('11月'!CP4:CP34,$A$196)+COUNTIF('11月'!CU4:CU34,$A$196)+COUNTIF('11月'!CZ4:CZ34,$A$196)+COUNTIF('11月'!DE4:DE34,$A$196)+COUNTIF('11月'!DJ4:DJ34,$A$196)+COUNTIF('11月'!DO4:DO34,$A$196)+COUNTIF('11月'!DT4:DT34,$A$196)+COUNTIF('11月'!DY4:DY34,$A$196)+COUNTIF('11月'!ED4:ED34,$A$196)+COUNTIF('11月'!EI4:EI34,$A$196)+COUNTIF('11月'!EN4:EN34,$A$196)+COUNTIF('11月'!ES4:ES34,$A$196))</f>
        <v>0</v>
      </c>
      <c r="C196" s="76">
        <f>IF($A$196="",0,COUNTIF('11月'!E4:E34,$A$196)+COUNTIF('11月'!J4:J34,$A$196)+COUNTIF('11月'!O4:O34,$A$196)+COUNTIF('11月'!T4:T34,$A$196)+COUNTIF('11月'!Y4:Y34,$A$196)+COUNTIF('11月'!AD4:AD34,$A$196)+COUNTIF('11月'!AI4:AI34,$A$196)+COUNTIF('11月'!AN4:AN34,$A$196)+COUNTIF('11月'!AS4:AS34,$A$196)+COUNTIF('11月'!AX4:AX34,$A$196)+COUNTIF('11月'!BC4:BC34,$A$196)+COUNTIF('11月'!BH4:BH34,$A$196)+COUNTIF('11月'!BM4:BM34,$A$196)+COUNTIF('11月'!BR4:BR34,$A$196)+COUNTIF('11月'!BW4:BW34,$A$196)+COUNTIF('11月'!CB4:CB34,$A$196)+COUNTIF('11月'!CG4:CG34,$A$196)+COUNTIF('11月'!CL4:CL34,$A$196)+COUNTIF('11月'!CQ4:CQ34,$A$196)+COUNTIF('11月'!CV4:CV34,$A$196)+COUNTIF('11月'!DA4:DA34,$A$196)+COUNTIF('11月'!DF4:DF34,$A$196)+COUNTIF('11月'!DK4:DK34,$A$196)+COUNTIF('11月'!DP4:DP34,$A$196)+COUNTIF('11月'!DU4:DU34,$A$196)+COUNTIF('11月'!DZ4:DZ34,$A$196)+COUNTIF('11月'!EE4:EE34,$A$196)+COUNTIF('11月'!EJ4:EJ34,$A$196)+COUNTIF('11月'!EO4:EO34,$A$196)+COUNTIF('11月'!ET4:ET34,$A$196))</f>
        <v>0</v>
      </c>
      <c r="D196" s="65">
        <f>IF($A$196="",0,B196+C196)</f>
        <v>0</v>
      </c>
    </row>
    <row r="197" spans="1:4" ht="18.95" customHeight="1">
      <c r="A197" s="77">
        <f>IFERROR(現場マスタ!$C$20,"")</f>
        <v>0</v>
      </c>
      <c r="B197" s="76">
        <f>IF($A$197="",0,COUNTIF('11月'!D4:D34,$A$197)+COUNTIF('11月'!I4:I34,$A$197)+COUNTIF('11月'!N4:N34,$A$197)+COUNTIF('11月'!S4:S34,$A$197)+COUNTIF('11月'!X4:X34,$A$197)+COUNTIF('11月'!AC4:AC34,$A$197)+COUNTIF('11月'!AH4:AH34,$A$197)+COUNTIF('11月'!AM4:AM34,$A$197)+COUNTIF('11月'!AR4:AR34,$A$197)+COUNTIF('11月'!AW4:AW34,$A$197)+COUNTIF('11月'!BB4:BB34,$A$197)+COUNTIF('11月'!BG4:BG34,$A$197)+COUNTIF('11月'!BL4:BL34,$A$197)+COUNTIF('11月'!BQ4:BQ34,$A$197)+COUNTIF('11月'!BV4:BV34,$A$197)+COUNTIF('11月'!CA4:CA34,$A$197)+COUNTIF('11月'!CF4:CF34,$A$197)+COUNTIF('11月'!CK4:CK34,$A$197)+COUNTIF('11月'!CP4:CP34,$A$197)+COUNTIF('11月'!CU4:CU34,$A$197)+COUNTIF('11月'!CZ4:CZ34,$A$197)+COUNTIF('11月'!DE4:DE34,$A$197)+COUNTIF('11月'!DJ4:DJ34,$A$197)+COUNTIF('11月'!DO4:DO34,$A$197)+COUNTIF('11月'!DT4:DT34,$A$197)+COUNTIF('11月'!DY4:DY34,$A$197)+COUNTIF('11月'!ED4:ED34,$A$197)+COUNTIF('11月'!EI4:EI34,$A$197)+COUNTIF('11月'!EN4:EN34,$A$197)+COUNTIF('11月'!ES4:ES34,$A$197))</f>
        <v>0</v>
      </c>
      <c r="C197" s="76">
        <f>IF($A$197="",0,COUNTIF('11月'!E4:E34,$A$197)+COUNTIF('11月'!J4:J34,$A$197)+COUNTIF('11月'!O4:O34,$A$197)+COUNTIF('11月'!T4:T34,$A$197)+COUNTIF('11月'!Y4:Y34,$A$197)+COUNTIF('11月'!AD4:AD34,$A$197)+COUNTIF('11月'!AI4:AI34,$A$197)+COUNTIF('11月'!AN4:AN34,$A$197)+COUNTIF('11月'!AS4:AS34,$A$197)+COUNTIF('11月'!AX4:AX34,$A$197)+COUNTIF('11月'!BC4:BC34,$A$197)+COUNTIF('11月'!BH4:BH34,$A$197)+COUNTIF('11月'!BM4:BM34,$A$197)+COUNTIF('11月'!BR4:BR34,$A$197)+COUNTIF('11月'!BW4:BW34,$A$197)+COUNTIF('11月'!CB4:CB34,$A$197)+COUNTIF('11月'!CG4:CG34,$A$197)+COUNTIF('11月'!CL4:CL34,$A$197)+COUNTIF('11月'!CQ4:CQ34,$A$197)+COUNTIF('11月'!CV4:CV34,$A$197)+COUNTIF('11月'!DA4:DA34,$A$197)+COUNTIF('11月'!DF4:DF34,$A$197)+COUNTIF('11月'!DK4:DK34,$A$197)+COUNTIF('11月'!DP4:DP34,$A$197)+COUNTIF('11月'!DU4:DU34,$A$197)+COUNTIF('11月'!DZ4:DZ34,$A$197)+COUNTIF('11月'!EE4:EE34,$A$197)+COUNTIF('11月'!EJ4:EJ34,$A$197)+COUNTIF('11月'!EO4:EO34,$A$197)+COUNTIF('11月'!ET4:ET34,$A$197))</f>
        <v>0</v>
      </c>
      <c r="D197" s="65">
        <f>IF($A$197="",0,B197+C197)</f>
        <v>0</v>
      </c>
    </row>
    <row r="198" spans="1:4" ht="18.95" customHeight="1">
      <c r="A198" s="77">
        <f>IFERROR(現場マスタ!$C$21,"")</f>
        <v>0</v>
      </c>
      <c r="B198" s="76">
        <f>IF($A$198="",0,COUNTIF('11月'!D4:D34,$A$198)+COUNTIF('11月'!I4:I34,$A$198)+COUNTIF('11月'!N4:N34,$A$198)+COUNTIF('11月'!S4:S34,$A$198)+COUNTIF('11月'!X4:X34,$A$198)+COUNTIF('11月'!AC4:AC34,$A$198)+COUNTIF('11月'!AH4:AH34,$A$198)+COUNTIF('11月'!AM4:AM34,$A$198)+COUNTIF('11月'!AR4:AR34,$A$198)+COUNTIF('11月'!AW4:AW34,$A$198)+COUNTIF('11月'!BB4:BB34,$A$198)+COUNTIF('11月'!BG4:BG34,$A$198)+COUNTIF('11月'!BL4:BL34,$A$198)+COUNTIF('11月'!BQ4:BQ34,$A$198)+COUNTIF('11月'!BV4:BV34,$A$198)+COUNTIF('11月'!CA4:CA34,$A$198)+COUNTIF('11月'!CF4:CF34,$A$198)+COUNTIF('11月'!CK4:CK34,$A$198)+COUNTIF('11月'!CP4:CP34,$A$198)+COUNTIF('11月'!CU4:CU34,$A$198)+COUNTIF('11月'!CZ4:CZ34,$A$198)+COUNTIF('11月'!DE4:DE34,$A$198)+COUNTIF('11月'!DJ4:DJ34,$A$198)+COUNTIF('11月'!DO4:DO34,$A$198)+COUNTIF('11月'!DT4:DT34,$A$198)+COUNTIF('11月'!DY4:DY34,$A$198)+COUNTIF('11月'!ED4:ED34,$A$198)+COUNTIF('11月'!EI4:EI34,$A$198)+COUNTIF('11月'!EN4:EN34,$A$198)+COUNTIF('11月'!ES4:ES34,$A$198))</f>
        <v>0</v>
      </c>
      <c r="C198" s="76">
        <f>IF($A$198="",0,COUNTIF('11月'!E4:E34,$A$198)+COUNTIF('11月'!J4:J34,$A$198)+COUNTIF('11月'!O4:O34,$A$198)+COUNTIF('11月'!T4:T34,$A$198)+COUNTIF('11月'!Y4:Y34,$A$198)+COUNTIF('11月'!AD4:AD34,$A$198)+COUNTIF('11月'!AI4:AI34,$A$198)+COUNTIF('11月'!AN4:AN34,$A$198)+COUNTIF('11月'!AS4:AS34,$A$198)+COUNTIF('11月'!AX4:AX34,$A$198)+COUNTIF('11月'!BC4:BC34,$A$198)+COUNTIF('11月'!BH4:BH34,$A$198)+COUNTIF('11月'!BM4:BM34,$A$198)+COUNTIF('11月'!BR4:BR34,$A$198)+COUNTIF('11月'!BW4:BW34,$A$198)+COUNTIF('11月'!CB4:CB34,$A$198)+COUNTIF('11月'!CG4:CG34,$A$198)+COUNTIF('11月'!CL4:CL34,$A$198)+COUNTIF('11月'!CQ4:CQ34,$A$198)+COUNTIF('11月'!CV4:CV34,$A$198)+COUNTIF('11月'!DA4:DA34,$A$198)+COUNTIF('11月'!DF4:DF34,$A$198)+COUNTIF('11月'!DK4:DK34,$A$198)+COUNTIF('11月'!DP4:DP34,$A$198)+COUNTIF('11月'!DU4:DU34,$A$198)+COUNTIF('11月'!DZ4:DZ34,$A$198)+COUNTIF('11月'!EE4:EE34,$A$198)+COUNTIF('11月'!EJ4:EJ34,$A$198)+COUNTIF('11月'!EO4:EO34,$A$198)+COUNTIF('11月'!ET4:ET34,$A$198))</f>
        <v>0</v>
      </c>
      <c r="D198" s="65">
        <f>IF($A$198="",0,B198+C198)</f>
        <v>0</v>
      </c>
    </row>
    <row r="199" spans="1:4" ht="18.95" customHeight="1">
      <c r="A199" s="77">
        <f>IFERROR(現場マスタ!$C$22,"")</f>
        <v>0</v>
      </c>
      <c r="B199" s="76">
        <f>IF($A$199="",0,COUNTIF('11月'!D4:D34,$A$199)+COUNTIF('11月'!I4:I34,$A$199)+COUNTIF('11月'!N4:N34,$A$199)+COUNTIF('11月'!S4:S34,$A$199)+COUNTIF('11月'!X4:X34,$A$199)+COUNTIF('11月'!AC4:AC34,$A$199)+COUNTIF('11月'!AH4:AH34,$A$199)+COUNTIF('11月'!AM4:AM34,$A$199)+COUNTIF('11月'!AR4:AR34,$A$199)+COUNTIF('11月'!AW4:AW34,$A$199)+COUNTIF('11月'!BB4:BB34,$A$199)+COUNTIF('11月'!BG4:BG34,$A$199)+COUNTIF('11月'!BL4:BL34,$A$199)+COUNTIF('11月'!BQ4:BQ34,$A$199)+COUNTIF('11月'!BV4:BV34,$A$199)+COUNTIF('11月'!CA4:CA34,$A$199)+COUNTIF('11月'!CF4:CF34,$A$199)+COUNTIF('11月'!CK4:CK34,$A$199)+COUNTIF('11月'!CP4:CP34,$A$199)+COUNTIF('11月'!CU4:CU34,$A$199)+COUNTIF('11月'!CZ4:CZ34,$A$199)+COUNTIF('11月'!DE4:DE34,$A$199)+COUNTIF('11月'!DJ4:DJ34,$A$199)+COUNTIF('11月'!DO4:DO34,$A$199)+COUNTIF('11月'!DT4:DT34,$A$199)+COUNTIF('11月'!DY4:DY34,$A$199)+COUNTIF('11月'!ED4:ED34,$A$199)+COUNTIF('11月'!EI4:EI34,$A$199)+COUNTIF('11月'!EN4:EN34,$A$199)+COUNTIF('11月'!ES4:ES34,$A$199))</f>
        <v>0</v>
      </c>
      <c r="C199" s="76">
        <f>IF($A$199="",0,COUNTIF('11月'!E4:E34,$A$199)+COUNTIF('11月'!J4:J34,$A$199)+COUNTIF('11月'!O4:O34,$A$199)+COUNTIF('11月'!T4:T34,$A$199)+COUNTIF('11月'!Y4:Y34,$A$199)+COUNTIF('11月'!AD4:AD34,$A$199)+COUNTIF('11月'!AI4:AI34,$A$199)+COUNTIF('11月'!AN4:AN34,$A$199)+COUNTIF('11月'!AS4:AS34,$A$199)+COUNTIF('11月'!AX4:AX34,$A$199)+COUNTIF('11月'!BC4:BC34,$A$199)+COUNTIF('11月'!BH4:BH34,$A$199)+COUNTIF('11月'!BM4:BM34,$A$199)+COUNTIF('11月'!BR4:BR34,$A$199)+COUNTIF('11月'!BW4:BW34,$A$199)+COUNTIF('11月'!CB4:CB34,$A$199)+COUNTIF('11月'!CG4:CG34,$A$199)+COUNTIF('11月'!CL4:CL34,$A$199)+COUNTIF('11月'!CQ4:CQ34,$A$199)+COUNTIF('11月'!CV4:CV34,$A$199)+COUNTIF('11月'!DA4:DA34,$A$199)+COUNTIF('11月'!DF4:DF34,$A$199)+COUNTIF('11月'!DK4:DK34,$A$199)+COUNTIF('11月'!DP4:DP34,$A$199)+COUNTIF('11月'!DU4:DU34,$A$199)+COUNTIF('11月'!DZ4:DZ34,$A$199)+COUNTIF('11月'!EE4:EE34,$A$199)+COUNTIF('11月'!EJ4:EJ34,$A$199)+COUNTIF('11月'!EO4:EO34,$A$199)+COUNTIF('11月'!ET4:ET34,$A$199))</f>
        <v>0</v>
      </c>
      <c r="D199" s="65">
        <f>IF($A$199="",0,B199+C199)</f>
        <v>0</v>
      </c>
    </row>
    <row r="200" spans="1:4" ht="9.9499999999999993" customHeight="1"/>
    <row r="201" spans="1:4" ht="21.95" customHeight="1">
      <c r="A201" s="112" t="str">
        <f>対象年度&amp;"年 12月"</f>
        <v>2026年 12月</v>
      </c>
      <c r="B201" s="112"/>
      <c r="C201" s="112"/>
      <c r="D201" s="112"/>
    </row>
    <row r="202" spans="1:4" ht="20.100000000000001" customHeight="1">
      <c r="A202" s="60" t="s">
        <v>60</v>
      </c>
      <c r="B202" s="75" t="s">
        <v>110</v>
      </c>
      <c r="C202" s="75" t="s">
        <v>111</v>
      </c>
      <c r="D202" s="65" t="s">
        <v>112</v>
      </c>
    </row>
    <row r="203" spans="1:4" ht="18.95" customHeight="1">
      <c r="A203" s="77" t="str">
        <f>IFERROR(現場マスタ!$C$4,"")</f>
        <v>新宿</v>
      </c>
      <c r="B203" s="76">
        <f>IF($A$203="",0,COUNTIF('12月'!D4:D34,$A$203)+COUNTIF('12月'!I4:I34,$A$203)+COUNTIF('12月'!N4:N34,$A$203)+COUNTIF('12月'!S4:S34,$A$203)+COUNTIF('12月'!X4:X34,$A$203)+COUNTIF('12月'!AC4:AC34,$A$203)+COUNTIF('12月'!AH4:AH34,$A$203)+COUNTIF('12月'!AM4:AM34,$A$203)+COUNTIF('12月'!AR4:AR34,$A$203)+COUNTIF('12月'!AW4:AW34,$A$203)+COUNTIF('12月'!BB4:BB34,$A$203)+COUNTIF('12月'!BG4:BG34,$A$203)+COUNTIF('12月'!BL4:BL34,$A$203)+COUNTIF('12月'!BQ4:BQ34,$A$203)+COUNTIF('12月'!BV4:BV34,$A$203)+COUNTIF('12月'!CA4:CA34,$A$203)+COUNTIF('12月'!CF4:CF34,$A$203)+COUNTIF('12月'!CK4:CK34,$A$203)+COUNTIF('12月'!CP4:CP34,$A$203)+COUNTIF('12月'!CU4:CU34,$A$203)+COUNTIF('12月'!CZ4:CZ34,$A$203)+COUNTIF('12月'!DE4:DE34,$A$203)+COUNTIF('12月'!DJ4:DJ34,$A$203)+COUNTIF('12月'!DO4:DO34,$A$203)+COUNTIF('12月'!DT4:DT34,$A$203)+COUNTIF('12月'!DY4:DY34,$A$203)+COUNTIF('12月'!ED4:ED34,$A$203)+COUNTIF('12月'!EI4:EI34,$A$203)+COUNTIF('12月'!EN4:EN34,$A$203)+COUNTIF('12月'!ES4:ES34,$A$203))</f>
        <v>0</v>
      </c>
      <c r="C203" s="76">
        <f>IF($A$203="",0,COUNTIF('12月'!E4:E34,$A$203)+COUNTIF('12月'!J4:J34,$A$203)+COUNTIF('12月'!O4:O34,$A$203)+COUNTIF('12月'!T4:T34,$A$203)+COUNTIF('12月'!Y4:Y34,$A$203)+COUNTIF('12月'!AD4:AD34,$A$203)+COUNTIF('12月'!AI4:AI34,$A$203)+COUNTIF('12月'!AN4:AN34,$A$203)+COUNTIF('12月'!AS4:AS34,$A$203)+COUNTIF('12月'!AX4:AX34,$A$203)+COUNTIF('12月'!BC4:BC34,$A$203)+COUNTIF('12月'!BH4:BH34,$A$203)+COUNTIF('12月'!BM4:BM34,$A$203)+COUNTIF('12月'!BR4:BR34,$A$203)+COUNTIF('12月'!BW4:BW34,$A$203)+COUNTIF('12月'!CB4:CB34,$A$203)+COUNTIF('12月'!CG4:CG34,$A$203)+COUNTIF('12月'!CL4:CL34,$A$203)+COUNTIF('12月'!CQ4:CQ34,$A$203)+COUNTIF('12月'!CV4:CV34,$A$203)+COUNTIF('12月'!DA4:DA34,$A$203)+COUNTIF('12月'!DF4:DF34,$A$203)+COUNTIF('12月'!DK4:DK34,$A$203)+COUNTIF('12月'!DP4:DP34,$A$203)+COUNTIF('12月'!DU4:DU34,$A$203)+COUNTIF('12月'!DZ4:DZ34,$A$203)+COUNTIF('12月'!EE4:EE34,$A$203)+COUNTIF('12月'!EJ4:EJ34,$A$203)+COUNTIF('12月'!EO4:EO34,$A$203)+COUNTIF('12月'!ET4:ET34,$A$203))</f>
        <v>0</v>
      </c>
      <c r="D203" s="65">
        <f>IF($A$203="",0,B203+C203)</f>
        <v>0</v>
      </c>
    </row>
    <row r="204" spans="1:4" ht="18.95" customHeight="1">
      <c r="A204" s="77" t="str">
        <f>IFERROR(現場マスタ!$C$5,"")</f>
        <v>赤坂</v>
      </c>
      <c r="B204" s="76">
        <f>IF($A$204="",0,COUNTIF('12月'!D4:D34,$A$204)+COUNTIF('12月'!I4:I34,$A$204)+COUNTIF('12月'!N4:N34,$A$204)+COUNTIF('12月'!S4:S34,$A$204)+COUNTIF('12月'!X4:X34,$A$204)+COUNTIF('12月'!AC4:AC34,$A$204)+COUNTIF('12月'!AH4:AH34,$A$204)+COUNTIF('12月'!AM4:AM34,$A$204)+COUNTIF('12月'!AR4:AR34,$A$204)+COUNTIF('12月'!AW4:AW34,$A$204)+COUNTIF('12月'!BB4:BB34,$A$204)+COUNTIF('12月'!BG4:BG34,$A$204)+COUNTIF('12月'!BL4:BL34,$A$204)+COUNTIF('12月'!BQ4:BQ34,$A$204)+COUNTIF('12月'!BV4:BV34,$A$204)+COUNTIF('12月'!CA4:CA34,$A$204)+COUNTIF('12月'!CF4:CF34,$A$204)+COUNTIF('12月'!CK4:CK34,$A$204)+COUNTIF('12月'!CP4:CP34,$A$204)+COUNTIF('12月'!CU4:CU34,$A$204)+COUNTIF('12月'!CZ4:CZ34,$A$204)+COUNTIF('12月'!DE4:DE34,$A$204)+COUNTIF('12月'!DJ4:DJ34,$A$204)+COUNTIF('12月'!DO4:DO34,$A$204)+COUNTIF('12月'!DT4:DT34,$A$204)+COUNTIF('12月'!DY4:DY34,$A$204)+COUNTIF('12月'!ED4:ED34,$A$204)+COUNTIF('12月'!EI4:EI34,$A$204)+COUNTIF('12月'!EN4:EN34,$A$204)+COUNTIF('12月'!ES4:ES34,$A$204))</f>
        <v>0</v>
      </c>
      <c r="C204" s="76">
        <f>IF($A$204="",0,COUNTIF('12月'!E4:E34,$A$204)+COUNTIF('12月'!J4:J34,$A$204)+COUNTIF('12月'!O4:O34,$A$204)+COUNTIF('12月'!T4:T34,$A$204)+COUNTIF('12月'!Y4:Y34,$A$204)+COUNTIF('12月'!AD4:AD34,$A$204)+COUNTIF('12月'!AI4:AI34,$A$204)+COUNTIF('12月'!AN4:AN34,$A$204)+COUNTIF('12月'!AS4:AS34,$A$204)+COUNTIF('12月'!AX4:AX34,$A$204)+COUNTIF('12月'!BC4:BC34,$A$204)+COUNTIF('12月'!BH4:BH34,$A$204)+COUNTIF('12月'!BM4:BM34,$A$204)+COUNTIF('12月'!BR4:BR34,$A$204)+COUNTIF('12月'!BW4:BW34,$A$204)+COUNTIF('12月'!CB4:CB34,$A$204)+COUNTIF('12月'!CG4:CG34,$A$204)+COUNTIF('12月'!CL4:CL34,$A$204)+COUNTIF('12月'!CQ4:CQ34,$A$204)+COUNTIF('12月'!CV4:CV34,$A$204)+COUNTIF('12月'!DA4:DA34,$A$204)+COUNTIF('12月'!DF4:DF34,$A$204)+COUNTIF('12月'!DK4:DK34,$A$204)+COUNTIF('12月'!DP4:DP34,$A$204)+COUNTIF('12月'!DU4:DU34,$A$204)+COUNTIF('12月'!DZ4:DZ34,$A$204)+COUNTIF('12月'!EE4:EE34,$A$204)+COUNTIF('12月'!EJ4:EJ34,$A$204)+COUNTIF('12月'!EO4:EO34,$A$204)+COUNTIF('12月'!ET4:ET34,$A$204))</f>
        <v>0</v>
      </c>
      <c r="D204" s="65">
        <f>IF($A$204="",0,B204+C204)</f>
        <v>0</v>
      </c>
    </row>
    <row r="205" spans="1:4" ht="18.95" customHeight="1">
      <c r="A205" s="77" t="str">
        <f>IFERROR(現場マスタ!$C$6,"")</f>
        <v>渋谷ヒカリエ</v>
      </c>
      <c r="B205" s="76">
        <f>IF($A$205="",0,COUNTIF('12月'!D4:D34,$A$205)+COUNTIF('12月'!I4:I34,$A$205)+COUNTIF('12月'!N4:N34,$A$205)+COUNTIF('12月'!S4:S34,$A$205)+COUNTIF('12月'!X4:X34,$A$205)+COUNTIF('12月'!AC4:AC34,$A$205)+COUNTIF('12月'!AH4:AH34,$A$205)+COUNTIF('12月'!AM4:AM34,$A$205)+COUNTIF('12月'!AR4:AR34,$A$205)+COUNTIF('12月'!AW4:AW34,$A$205)+COUNTIF('12月'!BB4:BB34,$A$205)+COUNTIF('12月'!BG4:BG34,$A$205)+COUNTIF('12月'!BL4:BL34,$A$205)+COUNTIF('12月'!BQ4:BQ34,$A$205)+COUNTIF('12月'!BV4:BV34,$A$205)+COUNTIF('12月'!CA4:CA34,$A$205)+COUNTIF('12月'!CF4:CF34,$A$205)+COUNTIF('12月'!CK4:CK34,$A$205)+COUNTIF('12月'!CP4:CP34,$A$205)+COUNTIF('12月'!CU4:CU34,$A$205)+COUNTIF('12月'!CZ4:CZ34,$A$205)+COUNTIF('12月'!DE4:DE34,$A$205)+COUNTIF('12月'!DJ4:DJ34,$A$205)+COUNTIF('12月'!DO4:DO34,$A$205)+COUNTIF('12月'!DT4:DT34,$A$205)+COUNTIF('12月'!DY4:DY34,$A$205)+COUNTIF('12月'!ED4:ED34,$A$205)+COUNTIF('12月'!EI4:EI34,$A$205)+COUNTIF('12月'!EN4:EN34,$A$205)+COUNTIF('12月'!ES4:ES34,$A$205))</f>
        <v>0</v>
      </c>
      <c r="C205" s="76">
        <f>IF($A$205="",0,COUNTIF('12月'!E4:E34,$A$205)+COUNTIF('12月'!J4:J34,$A$205)+COUNTIF('12月'!O4:O34,$A$205)+COUNTIF('12月'!T4:T34,$A$205)+COUNTIF('12月'!Y4:Y34,$A$205)+COUNTIF('12月'!AD4:AD34,$A$205)+COUNTIF('12月'!AI4:AI34,$A$205)+COUNTIF('12月'!AN4:AN34,$A$205)+COUNTIF('12月'!AS4:AS34,$A$205)+COUNTIF('12月'!AX4:AX34,$A$205)+COUNTIF('12月'!BC4:BC34,$A$205)+COUNTIF('12月'!BH4:BH34,$A$205)+COUNTIF('12月'!BM4:BM34,$A$205)+COUNTIF('12月'!BR4:BR34,$A$205)+COUNTIF('12月'!BW4:BW34,$A$205)+COUNTIF('12月'!CB4:CB34,$A$205)+COUNTIF('12月'!CG4:CG34,$A$205)+COUNTIF('12月'!CL4:CL34,$A$205)+COUNTIF('12月'!CQ4:CQ34,$A$205)+COUNTIF('12月'!CV4:CV34,$A$205)+COUNTIF('12月'!DA4:DA34,$A$205)+COUNTIF('12月'!DF4:DF34,$A$205)+COUNTIF('12月'!DK4:DK34,$A$205)+COUNTIF('12月'!DP4:DP34,$A$205)+COUNTIF('12月'!DU4:DU34,$A$205)+COUNTIF('12月'!DZ4:DZ34,$A$205)+COUNTIF('12月'!EE4:EE34,$A$205)+COUNTIF('12月'!EJ4:EJ34,$A$205)+COUNTIF('12月'!EO4:EO34,$A$205)+COUNTIF('12月'!ET4:ET34,$A$205))</f>
        <v>0</v>
      </c>
      <c r="D205" s="65">
        <f>IF($A$205="",0,B205+C205)</f>
        <v>0</v>
      </c>
    </row>
    <row r="206" spans="1:4" ht="18.95" customHeight="1">
      <c r="A206" s="77" t="str">
        <f>IFERROR(現場マスタ!$C$7,"")</f>
        <v>六本木ヒルズ</v>
      </c>
      <c r="B206" s="76">
        <f>IF($A$206="",0,COUNTIF('12月'!D4:D34,$A$206)+COUNTIF('12月'!I4:I34,$A$206)+COUNTIF('12月'!N4:N34,$A$206)+COUNTIF('12月'!S4:S34,$A$206)+COUNTIF('12月'!X4:X34,$A$206)+COUNTIF('12月'!AC4:AC34,$A$206)+COUNTIF('12月'!AH4:AH34,$A$206)+COUNTIF('12月'!AM4:AM34,$A$206)+COUNTIF('12月'!AR4:AR34,$A$206)+COUNTIF('12月'!AW4:AW34,$A$206)+COUNTIF('12月'!BB4:BB34,$A$206)+COUNTIF('12月'!BG4:BG34,$A$206)+COUNTIF('12月'!BL4:BL34,$A$206)+COUNTIF('12月'!BQ4:BQ34,$A$206)+COUNTIF('12月'!BV4:BV34,$A$206)+COUNTIF('12月'!CA4:CA34,$A$206)+COUNTIF('12月'!CF4:CF34,$A$206)+COUNTIF('12月'!CK4:CK34,$A$206)+COUNTIF('12月'!CP4:CP34,$A$206)+COUNTIF('12月'!CU4:CU34,$A$206)+COUNTIF('12月'!CZ4:CZ34,$A$206)+COUNTIF('12月'!DE4:DE34,$A$206)+COUNTIF('12月'!DJ4:DJ34,$A$206)+COUNTIF('12月'!DO4:DO34,$A$206)+COUNTIF('12月'!DT4:DT34,$A$206)+COUNTIF('12月'!DY4:DY34,$A$206)+COUNTIF('12月'!ED4:ED34,$A$206)+COUNTIF('12月'!EI4:EI34,$A$206)+COUNTIF('12月'!EN4:EN34,$A$206)+COUNTIF('12月'!ES4:ES34,$A$206)+COUNTIF('12月'!D4:D34,"渋谷-夜勤")+COUNTIF('12月'!I4:I34,"渋谷-夜勤")+COUNTIF('12月'!N4:N34,"渋谷-夜勤")+COUNTIF('12月'!S4:S34,"渋谷-夜勤")+COUNTIF('12月'!X4:X34,"渋谷-夜勤")+COUNTIF('12月'!AC4:AC34,"渋谷-夜勤")+COUNTIF('12月'!AH4:AH34,"渋谷-夜勤")+COUNTIF('12月'!AM4:AM34,"渋谷-夜勤")+COUNTIF('12月'!AR4:AR34,"渋谷-夜勤")+COUNTIF('12月'!AW4:AW34,"渋谷-夜勤")+COUNTIF('12月'!BB4:BB34,"渋谷-夜勤")+COUNTIF('12月'!BG4:BG34,"渋谷-夜勤")+COUNTIF('12月'!BL4:BL34,"渋谷-夜勤")+COUNTIF('12月'!BQ4:BQ34,"渋谷-夜勤")+COUNTIF('12月'!BV4:BV34,"渋谷-夜勤")+COUNTIF('12月'!CA4:CA34,"渋谷-夜勤")+COUNTIF('12月'!CF4:CF34,"渋谷-夜勤")+COUNTIF('12月'!CK4:CK34,"渋谷-夜勤")+COUNTIF('12月'!CP4:CP34,"渋谷-夜勤")+COUNTIF('12月'!CU4:CU34,"渋谷-夜勤")+COUNTIF('12月'!CZ4:CZ34,"渋谷-夜勤")+COUNTIF('12月'!DE4:DE34,"渋谷-夜勤")+COUNTIF('12月'!DJ4:DJ34,"渋谷-夜勤")+COUNTIF('12月'!DO4:DO34,"渋谷-夜勤")+COUNTIF('12月'!DT4:DT34,"渋谷-夜勤")+COUNTIF('12月'!DY4:DY34,"渋谷-夜勤")+COUNTIF('12月'!ED4:ED34,"渋谷-夜勤")+COUNTIF('12月'!EI4:EI34,"渋谷-夜勤")+COUNTIF('12月'!EN4:EN34,"渋谷-夜勤")+COUNTIF('12月'!ES4:ES34,"渋谷-夜勤"))</f>
        <v>0</v>
      </c>
      <c r="C206" s="76">
        <f>IF($A$206="",0,COUNTIF('12月'!E4:E34,$A$206)+COUNTIF('12月'!J4:J34,$A$206)+COUNTIF('12月'!O4:O34,$A$206)+COUNTIF('12月'!T4:T34,$A$206)+COUNTIF('12月'!Y4:Y34,$A$206)+COUNTIF('12月'!AD4:AD34,$A$206)+COUNTIF('12月'!AI4:AI34,$A$206)+COUNTIF('12月'!AN4:AN34,$A$206)+COUNTIF('12月'!AS4:AS34,$A$206)+COUNTIF('12月'!AX4:AX34,$A$206)+COUNTIF('12月'!BC4:BC34,$A$206)+COUNTIF('12月'!BH4:BH34,$A$206)+COUNTIF('12月'!BM4:BM34,$A$206)+COUNTIF('12月'!BR4:BR34,$A$206)+COUNTIF('12月'!BW4:BW34,$A$206)+COUNTIF('12月'!CB4:CB34,$A$206)+COUNTIF('12月'!CG4:CG34,$A$206)+COUNTIF('12月'!CL4:CL34,$A$206)+COUNTIF('12月'!CQ4:CQ34,$A$206)+COUNTIF('12月'!CV4:CV34,$A$206)+COUNTIF('12月'!DA4:DA34,$A$206)+COUNTIF('12月'!DF4:DF34,$A$206)+COUNTIF('12月'!DK4:DK34,$A$206)+COUNTIF('12月'!DP4:DP34,$A$206)+COUNTIF('12月'!DU4:DU34,$A$206)+COUNTIF('12月'!DZ4:DZ34,$A$206)+COUNTIF('12月'!EE4:EE34,$A$206)+COUNTIF('12月'!EJ4:EJ34,$A$206)+COUNTIF('12月'!EO4:EO34,$A$206)+COUNTIF('12月'!ET4:ET34,$A$206)+COUNTIF('12月'!E4:E34,"渋谷-夜勤")+COUNTIF('12月'!J4:J34,"渋谷-夜勤")+COUNTIF('12月'!O4:O34,"渋谷-夜勤")+COUNTIF('12月'!T4:T34,"渋谷-夜勤")+COUNTIF('12月'!Y4:Y34,"渋谷-夜勤")+COUNTIF('12月'!AD4:AD34,"渋谷-夜勤")+COUNTIF('12月'!AI4:AI34,"渋谷-夜勤")+COUNTIF('12月'!AN4:AN34,"渋谷-夜勤")+COUNTIF('12月'!AS4:AS34,"渋谷-夜勤")+COUNTIF('12月'!AX4:AX34,"渋谷-夜勤")+COUNTIF('12月'!BC4:BC34,"渋谷-夜勤")+COUNTIF('12月'!BH4:BH34,"渋谷-夜勤")+COUNTIF('12月'!BM4:BM34,"渋谷-夜勤")+COUNTIF('12月'!BR4:BR34,"渋谷-夜勤")+COUNTIF('12月'!BW4:BW34,"渋谷-夜勤")+COUNTIF('12月'!CB4:CB34,"渋谷-夜勤")+COUNTIF('12月'!CG4:CG34,"渋谷-夜勤")+COUNTIF('12月'!CL4:CL34,"渋谷-夜勤")+COUNTIF('12月'!CQ4:CQ34,"渋谷-夜勤")+COUNTIF('12月'!CV4:CV34,"渋谷-夜勤")+COUNTIF('12月'!DA4:DA34,"渋谷-夜勤")+COUNTIF('12月'!DF4:DF34,"渋谷-夜勤")+COUNTIF('12月'!DK4:DK34,"渋谷-夜勤")+COUNTIF('12月'!DP4:DP34,"渋谷-夜勤")+COUNTIF('12月'!DU4:DU34,"渋谷-夜勤")+COUNTIF('12月'!DZ4:DZ34,"渋谷-夜勤")+COUNTIF('12月'!EE4:EE34,"渋谷-夜勤")+COUNTIF('12月'!EJ4:EJ34,"渋谷-夜勤")+COUNTIF('12月'!EO4:EO34,"渋谷-夜勤")+COUNTIF('12月'!ET4:ET34,"渋谷-夜勤"))</f>
        <v>0</v>
      </c>
      <c r="D206" s="65">
        <f>IF($A$206="",0,B206+C206)</f>
        <v>0</v>
      </c>
    </row>
    <row r="207" spans="1:4" ht="18.95" customHeight="1">
      <c r="A207" s="77" t="str">
        <f>IFERROR(現場マスタ!$C$10,"")</f>
        <v>有給</v>
      </c>
      <c r="B207" s="76">
        <f>IF($A$207="",0,COUNTIF('12月'!D4:D34,$A$207)+COUNTIF('12月'!I4:I34,$A$207)+COUNTIF('12月'!N4:N34,$A$207)+COUNTIF('12月'!S4:S34,$A$207)+COUNTIF('12月'!X4:X34,$A$207)+COUNTIF('12月'!AC4:AC34,$A$207)+COUNTIF('12月'!AH4:AH34,$A$207)+COUNTIF('12月'!AM4:AM34,$A$207)+COUNTIF('12月'!AR4:AR34,$A$207)+COUNTIF('12月'!AW4:AW34,$A$207)+COUNTIF('12月'!BB4:BB34,$A$207)+COUNTIF('12月'!BG4:BG34,$A$207)+COUNTIF('12月'!BL4:BL34,$A$207)+COUNTIF('12月'!BQ4:BQ34,$A$207)+COUNTIF('12月'!BV4:BV34,$A$207)+COUNTIF('12月'!CA4:CA34,$A$207)+COUNTIF('12月'!CF4:CF34,$A$207)+COUNTIF('12月'!CK4:CK34,$A$207)+COUNTIF('12月'!CP4:CP34,$A$207)+COUNTIF('12月'!CU4:CU34,$A$207)+COUNTIF('12月'!CZ4:CZ34,$A$207)+COUNTIF('12月'!DE4:DE34,$A$207)+COUNTIF('12月'!DJ4:DJ34,$A$207)+COUNTIF('12月'!DO4:DO34,$A$207)+COUNTIF('12月'!DT4:DT34,$A$207)+COUNTIF('12月'!DY4:DY34,$A$207)+COUNTIF('12月'!ED4:ED34,$A$207)+COUNTIF('12月'!EI4:EI34,$A$207)+COUNTIF('12月'!EN4:EN34,$A$207)+COUNTIF('12月'!ES4:ES34,$A$207)+COUNTIF('12月'!D4:D34,"六本木-夜勤")+COUNTIF('12月'!I4:I34,"六本木-夜勤")+COUNTIF('12月'!N4:N34,"六本木-夜勤")+COUNTIF('12月'!S4:S34,"六本木-夜勤")+COUNTIF('12月'!X4:X34,"六本木-夜勤")+COUNTIF('12月'!AC4:AC34,"六本木-夜勤")+COUNTIF('12月'!AH4:AH34,"六本木-夜勤")+COUNTIF('12月'!AM4:AM34,"六本木-夜勤")+COUNTIF('12月'!AR4:AR34,"六本木-夜勤")+COUNTIF('12月'!AW4:AW34,"六本木-夜勤")+COUNTIF('12月'!BB4:BB34,"六本木-夜勤")+COUNTIF('12月'!BG4:BG34,"六本木-夜勤")+COUNTIF('12月'!BL4:BL34,"六本木-夜勤")+COUNTIF('12月'!BQ4:BQ34,"六本木-夜勤")+COUNTIF('12月'!BV4:BV34,"六本木-夜勤")+COUNTIF('12月'!CA4:CA34,"六本木-夜勤")+COUNTIF('12月'!CF4:CF34,"六本木-夜勤")+COUNTIF('12月'!CK4:CK34,"六本木-夜勤")+COUNTIF('12月'!CP4:CP34,"六本木-夜勤")+COUNTIF('12月'!CU4:CU34,"六本木-夜勤")+COUNTIF('12月'!CZ4:CZ34,"六本木-夜勤")+COUNTIF('12月'!DE4:DE34,"六本木-夜勤")+COUNTIF('12月'!DJ4:DJ34,"六本木-夜勤")+COUNTIF('12月'!DO4:DO34,"六本木-夜勤")+COUNTIF('12月'!DT4:DT34,"六本木-夜勤")+COUNTIF('12月'!DY4:DY34,"六本木-夜勤")+COUNTIF('12月'!ED4:ED34,"六本木-夜勤")+COUNTIF('12月'!EI4:EI34,"六本木-夜勤")+COUNTIF('12月'!EN4:EN34,"六本木-夜勤")+COUNTIF('12月'!ES4:ES34,"六本木-夜勤")+COUNTIF('12月'!D4:D34,"六本木ー夜勤")+COUNTIF('12月'!I4:I34,"六本木ー夜勤")+COUNTIF('12月'!N4:N34,"六本木ー夜勤")+COUNTIF('12月'!S4:S34,"六本木ー夜勤")+COUNTIF('12月'!X4:X34,"六本木ー夜勤")+COUNTIF('12月'!AC4:AC34,"六本木ー夜勤")+COUNTIF('12月'!AH4:AH34,"六本木ー夜勤")+COUNTIF('12月'!AM4:AM34,"六本木ー夜勤")+COUNTIF('12月'!AR4:AR34,"六本木ー夜勤")+COUNTIF('12月'!AW4:AW34,"六本木ー夜勤")+COUNTIF('12月'!BB4:BB34,"六本木ー夜勤")+COUNTIF('12月'!BG4:BG34,"六本木ー夜勤")+COUNTIF('12月'!BL4:BL34,"六本木ー夜勤")+COUNTIF('12月'!BQ4:BQ34,"六本木ー夜勤")+COUNTIF('12月'!BV4:BV34,"六本木ー夜勤")+COUNTIF('12月'!CA4:CA34,"六本木ー夜勤")+COUNTIF('12月'!CF4:CF34,"六本木ー夜勤")+COUNTIF('12月'!CK4:CK34,"六本木ー夜勤")+COUNTIF('12月'!CP4:CP34,"六本木ー夜勤")+COUNTIF('12月'!CU4:CU34,"六本木ー夜勤")+COUNTIF('12月'!CZ4:CZ34,"六本木ー夜勤")+COUNTIF('12月'!DE4:DE34,"六本木ー夜勤")+COUNTIF('12月'!DJ4:DJ34,"六本木ー夜勤")+COUNTIF('12月'!DO4:DO34,"六本木ー夜勤")+COUNTIF('12月'!DT4:DT34,"六本木ー夜勤")+COUNTIF('12月'!DY4:DY34,"六本木ー夜勤")+COUNTIF('12月'!ED4:ED34,"六本木ー夜勤")+COUNTIF('12月'!EI4:EI34,"六本木ー夜勤")+COUNTIF('12月'!EN4:EN34,"六本木ー夜勤")+COUNTIF('12月'!ES4:ES34,"六本木ー夜勤"))</f>
        <v>0</v>
      </c>
      <c r="C207" s="76">
        <f>IF($A$207="",0,COUNTIF('12月'!E4:E34,$A$207)+COUNTIF('12月'!J4:J34,$A$207)+COUNTIF('12月'!O4:O34,$A$207)+COUNTIF('12月'!T4:T34,$A$207)+COUNTIF('12月'!Y4:Y34,$A$207)+COUNTIF('12月'!AD4:AD34,$A$207)+COUNTIF('12月'!AI4:AI34,$A$207)+COUNTIF('12月'!AN4:AN34,$A$207)+COUNTIF('12月'!AS4:AS34,$A$207)+COUNTIF('12月'!AX4:AX34,$A$207)+COUNTIF('12月'!BC4:BC34,$A$207)+COUNTIF('12月'!BH4:BH34,$A$207)+COUNTIF('12月'!BM4:BM34,$A$207)+COUNTIF('12月'!BR4:BR34,$A$207)+COUNTIF('12月'!BW4:BW34,$A$207)+COUNTIF('12月'!CB4:CB34,$A$207)+COUNTIF('12月'!CG4:CG34,$A$207)+COUNTIF('12月'!CL4:CL34,$A$207)+COUNTIF('12月'!CQ4:CQ34,$A$207)+COUNTIF('12月'!CV4:CV34,$A$207)+COUNTIF('12月'!DA4:DA34,$A$207)+COUNTIF('12月'!DF4:DF34,$A$207)+COUNTIF('12月'!DK4:DK34,$A$207)+COUNTIF('12月'!DP4:DP34,$A$207)+COUNTIF('12月'!DU4:DU34,$A$207)+COUNTIF('12月'!DZ4:DZ34,$A$207)+COUNTIF('12月'!EE4:EE34,$A$207)+COUNTIF('12月'!EJ4:EJ34,$A$207)+COUNTIF('12月'!EO4:EO34,$A$207)+COUNTIF('12月'!ET4:ET34,$A$207)+COUNTIF('12月'!E4:E34,"六本木-夜勤")+COUNTIF('12月'!J4:J34,"六本木-夜勤")+COUNTIF('12月'!O4:O34,"六本木-夜勤")+COUNTIF('12月'!T4:T34,"六本木-夜勤")+COUNTIF('12月'!Y4:Y34,"六本木-夜勤")+COUNTIF('12月'!AD4:AD34,"六本木-夜勤")+COUNTIF('12月'!AI4:AI34,"六本木-夜勤")+COUNTIF('12月'!AN4:AN34,"六本木-夜勤")+COUNTIF('12月'!AS4:AS34,"六本木-夜勤")+COUNTIF('12月'!AX4:AX34,"六本木-夜勤")+COUNTIF('12月'!BC4:BC34,"六本木-夜勤")+COUNTIF('12月'!BH4:BH34,"六本木-夜勤")+COUNTIF('12月'!BM4:BM34,"六本木-夜勤")+COUNTIF('12月'!BR4:BR34,"六本木-夜勤")+COUNTIF('12月'!BW4:BW34,"六本木-夜勤")+COUNTIF('12月'!CB4:CB34,"六本木-夜勤")+COUNTIF('12月'!CG4:CG34,"六本木-夜勤")+COUNTIF('12月'!CL4:CL34,"六本木-夜勤")+COUNTIF('12月'!CQ4:CQ34,"六本木-夜勤")+COUNTIF('12月'!CV4:CV34,"六本木-夜勤")+COUNTIF('12月'!DA4:DA34,"六本木-夜勤")+COUNTIF('12月'!DF4:DF34,"六本木-夜勤")+COUNTIF('12月'!DK4:DK34,"六本木-夜勤")+COUNTIF('12月'!DP4:DP34,"六本木-夜勤")+COUNTIF('12月'!DU4:DU34,"六本木-夜勤")+COUNTIF('12月'!DZ4:DZ34,"六本木-夜勤")+COUNTIF('12月'!EE4:EE34,"六本木-夜勤")+COUNTIF('12月'!EJ4:EJ34,"六本木-夜勤")+COUNTIF('12月'!EO4:EO34,"六本木-夜勤")+COUNTIF('12月'!ET4:ET34,"六本木-夜勤")+COUNTIF('12月'!E4:E34,"六本木ー夜勤")+COUNTIF('12月'!J4:J34,"六本木ー夜勤")+COUNTIF('12月'!O4:O34,"六本木ー夜勤")+COUNTIF('12月'!T4:T34,"六本木ー夜勤")+COUNTIF('12月'!Y4:Y34,"六本木ー夜勤")+COUNTIF('12月'!AD4:AD34,"六本木ー夜勤")+COUNTIF('12月'!AI4:AI34,"六本木ー夜勤")+COUNTIF('12月'!AN4:AN34,"六本木ー夜勤")+COUNTIF('12月'!AS4:AS34,"六本木ー夜勤")+COUNTIF('12月'!AX4:AX34,"六本木ー夜勤")+COUNTIF('12月'!BC4:BC34,"六本木ー夜勤")+COUNTIF('12月'!BH4:BH34,"六本木ー夜勤")+COUNTIF('12月'!BM4:BM34,"六本木ー夜勤")+COUNTIF('12月'!BR4:BR34,"六本木ー夜勤")+COUNTIF('12月'!BW4:BW34,"六本木ー夜勤")+COUNTIF('12月'!CB4:CB34,"六本木ー夜勤")+COUNTIF('12月'!CG4:CG34,"六本木ー夜勤")+COUNTIF('12月'!CL4:CL34,"六本木ー夜勤")+COUNTIF('12月'!CQ4:CQ34,"六本木ー夜勤")+COUNTIF('12月'!CV4:CV34,"六本木ー夜勤")+COUNTIF('12月'!DA4:DA34,"六本木ー夜勤")+COUNTIF('12月'!DF4:DF34,"六本木ー夜勤")+COUNTIF('12月'!DK4:DK34,"六本木ー夜勤")+COUNTIF('12月'!DP4:DP34,"六本木ー夜勤")+COUNTIF('12月'!DU4:DU34,"六本木ー夜勤")+COUNTIF('12月'!DZ4:DZ34,"六本木ー夜勤")+COUNTIF('12月'!EE4:EE34,"六本木ー夜勤")+COUNTIF('12月'!EJ4:EJ34,"六本木ー夜勤")+COUNTIF('12月'!EO4:EO34,"六本木ー夜勤")+COUNTIF('12月'!ET4:ET34,"六本木ー夜勤"))</f>
        <v>0</v>
      </c>
      <c r="D207" s="65">
        <f>IF($A$207="",0,B207+C207)</f>
        <v>0</v>
      </c>
    </row>
    <row r="208" spans="1:4" ht="18.95" customHeight="1">
      <c r="A208" s="77">
        <f>IFERROR(現場マスタ!$C$11,"")</f>
        <v>0</v>
      </c>
      <c r="B208" s="76">
        <v>0</v>
      </c>
      <c r="C208" s="76">
        <v>0</v>
      </c>
      <c r="D208" s="65">
        <v>0</v>
      </c>
    </row>
    <row r="209" spans="1:4" ht="18.95" customHeight="1">
      <c r="A209" s="77">
        <f>IFERROR(現場マスタ!$C$12,"")</f>
        <v>0</v>
      </c>
      <c r="B209" s="76">
        <f>IF($A$209="",0,COUNTIF('12月'!D4:D34,$A$209)+COUNTIF('12月'!I4:I34,$A$209)+COUNTIF('12月'!N4:N34,$A$209)+COUNTIF('12月'!S4:S34,$A$209)+COUNTIF('12月'!X4:X34,$A$209)+COUNTIF('12月'!AC4:AC34,$A$209)+COUNTIF('12月'!AH4:AH34,$A$209)+COUNTIF('12月'!AM4:AM34,$A$209)+COUNTIF('12月'!AR4:AR34,$A$209)+COUNTIF('12月'!AW4:AW34,$A$209)+COUNTIF('12月'!BB4:BB34,$A$209)+COUNTIF('12月'!BG4:BG34,$A$209)+COUNTIF('12月'!BL4:BL34,$A$209)+COUNTIF('12月'!BQ4:BQ34,$A$209)+COUNTIF('12月'!BV4:BV34,$A$209)+COUNTIF('12月'!CA4:CA34,$A$209)+COUNTIF('12月'!CF4:CF34,$A$209)+COUNTIF('12月'!CK4:CK34,$A$209)+COUNTIF('12月'!CP4:CP34,$A$209)+COUNTIF('12月'!CU4:CU34,$A$209)+COUNTIF('12月'!CZ4:CZ34,$A$209)+COUNTIF('12月'!DE4:DE34,$A$209)+COUNTIF('12月'!DJ4:DJ34,$A$209)+COUNTIF('12月'!DO4:DO34,$A$209)+COUNTIF('12月'!DT4:DT34,$A$209)+COUNTIF('12月'!DY4:DY34,$A$209)+COUNTIF('12月'!ED4:ED34,$A$209)+COUNTIF('12月'!EI4:EI34,$A$209)+COUNTIF('12月'!EN4:EN34,$A$209)+COUNTIF('12月'!ES4:ES34,$A$209))</f>
        <v>0</v>
      </c>
      <c r="C209" s="76">
        <f>IF($A$209="",0,COUNTIF('12月'!E4:E34,$A$209)+COUNTIF('12月'!J4:J34,$A$209)+COUNTIF('12月'!O4:O34,$A$209)+COUNTIF('12月'!T4:T34,$A$209)+COUNTIF('12月'!Y4:Y34,$A$209)+COUNTIF('12月'!AD4:AD34,$A$209)+COUNTIF('12月'!AI4:AI34,$A$209)+COUNTIF('12月'!AN4:AN34,$A$209)+COUNTIF('12月'!AS4:AS34,$A$209)+COUNTIF('12月'!AX4:AX34,$A$209)+COUNTIF('12月'!BC4:BC34,$A$209)+COUNTIF('12月'!BH4:BH34,$A$209)+COUNTIF('12月'!BM4:BM34,$A$209)+COUNTIF('12月'!BR4:BR34,$A$209)+COUNTIF('12月'!BW4:BW34,$A$209)+COUNTIF('12月'!CB4:CB34,$A$209)+COUNTIF('12月'!CG4:CG34,$A$209)+COUNTIF('12月'!CL4:CL34,$A$209)+COUNTIF('12月'!CQ4:CQ34,$A$209)+COUNTIF('12月'!CV4:CV34,$A$209)+COUNTIF('12月'!DA4:DA34,$A$209)+COUNTIF('12月'!DF4:DF34,$A$209)+COUNTIF('12月'!DK4:DK34,$A$209)+COUNTIF('12月'!DP4:DP34,$A$209)+COUNTIF('12月'!DU4:DU34,$A$209)+COUNTIF('12月'!DZ4:DZ34,$A$209)+COUNTIF('12月'!EE4:EE34,$A$209)+COUNTIF('12月'!EJ4:EJ34,$A$209)+COUNTIF('12月'!EO4:EO34,$A$209)+COUNTIF('12月'!ET4:ET34,$A$209))</f>
        <v>0</v>
      </c>
      <c r="D209" s="65">
        <f>IF($A$209="",0,B209+C209)</f>
        <v>0</v>
      </c>
    </row>
    <row r="210" spans="1:4" ht="18.95" customHeight="1">
      <c r="A210" s="77">
        <f>IFERROR(現場マスタ!$C$14,"")</f>
        <v>0</v>
      </c>
      <c r="B210" s="76">
        <v>0</v>
      </c>
      <c r="C210" s="76">
        <v>0</v>
      </c>
      <c r="D210" s="65">
        <v>0</v>
      </c>
    </row>
    <row r="211" spans="1:4" ht="18.95" customHeight="1">
      <c r="A211" s="77">
        <f>IFERROR(現場マスタ!$C$15,"")</f>
        <v>0</v>
      </c>
      <c r="B211" s="76">
        <v>0</v>
      </c>
      <c r="C211" s="76">
        <v>0</v>
      </c>
      <c r="D211" s="65">
        <v>0</v>
      </c>
    </row>
    <row r="212" spans="1:4" ht="18.95" customHeight="1">
      <c r="A212" s="77">
        <f>IFERROR(現場マスタ!$C$16,"")</f>
        <v>0</v>
      </c>
      <c r="B212" s="76">
        <f>IF($A$212="",0,COUNTIF('12月'!D4:D34,$A$212)+COUNTIF('12月'!I4:I34,$A$212)+COUNTIF('12月'!N4:N34,$A$212)+COUNTIF('12月'!S4:S34,$A$212)+COUNTIF('12月'!X4:X34,$A$212)+COUNTIF('12月'!AC4:AC34,$A$212)+COUNTIF('12月'!AH4:AH34,$A$212)+COUNTIF('12月'!AM4:AM34,$A$212)+COUNTIF('12月'!AR4:AR34,$A$212)+COUNTIF('12月'!AW4:AW34,$A$212)+COUNTIF('12月'!BB4:BB34,$A$212)+COUNTIF('12月'!BG4:BG34,$A$212)+COUNTIF('12月'!BL4:BL34,$A$212)+COUNTIF('12月'!BQ4:BQ34,$A$212)+COUNTIF('12月'!BV4:BV34,$A$212)+COUNTIF('12月'!CA4:CA34,$A$212)+COUNTIF('12月'!CF4:CF34,$A$212)+COUNTIF('12月'!CK4:CK34,$A$212)+COUNTIF('12月'!CP4:CP34,$A$212)+COUNTIF('12月'!CU4:CU34,$A$212)+COUNTIF('12月'!CZ4:CZ34,$A$212)+COUNTIF('12月'!DE4:DE34,$A$212)+COUNTIF('12月'!DJ4:DJ34,$A$212)+COUNTIF('12月'!DO4:DO34,$A$212)+COUNTIF('12月'!DT4:DT34,$A$212)+COUNTIF('12月'!DY4:DY34,$A$212)+COUNTIF('12月'!ED4:ED34,$A$212)+COUNTIF('12月'!EI4:EI34,$A$212)+COUNTIF('12月'!EN4:EN34,$A$212)+COUNTIF('12月'!ES4:ES34,$A$212)+COUNTIF('12月'!D4:D34,"三軒茶屋－夜勤")+COUNTIF('12月'!I4:I34,"三軒茶屋－夜勤")+COUNTIF('12月'!N4:N34,"三軒茶屋－夜勤")+COUNTIF('12月'!S4:S34,"三軒茶屋－夜勤")+COUNTIF('12月'!X4:X34,"三軒茶屋－夜勤")+COUNTIF('12月'!AC4:AC34,"三軒茶屋－夜勤")+COUNTIF('12月'!AH4:AH34,"三軒茶屋－夜勤")+COUNTIF('12月'!AM4:AM34,"三軒茶屋－夜勤")+COUNTIF('12月'!AR4:AR34,"三軒茶屋－夜勤")+COUNTIF('12月'!AW4:AW34,"三軒茶屋－夜勤")+COUNTIF('12月'!BB4:BB34,"三軒茶屋－夜勤")+COUNTIF('12月'!BG4:BG34,"三軒茶屋－夜勤")+COUNTIF('12月'!BL4:BL34,"三軒茶屋－夜勤")+COUNTIF('12月'!BQ4:BQ34,"三軒茶屋－夜勤")+COUNTIF('12月'!BV4:BV34,"三軒茶屋－夜勤")+COUNTIF('12月'!CA4:CA34,"三軒茶屋－夜勤")+COUNTIF('12月'!CF4:CF34,"三軒茶屋－夜勤")+COUNTIF('12月'!CK4:CK34,"三軒茶屋－夜勤")+COUNTIF('12月'!CP4:CP34,"三軒茶屋－夜勤")+COUNTIF('12月'!CU4:CU34,"三軒茶屋－夜勤")+COUNTIF('12月'!CZ4:CZ34,"三軒茶屋－夜勤")+COUNTIF('12月'!DE4:DE34,"三軒茶屋－夜勤")+COUNTIF('12月'!DJ4:DJ34,"三軒茶屋－夜勤")+COUNTIF('12月'!DO4:DO34,"三軒茶屋－夜勤")+COUNTIF('12月'!DT4:DT34,"三軒茶屋－夜勤")+COUNTIF('12月'!DY4:DY34,"三軒茶屋－夜勤")+COUNTIF('12月'!ED4:ED34,"三軒茶屋－夜勤")+COUNTIF('12月'!EI4:EI34,"三軒茶屋－夜勤")+COUNTIF('12月'!EN4:EN34,"三軒茶屋－夜勤")+COUNTIF('12月'!ES4:ES34,"三軒茶屋－夜勤"))</f>
        <v>0</v>
      </c>
      <c r="C212" s="76">
        <f>IF($A$212="",0,COUNTIF('12月'!E4:E34,$A$212)+COUNTIF('12月'!J4:J34,$A$212)+COUNTIF('12月'!O4:O34,$A$212)+COUNTIF('12月'!T4:T34,$A$212)+COUNTIF('12月'!Y4:Y34,$A$212)+COUNTIF('12月'!AD4:AD34,$A$212)+COUNTIF('12月'!AI4:AI34,$A$212)+COUNTIF('12月'!AN4:AN34,$A$212)+COUNTIF('12月'!AS4:AS34,$A$212)+COUNTIF('12月'!AX4:AX34,$A$212)+COUNTIF('12月'!BC4:BC34,$A$212)+COUNTIF('12月'!BH4:BH34,$A$212)+COUNTIF('12月'!BM4:BM34,$A$212)+COUNTIF('12月'!BR4:BR34,$A$212)+COUNTIF('12月'!BW4:BW34,$A$212)+COUNTIF('12月'!CB4:CB34,$A$212)+COUNTIF('12月'!CG4:CG34,$A$212)+COUNTIF('12月'!CL4:CL34,$A$212)+COUNTIF('12月'!CQ4:CQ34,$A$212)+COUNTIF('12月'!CV4:CV34,$A$212)+COUNTIF('12月'!DA4:DA34,$A$212)+COUNTIF('12月'!DF4:DF34,$A$212)+COUNTIF('12月'!DK4:DK34,$A$212)+COUNTIF('12月'!DP4:DP34,$A$212)+COUNTIF('12月'!DU4:DU34,$A$212)+COUNTIF('12月'!DZ4:DZ34,$A$212)+COUNTIF('12月'!EE4:EE34,$A$212)+COUNTIF('12月'!EJ4:EJ34,$A$212)+COUNTIF('12月'!EO4:EO34,$A$212)+COUNTIF('12月'!ET4:ET34,$A$212)+COUNTIF('12月'!E4:E34,"三軒茶屋－夜勤")+COUNTIF('12月'!J4:J34,"三軒茶屋－夜勤")+COUNTIF('12月'!O4:O34,"三軒茶屋－夜勤")+COUNTIF('12月'!T4:T34,"三軒茶屋－夜勤")+COUNTIF('12月'!Y4:Y34,"三軒茶屋－夜勤")+COUNTIF('12月'!AD4:AD34,"三軒茶屋－夜勤")+COUNTIF('12月'!AI4:AI34,"三軒茶屋－夜勤")+COUNTIF('12月'!AN4:AN34,"三軒茶屋－夜勤")+COUNTIF('12月'!AS4:AS34,"三軒茶屋－夜勤")+COUNTIF('12月'!AX4:AX34,"三軒茶屋－夜勤")+COUNTIF('12月'!BC4:BC34,"三軒茶屋－夜勤")+COUNTIF('12月'!BH4:BH34,"三軒茶屋－夜勤")+COUNTIF('12月'!BM4:BM34,"三軒茶屋－夜勤")+COUNTIF('12月'!BR4:BR34,"三軒茶屋－夜勤")+COUNTIF('12月'!BW4:BW34,"三軒茶屋－夜勤")+COUNTIF('12月'!CB4:CB34,"三軒茶屋－夜勤")+COUNTIF('12月'!CG4:CG34,"三軒茶屋－夜勤")+COUNTIF('12月'!CL4:CL34,"三軒茶屋－夜勤")+COUNTIF('12月'!CQ4:CQ34,"三軒茶屋－夜勤")+COUNTIF('12月'!CV4:CV34,"三軒茶屋－夜勤")+COUNTIF('12月'!DA4:DA34,"三軒茶屋－夜勤")+COUNTIF('12月'!DF4:DF34,"三軒茶屋－夜勤")+COUNTIF('12月'!DK4:DK34,"三軒茶屋－夜勤")+COUNTIF('12月'!DP4:DP34,"三軒茶屋－夜勤")+COUNTIF('12月'!DU4:DU34,"三軒茶屋－夜勤")+COUNTIF('12月'!DZ4:DZ34,"三軒茶屋－夜勤")+COUNTIF('12月'!EE4:EE34,"三軒茶屋－夜勤")+COUNTIF('12月'!EJ4:EJ34,"三軒茶屋－夜勤")+COUNTIF('12月'!EO4:EO34,"三軒茶屋－夜勤")+COUNTIF('12月'!ET4:ET34,"三軒茶屋－夜勤"))</f>
        <v>0</v>
      </c>
      <c r="D212" s="65">
        <f>IF($A$212="",0,B212+C212)</f>
        <v>0</v>
      </c>
    </row>
    <row r="213" spans="1:4" ht="18.95" customHeight="1">
      <c r="A213" s="77">
        <f>IFERROR(現場マスタ!$C$17,"")</f>
        <v>0</v>
      </c>
      <c r="B213" s="76">
        <f>IF($A$213="",0,COUNTIF('12月'!D4:D34,$A$213)+COUNTIF('12月'!I4:I34,$A$213)+COUNTIF('12月'!N4:N34,$A$213)+COUNTIF('12月'!S4:S34,$A$213)+COUNTIF('12月'!X4:X34,$A$213)+COUNTIF('12月'!AC4:AC34,$A$213)+COUNTIF('12月'!AH4:AH34,$A$213)+COUNTIF('12月'!AM4:AM34,$A$213)+COUNTIF('12月'!AR4:AR34,$A$213)+COUNTIF('12月'!AW4:AW34,$A$213)+COUNTIF('12月'!BB4:BB34,$A$213)+COUNTIF('12月'!BG4:BG34,$A$213)+COUNTIF('12月'!BL4:BL34,$A$213)+COUNTIF('12月'!BQ4:BQ34,$A$213)+COUNTIF('12月'!BV4:BV34,$A$213)+COUNTIF('12月'!CA4:CA34,$A$213)+COUNTIF('12月'!CF4:CF34,$A$213)+COUNTIF('12月'!CK4:CK34,$A$213)+COUNTIF('12月'!CP4:CP34,$A$213)+COUNTIF('12月'!CU4:CU34,$A$213)+COUNTIF('12月'!CZ4:CZ34,$A$213)+COUNTIF('12月'!DE4:DE34,$A$213)+COUNTIF('12月'!DJ4:DJ34,$A$213)+COUNTIF('12月'!DO4:DO34,$A$213)+COUNTIF('12月'!DT4:DT34,$A$213)+COUNTIF('12月'!DY4:DY34,$A$213)+COUNTIF('12月'!ED4:ED34,$A$213)+COUNTIF('12月'!EI4:EI34,$A$213)+COUNTIF('12月'!EN4:EN34,$A$213)+COUNTIF('12月'!ES4:ES34,$A$213)+COUNTIF('12月'!D4:D34,"荻窪ー夜勤")+COUNTIF('12月'!I4:I34,"荻窪ー夜勤")+COUNTIF('12月'!N4:N34,"荻窪ー夜勤")+COUNTIF('12月'!S4:S34,"荻窪ー夜勤")+COUNTIF('12月'!X4:X34,"荻窪ー夜勤")+COUNTIF('12月'!AC4:AC34,"荻窪ー夜勤")+COUNTIF('12月'!AH4:AH34,"荻窪ー夜勤")+COUNTIF('12月'!AM4:AM34,"荻窪ー夜勤")+COUNTIF('12月'!AR4:AR34,"荻窪ー夜勤")+COUNTIF('12月'!AW4:AW34,"荻窪ー夜勤")+COUNTIF('12月'!BB4:BB34,"荻窪ー夜勤")+COUNTIF('12月'!BG4:BG34,"荻窪ー夜勤")+COUNTIF('12月'!BL4:BL34,"荻窪ー夜勤")+COUNTIF('12月'!BQ4:BQ34,"荻窪ー夜勤")+COUNTIF('12月'!BV4:BV34,"荻窪ー夜勤")+COUNTIF('12月'!CA4:CA34,"荻窪ー夜勤")+COUNTIF('12月'!CF4:CF34,"荻窪ー夜勤")+COUNTIF('12月'!CK4:CK34,"荻窪ー夜勤")+COUNTIF('12月'!CP4:CP34,"荻窪ー夜勤")+COUNTIF('12月'!CU4:CU34,"荻窪ー夜勤")+COUNTIF('12月'!CZ4:CZ34,"荻窪ー夜勤")+COUNTIF('12月'!DE4:DE34,"荻窪ー夜勤")+COUNTIF('12月'!DJ4:DJ34,"荻窪ー夜勤")+COUNTIF('12月'!DO4:DO34,"荻窪ー夜勤")+COUNTIF('12月'!DT4:DT34,"荻窪ー夜勤")+COUNTIF('12月'!DY4:DY34,"荻窪ー夜勤")+COUNTIF('12月'!ED4:ED34,"荻窪ー夜勤")+COUNTIF('12月'!EI4:EI34,"荻窪ー夜勤")+COUNTIF('12月'!EN4:EN34,"荻窪ー夜勤")+COUNTIF('12月'!ES4:ES34,"荻窪ー夜勤"))</f>
        <v>0</v>
      </c>
      <c r="C213" s="76">
        <f>IF($A$213="",0,COUNTIF('12月'!E4:E34,$A$213)+COUNTIF('12月'!J4:J34,$A$213)+COUNTIF('12月'!O4:O34,$A$213)+COUNTIF('12月'!T4:T34,$A$213)+COUNTIF('12月'!Y4:Y34,$A$213)+COUNTIF('12月'!AD4:AD34,$A$213)+COUNTIF('12月'!AI4:AI34,$A$213)+COUNTIF('12月'!AN4:AN34,$A$213)+COUNTIF('12月'!AS4:AS34,$A$213)+COUNTIF('12月'!AX4:AX34,$A$213)+COUNTIF('12月'!BC4:BC34,$A$213)+COUNTIF('12月'!BH4:BH34,$A$213)+COUNTIF('12月'!BM4:BM34,$A$213)+COUNTIF('12月'!BR4:BR34,$A$213)+COUNTIF('12月'!BW4:BW34,$A$213)+COUNTIF('12月'!CB4:CB34,$A$213)+COUNTIF('12月'!CG4:CG34,$A$213)+COUNTIF('12月'!CL4:CL34,$A$213)+COUNTIF('12月'!CQ4:CQ34,$A$213)+COUNTIF('12月'!CV4:CV34,$A$213)+COUNTIF('12月'!DA4:DA34,$A$213)+COUNTIF('12月'!DF4:DF34,$A$213)+COUNTIF('12月'!DK4:DK34,$A$213)+COUNTIF('12月'!DP4:DP34,$A$213)+COUNTIF('12月'!DU4:DU34,$A$213)+COUNTIF('12月'!DZ4:DZ34,$A$213)+COUNTIF('12月'!EE4:EE34,$A$213)+COUNTIF('12月'!EJ4:EJ34,$A$213)+COUNTIF('12月'!EO4:EO34,$A$213)+COUNTIF('12月'!ET4:ET34,$A$213)+COUNTIF('12月'!E4:E34,"荻窪ー夜勤")+COUNTIF('12月'!J4:J34,"荻窪ー夜勤")+COUNTIF('12月'!O4:O34,"荻窪ー夜勤")+COUNTIF('12月'!T4:T34,"荻窪ー夜勤")+COUNTIF('12月'!Y4:Y34,"荻窪ー夜勤")+COUNTIF('12月'!AD4:AD34,"荻窪ー夜勤")+COUNTIF('12月'!AI4:AI34,"荻窪ー夜勤")+COUNTIF('12月'!AN4:AN34,"荻窪ー夜勤")+COUNTIF('12月'!AS4:AS34,"荻窪ー夜勤")+COUNTIF('12月'!AX4:AX34,"荻窪ー夜勤")+COUNTIF('12月'!BC4:BC34,"荻窪ー夜勤")+COUNTIF('12月'!BH4:BH34,"荻窪ー夜勤")+COUNTIF('12月'!BM4:BM34,"荻窪ー夜勤")+COUNTIF('12月'!BR4:BR34,"荻窪ー夜勤")+COUNTIF('12月'!BW4:BW34,"荻窪ー夜勤")+COUNTIF('12月'!CB4:CB34,"荻窪ー夜勤")+COUNTIF('12月'!CG4:CG34,"荻窪ー夜勤")+COUNTIF('12月'!CL4:CL34,"荻窪ー夜勤")+COUNTIF('12月'!CQ4:CQ34,"荻窪ー夜勤")+COUNTIF('12月'!CV4:CV34,"荻窪ー夜勤")+COUNTIF('12月'!DA4:DA34,"荻窪ー夜勤")+COUNTIF('12月'!DF4:DF34,"荻窪ー夜勤")+COUNTIF('12月'!DK4:DK34,"荻窪ー夜勤")+COUNTIF('12月'!DP4:DP34,"荻窪ー夜勤")+COUNTIF('12月'!DU4:DU34,"荻窪ー夜勤")+COUNTIF('12月'!DZ4:DZ34,"荻窪ー夜勤")+COUNTIF('12月'!EE4:EE34,"荻窪ー夜勤")+COUNTIF('12月'!EJ4:EJ34,"荻窪ー夜勤")+COUNTIF('12月'!EO4:EO34,"荻窪ー夜勤")+COUNTIF('12月'!ET4:ET34,"荻窪ー夜勤"))</f>
        <v>0</v>
      </c>
      <c r="D213" s="65">
        <f>IF($A$213="",0,B213+C213)</f>
        <v>0</v>
      </c>
    </row>
    <row r="214" spans="1:4" ht="18.95" customHeight="1">
      <c r="A214" s="77">
        <f>IFERROR(現場マスタ!$C$18,"")</f>
        <v>0</v>
      </c>
      <c r="B214" s="76">
        <f>IF($A$214="",0,COUNTIF('12月'!D4:D34,$A$214)+COUNTIF('12月'!I4:I34,$A$214)+COUNTIF('12月'!N4:N34,$A$214)+COUNTIF('12月'!S4:S34,$A$214)+COUNTIF('12月'!X4:X34,$A$214)+COUNTIF('12月'!AC4:AC34,$A$214)+COUNTIF('12月'!AH4:AH34,$A$214)+COUNTIF('12月'!AM4:AM34,$A$214)+COUNTIF('12月'!AR4:AR34,$A$214)+COUNTIF('12月'!AW4:AW34,$A$214)+COUNTIF('12月'!BB4:BB34,$A$214)+COUNTIF('12月'!BG4:BG34,$A$214)+COUNTIF('12月'!BL4:BL34,$A$214)+COUNTIF('12月'!BQ4:BQ34,$A$214)+COUNTIF('12月'!BV4:BV34,$A$214)+COUNTIF('12月'!CA4:CA34,$A$214)+COUNTIF('12月'!CF4:CF34,$A$214)+COUNTIF('12月'!CK4:CK34,$A$214)+COUNTIF('12月'!CP4:CP34,$A$214)+COUNTIF('12月'!CU4:CU34,$A$214)+COUNTIF('12月'!CZ4:CZ34,$A$214)+COUNTIF('12月'!DE4:DE34,$A$214)+COUNTIF('12月'!DJ4:DJ34,$A$214)+COUNTIF('12月'!DO4:DO34,$A$214)+COUNTIF('12月'!DT4:DT34,$A$214)+COUNTIF('12月'!DY4:DY34,$A$214)+COUNTIF('12月'!ED4:ED34,$A$214)+COUNTIF('12月'!EI4:EI34,$A$214)+COUNTIF('12月'!EN4:EN34,$A$214)+COUNTIF('12月'!ES4:ES34,$A$214))</f>
        <v>0</v>
      </c>
      <c r="C214" s="76">
        <f>IF($A$214="",0,COUNTIF('12月'!E4:E34,$A$214)+COUNTIF('12月'!J4:J34,$A$214)+COUNTIF('12月'!O4:O34,$A$214)+COUNTIF('12月'!T4:T34,$A$214)+COUNTIF('12月'!Y4:Y34,$A$214)+COUNTIF('12月'!AD4:AD34,$A$214)+COUNTIF('12月'!AI4:AI34,$A$214)+COUNTIF('12月'!AN4:AN34,$A$214)+COUNTIF('12月'!AS4:AS34,$A$214)+COUNTIF('12月'!AX4:AX34,$A$214)+COUNTIF('12月'!BC4:BC34,$A$214)+COUNTIF('12月'!BH4:BH34,$A$214)+COUNTIF('12月'!BM4:BM34,$A$214)+COUNTIF('12月'!BR4:BR34,$A$214)+COUNTIF('12月'!BW4:BW34,$A$214)+COUNTIF('12月'!CB4:CB34,$A$214)+COUNTIF('12月'!CG4:CG34,$A$214)+COUNTIF('12月'!CL4:CL34,$A$214)+COUNTIF('12月'!CQ4:CQ34,$A$214)+COUNTIF('12月'!CV4:CV34,$A$214)+COUNTIF('12月'!DA4:DA34,$A$214)+COUNTIF('12月'!DF4:DF34,$A$214)+COUNTIF('12月'!DK4:DK34,$A$214)+COUNTIF('12月'!DP4:DP34,$A$214)+COUNTIF('12月'!DU4:DU34,$A$214)+COUNTIF('12月'!DZ4:DZ34,$A$214)+COUNTIF('12月'!EE4:EE34,$A$214)+COUNTIF('12月'!EJ4:EJ34,$A$214)+COUNTIF('12月'!EO4:EO34,$A$214)+COUNTIF('12月'!ET4:ET34,$A$214))</f>
        <v>0</v>
      </c>
      <c r="D214" s="65">
        <f>IF($A$214="",0,B214+C214)</f>
        <v>0</v>
      </c>
    </row>
    <row r="215" spans="1:4" ht="18.95" customHeight="1">
      <c r="A215" s="77">
        <f>IFERROR(現場マスタ!$C$20,"")</f>
        <v>0</v>
      </c>
      <c r="B215" s="76">
        <f>IF($A$215="",0,COUNTIF('12月'!D4:D34,$A$215)+COUNTIF('12月'!I4:I34,$A$215)+COUNTIF('12月'!N4:N34,$A$215)+COUNTIF('12月'!S4:S34,$A$215)+COUNTIF('12月'!X4:X34,$A$215)+COUNTIF('12月'!AC4:AC34,$A$215)+COUNTIF('12月'!AH4:AH34,$A$215)+COUNTIF('12月'!AM4:AM34,$A$215)+COUNTIF('12月'!AR4:AR34,$A$215)+COUNTIF('12月'!AW4:AW34,$A$215)+COUNTIF('12月'!BB4:BB34,$A$215)+COUNTIF('12月'!BG4:BG34,$A$215)+COUNTIF('12月'!BL4:BL34,$A$215)+COUNTIF('12月'!BQ4:BQ34,$A$215)+COUNTIF('12月'!BV4:BV34,$A$215)+COUNTIF('12月'!CA4:CA34,$A$215)+COUNTIF('12月'!CF4:CF34,$A$215)+COUNTIF('12月'!CK4:CK34,$A$215)+COUNTIF('12月'!CP4:CP34,$A$215)+COUNTIF('12月'!CU4:CU34,$A$215)+COUNTIF('12月'!CZ4:CZ34,$A$215)+COUNTIF('12月'!DE4:DE34,$A$215)+COUNTIF('12月'!DJ4:DJ34,$A$215)+COUNTIF('12月'!DO4:DO34,$A$215)+COUNTIF('12月'!DT4:DT34,$A$215)+COUNTIF('12月'!DY4:DY34,$A$215)+COUNTIF('12月'!ED4:ED34,$A$215)+COUNTIF('12月'!EI4:EI34,$A$215)+COUNTIF('12月'!EN4:EN34,$A$215)+COUNTIF('12月'!ES4:ES34,$A$215))</f>
        <v>0</v>
      </c>
      <c r="C215" s="76">
        <f>IF($A$215="",0,COUNTIF('12月'!E4:E34,$A$215)+COUNTIF('12月'!J4:J34,$A$215)+COUNTIF('12月'!O4:O34,$A$215)+COUNTIF('12月'!T4:T34,$A$215)+COUNTIF('12月'!Y4:Y34,$A$215)+COUNTIF('12月'!AD4:AD34,$A$215)+COUNTIF('12月'!AI4:AI34,$A$215)+COUNTIF('12月'!AN4:AN34,$A$215)+COUNTIF('12月'!AS4:AS34,$A$215)+COUNTIF('12月'!AX4:AX34,$A$215)+COUNTIF('12月'!BC4:BC34,$A$215)+COUNTIF('12月'!BH4:BH34,$A$215)+COUNTIF('12月'!BM4:BM34,$A$215)+COUNTIF('12月'!BR4:BR34,$A$215)+COUNTIF('12月'!BW4:BW34,$A$215)+COUNTIF('12月'!CB4:CB34,$A$215)+COUNTIF('12月'!CG4:CG34,$A$215)+COUNTIF('12月'!CL4:CL34,$A$215)+COUNTIF('12月'!CQ4:CQ34,$A$215)+COUNTIF('12月'!CV4:CV34,$A$215)+COUNTIF('12月'!DA4:DA34,$A$215)+COUNTIF('12月'!DF4:DF34,$A$215)+COUNTIF('12月'!DK4:DK34,$A$215)+COUNTIF('12月'!DP4:DP34,$A$215)+COUNTIF('12月'!DU4:DU34,$A$215)+COUNTIF('12月'!DZ4:DZ34,$A$215)+COUNTIF('12月'!EE4:EE34,$A$215)+COUNTIF('12月'!EJ4:EJ34,$A$215)+COUNTIF('12月'!EO4:EO34,$A$215)+COUNTIF('12月'!ET4:ET34,$A$215))</f>
        <v>0</v>
      </c>
      <c r="D215" s="65">
        <f>IF($A$215="",0,B215+C215)</f>
        <v>0</v>
      </c>
    </row>
    <row r="216" spans="1:4" ht="18.95" customHeight="1">
      <c r="A216" s="77">
        <f>IFERROR(現場マスタ!$C$21,"")</f>
        <v>0</v>
      </c>
      <c r="B216" s="76">
        <f>IF($A$216="",0,COUNTIF('12月'!D4:D34,$A$216)+COUNTIF('12月'!I4:I34,$A$216)+COUNTIF('12月'!N4:N34,$A$216)+COUNTIF('12月'!S4:S34,$A$216)+COUNTIF('12月'!X4:X34,$A$216)+COUNTIF('12月'!AC4:AC34,$A$216)+COUNTIF('12月'!AH4:AH34,$A$216)+COUNTIF('12月'!AM4:AM34,$A$216)+COUNTIF('12月'!AR4:AR34,$A$216)+COUNTIF('12月'!AW4:AW34,$A$216)+COUNTIF('12月'!BB4:BB34,$A$216)+COUNTIF('12月'!BG4:BG34,$A$216)+COUNTIF('12月'!BL4:BL34,$A$216)+COUNTIF('12月'!BQ4:BQ34,$A$216)+COUNTIF('12月'!BV4:BV34,$A$216)+COUNTIF('12月'!CA4:CA34,$A$216)+COUNTIF('12月'!CF4:CF34,$A$216)+COUNTIF('12月'!CK4:CK34,$A$216)+COUNTIF('12月'!CP4:CP34,$A$216)+COUNTIF('12月'!CU4:CU34,$A$216)+COUNTIF('12月'!CZ4:CZ34,$A$216)+COUNTIF('12月'!DE4:DE34,$A$216)+COUNTIF('12月'!DJ4:DJ34,$A$216)+COUNTIF('12月'!DO4:DO34,$A$216)+COUNTIF('12月'!DT4:DT34,$A$216)+COUNTIF('12月'!DY4:DY34,$A$216)+COUNTIF('12月'!ED4:ED34,$A$216)+COUNTIF('12月'!EI4:EI34,$A$216)+COUNTIF('12月'!EN4:EN34,$A$216)+COUNTIF('12月'!ES4:ES34,$A$216))</f>
        <v>0</v>
      </c>
      <c r="C216" s="76">
        <f>IF($A$216="",0,COUNTIF('12月'!E4:E34,$A$216)+COUNTIF('12月'!J4:J34,$A$216)+COUNTIF('12月'!O4:O34,$A$216)+COUNTIF('12月'!T4:T34,$A$216)+COUNTIF('12月'!Y4:Y34,$A$216)+COUNTIF('12月'!AD4:AD34,$A$216)+COUNTIF('12月'!AI4:AI34,$A$216)+COUNTIF('12月'!AN4:AN34,$A$216)+COUNTIF('12月'!AS4:AS34,$A$216)+COUNTIF('12月'!AX4:AX34,$A$216)+COUNTIF('12月'!BC4:BC34,$A$216)+COUNTIF('12月'!BH4:BH34,$A$216)+COUNTIF('12月'!BM4:BM34,$A$216)+COUNTIF('12月'!BR4:BR34,$A$216)+COUNTIF('12月'!BW4:BW34,$A$216)+COUNTIF('12月'!CB4:CB34,$A$216)+COUNTIF('12月'!CG4:CG34,$A$216)+COUNTIF('12月'!CL4:CL34,$A$216)+COUNTIF('12月'!CQ4:CQ34,$A$216)+COUNTIF('12月'!CV4:CV34,$A$216)+COUNTIF('12月'!DA4:DA34,$A$216)+COUNTIF('12月'!DF4:DF34,$A$216)+COUNTIF('12月'!DK4:DK34,$A$216)+COUNTIF('12月'!DP4:DP34,$A$216)+COUNTIF('12月'!DU4:DU34,$A$216)+COUNTIF('12月'!DZ4:DZ34,$A$216)+COUNTIF('12月'!EE4:EE34,$A$216)+COUNTIF('12月'!EJ4:EJ34,$A$216)+COUNTIF('12月'!EO4:EO34,$A$216)+COUNTIF('12月'!ET4:ET34,$A$216))</f>
        <v>0</v>
      </c>
      <c r="D216" s="65">
        <f>IF($A$216="",0,B216+C216)</f>
        <v>0</v>
      </c>
    </row>
    <row r="217" spans="1:4" ht="18.95" customHeight="1">
      <c r="A217" s="77">
        <f>IFERROR(現場マスタ!$C$22,"")</f>
        <v>0</v>
      </c>
      <c r="B217" s="76">
        <f>IF($A$217="",0,COUNTIF('12月'!D4:D34,$A$217)+COUNTIF('12月'!I4:I34,$A$217)+COUNTIF('12月'!N4:N34,$A$217)+COUNTIF('12月'!S4:S34,$A$217)+COUNTIF('12月'!X4:X34,$A$217)+COUNTIF('12月'!AC4:AC34,$A$217)+COUNTIF('12月'!AH4:AH34,$A$217)+COUNTIF('12月'!AM4:AM34,$A$217)+COUNTIF('12月'!AR4:AR34,$A$217)+COUNTIF('12月'!AW4:AW34,$A$217)+COUNTIF('12月'!BB4:BB34,$A$217)+COUNTIF('12月'!BG4:BG34,$A$217)+COUNTIF('12月'!BL4:BL34,$A$217)+COUNTIF('12月'!BQ4:BQ34,$A$217)+COUNTIF('12月'!BV4:BV34,$A$217)+COUNTIF('12月'!CA4:CA34,$A$217)+COUNTIF('12月'!CF4:CF34,$A$217)+COUNTIF('12月'!CK4:CK34,$A$217)+COUNTIF('12月'!CP4:CP34,$A$217)+COUNTIF('12月'!CU4:CU34,$A$217)+COUNTIF('12月'!CZ4:CZ34,$A$217)+COUNTIF('12月'!DE4:DE34,$A$217)+COUNTIF('12月'!DJ4:DJ34,$A$217)+COUNTIF('12月'!DO4:DO34,$A$217)+COUNTIF('12月'!DT4:DT34,$A$217)+COUNTIF('12月'!DY4:DY34,$A$217)+COUNTIF('12月'!ED4:ED34,$A$217)+COUNTIF('12月'!EI4:EI34,$A$217)+COUNTIF('12月'!EN4:EN34,$A$217)+COUNTIF('12月'!ES4:ES34,$A$217))</f>
        <v>0</v>
      </c>
      <c r="C217" s="76">
        <f>IF($A$217="",0,COUNTIF('12月'!E4:E34,$A$217)+COUNTIF('12月'!J4:J34,$A$217)+COUNTIF('12月'!O4:O34,$A$217)+COUNTIF('12月'!T4:T34,$A$217)+COUNTIF('12月'!Y4:Y34,$A$217)+COUNTIF('12月'!AD4:AD34,$A$217)+COUNTIF('12月'!AI4:AI34,$A$217)+COUNTIF('12月'!AN4:AN34,$A$217)+COUNTIF('12月'!AS4:AS34,$A$217)+COUNTIF('12月'!AX4:AX34,$A$217)+COUNTIF('12月'!BC4:BC34,$A$217)+COUNTIF('12月'!BH4:BH34,$A$217)+COUNTIF('12月'!BM4:BM34,$A$217)+COUNTIF('12月'!BR4:BR34,$A$217)+COUNTIF('12月'!BW4:BW34,$A$217)+COUNTIF('12月'!CB4:CB34,$A$217)+COUNTIF('12月'!CG4:CG34,$A$217)+COUNTIF('12月'!CL4:CL34,$A$217)+COUNTIF('12月'!CQ4:CQ34,$A$217)+COUNTIF('12月'!CV4:CV34,$A$217)+COUNTIF('12月'!DA4:DA34,$A$217)+COUNTIF('12月'!DF4:DF34,$A$217)+COUNTIF('12月'!DK4:DK34,$A$217)+COUNTIF('12月'!DP4:DP34,$A$217)+COUNTIF('12月'!DU4:DU34,$A$217)+COUNTIF('12月'!DZ4:DZ34,$A$217)+COUNTIF('12月'!EE4:EE34,$A$217)+COUNTIF('12月'!EJ4:EJ34,$A$217)+COUNTIF('12月'!EO4:EO34,$A$217)+COUNTIF('12月'!ET4:ET34,$A$217))</f>
        <v>0</v>
      </c>
      <c r="D217" s="65">
        <f>IF($A$217="",0,B217+C217)</f>
        <v>0</v>
      </c>
    </row>
    <row r="218" spans="1:4" ht="9.9499999999999993" customHeight="1"/>
  </sheetData>
  <mergeCells count="13">
    <mergeCell ref="A1:D1"/>
    <mergeCell ref="A3:D3"/>
    <mergeCell ref="A21:D21"/>
    <mergeCell ref="A39:D39"/>
    <mergeCell ref="A57:D57"/>
    <mergeCell ref="A165:D165"/>
    <mergeCell ref="A183:D183"/>
    <mergeCell ref="A201:D201"/>
    <mergeCell ref="A75:D75"/>
    <mergeCell ref="A93:D93"/>
    <mergeCell ref="A111:D111"/>
    <mergeCell ref="A129:D129"/>
    <mergeCell ref="A147:D147"/>
  </mergeCells>
  <phoneticPr fontId="43"/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Y446"/>
  <sheetViews>
    <sheetView topLeftCell="A7" zoomScale="90" zoomScaleNormal="90" workbookViewId="0">
      <selection activeCell="AE12" sqref="AE12"/>
    </sheetView>
  </sheetViews>
  <sheetFormatPr defaultColWidth="8.7109375" defaultRowHeight="15"/>
  <cols>
    <col min="1" max="1" width="9" customWidth="1"/>
    <col min="2" max="25" width="8" customWidth="1"/>
  </cols>
  <sheetData>
    <row r="1" spans="1:25" ht="30" customHeight="1">
      <c r="A1" s="122" t="str">
        <f>対象年度&amp;"年 現場人工表  (有)水越設備"</f>
        <v>2026年 現場人工表  (有)水越設備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ht="9.9499999999999993" customHeight="1"/>
    <row r="3" spans="1:25" ht="21.95" customHeight="1">
      <c r="A3" s="112" t="str">
        <f>対象年度&amp;"年 1月分  30日締め"</f>
        <v>2026年 1月分  30日締め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</row>
    <row r="4" spans="1:25" ht="21.95" customHeight="1">
      <c r="A4" s="60" t="s">
        <v>113</v>
      </c>
      <c r="B4" s="123" t="str">
        <f>IFERROR(現場マスタ!$C$4,"")</f>
        <v>新宿</v>
      </c>
      <c r="C4" s="123"/>
      <c r="D4" s="123" t="str">
        <f>IFERROR(現場マスタ!$C$5,"")</f>
        <v>赤坂</v>
      </c>
      <c r="E4" s="123"/>
      <c r="F4" s="123" t="str">
        <f>IFERROR(現場マスタ!$C$6,"")</f>
        <v>渋谷ヒカリエ</v>
      </c>
      <c r="G4" s="123"/>
      <c r="H4" s="123" t="str">
        <f>IFERROR(現場マスタ!$C$7,"")</f>
        <v>六本木ヒルズ</v>
      </c>
      <c r="I4" s="123"/>
      <c r="J4" s="123" t="str">
        <f>IFERROR(現場マスタ!$C$10,"")</f>
        <v>有給</v>
      </c>
      <c r="K4" s="123"/>
      <c r="L4" s="123">
        <f>IFERROR(現場マスタ!$C$12,"")</f>
        <v>0</v>
      </c>
      <c r="M4" s="123"/>
      <c r="N4" s="123">
        <f>IFERROR(現場マスタ!$C$16,"")</f>
        <v>0</v>
      </c>
      <c r="O4" s="123"/>
      <c r="P4" s="123">
        <f>IFERROR(現場マスタ!$C$17,"")</f>
        <v>0</v>
      </c>
      <c r="Q4" s="123"/>
      <c r="R4" s="123">
        <f>IFERROR(現場マスタ!$C$18,"")</f>
        <v>0</v>
      </c>
      <c r="S4" s="123"/>
      <c r="T4" s="123">
        <f>IFERROR(現場マスタ!$C$20,"")</f>
        <v>0</v>
      </c>
      <c r="U4" s="123"/>
      <c r="V4" s="123">
        <f>IFERROR(現場マスタ!$C$21,"")</f>
        <v>0</v>
      </c>
      <c r="W4" s="123"/>
      <c r="X4" s="123">
        <f>IFERROR(現場マスタ!$C$22,"")</f>
        <v>0</v>
      </c>
      <c r="Y4" s="123"/>
    </row>
    <row r="5" spans="1:25" ht="20.100000000000001" customHeight="1">
      <c r="A5" s="60" t="s">
        <v>4</v>
      </c>
      <c r="B5" s="65" t="s">
        <v>114</v>
      </c>
      <c r="C5" s="65" t="s">
        <v>115</v>
      </c>
      <c r="D5" s="65" t="s">
        <v>114</v>
      </c>
      <c r="E5" s="65" t="s">
        <v>115</v>
      </c>
      <c r="F5" s="65" t="s">
        <v>114</v>
      </c>
      <c r="G5" s="65" t="s">
        <v>115</v>
      </c>
      <c r="H5" s="65" t="s">
        <v>114</v>
      </c>
      <c r="I5" s="65" t="s">
        <v>115</v>
      </c>
      <c r="J5" s="65" t="s">
        <v>114</v>
      </c>
      <c r="K5" s="65" t="s">
        <v>115</v>
      </c>
      <c r="L5" s="65" t="s">
        <v>114</v>
      </c>
      <c r="M5" s="65" t="s">
        <v>115</v>
      </c>
      <c r="N5" s="65" t="s">
        <v>114</v>
      </c>
      <c r="O5" s="65" t="s">
        <v>115</v>
      </c>
      <c r="P5" s="65" t="s">
        <v>114</v>
      </c>
      <c r="Q5" s="65" t="s">
        <v>115</v>
      </c>
      <c r="R5" s="65" t="s">
        <v>114</v>
      </c>
      <c r="S5" s="65" t="s">
        <v>115</v>
      </c>
      <c r="T5" s="65" t="s">
        <v>114</v>
      </c>
      <c r="U5" s="65" t="s">
        <v>115</v>
      </c>
      <c r="V5" s="65" t="s">
        <v>114</v>
      </c>
      <c r="W5" s="65" t="s">
        <v>115</v>
      </c>
      <c r="X5" s="65" t="s">
        <v>114</v>
      </c>
      <c r="Y5" s="65" t="s">
        <v>115</v>
      </c>
    </row>
    <row r="6" spans="1:25" ht="18" customHeight="1">
      <c r="A6" s="76">
        <v>1</v>
      </c>
      <c r="B6" s="76">
        <f>COUNTIF('1月'!D4:E4,B$4)+COUNTIF('1月'!I4:J4,B$4)+COUNTIF('1月'!N4:O4,B$4)+COUNTIF('1月'!S4:T4,B$4)+COUNTIF('1月'!X4:Y4,B$4)+COUNTIF('1月'!AC4:AD4,B$4)+COUNTIF('1月'!AH4:AI4,B$4)+COUNTIF('1月'!AM4:AN4,B$4)+COUNTIF('1月'!AR4:AS4,B$4)+COUNTIF('1月'!AW4:AX4,B$4)+COUNTIF('1月'!BB4:BC4,B$4)+COUNTIF('1月'!BG4:BH4,B$4)+COUNTIF('1月'!BL4:BM4,B$4)+COUNTIF('1月'!BQ4:BR4,B$4)+COUNTIF('1月'!BV4:BW4,B$4)+COUNTIF('1月'!CA4:CB4,B$4)+COUNTIF('1月'!CF4:CG4,B$4)+COUNTIF('1月'!CK4:CL4,B$4)+COUNTIF('1月'!CP4:CQ4,B$4)+COUNTIF('1月'!CU4:CV4,B$4)+COUNTIF('1月'!CZ4:DA4,B$4)+COUNTIF('1月'!DE4:DF4,B$4)+COUNTIF('1月'!DJ4:DK4,B$4)+COUNTIF('1月'!DO4:DP4,B$4)+COUNTIF('1月'!DT4:DU4,B$4)+COUNTIF('1月'!DY4:DZ4,B$4)+COUNTIF('1月'!ED4:EE4,B$4)+COUNTIF('1月'!EI4:EJ4,B$4)+COUNTIF('1月'!EN4:EO4,B$4)+COUNTIF('1月'!ES4:ET4,B$4)</f>
        <v>0</v>
      </c>
      <c r="C6" s="76">
        <f>IF(B6=0,0,B6)</f>
        <v>0</v>
      </c>
      <c r="D6" s="76">
        <f>COUNTIF('1月'!D4:E4,D$4)+COUNTIF('1月'!I4:J4,D$4)+COUNTIF('1月'!N4:O4,D$4)+COUNTIF('1月'!S4:T4,D$4)+COUNTIF('1月'!X4:Y4,D$4)+COUNTIF('1月'!AC4:AD4,D$4)+COUNTIF('1月'!AH4:AI4,D$4)+COUNTIF('1月'!AM4:AN4,D$4)+COUNTIF('1月'!AR4:AS4,D$4)+COUNTIF('1月'!AW4:AX4,D$4)+COUNTIF('1月'!BB4:BC4,D$4)+COUNTIF('1月'!BG4:BH4,D$4)+COUNTIF('1月'!BL4:BM4,D$4)+COUNTIF('1月'!BQ4:BR4,D$4)+COUNTIF('1月'!BV4:BW4,D$4)+COUNTIF('1月'!CA4:CB4,D$4)+COUNTIF('1月'!CF4:CG4,D$4)+COUNTIF('1月'!CK4:CL4,D$4)+COUNTIF('1月'!CP4:CQ4,D$4)+COUNTIF('1月'!CU4:CV4,D$4)+COUNTIF('1月'!CZ4:DA4,D$4)+COUNTIF('1月'!DE4:DF4,D$4)+COUNTIF('1月'!DJ4:DK4,D$4)+COUNTIF('1月'!DO4:DP4,D$4)+COUNTIF('1月'!DT4:DU4,D$4)+COUNTIF('1月'!DY4:DZ4,D$4)+COUNTIF('1月'!ED4:EE4,D$4)+COUNTIF('1月'!EI4:EJ4,D$4)+COUNTIF('1月'!EN4:EO4,D$4)+COUNTIF('1月'!ES4:ET4,D$4)</f>
        <v>0</v>
      </c>
      <c r="E6" s="76">
        <f>IF(D6=0,0,D6)</f>
        <v>0</v>
      </c>
      <c r="F6" s="76">
        <f>COUNTIF('1月'!D4:E4,F$4)+COUNTIF('1月'!I4:J4,F$4)+COUNTIF('1月'!N4:O4,F$4)+COUNTIF('1月'!S4:T4,F$4)+COUNTIF('1月'!X4:Y4,F$4)+COUNTIF('1月'!AC4:AD4,F$4)+COUNTIF('1月'!AH4:AI4,F$4)+COUNTIF('1月'!AM4:AN4,F$4)+COUNTIF('1月'!AR4:AS4,F$4)+COUNTIF('1月'!AW4:AX4,F$4)+COUNTIF('1月'!BB4:BC4,F$4)+COUNTIF('1月'!BG4:BH4,F$4)+COUNTIF('1月'!BL4:BM4,F$4)+COUNTIF('1月'!BQ4:BR4,F$4)+COUNTIF('1月'!BV4:BW4,F$4)+COUNTIF('1月'!CA4:CB4,F$4)+COUNTIF('1月'!CF4:CG4,F$4)+COUNTIF('1月'!CK4:CL4,F$4)+COUNTIF('1月'!CP4:CQ4,F$4)+COUNTIF('1月'!CU4:CV4,F$4)+COUNTIF('1月'!CZ4:DA4,F$4)+COUNTIF('1月'!DE4:DF4,F$4)+COUNTIF('1月'!DJ4:DK4,F$4)+COUNTIF('1月'!DO4:DP4,F$4)+COUNTIF('1月'!DT4:DU4,F$4)+COUNTIF('1月'!DY4:DZ4,F$4)+COUNTIF('1月'!ED4:EE4,F$4)+COUNTIF('1月'!EI4:EJ4,F$4)+COUNTIF('1月'!EN4:EO4,F$4)+COUNTIF('1月'!ES4:ET4,F$4)</f>
        <v>0</v>
      </c>
      <c r="G6" s="76">
        <f>IF(F6=0,0,F6)</f>
        <v>0</v>
      </c>
      <c r="H6" s="76">
        <f>COUNTIF('1月'!D4:E4,H$4)+COUNTIF('1月'!I4:J4,H$4)+COUNTIF('1月'!N4:O4,H$4)+COUNTIF('1月'!S4:T4,H$4)+COUNTIF('1月'!X4:Y4,H$4)+COUNTIF('1月'!AC4:AD4,H$4)+COUNTIF('1月'!AH4:AI4,H$4)+COUNTIF('1月'!AM4:AN4,H$4)+COUNTIF('1月'!AR4:AS4,H$4)+COUNTIF('1月'!AW4:AX4,H$4)+COUNTIF('1月'!BB4:BC4,H$4)+COUNTIF('1月'!BG4:BH4,H$4)+COUNTIF('1月'!BL4:BM4,H$4)+COUNTIF('1月'!BQ4:BR4,H$4)+COUNTIF('1月'!BV4:BW4,H$4)+COUNTIF('1月'!CA4:CB4,H$4)+COUNTIF('1月'!CF4:CG4,H$4)+COUNTIF('1月'!CK4:CL4,H$4)+COUNTIF('1月'!CP4:CQ4,H$4)+COUNTIF('1月'!CU4:CV4,H$4)+COUNTIF('1月'!CZ4:DA4,H$4)+COUNTIF('1月'!DE4:DF4,H$4)+COUNTIF('1月'!DJ4:DK4,H$4)+COUNTIF('1月'!DO4:DP4,H$4)+COUNTIF('1月'!DT4:DU4,H$4)+COUNTIF('1月'!DY4:DZ4,H$4)+COUNTIF('1月'!ED4:EE4,H$4)+COUNTIF('1月'!EI4:EJ4,H$4)+COUNTIF('1月'!EN4:EO4,H$4)+COUNTIF('1月'!ES4:ET4,H$4)+COUNTIF('1月'!D4:E4,"渋谷-夜勤")+COUNTIF('1月'!I4:J4,"渋谷-夜勤")+COUNTIF('1月'!N4:O4,"渋谷-夜勤")+COUNTIF('1月'!S4:T4,"渋谷-夜勤")+COUNTIF('1月'!X4:Y4,"渋谷-夜勤")+COUNTIF('1月'!AC4:AD4,"渋谷-夜勤")+COUNTIF('1月'!AH4:AI4,"渋谷-夜勤")+COUNTIF('1月'!AM4:AN4,"渋谷-夜勤")+COUNTIF('1月'!AR4:AS4,"渋谷-夜勤")+COUNTIF('1月'!AW4:AX4,"渋谷-夜勤")+COUNTIF('1月'!BB4:BC4,"渋谷-夜勤")+COUNTIF('1月'!BG4:BH4,"渋谷-夜勤")+COUNTIF('1月'!BL4:BM4,"渋谷-夜勤")+COUNTIF('1月'!BQ4:BR4,"渋谷-夜勤")+COUNTIF('1月'!BV4:BW4,"渋谷-夜勤")+COUNTIF('1月'!CA4:CB4,"渋谷-夜勤")+COUNTIF('1月'!CF4:CG4,"渋谷-夜勤")+COUNTIF('1月'!CK4:CL4,"渋谷-夜勤")+COUNTIF('1月'!CP4:CQ4,"渋谷-夜勤")+COUNTIF('1月'!CU4:CV4,"渋谷-夜勤")+COUNTIF('1月'!CZ4:DA4,"渋谷-夜勤")+COUNTIF('1月'!DE4:DF4,"渋谷-夜勤")+COUNTIF('1月'!DJ4:DK4,"渋谷-夜勤")+COUNTIF('1月'!DO4:DP4,"渋谷-夜勤")+COUNTIF('1月'!DT4:DU4,"渋谷-夜勤")+COUNTIF('1月'!DY4:DZ4,"渋谷-夜勤")+COUNTIF('1月'!ED4:EE4,"渋谷-夜勤")+COUNTIF('1月'!EI4:EJ4,"渋谷-夜勤")+COUNTIF('1月'!EN4:EO4,"渋谷-夜勤")+COUNTIF('1月'!ES4:ET4,"渋谷-夜勤")</f>
        <v>0</v>
      </c>
      <c r="I6" s="76">
        <f>IF(H6=0,0,H6)</f>
        <v>0</v>
      </c>
      <c r="J6" s="76">
        <f>COUNTIF('1月'!D4:E4,J$4)+COUNTIF('1月'!I4:J4,J$4)+COUNTIF('1月'!N4:O4,J$4)+COUNTIF('1月'!S4:T4,J$4)+COUNTIF('1月'!X4:Y4,J$4)+COUNTIF('1月'!AC4:AD4,J$4)+COUNTIF('1月'!AH4:AI4,J$4)+COUNTIF('1月'!AM4:AN4,J$4)+COUNTIF('1月'!AR4:AS4,J$4)+COUNTIF('1月'!AW4:AX4,J$4)+COUNTIF('1月'!BB4:BC4,J$4)+COUNTIF('1月'!BG4:BH4,J$4)+COUNTIF('1月'!BL4:BM4,J$4)+COUNTIF('1月'!BQ4:BR4,J$4)+COUNTIF('1月'!BV4:BW4,J$4)+COUNTIF('1月'!CA4:CB4,J$4)+COUNTIF('1月'!CF4:CG4,J$4)+COUNTIF('1月'!CK4:CL4,J$4)+COUNTIF('1月'!CP4:CQ4,J$4)+COUNTIF('1月'!CU4:CV4,J$4)+COUNTIF('1月'!CZ4:DA4,J$4)+COUNTIF('1月'!DE4:DF4,J$4)+COUNTIF('1月'!DJ4:DK4,J$4)+COUNTIF('1月'!DO4:DP4,J$4)+COUNTIF('1月'!DT4:DU4,J$4)+COUNTIF('1月'!DY4:DZ4,J$4)+COUNTIF('1月'!ED4:EE4,J$4)+COUNTIF('1月'!EI4:EJ4,J$4)+COUNTIF('1月'!EN4:EO4,J$4)+COUNTIF('1月'!ES4:ET4,J$4)+COUNTIF('1月'!D4:E4,"六本木-夜勤")+COUNTIF('1月'!I4:J4,"六本木-夜勤")+COUNTIF('1月'!N4:O4,"六本木-夜勤")+COUNTIF('1月'!S4:T4,"六本木-夜勤")+COUNTIF('1月'!X4:Y4,"六本木-夜勤")+COUNTIF('1月'!AC4:AD4,"六本木-夜勤")+COUNTIF('1月'!AH4:AI4,"六本木-夜勤")+COUNTIF('1月'!AM4:AN4,"六本木-夜勤")+COUNTIF('1月'!AR4:AS4,"六本木-夜勤")+COUNTIF('1月'!AW4:AX4,"六本木-夜勤")+COUNTIF('1月'!BB4:BC4,"六本木-夜勤")+COUNTIF('1月'!BG4:BH4,"六本木-夜勤")+COUNTIF('1月'!BL4:BM4,"六本木-夜勤")+COUNTIF('1月'!BQ4:BR4,"六本木-夜勤")+COUNTIF('1月'!BV4:BW4,"六本木-夜勤")+COUNTIF('1月'!CA4:CB4,"六本木-夜勤")+COUNTIF('1月'!CF4:CG4,"六本木-夜勤")+COUNTIF('1月'!CK4:CL4,"六本木-夜勤")+COUNTIF('1月'!CP4:CQ4,"六本木-夜勤")+COUNTIF('1月'!CU4:CV4,"六本木-夜勤")+COUNTIF('1月'!CZ4:DA4,"六本木-夜勤")+COUNTIF('1月'!DE4:DF4,"六本木-夜勤")+COUNTIF('1月'!DJ4:DK4,"六本木-夜勤")+COUNTIF('1月'!DO4:DP4,"六本木-夜勤")+COUNTIF('1月'!DT4:DU4,"六本木-夜勤")+COUNTIF('1月'!DY4:DZ4,"六本木-夜勤")+COUNTIF('1月'!ED4:EE4,"六本木-夜勤")+COUNTIF('1月'!EI4:EJ4,"六本木-夜勤")+COUNTIF('1月'!EN4:EO4,"六本木-夜勤")+COUNTIF('1月'!ES4:ET4,"六本木-夜勤")+COUNTIF('1月'!D4:E4,"六本木ー夜勤")+COUNTIF('1月'!I4:J4,"六本木ー夜勤")+COUNTIF('1月'!N4:O4,"六本木ー夜勤")+COUNTIF('1月'!S4:T4,"六本木ー夜勤")+COUNTIF('1月'!X4:Y4,"六本木ー夜勤")+COUNTIF('1月'!AC4:AD4,"六本木ー夜勤")+COUNTIF('1月'!AH4:AI4,"六本木ー夜勤")+COUNTIF('1月'!AM4:AN4,"六本木ー夜勤")+COUNTIF('1月'!AR4:AS4,"六本木ー夜勤")+COUNTIF('1月'!AW4:AX4,"六本木ー夜勤")+COUNTIF('1月'!BB4:BC4,"六本木ー夜勤")+COUNTIF('1月'!BG4:BH4,"六本木ー夜勤")+COUNTIF('1月'!BL4:BM4,"六本木ー夜勤")+COUNTIF('1月'!BQ4:BR4,"六本木ー夜勤")+COUNTIF('1月'!BV4:BW4,"六本木ー夜勤")+COUNTIF('1月'!CA4:CB4,"六本木ー夜勤")+COUNTIF('1月'!CF4:CG4,"六本木ー夜勤")+COUNTIF('1月'!CK4:CL4,"六本木ー夜勤")+COUNTIF('1月'!CP4:CQ4,"六本木ー夜勤")+COUNTIF('1月'!CU4:CV4,"六本木ー夜勤")+COUNTIF('1月'!CZ4:DA4,"六本木ー夜勤")+COUNTIF('1月'!DE4:DF4,"六本木ー夜勤")+COUNTIF('1月'!DJ4:DK4,"六本木ー夜勤")+COUNTIF('1月'!DO4:DP4,"六本木ー夜勤")+COUNTIF('1月'!DT4:DU4,"六本木ー夜勤")+COUNTIF('1月'!DY4:DZ4,"六本木ー夜勤")+COUNTIF('1月'!ED4:EE4,"六本木ー夜勤")+COUNTIF('1月'!EI4:EJ4,"六本木ー夜勤")+COUNTIF('1月'!EN4:EO4,"六本木ー夜勤")+COUNTIF('1月'!ES4:ET4,"六本木ー夜勤")</f>
        <v>0</v>
      </c>
      <c r="K6" s="76">
        <f>IF(J6=0,0,J6)</f>
        <v>0</v>
      </c>
      <c r="L6" s="76">
        <f>COUNTIF('1月'!D4:E4,L$4)+COUNTIF('1月'!I4:J4,L$4)+COUNTIF('1月'!N4:O4,L$4)+COUNTIF('1月'!S4:T4,L$4)+COUNTIF('1月'!X4:Y4,L$4)+COUNTIF('1月'!AC4:AD4,L$4)+COUNTIF('1月'!AH4:AI4,L$4)+COUNTIF('1月'!AM4:AN4,L$4)+COUNTIF('1月'!AR4:AS4,L$4)+COUNTIF('1月'!AW4:AX4,L$4)+COUNTIF('1月'!BB4:BC4,L$4)+COUNTIF('1月'!BG4:BH4,L$4)+COUNTIF('1月'!BL4:BM4,L$4)+COUNTIF('1月'!BQ4:BR4,L$4)+COUNTIF('1月'!BV4:BW4,L$4)+COUNTIF('1月'!CA4:CB4,L$4)+COUNTIF('1月'!CF4:CG4,L$4)+COUNTIF('1月'!CK4:CL4,L$4)+COUNTIF('1月'!CP4:CQ4,L$4)+COUNTIF('1月'!CU4:CV4,L$4)+COUNTIF('1月'!CZ4:DA4,L$4)+COUNTIF('1月'!DE4:DF4,L$4)+COUNTIF('1月'!DJ4:DK4,L$4)+COUNTIF('1月'!DO4:DP4,L$4)+COUNTIF('1月'!DT4:DU4,L$4)+COUNTIF('1月'!DY4:DZ4,L$4)+COUNTIF('1月'!ED4:EE4,L$4)+COUNTIF('1月'!EI4:EJ4,L$4)+COUNTIF('1月'!EN4:EO4,L$4)+COUNTIF('1月'!ES4:ET4,L$4)</f>
        <v>0</v>
      </c>
      <c r="M6" s="76">
        <f>IF(L6=0,0,L6)</f>
        <v>0</v>
      </c>
      <c r="N6" s="76">
        <f>COUNTIF('1月'!D4:E4,N$4)+COUNTIF('1月'!I4:J4,N$4)+COUNTIF('1月'!N4:O4,N$4)+COUNTIF('1月'!S4:T4,N$4)+COUNTIF('1月'!X4:Y4,N$4)+COUNTIF('1月'!AC4:AD4,N$4)+COUNTIF('1月'!AH4:AI4,N$4)+COUNTIF('1月'!AM4:AN4,N$4)+COUNTIF('1月'!AR4:AS4,N$4)+COUNTIF('1月'!AW4:AX4,N$4)+COUNTIF('1月'!BB4:BC4,N$4)+COUNTIF('1月'!BG4:BH4,N$4)+COUNTIF('1月'!BL4:BM4,N$4)+COUNTIF('1月'!BQ4:BR4,N$4)+COUNTIF('1月'!BV4:BW4,N$4)+COUNTIF('1月'!CA4:CB4,N$4)+COUNTIF('1月'!CF4:CG4,N$4)+COUNTIF('1月'!CK4:CL4,N$4)+COUNTIF('1月'!CP4:CQ4,N$4)+COUNTIF('1月'!CU4:CV4,N$4)+COUNTIF('1月'!CZ4:DA4,N$4)+COUNTIF('1月'!DE4:DF4,N$4)+COUNTIF('1月'!DJ4:DK4,N$4)+COUNTIF('1月'!DO4:DP4,N$4)+COUNTIF('1月'!DT4:DU4,N$4)+COUNTIF('1月'!DY4:DZ4,N$4)+COUNTIF('1月'!ED4:EE4,N$4)+COUNTIF('1月'!EI4:EJ4,N$4)+COUNTIF('1月'!EN4:EO4,N$4)+COUNTIF('1月'!ES4:ET4,N$4)+COUNTIF('1月'!D4:E4,"三軒茶屋－夜勤")+COUNTIF('1月'!I4:J4,"三軒茶屋－夜勤")+COUNTIF('1月'!N4:O4,"三軒茶屋－夜勤")+COUNTIF('1月'!S4:T4,"三軒茶屋－夜勤")+COUNTIF('1月'!X4:Y4,"三軒茶屋－夜勤")+COUNTIF('1月'!AC4:AD4,"三軒茶屋－夜勤")+COUNTIF('1月'!AH4:AI4,"三軒茶屋－夜勤")+COUNTIF('1月'!AM4:AN4,"三軒茶屋－夜勤")+COUNTIF('1月'!AR4:AS4,"三軒茶屋－夜勤")+COUNTIF('1月'!AW4:AX4,"三軒茶屋－夜勤")+COUNTIF('1月'!BB4:BC4,"三軒茶屋－夜勤")+COUNTIF('1月'!BG4:BH4,"三軒茶屋－夜勤")+COUNTIF('1月'!BL4:BM4,"三軒茶屋－夜勤")+COUNTIF('1月'!BQ4:BR4,"三軒茶屋－夜勤")+COUNTIF('1月'!BV4:BW4,"三軒茶屋－夜勤")+COUNTIF('1月'!CA4:CB4,"三軒茶屋－夜勤")+COUNTIF('1月'!CF4:CG4,"三軒茶屋－夜勤")+COUNTIF('1月'!CK4:CL4,"三軒茶屋－夜勤")+COUNTIF('1月'!CP4:CQ4,"三軒茶屋－夜勤")+COUNTIF('1月'!CU4:CV4,"三軒茶屋－夜勤")+COUNTIF('1月'!CZ4:DA4,"三軒茶屋－夜勤")+COUNTIF('1月'!DE4:DF4,"三軒茶屋－夜勤")+COUNTIF('1月'!DJ4:DK4,"三軒茶屋－夜勤")+COUNTIF('1月'!DO4:DP4,"三軒茶屋－夜勤")+COUNTIF('1月'!DT4:DU4,"三軒茶屋－夜勤")+COUNTIF('1月'!DY4:DZ4,"三軒茶屋－夜勤")+COUNTIF('1月'!ED4:EE4,"三軒茶屋－夜勤")+COUNTIF('1月'!EI4:EJ4,"三軒茶屋－夜勤")+COUNTIF('1月'!EN4:EO4,"三軒茶屋－夜勤")+COUNTIF('1月'!ES4:ET4,"三軒茶屋－夜勤")</f>
        <v>0</v>
      </c>
      <c r="O6" s="76">
        <f>IF(N6=0,0,N6)</f>
        <v>0</v>
      </c>
      <c r="P6" s="76">
        <f>COUNTIF('1月'!D4:E4,P$4)+COUNTIF('1月'!I4:J4,P$4)+COUNTIF('1月'!N4:O4,P$4)+COUNTIF('1月'!S4:T4,P$4)+COUNTIF('1月'!X4:Y4,P$4)+COUNTIF('1月'!AC4:AD4,P$4)+COUNTIF('1月'!AH4:AI4,P$4)+COUNTIF('1月'!AM4:AN4,P$4)+COUNTIF('1月'!AR4:AS4,P$4)+COUNTIF('1月'!AW4:AX4,P$4)+COUNTIF('1月'!BB4:BC4,P$4)+COUNTIF('1月'!BG4:BH4,P$4)+COUNTIF('1月'!BL4:BM4,P$4)+COUNTIF('1月'!BQ4:BR4,P$4)+COUNTIF('1月'!BV4:BW4,P$4)+COUNTIF('1月'!CA4:CB4,P$4)+COUNTIF('1月'!CF4:CG4,P$4)+COUNTIF('1月'!CK4:CL4,P$4)+COUNTIF('1月'!CP4:CQ4,P$4)+COUNTIF('1月'!CU4:CV4,P$4)+COUNTIF('1月'!CZ4:DA4,P$4)+COUNTIF('1月'!DE4:DF4,P$4)+COUNTIF('1月'!DJ4:DK4,P$4)+COUNTIF('1月'!DO4:DP4,P$4)+COUNTIF('1月'!DT4:DU4,P$4)+COUNTIF('1月'!DY4:DZ4,P$4)+COUNTIF('1月'!ED4:EE4,P$4)+COUNTIF('1月'!EI4:EJ4,P$4)+COUNTIF('1月'!EN4:EO4,P$4)+COUNTIF('1月'!ES4:ET4,P$4)+COUNTIF('1月'!D4:E4,"荻窪ー夜勤")+COUNTIF('1月'!I4:J4,"荻窪ー夜勤")+COUNTIF('1月'!N4:O4,"荻窪ー夜勤")+COUNTIF('1月'!S4:T4,"荻窪ー夜勤")+COUNTIF('1月'!X4:Y4,"荻窪ー夜勤")+COUNTIF('1月'!AC4:AD4,"荻窪ー夜勤")+COUNTIF('1月'!AH4:AI4,"荻窪ー夜勤")+COUNTIF('1月'!AM4:AN4,"荻窪ー夜勤")+COUNTIF('1月'!AR4:AS4,"荻窪ー夜勤")+COUNTIF('1月'!AW4:AX4,"荻窪ー夜勤")+COUNTIF('1月'!BB4:BC4,"荻窪ー夜勤")+COUNTIF('1月'!BG4:BH4,"荻窪ー夜勤")+COUNTIF('1月'!BL4:BM4,"荻窪ー夜勤")+COUNTIF('1月'!BQ4:BR4,"荻窪ー夜勤")+COUNTIF('1月'!BV4:BW4,"荻窪ー夜勤")+COUNTIF('1月'!CA4:CB4,"荻窪ー夜勤")+COUNTIF('1月'!CF4:CG4,"荻窪ー夜勤")+COUNTIF('1月'!CK4:CL4,"荻窪ー夜勤")+COUNTIF('1月'!CP4:CQ4,"荻窪ー夜勤")+COUNTIF('1月'!CU4:CV4,"荻窪ー夜勤")+COUNTIF('1月'!CZ4:DA4,"荻窪ー夜勤")+COUNTIF('1月'!DE4:DF4,"荻窪ー夜勤")+COUNTIF('1月'!DJ4:DK4,"荻窪ー夜勤")+COUNTIF('1月'!DO4:DP4,"荻窪ー夜勤")+COUNTIF('1月'!DT4:DU4,"荻窪ー夜勤")+COUNTIF('1月'!DY4:DZ4,"荻窪ー夜勤")+COUNTIF('1月'!ED4:EE4,"荻窪ー夜勤")+COUNTIF('1月'!EI4:EJ4,"荻窪ー夜勤")+COUNTIF('1月'!EN4:EO4,"荻窪ー夜勤")+COUNTIF('1月'!ES4:ET4,"荻窪ー夜勤")</f>
        <v>0</v>
      </c>
      <c r="Q6" s="76">
        <f>IF(P6=0,0,P6)</f>
        <v>0</v>
      </c>
      <c r="R6" s="76">
        <f>COUNTIF('1月'!D4:E4,R$4)+COUNTIF('1月'!I4:J4,R$4)+COUNTIF('1月'!N4:O4,R$4)+COUNTIF('1月'!S4:T4,R$4)+COUNTIF('1月'!X4:Y4,R$4)+COUNTIF('1月'!AC4:AD4,R$4)+COUNTIF('1月'!AH4:AI4,R$4)+COUNTIF('1月'!AM4:AN4,R$4)+COUNTIF('1月'!AR4:AS4,R$4)+COUNTIF('1月'!AW4:AX4,R$4)+COUNTIF('1月'!BB4:BC4,R$4)+COUNTIF('1月'!BG4:BH4,R$4)+COUNTIF('1月'!BL4:BM4,R$4)+COUNTIF('1月'!BQ4:BR4,R$4)+COUNTIF('1月'!BV4:BW4,R$4)+COUNTIF('1月'!CA4:CB4,R$4)+COUNTIF('1月'!CF4:CG4,R$4)+COUNTIF('1月'!CK4:CL4,R$4)+COUNTIF('1月'!CP4:CQ4,R$4)+COUNTIF('1月'!CU4:CV4,R$4)+COUNTIF('1月'!CZ4:DA4,R$4)+COUNTIF('1月'!DE4:DF4,R$4)+COUNTIF('1月'!DJ4:DK4,R$4)+COUNTIF('1月'!DO4:DP4,R$4)+COUNTIF('1月'!DT4:DU4,R$4)+COUNTIF('1月'!DY4:DZ4,R$4)+COUNTIF('1月'!ED4:EE4,R$4)+COUNTIF('1月'!EI4:EJ4,R$4)+COUNTIF('1月'!EN4:EO4,R$4)+COUNTIF('1月'!ES4:ET4,R$4)</f>
        <v>0</v>
      </c>
      <c r="S6" s="76">
        <f>IF(R6=0,0,R6)</f>
        <v>0</v>
      </c>
      <c r="T6" s="76">
        <f>COUNTIF('1月'!D4:E4,T$4)+COUNTIF('1月'!I4:J4,T$4)+COUNTIF('1月'!N4:O4,T$4)+COUNTIF('1月'!S4:T4,T$4)+COUNTIF('1月'!X4:Y4,T$4)+COUNTIF('1月'!AC4:AD4,T$4)+COUNTIF('1月'!AH4:AI4,T$4)+COUNTIF('1月'!AM4:AN4,T$4)+COUNTIF('1月'!AR4:AS4,T$4)+COUNTIF('1月'!AW4:AX4,T$4)+COUNTIF('1月'!BB4:BC4,T$4)+COUNTIF('1月'!BG4:BH4,T$4)+COUNTIF('1月'!BL4:BM4,T$4)+COUNTIF('1月'!BQ4:BR4,T$4)+COUNTIF('1月'!BV4:BW4,T$4)+COUNTIF('1月'!CA4:CB4,T$4)+COUNTIF('1月'!CF4:CG4,T$4)+COUNTIF('1月'!CK4:CL4,T$4)+COUNTIF('1月'!CP4:CQ4,T$4)+COUNTIF('1月'!CU4:CV4,T$4)+COUNTIF('1月'!CZ4:DA4,T$4)+COUNTIF('1月'!DE4:DF4,T$4)+COUNTIF('1月'!DJ4:DK4,T$4)+COUNTIF('1月'!DO4:DP4,T$4)+COUNTIF('1月'!DT4:DU4,T$4)+COUNTIF('1月'!DY4:DZ4,T$4)+COUNTIF('1月'!ED4:EE4,T$4)+COUNTIF('1月'!EI4:EJ4,T$4)+COUNTIF('1月'!EN4:EO4,T$4)+COUNTIF('1月'!ES4:ET4,T$4)</f>
        <v>0</v>
      </c>
      <c r="U6" s="76">
        <f>IF(T6=0,0,T6)</f>
        <v>0</v>
      </c>
      <c r="V6" s="76">
        <f>COUNTIF('1月'!D4:E4,V$4)+COUNTIF('1月'!I4:J4,V$4)+COUNTIF('1月'!N4:O4,V$4)+COUNTIF('1月'!S4:T4,V$4)+COUNTIF('1月'!X4:Y4,V$4)+COUNTIF('1月'!AC4:AD4,V$4)+COUNTIF('1月'!AH4:AI4,V$4)+COUNTIF('1月'!AM4:AN4,V$4)+COUNTIF('1月'!AR4:AS4,V$4)+COUNTIF('1月'!AW4:AX4,V$4)+COUNTIF('1月'!BB4:BC4,V$4)+COUNTIF('1月'!BG4:BH4,V$4)+COUNTIF('1月'!BL4:BM4,V$4)+COUNTIF('1月'!BQ4:BR4,V$4)+COUNTIF('1月'!BV4:BW4,V$4)+COUNTIF('1月'!CA4:CB4,V$4)+COUNTIF('1月'!CF4:CG4,V$4)+COUNTIF('1月'!CK4:CL4,V$4)+COUNTIF('1月'!CP4:CQ4,V$4)+COUNTIF('1月'!CU4:CV4,V$4)+COUNTIF('1月'!CZ4:DA4,V$4)+COUNTIF('1月'!DE4:DF4,V$4)+COUNTIF('1月'!DJ4:DK4,V$4)+COUNTIF('1月'!DO4:DP4,V$4)+COUNTIF('1月'!DT4:DU4,V$4)+COUNTIF('1月'!DY4:DZ4,V$4)+COUNTIF('1月'!ED4:EE4,V$4)+COUNTIF('1月'!EI4:EJ4,V$4)+COUNTIF('1月'!EN4:EO4,V$4)+COUNTIF('1月'!ES4:ET4,V$4)</f>
        <v>0</v>
      </c>
      <c r="W6" s="76">
        <f>IF(V6=0,0,V6)</f>
        <v>0</v>
      </c>
      <c r="X6" s="76">
        <f>COUNTIF('1月'!D4:E4,X$4)+COUNTIF('1月'!I4:J4,X$4)+COUNTIF('1月'!N4:O4,X$4)+COUNTIF('1月'!S4:T4,X$4)+COUNTIF('1月'!X4:Y4,X$4)+COUNTIF('1月'!AC4:AD4,X$4)+COUNTIF('1月'!AH4:AI4,X$4)+COUNTIF('1月'!AM4:AN4,X$4)+COUNTIF('1月'!AR4:AS4,X$4)+COUNTIF('1月'!AW4:AX4,X$4)+COUNTIF('1月'!BB4:BC4,X$4)+COUNTIF('1月'!BG4:BH4,X$4)+COUNTIF('1月'!BL4:BM4,X$4)+COUNTIF('1月'!BQ4:BR4,X$4)+COUNTIF('1月'!BV4:BW4,X$4)+COUNTIF('1月'!CA4:CB4,X$4)+COUNTIF('1月'!CF4:CG4,X$4)+COUNTIF('1月'!CK4:CL4,X$4)+COUNTIF('1月'!CP4:CQ4,X$4)+COUNTIF('1月'!CU4:CV4,X$4)+COUNTIF('1月'!CZ4:DA4,X$4)+COUNTIF('1月'!DE4:DF4,X$4)+COUNTIF('1月'!DJ4:DK4,X$4)+COUNTIF('1月'!DO4:DP4,X$4)+COUNTIF('1月'!DT4:DU4,X$4)+COUNTIF('1月'!DY4:DZ4,X$4)+COUNTIF('1月'!ED4:EE4,X$4)+COUNTIF('1月'!EI4:EJ4,X$4)+COUNTIF('1月'!EN4:EO4,X$4)+COUNTIF('1月'!ES4:ET4,X$4)</f>
        <v>0</v>
      </c>
      <c r="Y6" s="76">
        <f>IF(X6=0,0,X6)</f>
        <v>0</v>
      </c>
    </row>
    <row r="7" spans="1:25" ht="18" customHeight="1">
      <c r="A7" s="76">
        <v>2</v>
      </c>
      <c r="B7" s="76">
        <f>COUNTIF('1月'!D5:E5,B$4)+COUNTIF('1月'!I5:J5,B$4)+COUNTIF('1月'!N5:O5,B$4)+COUNTIF('1月'!S5:T5,B$4)+COUNTIF('1月'!X5:Y5,B$4)+COUNTIF('1月'!AC5:AD5,B$4)+COUNTIF('1月'!AH5:AI5,B$4)+COUNTIF('1月'!AM5:AN5,B$4)+COUNTIF('1月'!AR5:AS5,B$4)+COUNTIF('1月'!AW5:AX5,B$4)+COUNTIF('1月'!BB5:BC5,B$4)+COUNTIF('1月'!BG5:BH5,B$4)+COUNTIF('1月'!BL5:BM5,B$4)+COUNTIF('1月'!BQ5:BR5,B$4)+COUNTIF('1月'!BV5:BW5,B$4)+COUNTIF('1月'!CA5:CB5,B$4)+COUNTIF('1月'!CF5:CG5,B$4)+COUNTIF('1月'!CK5:CL5,B$4)+COUNTIF('1月'!CP5:CQ5,B$4)+COUNTIF('1月'!CU5:CV5,B$4)+COUNTIF('1月'!CZ5:DA5,B$4)+COUNTIF('1月'!DE5:DF5,B$4)+COUNTIF('1月'!DJ5:DK5,B$4)+COUNTIF('1月'!DO5:DP5,B$4)+COUNTIF('1月'!DT5:DU5,B$4)+COUNTIF('1月'!DY5:DZ5,B$4)+COUNTIF('1月'!ED5:EE5,B$4)+COUNTIF('1月'!EI5:EJ5,B$4)+COUNTIF('1月'!EN5:EO5,B$4)+COUNTIF('1月'!ES5:ET5,B$4)</f>
        <v>0</v>
      </c>
      <c r="C7" s="76">
        <f t="shared" ref="C7:C36" si="0">IF(B7=0,C6,C6+B7)</f>
        <v>0</v>
      </c>
      <c r="D7" s="76">
        <f>COUNTIF('1月'!D5:E5,D$4)+COUNTIF('1月'!I5:J5,D$4)+COUNTIF('1月'!N5:O5,D$4)+COUNTIF('1月'!S5:T5,D$4)+COUNTIF('1月'!X5:Y5,D$4)+COUNTIF('1月'!AC5:AD5,D$4)+COUNTIF('1月'!AH5:AI5,D$4)+COUNTIF('1月'!AM5:AN5,D$4)+COUNTIF('1月'!AR5:AS5,D$4)+COUNTIF('1月'!AW5:AX5,D$4)+COUNTIF('1月'!BB5:BC5,D$4)+COUNTIF('1月'!BG5:BH5,D$4)+COUNTIF('1月'!BL5:BM5,D$4)+COUNTIF('1月'!BQ5:BR5,D$4)+COUNTIF('1月'!BV5:BW5,D$4)+COUNTIF('1月'!CA5:CB5,D$4)+COUNTIF('1月'!CF5:CG5,D$4)+COUNTIF('1月'!CK5:CL5,D$4)+COUNTIF('1月'!CP5:CQ5,D$4)+COUNTIF('1月'!CU5:CV5,D$4)+COUNTIF('1月'!CZ5:DA5,D$4)+COUNTIF('1月'!DE5:DF5,D$4)+COUNTIF('1月'!DJ5:DK5,D$4)+COUNTIF('1月'!DO5:DP5,D$4)+COUNTIF('1月'!DT5:DU5,D$4)+COUNTIF('1月'!DY5:DZ5,D$4)+COUNTIF('1月'!ED5:EE5,D$4)+COUNTIF('1月'!EI5:EJ5,D$4)+COUNTIF('1月'!EN5:EO5,D$4)+COUNTIF('1月'!ES5:ET5,D$4)</f>
        <v>0</v>
      </c>
      <c r="E7" s="76">
        <f t="shared" ref="E7:E36" si="1">IF(D7=0,E6,E6+D7)</f>
        <v>0</v>
      </c>
      <c r="F7" s="76">
        <f>COUNTIF('1月'!D5:E5,F$4)+COUNTIF('1月'!I5:J5,F$4)+COUNTIF('1月'!N5:O5,F$4)+COUNTIF('1月'!S5:T5,F$4)+COUNTIF('1月'!X5:Y5,F$4)+COUNTIF('1月'!AC5:AD5,F$4)+COUNTIF('1月'!AH5:AI5,F$4)+COUNTIF('1月'!AM5:AN5,F$4)+COUNTIF('1月'!AR5:AS5,F$4)+COUNTIF('1月'!AW5:AX5,F$4)+COUNTIF('1月'!BB5:BC5,F$4)+COUNTIF('1月'!BG5:BH5,F$4)+COUNTIF('1月'!BL5:BM5,F$4)+COUNTIF('1月'!BQ5:BR5,F$4)+COUNTIF('1月'!BV5:BW5,F$4)+COUNTIF('1月'!CA5:CB5,F$4)+COUNTIF('1月'!CF5:CG5,F$4)+COUNTIF('1月'!CK5:CL5,F$4)+COUNTIF('1月'!CP5:CQ5,F$4)+COUNTIF('1月'!CU5:CV5,F$4)+COUNTIF('1月'!CZ5:DA5,F$4)+COUNTIF('1月'!DE5:DF5,F$4)+COUNTIF('1月'!DJ5:DK5,F$4)+COUNTIF('1月'!DO5:DP5,F$4)+COUNTIF('1月'!DT5:DU5,F$4)+COUNTIF('1月'!DY5:DZ5,F$4)+COUNTIF('1月'!ED5:EE5,F$4)+COUNTIF('1月'!EI5:EJ5,F$4)+COUNTIF('1月'!EN5:EO5,F$4)+COUNTIF('1月'!ES5:ET5,F$4)</f>
        <v>0</v>
      </c>
      <c r="G7" s="76">
        <f t="shared" ref="G7:G36" si="2">IF(F7=0,G6,G6+F7)</f>
        <v>0</v>
      </c>
      <c r="H7" s="76">
        <f>COUNTIF('1月'!D5:E5,H$4)+COUNTIF('1月'!I5:J5,H$4)+COUNTIF('1月'!N5:O5,H$4)+COUNTIF('1月'!S5:T5,H$4)+COUNTIF('1月'!X5:Y5,H$4)+COUNTIF('1月'!AC5:AD5,H$4)+COUNTIF('1月'!AH5:AI5,H$4)+COUNTIF('1月'!AM5:AN5,H$4)+COUNTIF('1月'!AR5:AS5,H$4)+COUNTIF('1月'!AW5:AX5,H$4)+COUNTIF('1月'!BB5:BC5,H$4)+COUNTIF('1月'!BG5:BH5,H$4)+COUNTIF('1月'!BL5:BM5,H$4)+COUNTIF('1月'!BQ5:BR5,H$4)+COUNTIF('1月'!BV5:BW5,H$4)+COUNTIF('1月'!CA5:CB5,H$4)+COUNTIF('1月'!CF5:CG5,H$4)+COUNTIF('1月'!CK5:CL5,H$4)+COUNTIF('1月'!CP5:CQ5,H$4)+COUNTIF('1月'!CU5:CV5,H$4)+COUNTIF('1月'!CZ5:DA5,H$4)+COUNTIF('1月'!DE5:DF5,H$4)+COUNTIF('1月'!DJ5:DK5,H$4)+COUNTIF('1月'!DO5:DP5,H$4)+COUNTIF('1月'!DT5:DU5,H$4)+COUNTIF('1月'!DY5:DZ5,H$4)+COUNTIF('1月'!ED5:EE5,H$4)+COUNTIF('1月'!EI5:EJ5,H$4)+COUNTIF('1月'!EN5:EO5,H$4)+COUNTIF('1月'!ES5:ET5,H$4)+COUNTIF('1月'!D5:E5,"渋谷-夜勤")+COUNTIF('1月'!I5:J5,"渋谷-夜勤")+COUNTIF('1月'!N5:O5,"渋谷-夜勤")+COUNTIF('1月'!S5:T5,"渋谷-夜勤")+COUNTIF('1月'!X5:Y5,"渋谷-夜勤")+COUNTIF('1月'!AC5:AD5,"渋谷-夜勤")+COUNTIF('1月'!AH5:AI5,"渋谷-夜勤")+COUNTIF('1月'!AM5:AN5,"渋谷-夜勤")+COUNTIF('1月'!AR5:AS5,"渋谷-夜勤")+COUNTIF('1月'!AW5:AX5,"渋谷-夜勤")+COUNTIF('1月'!BB5:BC5,"渋谷-夜勤")+COUNTIF('1月'!BG5:BH5,"渋谷-夜勤")+COUNTIF('1月'!BL5:BM5,"渋谷-夜勤")+COUNTIF('1月'!BQ5:BR5,"渋谷-夜勤")+COUNTIF('1月'!BV5:BW5,"渋谷-夜勤")+COUNTIF('1月'!CA5:CB5,"渋谷-夜勤")+COUNTIF('1月'!CF5:CG5,"渋谷-夜勤")+COUNTIF('1月'!CK5:CL5,"渋谷-夜勤")+COUNTIF('1月'!CP5:CQ5,"渋谷-夜勤")+COUNTIF('1月'!CU5:CV5,"渋谷-夜勤")+COUNTIF('1月'!CZ5:DA5,"渋谷-夜勤")+COUNTIF('1月'!DE5:DF5,"渋谷-夜勤")+COUNTIF('1月'!DJ5:DK5,"渋谷-夜勤")+COUNTIF('1月'!DO5:DP5,"渋谷-夜勤")+COUNTIF('1月'!DT5:DU5,"渋谷-夜勤")+COUNTIF('1月'!DY5:DZ5,"渋谷-夜勤")+COUNTIF('1月'!ED5:EE5,"渋谷-夜勤")+COUNTIF('1月'!EI5:EJ5,"渋谷-夜勤")+COUNTIF('1月'!EN5:EO5,"渋谷-夜勤")+COUNTIF('1月'!ES5:ET5,"渋谷-夜勤")</f>
        <v>0</v>
      </c>
      <c r="I7" s="76">
        <f t="shared" ref="I7:I36" si="3">IF(H7=0,I6,I6+H7)</f>
        <v>0</v>
      </c>
      <c r="J7" s="76">
        <f>COUNTIF('1月'!D5:E5,J$4)+COUNTIF('1月'!I5:J5,J$4)+COUNTIF('1月'!N5:O5,J$4)+COUNTIF('1月'!S5:T5,J$4)+COUNTIF('1月'!X5:Y5,J$4)+COUNTIF('1月'!AC5:AD5,J$4)+COUNTIF('1月'!AH5:AI5,J$4)+COUNTIF('1月'!AM5:AN5,J$4)+COUNTIF('1月'!AR5:AS5,J$4)+COUNTIF('1月'!AW5:AX5,J$4)+COUNTIF('1月'!BB5:BC5,J$4)+COUNTIF('1月'!BG5:BH5,J$4)+COUNTIF('1月'!BL5:BM5,J$4)+COUNTIF('1月'!BQ5:BR5,J$4)+COUNTIF('1月'!BV5:BW5,J$4)+COUNTIF('1月'!CA5:CB5,J$4)+COUNTIF('1月'!CF5:CG5,J$4)+COUNTIF('1月'!CK5:CL5,J$4)+COUNTIF('1月'!CP5:CQ5,J$4)+COUNTIF('1月'!CU5:CV5,J$4)+COUNTIF('1月'!CZ5:DA5,J$4)+COUNTIF('1月'!DE5:DF5,J$4)+COUNTIF('1月'!DJ5:DK5,J$4)+COUNTIF('1月'!DO5:DP5,J$4)+COUNTIF('1月'!DT5:DU5,J$4)+COUNTIF('1月'!DY5:DZ5,J$4)+COUNTIF('1月'!ED5:EE5,J$4)+COUNTIF('1月'!EI5:EJ5,J$4)+COUNTIF('1月'!EN5:EO5,J$4)+COUNTIF('1月'!ES5:ET5,J$4)+COUNTIF('1月'!D5:E5,"六本木-夜勤")+COUNTIF('1月'!I5:J5,"六本木-夜勤")+COUNTIF('1月'!N5:O5,"六本木-夜勤")+COUNTIF('1月'!S5:T5,"六本木-夜勤")+COUNTIF('1月'!X5:Y5,"六本木-夜勤")+COUNTIF('1月'!AC5:AD5,"六本木-夜勤")+COUNTIF('1月'!AH5:AI5,"六本木-夜勤")+COUNTIF('1月'!AM5:AN5,"六本木-夜勤")+COUNTIF('1月'!AR5:AS5,"六本木-夜勤")+COUNTIF('1月'!AW5:AX5,"六本木-夜勤")+COUNTIF('1月'!BB5:BC5,"六本木-夜勤")+COUNTIF('1月'!BG5:BH5,"六本木-夜勤")+COUNTIF('1月'!BL5:BM5,"六本木-夜勤")+COUNTIF('1月'!BQ5:BR5,"六本木-夜勤")+COUNTIF('1月'!BV5:BW5,"六本木-夜勤")+COUNTIF('1月'!CA5:CB5,"六本木-夜勤")+COUNTIF('1月'!CF5:CG5,"六本木-夜勤")+COUNTIF('1月'!CK5:CL5,"六本木-夜勤")+COUNTIF('1月'!CP5:CQ5,"六本木-夜勤")+COUNTIF('1月'!CU5:CV5,"六本木-夜勤")+COUNTIF('1月'!CZ5:DA5,"六本木-夜勤")+COUNTIF('1月'!DE5:DF5,"六本木-夜勤")+COUNTIF('1月'!DJ5:DK5,"六本木-夜勤")+COUNTIF('1月'!DO5:DP5,"六本木-夜勤")+COUNTIF('1月'!DT5:DU5,"六本木-夜勤")+COUNTIF('1月'!DY5:DZ5,"六本木-夜勤")+COUNTIF('1月'!ED5:EE5,"六本木-夜勤")+COUNTIF('1月'!EI5:EJ5,"六本木-夜勤")+COUNTIF('1月'!EN5:EO5,"六本木-夜勤")+COUNTIF('1月'!ES5:ET5,"六本木-夜勤")+COUNTIF('1月'!D5:E5,"六本木ー夜勤")+COUNTIF('1月'!I5:J5,"六本木ー夜勤")+COUNTIF('1月'!N5:O5,"六本木ー夜勤")+COUNTIF('1月'!S5:T5,"六本木ー夜勤")+COUNTIF('1月'!X5:Y5,"六本木ー夜勤")+COUNTIF('1月'!AC5:AD5,"六本木ー夜勤")+COUNTIF('1月'!AH5:AI5,"六本木ー夜勤")+COUNTIF('1月'!AM5:AN5,"六本木ー夜勤")+COUNTIF('1月'!AR5:AS5,"六本木ー夜勤")+COUNTIF('1月'!AW5:AX5,"六本木ー夜勤")+COUNTIF('1月'!BB5:BC5,"六本木ー夜勤")+COUNTIF('1月'!BG5:BH5,"六本木ー夜勤")+COUNTIF('1月'!BL5:BM5,"六本木ー夜勤")+COUNTIF('1月'!BQ5:BR5,"六本木ー夜勤")+COUNTIF('1月'!BV5:BW5,"六本木ー夜勤")+COUNTIF('1月'!CA5:CB5,"六本木ー夜勤")+COUNTIF('1月'!CF5:CG5,"六本木ー夜勤")+COUNTIF('1月'!CK5:CL5,"六本木ー夜勤")+COUNTIF('1月'!CP5:CQ5,"六本木ー夜勤")+COUNTIF('1月'!CU5:CV5,"六本木ー夜勤")+COUNTIF('1月'!CZ5:DA5,"六本木ー夜勤")+COUNTIF('1月'!DE5:DF5,"六本木ー夜勤")+COUNTIF('1月'!DJ5:DK5,"六本木ー夜勤")+COUNTIF('1月'!DO5:DP5,"六本木ー夜勤")+COUNTIF('1月'!DT5:DU5,"六本木ー夜勤")+COUNTIF('1月'!DY5:DZ5,"六本木ー夜勤")+COUNTIF('1月'!ED5:EE5,"六本木ー夜勤")+COUNTIF('1月'!EI5:EJ5,"六本木ー夜勤")+COUNTIF('1月'!EN5:EO5,"六本木ー夜勤")+COUNTIF('1月'!ES5:ET5,"六本木ー夜勤")</f>
        <v>0</v>
      </c>
      <c r="K7" s="76">
        <f t="shared" ref="K7:K36" si="4">IF(J7=0,K6,K6+J7)</f>
        <v>0</v>
      </c>
      <c r="L7" s="76">
        <f>COUNTIF('1月'!D5:E5,L$4)+COUNTIF('1月'!I5:J5,L$4)+COUNTIF('1月'!N5:O5,L$4)+COUNTIF('1月'!S5:T5,L$4)+COUNTIF('1月'!X5:Y5,L$4)+COUNTIF('1月'!AC5:AD5,L$4)+COUNTIF('1月'!AH5:AI5,L$4)+COUNTIF('1月'!AM5:AN5,L$4)+COUNTIF('1月'!AR5:AS5,L$4)+COUNTIF('1月'!AW5:AX5,L$4)+COUNTIF('1月'!BB5:BC5,L$4)+COUNTIF('1月'!BG5:BH5,L$4)+COUNTIF('1月'!BL5:BM5,L$4)+COUNTIF('1月'!BQ5:BR5,L$4)+COUNTIF('1月'!BV5:BW5,L$4)+COUNTIF('1月'!CA5:CB5,L$4)+COUNTIF('1月'!CF5:CG5,L$4)+COUNTIF('1月'!CK5:CL5,L$4)+COUNTIF('1月'!CP5:CQ5,L$4)+COUNTIF('1月'!CU5:CV5,L$4)+COUNTIF('1月'!CZ5:DA5,L$4)+COUNTIF('1月'!DE5:DF5,L$4)+COUNTIF('1月'!DJ5:DK5,L$4)+COUNTIF('1月'!DO5:DP5,L$4)+COUNTIF('1月'!DT5:DU5,L$4)+COUNTIF('1月'!DY5:DZ5,L$4)+COUNTIF('1月'!ED5:EE5,L$4)+COUNTIF('1月'!EI5:EJ5,L$4)+COUNTIF('1月'!EN5:EO5,L$4)+COUNTIF('1月'!ES5:ET5,L$4)</f>
        <v>0</v>
      </c>
      <c r="M7" s="76">
        <f t="shared" ref="M7:M36" si="5">IF(L7=0,M6,M6+L7)</f>
        <v>0</v>
      </c>
      <c r="N7" s="76">
        <f>COUNTIF('1月'!D5:E5,N$4)+COUNTIF('1月'!I5:J5,N$4)+COUNTIF('1月'!N5:O5,N$4)+COUNTIF('1月'!S5:T5,N$4)+COUNTIF('1月'!X5:Y5,N$4)+COUNTIF('1月'!AC5:AD5,N$4)+COUNTIF('1月'!AH5:AI5,N$4)+COUNTIF('1月'!AM5:AN5,N$4)+COUNTIF('1月'!AR5:AS5,N$4)+COUNTIF('1月'!AW5:AX5,N$4)+COUNTIF('1月'!BB5:BC5,N$4)+COUNTIF('1月'!BG5:BH5,N$4)+COUNTIF('1月'!BL5:BM5,N$4)+COUNTIF('1月'!BQ5:BR5,N$4)+COUNTIF('1月'!BV5:BW5,N$4)+COUNTIF('1月'!CA5:CB5,N$4)+COUNTIF('1月'!CF5:CG5,N$4)+COUNTIF('1月'!CK5:CL5,N$4)+COUNTIF('1月'!CP5:CQ5,N$4)+COUNTIF('1月'!CU5:CV5,N$4)+COUNTIF('1月'!CZ5:DA5,N$4)+COUNTIF('1月'!DE5:DF5,N$4)+COUNTIF('1月'!DJ5:DK5,N$4)+COUNTIF('1月'!DO5:DP5,N$4)+COUNTIF('1月'!DT5:DU5,N$4)+COUNTIF('1月'!DY5:DZ5,N$4)+COUNTIF('1月'!ED5:EE5,N$4)+COUNTIF('1月'!EI5:EJ5,N$4)+COUNTIF('1月'!EN5:EO5,N$4)+COUNTIF('1月'!ES5:ET5,N$4)+COUNTIF('1月'!D5:E5,"三軒茶屋－夜勤")+COUNTIF('1月'!I5:J5,"三軒茶屋－夜勤")+COUNTIF('1月'!N5:O5,"三軒茶屋－夜勤")+COUNTIF('1月'!S5:T5,"三軒茶屋－夜勤")+COUNTIF('1月'!X5:Y5,"三軒茶屋－夜勤")+COUNTIF('1月'!AC5:AD5,"三軒茶屋－夜勤")+COUNTIF('1月'!AH5:AI5,"三軒茶屋－夜勤")+COUNTIF('1月'!AM5:AN5,"三軒茶屋－夜勤")+COUNTIF('1月'!AR5:AS5,"三軒茶屋－夜勤")+COUNTIF('1月'!AW5:AX5,"三軒茶屋－夜勤")+COUNTIF('1月'!BB5:BC5,"三軒茶屋－夜勤")+COUNTIF('1月'!BG5:BH5,"三軒茶屋－夜勤")+COUNTIF('1月'!BL5:BM5,"三軒茶屋－夜勤")+COUNTIF('1月'!BQ5:BR5,"三軒茶屋－夜勤")+COUNTIF('1月'!BV5:BW5,"三軒茶屋－夜勤")+COUNTIF('1月'!CA5:CB5,"三軒茶屋－夜勤")+COUNTIF('1月'!CF5:CG5,"三軒茶屋－夜勤")+COUNTIF('1月'!CK5:CL5,"三軒茶屋－夜勤")+COUNTIF('1月'!CP5:CQ5,"三軒茶屋－夜勤")+COUNTIF('1月'!CU5:CV5,"三軒茶屋－夜勤")+COUNTIF('1月'!CZ5:DA5,"三軒茶屋－夜勤")+COUNTIF('1月'!DE5:DF5,"三軒茶屋－夜勤")+COUNTIF('1月'!DJ5:DK5,"三軒茶屋－夜勤")+COUNTIF('1月'!DO5:DP5,"三軒茶屋－夜勤")+COUNTIF('1月'!DT5:DU5,"三軒茶屋－夜勤")+COUNTIF('1月'!DY5:DZ5,"三軒茶屋－夜勤")+COUNTIF('1月'!ED5:EE5,"三軒茶屋－夜勤")+COUNTIF('1月'!EI5:EJ5,"三軒茶屋－夜勤")+COUNTIF('1月'!EN5:EO5,"三軒茶屋－夜勤")+COUNTIF('1月'!ES5:ET5,"三軒茶屋－夜勤")</f>
        <v>0</v>
      </c>
      <c r="O7" s="76">
        <f t="shared" ref="O7:O36" si="6">IF(N7=0,O6,O6+N7)</f>
        <v>0</v>
      </c>
      <c r="P7" s="76">
        <f>COUNTIF('1月'!D5:E5,P$4)+COUNTIF('1月'!I5:J5,P$4)+COUNTIF('1月'!N5:O5,P$4)+COUNTIF('1月'!S5:T5,P$4)+COUNTIF('1月'!X5:Y5,P$4)+COUNTIF('1月'!AC5:AD5,P$4)+COUNTIF('1月'!AH5:AI5,P$4)+COUNTIF('1月'!AM5:AN5,P$4)+COUNTIF('1月'!AR5:AS5,P$4)+COUNTIF('1月'!AW5:AX5,P$4)+COUNTIF('1月'!BB5:BC5,P$4)+COUNTIF('1月'!BG5:BH5,P$4)+COUNTIF('1月'!BL5:BM5,P$4)+COUNTIF('1月'!BQ5:BR5,P$4)+COUNTIF('1月'!BV5:BW5,P$4)+COUNTIF('1月'!CA5:CB5,P$4)+COUNTIF('1月'!CF5:CG5,P$4)+COUNTIF('1月'!CK5:CL5,P$4)+COUNTIF('1月'!CP5:CQ5,P$4)+COUNTIF('1月'!CU5:CV5,P$4)+COUNTIF('1月'!CZ5:DA5,P$4)+COUNTIF('1月'!DE5:DF5,P$4)+COUNTIF('1月'!DJ5:DK5,P$4)+COUNTIF('1月'!DO5:DP5,P$4)+COUNTIF('1月'!DT5:DU5,P$4)+COUNTIF('1月'!DY5:DZ5,P$4)+COUNTIF('1月'!ED5:EE5,P$4)+COUNTIF('1月'!EI5:EJ5,P$4)+COUNTIF('1月'!EN5:EO5,P$4)+COUNTIF('1月'!ES5:ET5,P$4)+COUNTIF('1月'!D5:E5,"荻窪ー夜勤")+COUNTIF('1月'!I5:J5,"荻窪ー夜勤")+COUNTIF('1月'!N5:O5,"荻窪ー夜勤")+COUNTIF('1月'!S5:T5,"荻窪ー夜勤")+COUNTIF('1月'!X5:Y5,"荻窪ー夜勤")+COUNTIF('1月'!AC5:AD5,"荻窪ー夜勤")+COUNTIF('1月'!AH5:AI5,"荻窪ー夜勤")+COUNTIF('1月'!AM5:AN5,"荻窪ー夜勤")+COUNTIF('1月'!AR5:AS5,"荻窪ー夜勤")+COUNTIF('1月'!AW5:AX5,"荻窪ー夜勤")+COUNTIF('1月'!BB5:BC5,"荻窪ー夜勤")+COUNTIF('1月'!BG5:BH5,"荻窪ー夜勤")+COUNTIF('1月'!BL5:BM5,"荻窪ー夜勤")+COUNTIF('1月'!BQ5:BR5,"荻窪ー夜勤")+COUNTIF('1月'!BV5:BW5,"荻窪ー夜勤")+COUNTIF('1月'!CA5:CB5,"荻窪ー夜勤")+COUNTIF('1月'!CF5:CG5,"荻窪ー夜勤")+COUNTIF('1月'!CK5:CL5,"荻窪ー夜勤")+COUNTIF('1月'!CP5:CQ5,"荻窪ー夜勤")+COUNTIF('1月'!CU5:CV5,"荻窪ー夜勤")+COUNTIF('1月'!CZ5:DA5,"荻窪ー夜勤")+COUNTIF('1月'!DE5:DF5,"荻窪ー夜勤")+COUNTIF('1月'!DJ5:DK5,"荻窪ー夜勤")+COUNTIF('1月'!DO5:DP5,"荻窪ー夜勤")+COUNTIF('1月'!DT5:DU5,"荻窪ー夜勤")+COUNTIF('1月'!DY5:DZ5,"荻窪ー夜勤")+COUNTIF('1月'!ED5:EE5,"荻窪ー夜勤")+COUNTIF('1月'!EI5:EJ5,"荻窪ー夜勤")+COUNTIF('1月'!EN5:EO5,"荻窪ー夜勤")+COUNTIF('1月'!ES5:ET5,"荻窪ー夜勤")</f>
        <v>0</v>
      </c>
      <c r="Q7" s="76">
        <f t="shared" ref="Q7:Q36" si="7">IF(P7=0,Q6,Q6+P7)</f>
        <v>0</v>
      </c>
      <c r="R7" s="76">
        <f>COUNTIF('1月'!D5:E5,R$4)+COUNTIF('1月'!I5:J5,R$4)+COUNTIF('1月'!N5:O5,R$4)+COUNTIF('1月'!S5:T5,R$4)+COUNTIF('1月'!X5:Y5,R$4)+COUNTIF('1月'!AC5:AD5,R$4)+COUNTIF('1月'!AH5:AI5,R$4)+COUNTIF('1月'!AM5:AN5,R$4)+COUNTIF('1月'!AR5:AS5,R$4)+COUNTIF('1月'!AW5:AX5,R$4)+COUNTIF('1月'!BB5:BC5,R$4)+COUNTIF('1月'!BG5:BH5,R$4)+COUNTIF('1月'!BL5:BM5,R$4)+COUNTIF('1月'!BQ5:BR5,R$4)+COUNTIF('1月'!BV5:BW5,R$4)+COUNTIF('1月'!CA5:CB5,R$4)+COUNTIF('1月'!CF5:CG5,R$4)+COUNTIF('1月'!CK5:CL5,R$4)+COUNTIF('1月'!CP5:CQ5,R$4)+COUNTIF('1月'!CU5:CV5,R$4)+COUNTIF('1月'!CZ5:DA5,R$4)+COUNTIF('1月'!DE5:DF5,R$4)+COUNTIF('1月'!DJ5:DK5,R$4)+COUNTIF('1月'!DO5:DP5,R$4)+COUNTIF('1月'!DT5:DU5,R$4)+COUNTIF('1月'!DY5:DZ5,R$4)+COUNTIF('1月'!ED5:EE5,R$4)+COUNTIF('1月'!EI5:EJ5,R$4)+COUNTIF('1月'!EN5:EO5,R$4)+COUNTIF('1月'!ES5:ET5,R$4)</f>
        <v>0</v>
      </c>
      <c r="S7" s="76">
        <f t="shared" ref="S7:S36" si="8">IF(R7=0,S6,S6+R7)</f>
        <v>0</v>
      </c>
      <c r="T7" s="76">
        <f>COUNTIF('1月'!D5:E5,T$4)+COUNTIF('1月'!I5:J5,T$4)+COUNTIF('1月'!N5:O5,T$4)+COUNTIF('1月'!S5:T5,T$4)+COUNTIF('1月'!X5:Y5,T$4)+COUNTIF('1月'!AC5:AD5,T$4)+COUNTIF('1月'!AH5:AI5,T$4)+COUNTIF('1月'!AM5:AN5,T$4)+COUNTIF('1月'!AR5:AS5,T$4)+COUNTIF('1月'!AW5:AX5,T$4)+COUNTIF('1月'!BB5:BC5,T$4)+COUNTIF('1月'!BG5:BH5,T$4)+COUNTIF('1月'!BL5:BM5,T$4)+COUNTIF('1月'!BQ5:BR5,T$4)+COUNTIF('1月'!BV5:BW5,T$4)+COUNTIF('1月'!CA5:CB5,T$4)+COUNTIF('1月'!CF5:CG5,T$4)+COUNTIF('1月'!CK5:CL5,T$4)+COUNTIF('1月'!CP5:CQ5,T$4)+COUNTIF('1月'!CU5:CV5,T$4)+COUNTIF('1月'!CZ5:DA5,T$4)+COUNTIF('1月'!DE5:DF5,T$4)+COUNTIF('1月'!DJ5:DK5,T$4)+COUNTIF('1月'!DO5:DP5,T$4)+COUNTIF('1月'!DT5:DU5,T$4)+COUNTIF('1月'!DY5:DZ5,T$4)+COUNTIF('1月'!ED5:EE5,T$4)+COUNTIF('1月'!EI5:EJ5,T$4)+COUNTIF('1月'!EN5:EO5,T$4)+COUNTIF('1月'!ES5:ET5,T$4)</f>
        <v>0</v>
      </c>
      <c r="U7" s="76">
        <f t="shared" ref="U7:U36" si="9">IF(T7=0,U6,U6+T7)</f>
        <v>0</v>
      </c>
      <c r="V7" s="76">
        <f>COUNTIF('1月'!D5:E5,V$4)+COUNTIF('1月'!I5:J5,V$4)+COUNTIF('1月'!N5:O5,V$4)+COUNTIF('1月'!S5:T5,V$4)+COUNTIF('1月'!X5:Y5,V$4)+COUNTIF('1月'!AC5:AD5,V$4)+COUNTIF('1月'!AH5:AI5,V$4)+COUNTIF('1月'!AM5:AN5,V$4)+COUNTIF('1月'!AR5:AS5,V$4)+COUNTIF('1月'!AW5:AX5,V$4)+COUNTIF('1月'!BB5:BC5,V$4)+COUNTIF('1月'!BG5:BH5,V$4)+COUNTIF('1月'!BL5:BM5,V$4)+COUNTIF('1月'!BQ5:BR5,V$4)+COUNTIF('1月'!BV5:BW5,V$4)+COUNTIF('1月'!CA5:CB5,V$4)+COUNTIF('1月'!CF5:CG5,V$4)+COUNTIF('1月'!CK5:CL5,V$4)+COUNTIF('1月'!CP5:CQ5,V$4)+COUNTIF('1月'!CU5:CV5,V$4)+COUNTIF('1月'!CZ5:DA5,V$4)+COUNTIF('1月'!DE5:DF5,V$4)+COUNTIF('1月'!DJ5:DK5,V$4)+COUNTIF('1月'!DO5:DP5,V$4)+COUNTIF('1月'!DT5:DU5,V$4)+COUNTIF('1月'!DY5:DZ5,V$4)+COUNTIF('1月'!ED5:EE5,V$4)+COUNTIF('1月'!EI5:EJ5,V$4)+COUNTIF('1月'!EN5:EO5,V$4)+COUNTIF('1月'!ES5:ET5,V$4)</f>
        <v>0</v>
      </c>
      <c r="W7" s="76">
        <f t="shared" ref="W7:W36" si="10">IF(V7=0,W6,W6+V7)</f>
        <v>0</v>
      </c>
      <c r="X7" s="76">
        <f>COUNTIF('1月'!D5:E5,X$4)+COUNTIF('1月'!I5:J5,X$4)+COUNTIF('1月'!N5:O5,X$4)+COUNTIF('1月'!S5:T5,X$4)+COUNTIF('1月'!X5:Y5,X$4)+COUNTIF('1月'!AC5:AD5,X$4)+COUNTIF('1月'!AH5:AI5,X$4)+COUNTIF('1月'!AM5:AN5,X$4)+COUNTIF('1月'!AR5:AS5,X$4)+COUNTIF('1月'!AW5:AX5,X$4)+COUNTIF('1月'!BB5:BC5,X$4)+COUNTIF('1月'!BG5:BH5,X$4)+COUNTIF('1月'!BL5:BM5,X$4)+COUNTIF('1月'!BQ5:BR5,X$4)+COUNTIF('1月'!BV5:BW5,X$4)+COUNTIF('1月'!CA5:CB5,X$4)+COUNTIF('1月'!CF5:CG5,X$4)+COUNTIF('1月'!CK5:CL5,X$4)+COUNTIF('1月'!CP5:CQ5,X$4)+COUNTIF('1月'!CU5:CV5,X$4)+COUNTIF('1月'!CZ5:DA5,X$4)+COUNTIF('1月'!DE5:DF5,X$4)+COUNTIF('1月'!DJ5:DK5,X$4)+COUNTIF('1月'!DO5:DP5,X$4)+COUNTIF('1月'!DT5:DU5,X$4)+COUNTIF('1月'!DY5:DZ5,X$4)+COUNTIF('1月'!ED5:EE5,X$4)+COUNTIF('1月'!EI5:EJ5,X$4)+COUNTIF('1月'!EN5:EO5,X$4)+COUNTIF('1月'!ES5:ET5,X$4)</f>
        <v>0</v>
      </c>
      <c r="Y7" s="76">
        <f t="shared" ref="Y7:Y36" si="11">IF(X7=0,Y6,Y6+X7)</f>
        <v>0</v>
      </c>
    </row>
    <row r="8" spans="1:25" ht="18" customHeight="1">
      <c r="A8" s="76">
        <v>3</v>
      </c>
      <c r="B8" s="76">
        <f>COUNTIF('1月'!D6:E6,B$4)+COUNTIF('1月'!I6:J6,B$4)+COUNTIF('1月'!N6:O6,B$4)+COUNTIF('1月'!S6:T6,B$4)+COUNTIF('1月'!X6:Y6,B$4)+COUNTIF('1月'!AC6:AD6,B$4)+COUNTIF('1月'!AH6:AI6,B$4)+COUNTIF('1月'!AM6:AN6,B$4)+COUNTIF('1月'!AR6:AS6,B$4)+COUNTIF('1月'!AW6:AX6,B$4)+COUNTIF('1月'!BB6:BC6,B$4)+COUNTIF('1月'!BG6:BH6,B$4)+COUNTIF('1月'!BL6:BM6,B$4)+COUNTIF('1月'!BQ6:BR6,B$4)+COUNTIF('1月'!BV6:BW6,B$4)+COUNTIF('1月'!CA6:CB6,B$4)+COUNTIF('1月'!CF6:CG6,B$4)+COUNTIF('1月'!CK6:CL6,B$4)+COUNTIF('1月'!CP6:CQ6,B$4)+COUNTIF('1月'!CU6:CV6,B$4)+COUNTIF('1月'!CZ6:DA6,B$4)+COUNTIF('1月'!DE6:DF6,B$4)+COUNTIF('1月'!DJ6:DK6,B$4)+COUNTIF('1月'!DO6:DP6,B$4)+COUNTIF('1月'!DT6:DU6,B$4)+COUNTIF('1月'!DY6:DZ6,B$4)+COUNTIF('1月'!ED6:EE6,B$4)+COUNTIF('1月'!EI6:EJ6,B$4)+COUNTIF('1月'!EN6:EO6,B$4)+COUNTIF('1月'!ES6:ET6,B$4)</f>
        <v>0</v>
      </c>
      <c r="C8" s="76">
        <f t="shared" si="0"/>
        <v>0</v>
      </c>
      <c r="D8" s="76">
        <f>COUNTIF('1月'!D6:E6,D$4)+COUNTIF('1月'!I6:J6,D$4)+COUNTIF('1月'!N6:O6,D$4)+COUNTIF('1月'!S6:T6,D$4)+COUNTIF('1月'!X6:Y6,D$4)+COUNTIF('1月'!AC6:AD6,D$4)+COUNTIF('1月'!AH6:AI6,D$4)+COUNTIF('1月'!AM6:AN6,D$4)+COUNTIF('1月'!AR6:AS6,D$4)+COUNTIF('1月'!AW6:AX6,D$4)+COUNTIF('1月'!BB6:BC6,D$4)+COUNTIF('1月'!BG6:BH6,D$4)+COUNTIF('1月'!BL6:BM6,D$4)+COUNTIF('1月'!BQ6:BR6,D$4)+COUNTIF('1月'!BV6:BW6,D$4)+COUNTIF('1月'!CA6:CB6,D$4)+COUNTIF('1月'!CF6:CG6,D$4)+COUNTIF('1月'!CK6:CL6,D$4)+COUNTIF('1月'!CP6:CQ6,D$4)+COUNTIF('1月'!CU6:CV6,D$4)+COUNTIF('1月'!CZ6:DA6,D$4)+COUNTIF('1月'!DE6:DF6,D$4)+COUNTIF('1月'!DJ6:DK6,D$4)+COUNTIF('1月'!DO6:DP6,D$4)+COUNTIF('1月'!DT6:DU6,D$4)+COUNTIF('1月'!DY6:DZ6,D$4)+COUNTIF('1月'!ED6:EE6,D$4)+COUNTIF('1月'!EI6:EJ6,D$4)+COUNTIF('1月'!EN6:EO6,D$4)+COUNTIF('1月'!ES6:ET6,D$4)</f>
        <v>0</v>
      </c>
      <c r="E8" s="76">
        <f t="shared" si="1"/>
        <v>0</v>
      </c>
      <c r="F8" s="76">
        <f>COUNTIF('1月'!D6:E6,F$4)+COUNTIF('1月'!I6:J6,F$4)+COUNTIF('1月'!N6:O6,F$4)+COUNTIF('1月'!S6:T6,F$4)+COUNTIF('1月'!X6:Y6,F$4)+COUNTIF('1月'!AC6:AD6,F$4)+COUNTIF('1月'!AH6:AI6,F$4)+COUNTIF('1月'!AM6:AN6,F$4)+COUNTIF('1月'!AR6:AS6,F$4)+COUNTIF('1月'!AW6:AX6,F$4)+COUNTIF('1月'!BB6:BC6,F$4)+COUNTIF('1月'!BG6:BH6,F$4)+COUNTIF('1月'!BL6:BM6,F$4)+COUNTIF('1月'!BQ6:BR6,F$4)+COUNTIF('1月'!BV6:BW6,F$4)+COUNTIF('1月'!CA6:CB6,F$4)+COUNTIF('1月'!CF6:CG6,F$4)+COUNTIF('1月'!CK6:CL6,F$4)+COUNTIF('1月'!CP6:CQ6,F$4)+COUNTIF('1月'!CU6:CV6,F$4)+COUNTIF('1月'!CZ6:DA6,F$4)+COUNTIF('1月'!DE6:DF6,F$4)+COUNTIF('1月'!DJ6:DK6,F$4)+COUNTIF('1月'!DO6:DP6,F$4)+COUNTIF('1月'!DT6:DU6,F$4)+COUNTIF('1月'!DY6:DZ6,F$4)+COUNTIF('1月'!ED6:EE6,F$4)+COUNTIF('1月'!EI6:EJ6,F$4)+COUNTIF('1月'!EN6:EO6,F$4)+COUNTIF('1月'!ES6:ET6,F$4)</f>
        <v>0</v>
      </c>
      <c r="G8" s="76">
        <f t="shared" si="2"/>
        <v>0</v>
      </c>
      <c r="H8" s="76">
        <f>COUNTIF('1月'!D6:E6,H$4)+COUNTIF('1月'!I6:J6,H$4)+COUNTIF('1月'!N6:O6,H$4)+COUNTIF('1月'!S6:T6,H$4)+COUNTIF('1月'!X6:Y6,H$4)+COUNTIF('1月'!AC6:AD6,H$4)+COUNTIF('1月'!AH6:AI6,H$4)+COUNTIF('1月'!AM6:AN6,H$4)+COUNTIF('1月'!AR6:AS6,H$4)+COUNTIF('1月'!AW6:AX6,H$4)+COUNTIF('1月'!BB6:BC6,H$4)+COUNTIF('1月'!BG6:BH6,H$4)+COUNTIF('1月'!BL6:BM6,H$4)+COUNTIF('1月'!BQ6:BR6,H$4)+COUNTIF('1月'!BV6:BW6,H$4)+COUNTIF('1月'!CA6:CB6,H$4)+COUNTIF('1月'!CF6:CG6,H$4)+COUNTIF('1月'!CK6:CL6,H$4)+COUNTIF('1月'!CP6:CQ6,H$4)+COUNTIF('1月'!CU6:CV6,H$4)+COUNTIF('1月'!CZ6:DA6,H$4)+COUNTIF('1月'!DE6:DF6,H$4)+COUNTIF('1月'!DJ6:DK6,H$4)+COUNTIF('1月'!DO6:DP6,H$4)+COUNTIF('1月'!DT6:DU6,H$4)+COUNTIF('1月'!DY6:DZ6,H$4)+COUNTIF('1月'!ED6:EE6,H$4)+COUNTIF('1月'!EI6:EJ6,H$4)+COUNTIF('1月'!EN6:EO6,H$4)+COUNTIF('1月'!ES6:ET6,H$4)+COUNTIF('1月'!D6:E6,"渋谷-夜勤")+COUNTIF('1月'!I6:J6,"渋谷-夜勤")+COUNTIF('1月'!N6:O6,"渋谷-夜勤")+COUNTIF('1月'!S6:T6,"渋谷-夜勤")+COUNTIF('1月'!X6:Y6,"渋谷-夜勤")+COUNTIF('1月'!AC6:AD6,"渋谷-夜勤")+COUNTIF('1月'!AH6:AI6,"渋谷-夜勤")+COUNTIF('1月'!AM6:AN6,"渋谷-夜勤")+COUNTIF('1月'!AR6:AS6,"渋谷-夜勤")+COUNTIF('1月'!AW6:AX6,"渋谷-夜勤")+COUNTIF('1月'!BB6:BC6,"渋谷-夜勤")+COUNTIF('1月'!BG6:BH6,"渋谷-夜勤")+COUNTIF('1月'!BL6:BM6,"渋谷-夜勤")+COUNTIF('1月'!BQ6:BR6,"渋谷-夜勤")+COUNTIF('1月'!BV6:BW6,"渋谷-夜勤")+COUNTIF('1月'!CA6:CB6,"渋谷-夜勤")+COUNTIF('1月'!CF6:CG6,"渋谷-夜勤")+COUNTIF('1月'!CK6:CL6,"渋谷-夜勤")+COUNTIF('1月'!CP6:CQ6,"渋谷-夜勤")+COUNTIF('1月'!CU6:CV6,"渋谷-夜勤")+COUNTIF('1月'!CZ6:DA6,"渋谷-夜勤")+COUNTIF('1月'!DE6:DF6,"渋谷-夜勤")+COUNTIF('1月'!DJ6:DK6,"渋谷-夜勤")+COUNTIF('1月'!DO6:DP6,"渋谷-夜勤")+COUNTIF('1月'!DT6:DU6,"渋谷-夜勤")+COUNTIF('1月'!DY6:DZ6,"渋谷-夜勤")+COUNTIF('1月'!ED6:EE6,"渋谷-夜勤")+COUNTIF('1月'!EI6:EJ6,"渋谷-夜勤")+COUNTIF('1月'!EN6:EO6,"渋谷-夜勤")+COUNTIF('1月'!ES6:ET6,"渋谷-夜勤")</f>
        <v>0</v>
      </c>
      <c r="I8" s="76">
        <f t="shared" si="3"/>
        <v>0</v>
      </c>
      <c r="J8" s="76">
        <f>COUNTIF('1月'!D6:E6,J$4)+COUNTIF('1月'!I6:J6,J$4)+COUNTIF('1月'!N6:O6,J$4)+COUNTIF('1月'!S6:T6,J$4)+COUNTIF('1月'!X6:Y6,J$4)+COUNTIF('1月'!AC6:AD6,J$4)+COUNTIF('1月'!AH6:AI6,J$4)+COUNTIF('1月'!AM6:AN6,J$4)+COUNTIF('1月'!AR6:AS6,J$4)+COUNTIF('1月'!AW6:AX6,J$4)+COUNTIF('1月'!BB6:BC6,J$4)+COUNTIF('1月'!BG6:BH6,J$4)+COUNTIF('1月'!BL6:BM6,J$4)+COUNTIF('1月'!BQ6:BR6,J$4)+COUNTIF('1月'!BV6:BW6,J$4)+COUNTIF('1月'!CA6:CB6,J$4)+COUNTIF('1月'!CF6:CG6,J$4)+COUNTIF('1月'!CK6:CL6,J$4)+COUNTIF('1月'!CP6:CQ6,J$4)+COUNTIF('1月'!CU6:CV6,J$4)+COUNTIF('1月'!CZ6:DA6,J$4)+COUNTIF('1月'!DE6:DF6,J$4)+COUNTIF('1月'!DJ6:DK6,J$4)+COUNTIF('1月'!DO6:DP6,J$4)+COUNTIF('1月'!DT6:DU6,J$4)+COUNTIF('1月'!DY6:DZ6,J$4)+COUNTIF('1月'!ED6:EE6,J$4)+COUNTIF('1月'!EI6:EJ6,J$4)+COUNTIF('1月'!EN6:EO6,J$4)+COUNTIF('1月'!ES6:ET6,J$4)+COUNTIF('1月'!D6:E6,"六本木-夜勤")+COUNTIF('1月'!I6:J6,"六本木-夜勤")+COUNTIF('1月'!N6:O6,"六本木-夜勤")+COUNTIF('1月'!S6:T6,"六本木-夜勤")+COUNTIF('1月'!X6:Y6,"六本木-夜勤")+COUNTIF('1月'!AC6:AD6,"六本木-夜勤")+COUNTIF('1月'!AH6:AI6,"六本木-夜勤")+COUNTIF('1月'!AM6:AN6,"六本木-夜勤")+COUNTIF('1月'!AR6:AS6,"六本木-夜勤")+COUNTIF('1月'!AW6:AX6,"六本木-夜勤")+COUNTIF('1月'!BB6:BC6,"六本木-夜勤")+COUNTIF('1月'!BG6:BH6,"六本木-夜勤")+COUNTIF('1月'!BL6:BM6,"六本木-夜勤")+COUNTIF('1月'!BQ6:BR6,"六本木-夜勤")+COUNTIF('1月'!BV6:BW6,"六本木-夜勤")+COUNTIF('1月'!CA6:CB6,"六本木-夜勤")+COUNTIF('1月'!CF6:CG6,"六本木-夜勤")+COUNTIF('1月'!CK6:CL6,"六本木-夜勤")+COUNTIF('1月'!CP6:CQ6,"六本木-夜勤")+COUNTIF('1月'!CU6:CV6,"六本木-夜勤")+COUNTIF('1月'!CZ6:DA6,"六本木-夜勤")+COUNTIF('1月'!DE6:DF6,"六本木-夜勤")+COUNTIF('1月'!DJ6:DK6,"六本木-夜勤")+COUNTIF('1月'!DO6:DP6,"六本木-夜勤")+COUNTIF('1月'!DT6:DU6,"六本木-夜勤")+COUNTIF('1月'!DY6:DZ6,"六本木-夜勤")+COUNTIF('1月'!ED6:EE6,"六本木-夜勤")+COUNTIF('1月'!EI6:EJ6,"六本木-夜勤")+COUNTIF('1月'!EN6:EO6,"六本木-夜勤")+COUNTIF('1月'!ES6:ET6,"六本木-夜勤")+COUNTIF('1月'!D6:E6,"六本木ー夜勤")+COUNTIF('1月'!I6:J6,"六本木ー夜勤")+COUNTIF('1月'!N6:O6,"六本木ー夜勤")+COUNTIF('1月'!S6:T6,"六本木ー夜勤")+COUNTIF('1月'!X6:Y6,"六本木ー夜勤")+COUNTIF('1月'!AC6:AD6,"六本木ー夜勤")+COUNTIF('1月'!AH6:AI6,"六本木ー夜勤")+COUNTIF('1月'!AM6:AN6,"六本木ー夜勤")+COUNTIF('1月'!AR6:AS6,"六本木ー夜勤")+COUNTIF('1月'!AW6:AX6,"六本木ー夜勤")+COUNTIF('1月'!BB6:BC6,"六本木ー夜勤")+COUNTIF('1月'!BG6:BH6,"六本木ー夜勤")+COUNTIF('1月'!BL6:BM6,"六本木ー夜勤")+COUNTIF('1月'!BQ6:BR6,"六本木ー夜勤")+COUNTIF('1月'!BV6:BW6,"六本木ー夜勤")+COUNTIF('1月'!CA6:CB6,"六本木ー夜勤")+COUNTIF('1月'!CF6:CG6,"六本木ー夜勤")+COUNTIF('1月'!CK6:CL6,"六本木ー夜勤")+COUNTIF('1月'!CP6:CQ6,"六本木ー夜勤")+COUNTIF('1月'!CU6:CV6,"六本木ー夜勤")+COUNTIF('1月'!CZ6:DA6,"六本木ー夜勤")+COUNTIF('1月'!DE6:DF6,"六本木ー夜勤")+COUNTIF('1月'!DJ6:DK6,"六本木ー夜勤")+COUNTIF('1月'!DO6:DP6,"六本木ー夜勤")+COUNTIF('1月'!DT6:DU6,"六本木ー夜勤")+COUNTIF('1月'!DY6:DZ6,"六本木ー夜勤")+COUNTIF('1月'!ED6:EE6,"六本木ー夜勤")+COUNTIF('1月'!EI6:EJ6,"六本木ー夜勤")+COUNTIF('1月'!EN6:EO6,"六本木ー夜勤")+COUNTIF('1月'!ES6:ET6,"六本木ー夜勤")</f>
        <v>0</v>
      </c>
      <c r="K8" s="76">
        <f t="shared" si="4"/>
        <v>0</v>
      </c>
      <c r="L8" s="76">
        <f>COUNTIF('1月'!D6:E6,L$4)+COUNTIF('1月'!I6:J6,L$4)+COUNTIF('1月'!N6:O6,L$4)+COUNTIF('1月'!S6:T6,L$4)+COUNTIF('1月'!X6:Y6,L$4)+COUNTIF('1月'!AC6:AD6,L$4)+COUNTIF('1月'!AH6:AI6,L$4)+COUNTIF('1月'!AM6:AN6,L$4)+COUNTIF('1月'!AR6:AS6,L$4)+COUNTIF('1月'!AW6:AX6,L$4)+COUNTIF('1月'!BB6:BC6,L$4)+COUNTIF('1月'!BG6:BH6,L$4)+COUNTIF('1月'!BL6:BM6,L$4)+COUNTIF('1月'!BQ6:BR6,L$4)+COUNTIF('1月'!BV6:BW6,L$4)+COUNTIF('1月'!CA6:CB6,L$4)+COUNTIF('1月'!CF6:CG6,L$4)+COUNTIF('1月'!CK6:CL6,L$4)+COUNTIF('1月'!CP6:CQ6,L$4)+COUNTIF('1月'!CU6:CV6,L$4)+COUNTIF('1月'!CZ6:DA6,L$4)+COUNTIF('1月'!DE6:DF6,L$4)+COUNTIF('1月'!DJ6:DK6,L$4)+COUNTIF('1月'!DO6:DP6,L$4)+COUNTIF('1月'!DT6:DU6,L$4)+COUNTIF('1月'!DY6:DZ6,L$4)+COUNTIF('1月'!ED6:EE6,L$4)+COUNTIF('1月'!EI6:EJ6,L$4)+COUNTIF('1月'!EN6:EO6,L$4)+COUNTIF('1月'!ES6:ET6,L$4)</f>
        <v>0</v>
      </c>
      <c r="M8" s="76">
        <f t="shared" si="5"/>
        <v>0</v>
      </c>
      <c r="N8" s="76">
        <f>COUNTIF('1月'!D6:E6,N$4)+COUNTIF('1月'!I6:J6,N$4)+COUNTIF('1月'!N6:O6,N$4)+COUNTIF('1月'!S6:T6,N$4)+COUNTIF('1月'!X6:Y6,N$4)+COUNTIF('1月'!AC6:AD6,N$4)+COUNTIF('1月'!AH6:AI6,N$4)+COUNTIF('1月'!AM6:AN6,N$4)+COUNTIF('1月'!AR6:AS6,N$4)+COUNTIF('1月'!AW6:AX6,N$4)+COUNTIF('1月'!BB6:BC6,N$4)+COUNTIF('1月'!BG6:BH6,N$4)+COUNTIF('1月'!BL6:BM6,N$4)+COUNTIF('1月'!BQ6:BR6,N$4)+COUNTIF('1月'!BV6:BW6,N$4)+COUNTIF('1月'!CA6:CB6,N$4)+COUNTIF('1月'!CF6:CG6,N$4)+COUNTIF('1月'!CK6:CL6,N$4)+COUNTIF('1月'!CP6:CQ6,N$4)+COUNTIF('1月'!CU6:CV6,N$4)+COUNTIF('1月'!CZ6:DA6,N$4)+COUNTIF('1月'!DE6:DF6,N$4)+COUNTIF('1月'!DJ6:DK6,N$4)+COUNTIF('1月'!DO6:DP6,N$4)+COUNTIF('1月'!DT6:DU6,N$4)+COUNTIF('1月'!DY6:DZ6,N$4)+COUNTIF('1月'!ED6:EE6,N$4)+COUNTIF('1月'!EI6:EJ6,N$4)+COUNTIF('1月'!EN6:EO6,N$4)+COUNTIF('1月'!ES6:ET6,N$4)+COUNTIF('1月'!D6:E6,"三軒茶屋－夜勤")+COUNTIF('1月'!I6:J6,"三軒茶屋－夜勤")+COUNTIF('1月'!N6:O6,"三軒茶屋－夜勤")+COUNTIF('1月'!S6:T6,"三軒茶屋－夜勤")+COUNTIF('1月'!X6:Y6,"三軒茶屋－夜勤")+COUNTIF('1月'!AC6:AD6,"三軒茶屋－夜勤")+COUNTIF('1月'!AH6:AI6,"三軒茶屋－夜勤")+COUNTIF('1月'!AM6:AN6,"三軒茶屋－夜勤")+COUNTIF('1月'!AR6:AS6,"三軒茶屋－夜勤")+COUNTIF('1月'!AW6:AX6,"三軒茶屋－夜勤")+COUNTIF('1月'!BB6:BC6,"三軒茶屋－夜勤")+COUNTIF('1月'!BG6:BH6,"三軒茶屋－夜勤")+COUNTIF('1月'!BL6:BM6,"三軒茶屋－夜勤")+COUNTIF('1月'!BQ6:BR6,"三軒茶屋－夜勤")+COUNTIF('1月'!BV6:BW6,"三軒茶屋－夜勤")+COUNTIF('1月'!CA6:CB6,"三軒茶屋－夜勤")+COUNTIF('1月'!CF6:CG6,"三軒茶屋－夜勤")+COUNTIF('1月'!CK6:CL6,"三軒茶屋－夜勤")+COUNTIF('1月'!CP6:CQ6,"三軒茶屋－夜勤")+COUNTIF('1月'!CU6:CV6,"三軒茶屋－夜勤")+COUNTIF('1月'!CZ6:DA6,"三軒茶屋－夜勤")+COUNTIF('1月'!DE6:DF6,"三軒茶屋－夜勤")+COUNTIF('1月'!DJ6:DK6,"三軒茶屋－夜勤")+COUNTIF('1月'!DO6:DP6,"三軒茶屋－夜勤")+COUNTIF('1月'!DT6:DU6,"三軒茶屋－夜勤")+COUNTIF('1月'!DY6:DZ6,"三軒茶屋－夜勤")+COUNTIF('1月'!ED6:EE6,"三軒茶屋－夜勤")+COUNTIF('1月'!EI6:EJ6,"三軒茶屋－夜勤")+COUNTIF('1月'!EN6:EO6,"三軒茶屋－夜勤")+COUNTIF('1月'!ES6:ET6,"三軒茶屋－夜勤")</f>
        <v>0</v>
      </c>
      <c r="O8" s="76">
        <f t="shared" si="6"/>
        <v>0</v>
      </c>
      <c r="P8" s="76">
        <f>COUNTIF('1月'!D6:E6,P$4)+COUNTIF('1月'!I6:J6,P$4)+COUNTIF('1月'!N6:O6,P$4)+COUNTIF('1月'!S6:T6,P$4)+COUNTIF('1月'!X6:Y6,P$4)+COUNTIF('1月'!AC6:AD6,P$4)+COUNTIF('1月'!AH6:AI6,P$4)+COUNTIF('1月'!AM6:AN6,P$4)+COUNTIF('1月'!AR6:AS6,P$4)+COUNTIF('1月'!AW6:AX6,P$4)+COUNTIF('1月'!BB6:BC6,P$4)+COUNTIF('1月'!BG6:BH6,P$4)+COUNTIF('1月'!BL6:BM6,P$4)+COUNTIF('1月'!BQ6:BR6,P$4)+COUNTIF('1月'!BV6:BW6,P$4)+COUNTIF('1月'!CA6:CB6,P$4)+COUNTIF('1月'!CF6:CG6,P$4)+COUNTIF('1月'!CK6:CL6,P$4)+COUNTIF('1月'!CP6:CQ6,P$4)+COUNTIF('1月'!CU6:CV6,P$4)+COUNTIF('1月'!CZ6:DA6,P$4)+COUNTIF('1月'!DE6:DF6,P$4)+COUNTIF('1月'!DJ6:DK6,P$4)+COUNTIF('1月'!DO6:DP6,P$4)+COUNTIF('1月'!DT6:DU6,P$4)+COUNTIF('1月'!DY6:DZ6,P$4)+COUNTIF('1月'!ED6:EE6,P$4)+COUNTIF('1月'!EI6:EJ6,P$4)+COUNTIF('1月'!EN6:EO6,P$4)+COUNTIF('1月'!ES6:ET6,P$4)+COUNTIF('1月'!D6:E6,"荻窪ー夜勤")+COUNTIF('1月'!I6:J6,"荻窪ー夜勤")+COUNTIF('1月'!N6:O6,"荻窪ー夜勤")+COUNTIF('1月'!S6:T6,"荻窪ー夜勤")+COUNTIF('1月'!X6:Y6,"荻窪ー夜勤")+COUNTIF('1月'!AC6:AD6,"荻窪ー夜勤")+COUNTIF('1月'!AH6:AI6,"荻窪ー夜勤")+COUNTIF('1月'!AM6:AN6,"荻窪ー夜勤")+COUNTIF('1月'!AR6:AS6,"荻窪ー夜勤")+COUNTIF('1月'!AW6:AX6,"荻窪ー夜勤")+COUNTIF('1月'!BB6:BC6,"荻窪ー夜勤")+COUNTIF('1月'!BG6:BH6,"荻窪ー夜勤")+COUNTIF('1月'!BL6:BM6,"荻窪ー夜勤")+COUNTIF('1月'!BQ6:BR6,"荻窪ー夜勤")+COUNTIF('1月'!BV6:BW6,"荻窪ー夜勤")+COUNTIF('1月'!CA6:CB6,"荻窪ー夜勤")+COUNTIF('1月'!CF6:CG6,"荻窪ー夜勤")+COUNTIF('1月'!CK6:CL6,"荻窪ー夜勤")+COUNTIF('1月'!CP6:CQ6,"荻窪ー夜勤")+COUNTIF('1月'!CU6:CV6,"荻窪ー夜勤")+COUNTIF('1月'!CZ6:DA6,"荻窪ー夜勤")+COUNTIF('1月'!DE6:DF6,"荻窪ー夜勤")+COUNTIF('1月'!DJ6:DK6,"荻窪ー夜勤")+COUNTIF('1月'!DO6:DP6,"荻窪ー夜勤")+COUNTIF('1月'!DT6:DU6,"荻窪ー夜勤")+COUNTIF('1月'!DY6:DZ6,"荻窪ー夜勤")+COUNTIF('1月'!ED6:EE6,"荻窪ー夜勤")+COUNTIF('1月'!EI6:EJ6,"荻窪ー夜勤")+COUNTIF('1月'!EN6:EO6,"荻窪ー夜勤")+COUNTIF('1月'!ES6:ET6,"荻窪ー夜勤")</f>
        <v>0</v>
      </c>
      <c r="Q8" s="76">
        <f t="shared" si="7"/>
        <v>0</v>
      </c>
      <c r="R8" s="76">
        <f>COUNTIF('1月'!D6:E6,R$4)+COUNTIF('1月'!I6:J6,R$4)+COUNTIF('1月'!N6:O6,R$4)+COUNTIF('1月'!S6:T6,R$4)+COUNTIF('1月'!X6:Y6,R$4)+COUNTIF('1月'!AC6:AD6,R$4)+COUNTIF('1月'!AH6:AI6,R$4)+COUNTIF('1月'!AM6:AN6,R$4)+COUNTIF('1月'!AR6:AS6,R$4)+COUNTIF('1月'!AW6:AX6,R$4)+COUNTIF('1月'!BB6:BC6,R$4)+COUNTIF('1月'!BG6:BH6,R$4)+COUNTIF('1月'!BL6:BM6,R$4)+COUNTIF('1月'!BQ6:BR6,R$4)+COUNTIF('1月'!BV6:BW6,R$4)+COUNTIF('1月'!CA6:CB6,R$4)+COUNTIF('1月'!CF6:CG6,R$4)+COUNTIF('1月'!CK6:CL6,R$4)+COUNTIF('1月'!CP6:CQ6,R$4)+COUNTIF('1月'!CU6:CV6,R$4)+COUNTIF('1月'!CZ6:DA6,R$4)+COUNTIF('1月'!DE6:DF6,R$4)+COUNTIF('1月'!DJ6:DK6,R$4)+COUNTIF('1月'!DO6:DP6,R$4)+COUNTIF('1月'!DT6:DU6,R$4)+COUNTIF('1月'!DY6:DZ6,R$4)+COUNTIF('1月'!ED6:EE6,R$4)+COUNTIF('1月'!EI6:EJ6,R$4)+COUNTIF('1月'!EN6:EO6,R$4)+COUNTIF('1月'!ES6:ET6,R$4)</f>
        <v>0</v>
      </c>
      <c r="S8" s="76">
        <f t="shared" si="8"/>
        <v>0</v>
      </c>
      <c r="T8" s="76">
        <f>COUNTIF('1月'!D6:E6,T$4)+COUNTIF('1月'!I6:J6,T$4)+COUNTIF('1月'!N6:O6,T$4)+COUNTIF('1月'!S6:T6,T$4)+COUNTIF('1月'!X6:Y6,T$4)+COUNTIF('1月'!AC6:AD6,T$4)+COUNTIF('1月'!AH6:AI6,T$4)+COUNTIF('1月'!AM6:AN6,T$4)+COUNTIF('1月'!AR6:AS6,T$4)+COUNTIF('1月'!AW6:AX6,T$4)+COUNTIF('1月'!BB6:BC6,T$4)+COUNTIF('1月'!BG6:BH6,T$4)+COUNTIF('1月'!BL6:BM6,T$4)+COUNTIF('1月'!BQ6:BR6,T$4)+COUNTIF('1月'!BV6:BW6,T$4)+COUNTIF('1月'!CA6:CB6,T$4)+COUNTIF('1月'!CF6:CG6,T$4)+COUNTIF('1月'!CK6:CL6,T$4)+COUNTIF('1月'!CP6:CQ6,T$4)+COUNTIF('1月'!CU6:CV6,T$4)+COUNTIF('1月'!CZ6:DA6,T$4)+COUNTIF('1月'!DE6:DF6,T$4)+COUNTIF('1月'!DJ6:DK6,T$4)+COUNTIF('1月'!DO6:DP6,T$4)+COUNTIF('1月'!DT6:DU6,T$4)+COUNTIF('1月'!DY6:DZ6,T$4)+COUNTIF('1月'!ED6:EE6,T$4)+COUNTIF('1月'!EI6:EJ6,T$4)+COUNTIF('1月'!EN6:EO6,T$4)+COUNTIF('1月'!ES6:ET6,T$4)</f>
        <v>0</v>
      </c>
      <c r="U8" s="76">
        <f t="shared" si="9"/>
        <v>0</v>
      </c>
      <c r="V8" s="76">
        <f>COUNTIF('1月'!D6:E6,V$4)+COUNTIF('1月'!I6:J6,V$4)+COUNTIF('1月'!N6:O6,V$4)+COUNTIF('1月'!S6:T6,V$4)+COUNTIF('1月'!X6:Y6,V$4)+COUNTIF('1月'!AC6:AD6,V$4)+COUNTIF('1月'!AH6:AI6,V$4)+COUNTIF('1月'!AM6:AN6,V$4)+COUNTIF('1月'!AR6:AS6,V$4)+COUNTIF('1月'!AW6:AX6,V$4)+COUNTIF('1月'!BB6:BC6,V$4)+COUNTIF('1月'!BG6:BH6,V$4)+COUNTIF('1月'!BL6:BM6,V$4)+COUNTIF('1月'!BQ6:BR6,V$4)+COUNTIF('1月'!BV6:BW6,V$4)+COUNTIF('1月'!CA6:CB6,V$4)+COUNTIF('1月'!CF6:CG6,V$4)+COUNTIF('1月'!CK6:CL6,V$4)+COUNTIF('1月'!CP6:CQ6,V$4)+COUNTIF('1月'!CU6:CV6,V$4)+COUNTIF('1月'!CZ6:DA6,V$4)+COUNTIF('1月'!DE6:DF6,V$4)+COUNTIF('1月'!DJ6:DK6,V$4)+COUNTIF('1月'!DO6:DP6,V$4)+COUNTIF('1月'!DT6:DU6,V$4)+COUNTIF('1月'!DY6:DZ6,V$4)+COUNTIF('1月'!ED6:EE6,V$4)+COUNTIF('1月'!EI6:EJ6,V$4)+COUNTIF('1月'!EN6:EO6,V$4)+COUNTIF('1月'!ES6:ET6,V$4)</f>
        <v>0</v>
      </c>
      <c r="W8" s="76">
        <f t="shared" si="10"/>
        <v>0</v>
      </c>
      <c r="X8" s="76">
        <f>COUNTIF('1月'!D6:E6,X$4)+COUNTIF('1月'!I6:J6,X$4)+COUNTIF('1月'!N6:O6,X$4)+COUNTIF('1月'!S6:T6,X$4)+COUNTIF('1月'!X6:Y6,X$4)+COUNTIF('1月'!AC6:AD6,X$4)+COUNTIF('1月'!AH6:AI6,X$4)+COUNTIF('1月'!AM6:AN6,X$4)+COUNTIF('1月'!AR6:AS6,X$4)+COUNTIF('1月'!AW6:AX6,X$4)+COUNTIF('1月'!BB6:BC6,X$4)+COUNTIF('1月'!BG6:BH6,X$4)+COUNTIF('1月'!BL6:BM6,X$4)+COUNTIF('1月'!BQ6:BR6,X$4)+COUNTIF('1月'!BV6:BW6,X$4)+COUNTIF('1月'!CA6:CB6,X$4)+COUNTIF('1月'!CF6:CG6,X$4)+COUNTIF('1月'!CK6:CL6,X$4)+COUNTIF('1月'!CP6:CQ6,X$4)+COUNTIF('1月'!CU6:CV6,X$4)+COUNTIF('1月'!CZ6:DA6,X$4)+COUNTIF('1月'!DE6:DF6,X$4)+COUNTIF('1月'!DJ6:DK6,X$4)+COUNTIF('1月'!DO6:DP6,X$4)+COUNTIF('1月'!DT6:DU6,X$4)+COUNTIF('1月'!DY6:DZ6,X$4)+COUNTIF('1月'!ED6:EE6,X$4)+COUNTIF('1月'!EI6:EJ6,X$4)+COUNTIF('1月'!EN6:EO6,X$4)+COUNTIF('1月'!ES6:ET6,X$4)</f>
        <v>0</v>
      </c>
      <c r="Y8" s="76">
        <f t="shared" si="11"/>
        <v>0</v>
      </c>
    </row>
    <row r="9" spans="1:25" ht="18" customHeight="1">
      <c r="A9" s="76">
        <v>4</v>
      </c>
      <c r="B9" s="76">
        <f>COUNTIF('1月'!D7:E7,B$4)+COUNTIF('1月'!I7:J7,B$4)+COUNTIF('1月'!N7:O7,B$4)+COUNTIF('1月'!S7:T7,B$4)+COUNTIF('1月'!X7:Y7,B$4)+COUNTIF('1月'!AC7:AD7,B$4)+COUNTIF('1月'!AH7:AI7,B$4)+COUNTIF('1月'!AM7:AN7,B$4)+COUNTIF('1月'!AR7:AS7,B$4)+COUNTIF('1月'!AW7:AX7,B$4)+COUNTIF('1月'!BB7:BC7,B$4)+COUNTIF('1月'!BG7:BH7,B$4)+COUNTIF('1月'!BL7:BM7,B$4)+COUNTIF('1月'!BQ7:BR7,B$4)+COUNTIF('1月'!BV7:BW7,B$4)+COUNTIF('1月'!CA7:CB7,B$4)+COUNTIF('1月'!CF7:CG7,B$4)+COUNTIF('1月'!CK7:CL7,B$4)+COUNTIF('1月'!CP7:CQ7,B$4)+COUNTIF('1月'!CU7:CV7,B$4)+COUNTIF('1月'!CZ7:DA7,B$4)+COUNTIF('1月'!DE7:DF7,B$4)+COUNTIF('1月'!DJ7:DK7,B$4)+COUNTIF('1月'!DO7:DP7,B$4)+COUNTIF('1月'!DT7:DU7,B$4)+COUNTIF('1月'!DY7:DZ7,B$4)+COUNTIF('1月'!ED7:EE7,B$4)+COUNTIF('1月'!EI7:EJ7,B$4)+COUNTIF('1月'!EN7:EO7,B$4)+COUNTIF('1月'!ES7:ET7,B$4)</f>
        <v>0</v>
      </c>
      <c r="C9" s="76">
        <f t="shared" si="0"/>
        <v>0</v>
      </c>
      <c r="D9" s="76">
        <f>COUNTIF('1月'!D7:E7,D$4)+COUNTIF('1月'!I7:J7,D$4)+COUNTIF('1月'!N7:O7,D$4)+COUNTIF('1月'!S7:T7,D$4)+COUNTIF('1月'!X7:Y7,D$4)+COUNTIF('1月'!AC7:AD7,D$4)+COUNTIF('1月'!AH7:AI7,D$4)+COUNTIF('1月'!AM7:AN7,D$4)+COUNTIF('1月'!AR7:AS7,D$4)+COUNTIF('1月'!AW7:AX7,D$4)+COUNTIF('1月'!BB7:BC7,D$4)+COUNTIF('1月'!BG7:BH7,D$4)+COUNTIF('1月'!BL7:BM7,D$4)+COUNTIF('1月'!BQ7:BR7,D$4)+COUNTIF('1月'!BV7:BW7,D$4)+COUNTIF('1月'!CA7:CB7,D$4)+COUNTIF('1月'!CF7:CG7,D$4)+COUNTIF('1月'!CK7:CL7,D$4)+COUNTIF('1月'!CP7:CQ7,D$4)+COUNTIF('1月'!CU7:CV7,D$4)+COUNTIF('1月'!CZ7:DA7,D$4)+COUNTIF('1月'!DE7:DF7,D$4)+COUNTIF('1月'!DJ7:DK7,D$4)+COUNTIF('1月'!DO7:DP7,D$4)+COUNTIF('1月'!DT7:DU7,D$4)+COUNTIF('1月'!DY7:DZ7,D$4)+COUNTIF('1月'!ED7:EE7,D$4)+COUNTIF('1月'!EI7:EJ7,D$4)+COUNTIF('1月'!EN7:EO7,D$4)+COUNTIF('1月'!ES7:ET7,D$4)</f>
        <v>0</v>
      </c>
      <c r="E9" s="76">
        <f t="shared" si="1"/>
        <v>0</v>
      </c>
      <c r="F9" s="76">
        <f>COUNTIF('1月'!D7:E7,F$4)+COUNTIF('1月'!I7:J7,F$4)+COUNTIF('1月'!N7:O7,F$4)+COUNTIF('1月'!S7:T7,F$4)+COUNTIF('1月'!X7:Y7,F$4)+COUNTIF('1月'!AC7:AD7,F$4)+COUNTIF('1月'!AH7:AI7,F$4)+COUNTIF('1月'!AM7:AN7,F$4)+COUNTIF('1月'!AR7:AS7,F$4)+COUNTIF('1月'!AW7:AX7,F$4)+COUNTIF('1月'!BB7:BC7,F$4)+COUNTIF('1月'!BG7:BH7,F$4)+COUNTIF('1月'!BL7:BM7,F$4)+COUNTIF('1月'!BQ7:BR7,F$4)+COUNTIF('1月'!BV7:BW7,F$4)+COUNTIF('1月'!CA7:CB7,F$4)+COUNTIF('1月'!CF7:CG7,F$4)+COUNTIF('1月'!CK7:CL7,F$4)+COUNTIF('1月'!CP7:CQ7,F$4)+COUNTIF('1月'!CU7:CV7,F$4)+COUNTIF('1月'!CZ7:DA7,F$4)+COUNTIF('1月'!DE7:DF7,F$4)+COUNTIF('1月'!DJ7:DK7,F$4)+COUNTIF('1月'!DO7:DP7,F$4)+COUNTIF('1月'!DT7:DU7,F$4)+COUNTIF('1月'!DY7:DZ7,F$4)+COUNTIF('1月'!ED7:EE7,F$4)+COUNTIF('1月'!EI7:EJ7,F$4)+COUNTIF('1月'!EN7:EO7,F$4)+COUNTIF('1月'!ES7:ET7,F$4)</f>
        <v>0</v>
      </c>
      <c r="G9" s="76">
        <f t="shared" si="2"/>
        <v>0</v>
      </c>
      <c r="H9" s="76">
        <f>COUNTIF('1月'!D7:E7,H$4)+COUNTIF('1月'!I7:J7,H$4)+COUNTIF('1月'!N7:O7,H$4)+COUNTIF('1月'!S7:T7,H$4)+COUNTIF('1月'!X7:Y7,H$4)+COUNTIF('1月'!AC7:AD7,H$4)+COUNTIF('1月'!AH7:AI7,H$4)+COUNTIF('1月'!AM7:AN7,H$4)+COUNTIF('1月'!AR7:AS7,H$4)+COUNTIF('1月'!AW7:AX7,H$4)+COUNTIF('1月'!BB7:BC7,H$4)+COUNTIF('1月'!BG7:BH7,H$4)+COUNTIF('1月'!BL7:BM7,H$4)+COUNTIF('1月'!BQ7:BR7,H$4)+COUNTIF('1月'!BV7:BW7,H$4)+COUNTIF('1月'!CA7:CB7,H$4)+COUNTIF('1月'!CF7:CG7,H$4)+COUNTIF('1月'!CK7:CL7,H$4)+COUNTIF('1月'!CP7:CQ7,H$4)+COUNTIF('1月'!CU7:CV7,H$4)+COUNTIF('1月'!CZ7:DA7,H$4)+COUNTIF('1月'!DE7:DF7,H$4)+COUNTIF('1月'!DJ7:DK7,H$4)+COUNTIF('1月'!DO7:DP7,H$4)+COUNTIF('1月'!DT7:DU7,H$4)+COUNTIF('1月'!DY7:DZ7,H$4)+COUNTIF('1月'!ED7:EE7,H$4)+COUNTIF('1月'!EI7:EJ7,H$4)+COUNTIF('1月'!EN7:EO7,H$4)+COUNTIF('1月'!ES7:ET7,H$4)+COUNTIF('1月'!D7:E7,"渋谷-夜勤")+COUNTIF('1月'!I7:J7,"渋谷-夜勤")+COUNTIF('1月'!N7:O7,"渋谷-夜勤")+COUNTIF('1月'!S7:T7,"渋谷-夜勤")+COUNTIF('1月'!X7:Y7,"渋谷-夜勤")+COUNTIF('1月'!AC7:AD7,"渋谷-夜勤")+COUNTIF('1月'!AH7:AI7,"渋谷-夜勤")+COUNTIF('1月'!AM7:AN7,"渋谷-夜勤")+COUNTIF('1月'!AR7:AS7,"渋谷-夜勤")+COUNTIF('1月'!AW7:AX7,"渋谷-夜勤")+COUNTIF('1月'!BB7:BC7,"渋谷-夜勤")+COUNTIF('1月'!BG7:BH7,"渋谷-夜勤")+COUNTIF('1月'!BL7:BM7,"渋谷-夜勤")+COUNTIF('1月'!BQ7:BR7,"渋谷-夜勤")+COUNTIF('1月'!BV7:BW7,"渋谷-夜勤")+COUNTIF('1月'!CA7:CB7,"渋谷-夜勤")+COUNTIF('1月'!CF7:CG7,"渋谷-夜勤")+COUNTIF('1月'!CK7:CL7,"渋谷-夜勤")+COUNTIF('1月'!CP7:CQ7,"渋谷-夜勤")+COUNTIF('1月'!CU7:CV7,"渋谷-夜勤")+COUNTIF('1月'!CZ7:DA7,"渋谷-夜勤")+COUNTIF('1月'!DE7:DF7,"渋谷-夜勤")+COUNTIF('1月'!DJ7:DK7,"渋谷-夜勤")+COUNTIF('1月'!DO7:DP7,"渋谷-夜勤")+COUNTIF('1月'!DT7:DU7,"渋谷-夜勤")+COUNTIF('1月'!DY7:DZ7,"渋谷-夜勤")+COUNTIF('1月'!ED7:EE7,"渋谷-夜勤")+COUNTIF('1月'!EI7:EJ7,"渋谷-夜勤")+COUNTIF('1月'!EN7:EO7,"渋谷-夜勤")+COUNTIF('1月'!ES7:ET7,"渋谷-夜勤")</f>
        <v>0</v>
      </c>
      <c r="I9" s="76">
        <f t="shared" si="3"/>
        <v>0</v>
      </c>
      <c r="J9" s="76">
        <f>COUNTIF('1月'!D7:E7,J$4)+COUNTIF('1月'!I7:J7,J$4)+COUNTIF('1月'!N7:O7,J$4)+COUNTIF('1月'!S7:T7,J$4)+COUNTIF('1月'!X7:Y7,J$4)+COUNTIF('1月'!AC7:AD7,J$4)+COUNTIF('1月'!AH7:AI7,J$4)+COUNTIF('1月'!AM7:AN7,J$4)+COUNTIF('1月'!AR7:AS7,J$4)+COUNTIF('1月'!AW7:AX7,J$4)+COUNTIF('1月'!BB7:BC7,J$4)+COUNTIF('1月'!BG7:BH7,J$4)+COUNTIF('1月'!BL7:BM7,J$4)+COUNTIF('1月'!BQ7:BR7,J$4)+COUNTIF('1月'!BV7:BW7,J$4)+COUNTIF('1月'!CA7:CB7,J$4)+COUNTIF('1月'!CF7:CG7,J$4)+COUNTIF('1月'!CK7:CL7,J$4)+COUNTIF('1月'!CP7:CQ7,J$4)+COUNTIF('1月'!CU7:CV7,J$4)+COUNTIF('1月'!CZ7:DA7,J$4)+COUNTIF('1月'!DE7:DF7,J$4)+COUNTIF('1月'!DJ7:DK7,J$4)+COUNTIF('1月'!DO7:DP7,J$4)+COUNTIF('1月'!DT7:DU7,J$4)+COUNTIF('1月'!DY7:DZ7,J$4)+COUNTIF('1月'!ED7:EE7,J$4)+COUNTIF('1月'!EI7:EJ7,J$4)+COUNTIF('1月'!EN7:EO7,J$4)+COUNTIF('1月'!ES7:ET7,J$4)+COUNTIF('1月'!D7:E7,"六本木-夜勤")+COUNTIF('1月'!I7:J7,"六本木-夜勤")+COUNTIF('1月'!N7:O7,"六本木-夜勤")+COUNTIF('1月'!S7:T7,"六本木-夜勤")+COUNTIF('1月'!X7:Y7,"六本木-夜勤")+COUNTIF('1月'!AC7:AD7,"六本木-夜勤")+COUNTIF('1月'!AH7:AI7,"六本木-夜勤")+COUNTIF('1月'!AM7:AN7,"六本木-夜勤")+COUNTIF('1月'!AR7:AS7,"六本木-夜勤")+COUNTIF('1月'!AW7:AX7,"六本木-夜勤")+COUNTIF('1月'!BB7:BC7,"六本木-夜勤")+COUNTIF('1月'!BG7:BH7,"六本木-夜勤")+COUNTIF('1月'!BL7:BM7,"六本木-夜勤")+COUNTIF('1月'!BQ7:BR7,"六本木-夜勤")+COUNTIF('1月'!BV7:BW7,"六本木-夜勤")+COUNTIF('1月'!CA7:CB7,"六本木-夜勤")+COUNTIF('1月'!CF7:CG7,"六本木-夜勤")+COUNTIF('1月'!CK7:CL7,"六本木-夜勤")+COUNTIF('1月'!CP7:CQ7,"六本木-夜勤")+COUNTIF('1月'!CU7:CV7,"六本木-夜勤")+COUNTIF('1月'!CZ7:DA7,"六本木-夜勤")+COUNTIF('1月'!DE7:DF7,"六本木-夜勤")+COUNTIF('1月'!DJ7:DK7,"六本木-夜勤")+COUNTIF('1月'!DO7:DP7,"六本木-夜勤")+COUNTIF('1月'!DT7:DU7,"六本木-夜勤")+COUNTIF('1月'!DY7:DZ7,"六本木-夜勤")+COUNTIF('1月'!ED7:EE7,"六本木-夜勤")+COUNTIF('1月'!EI7:EJ7,"六本木-夜勤")+COUNTIF('1月'!EN7:EO7,"六本木-夜勤")+COUNTIF('1月'!ES7:ET7,"六本木-夜勤")+COUNTIF('1月'!D7:E7,"六本木ー夜勤")+COUNTIF('1月'!I7:J7,"六本木ー夜勤")+COUNTIF('1月'!N7:O7,"六本木ー夜勤")+COUNTIF('1月'!S7:T7,"六本木ー夜勤")+COUNTIF('1月'!X7:Y7,"六本木ー夜勤")+COUNTIF('1月'!AC7:AD7,"六本木ー夜勤")+COUNTIF('1月'!AH7:AI7,"六本木ー夜勤")+COUNTIF('1月'!AM7:AN7,"六本木ー夜勤")+COUNTIF('1月'!AR7:AS7,"六本木ー夜勤")+COUNTIF('1月'!AW7:AX7,"六本木ー夜勤")+COUNTIF('1月'!BB7:BC7,"六本木ー夜勤")+COUNTIF('1月'!BG7:BH7,"六本木ー夜勤")+COUNTIF('1月'!BL7:BM7,"六本木ー夜勤")+COUNTIF('1月'!BQ7:BR7,"六本木ー夜勤")+COUNTIF('1月'!BV7:BW7,"六本木ー夜勤")+COUNTIF('1月'!CA7:CB7,"六本木ー夜勤")+COUNTIF('1月'!CF7:CG7,"六本木ー夜勤")+COUNTIF('1月'!CK7:CL7,"六本木ー夜勤")+COUNTIF('1月'!CP7:CQ7,"六本木ー夜勤")+COUNTIF('1月'!CU7:CV7,"六本木ー夜勤")+COUNTIF('1月'!CZ7:DA7,"六本木ー夜勤")+COUNTIF('1月'!DE7:DF7,"六本木ー夜勤")+COUNTIF('1月'!DJ7:DK7,"六本木ー夜勤")+COUNTIF('1月'!DO7:DP7,"六本木ー夜勤")+COUNTIF('1月'!DT7:DU7,"六本木ー夜勤")+COUNTIF('1月'!DY7:DZ7,"六本木ー夜勤")+COUNTIF('1月'!ED7:EE7,"六本木ー夜勤")+COUNTIF('1月'!EI7:EJ7,"六本木ー夜勤")+COUNTIF('1月'!EN7:EO7,"六本木ー夜勤")+COUNTIF('1月'!ES7:ET7,"六本木ー夜勤")</f>
        <v>0</v>
      </c>
      <c r="K9" s="76">
        <f t="shared" si="4"/>
        <v>0</v>
      </c>
      <c r="L9" s="76">
        <f>COUNTIF('1月'!D7:E7,L$4)+COUNTIF('1月'!I7:J7,L$4)+COUNTIF('1月'!N7:O7,L$4)+COUNTIF('1月'!S7:T7,L$4)+COUNTIF('1月'!X7:Y7,L$4)+COUNTIF('1月'!AC7:AD7,L$4)+COUNTIF('1月'!AH7:AI7,L$4)+COUNTIF('1月'!AM7:AN7,L$4)+COUNTIF('1月'!AR7:AS7,L$4)+COUNTIF('1月'!AW7:AX7,L$4)+COUNTIF('1月'!BB7:BC7,L$4)+COUNTIF('1月'!BG7:BH7,L$4)+COUNTIF('1月'!BL7:BM7,L$4)+COUNTIF('1月'!BQ7:BR7,L$4)+COUNTIF('1月'!BV7:BW7,L$4)+COUNTIF('1月'!CA7:CB7,L$4)+COUNTIF('1月'!CF7:CG7,L$4)+COUNTIF('1月'!CK7:CL7,L$4)+COUNTIF('1月'!CP7:CQ7,L$4)+COUNTIF('1月'!CU7:CV7,L$4)+COUNTIF('1月'!CZ7:DA7,L$4)+COUNTIF('1月'!DE7:DF7,L$4)+COUNTIF('1月'!DJ7:DK7,L$4)+COUNTIF('1月'!DO7:DP7,L$4)+COUNTIF('1月'!DT7:DU7,L$4)+COUNTIF('1月'!DY7:DZ7,L$4)+COUNTIF('1月'!ED7:EE7,L$4)+COUNTIF('1月'!EI7:EJ7,L$4)+COUNTIF('1月'!EN7:EO7,L$4)+COUNTIF('1月'!ES7:ET7,L$4)</f>
        <v>0</v>
      </c>
      <c r="M9" s="76">
        <f t="shared" si="5"/>
        <v>0</v>
      </c>
      <c r="N9" s="76">
        <f>COUNTIF('1月'!D7:E7,N$4)+COUNTIF('1月'!I7:J7,N$4)+COUNTIF('1月'!N7:O7,N$4)+COUNTIF('1月'!S7:T7,N$4)+COUNTIF('1月'!X7:Y7,N$4)+COUNTIF('1月'!AC7:AD7,N$4)+COUNTIF('1月'!AH7:AI7,N$4)+COUNTIF('1月'!AM7:AN7,N$4)+COUNTIF('1月'!AR7:AS7,N$4)+COUNTIF('1月'!AW7:AX7,N$4)+COUNTIF('1月'!BB7:BC7,N$4)+COUNTIF('1月'!BG7:BH7,N$4)+COUNTIF('1月'!BL7:BM7,N$4)+COUNTIF('1月'!BQ7:BR7,N$4)+COUNTIF('1月'!BV7:BW7,N$4)+COUNTIF('1月'!CA7:CB7,N$4)+COUNTIF('1月'!CF7:CG7,N$4)+COUNTIF('1月'!CK7:CL7,N$4)+COUNTIF('1月'!CP7:CQ7,N$4)+COUNTIF('1月'!CU7:CV7,N$4)+COUNTIF('1月'!CZ7:DA7,N$4)+COUNTIF('1月'!DE7:DF7,N$4)+COUNTIF('1月'!DJ7:DK7,N$4)+COUNTIF('1月'!DO7:DP7,N$4)+COUNTIF('1月'!DT7:DU7,N$4)+COUNTIF('1月'!DY7:DZ7,N$4)+COUNTIF('1月'!ED7:EE7,N$4)+COUNTIF('1月'!EI7:EJ7,N$4)+COUNTIF('1月'!EN7:EO7,N$4)+COUNTIF('1月'!ES7:ET7,N$4)+COUNTIF('1月'!D7:E7,"三軒茶屋－夜勤")+COUNTIF('1月'!I7:J7,"三軒茶屋－夜勤")+COUNTIF('1月'!N7:O7,"三軒茶屋－夜勤")+COUNTIF('1月'!S7:T7,"三軒茶屋－夜勤")+COUNTIF('1月'!X7:Y7,"三軒茶屋－夜勤")+COUNTIF('1月'!AC7:AD7,"三軒茶屋－夜勤")+COUNTIF('1月'!AH7:AI7,"三軒茶屋－夜勤")+COUNTIF('1月'!AM7:AN7,"三軒茶屋－夜勤")+COUNTIF('1月'!AR7:AS7,"三軒茶屋－夜勤")+COUNTIF('1月'!AW7:AX7,"三軒茶屋－夜勤")+COUNTIF('1月'!BB7:BC7,"三軒茶屋－夜勤")+COUNTIF('1月'!BG7:BH7,"三軒茶屋－夜勤")+COUNTIF('1月'!BL7:BM7,"三軒茶屋－夜勤")+COUNTIF('1月'!BQ7:BR7,"三軒茶屋－夜勤")+COUNTIF('1月'!BV7:BW7,"三軒茶屋－夜勤")+COUNTIF('1月'!CA7:CB7,"三軒茶屋－夜勤")+COUNTIF('1月'!CF7:CG7,"三軒茶屋－夜勤")+COUNTIF('1月'!CK7:CL7,"三軒茶屋－夜勤")+COUNTIF('1月'!CP7:CQ7,"三軒茶屋－夜勤")+COUNTIF('1月'!CU7:CV7,"三軒茶屋－夜勤")+COUNTIF('1月'!CZ7:DA7,"三軒茶屋－夜勤")+COUNTIF('1月'!DE7:DF7,"三軒茶屋－夜勤")+COUNTIF('1月'!DJ7:DK7,"三軒茶屋－夜勤")+COUNTIF('1月'!DO7:DP7,"三軒茶屋－夜勤")+COUNTIF('1月'!DT7:DU7,"三軒茶屋－夜勤")+COUNTIF('1月'!DY7:DZ7,"三軒茶屋－夜勤")+COUNTIF('1月'!ED7:EE7,"三軒茶屋－夜勤")+COUNTIF('1月'!EI7:EJ7,"三軒茶屋－夜勤")+COUNTIF('1月'!EN7:EO7,"三軒茶屋－夜勤")+COUNTIF('1月'!ES7:ET7,"三軒茶屋－夜勤")</f>
        <v>0</v>
      </c>
      <c r="O9" s="76">
        <f t="shared" si="6"/>
        <v>0</v>
      </c>
      <c r="P9" s="76">
        <f>COUNTIF('1月'!D7:E7,P$4)+COUNTIF('1月'!I7:J7,P$4)+COUNTIF('1月'!N7:O7,P$4)+COUNTIF('1月'!S7:T7,P$4)+COUNTIF('1月'!X7:Y7,P$4)+COUNTIF('1月'!AC7:AD7,P$4)+COUNTIF('1月'!AH7:AI7,P$4)+COUNTIF('1月'!AM7:AN7,P$4)+COUNTIF('1月'!AR7:AS7,P$4)+COUNTIF('1月'!AW7:AX7,P$4)+COUNTIF('1月'!BB7:BC7,P$4)+COUNTIF('1月'!BG7:BH7,P$4)+COUNTIF('1月'!BL7:BM7,P$4)+COUNTIF('1月'!BQ7:BR7,P$4)+COUNTIF('1月'!BV7:BW7,P$4)+COUNTIF('1月'!CA7:CB7,P$4)+COUNTIF('1月'!CF7:CG7,P$4)+COUNTIF('1月'!CK7:CL7,P$4)+COUNTIF('1月'!CP7:CQ7,P$4)+COUNTIF('1月'!CU7:CV7,P$4)+COUNTIF('1月'!CZ7:DA7,P$4)+COUNTIF('1月'!DE7:DF7,P$4)+COUNTIF('1月'!DJ7:DK7,P$4)+COUNTIF('1月'!DO7:DP7,P$4)+COUNTIF('1月'!DT7:DU7,P$4)+COUNTIF('1月'!DY7:DZ7,P$4)+COUNTIF('1月'!ED7:EE7,P$4)+COUNTIF('1月'!EI7:EJ7,P$4)+COUNTIF('1月'!EN7:EO7,P$4)+COUNTIF('1月'!ES7:ET7,P$4)+COUNTIF('1月'!D7:E7,"荻窪ー夜勤")+COUNTIF('1月'!I7:J7,"荻窪ー夜勤")+COUNTIF('1月'!N7:O7,"荻窪ー夜勤")+COUNTIF('1月'!S7:T7,"荻窪ー夜勤")+COUNTIF('1月'!X7:Y7,"荻窪ー夜勤")+COUNTIF('1月'!AC7:AD7,"荻窪ー夜勤")+COUNTIF('1月'!AH7:AI7,"荻窪ー夜勤")+COUNTIF('1月'!AM7:AN7,"荻窪ー夜勤")+COUNTIF('1月'!AR7:AS7,"荻窪ー夜勤")+COUNTIF('1月'!AW7:AX7,"荻窪ー夜勤")+COUNTIF('1月'!BB7:BC7,"荻窪ー夜勤")+COUNTIF('1月'!BG7:BH7,"荻窪ー夜勤")+COUNTIF('1月'!BL7:BM7,"荻窪ー夜勤")+COUNTIF('1月'!BQ7:BR7,"荻窪ー夜勤")+COUNTIF('1月'!BV7:BW7,"荻窪ー夜勤")+COUNTIF('1月'!CA7:CB7,"荻窪ー夜勤")+COUNTIF('1月'!CF7:CG7,"荻窪ー夜勤")+COUNTIF('1月'!CK7:CL7,"荻窪ー夜勤")+COUNTIF('1月'!CP7:CQ7,"荻窪ー夜勤")+COUNTIF('1月'!CU7:CV7,"荻窪ー夜勤")+COUNTIF('1月'!CZ7:DA7,"荻窪ー夜勤")+COUNTIF('1月'!DE7:DF7,"荻窪ー夜勤")+COUNTIF('1月'!DJ7:DK7,"荻窪ー夜勤")+COUNTIF('1月'!DO7:DP7,"荻窪ー夜勤")+COUNTIF('1月'!DT7:DU7,"荻窪ー夜勤")+COUNTIF('1月'!DY7:DZ7,"荻窪ー夜勤")+COUNTIF('1月'!ED7:EE7,"荻窪ー夜勤")+COUNTIF('1月'!EI7:EJ7,"荻窪ー夜勤")+COUNTIF('1月'!EN7:EO7,"荻窪ー夜勤")+COUNTIF('1月'!ES7:ET7,"荻窪ー夜勤")</f>
        <v>0</v>
      </c>
      <c r="Q9" s="76">
        <f t="shared" si="7"/>
        <v>0</v>
      </c>
      <c r="R9" s="76">
        <f>COUNTIF('1月'!D7:E7,R$4)+COUNTIF('1月'!I7:J7,R$4)+COUNTIF('1月'!N7:O7,R$4)+COUNTIF('1月'!S7:T7,R$4)+COUNTIF('1月'!X7:Y7,R$4)+COUNTIF('1月'!AC7:AD7,R$4)+COUNTIF('1月'!AH7:AI7,R$4)+COUNTIF('1月'!AM7:AN7,R$4)+COUNTIF('1月'!AR7:AS7,R$4)+COUNTIF('1月'!AW7:AX7,R$4)+COUNTIF('1月'!BB7:BC7,R$4)+COUNTIF('1月'!BG7:BH7,R$4)+COUNTIF('1月'!BL7:BM7,R$4)+COUNTIF('1月'!BQ7:BR7,R$4)+COUNTIF('1月'!BV7:BW7,R$4)+COUNTIF('1月'!CA7:CB7,R$4)+COUNTIF('1月'!CF7:CG7,R$4)+COUNTIF('1月'!CK7:CL7,R$4)+COUNTIF('1月'!CP7:CQ7,R$4)+COUNTIF('1月'!CU7:CV7,R$4)+COUNTIF('1月'!CZ7:DA7,R$4)+COUNTIF('1月'!DE7:DF7,R$4)+COUNTIF('1月'!DJ7:DK7,R$4)+COUNTIF('1月'!DO7:DP7,R$4)+COUNTIF('1月'!DT7:DU7,R$4)+COUNTIF('1月'!DY7:DZ7,R$4)+COUNTIF('1月'!ED7:EE7,R$4)+COUNTIF('1月'!EI7:EJ7,R$4)+COUNTIF('1月'!EN7:EO7,R$4)+COUNTIF('1月'!ES7:ET7,R$4)</f>
        <v>0</v>
      </c>
      <c r="S9" s="76">
        <f t="shared" si="8"/>
        <v>0</v>
      </c>
      <c r="T9" s="76">
        <f>COUNTIF('1月'!D7:E7,T$4)+COUNTIF('1月'!I7:J7,T$4)+COUNTIF('1月'!N7:O7,T$4)+COUNTIF('1月'!S7:T7,T$4)+COUNTIF('1月'!X7:Y7,T$4)+COUNTIF('1月'!AC7:AD7,T$4)+COUNTIF('1月'!AH7:AI7,T$4)+COUNTIF('1月'!AM7:AN7,T$4)+COUNTIF('1月'!AR7:AS7,T$4)+COUNTIF('1月'!AW7:AX7,T$4)+COUNTIF('1月'!BB7:BC7,T$4)+COUNTIF('1月'!BG7:BH7,T$4)+COUNTIF('1月'!BL7:BM7,T$4)+COUNTIF('1月'!BQ7:BR7,T$4)+COUNTIF('1月'!BV7:BW7,T$4)+COUNTIF('1月'!CA7:CB7,T$4)+COUNTIF('1月'!CF7:CG7,T$4)+COUNTIF('1月'!CK7:CL7,T$4)+COUNTIF('1月'!CP7:CQ7,T$4)+COUNTIF('1月'!CU7:CV7,T$4)+COUNTIF('1月'!CZ7:DA7,T$4)+COUNTIF('1月'!DE7:DF7,T$4)+COUNTIF('1月'!DJ7:DK7,T$4)+COUNTIF('1月'!DO7:DP7,T$4)+COUNTIF('1月'!DT7:DU7,T$4)+COUNTIF('1月'!DY7:DZ7,T$4)+COUNTIF('1月'!ED7:EE7,T$4)+COUNTIF('1月'!EI7:EJ7,T$4)+COUNTIF('1月'!EN7:EO7,T$4)+COUNTIF('1月'!ES7:ET7,T$4)</f>
        <v>0</v>
      </c>
      <c r="U9" s="76">
        <f t="shared" si="9"/>
        <v>0</v>
      </c>
      <c r="V9" s="76">
        <f>COUNTIF('1月'!D7:E7,V$4)+COUNTIF('1月'!I7:J7,V$4)+COUNTIF('1月'!N7:O7,V$4)+COUNTIF('1月'!S7:T7,V$4)+COUNTIF('1月'!X7:Y7,V$4)+COUNTIF('1月'!AC7:AD7,V$4)+COUNTIF('1月'!AH7:AI7,V$4)+COUNTIF('1月'!AM7:AN7,V$4)+COUNTIF('1月'!AR7:AS7,V$4)+COUNTIF('1月'!AW7:AX7,V$4)+COUNTIF('1月'!BB7:BC7,V$4)+COUNTIF('1月'!BG7:BH7,V$4)+COUNTIF('1月'!BL7:BM7,V$4)+COUNTIF('1月'!BQ7:BR7,V$4)+COUNTIF('1月'!BV7:BW7,V$4)+COUNTIF('1月'!CA7:CB7,V$4)+COUNTIF('1月'!CF7:CG7,V$4)+COUNTIF('1月'!CK7:CL7,V$4)+COUNTIF('1月'!CP7:CQ7,V$4)+COUNTIF('1月'!CU7:CV7,V$4)+COUNTIF('1月'!CZ7:DA7,V$4)+COUNTIF('1月'!DE7:DF7,V$4)+COUNTIF('1月'!DJ7:DK7,V$4)+COUNTIF('1月'!DO7:DP7,V$4)+COUNTIF('1月'!DT7:DU7,V$4)+COUNTIF('1月'!DY7:DZ7,V$4)+COUNTIF('1月'!ED7:EE7,V$4)+COUNTIF('1月'!EI7:EJ7,V$4)+COUNTIF('1月'!EN7:EO7,V$4)+COUNTIF('1月'!ES7:ET7,V$4)</f>
        <v>0</v>
      </c>
      <c r="W9" s="76">
        <f t="shared" si="10"/>
        <v>0</v>
      </c>
      <c r="X9" s="76">
        <f>COUNTIF('1月'!D7:E7,X$4)+COUNTIF('1月'!I7:J7,X$4)+COUNTIF('1月'!N7:O7,X$4)+COUNTIF('1月'!S7:T7,X$4)+COUNTIF('1月'!X7:Y7,X$4)+COUNTIF('1月'!AC7:AD7,X$4)+COUNTIF('1月'!AH7:AI7,X$4)+COUNTIF('1月'!AM7:AN7,X$4)+COUNTIF('1月'!AR7:AS7,X$4)+COUNTIF('1月'!AW7:AX7,X$4)+COUNTIF('1月'!BB7:BC7,X$4)+COUNTIF('1月'!BG7:BH7,X$4)+COUNTIF('1月'!BL7:BM7,X$4)+COUNTIF('1月'!BQ7:BR7,X$4)+COUNTIF('1月'!BV7:BW7,X$4)+COUNTIF('1月'!CA7:CB7,X$4)+COUNTIF('1月'!CF7:CG7,X$4)+COUNTIF('1月'!CK7:CL7,X$4)+COUNTIF('1月'!CP7:CQ7,X$4)+COUNTIF('1月'!CU7:CV7,X$4)+COUNTIF('1月'!CZ7:DA7,X$4)+COUNTIF('1月'!DE7:DF7,X$4)+COUNTIF('1月'!DJ7:DK7,X$4)+COUNTIF('1月'!DO7:DP7,X$4)+COUNTIF('1月'!DT7:DU7,X$4)+COUNTIF('1月'!DY7:DZ7,X$4)+COUNTIF('1月'!ED7:EE7,X$4)+COUNTIF('1月'!EI7:EJ7,X$4)+COUNTIF('1月'!EN7:EO7,X$4)+COUNTIF('1月'!ES7:ET7,X$4)</f>
        <v>0</v>
      </c>
      <c r="Y9" s="76">
        <f t="shared" si="11"/>
        <v>0</v>
      </c>
    </row>
    <row r="10" spans="1:25" ht="18" customHeight="1">
      <c r="A10" s="76">
        <v>5</v>
      </c>
      <c r="B10" s="76">
        <f>COUNTIF('1月'!D8:E8,B$4)+COUNTIF('1月'!I8:J8,B$4)+COUNTIF('1月'!N8:O8,B$4)+COUNTIF('1月'!S8:T8,B$4)+COUNTIF('1月'!X8:Y8,B$4)+COUNTIF('1月'!AC8:AD8,B$4)+COUNTIF('1月'!AH8:AI8,B$4)+COUNTIF('1月'!AM8:AN8,B$4)+COUNTIF('1月'!AR8:AS8,B$4)+COUNTIF('1月'!AW8:AX8,B$4)+COUNTIF('1月'!BB8:BC8,B$4)+COUNTIF('1月'!BG8:BH8,B$4)+COUNTIF('1月'!BL8:BM8,B$4)+COUNTIF('1月'!BQ8:BR8,B$4)+COUNTIF('1月'!BV8:BW8,B$4)+COUNTIF('1月'!CA8:CB8,B$4)+COUNTIF('1月'!CF8:CG8,B$4)+COUNTIF('1月'!CK8:CL8,B$4)+COUNTIF('1月'!CP8:CQ8,B$4)+COUNTIF('1月'!CU8:CV8,B$4)+COUNTIF('1月'!CZ8:DA8,B$4)+COUNTIF('1月'!DE8:DF8,B$4)+COUNTIF('1月'!DJ8:DK8,B$4)+COUNTIF('1月'!DO8:DP8,B$4)+COUNTIF('1月'!DT8:DU8,B$4)+COUNTIF('1月'!DY8:DZ8,B$4)+COUNTIF('1月'!ED8:EE8,B$4)+COUNTIF('1月'!EI8:EJ8,B$4)+COUNTIF('1月'!EN8:EO8,B$4)+COUNTIF('1月'!ES8:ET8,B$4)</f>
        <v>0</v>
      </c>
      <c r="C10" s="76">
        <f t="shared" si="0"/>
        <v>0</v>
      </c>
      <c r="D10" s="76">
        <f>COUNTIF('1月'!D8:E8,D$4)+COUNTIF('1月'!I8:J8,D$4)+COUNTIF('1月'!N8:O8,D$4)+COUNTIF('1月'!S8:T8,D$4)+COUNTIF('1月'!X8:Y8,D$4)+COUNTIF('1月'!AC8:AD8,D$4)+COUNTIF('1月'!AH8:AI8,D$4)+COUNTIF('1月'!AM8:AN8,D$4)+COUNTIF('1月'!AR8:AS8,D$4)+COUNTIF('1月'!AW8:AX8,D$4)+COUNTIF('1月'!BB8:BC8,D$4)+COUNTIF('1月'!BG8:BH8,D$4)+COUNTIF('1月'!BL8:BM8,D$4)+COUNTIF('1月'!BQ8:BR8,D$4)+COUNTIF('1月'!BV8:BW8,D$4)+COUNTIF('1月'!CA8:CB8,D$4)+COUNTIF('1月'!CF8:CG8,D$4)+COUNTIF('1月'!CK8:CL8,D$4)+COUNTIF('1月'!CP8:CQ8,D$4)+COUNTIF('1月'!CU8:CV8,D$4)+COUNTIF('1月'!CZ8:DA8,D$4)+COUNTIF('1月'!DE8:DF8,D$4)+COUNTIF('1月'!DJ8:DK8,D$4)+COUNTIF('1月'!DO8:DP8,D$4)+COUNTIF('1月'!DT8:DU8,D$4)+COUNTIF('1月'!DY8:DZ8,D$4)+COUNTIF('1月'!ED8:EE8,D$4)+COUNTIF('1月'!EI8:EJ8,D$4)+COUNTIF('1月'!EN8:EO8,D$4)+COUNTIF('1月'!ES8:ET8,D$4)</f>
        <v>0</v>
      </c>
      <c r="E10" s="76">
        <f t="shared" si="1"/>
        <v>0</v>
      </c>
      <c r="F10" s="76">
        <f>COUNTIF('1月'!D8:E8,F$4)+COUNTIF('1月'!I8:J8,F$4)+COUNTIF('1月'!N8:O8,F$4)+COUNTIF('1月'!S8:T8,F$4)+COUNTIF('1月'!X8:Y8,F$4)+COUNTIF('1月'!AC8:AD8,F$4)+COUNTIF('1月'!AH8:AI8,F$4)+COUNTIF('1月'!AM8:AN8,F$4)+COUNTIF('1月'!AR8:AS8,F$4)+COUNTIF('1月'!AW8:AX8,F$4)+COUNTIF('1月'!BB8:BC8,F$4)+COUNTIF('1月'!BG8:BH8,F$4)+COUNTIF('1月'!BL8:BM8,F$4)+COUNTIF('1月'!BQ8:BR8,F$4)+COUNTIF('1月'!BV8:BW8,F$4)+COUNTIF('1月'!CA8:CB8,F$4)+COUNTIF('1月'!CF8:CG8,F$4)+COUNTIF('1月'!CK8:CL8,F$4)+COUNTIF('1月'!CP8:CQ8,F$4)+COUNTIF('1月'!CU8:CV8,F$4)+COUNTIF('1月'!CZ8:DA8,F$4)+COUNTIF('1月'!DE8:DF8,F$4)+COUNTIF('1月'!DJ8:DK8,F$4)+COUNTIF('1月'!DO8:DP8,F$4)+COUNTIF('1月'!DT8:DU8,F$4)+COUNTIF('1月'!DY8:DZ8,F$4)+COUNTIF('1月'!ED8:EE8,F$4)+COUNTIF('1月'!EI8:EJ8,F$4)+COUNTIF('1月'!EN8:EO8,F$4)+COUNTIF('1月'!ES8:ET8,F$4)</f>
        <v>0</v>
      </c>
      <c r="G10" s="76">
        <f t="shared" si="2"/>
        <v>0</v>
      </c>
      <c r="H10" s="76">
        <f>COUNTIF('1月'!D8:E8,H$4)+COUNTIF('1月'!I8:J8,H$4)+COUNTIF('1月'!N8:O8,H$4)+COUNTIF('1月'!S8:T8,H$4)+COUNTIF('1月'!X8:Y8,H$4)+COUNTIF('1月'!AC8:AD8,H$4)+COUNTIF('1月'!AH8:AI8,H$4)+COUNTIF('1月'!AM8:AN8,H$4)+COUNTIF('1月'!AR8:AS8,H$4)+COUNTIF('1月'!AW8:AX8,H$4)+COUNTIF('1月'!BB8:BC8,H$4)+COUNTIF('1月'!BG8:BH8,H$4)+COUNTIF('1月'!BL8:BM8,H$4)+COUNTIF('1月'!BQ8:BR8,H$4)+COUNTIF('1月'!BV8:BW8,H$4)+COUNTIF('1月'!CA8:CB8,H$4)+COUNTIF('1月'!CF8:CG8,H$4)+COUNTIF('1月'!CK8:CL8,H$4)+COUNTIF('1月'!CP8:CQ8,H$4)+COUNTIF('1月'!CU8:CV8,H$4)+COUNTIF('1月'!CZ8:DA8,H$4)+COUNTIF('1月'!DE8:DF8,H$4)+COUNTIF('1月'!DJ8:DK8,H$4)+COUNTIF('1月'!DO8:DP8,H$4)+COUNTIF('1月'!DT8:DU8,H$4)+COUNTIF('1月'!DY8:DZ8,H$4)+COUNTIF('1月'!ED8:EE8,H$4)+COUNTIF('1月'!EI8:EJ8,H$4)+COUNTIF('1月'!EN8:EO8,H$4)+COUNTIF('1月'!ES8:ET8,H$4)+COUNTIF('1月'!D8:E8,"渋谷-夜勤")+COUNTIF('1月'!I8:J8,"渋谷-夜勤")+COUNTIF('1月'!N8:O8,"渋谷-夜勤")+COUNTIF('1月'!S8:T8,"渋谷-夜勤")+COUNTIF('1月'!X8:Y8,"渋谷-夜勤")+COUNTIF('1月'!AC8:AD8,"渋谷-夜勤")+COUNTIF('1月'!AH8:AI8,"渋谷-夜勤")+COUNTIF('1月'!AM8:AN8,"渋谷-夜勤")+COUNTIF('1月'!AR8:AS8,"渋谷-夜勤")+COUNTIF('1月'!AW8:AX8,"渋谷-夜勤")+COUNTIF('1月'!BB8:BC8,"渋谷-夜勤")+COUNTIF('1月'!BG8:BH8,"渋谷-夜勤")+COUNTIF('1月'!BL8:BM8,"渋谷-夜勤")+COUNTIF('1月'!BQ8:BR8,"渋谷-夜勤")+COUNTIF('1月'!BV8:BW8,"渋谷-夜勤")+COUNTIF('1月'!CA8:CB8,"渋谷-夜勤")+COUNTIF('1月'!CF8:CG8,"渋谷-夜勤")+COUNTIF('1月'!CK8:CL8,"渋谷-夜勤")+COUNTIF('1月'!CP8:CQ8,"渋谷-夜勤")+COUNTIF('1月'!CU8:CV8,"渋谷-夜勤")+COUNTIF('1月'!CZ8:DA8,"渋谷-夜勤")+COUNTIF('1月'!DE8:DF8,"渋谷-夜勤")+COUNTIF('1月'!DJ8:DK8,"渋谷-夜勤")+COUNTIF('1月'!DO8:DP8,"渋谷-夜勤")+COUNTIF('1月'!DT8:DU8,"渋谷-夜勤")+COUNTIF('1月'!DY8:DZ8,"渋谷-夜勤")+COUNTIF('1月'!ED8:EE8,"渋谷-夜勤")+COUNTIF('1月'!EI8:EJ8,"渋谷-夜勤")+COUNTIF('1月'!EN8:EO8,"渋谷-夜勤")+COUNTIF('1月'!ES8:ET8,"渋谷-夜勤")</f>
        <v>0</v>
      </c>
      <c r="I10" s="76">
        <f t="shared" si="3"/>
        <v>0</v>
      </c>
      <c r="J10" s="76">
        <f>COUNTIF('1月'!D8:E8,J$4)+COUNTIF('1月'!I8:J8,J$4)+COUNTIF('1月'!N8:O8,J$4)+COUNTIF('1月'!S8:T8,J$4)+COUNTIF('1月'!X8:Y8,J$4)+COUNTIF('1月'!AC8:AD8,J$4)+COUNTIF('1月'!AH8:AI8,J$4)+COUNTIF('1月'!AM8:AN8,J$4)+COUNTIF('1月'!AR8:AS8,J$4)+COUNTIF('1月'!AW8:AX8,J$4)+COUNTIF('1月'!BB8:BC8,J$4)+COUNTIF('1月'!BG8:BH8,J$4)+COUNTIF('1月'!BL8:BM8,J$4)+COUNTIF('1月'!BQ8:BR8,J$4)+COUNTIF('1月'!BV8:BW8,J$4)+COUNTIF('1月'!CA8:CB8,J$4)+COUNTIF('1月'!CF8:CG8,J$4)+COUNTIF('1月'!CK8:CL8,J$4)+COUNTIF('1月'!CP8:CQ8,J$4)+COUNTIF('1月'!CU8:CV8,J$4)+COUNTIF('1月'!CZ8:DA8,J$4)+COUNTIF('1月'!DE8:DF8,J$4)+COUNTIF('1月'!DJ8:DK8,J$4)+COUNTIF('1月'!DO8:DP8,J$4)+COUNTIF('1月'!DT8:DU8,J$4)+COUNTIF('1月'!DY8:DZ8,J$4)+COUNTIF('1月'!ED8:EE8,J$4)+COUNTIF('1月'!EI8:EJ8,J$4)+COUNTIF('1月'!EN8:EO8,J$4)+COUNTIF('1月'!ES8:ET8,J$4)+COUNTIF('1月'!D8:E8,"六本木-夜勤")+COUNTIF('1月'!I8:J8,"六本木-夜勤")+COUNTIF('1月'!N8:O8,"六本木-夜勤")+COUNTIF('1月'!S8:T8,"六本木-夜勤")+COUNTIF('1月'!X8:Y8,"六本木-夜勤")+COUNTIF('1月'!AC8:AD8,"六本木-夜勤")+COUNTIF('1月'!AH8:AI8,"六本木-夜勤")+COUNTIF('1月'!AM8:AN8,"六本木-夜勤")+COUNTIF('1月'!AR8:AS8,"六本木-夜勤")+COUNTIF('1月'!AW8:AX8,"六本木-夜勤")+COUNTIF('1月'!BB8:BC8,"六本木-夜勤")+COUNTIF('1月'!BG8:BH8,"六本木-夜勤")+COUNTIF('1月'!BL8:BM8,"六本木-夜勤")+COUNTIF('1月'!BQ8:BR8,"六本木-夜勤")+COUNTIF('1月'!BV8:BW8,"六本木-夜勤")+COUNTIF('1月'!CA8:CB8,"六本木-夜勤")+COUNTIF('1月'!CF8:CG8,"六本木-夜勤")+COUNTIF('1月'!CK8:CL8,"六本木-夜勤")+COUNTIF('1月'!CP8:CQ8,"六本木-夜勤")+COUNTIF('1月'!CU8:CV8,"六本木-夜勤")+COUNTIF('1月'!CZ8:DA8,"六本木-夜勤")+COUNTIF('1月'!DE8:DF8,"六本木-夜勤")+COUNTIF('1月'!DJ8:DK8,"六本木-夜勤")+COUNTIF('1月'!DO8:DP8,"六本木-夜勤")+COUNTIF('1月'!DT8:DU8,"六本木-夜勤")+COUNTIF('1月'!DY8:DZ8,"六本木-夜勤")+COUNTIF('1月'!ED8:EE8,"六本木-夜勤")+COUNTIF('1月'!EI8:EJ8,"六本木-夜勤")+COUNTIF('1月'!EN8:EO8,"六本木-夜勤")+COUNTIF('1月'!ES8:ET8,"六本木-夜勤")+COUNTIF('1月'!D8:E8,"六本木ー夜勤")+COUNTIF('1月'!I8:J8,"六本木ー夜勤")+COUNTIF('1月'!N8:O8,"六本木ー夜勤")+COUNTIF('1月'!S8:T8,"六本木ー夜勤")+COUNTIF('1月'!X8:Y8,"六本木ー夜勤")+COUNTIF('1月'!AC8:AD8,"六本木ー夜勤")+COUNTIF('1月'!AH8:AI8,"六本木ー夜勤")+COUNTIF('1月'!AM8:AN8,"六本木ー夜勤")+COUNTIF('1月'!AR8:AS8,"六本木ー夜勤")+COUNTIF('1月'!AW8:AX8,"六本木ー夜勤")+COUNTIF('1月'!BB8:BC8,"六本木ー夜勤")+COUNTIF('1月'!BG8:BH8,"六本木ー夜勤")+COUNTIF('1月'!BL8:BM8,"六本木ー夜勤")+COUNTIF('1月'!BQ8:BR8,"六本木ー夜勤")+COUNTIF('1月'!BV8:BW8,"六本木ー夜勤")+COUNTIF('1月'!CA8:CB8,"六本木ー夜勤")+COUNTIF('1月'!CF8:CG8,"六本木ー夜勤")+COUNTIF('1月'!CK8:CL8,"六本木ー夜勤")+COUNTIF('1月'!CP8:CQ8,"六本木ー夜勤")+COUNTIF('1月'!CU8:CV8,"六本木ー夜勤")+COUNTIF('1月'!CZ8:DA8,"六本木ー夜勤")+COUNTIF('1月'!DE8:DF8,"六本木ー夜勤")+COUNTIF('1月'!DJ8:DK8,"六本木ー夜勤")+COUNTIF('1月'!DO8:DP8,"六本木ー夜勤")+COUNTIF('1月'!DT8:DU8,"六本木ー夜勤")+COUNTIF('1月'!DY8:DZ8,"六本木ー夜勤")+COUNTIF('1月'!ED8:EE8,"六本木ー夜勤")+COUNTIF('1月'!EI8:EJ8,"六本木ー夜勤")+COUNTIF('1月'!EN8:EO8,"六本木ー夜勤")+COUNTIF('1月'!ES8:ET8,"六本木ー夜勤")</f>
        <v>0</v>
      </c>
      <c r="K10" s="76">
        <f t="shared" si="4"/>
        <v>0</v>
      </c>
      <c r="L10" s="76">
        <f>COUNTIF('1月'!D8:E8,L$4)+COUNTIF('1月'!I8:J8,L$4)+COUNTIF('1月'!N8:O8,L$4)+COUNTIF('1月'!S8:T8,L$4)+COUNTIF('1月'!X8:Y8,L$4)+COUNTIF('1月'!AC8:AD8,L$4)+COUNTIF('1月'!AH8:AI8,L$4)+COUNTIF('1月'!AM8:AN8,L$4)+COUNTIF('1月'!AR8:AS8,L$4)+COUNTIF('1月'!AW8:AX8,L$4)+COUNTIF('1月'!BB8:BC8,L$4)+COUNTIF('1月'!BG8:BH8,L$4)+COUNTIF('1月'!BL8:BM8,L$4)+COUNTIF('1月'!BQ8:BR8,L$4)+COUNTIF('1月'!BV8:BW8,L$4)+COUNTIF('1月'!CA8:CB8,L$4)+COUNTIF('1月'!CF8:CG8,L$4)+COUNTIF('1月'!CK8:CL8,L$4)+COUNTIF('1月'!CP8:CQ8,L$4)+COUNTIF('1月'!CU8:CV8,L$4)+COUNTIF('1月'!CZ8:DA8,L$4)+COUNTIF('1月'!DE8:DF8,L$4)+COUNTIF('1月'!DJ8:DK8,L$4)+COUNTIF('1月'!DO8:DP8,L$4)+COUNTIF('1月'!DT8:DU8,L$4)+COUNTIF('1月'!DY8:DZ8,L$4)+COUNTIF('1月'!ED8:EE8,L$4)+COUNTIF('1月'!EI8:EJ8,L$4)+COUNTIF('1月'!EN8:EO8,L$4)+COUNTIF('1月'!ES8:ET8,L$4)</f>
        <v>0</v>
      </c>
      <c r="M10" s="76">
        <f t="shared" si="5"/>
        <v>0</v>
      </c>
      <c r="N10" s="76">
        <f>COUNTIF('1月'!D8:E8,N$4)+COUNTIF('1月'!I8:J8,N$4)+COUNTIF('1月'!N8:O8,N$4)+COUNTIF('1月'!S8:T8,N$4)+COUNTIF('1月'!X8:Y8,N$4)+COUNTIF('1月'!AC8:AD8,N$4)+COUNTIF('1月'!AH8:AI8,N$4)+COUNTIF('1月'!AM8:AN8,N$4)+COUNTIF('1月'!AR8:AS8,N$4)+COUNTIF('1月'!AW8:AX8,N$4)+COUNTIF('1月'!BB8:BC8,N$4)+COUNTIF('1月'!BG8:BH8,N$4)+COUNTIF('1月'!BL8:BM8,N$4)+COUNTIF('1月'!BQ8:BR8,N$4)+COUNTIF('1月'!BV8:BW8,N$4)+COUNTIF('1月'!CA8:CB8,N$4)+COUNTIF('1月'!CF8:CG8,N$4)+COUNTIF('1月'!CK8:CL8,N$4)+COUNTIF('1月'!CP8:CQ8,N$4)+COUNTIF('1月'!CU8:CV8,N$4)+COUNTIF('1月'!CZ8:DA8,N$4)+COUNTIF('1月'!DE8:DF8,N$4)+COUNTIF('1月'!DJ8:DK8,N$4)+COUNTIF('1月'!DO8:DP8,N$4)+COUNTIF('1月'!DT8:DU8,N$4)+COUNTIF('1月'!DY8:DZ8,N$4)+COUNTIF('1月'!ED8:EE8,N$4)+COUNTIF('1月'!EI8:EJ8,N$4)+COUNTIF('1月'!EN8:EO8,N$4)+COUNTIF('1月'!ES8:ET8,N$4)+COUNTIF('1月'!D8:E8,"三軒茶屋－夜勤")+COUNTIF('1月'!I8:J8,"三軒茶屋－夜勤")+COUNTIF('1月'!N8:O8,"三軒茶屋－夜勤")+COUNTIF('1月'!S8:T8,"三軒茶屋－夜勤")+COUNTIF('1月'!X8:Y8,"三軒茶屋－夜勤")+COUNTIF('1月'!AC8:AD8,"三軒茶屋－夜勤")+COUNTIF('1月'!AH8:AI8,"三軒茶屋－夜勤")+COUNTIF('1月'!AM8:AN8,"三軒茶屋－夜勤")+COUNTIF('1月'!AR8:AS8,"三軒茶屋－夜勤")+COUNTIF('1月'!AW8:AX8,"三軒茶屋－夜勤")+COUNTIF('1月'!BB8:BC8,"三軒茶屋－夜勤")+COUNTIF('1月'!BG8:BH8,"三軒茶屋－夜勤")+COUNTIF('1月'!BL8:BM8,"三軒茶屋－夜勤")+COUNTIF('1月'!BQ8:BR8,"三軒茶屋－夜勤")+COUNTIF('1月'!BV8:BW8,"三軒茶屋－夜勤")+COUNTIF('1月'!CA8:CB8,"三軒茶屋－夜勤")+COUNTIF('1月'!CF8:CG8,"三軒茶屋－夜勤")+COUNTIF('1月'!CK8:CL8,"三軒茶屋－夜勤")+COUNTIF('1月'!CP8:CQ8,"三軒茶屋－夜勤")+COUNTIF('1月'!CU8:CV8,"三軒茶屋－夜勤")+COUNTIF('1月'!CZ8:DA8,"三軒茶屋－夜勤")+COUNTIF('1月'!DE8:DF8,"三軒茶屋－夜勤")+COUNTIF('1月'!DJ8:DK8,"三軒茶屋－夜勤")+COUNTIF('1月'!DO8:DP8,"三軒茶屋－夜勤")+COUNTIF('1月'!DT8:DU8,"三軒茶屋－夜勤")+COUNTIF('1月'!DY8:DZ8,"三軒茶屋－夜勤")+COUNTIF('1月'!ED8:EE8,"三軒茶屋－夜勤")+COUNTIF('1月'!EI8:EJ8,"三軒茶屋－夜勤")+COUNTIF('1月'!EN8:EO8,"三軒茶屋－夜勤")+COUNTIF('1月'!ES8:ET8,"三軒茶屋－夜勤")</f>
        <v>0</v>
      </c>
      <c r="O10" s="76">
        <f t="shared" si="6"/>
        <v>0</v>
      </c>
      <c r="P10" s="76">
        <f>COUNTIF('1月'!D8:E8,P$4)+COUNTIF('1月'!I8:J8,P$4)+COUNTIF('1月'!N8:O8,P$4)+COUNTIF('1月'!S8:T8,P$4)+COUNTIF('1月'!X8:Y8,P$4)+COUNTIF('1月'!AC8:AD8,P$4)+COUNTIF('1月'!AH8:AI8,P$4)+COUNTIF('1月'!AM8:AN8,P$4)+COUNTIF('1月'!AR8:AS8,P$4)+COUNTIF('1月'!AW8:AX8,P$4)+COUNTIF('1月'!BB8:BC8,P$4)+COUNTIF('1月'!BG8:BH8,P$4)+COUNTIF('1月'!BL8:BM8,P$4)+COUNTIF('1月'!BQ8:BR8,P$4)+COUNTIF('1月'!BV8:BW8,P$4)+COUNTIF('1月'!CA8:CB8,P$4)+COUNTIF('1月'!CF8:CG8,P$4)+COUNTIF('1月'!CK8:CL8,P$4)+COUNTIF('1月'!CP8:CQ8,P$4)+COUNTIF('1月'!CU8:CV8,P$4)+COUNTIF('1月'!CZ8:DA8,P$4)+COUNTIF('1月'!DE8:DF8,P$4)+COUNTIF('1月'!DJ8:DK8,P$4)+COUNTIF('1月'!DO8:DP8,P$4)+COUNTIF('1月'!DT8:DU8,P$4)+COUNTIF('1月'!DY8:DZ8,P$4)+COUNTIF('1月'!ED8:EE8,P$4)+COUNTIF('1月'!EI8:EJ8,P$4)+COUNTIF('1月'!EN8:EO8,P$4)+COUNTIF('1月'!ES8:ET8,P$4)+COUNTIF('1月'!D8:E8,"荻窪ー夜勤")+COUNTIF('1月'!I8:J8,"荻窪ー夜勤")+COUNTIF('1月'!N8:O8,"荻窪ー夜勤")+COUNTIF('1月'!S8:T8,"荻窪ー夜勤")+COUNTIF('1月'!X8:Y8,"荻窪ー夜勤")+COUNTIF('1月'!AC8:AD8,"荻窪ー夜勤")+COUNTIF('1月'!AH8:AI8,"荻窪ー夜勤")+COUNTIF('1月'!AM8:AN8,"荻窪ー夜勤")+COUNTIF('1月'!AR8:AS8,"荻窪ー夜勤")+COUNTIF('1月'!AW8:AX8,"荻窪ー夜勤")+COUNTIF('1月'!BB8:BC8,"荻窪ー夜勤")+COUNTIF('1月'!BG8:BH8,"荻窪ー夜勤")+COUNTIF('1月'!BL8:BM8,"荻窪ー夜勤")+COUNTIF('1月'!BQ8:BR8,"荻窪ー夜勤")+COUNTIF('1月'!BV8:BW8,"荻窪ー夜勤")+COUNTIF('1月'!CA8:CB8,"荻窪ー夜勤")+COUNTIF('1月'!CF8:CG8,"荻窪ー夜勤")+COUNTIF('1月'!CK8:CL8,"荻窪ー夜勤")+COUNTIF('1月'!CP8:CQ8,"荻窪ー夜勤")+COUNTIF('1月'!CU8:CV8,"荻窪ー夜勤")+COUNTIF('1月'!CZ8:DA8,"荻窪ー夜勤")+COUNTIF('1月'!DE8:DF8,"荻窪ー夜勤")+COUNTIF('1月'!DJ8:DK8,"荻窪ー夜勤")+COUNTIF('1月'!DO8:DP8,"荻窪ー夜勤")+COUNTIF('1月'!DT8:DU8,"荻窪ー夜勤")+COUNTIF('1月'!DY8:DZ8,"荻窪ー夜勤")+COUNTIF('1月'!ED8:EE8,"荻窪ー夜勤")+COUNTIF('1月'!EI8:EJ8,"荻窪ー夜勤")+COUNTIF('1月'!EN8:EO8,"荻窪ー夜勤")+COUNTIF('1月'!ES8:ET8,"荻窪ー夜勤")</f>
        <v>0</v>
      </c>
      <c r="Q10" s="76">
        <f t="shared" si="7"/>
        <v>0</v>
      </c>
      <c r="R10" s="76">
        <f>COUNTIF('1月'!D8:E8,R$4)+COUNTIF('1月'!I8:J8,R$4)+COUNTIF('1月'!N8:O8,R$4)+COUNTIF('1月'!S8:T8,R$4)+COUNTIF('1月'!X8:Y8,R$4)+COUNTIF('1月'!AC8:AD8,R$4)+COUNTIF('1月'!AH8:AI8,R$4)+COUNTIF('1月'!AM8:AN8,R$4)+COUNTIF('1月'!AR8:AS8,R$4)+COUNTIF('1月'!AW8:AX8,R$4)+COUNTIF('1月'!BB8:BC8,R$4)+COUNTIF('1月'!BG8:BH8,R$4)+COUNTIF('1月'!BL8:BM8,R$4)+COUNTIF('1月'!BQ8:BR8,R$4)+COUNTIF('1月'!BV8:BW8,R$4)+COUNTIF('1月'!CA8:CB8,R$4)+COUNTIF('1月'!CF8:CG8,R$4)+COUNTIF('1月'!CK8:CL8,R$4)+COUNTIF('1月'!CP8:CQ8,R$4)+COUNTIF('1月'!CU8:CV8,R$4)+COUNTIF('1月'!CZ8:DA8,R$4)+COUNTIF('1月'!DE8:DF8,R$4)+COUNTIF('1月'!DJ8:DK8,R$4)+COUNTIF('1月'!DO8:DP8,R$4)+COUNTIF('1月'!DT8:DU8,R$4)+COUNTIF('1月'!DY8:DZ8,R$4)+COUNTIF('1月'!ED8:EE8,R$4)+COUNTIF('1月'!EI8:EJ8,R$4)+COUNTIF('1月'!EN8:EO8,R$4)+COUNTIF('1月'!ES8:ET8,R$4)</f>
        <v>0</v>
      </c>
      <c r="S10" s="76">
        <f t="shared" si="8"/>
        <v>0</v>
      </c>
      <c r="T10" s="76">
        <f>COUNTIF('1月'!D8:E8,T$4)+COUNTIF('1月'!I8:J8,T$4)+COUNTIF('1月'!N8:O8,T$4)+COUNTIF('1月'!S8:T8,T$4)+COUNTIF('1月'!X8:Y8,T$4)+COUNTIF('1月'!AC8:AD8,T$4)+COUNTIF('1月'!AH8:AI8,T$4)+COUNTIF('1月'!AM8:AN8,T$4)+COUNTIF('1月'!AR8:AS8,T$4)+COUNTIF('1月'!AW8:AX8,T$4)+COUNTIF('1月'!BB8:BC8,T$4)+COUNTIF('1月'!BG8:BH8,T$4)+COUNTIF('1月'!BL8:BM8,T$4)+COUNTIF('1月'!BQ8:BR8,T$4)+COUNTIF('1月'!BV8:BW8,T$4)+COUNTIF('1月'!CA8:CB8,T$4)+COUNTIF('1月'!CF8:CG8,T$4)+COUNTIF('1月'!CK8:CL8,T$4)+COUNTIF('1月'!CP8:CQ8,T$4)+COUNTIF('1月'!CU8:CV8,T$4)+COUNTIF('1月'!CZ8:DA8,T$4)+COUNTIF('1月'!DE8:DF8,T$4)+COUNTIF('1月'!DJ8:DK8,T$4)+COUNTIF('1月'!DO8:DP8,T$4)+COUNTIF('1月'!DT8:DU8,T$4)+COUNTIF('1月'!DY8:DZ8,T$4)+COUNTIF('1月'!ED8:EE8,T$4)+COUNTIF('1月'!EI8:EJ8,T$4)+COUNTIF('1月'!EN8:EO8,T$4)+COUNTIF('1月'!ES8:ET8,T$4)</f>
        <v>0</v>
      </c>
      <c r="U10" s="76">
        <f t="shared" si="9"/>
        <v>0</v>
      </c>
      <c r="V10" s="76">
        <f>COUNTIF('1月'!D8:E8,V$4)+COUNTIF('1月'!I8:J8,V$4)+COUNTIF('1月'!N8:O8,V$4)+COUNTIF('1月'!S8:T8,V$4)+COUNTIF('1月'!X8:Y8,V$4)+COUNTIF('1月'!AC8:AD8,V$4)+COUNTIF('1月'!AH8:AI8,V$4)+COUNTIF('1月'!AM8:AN8,V$4)+COUNTIF('1月'!AR8:AS8,V$4)+COUNTIF('1月'!AW8:AX8,V$4)+COUNTIF('1月'!BB8:BC8,V$4)+COUNTIF('1月'!BG8:BH8,V$4)+COUNTIF('1月'!BL8:BM8,V$4)+COUNTIF('1月'!BQ8:BR8,V$4)+COUNTIF('1月'!BV8:BW8,V$4)+COUNTIF('1月'!CA8:CB8,V$4)+COUNTIF('1月'!CF8:CG8,V$4)+COUNTIF('1月'!CK8:CL8,V$4)+COUNTIF('1月'!CP8:CQ8,V$4)+COUNTIF('1月'!CU8:CV8,V$4)+COUNTIF('1月'!CZ8:DA8,V$4)+COUNTIF('1月'!DE8:DF8,V$4)+COUNTIF('1月'!DJ8:DK8,V$4)+COUNTIF('1月'!DO8:DP8,V$4)+COUNTIF('1月'!DT8:DU8,V$4)+COUNTIF('1月'!DY8:DZ8,V$4)+COUNTIF('1月'!ED8:EE8,V$4)+COUNTIF('1月'!EI8:EJ8,V$4)+COUNTIF('1月'!EN8:EO8,V$4)+COUNTIF('1月'!ES8:ET8,V$4)</f>
        <v>0</v>
      </c>
      <c r="W10" s="76">
        <f t="shared" si="10"/>
        <v>0</v>
      </c>
      <c r="X10" s="76">
        <f>COUNTIF('1月'!D8:E8,X$4)+COUNTIF('1月'!I8:J8,X$4)+COUNTIF('1月'!N8:O8,X$4)+COUNTIF('1月'!S8:T8,X$4)+COUNTIF('1月'!X8:Y8,X$4)+COUNTIF('1月'!AC8:AD8,X$4)+COUNTIF('1月'!AH8:AI8,X$4)+COUNTIF('1月'!AM8:AN8,X$4)+COUNTIF('1月'!AR8:AS8,X$4)+COUNTIF('1月'!AW8:AX8,X$4)+COUNTIF('1月'!BB8:BC8,X$4)+COUNTIF('1月'!BG8:BH8,X$4)+COUNTIF('1月'!BL8:BM8,X$4)+COUNTIF('1月'!BQ8:BR8,X$4)+COUNTIF('1月'!BV8:BW8,X$4)+COUNTIF('1月'!CA8:CB8,X$4)+COUNTIF('1月'!CF8:CG8,X$4)+COUNTIF('1月'!CK8:CL8,X$4)+COUNTIF('1月'!CP8:CQ8,X$4)+COUNTIF('1月'!CU8:CV8,X$4)+COUNTIF('1月'!CZ8:DA8,X$4)+COUNTIF('1月'!DE8:DF8,X$4)+COUNTIF('1月'!DJ8:DK8,X$4)+COUNTIF('1月'!DO8:DP8,X$4)+COUNTIF('1月'!DT8:DU8,X$4)+COUNTIF('1月'!DY8:DZ8,X$4)+COUNTIF('1月'!ED8:EE8,X$4)+COUNTIF('1月'!EI8:EJ8,X$4)+COUNTIF('1月'!EN8:EO8,X$4)+COUNTIF('1月'!ES8:ET8,X$4)</f>
        <v>0</v>
      </c>
      <c r="Y10" s="76">
        <f t="shared" si="11"/>
        <v>0</v>
      </c>
    </row>
    <row r="11" spans="1:25" ht="18" customHeight="1">
      <c r="A11" s="76">
        <v>6</v>
      </c>
      <c r="B11" s="76">
        <f>COUNTIF('1月'!D9:E9,B$4)+COUNTIF('1月'!I9:J9,B$4)+COUNTIF('1月'!N9:O9,B$4)+COUNTIF('1月'!S9:T9,B$4)+COUNTIF('1月'!X9:Y9,B$4)+COUNTIF('1月'!AC9:AD9,B$4)+COUNTIF('1月'!AH9:AI9,B$4)+COUNTIF('1月'!AM9:AN9,B$4)+COUNTIF('1月'!AR9:AS9,B$4)+COUNTIF('1月'!AW9:AX9,B$4)+COUNTIF('1月'!BB9:BC9,B$4)+COUNTIF('1月'!BG9:BH9,B$4)+COUNTIF('1月'!BL9:BM9,B$4)+COUNTIF('1月'!BQ9:BR9,B$4)+COUNTIF('1月'!BV9:BW9,B$4)+COUNTIF('1月'!CA9:CB9,B$4)+COUNTIF('1月'!CF9:CG9,B$4)+COUNTIF('1月'!CK9:CL9,B$4)+COUNTIF('1月'!CP9:CQ9,B$4)+COUNTIF('1月'!CU9:CV9,B$4)+COUNTIF('1月'!CZ9:DA9,B$4)+COUNTIF('1月'!DE9:DF9,B$4)+COUNTIF('1月'!DJ9:DK9,B$4)+COUNTIF('1月'!DO9:DP9,B$4)+COUNTIF('1月'!DT9:DU9,B$4)+COUNTIF('1月'!DY9:DZ9,B$4)+COUNTIF('1月'!ED9:EE9,B$4)+COUNTIF('1月'!EI9:EJ9,B$4)+COUNTIF('1月'!EN9:EO9,B$4)+COUNTIF('1月'!ES9:ET9,B$4)</f>
        <v>0</v>
      </c>
      <c r="C11" s="76">
        <f t="shared" si="0"/>
        <v>0</v>
      </c>
      <c r="D11" s="76">
        <f>COUNTIF('1月'!D9:E9,D$4)+COUNTIF('1月'!I9:J9,D$4)+COUNTIF('1月'!N9:O9,D$4)+COUNTIF('1月'!S9:T9,D$4)+COUNTIF('1月'!X9:Y9,D$4)+COUNTIF('1月'!AC9:AD9,D$4)+COUNTIF('1月'!AH9:AI9,D$4)+COUNTIF('1月'!AM9:AN9,D$4)+COUNTIF('1月'!AR9:AS9,D$4)+COUNTIF('1月'!AW9:AX9,D$4)+COUNTIF('1月'!BB9:BC9,D$4)+COUNTIF('1月'!BG9:BH9,D$4)+COUNTIF('1月'!BL9:BM9,D$4)+COUNTIF('1月'!BQ9:BR9,D$4)+COUNTIF('1月'!BV9:BW9,D$4)+COUNTIF('1月'!CA9:CB9,D$4)+COUNTIF('1月'!CF9:CG9,D$4)+COUNTIF('1月'!CK9:CL9,D$4)+COUNTIF('1月'!CP9:CQ9,D$4)+COUNTIF('1月'!CU9:CV9,D$4)+COUNTIF('1月'!CZ9:DA9,D$4)+COUNTIF('1月'!DE9:DF9,D$4)+COUNTIF('1月'!DJ9:DK9,D$4)+COUNTIF('1月'!DO9:DP9,D$4)+COUNTIF('1月'!DT9:DU9,D$4)+COUNTIF('1月'!DY9:DZ9,D$4)+COUNTIF('1月'!ED9:EE9,D$4)+COUNTIF('1月'!EI9:EJ9,D$4)+COUNTIF('1月'!EN9:EO9,D$4)+COUNTIF('1月'!ES9:ET9,D$4)</f>
        <v>0</v>
      </c>
      <c r="E11" s="76">
        <f t="shared" si="1"/>
        <v>0</v>
      </c>
      <c r="F11" s="76">
        <f>COUNTIF('1月'!D9:E9,F$4)+COUNTIF('1月'!I9:J9,F$4)+COUNTIF('1月'!N9:O9,F$4)+COUNTIF('1月'!S9:T9,F$4)+COUNTIF('1月'!X9:Y9,F$4)+COUNTIF('1月'!AC9:AD9,F$4)+COUNTIF('1月'!AH9:AI9,F$4)+COUNTIF('1月'!AM9:AN9,F$4)+COUNTIF('1月'!AR9:AS9,F$4)+COUNTIF('1月'!AW9:AX9,F$4)+COUNTIF('1月'!BB9:BC9,F$4)+COUNTIF('1月'!BG9:BH9,F$4)+COUNTIF('1月'!BL9:BM9,F$4)+COUNTIF('1月'!BQ9:BR9,F$4)+COUNTIF('1月'!BV9:BW9,F$4)+COUNTIF('1月'!CA9:CB9,F$4)+COUNTIF('1月'!CF9:CG9,F$4)+COUNTIF('1月'!CK9:CL9,F$4)+COUNTIF('1月'!CP9:CQ9,F$4)+COUNTIF('1月'!CU9:CV9,F$4)+COUNTIF('1月'!CZ9:DA9,F$4)+COUNTIF('1月'!DE9:DF9,F$4)+COUNTIF('1月'!DJ9:DK9,F$4)+COUNTIF('1月'!DO9:DP9,F$4)+COUNTIF('1月'!DT9:DU9,F$4)+COUNTIF('1月'!DY9:DZ9,F$4)+COUNTIF('1月'!ED9:EE9,F$4)+COUNTIF('1月'!EI9:EJ9,F$4)+COUNTIF('1月'!EN9:EO9,F$4)+COUNTIF('1月'!ES9:ET9,F$4)</f>
        <v>0</v>
      </c>
      <c r="G11" s="76">
        <f t="shared" si="2"/>
        <v>0</v>
      </c>
      <c r="H11" s="76">
        <f>COUNTIF('1月'!D9:E9,H$4)+COUNTIF('1月'!I9:J9,H$4)+COUNTIF('1月'!N9:O9,H$4)+COUNTIF('1月'!S9:T9,H$4)+COUNTIF('1月'!X9:Y9,H$4)+COUNTIF('1月'!AC9:AD9,H$4)+COUNTIF('1月'!AH9:AI9,H$4)+COUNTIF('1月'!AM9:AN9,H$4)+COUNTIF('1月'!AR9:AS9,H$4)+COUNTIF('1月'!AW9:AX9,H$4)+COUNTIF('1月'!BB9:BC9,H$4)+COUNTIF('1月'!BG9:BH9,H$4)+COUNTIF('1月'!BL9:BM9,H$4)+COUNTIF('1月'!BQ9:BR9,H$4)+COUNTIF('1月'!BV9:BW9,H$4)+COUNTIF('1月'!CA9:CB9,H$4)+COUNTIF('1月'!CF9:CG9,H$4)+COUNTIF('1月'!CK9:CL9,H$4)+COUNTIF('1月'!CP9:CQ9,H$4)+COUNTIF('1月'!CU9:CV9,H$4)+COUNTIF('1月'!CZ9:DA9,H$4)+COUNTIF('1月'!DE9:DF9,H$4)+COUNTIF('1月'!DJ9:DK9,H$4)+COUNTIF('1月'!DO9:DP9,H$4)+COUNTIF('1月'!DT9:DU9,H$4)+COUNTIF('1月'!DY9:DZ9,H$4)+COUNTIF('1月'!ED9:EE9,H$4)+COUNTIF('1月'!EI9:EJ9,H$4)+COUNTIF('1月'!EN9:EO9,H$4)+COUNTIF('1月'!ES9:ET9,H$4)+COUNTIF('1月'!D9:E9,"渋谷-夜勤")+COUNTIF('1月'!I9:J9,"渋谷-夜勤")+COUNTIF('1月'!N9:O9,"渋谷-夜勤")+COUNTIF('1月'!S9:T9,"渋谷-夜勤")+COUNTIF('1月'!X9:Y9,"渋谷-夜勤")+COUNTIF('1月'!AC9:AD9,"渋谷-夜勤")+COUNTIF('1月'!AH9:AI9,"渋谷-夜勤")+COUNTIF('1月'!AM9:AN9,"渋谷-夜勤")+COUNTIF('1月'!AR9:AS9,"渋谷-夜勤")+COUNTIF('1月'!AW9:AX9,"渋谷-夜勤")+COUNTIF('1月'!BB9:BC9,"渋谷-夜勤")+COUNTIF('1月'!BG9:BH9,"渋谷-夜勤")+COUNTIF('1月'!BL9:BM9,"渋谷-夜勤")+COUNTIF('1月'!BQ9:BR9,"渋谷-夜勤")+COUNTIF('1月'!BV9:BW9,"渋谷-夜勤")+COUNTIF('1月'!CA9:CB9,"渋谷-夜勤")+COUNTIF('1月'!CF9:CG9,"渋谷-夜勤")+COUNTIF('1月'!CK9:CL9,"渋谷-夜勤")+COUNTIF('1月'!CP9:CQ9,"渋谷-夜勤")+COUNTIF('1月'!CU9:CV9,"渋谷-夜勤")+COUNTIF('1月'!CZ9:DA9,"渋谷-夜勤")+COUNTIF('1月'!DE9:DF9,"渋谷-夜勤")+COUNTIF('1月'!DJ9:DK9,"渋谷-夜勤")+COUNTIF('1月'!DO9:DP9,"渋谷-夜勤")+COUNTIF('1月'!DT9:DU9,"渋谷-夜勤")+COUNTIF('1月'!DY9:DZ9,"渋谷-夜勤")+COUNTIF('1月'!ED9:EE9,"渋谷-夜勤")+COUNTIF('1月'!EI9:EJ9,"渋谷-夜勤")+COUNTIF('1月'!EN9:EO9,"渋谷-夜勤")+COUNTIF('1月'!ES9:ET9,"渋谷-夜勤")</f>
        <v>0</v>
      </c>
      <c r="I11" s="76">
        <f t="shared" si="3"/>
        <v>0</v>
      </c>
      <c r="J11" s="76">
        <f>COUNTIF('1月'!D9:E9,J$4)+COUNTIF('1月'!I9:J9,J$4)+COUNTIF('1月'!N9:O9,J$4)+COUNTIF('1月'!S9:T9,J$4)+COUNTIF('1月'!X9:Y9,J$4)+COUNTIF('1月'!AC9:AD9,J$4)+COUNTIF('1月'!AH9:AI9,J$4)+COUNTIF('1月'!AM9:AN9,J$4)+COUNTIF('1月'!AR9:AS9,J$4)+COUNTIF('1月'!AW9:AX9,J$4)+COUNTIF('1月'!BB9:BC9,J$4)+COUNTIF('1月'!BG9:BH9,J$4)+COUNTIF('1月'!BL9:BM9,J$4)+COUNTIF('1月'!BQ9:BR9,J$4)+COUNTIF('1月'!BV9:BW9,J$4)+COUNTIF('1月'!CA9:CB9,J$4)+COUNTIF('1月'!CF9:CG9,J$4)+COUNTIF('1月'!CK9:CL9,J$4)+COUNTIF('1月'!CP9:CQ9,J$4)+COUNTIF('1月'!CU9:CV9,J$4)+COUNTIF('1月'!CZ9:DA9,J$4)+COUNTIF('1月'!DE9:DF9,J$4)+COUNTIF('1月'!DJ9:DK9,J$4)+COUNTIF('1月'!DO9:DP9,J$4)+COUNTIF('1月'!DT9:DU9,J$4)+COUNTIF('1月'!DY9:DZ9,J$4)+COUNTIF('1月'!ED9:EE9,J$4)+COUNTIF('1月'!EI9:EJ9,J$4)+COUNTIF('1月'!EN9:EO9,J$4)+COUNTIF('1月'!ES9:ET9,J$4)+COUNTIF('1月'!D9:E9,"六本木-夜勤")+COUNTIF('1月'!I9:J9,"六本木-夜勤")+COUNTIF('1月'!N9:O9,"六本木-夜勤")+COUNTIF('1月'!S9:T9,"六本木-夜勤")+COUNTIF('1月'!X9:Y9,"六本木-夜勤")+COUNTIF('1月'!AC9:AD9,"六本木-夜勤")+COUNTIF('1月'!AH9:AI9,"六本木-夜勤")+COUNTIF('1月'!AM9:AN9,"六本木-夜勤")+COUNTIF('1月'!AR9:AS9,"六本木-夜勤")+COUNTIF('1月'!AW9:AX9,"六本木-夜勤")+COUNTIF('1月'!BB9:BC9,"六本木-夜勤")+COUNTIF('1月'!BG9:BH9,"六本木-夜勤")+COUNTIF('1月'!BL9:BM9,"六本木-夜勤")+COUNTIF('1月'!BQ9:BR9,"六本木-夜勤")+COUNTIF('1月'!BV9:BW9,"六本木-夜勤")+COUNTIF('1月'!CA9:CB9,"六本木-夜勤")+COUNTIF('1月'!CF9:CG9,"六本木-夜勤")+COUNTIF('1月'!CK9:CL9,"六本木-夜勤")+COUNTIF('1月'!CP9:CQ9,"六本木-夜勤")+COUNTIF('1月'!CU9:CV9,"六本木-夜勤")+COUNTIF('1月'!CZ9:DA9,"六本木-夜勤")+COUNTIF('1月'!DE9:DF9,"六本木-夜勤")+COUNTIF('1月'!DJ9:DK9,"六本木-夜勤")+COUNTIF('1月'!DO9:DP9,"六本木-夜勤")+COUNTIF('1月'!DT9:DU9,"六本木-夜勤")+COUNTIF('1月'!DY9:DZ9,"六本木-夜勤")+COUNTIF('1月'!ED9:EE9,"六本木-夜勤")+COUNTIF('1月'!EI9:EJ9,"六本木-夜勤")+COUNTIF('1月'!EN9:EO9,"六本木-夜勤")+COUNTIF('1月'!ES9:ET9,"六本木-夜勤")+COUNTIF('1月'!D9:E9,"六本木ー夜勤")+COUNTIF('1月'!I9:J9,"六本木ー夜勤")+COUNTIF('1月'!N9:O9,"六本木ー夜勤")+COUNTIF('1月'!S9:T9,"六本木ー夜勤")+COUNTIF('1月'!X9:Y9,"六本木ー夜勤")+COUNTIF('1月'!AC9:AD9,"六本木ー夜勤")+COUNTIF('1月'!AH9:AI9,"六本木ー夜勤")+COUNTIF('1月'!AM9:AN9,"六本木ー夜勤")+COUNTIF('1月'!AR9:AS9,"六本木ー夜勤")+COUNTIF('1月'!AW9:AX9,"六本木ー夜勤")+COUNTIF('1月'!BB9:BC9,"六本木ー夜勤")+COUNTIF('1月'!BG9:BH9,"六本木ー夜勤")+COUNTIF('1月'!BL9:BM9,"六本木ー夜勤")+COUNTIF('1月'!BQ9:BR9,"六本木ー夜勤")+COUNTIF('1月'!BV9:BW9,"六本木ー夜勤")+COUNTIF('1月'!CA9:CB9,"六本木ー夜勤")+COUNTIF('1月'!CF9:CG9,"六本木ー夜勤")+COUNTIF('1月'!CK9:CL9,"六本木ー夜勤")+COUNTIF('1月'!CP9:CQ9,"六本木ー夜勤")+COUNTIF('1月'!CU9:CV9,"六本木ー夜勤")+COUNTIF('1月'!CZ9:DA9,"六本木ー夜勤")+COUNTIF('1月'!DE9:DF9,"六本木ー夜勤")+COUNTIF('1月'!DJ9:DK9,"六本木ー夜勤")+COUNTIF('1月'!DO9:DP9,"六本木ー夜勤")+COUNTIF('1月'!DT9:DU9,"六本木ー夜勤")+COUNTIF('1月'!DY9:DZ9,"六本木ー夜勤")+COUNTIF('1月'!ED9:EE9,"六本木ー夜勤")+COUNTIF('1月'!EI9:EJ9,"六本木ー夜勤")+COUNTIF('1月'!EN9:EO9,"六本木ー夜勤")+COUNTIF('1月'!ES9:ET9,"六本木ー夜勤")</f>
        <v>0</v>
      </c>
      <c r="K11" s="76">
        <f t="shared" si="4"/>
        <v>0</v>
      </c>
      <c r="L11" s="76">
        <f>COUNTIF('1月'!D9:E9,L$4)+COUNTIF('1月'!I9:J9,L$4)+COUNTIF('1月'!N9:O9,L$4)+COUNTIF('1月'!S9:T9,L$4)+COUNTIF('1月'!X9:Y9,L$4)+COUNTIF('1月'!AC9:AD9,L$4)+COUNTIF('1月'!AH9:AI9,L$4)+COUNTIF('1月'!AM9:AN9,L$4)+COUNTIF('1月'!AR9:AS9,L$4)+COUNTIF('1月'!AW9:AX9,L$4)+COUNTIF('1月'!BB9:BC9,L$4)+COUNTIF('1月'!BG9:BH9,L$4)+COUNTIF('1月'!BL9:BM9,L$4)+COUNTIF('1月'!BQ9:BR9,L$4)+COUNTIF('1月'!BV9:BW9,L$4)+COUNTIF('1月'!CA9:CB9,L$4)+COUNTIF('1月'!CF9:CG9,L$4)+COUNTIF('1月'!CK9:CL9,L$4)+COUNTIF('1月'!CP9:CQ9,L$4)+COUNTIF('1月'!CU9:CV9,L$4)+COUNTIF('1月'!CZ9:DA9,L$4)+COUNTIF('1月'!DE9:DF9,L$4)+COUNTIF('1月'!DJ9:DK9,L$4)+COUNTIF('1月'!DO9:DP9,L$4)+COUNTIF('1月'!DT9:DU9,L$4)+COUNTIF('1月'!DY9:DZ9,L$4)+COUNTIF('1月'!ED9:EE9,L$4)+COUNTIF('1月'!EI9:EJ9,L$4)+COUNTIF('1月'!EN9:EO9,L$4)+COUNTIF('1月'!ES9:ET9,L$4)</f>
        <v>0</v>
      </c>
      <c r="M11" s="76">
        <f t="shared" si="5"/>
        <v>0</v>
      </c>
      <c r="N11" s="76">
        <f>COUNTIF('1月'!D9:E9,N$4)+COUNTIF('1月'!I9:J9,N$4)+COUNTIF('1月'!N9:O9,N$4)+COUNTIF('1月'!S9:T9,N$4)+COUNTIF('1月'!X9:Y9,N$4)+COUNTIF('1月'!AC9:AD9,N$4)+COUNTIF('1月'!AH9:AI9,N$4)+COUNTIF('1月'!AM9:AN9,N$4)+COUNTIF('1月'!AR9:AS9,N$4)+COUNTIF('1月'!AW9:AX9,N$4)+COUNTIF('1月'!BB9:BC9,N$4)+COUNTIF('1月'!BG9:BH9,N$4)+COUNTIF('1月'!BL9:BM9,N$4)+COUNTIF('1月'!BQ9:BR9,N$4)+COUNTIF('1月'!BV9:BW9,N$4)+COUNTIF('1月'!CA9:CB9,N$4)+COUNTIF('1月'!CF9:CG9,N$4)+COUNTIF('1月'!CK9:CL9,N$4)+COUNTIF('1月'!CP9:CQ9,N$4)+COUNTIF('1月'!CU9:CV9,N$4)+COUNTIF('1月'!CZ9:DA9,N$4)+COUNTIF('1月'!DE9:DF9,N$4)+COUNTIF('1月'!DJ9:DK9,N$4)+COUNTIF('1月'!DO9:DP9,N$4)+COUNTIF('1月'!DT9:DU9,N$4)+COUNTIF('1月'!DY9:DZ9,N$4)+COUNTIF('1月'!ED9:EE9,N$4)+COUNTIF('1月'!EI9:EJ9,N$4)+COUNTIF('1月'!EN9:EO9,N$4)+COUNTIF('1月'!ES9:ET9,N$4)+COUNTIF('1月'!D9:E9,"三軒茶屋－夜勤")+COUNTIF('1月'!I9:J9,"三軒茶屋－夜勤")+COUNTIF('1月'!N9:O9,"三軒茶屋－夜勤")+COUNTIF('1月'!S9:T9,"三軒茶屋－夜勤")+COUNTIF('1月'!X9:Y9,"三軒茶屋－夜勤")+COUNTIF('1月'!AC9:AD9,"三軒茶屋－夜勤")+COUNTIF('1月'!AH9:AI9,"三軒茶屋－夜勤")+COUNTIF('1月'!AM9:AN9,"三軒茶屋－夜勤")+COUNTIF('1月'!AR9:AS9,"三軒茶屋－夜勤")+COUNTIF('1月'!AW9:AX9,"三軒茶屋－夜勤")+COUNTIF('1月'!BB9:BC9,"三軒茶屋－夜勤")+COUNTIF('1月'!BG9:BH9,"三軒茶屋－夜勤")+COUNTIF('1月'!BL9:BM9,"三軒茶屋－夜勤")+COUNTIF('1月'!BQ9:BR9,"三軒茶屋－夜勤")+COUNTIF('1月'!BV9:BW9,"三軒茶屋－夜勤")+COUNTIF('1月'!CA9:CB9,"三軒茶屋－夜勤")+COUNTIF('1月'!CF9:CG9,"三軒茶屋－夜勤")+COUNTIF('1月'!CK9:CL9,"三軒茶屋－夜勤")+COUNTIF('1月'!CP9:CQ9,"三軒茶屋－夜勤")+COUNTIF('1月'!CU9:CV9,"三軒茶屋－夜勤")+COUNTIF('1月'!CZ9:DA9,"三軒茶屋－夜勤")+COUNTIF('1月'!DE9:DF9,"三軒茶屋－夜勤")+COUNTIF('1月'!DJ9:DK9,"三軒茶屋－夜勤")+COUNTIF('1月'!DO9:DP9,"三軒茶屋－夜勤")+COUNTIF('1月'!DT9:DU9,"三軒茶屋－夜勤")+COUNTIF('1月'!DY9:DZ9,"三軒茶屋－夜勤")+COUNTIF('1月'!ED9:EE9,"三軒茶屋－夜勤")+COUNTIF('1月'!EI9:EJ9,"三軒茶屋－夜勤")+COUNTIF('1月'!EN9:EO9,"三軒茶屋－夜勤")+COUNTIF('1月'!ES9:ET9,"三軒茶屋－夜勤")</f>
        <v>0</v>
      </c>
      <c r="O11" s="76">
        <f t="shared" si="6"/>
        <v>0</v>
      </c>
      <c r="P11" s="76">
        <f>COUNTIF('1月'!D9:E9,P$4)+COUNTIF('1月'!I9:J9,P$4)+COUNTIF('1月'!N9:O9,P$4)+COUNTIF('1月'!S9:T9,P$4)+COUNTIF('1月'!X9:Y9,P$4)+COUNTIF('1月'!AC9:AD9,P$4)+COUNTIF('1月'!AH9:AI9,P$4)+COUNTIF('1月'!AM9:AN9,P$4)+COUNTIF('1月'!AR9:AS9,P$4)+COUNTIF('1月'!AW9:AX9,P$4)+COUNTIF('1月'!BB9:BC9,P$4)+COUNTIF('1月'!BG9:BH9,P$4)+COUNTIF('1月'!BL9:BM9,P$4)+COUNTIF('1月'!BQ9:BR9,P$4)+COUNTIF('1月'!BV9:BW9,P$4)+COUNTIF('1月'!CA9:CB9,P$4)+COUNTIF('1月'!CF9:CG9,P$4)+COUNTIF('1月'!CK9:CL9,P$4)+COUNTIF('1月'!CP9:CQ9,P$4)+COUNTIF('1月'!CU9:CV9,P$4)+COUNTIF('1月'!CZ9:DA9,P$4)+COUNTIF('1月'!DE9:DF9,P$4)+COUNTIF('1月'!DJ9:DK9,P$4)+COUNTIF('1月'!DO9:DP9,P$4)+COUNTIF('1月'!DT9:DU9,P$4)+COUNTIF('1月'!DY9:DZ9,P$4)+COUNTIF('1月'!ED9:EE9,P$4)+COUNTIF('1月'!EI9:EJ9,P$4)+COUNTIF('1月'!EN9:EO9,P$4)+COUNTIF('1月'!ES9:ET9,P$4)+COUNTIF('1月'!D9:E9,"荻窪ー夜勤")+COUNTIF('1月'!I9:J9,"荻窪ー夜勤")+COUNTIF('1月'!N9:O9,"荻窪ー夜勤")+COUNTIF('1月'!S9:T9,"荻窪ー夜勤")+COUNTIF('1月'!X9:Y9,"荻窪ー夜勤")+COUNTIF('1月'!AC9:AD9,"荻窪ー夜勤")+COUNTIF('1月'!AH9:AI9,"荻窪ー夜勤")+COUNTIF('1月'!AM9:AN9,"荻窪ー夜勤")+COUNTIF('1月'!AR9:AS9,"荻窪ー夜勤")+COUNTIF('1月'!AW9:AX9,"荻窪ー夜勤")+COUNTIF('1月'!BB9:BC9,"荻窪ー夜勤")+COUNTIF('1月'!BG9:BH9,"荻窪ー夜勤")+COUNTIF('1月'!BL9:BM9,"荻窪ー夜勤")+COUNTIF('1月'!BQ9:BR9,"荻窪ー夜勤")+COUNTIF('1月'!BV9:BW9,"荻窪ー夜勤")+COUNTIF('1月'!CA9:CB9,"荻窪ー夜勤")+COUNTIF('1月'!CF9:CG9,"荻窪ー夜勤")+COUNTIF('1月'!CK9:CL9,"荻窪ー夜勤")+COUNTIF('1月'!CP9:CQ9,"荻窪ー夜勤")+COUNTIF('1月'!CU9:CV9,"荻窪ー夜勤")+COUNTIF('1月'!CZ9:DA9,"荻窪ー夜勤")+COUNTIF('1月'!DE9:DF9,"荻窪ー夜勤")+COUNTIF('1月'!DJ9:DK9,"荻窪ー夜勤")+COUNTIF('1月'!DO9:DP9,"荻窪ー夜勤")+COUNTIF('1月'!DT9:DU9,"荻窪ー夜勤")+COUNTIF('1月'!DY9:DZ9,"荻窪ー夜勤")+COUNTIF('1月'!ED9:EE9,"荻窪ー夜勤")+COUNTIF('1月'!EI9:EJ9,"荻窪ー夜勤")+COUNTIF('1月'!EN9:EO9,"荻窪ー夜勤")+COUNTIF('1月'!ES9:ET9,"荻窪ー夜勤")</f>
        <v>0</v>
      </c>
      <c r="Q11" s="76">
        <f t="shared" si="7"/>
        <v>0</v>
      </c>
      <c r="R11" s="76">
        <f>COUNTIF('1月'!D9:E9,R$4)+COUNTIF('1月'!I9:J9,R$4)+COUNTIF('1月'!N9:O9,R$4)+COUNTIF('1月'!S9:T9,R$4)+COUNTIF('1月'!X9:Y9,R$4)+COUNTIF('1月'!AC9:AD9,R$4)+COUNTIF('1月'!AH9:AI9,R$4)+COUNTIF('1月'!AM9:AN9,R$4)+COUNTIF('1月'!AR9:AS9,R$4)+COUNTIF('1月'!AW9:AX9,R$4)+COUNTIF('1月'!BB9:BC9,R$4)+COUNTIF('1月'!BG9:BH9,R$4)+COUNTIF('1月'!BL9:BM9,R$4)+COUNTIF('1月'!BQ9:BR9,R$4)+COUNTIF('1月'!BV9:BW9,R$4)+COUNTIF('1月'!CA9:CB9,R$4)+COUNTIF('1月'!CF9:CG9,R$4)+COUNTIF('1月'!CK9:CL9,R$4)+COUNTIF('1月'!CP9:CQ9,R$4)+COUNTIF('1月'!CU9:CV9,R$4)+COUNTIF('1月'!CZ9:DA9,R$4)+COUNTIF('1月'!DE9:DF9,R$4)+COUNTIF('1月'!DJ9:DK9,R$4)+COUNTIF('1月'!DO9:DP9,R$4)+COUNTIF('1月'!DT9:DU9,R$4)+COUNTIF('1月'!DY9:DZ9,R$4)+COUNTIF('1月'!ED9:EE9,R$4)+COUNTIF('1月'!EI9:EJ9,R$4)+COUNTIF('1月'!EN9:EO9,R$4)+COUNTIF('1月'!ES9:ET9,R$4)</f>
        <v>0</v>
      </c>
      <c r="S11" s="76">
        <f t="shared" si="8"/>
        <v>0</v>
      </c>
      <c r="T11" s="76">
        <f>COUNTIF('1月'!D9:E9,T$4)+COUNTIF('1月'!I9:J9,T$4)+COUNTIF('1月'!N9:O9,T$4)+COUNTIF('1月'!S9:T9,T$4)+COUNTIF('1月'!X9:Y9,T$4)+COUNTIF('1月'!AC9:AD9,T$4)+COUNTIF('1月'!AH9:AI9,T$4)+COUNTIF('1月'!AM9:AN9,T$4)+COUNTIF('1月'!AR9:AS9,T$4)+COUNTIF('1月'!AW9:AX9,T$4)+COUNTIF('1月'!BB9:BC9,T$4)+COUNTIF('1月'!BG9:BH9,T$4)+COUNTIF('1月'!BL9:BM9,T$4)+COUNTIF('1月'!BQ9:BR9,T$4)+COUNTIF('1月'!BV9:BW9,T$4)+COUNTIF('1月'!CA9:CB9,T$4)+COUNTIF('1月'!CF9:CG9,T$4)+COUNTIF('1月'!CK9:CL9,T$4)+COUNTIF('1月'!CP9:CQ9,T$4)+COUNTIF('1月'!CU9:CV9,T$4)+COUNTIF('1月'!CZ9:DA9,T$4)+COUNTIF('1月'!DE9:DF9,T$4)+COUNTIF('1月'!DJ9:DK9,T$4)+COUNTIF('1月'!DO9:DP9,T$4)+COUNTIF('1月'!DT9:DU9,T$4)+COUNTIF('1月'!DY9:DZ9,T$4)+COUNTIF('1月'!ED9:EE9,T$4)+COUNTIF('1月'!EI9:EJ9,T$4)+COUNTIF('1月'!EN9:EO9,T$4)+COUNTIF('1月'!ES9:ET9,T$4)</f>
        <v>0</v>
      </c>
      <c r="U11" s="76">
        <f t="shared" si="9"/>
        <v>0</v>
      </c>
      <c r="V11" s="76">
        <f>COUNTIF('1月'!D9:E9,V$4)+COUNTIF('1月'!I9:J9,V$4)+COUNTIF('1月'!N9:O9,V$4)+COUNTIF('1月'!S9:T9,V$4)+COUNTIF('1月'!X9:Y9,V$4)+COUNTIF('1月'!AC9:AD9,V$4)+COUNTIF('1月'!AH9:AI9,V$4)+COUNTIF('1月'!AM9:AN9,V$4)+COUNTIF('1月'!AR9:AS9,V$4)+COUNTIF('1月'!AW9:AX9,V$4)+COUNTIF('1月'!BB9:BC9,V$4)+COUNTIF('1月'!BG9:BH9,V$4)+COUNTIF('1月'!BL9:BM9,V$4)+COUNTIF('1月'!BQ9:BR9,V$4)+COUNTIF('1月'!BV9:BW9,V$4)+COUNTIF('1月'!CA9:CB9,V$4)+COUNTIF('1月'!CF9:CG9,V$4)+COUNTIF('1月'!CK9:CL9,V$4)+COUNTIF('1月'!CP9:CQ9,V$4)+COUNTIF('1月'!CU9:CV9,V$4)+COUNTIF('1月'!CZ9:DA9,V$4)+COUNTIF('1月'!DE9:DF9,V$4)+COUNTIF('1月'!DJ9:DK9,V$4)+COUNTIF('1月'!DO9:DP9,V$4)+COUNTIF('1月'!DT9:DU9,V$4)+COUNTIF('1月'!DY9:DZ9,V$4)+COUNTIF('1月'!ED9:EE9,V$4)+COUNTIF('1月'!EI9:EJ9,V$4)+COUNTIF('1月'!EN9:EO9,V$4)+COUNTIF('1月'!ES9:ET9,V$4)</f>
        <v>0</v>
      </c>
      <c r="W11" s="76">
        <f t="shared" si="10"/>
        <v>0</v>
      </c>
      <c r="X11" s="76">
        <f>COUNTIF('1月'!D9:E9,X$4)+COUNTIF('1月'!I9:J9,X$4)+COUNTIF('1月'!N9:O9,X$4)+COUNTIF('1月'!S9:T9,X$4)+COUNTIF('1月'!X9:Y9,X$4)+COUNTIF('1月'!AC9:AD9,X$4)+COUNTIF('1月'!AH9:AI9,X$4)+COUNTIF('1月'!AM9:AN9,X$4)+COUNTIF('1月'!AR9:AS9,X$4)+COUNTIF('1月'!AW9:AX9,X$4)+COUNTIF('1月'!BB9:BC9,X$4)+COUNTIF('1月'!BG9:BH9,X$4)+COUNTIF('1月'!BL9:BM9,X$4)+COUNTIF('1月'!BQ9:BR9,X$4)+COUNTIF('1月'!BV9:BW9,X$4)+COUNTIF('1月'!CA9:CB9,X$4)+COUNTIF('1月'!CF9:CG9,X$4)+COUNTIF('1月'!CK9:CL9,X$4)+COUNTIF('1月'!CP9:CQ9,X$4)+COUNTIF('1月'!CU9:CV9,X$4)+COUNTIF('1月'!CZ9:DA9,X$4)+COUNTIF('1月'!DE9:DF9,X$4)+COUNTIF('1月'!DJ9:DK9,X$4)+COUNTIF('1月'!DO9:DP9,X$4)+COUNTIF('1月'!DT9:DU9,X$4)+COUNTIF('1月'!DY9:DZ9,X$4)+COUNTIF('1月'!ED9:EE9,X$4)+COUNTIF('1月'!EI9:EJ9,X$4)+COUNTIF('1月'!EN9:EO9,X$4)+COUNTIF('1月'!ES9:ET9,X$4)</f>
        <v>0</v>
      </c>
      <c r="Y11" s="76">
        <f t="shared" si="11"/>
        <v>0</v>
      </c>
    </row>
    <row r="12" spans="1:25" ht="18" customHeight="1">
      <c r="A12" s="76">
        <v>7</v>
      </c>
      <c r="B12" s="76">
        <f>COUNTIF('1月'!D10:E10,B$4)+COUNTIF('1月'!I10:J10,B$4)+COUNTIF('1月'!N10:O10,B$4)+COUNTIF('1月'!S10:T10,B$4)+COUNTIF('1月'!X10:Y10,B$4)+COUNTIF('1月'!AC10:AD10,B$4)+COUNTIF('1月'!AH10:AI10,B$4)+COUNTIF('1月'!AM10:AN10,B$4)+COUNTIF('1月'!AR10:AS10,B$4)+COUNTIF('1月'!AW10:AX10,B$4)+COUNTIF('1月'!BB10:BC10,B$4)+COUNTIF('1月'!BG10:BH10,B$4)+COUNTIF('1月'!BL10:BM10,B$4)+COUNTIF('1月'!BQ10:BR10,B$4)+COUNTIF('1月'!BV10:BW10,B$4)+COUNTIF('1月'!CA10:CB10,B$4)+COUNTIF('1月'!CF10:CG10,B$4)+COUNTIF('1月'!CK10:CL10,B$4)+COUNTIF('1月'!CP10:CQ10,B$4)+COUNTIF('1月'!CU10:CV10,B$4)+COUNTIF('1月'!CZ10:DA10,B$4)+COUNTIF('1月'!DE10:DF10,B$4)+COUNTIF('1月'!DJ10:DK10,B$4)+COUNTIF('1月'!DO10:DP10,B$4)+COUNTIF('1月'!DT10:DU10,B$4)+COUNTIF('1月'!DY10:DZ10,B$4)+COUNTIF('1月'!ED10:EE10,B$4)+COUNTIF('1月'!EI10:EJ10,B$4)+COUNTIF('1月'!EN10:EO10,B$4)+COUNTIF('1月'!ES10:ET10,B$4)</f>
        <v>0</v>
      </c>
      <c r="C12" s="76">
        <f t="shared" si="0"/>
        <v>0</v>
      </c>
      <c r="D12" s="76">
        <f>COUNTIF('1月'!D10:E10,D$4)+COUNTIF('1月'!I10:J10,D$4)+COUNTIF('1月'!N10:O10,D$4)+COUNTIF('1月'!S10:T10,D$4)+COUNTIF('1月'!X10:Y10,D$4)+COUNTIF('1月'!AC10:AD10,D$4)+COUNTIF('1月'!AH10:AI10,D$4)+COUNTIF('1月'!AM10:AN10,D$4)+COUNTIF('1月'!AR10:AS10,D$4)+COUNTIF('1月'!AW10:AX10,D$4)+COUNTIF('1月'!BB10:BC10,D$4)+COUNTIF('1月'!BG10:BH10,D$4)+COUNTIF('1月'!BL10:BM10,D$4)+COUNTIF('1月'!BQ10:BR10,D$4)+COUNTIF('1月'!BV10:BW10,D$4)+COUNTIF('1月'!CA10:CB10,D$4)+COUNTIF('1月'!CF10:CG10,D$4)+COUNTIF('1月'!CK10:CL10,D$4)+COUNTIF('1月'!CP10:CQ10,D$4)+COUNTIF('1月'!CU10:CV10,D$4)+COUNTIF('1月'!CZ10:DA10,D$4)+COUNTIF('1月'!DE10:DF10,D$4)+COUNTIF('1月'!DJ10:DK10,D$4)+COUNTIF('1月'!DO10:DP10,D$4)+COUNTIF('1月'!DT10:DU10,D$4)+COUNTIF('1月'!DY10:DZ10,D$4)+COUNTIF('1月'!ED10:EE10,D$4)+COUNTIF('1月'!EI10:EJ10,D$4)+COUNTIF('1月'!EN10:EO10,D$4)+COUNTIF('1月'!ES10:ET10,D$4)</f>
        <v>0</v>
      </c>
      <c r="E12" s="76">
        <f t="shared" si="1"/>
        <v>0</v>
      </c>
      <c r="F12" s="76">
        <f>COUNTIF('1月'!D10:E10,F$4)+COUNTIF('1月'!I10:J10,F$4)+COUNTIF('1月'!N10:O10,F$4)+COUNTIF('1月'!S10:T10,F$4)+COUNTIF('1月'!X10:Y10,F$4)+COUNTIF('1月'!AC10:AD10,F$4)+COUNTIF('1月'!AH10:AI10,F$4)+COUNTIF('1月'!AM10:AN10,F$4)+COUNTIF('1月'!AR10:AS10,F$4)+COUNTIF('1月'!AW10:AX10,F$4)+COUNTIF('1月'!BB10:BC10,F$4)+COUNTIF('1月'!BG10:BH10,F$4)+COUNTIF('1月'!BL10:BM10,F$4)+COUNTIF('1月'!BQ10:BR10,F$4)+COUNTIF('1月'!BV10:BW10,F$4)+COUNTIF('1月'!CA10:CB10,F$4)+COUNTIF('1月'!CF10:CG10,F$4)+COUNTIF('1月'!CK10:CL10,F$4)+COUNTIF('1月'!CP10:CQ10,F$4)+COUNTIF('1月'!CU10:CV10,F$4)+COUNTIF('1月'!CZ10:DA10,F$4)+COUNTIF('1月'!DE10:DF10,F$4)+COUNTIF('1月'!DJ10:DK10,F$4)+COUNTIF('1月'!DO10:DP10,F$4)+COUNTIF('1月'!DT10:DU10,F$4)+COUNTIF('1月'!DY10:DZ10,F$4)+COUNTIF('1月'!ED10:EE10,F$4)+COUNTIF('1月'!EI10:EJ10,F$4)+COUNTIF('1月'!EN10:EO10,F$4)+COUNTIF('1月'!ES10:ET10,F$4)</f>
        <v>0</v>
      </c>
      <c r="G12" s="76">
        <f t="shared" si="2"/>
        <v>0</v>
      </c>
      <c r="H12" s="76">
        <f>COUNTIF('1月'!D10:E10,H$4)+COUNTIF('1月'!I10:J10,H$4)+COUNTIF('1月'!N10:O10,H$4)+COUNTIF('1月'!S10:T10,H$4)+COUNTIF('1月'!X10:Y10,H$4)+COUNTIF('1月'!AC10:AD10,H$4)+COUNTIF('1月'!AH10:AI10,H$4)+COUNTIF('1月'!AM10:AN10,H$4)+COUNTIF('1月'!AR10:AS10,H$4)+COUNTIF('1月'!AW10:AX10,H$4)+COUNTIF('1月'!BB10:BC10,H$4)+COUNTIF('1月'!BG10:BH10,H$4)+COUNTIF('1月'!BL10:BM10,H$4)+COUNTIF('1月'!BQ10:BR10,H$4)+COUNTIF('1月'!BV10:BW10,H$4)+COUNTIF('1月'!CA10:CB10,H$4)+COUNTIF('1月'!CF10:CG10,H$4)+COUNTIF('1月'!CK10:CL10,H$4)+COUNTIF('1月'!CP10:CQ10,H$4)+COUNTIF('1月'!CU10:CV10,H$4)+COUNTIF('1月'!CZ10:DA10,H$4)+COUNTIF('1月'!DE10:DF10,H$4)+COUNTIF('1月'!DJ10:DK10,H$4)+COUNTIF('1月'!DO10:DP10,H$4)+COUNTIF('1月'!DT10:DU10,H$4)+COUNTIF('1月'!DY10:DZ10,H$4)+COUNTIF('1月'!ED10:EE10,H$4)+COUNTIF('1月'!EI10:EJ10,H$4)+COUNTIF('1月'!EN10:EO10,H$4)+COUNTIF('1月'!ES10:ET10,H$4)+COUNTIF('1月'!D10:E10,"渋谷-夜勤")+COUNTIF('1月'!I10:J10,"渋谷-夜勤")+COUNTIF('1月'!N10:O10,"渋谷-夜勤")+COUNTIF('1月'!S10:T10,"渋谷-夜勤")+COUNTIF('1月'!X10:Y10,"渋谷-夜勤")+COUNTIF('1月'!AC10:AD10,"渋谷-夜勤")+COUNTIF('1月'!AH10:AI10,"渋谷-夜勤")+COUNTIF('1月'!AM10:AN10,"渋谷-夜勤")+COUNTIF('1月'!AR10:AS10,"渋谷-夜勤")+COUNTIF('1月'!AW10:AX10,"渋谷-夜勤")+COUNTIF('1月'!BB10:BC10,"渋谷-夜勤")+COUNTIF('1月'!BG10:BH10,"渋谷-夜勤")+COUNTIF('1月'!BL10:BM10,"渋谷-夜勤")+COUNTIF('1月'!BQ10:BR10,"渋谷-夜勤")+COUNTIF('1月'!BV10:BW10,"渋谷-夜勤")+COUNTIF('1月'!CA10:CB10,"渋谷-夜勤")+COUNTIF('1月'!CF10:CG10,"渋谷-夜勤")+COUNTIF('1月'!CK10:CL10,"渋谷-夜勤")+COUNTIF('1月'!CP10:CQ10,"渋谷-夜勤")+COUNTIF('1月'!CU10:CV10,"渋谷-夜勤")+COUNTIF('1月'!CZ10:DA10,"渋谷-夜勤")+COUNTIF('1月'!DE10:DF10,"渋谷-夜勤")+COUNTIF('1月'!DJ10:DK10,"渋谷-夜勤")+COUNTIF('1月'!DO10:DP10,"渋谷-夜勤")+COUNTIF('1月'!DT10:DU10,"渋谷-夜勤")+COUNTIF('1月'!DY10:DZ10,"渋谷-夜勤")+COUNTIF('1月'!ED10:EE10,"渋谷-夜勤")+COUNTIF('1月'!EI10:EJ10,"渋谷-夜勤")+COUNTIF('1月'!EN10:EO10,"渋谷-夜勤")+COUNTIF('1月'!ES10:ET10,"渋谷-夜勤")</f>
        <v>0</v>
      </c>
      <c r="I12" s="76">
        <f t="shared" si="3"/>
        <v>0</v>
      </c>
      <c r="J12" s="76">
        <f>COUNTIF('1月'!D10:E10,J$4)+COUNTIF('1月'!I10:J10,J$4)+COUNTIF('1月'!N10:O10,J$4)+COUNTIF('1月'!S10:T10,J$4)+COUNTIF('1月'!X10:Y10,J$4)+COUNTIF('1月'!AC10:AD10,J$4)+COUNTIF('1月'!AH10:AI10,J$4)+COUNTIF('1月'!AM10:AN10,J$4)+COUNTIF('1月'!AR10:AS10,J$4)+COUNTIF('1月'!AW10:AX10,J$4)+COUNTIF('1月'!BB10:BC10,J$4)+COUNTIF('1月'!BG10:BH10,J$4)+COUNTIF('1月'!BL10:BM10,J$4)+COUNTIF('1月'!BQ10:BR10,J$4)+COUNTIF('1月'!BV10:BW10,J$4)+COUNTIF('1月'!CA10:CB10,J$4)+COUNTIF('1月'!CF10:CG10,J$4)+COUNTIF('1月'!CK10:CL10,J$4)+COUNTIF('1月'!CP10:CQ10,J$4)+COUNTIF('1月'!CU10:CV10,J$4)+COUNTIF('1月'!CZ10:DA10,J$4)+COUNTIF('1月'!DE10:DF10,J$4)+COUNTIF('1月'!DJ10:DK10,J$4)+COUNTIF('1月'!DO10:DP10,J$4)+COUNTIF('1月'!DT10:DU10,J$4)+COUNTIF('1月'!DY10:DZ10,J$4)+COUNTIF('1月'!ED10:EE10,J$4)+COUNTIF('1月'!EI10:EJ10,J$4)+COUNTIF('1月'!EN10:EO10,J$4)+COUNTIF('1月'!ES10:ET10,J$4)+COUNTIF('1月'!D10:E10,"六本木-夜勤")+COUNTIF('1月'!I10:J10,"六本木-夜勤")+COUNTIF('1月'!N10:O10,"六本木-夜勤")+COUNTIF('1月'!S10:T10,"六本木-夜勤")+COUNTIF('1月'!X10:Y10,"六本木-夜勤")+COUNTIF('1月'!AC10:AD10,"六本木-夜勤")+COUNTIF('1月'!AH10:AI10,"六本木-夜勤")+COUNTIF('1月'!AM10:AN10,"六本木-夜勤")+COUNTIF('1月'!AR10:AS10,"六本木-夜勤")+COUNTIF('1月'!AW10:AX10,"六本木-夜勤")+COUNTIF('1月'!BB10:BC10,"六本木-夜勤")+COUNTIF('1月'!BG10:BH10,"六本木-夜勤")+COUNTIF('1月'!BL10:BM10,"六本木-夜勤")+COUNTIF('1月'!BQ10:BR10,"六本木-夜勤")+COUNTIF('1月'!BV10:BW10,"六本木-夜勤")+COUNTIF('1月'!CA10:CB10,"六本木-夜勤")+COUNTIF('1月'!CF10:CG10,"六本木-夜勤")+COUNTIF('1月'!CK10:CL10,"六本木-夜勤")+COUNTIF('1月'!CP10:CQ10,"六本木-夜勤")+COUNTIF('1月'!CU10:CV10,"六本木-夜勤")+COUNTIF('1月'!CZ10:DA10,"六本木-夜勤")+COUNTIF('1月'!DE10:DF10,"六本木-夜勤")+COUNTIF('1月'!DJ10:DK10,"六本木-夜勤")+COUNTIF('1月'!DO10:DP10,"六本木-夜勤")+COUNTIF('1月'!DT10:DU10,"六本木-夜勤")+COUNTIF('1月'!DY10:DZ10,"六本木-夜勤")+COUNTIF('1月'!ED10:EE10,"六本木-夜勤")+COUNTIF('1月'!EI10:EJ10,"六本木-夜勤")+COUNTIF('1月'!EN10:EO10,"六本木-夜勤")+COUNTIF('1月'!ES10:ET10,"六本木-夜勤")+COUNTIF('1月'!D10:E10,"六本木ー夜勤")+COUNTIF('1月'!I10:J10,"六本木ー夜勤")+COUNTIF('1月'!N10:O10,"六本木ー夜勤")+COUNTIF('1月'!S10:T10,"六本木ー夜勤")+COUNTIF('1月'!X10:Y10,"六本木ー夜勤")+COUNTIF('1月'!AC10:AD10,"六本木ー夜勤")+COUNTIF('1月'!AH10:AI10,"六本木ー夜勤")+COUNTIF('1月'!AM10:AN10,"六本木ー夜勤")+COUNTIF('1月'!AR10:AS10,"六本木ー夜勤")+COUNTIF('1月'!AW10:AX10,"六本木ー夜勤")+COUNTIF('1月'!BB10:BC10,"六本木ー夜勤")+COUNTIF('1月'!BG10:BH10,"六本木ー夜勤")+COUNTIF('1月'!BL10:BM10,"六本木ー夜勤")+COUNTIF('1月'!BQ10:BR10,"六本木ー夜勤")+COUNTIF('1月'!BV10:BW10,"六本木ー夜勤")+COUNTIF('1月'!CA10:CB10,"六本木ー夜勤")+COUNTIF('1月'!CF10:CG10,"六本木ー夜勤")+COUNTIF('1月'!CK10:CL10,"六本木ー夜勤")+COUNTIF('1月'!CP10:CQ10,"六本木ー夜勤")+COUNTIF('1月'!CU10:CV10,"六本木ー夜勤")+COUNTIF('1月'!CZ10:DA10,"六本木ー夜勤")+COUNTIF('1月'!DE10:DF10,"六本木ー夜勤")+COUNTIF('1月'!DJ10:DK10,"六本木ー夜勤")+COUNTIF('1月'!DO10:DP10,"六本木ー夜勤")+COUNTIF('1月'!DT10:DU10,"六本木ー夜勤")+COUNTIF('1月'!DY10:DZ10,"六本木ー夜勤")+COUNTIF('1月'!ED10:EE10,"六本木ー夜勤")+COUNTIF('1月'!EI10:EJ10,"六本木ー夜勤")+COUNTIF('1月'!EN10:EO10,"六本木ー夜勤")+COUNTIF('1月'!ES10:ET10,"六本木ー夜勤")</f>
        <v>0</v>
      </c>
      <c r="K12" s="76">
        <f t="shared" si="4"/>
        <v>0</v>
      </c>
      <c r="L12" s="76">
        <f>COUNTIF('1月'!D10:E10,L$4)+COUNTIF('1月'!I10:J10,L$4)+COUNTIF('1月'!N10:O10,L$4)+COUNTIF('1月'!S10:T10,L$4)+COUNTIF('1月'!X10:Y10,L$4)+COUNTIF('1月'!AC10:AD10,L$4)+COUNTIF('1月'!AH10:AI10,L$4)+COUNTIF('1月'!AM10:AN10,L$4)+COUNTIF('1月'!AR10:AS10,L$4)+COUNTIF('1月'!AW10:AX10,L$4)+COUNTIF('1月'!BB10:BC10,L$4)+COUNTIF('1月'!BG10:BH10,L$4)+COUNTIF('1月'!BL10:BM10,L$4)+COUNTIF('1月'!BQ10:BR10,L$4)+COUNTIF('1月'!BV10:BW10,L$4)+COUNTIF('1月'!CA10:CB10,L$4)+COUNTIF('1月'!CF10:CG10,L$4)+COUNTIF('1月'!CK10:CL10,L$4)+COUNTIF('1月'!CP10:CQ10,L$4)+COUNTIF('1月'!CU10:CV10,L$4)+COUNTIF('1月'!CZ10:DA10,L$4)+COUNTIF('1月'!DE10:DF10,L$4)+COUNTIF('1月'!DJ10:DK10,L$4)+COUNTIF('1月'!DO10:DP10,L$4)+COUNTIF('1月'!DT10:DU10,L$4)+COUNTIF('1月'!DY10:DZ10,L$4)+COUNTIF('1月'!ED10:EE10,L$4)+COUNTIF('1月'!EI10:EJ10,L$4)+COUNTIF('1月'!EN10:EO10,L$4)+COUNTIF('1月'!ES10:ET10,L$4)</f>
        <v>0</v>
      </c>
      <c r="M12" s="76">
        <f t="shared" si="5"/>
        <v>0</v>
      </c>
      <c r="N12" s="76">
        <f>COUNTIF('1月'!D10:E10,N$4)+COUNTIF('1月'!I10:J10,N$4)+COUNTIF('1月'!N10:O10,N$4)+COUNTIF('1月'!S10:T10,N$4)+COUNTIF('1月'!X10:Y10,N$4)+COUNTIF('1月'!AC10:AD10,N$4)+COUNTIF('1月'!AH10:AI10,N$4)+COUNTIF('1月'!AM10:AN10,N$4)+COUNTIF('1月'!AR10:AS10,N$4)+COUNTIF('1月'!AW10:AX10,N$4)+COUNTIF('1月'!BB10:BC10,N$4)+COUNTIF('1月'!BG10:BH10,N$4)+COUNTIF('1月'!BL10:BM10,N$4)+COUNTIF('1月'!BQ10:BR10,N$4)+COUNTIF('1月'!BV10:BW10,N$4)+COUNTIF('1月'!CA10:CB10,N$4)+COUNTIF('1月'!CF10:CG10,N$4)+COUNTIF('1月'!CK10:CL10,N$4)+COUNTIF('1月'!CP10:CQ10,N$4)+COUNTIF('1月'!CU10:CV10,N$4)+COUNTIF('1月'!CZ10:DA10,N$4)+COUNTIF('1月'!DE10:DF10,N$4)+COUNTIF('1月'!DJ10:DK10,N$4)+COUNTIF('1月'!DO10:DP10,N$4)+COUNTIF('1月'!DT10:DU10,N$4)+COUNTIF('1月'!DY10:DZ10,N$4)+COUNTIF('1月'!ED10:EE10,N$4)+COUNTIF('1月'!EI10:EJ10,N$4)+COUNTIF('1月'!EN10:EO10,N$4)+COUNTIF('1月'!ES10:ET10,N$4)+COUNTIF('1月'!D10:E10,"三軒茶屋－夜勤")+COUNTIF('1月'!I10:J10,"三軒茶屋－夜勤")+COUNTIF('1月'!N10:O10,"三軒茶屋－夜勤")+COUNTIF('1月'!S10:T10,"三軒茶屋－夜勤")+COUNTIF('1月'!X10:Y10,"三軒茶屋－夜勤")+COUNTIF('1月'!AC10:AD10,"三軒茶屋－夜勤")+COUNTIF('1月'!AH10:AI10,"三軒茶屋－夜勤")+COUNTIF('1月'!AM10:AN10,"三軒茶屋－夜勤")+COUNTIF('1月'!AR10:AS10,"三軒茶屋－夜勤")+COUNTIF('1月'!AW10:AX10,"三軒茶屋－夜勤")+COUNTIF('1月'!BB10:BC10,"三軒茶屋－夜勤")+COUNTIF('1月'!BG10:BH10,"三軒茶屋－夜勤")+COUNTIF('1月'!BL10:BM10,"三軒茶屋－夜勤")+COUNTIF('1月'!BQ10:BR10,"三軒茶屋－夜勤")+COUNTIF('1月'!BV10:BW10,"三軒茶屋－夜勤")+COUNTIF('1月'!CA10:CB10,"三軒茶屋－夜勤")+COUNTIF('1月'!CF10:CG10,"三軒茶屋－夜勤")+COUNTIF('1月'!CK10:CL10,"三軒茶屋－夜勤")+COUNTIF('1月'!CP10:CQ10,"三軒茶屋－夜勤")+COUNTIF('1月'!CU10:CV10,"三軒茶屋－夜勤")+COUNTIF('1月'!CZ10:DA10,"三軒茶屋－夜勤")+COUNTIF('1月'!DE10:DF10,"三軒茶屋－夜勤")+COUNTIF('1月'!DJ10:DK10,"三軒茶屋－夜勤")+COUNTIF('1月'!DO10:DP10,"三軒茶屋－夜勤")+COUNTIF('1月'!DT10:DU10,"三軒茶屋－夜勤")+COUNTIF('1月'!DY10:DZ10,"三軒茶屋－夜勤")+COUNTIF('1月'!ED10:EE10,"三軒茶屋－夜勤")+COUNTIF('1月'!EI10:EJ10,"三軒茶屋－夜勤")+COUNTIF('1月'!EN10:EO10,"三軒茶屋－夜勤")+COUNTIF('1月'!ES10:ET10,"三軒茶屋－夜勤")</f>
        <v>0</v>
      </c>
      <c r="O12" s="76">
        <f t="shared" si="6"/>
        <v>0</v>
      </c>
      <c r="P12" s="76">
        <f>COUNTIF('1月'!D10:E10,P$4)+COUNTIF('1月'!I10:J10,P$4)+COUNTIF('1月'!N10:O10,P$4)+COUNTIF('1月'!S10:T10,P$4)+COUNTIF('1月'!X10:Y10,P$4)+COUNTIF('1月'!AC10:AD10,P$4)+COUNTIF('1月'!AH10:AI10,P$4)+COUNTIF('1月'!AM10:AN10,P$4)+COUNTIF('1月'!AR10:AS10,P$4)+COUNTIF('1月'!AW10:AX10,P$4)+COUNTIF('1月'!BB10:BC10,P$4)+COUNTIF('1月'!BG10:BH10,P$4)+COUNTIF('1月'!BL10:BM10,P$4)+COUNTIF('1月'!BQ10:BR10,P$4)+COUNTIF('1月'!BV10:BW10,P$4)+COUNTIF('1月'!CA10:CB10,P$4)+COUNTIF('1月'!CF10:CG10,P$4)+COUNTIF('1月'!CK10:CL10,P$4)+COUNTIF('1月'!CP10:CQ10,P$4)+COUNTIF('1月'!CU10:CV10,P$4)+COUNTIF('1月'!CZ10:DA10,P$4)+COUNTIF('1月'!DE10:DF10,P$4)+COUNTIF('1月'!DJ10:DK10,P$4)+COUNTIF('1月'!DO10:DP10,P$4)+COUNTIF('1月'!DT10:DU10,P$4)+COUNTIF('1月'!DY10:DZ10,P$4)+COUNTIF('1月'!ED10:EE10,P$4)+COUNTIF('1月'!EI10:EJ10,P$4)+COUNTIF('1月'!EN10:EO10,P$4)+COUNTIF('1月'!ES10:ET10,P$4)+COUNTIF('1月'!D10:E10,"荻窪ー夜勤")+COUNTIF('1月'!I10:J10,"荻窪ー夜勤")+COUNTIF('1月'!N10:O10,"荻窪ー夜勤")+COUNTIF('1月'!S10:T10,"荻窪ー夜勤")+COUNTIF('1月'!X10:Y10,"荻窪ー夜勤")+COUNTIF('1月'!AC10:AD10,"荻窪ー夜勤")+COUNTIF('1月'!AH10:AI10,"荻窪ー夜勤")+COUNTIF('1月'!AM10:AN10,"荻窪ー夜勤")+COUNTIF('1月'!AR10:AS10,"荻窪ー夜勤")+COUNTIF('1月'!AW10:AX10,"荻窪ー夜勤")+COUNTIF('1月'!BB10:BC10,"荻窪ー夜勤")+COUNTIF('1月'!BG10:BH10,"荻窪ー夜勤")+COUNTIF('1月'!BL10:BM10,"荻窪ー夜勤")+COUNTIF('1月'!BQ10:BR10,"荻窪ー夜勤")+COUNTIF('1月'!BV10:BW10,"荻窪ー夜勤")+COUNTIF('1月'!CA10:CB10,"荻窪ー夜勤")+COUNTIF('1月'!CF10:CG10,"荻窪ー夜勤")+COUNTIF('1月'!CK10:CL10,"荻窪ー夜勤")+COUNTIF('1月'!CP10:CQ10,"荻窪ー夜勤")+COUNTIF('1月'!CU10:CV10,"荻窪ー夜勤")+COUNTIF('1月'!CZ10:DA10,"荻窪ー夜勤")+COUNTIF('1月'!DE10:DF10,"荻窪ー夜勤")+COUNTIF('1月'!DJ10:DK10,"荻窪ー夜勤")+COUNTIF('1月'!DO10:DP10,"荻窪ー夜勤")+COUNTIF('1月'!DT10:DU10,"荻窪ー夜勤")+COUNTIF('1月'!DY10:DZ10,"荻窪ー夜勤")+COUNTIF('1月'!ED10:EE10,"荻窪ー夜勤")+COUNTIF('1月'!EI10:EJ10,"荻窪ー夜勤")+COUNTIF('1月'!EN10:EO10,"荻窪ー夜勤")+COUNTIF('1月'!ES10:ET10,"荻窪ー夜勤")</f>
        <v>0</v>
      </c>
      <c r="Q12" s="76">
        <f t="shared" si="7"/>
        <v>0</v>
      </c>
      <c r="R12" s="76">
        <f>COUNTIF('1月'!D10:E10,R$4)+COUNTIF('1月'!I10:J10,R$4)+COUNTIF('1月'!N10:O10,R$4)+COUNTIF('1月'!S10:T10,R$4)+COUNTIF('1月'!X10:Y10,R$4)+COUNTIF('1月'!AC10:AD10,R$4)+COUNTIF('1月'!AH10:AI10,R$4)+COUNTIF('1月'!AM10:AN10,R$4)+COUNTIF('1月'!AR10:AS10,R$4)+COUNTIF('1月'!AW10:AX10,R$4)+COUNTIF('1月'!BB10:BC10,R$4)+COUNTIF('1月'!BG10:BH10,R$4)+COUNTIF('1月'!BL10:BM10,R$4)+COUNTIF('1月'!BQ10:BR10,R$4)+COUNTIF('1月'!BV10:BW10,R$4)+COUNTIF('1月'!CA10:CB10,R$4)+COUNTIF('1月'!CF10:CG10,R$4)+COUNTIF('1月'!CK10:CL10,R$4)+COUNTIF('1月'!CP10:CQ10,R$4)+COUNTIF('1月'!CU10:CV10,R$4)+COUNTIF('1月'!CZ10:DA10,R$4)+COUNTIF('1月'!DE10:DF10,R$4)+COUNTIF('1月'!DJ10:DK10,R$4)+COUNTIF('1月'!DO10:DP10,R$4)+COUNTIF('1月'!DT10:DU10,R$4)+COUNTIF('1月'!DY10:DZ10,R$4)+COUNTIF('1月'!ED10:EE10,R$4)+COUNTIF('1月'!EI10:EJ10,R$4)+COUNTIF('1月'!EN10:EO10,R$4)+COUNTIF('1月'!ES10:ET10,R$4)</f>
        <v>0</v>
      </c>
      <c r="S12" s="76">
        <f t="shared" si="8"/>
        <v>0</v>
      </c>
      <c r="T12" s="76">
        <f>COUNTIF('1月'!D10:E10,T$4)+COUNTIF('1月'!I10:J10,T$4)+COUNTIF('1月'!N10:O10,T$4)+COUNTIF('1月'!S10:T10,T$4)+COUNTIF('1月'!X10:Y10,T$4)+COUNTIF('1月'!AC10:AD10,T$4)+COUNTIF('1月'!AH10:AI10,T$4)+COUNTIF('1月'!AM10:AN10,T$4)+COUNTIF('1月'!AR10:AS10,T$4)+COUNTIF('1月'!AW10:AX10,T$4)+COUNTIF('1月'!BB10:BC10,T$4)+COUNTIF('1月'!BG10:BH10,T$4)+COUNTIF('1月'!BL10:BM10,T$4)+COUNTIF('1月'!BQ10:BR10,T$4)+COUNTIF('1月'!BV10:BW10,T$4)+COUNTIF('1月'!CA10:CB10,T$4)+COUNTIF('1月'!CF10:CG10,T$4)+COUNTIF('1月'!CK10:CL10,T$4)+COUNTIF('1月'!CP10:CQ10,T$4)+COUNTIF('1月'!CU10:CV10,T$4)+COUNTIF('1月'!CZ10:DA10,T$4)+COUNTIF('1月'!DE10:DF10,T$4)+COUNTIF('1月'!DJ10:DK10,T$4)+COUNTIF('1月'!DO10:DP10,T$4)+COUNTIF('1月'!DT10:DU10,T$4)+COUNTIF('1月'!DY10:DZ10,T$4)+COUNTIF('1月'!ED10:EE10,T$4)+COUNTIF('1月'!EI10:EJ10,T$4)+COUNTIF('1月'!EN10:EO10,T$4)+COUNTIF('1月'!ES10:ET10,T$4)</f>
        <v>0</v>
      </c>
      <c r="U12" s="76">
        <f t="shared" si="9"/>
        <v>0</v>
      </c>
      <c r="V12" s="76">
        <f>COUNTIF('1月'!D10:E10,V$4)+COUNTIF('1月'!I10:J10,V$4)+COUNTIF('1月'!N10:O10,V$4)+COUNTIF('1月'!S10:T10,V$4)+COUNTIF('1月'!X10:Y10,V$4)+COUNTIF('1月'!AC10:AD10,V$4)+COUNTIF('1月'!AH10:AI10,V$4)+COUNTIF('1月'!AM10:AN10,V$4)+COUNTIF('1月'!AR10:AS10,V$4)+COUNTIF('1月'!AW10:AX10,V$4)+COUNTIF('1月'!BB10:BC10,V$4)+COUNTIF('1月'!BG10:BH10,V$4)+COUNTIF('1月'!BL10:BM10,V$4)+COUNTIF('1月'!BQ10:BR10,V$4)+COUNTIF('1月'!BV10:BW10,V$4)+COUNTIF('1月'!CA10:CB10,V$4)+COUNTIF('1月'!CF10:CG10,V$4)+COUNTIF('1月'!CK10:CL10,V$4)+COUNTIF('1月'!CP10:CQ10,V$4)+COUNTIF('1月'!CU10:CV10,V$4)+COUNTIF('1月'!CZ10:DA10,V$4)+COUNTIF('1月'!DE10:DF10,V$4)+COUNTIF('1月'!DJ10:DK10,V$4)+COUNTIF('1月'!DO10:DP10,V$4)+COUNTIF('1月'!DT10:DU10,V$4)+COUNTIF('1月'!DY10:DZ10,V$4)+COUNTIF('1月'!ED10:EE10,V$4)+COUNTIF('1月'!EI10:EJ10,V$4)+COUNTIF('1月'!EN10:EO10,V$4)+COUNTIF('1月'!ES10:ET10,V$4)</f>
        <v>0</v>
      </c>
      <c r="W12" s="76">
        <f t="shared" si="10"/>
        <v>0</v>
      </c>
      <c r="X12" s="76">
        <f>COUNTIF('1月'!D10:E10,X$4)+COUNTIF('1月'!I10:J10,X$4)+COUNTIF('1月'!N10:O10,X$4)+COUNTIF('1月'!S10:T10,X$4)+COUNTIF('1月'!X10:Y10,X$4)+COUNTIF('1月'!AC10:AD10,X$4)+COUNTIF('1月'!AH10:AI10,X$4)+COUNTIF('1月'!AM10:AN10,X$4)+COUNTIF('1月'!AR10:AS10,X$4)+COUNTIF('1月'!AW10:AX10,X$4)+COUNTIF('1月'!BB10:BC10,X$4)+COUNTIF('1月'!BG10:BH10,X$4)+COUNTIF('1月'!BL10:BM10,X$4)+COUNTIF('1月'!BQ10:BR10,X$4)+COUNTIF('1月'!BV10:BW10,X$4)+COUNTIF('1月'!CA10:CB10,X$4)+COUNTIF('1月'!CF10:CG10,X$4)+COUNTIF('1月'!CK10:CL10,X$4)+COUNTIF('1月'!CP10:CQ10,X$4)+COUNTIF('1月'!CU10:CV10,X$4)+COUNTIF('1月'!CZ10:DA10,X$4)+COUNTIF('1月'!DE10:DF10,X$4)+COUNTIF('1月'!DJ10:DK10,X$4)+COUNTIF('1月'!DO10:DP10,X$4)+COUNTIF('1月'!DT10:DU10,X$4)+COUNTIF('1月'!DY10:DZ10,X$4)+COUNTIF('1月'!ED10:EE10,X$4)+COUNTIF('1月'!EI10:EJ10,X$4)+COUNTIF('1月'!EN10:EO10,X$4)+COUNTIF('1月'!ES10:ET10,X$4)</f>
        <v>0</v>
      </c>
      <c r="Y12" s="76">
        <f t="shared" si="11"/>
        <v>0</v>
      </c>
    </row>
    <row r="13" spans="1:25" ht="18" customHeight="1">
      <c r="A13" s="76">
        <v>8</v>
      </c>
      <c r="B13" s="76">
        <f>COUNTIF('1月'!D11:E11,B$4)+COUNTIF('1月'!I11:J11,B$4)+COUNTIF('1月'!N11:O11,B$4)+COUNTIF('1月'!S11:T11,B$4)+COUNTIF('1月'!X11:Y11,B$4)+COUNTIF('1月'!AC11:AD11,B$4)+COUNTIF('1月'!AH11:AI11,B$4)+COUNTIF('1月'!AM11:AN11,B$4)+COUNTIF('1月'!AR11:AS11,B$4)+COUNTIF('1月'!AW11:AX11,B$4)+COUNTIF('1月'!BB11:BC11,B$4)+COUNTIF('1月'!BG11:BH11,B$4)+COUNTIF('1月'!BL11:BM11,B$4)+COUNTIF('1月'!BQ11:BR11,B$4)+COUNTIF('1月'!BV11:BW11,B$4)+COUNTIF('1月'!CA11:CB11,B$4)+COUNTIF('1月'!CF11:CG11,B$4)+COUNTIF('1月'!CK11:CL11,B$4)+COUNTIF('1月'!CP11:CQ11,B$4)+COUNTIF('1月'!CU11:CV11,B$4)+COUNTIF('1月'!CZ11:DA11,B$4)+COUNTIF('1月'!DE11:DF11,B$4)+COUNTIF('1月'!DJ11:DK11,B$4)+COUNTIF('1月'!DO11:DP11,B$4)+COUNTIF('1月'!DT11:DU11,B$4)+COUNTIF('1月'!DY11:DZ11,B$4)+COUNTIF('1月'!ED11:EE11,B$4)+COUNTIF('1月'!EI11:EJ11,B$4)+COUNTIF('1月'!EN11:EO11,B$4)+COUNTIF('1月'!ES11:ET11,B$4)</f>
        <v>0</v>
      </c>
      <c r="C13" s="76">
        <f t="shared" si="0"/>
        <v>0</v>
      </c>
      <c r="D13" s="76">
        <f>COUNTIF('1月'!D11:E11,D$4)+COUNTIF('1月'!I11:J11,D$4)+COUNTIF('1月'!N11:O11,D$4)+COUNTIF('1月'!S11:T11,D$4)+COUNTIF('1月'!X11:Y11,D$4)+COUNTIF('1月'!AC11:AD11,D$4)+COUNTIF('1月'!AH11:AI11,D$4)+COUNTIF('1月'!AM11:AN11,D$4)+COUNTIF('1月'!AR11:AS11,D$4)+COUNTIF('1月'!AW11:AX11,D$4)+COUNTIF('1月'!BB11:BC11,D$4)+COUNTIF('1月'!BG11:BH11,D$4)+COUNTIF('1月'!BL11:BM11,D$4)+COUNTIF('1月'!BQ11:BR11,D$4)+COUNTIF('1月'!BV11:BW11,D$4)+COUNTIF('1月'!CA11:CB11,D$4)+COUNTIF('1月'!CF11:CG11,D$4)+COUNTIF('1月'!CK11:CL11,D$4)+COUNTIF('1月'!CP11:CQ11,D$4)+COUNTIF('1月'!CU11:CV11,D$4)+COUNTIF('1月'!CZ11:DA11,D$4)+COUNTIF('1月'!DE11:DF11,D$4)+COUNTIF('1月'!DJ11:DK11,D$4)+COUNTIF('1月'!DO11:DP11,D$4)+COUNTIF('1月'!DT11:DU11,D$4)+COUNTIF('1月'!DY11:DZ11,D$4)+COUNTIF('1月'!ED11:EE11,D$4)+COUNTIF('1月'!EI11:EJ11,D$4)+COUNTIF('1月'!EN11:EO11,D$4)+COUNTIF('1月'!ES11:ET11,D$4)</f>
        <v>0</v>
      </c>
      <c r="E13" s="76">
        <f t="shared" si="1"/>
        <v>0</v>
      </c>
      <c r="F13" s="76">
        <f>COUNTIF('1月'!D11:E11,F$4)+COUNTIF('1月'!I11:J11,F$4)+COUNTIF('1月'!N11:O11,F$4)+COUNTIF('1月'!S11:T11,F$4)+COUNTIF('1月'!X11:Y11,F$4)+COUNTIF('1月'!AC11:AD11,F$4)+COUNTIF('1月'!AH11:AI11,F$4)+COUNTIF('1月'!AM11:AN11,F$4)+COUNTIF('1月'!AR11:AS11,F$4)+COUNTIF('1月'!AW11:AX11,F$4)+COUNTIF('1月'!BB11:BC11,F$4)+COUNTIF('1月'!BG11:BH11,F$4)+COUNTIF('1月'!BL11:BM11,F$4)+COUNTIF('1月'!BQ11:BR11,F$4)+COUNTIF('1月'!BV11:BW11,F$4)+COUNTIF('1月'!CA11:CB11,F$4)+COUNTIF('1月'!CF11:CG11,F$4)+COUNTIF('1月'!CK11:CL11,F$4)+COUNTIF('1月'!CP11:CQ11,F$4)+COUNTIF('1月'!CU11:CV11,F$4)+COUNTIF('1月'!CZ11:DA11,F$4)+COUNTIF('1月'!DE11:DF11,F$4)+COUNTIF('1月'!DJ11:DK11,F$4)+COUNTIF('1月'!DO11:DP11,F$4)+COUNTIF('1月'!DT11:DU11,F$4)+COUNTIF('1月'!DY11:DZ11,F$4)+COUNTIF('1月'!ED11:EE11,F$4)+COUNTIF('1月'!EI11:EJ11,F$4)+COUNTIF('1月'!EN11:EO11,F$4)+COUNTIF('1月'!ES11:ET11,F$4)</f>
        <v>0</v>
      </c>
      <c r="G13" s="76">
        <f t="shared" si="2"/>
        <v>0</v>
      </c>
      <c r="H13" s="76">
        <f>COUNTIF('1月'!D11:E11,H$4)+COUNTIF('1月'!I11:J11,H$4)+COUNTIF('1月'!N11:O11,H$4)+COUNTIF('1月'!S11:T11,H$4)+COUNTIF('1月'!X11:Y11,H$4)+COUNTIF('1月'!AC11:AD11,H$4)+COUNTIF('1月'!AH11:AI11,H$4)+COUNTIF('1月'!AM11:AN11,H$4)+COUNTIF('1月'!AR11:AS11,H$4)+COUNTIF('1月'!AW11:AX11,H$4)+COUNTIF('1月'!BB11:BC11,H$4)+COUNTIF('1月'!BG11:BH11,H$4)+COUNTIF('1月'!BL11:BM11,H$4)+COUNTIF('1月'!BQ11:BR11,H$4)+COUNTIF('1月'!BV11:BW11,H$4)+COUNTIF('1月'!CA11:CB11,H$4)+COUNTIF('1月'!CF11:CG11,H$4)+COUNTIF('1月'!CK11:CL11,H$4)+COUNTIF('1月'!CP11:CQ11,H$4)+COUNTIF('1月'!CU11:CV11,H$4)+COUNTIF('1月'!CZ11:DA11,H$4)+COUNTIF('1月'!DE11:DF11,H$4)+COUNTIF('1月'!DJ11:DK11,H$4)+COUNTIF('1月'!DO11:DP11,H$4)+COUNTIF('1月'!DT11:DU11,H$4)+COUNTIF('1月'!DY11:DZ11,H$4)+COUNTIF('1月'!ED11:EE11,H$4)+COUNTIF('1月'!EI11:EJ11,H$4)+COUNTIF('1月'!EN11:EO11,H$4)+COUNTIF('1月'!ES11:ET11,H$4)+COUNTIF('1月'!D11:E11,"渋谷-夜勤")+COUNTIF('1月'!I11:J11,"渋谷-夜勤")+COUNTIF('1月'!N11:O11,"渋谷-夜勤")+COUNTIF('1月'!S11:T11,"渋谷-夜勤")+COUNTIF('1月'!X11:Y11,"渋谷-夜勤")+COUNTIF('1月'!AC11:AD11,"渋谷-夜勤")+COUNTIF('1月'!AH11:AI11,"渋谷-夜勤")+COUNTIF('1月'!AM11:AN11,"渋谷-夜勤")+COUNTIF('1月'!AR11:AS11,"渋谷-夜勤")+COUNTIF('1月'!AW11:AX11,"渋谷-夜勤")+COUNTIF('1月'!BB11:BC11,"渋谷-夜勤")+COUNTIF('1月'!BG11:BH11,"渋谷-夜勤")+COUNTIF('1月'!BL11:BM11,"渋谷-夜勤")+COUNTIF('1月'!BQ11:BR11,"渋谷-夜勤")+COUNTIF('1月'!BV11:BW11,"渋谷-夜勤")+COUNTIF('1月'!CA11:CB11,"渋谷-夜勤")+COUNTIF('1月'!CF11:CG11,"渋谷-夜勤")+COUNTIF('1月'!CK11:CL11,"渋谷-夜勤")+COUNTIF('1月'!CP11:CQ11,"渋谷-夜勤")+COUNTIF('1月'!CU11:CV11,"渋谷-夜勤")+COUNTIF('1月'!CZ11:DA11,"渋谷-夜勤")+COUNTIF('1月'!DE11:DF11,"渋谷-夜勤")+COUNTIF('1月'!DJ11:DK11,"渋谷-夜勤")+COUNTIF('1月'!DO11:DP11,"渋谷-夜勤")+COUNTIF('1月'!DT11:DU11,"渋谷-夜勤")+COUNTIF('1月'!DY11:DZ11,"渋谷-夜勤")+COUNTIF('1月'!ED11:EE11,"渋谷-夜勤")+COUNTIF('1月'!EI11:EJ11,"渋谷-夜勤")+COUNTIF('1月'!EN11:EO11,"渋谷-夜勤")+COUNTIF('1月'!ES11:ET11,"渋谷-夜勤")</f>
        <v>0</v>
      </c>
      <c r="I13" s="76">
        <f t="shared" si="3"/>
        <v>0</v>
      </c>
      <c r="J13" s="76">
        <f>COUNTIF('1月'!D11:E11,J$4)+COUNTIF('1月'!I11:J11,J$4)+COUNTIF('1月'!N11:O11,J$4)+COUNTIF('1月'!S11:T11,J$4)+COUNTIF('1月'!X11:Y11,J$4)+COUNTIF('1月'!AC11:AD11,J$4)+COUNTIF('1月'!AH11:AI11,J$4)+COUNTIF('1月'!AM11:AN11,J$4)+COUNTIF('1月'!AR11:AS11,J$4)+COUNTIF('1月'!AW11:AX11,J$4)+COUNTIF('1月'!BB11:BC11,J$4)+COUNTIF('1月'!BG11:BH11,J$4)+COUNTIF('1月'!BL11:BM11,J$4)+COUNTIF('1月'!BQ11:BR11,J$4)+COUNTIF('1月'!BV11:BW11,J$4)+COUNTIF('1月'!CA11:CB11,J$4)+COUNTIF('1月'!CF11:CG11,J$4)+COUNTIF('1月'!CK11:CL11,J$4)+COUNTIF('1月'!CP11:CQ11,J$4)+COUNTIF('1月'!CU11:CV11,J$4)+COUNTIF('1月'!CZ11:DA11,J$4)+COUNTIF('1月'!DE11:DF11,J$4)+COUNTIF('1月'!DJ11:DK11,J$4)+COUNTIF('1月'!DO11:DP11,J$4)+COUNTIF('1月'!DT11:DU11,J$4)+COUNTIF('1月'!DY11:DZ11,J$4)+COUNTIF('1月'!ED11:EE11,J$4)+COUNTIF('1月'!EI11:EJ11,J$4)+COUNTIF('1月'!EN11:EO11,J$4)+COUNTIF('1月'!ES11:ET11,J$4)+COUNTIF('1月'!D11:E11,"六本木-夜勤")+COUNTIF('1月'!I11:J11,"六本木-夜勤")+COUNTIF('1月'!N11:O11,"六本木-夜勤")+COUNTIF('1月'!S11:T11,"六本木-夜勤")+COUNTIF('1月'!X11:Y11,"六本木-夜勤")+COUNTIF('1月'!AC11:AD11,"六本木-夜勤")+COUNTIF('1月'!AH11:AI11,"六本木-夜勤")+COUNTIF('1月'!AM11:AN11,"六本木-夜勤")+COUNTIF('1月'!AR11:AS11,"六本木-夜勤")+COUNTIF('1月'!AW11:AX11,"六本木-夜勤")+COUNTIF('1月'!BB11:BC11,"六本木-夜勤")+COUNTIF('1月'!BG11:BH11,"六本木-夜勤")+COUNTIF('1月'!BL11:BM11,"六本木-夜勤")+COUNTIF('1月'!BQ11:BR11,"六本木-夜勤")+COUNTIF('1月'!BV11:BW11,"六本木-夜勤")+COUNTIF('1月'!CA11:CB11,"六本木-夜勤")+COUNTIF('1月'!CF11:CG11,"六本木-夜勤")+COUNTIF('1月'!CK11:CL11,"六本木-夜勤")+COUNTIF('1月'!CP11:CQ11,"六本木-夜勤")+COUNTIF('1月'!CU11:CV11,"六本木-夜勤")+COUNTIF('1月'!CZ11:DA11,"六本木-夜勤")+COUNTIF('1月'!DE11:DF11,"六本木-夜勤")+COUNTIF('1月'!DJ11:DK11,"六本木-夜勤")+COUNTIF('1月'!DO11:DP11,"六本木-夜勤")+COUNTIF('1月'!DT11:DU11,"六本木-夜勤")+COUNTIF('1月'!DY11:DZ11,"六本木-夜勤")+COUNTIF('1月'!ED11:EE11,"六本木-夜勤")+COUNTIF('1月'!EI11:EJ11,"六本木-夜勤")+COUNTIF('1月'!EN11:EO11,"六本木-夜勤")+COUNTIF('1月'!ES11:ET11,"六本木-夜勤")+COUNTIF('1月'!D11:E11,"六本木ー夜勤")+COUNTIF('1月'!I11:J11,"六本木ー夜勤")+COUNTIF('1月'!N11:O11,"六本木ー夜勤")+COUNTIF('1月'!S11:T11,"六本木ー夜勤")+COUNTIF('1月'!X11:Y11,"六本木ー夜勤")+COUNTIF('1月'!AC11:AD11,"六本木ー夜勤")+COUNTIF('1月'!AH11:AI11,"六本木ー夜勤")+COUNTIF('1月'!AM11:AN11,"六本木ー夜勤")+COUNTIF('1月'!AR11:AS11,"六本木ー夜勤")+COUNTIF('1月'!AW11:AX11,"六本木ー夜勤")+COUNTIF('1月'!BB11:BC11,"六本木ー夜勤")+COUNTIF('1月'!BG11:BH11,"六本木ー夜勤")+COUNTIF('1月'!BL11:BM11,"六本木ー夜勤")+COUNTIF('1月'!BQ11:BR11,"六本木ー夜勤")+COUNTIF('1月'!BV11:BW11,"六本木ー夜勤")+COUNTIF('1月'!CA11:CB11,"六本木ー夜勤")+COUNTIF('1月'!CF11:CG11,"六本木ー夜勤")+COUNTIF('1月'!CK11:CL11,"六本木ー夜勤")+COUNTIF('1月'!CP11:CQ11,"六本木ー夜勤")+COUNTIF('1月'!CU11:CV11,"六本木ー夜勤")+COUNTIF('1月'!CZ11:DA11,"六本木ー夜勤")+COUNTIF('1月'!DE11:DF11,"六本木ー夜勤")+COUNTIF('1月'!DJ11:DK11,"六本木ー夜勤")+COUNTIF('1月'!DO11:DP11,"六本木ー夜勤")+COUNTIF('1月'!DT11:DU11,"六本木ー夜勤")+COUNTIF('1月'!DY11:DZ11,"六本木ー夜勤")+COUNTIF('1月'!ED11:EE11,"六本木ー夜勤")+COUNTIF('1月'!EI11:EJ11,"六本木ー夜勤")+COUNTIF('1月'!EN11:EO11,"六本木ー夜勤")+COUNTIF('1月'!ES11:ET11,"六本木ー夜勤")</f>
        <v>0</v>
      </c>
      <c r="K13" s="76">
        <f t="shared" si="4"/>
        <v>0</v>
      </c>
      <c r="L13" s="76">
        <f>COUNTIF('1月'!D11:E11,L$4)+COUNTIF('1月'!I11:J11,L$4)+COUNTIF('1月'!N11:O11,L$4)+COUNTIF('1月'!S11:T11,L$4)+COUNTIF('1月'!X11:Y11,L$4)+COUNTIF('1月'!AC11:AD11,L$4)+COUNTIF('1月'!AH11:AI11,L$4)+COUNTIF('1月'!AM11:AN11,L$4)+COUNTIF('1月'!AR11:AS11,L$4)+COUNTIF('1月'!AW11:AX11,L$4)+COUNTIF('1月'!BB11:BC11,L$4)+COUNTIF('1月'!BG11:BH11,L$4)+COUNTIF('1月'!BL11:BM11,L$4)+COUNTIF('1月'!BQ11:BR11,L$4)+COUNTIF('1月'!BV11:BW11,L$4)+COUNTIF('1月'!CA11:CB11,L$4)+COUNTIF('1月'!CF11:CG11,L$4)+COUNTIF('1月'!CK11:CL11,L$4)+COUNTIF('1月'!CP11:CQ11,L$4)+COUNTIF('1月'!CU11:CV11,L$4)+COUNTIF('1月'!CZ11:DA11,L$4)+COUNTIF('1月'!DE11:DF11,L$4)+COUNTIF('1月'!DJ11:DK11,L$4)+COUNTIF('1月'!DO11:DP11,L$4)+COUNTIF('1月'!DT11:DU11,L$4)+COUNTIF('1月'!DY11:DZ11,L$4)+COUNTIF('1月'!ED11:EE11,L$4)+COUNTIF('1月'!EI11:EJ11,L$4)+COUNTIF('1月'!EN11:EO11,L$4)+COUNTIF('1月'!ES11:ET11,L$4)</f>
        <v>0</v>
      </c>
      <c r="M13" s="76">
        <f t="shared" si="5"/>
        <v>0</v>
      </c>
      <c r="N13" s="76">
        <f>COUNTIF('1月'!D11:E11,N$4)+COUNTIF('1月'!I11:J11,N$4)+COUNTIF('1月'!N11:O11,N$4)+COUNTIF('1月'!S11:T11,N$4)+COUNTIF('1月'!X11:Y11,N$4)+COUNTIF('1月'!AC11:AD11,N$4)+COUNTIF('1月'!AH11:AI11,N$4)+COUNTIF('1月'!AM11:AN11,N$4)+COUNTIF('1月'!AR11:AS11,N$4)+COUNTIF('1月'!AW11:AX11,N$4)+COUNTIF('1月'!BB11:BC11,N$4)+COUNTIF('1月'!BG11:BH11,N$4)+COUNTIF('1月'!BL11:BM11,N$4)+COUNTIF('1月'!BQ11:BR11,N$4)+COUNTIF('1月'!BV11:BW11,N$4)+COUNTIF('1月'!CA11:CB11,N$4)+COUNTIF('1月'!CF11:CG11,N$4)+COUNTIF('1月'!CK11:CL11,N$4)+COUNTIF('1月'!CP11:CQ11,N$4)+COUNTIF('1月'!CU11:CV11,N$4)+COUNTIF('1月'!CZ11:DA11,N$4)+COUNTIF('1月'!DE11:DF11,N$4)+COUNTIF('1月'!DJ11:DK11,N$4)+COUNTIF('1月'!DO11:DP11,N$4)+COUNTIF('1月'!DT11:DU11,N$4)+COUNTIF('1月'!DY11:DZ11,N$4)+COUNTIF('1月'!ED11:EE11,N$4)+COUNTIF('1月'!EI11:EJ11,N$4)+COUNTIF('1月'!EN11:EO11,N$4)+COUNTIF('1月'!ES11:ET11,N$4)+COUNTIF('1月'!D11:E11,"三軒茶屋－夜勤")+COUNTIF('1月'!I11:J11,"三軒茶屋－夜勤")+COUNTIF('1月'!N11:O11,"三軒茶屋－夜勤")+COUNTIF('1月'!S11:T11,"三軒茶屋－夜勤")+COUNTIF('1月'!X11:Y11,"三軒茶屋－夜勤")+COUNTIF('1月'!AC11:AD11,"三軒茶屋－夜勤")+COUNTIF('1月'!AH11:AI11,"三軒茶屋－夜勤")+COUNTIF('1月'!AM11:AN11,"三軒茶屋－夜勤")+COUNTIF('1月'!AR11:AS11,"三軒茶屋－夜勤")+COUNTIF('1月'!AW11:AX11,"三軒茶屋－夜勤")+COUNTIF('1月'!BB11:BC11,"三軒茶屋－夜勤")+COUNTIF('1月'!BG11:BH11,"三軒茶屋－夜勤")+COUNTIF('1月'!BL11:BM11,"三軒茶屋－夜勤")+COUNTIF('1月'!BQ11:BR11,"三軒茶屋－夜勤")+COUNTIF('1月'!BV11:BW11,"三軒茶屋－夜勤")+COUNTIF('1月'!CA11:CB11,"三軒茶屋－夜勤")+COUNTIF('1月'!CF11:CG11,"三軒茶屋－夜勤")+COUNTIF('1月'!CK11:CL11,"三軒茶屋－夜勤")+COUNTIF('1月'!CP11:CQ11,"三軒茶屋－夜勤")+COUNTIF('1月'!CU11:CV11,"三軒茶屋－夜勤")+COUNTIF('1月'!CZ11:DA11,"三軒茶屋－夜勤")+COUNTIF('1月'!DE11:DF11,"三軒茶屋－夜勤")+COUNTIF('1月'!DJ11:DK11,"三軒茶屋－夜勤")+COUNTIF('1月'!DO11:DP11,"三軒茶屋－夜勤")+COUNTIF('1月'!DT11:DU11,"三軒茶屋－夜勤")+COUNTIF('1月'!DY11:DZ11,"三軒茶屋－夜勤")+COUNTIF('1月'!ED11:EE11,"三軒茶屋－夜勤")+COUNTIF('1月'!EI11:EJ11,"三軒茶屋－夜勤")+COUNTIF('1月'!EN11:EO11,"三軒茶屋－夜勤")+COUNTIF('1月'!ES11:ET11,"三軒茶屋－夜勤")</f>
        <v>0</v>
      </c>
      <c r="O13" s="76">
        <f t="shared" si="6"/>
        <v>0</v>
      </c>
      <c r="P13" s="76">
        <f>COUNTIF('1月'!D11:E11,P$4)+COUNTIF('1月'!I11:J11,P$4)+COUNTIF('1月'!N11:O11,P$4)+COUNTIF('1月'!S11:T11,P$4)+COUNTIF('1月'!X11:Y11,P$4)+COUNTIF('1月'!AC11:AD11,P$4)+COUNTIF('1月'!AH11:AI11,P$4)+COUNTIF('1月'!AM11:AN11,P$4)+COUNTIF('1月'!AR11:AS11,P$4)+COUNTIF('1月'!AW11:AX11,P$4)+COUNTIF('1月'!BB11:BC11,P$4)+COUNTIF('1月'!BG11:BH11,P$4)+COUNTIF('1月'!BL11:BM11,P$4)+COUNTIF('1月'!BQ11:BR11,P$4)+COUNTIF('1月'!BV11:BW11,P$4)+COUNTIF('1月'!CA11:CB11,P$4)+COUNTIF('1月'!CF11:CG11,P$4)+COUNTIF('1月'!CK11:CL11,P$4)+COUNTIF('1月'!CP11:CQ11,P$4)+COUNTIF('1月'!CU11:CV11,P$4)+COUNTIF('1月'!CZ11:DA11,P$4)+COUNTIF('1月'!DE11:DF11,P$4)+COUNTIF('1月'!DJ11:DK11,P$4)+COUNTIF('1月'!DO11:DP11,P$4)+COUNTIF('1月'!DT11:DU11,P$4)+COUNTIF('1月'!DY11:DZ11,P$4)+COUNTIF('1月'!ED11:EE11,P$4)+COUNTIF('1月'!EI11:EJ11,P$4)+COUNTIF('1月'!EN11:EO11,P$4)+COUNTIF('1月'!ES11:ET11,P$4)+COUNTIF('1月'!D11:E11,"荻窪ー夜勤")+COUNTIF('1月'!I11:J11,"荻窪ー夜勤")+COUNTIF('1月'!N11:O11,"荻窪ー夜勤")+COUNTIF('1月'!S11:T11,"荻窪ー夜勤")+COUNTIF('1月'!X11:Y11,"荻窪ー夜勤")+COUNTIF('1月'!AC11:AD11,"荻窪ー夜勤")+COUNTIF('1月'!AH11:AI11,"荻窪ー夜勤")+COUNTIF('1月'!AM11:AN11,"荻窪ー夜勤")+COUNTIF('1月'!AR11:AS11,"荻窪ー夜勤")+COUNTIF('1月'!AW11:AX11,"荻窪ー夜勤")+COUNTIF('1月'!BB11:BC11,"荻窪ー夜勤")+COUNTIF('1月'!BG11:BH11,"荻窪ー夜勤")+COUNTIF('1月'!BL11:BM11,"荻窪ー夜勤")+COUNTIF('1月'!BQ11:BR11,"荻窪ー夜勤")+COUNTIF('1月'!BV11:BW11,"荻窪ー夜勤")+COUNTIF('1月'!CA11:CB11,"荻窪ー夜勤")+COUNTIF('1月'!CF11:CG11,"荻窪ー夜勤")+COUNTIF('1月'!CK11:CL11,"荻窪ー夜勤")+COUNTIF('1月'!CP11:CQ11,"荻窪ー夜勤")+COUNTIF('1月'!CU11:CV11,"荻窪ー夜勤")+COUNTIF('1月'!CZ11:DA11,"荻窪ー夜勤")+COUNTIF('1月'!DE11:DF11,"荻窪ー夜勤")+COUNTIF('1月'!DJ11:DK11,"荻窪ー夜勤")+COUNTIF('1月'!DO11:DP11,"荻窪ー夜勤")+COUNTIF('1月'!DT11:DU11,"荻窪ー夜勤")+COUNTIF('1月'!DY11:DZ11,"荻窪ー夜勤")+COUNTIF('1月'!ED11:EE11,"荻窪ー夜勤")+COUNTIF('1月'!EI11:EJ11,"荻窪ー夜勤")+COUNTIF('1月'!EN11:EO11,"荻窪ー夜勤")+COUNTIF('1月'!ES11:ET11,"荻窪ー夜勤")</f>
        <v>0</v>
      </c>
      <c r="Q13" s="76">
        <f t="shared" si="7"/>
        <v>0</v>
      </c>
      <c r="R13" s="76">
        <f>COUNTIF('1月'!D11:E11,R$4)+COUNTIF('1月'!I11:J11,R$4)+COUNTIF('1月'!N11:O11,R$4)+COUNTIF('1月'!S11:T11,R$4)+COUNTIF('1月'!X11:Y11,R$4)+COUNTIF('1月'!AC11:AD11,R$4)+COUNTIF('1月'!AH11:AI11,R$4)+COUNTIF('1月'!AM11:AN11,R$4)+COUNTIF('1月'!AR11:AS11,R$4)+COUNTIF('1月'!AW11:AX11,R$4)+COUNTIF('1月'!BB11:BC11,R$4)+COUNTIF('1月'!BG11:BH11,R$4)+COUNTIF('1月'!BL11:BM11,R$4)+COUNTIF('1月'!BQ11:BR11,R$4)+COUNTIF('1月'!BV11:BW11,R$4)+COUNTIF('1月'!CA11:CB11,R$4)+COUNTIF('1月'!CF11:CG11,R$4)+COUNTIF('1月'!CK11:CL11,R$4)+COUNTIF('1月'!CP11:CQ11,R$4)+COUNTIF('1月'!CU11:CV11,R$4)+COUNTIF('1月'!CZ11:DA11,R$4)+COUNTIF('1月'!DE11:DF11,R$4)+COUNTIF('1月'!DJ11:DK11,R$4)+COUNTIF('1月'!DO11:DP11,R$4)+COUNTIF('1月'!DT11:DU11,R$4)+COUNTIF('1月'!DY11:DZ11,R$4)+COUNTIF('1月'!ED11:EE11,R$4)+COUNTIF('1月'!EI11:EJ11,R$4)+COUNTIF('1月'!EN11:EO11,R$4)+COUNTIF('1月'!ES11:ET11,R$4)</f>
        <v>0</v>
      </c>
      <c r="S13" s="76">
        <f t="shared" si="8"/>
        <v>0</v>
      </c>
      <c r="T13" s="76">
        <f>COUNTIF('1月'!D11:E11,T$4)+COUNTIF('1月'!I11:J11,T$4)+COUNTIF('1月'!N11:O11,T$4)+COUNTIF('1月'!S11:T11,T$4)+COUNTIF('1月'!X11:Y11,T$4)+COUNTIF('1月'!AC11:AD11,T$4)+COUNTIF('1月'!AH11:AI11,T$4)+COUNTIF('1月'!AM11:AN11,T$4)+COUNTIF('1月'!AR11:AS11,T$4)+COUNTIF('1月'!AW11:AX11,T$4)+COUNTIF('1月'!BB11:BC11,T$4)+COUNTIF('1月'!BG11:BH11,T$4)+COUNTIF('1月'!BL11:BM11,T$4)+COUNTIF('1月'!BQ11:BR11,T$4)+COUNTIF('1月'!BV11:BW11,T$4)+COUNTIF('1月'!CA11:CB11,T$4)+COUNTIF('1月'!CF11:CG11,T$4)+COUNTIF('1月'!CK11:CL11,T$4)+COUNTIF('1月'!CP11:CQ11,T$4)+COUNTIF('1月'!CU11:CV11,T$4)+COUNTIF('1月'!CZ11:DA11,T$4)+COUNTIF('1月'!DE11:DF11,T$4)+COUNTIF('1月'!DJ11:DK11,T$4)+COUNTIF('1月'!DO11:DP11,T$4)+COUNTIF('1月'!DT11:DU11,T$4)+COUNTIF('1月'!DY11:DZ11,T$4)+COUNTIF('1月'!ED11:EE11,T$4)+COUNTIF('1月'!EI11:EJ11,T$4)+COUNTIF('1月'!EN11:EO11,T$4)+COUNTIF('1月'!ES11:ET11,T$4)</f>
        <v>0</v>
      </c>
      <c r="U13" s="76">
        <f t="shared" si="9"/>
        <v>0</v>
      </c>
      <c r="V13" s="76">
        <f>COUNTIF('1月'!D11:E11,V$4)+COUNTIF('1月'!I11:J11,V$4)+COUNTIF('1月'!N11:O11,V$4)+COUNTIF('1月'!S11:T11,V$4)+COUNTIF('1月'!X11:Y11,V$4)+COUNTIF('1月'!AC11:AD11,V$4)+COUNTIF('1月'!AH11:AI11,V$4)+COUNTIF('1月'!AM11:AN11,V$4)+COUNTIF('1月'!AR11:AS11,V$4)+COUNTIF('1月'!AW11:AX11,V$4)+COUNTIF('1月'!BB11:BC11,V$4)+COUNTIF('1月'!BG11:BH11,V$4)+COUNTIF('1月'!BL11:BM11,V$4)+COUNTIF('1月'!BQ11:BR11,V$4)+COUNTIF('1月'!BV11:BW11,V$4)+COUNTIF('1月'!CA11:CB11,V$4)+COUNTIF('1月'!CF11:CG11,V$4)+COUNTIF('1月'!CK11:CL11,V$4)+COUNTIF('1月'!CP11:CQ11,V$4)+COUNTIF('1月'!CU11:CV11,V$4)+COUNTIF('1月'!CZ11:DA11,V$4)+COUNTIF('1月'!DE11:DF11,V$4)+COUNTIF('1月'!DJ11:DK11,V$4)+COUNTIF('1月'!DO11:DP11,V$4)+COUNTIF('1月'!DT11:DU11,V$4)+COUNTIF('1月'!DY11:DZ11,V$4)+COUNTIF('1月'!ED11:EE11,V$4)+COUNTIF('1月'!EI11:EJ11,V$4)+COUNTIF('1月'!EN11:EO11,V$4)+COUNTIF('1月'!ES11:ET11,V$4)</f>
        <v>0</v>
      </c>
      <c r="W13" s="76">
        <f t="shared" si="10"/>
        <v>0</v>
      </c>
      <c r="X13" s="76">
        <f>COUNTIF('1月'!D11:E11,X$4)+COUNTIF('1月'!I11:J11,X$4)+COUNTIF('1月'!N11:O11,X$4)+COUNTIF('1月'!S11:T11,X$4)+COUNTIF('1月'!X11:Y11,X$4)+COUNTIF('1月'!AC11:AD11,X$4)+COUNTIF('1月'!AH11:AI11,X$4)+COUNTIF('1月'!AM11:AN11,X$4)+COUNTIF('1月'!AR11:AS11,X$4)+COUNTIF('1月'!AW11:AX11,X$4)+COUNTIF('1月'!BB11:BC11,X$4)+COUNTIF('1月'!BG11:BH11,X$4)+COUNTIF('1月'!BL11:BM11,X$4)+COUNTIF('1月'!BQ11:BR11,X$4)+COUNTIF('1月'!BV11:BW11,X$4)+COUNTIF('1月'!CA11:CB11,X$4)+COUNTIF('1月'!CF11:CG11,X$4)+COUNTIF('1月'!CK11:CL11,X$4)+COUNTIF('1月'!CP11:CQ11,X$4)+COUNTIF('1月'!CU11:CV11,X$4)+COUNTIF('1月'!CZ11:DA11,X$4)+COUNTIF('1月'!DE11:DF11,X$4)+COUNTIF('1月'!DJ11:DK11,X$4)+COUNTIF('1月'!DO11:DP11,X$4)+COUNTIF('1月'!DT11:DU11,X$4)+COUNTIF('1月'!DY11:DZ11,X$4)+COUNTIF('1月'!ED11:EE11,X$4)+COUNTIF('1月'!EI11:EJ11,X$4)+COUNTIF('1月'!EN11:EO11,X$4)+COUNTIF('1月'!ES11:ET11,X$4)</f>
        <v>0</v>
      </c>
      <c r="Y13" s="76">
        <f t="shared" si="11"/>
        <v>0</v>
      </c>
    </row>
    <row r="14" spans="1:25" ht="18" customHeight="1">
      <c r="A14" s="76">
        <v>9</v>
      </c>
      <c r="B14" s="76">
        <f>COUNTIF('1月'!D12:E12,B$4)+COUNTIF('1月'!I12:J12,B$4)+COUNTIF('1月'!N12:O12,B$4)+COUNTIF('1月'!S12:T12,B$4)+COUNTIF('1月'!X12:Y12,B$4)+COUNTIF('1月'!AC12:AD12,B$4)+COUNTIF('1月'!AH12:AI12,B$4)+COUNTIF('1月'!AM12:AN12,B$4)+COUNTIF('1月'!AR12:AS12,B$4)+COUNTIF('1月'!AW12:AX12,B$4)+COUNTIF('1月'!BB12:BC12,B$4)+COUNTIF('1月'!BG12:BH12,B$4)+COUNTIF('1月'!BL12:BM12,B$4)+COUNTIF('1月'!BQ12:BR12,B$4)+COUNTIF('1月'!BV12:BW12,B$4)+COUNTIF('1月'!CA12:CB12,B$4)+COUNTIF('1月'!CF12:CG12,B$4)+COUNTIF('1月'!CK12:CL12,B$4)+COUNTIF('1月'!CP12:CQ12,B$4)+COUNTIF('1月'!CU12:CV12,B$4)+COUNTIF('1月'!CZ12:DA12,B$4)+COUNTIF('1月'!DE12:DF12,B$4)+COUNTIF('1月'!DJ12:DK12,B$4)+COUNTIF('1月'!DO12:DP12,B$4)+COUNTIF('1月'!DT12:DU12,B$4)+COUNTIF('1月'!DY12:DZ12,B$4)+COUNTIF('1月'!ED12:EE12,B$4)+COUNTIF('1月'!EI12:EJ12,B$4)+COUNTIF('1月'!EN12:EO12,B$4)+COUNTIF('1月'!ES12:ET12,B$4)</f>
        <v>0</v>
      </c>
      <c r="C14" s="76">
        <f t="shared" si="0"/>
        <v>0</v>
      </c>
      <c r="D14" s="76">
        <f>COUNTIF('1月'!D12:E12,D$4)+COUNTIF('1月'!I12:J12,D$4)+COUNTIF('1月'!N12:O12,D$4)+COUNTIF('1月'!S12:T12,D$4)+COUNTIF('1月'!X12:Y12,D$4)+COUNTIF('1月'!AC12:AD12,D$4)+COUNTIF('1月'!AH12:AI12,D$4)+COUNTIF('1月'!AM12:AN12,D$4)+COUNTIF('1月'!AR12:AS12,D$4)+COUNTIF('1月'!AW12:AX12,D$4)+COUNTIF('1月'!BB12:BC12,D$4)+COUNTIF('1月'!BG12:BH12,D$4)+COUNTIF('1月'!BL12:BM12,D$4)+COUNTIF('1月'!BQ12:BR12,D$4)+COUNTIF('1月'!BV12:BW12,D$4)+COUNTIF('1月'!CA12:CB12,D$4)+COUNTIF('1月'!CF12:CG12,D$4)+COUNTIF('1月'!CK12:CL12,D$4)+COUNTIF('1月'!CP12:CQ12,D$4)+COUNTIF('1月'!CU12:CV12,D$4)+COUNTIF('1月'!CZ12:DA12,D$4)+COUNTIF('1月'!DE12:DF12,D$4)+COUNTIF('1月'!DJ12:DK12,D$4)+COUNTIF('1月'!DO12:DP12,D$4)+COUNTIF('1月'!DT12:DU12,D$4)+COUNTIF('1月'!DY12:DZ12,D$4)+COUNTIF('1月'!ED12:EE12,D$4)+COUNTIF('1月'!EI12:EJ12,D$4)+COUNTIF('1月'!EN12:EO12,D$4)+COUNTIF('1月'!ES12:ET12,D$4)</f>
        <v>0</v>
      </c>
      <c r="E14" s="76">
        <f t="shared" si="1"/>
        <v>0</v>
      </c>
      <c r="F14" s="76">
        <f>COUNTIF('1月'!D12:E12,F$4)+COUNTIF('1月'!I12:J12,F$4)+COUNTIF('1月'!N12:O12,F$4)+COUNTIF('1月'!S12:T12,F$4)+COUNTIF('1月'!X12:Y12,F$4)+COUNTIF('1月'!AC12:AD12,F$4)+COUNTIF('1月'!AH12:AI12,F$4)+COUNTIF('1月'!AM12:AN12,F$4)+COUNTIF('1月'!AR12:AS12,F$4)+COUNTIF('1月'!AW12:AX12,F$4)+COUNTIF('1月'!BB12:BC12,F$4)+COUNTIF('1月'!BG12:BH12,F$4)+COUNTIF('1月'!BL12:BM12,F$4)+COUNTIF('1月'!BQ12:BR12,F$4)+COUNTIF('1月'!BV12:BW12,F$4)+COUNTIF('1月'!CA12:CB12,F$4)+COUNTIF('1月'!CF12:CG12,F$4)+COUNTIF('1月'!CK12:CL12,F$4)+COUNTIF('1月'!CP12:CQ12,F$4)+COUNTIF('1月'!CU12:CV12,F$4)+COUNTIF('1月'!CZ12:DA12,F$4)+COUNTIF('1月'!DE12:DF12,F$4)+COUNTIF('1月'!DJ12:DK12,F$4)+COUNTIF('1月'!DO12:DP12,F$4)+COUNTIF('1月'!DT12:DU12,F$4)+COUNTIF('1月'!DY12:DZ12,F$4)+COUNTIF('1月'!ED12:EE12,F$4)+COUNTIF('1月'!EI12:EJ12,F$4)+COUNTIF('1月'!EN12:EO12,F$4)+COUNTIF('1月'!ES12:ET12,F$4)</f>
        <v>0</v>
      </c>
      <c r="G14" s="76">
        <f t="shared" si="2"/>
        <v>0</v>
      </c>
      <c r="H14" s="76">
        <f>COUNTIF('1月'!D12:E12,H$4)+COUNTIF('1月'!I12:J12,H$4)+COUNTIF('1月'!N12:O12,H$4)+COUNTIF('1月'!S12:T12,H$4)+COUNTIF('1月'!X12:Y12,H$4)+COUNTIF('1月'!AC12:AD12,H$4)+COUNTIF('1月'!AH12:AI12,H$4)+COUNTIF('1月'!AM12:AN12,H$4)+COUNTIF('1月'!AR12:AS12,H$4)+COUNTIF('1月'!AW12:AX12,H$4)+COUNTIF('1月'!BB12:BC12,H$4)+COUNTIF('1月'!BG12:BH12,H$4)+COUNTIF('1月'!BL12:BM12,H$4)+COUNTIF('1月'!BQ12:BR12,H$4)+COUNTIF('1月'!BV12:BW12,H$4)+COUNTIF('1月'!CA12:CB12,H$4)+COUNTIF('1月'!CF12:CG12,H$4)+COUNTIF('1月'!CK12:CL12,H$4)+COUNTIF('1月'!CP12:CQ12,H$4)+COUNTIF('1月'!CU12:CV12,H$4)+COUNTIF('1月'!CZ12:DA12,H$4)+COUNTIF('1月'!DE12:DF12,H$4)+COUNTIF('1月'!DJ12:DK12,H$4)+COUNTIF('1月'!DO12:DP12,H$4)+COUNTIF('1月'!DT12:DU12,H$4)+COUNTIF('1月'!DY12:DZ12,H$4)+COUNTIF('1月'!ED12:EE12,H$4)+COUNTIF('1月'!EI12:EJ12,H$4)+COUNTIF('1月'!EN12:EO12,H$4)+COUNTIF('1月'!ES12:ET12,H$4)+COUNTIF('1月'!D12:E12,"渋谷-夜勤")+COUNTIF('1月'!I12:J12,"渋谷-夜勤")+COUNTIF('1月'!N12:O12,"渋谷-夜勤")+COUNTIF('1月'!S12:T12,"渋谷-夜勤")+COUNTIF('1月'!X12:Y12,"渋谷-夜勤")+COUNTIF('1月'!AC12:AD12,"渋谷-夜勤")+COUNTIF('1月'!AH12:AI12,"渋谷-夜勤")+COUNTIF('1月'!AM12:AN12,"渋谷-夜勤")+COUNTIF('1月'!AR12:AS12,"渋谷-夜勤")+COUNTIF('1月'!AW12:AX12,"渋谷-夜勤")+COUNTIF('1月'!BB12:BC12,"渋谷-夜勤")+COUNTIF('1月'!BG12:BH12,"渋谷-夜勤")+COUNTIF('1月'!BL12:BM12,"渋谷-夜勤")+COUNTIF('1月'!BQ12:BR12,"渋谷-夜勤")+COUNTIF('1月'!BV12:BW12,"渋谷-夜勤")+COUNTIF('1月'!CA12:CB12,"渋谷-夜勤")+COUNTIF('1月'!CF12:CG12,"渋谷-夜勤")+COUNTIF('1月'!CK12:CL12,"渋谷-夜勤")+COUNTIF('1月'!CP12:CQ12,"渋谷-夜勤")+COUNTIF('1月'!CU12:CV12,"渋谷-夜勤")+COUNTIF('1月'!CZ12:DA12,"渋谷-夜勤")+COUNTIF('1月'!DE12:DF12,"渋谷-夜勤")+COUNTIF('1月'!DJ12:DK12,"渋谷-夜勤")+COUNTIF('1月'!DO12:DP12,"渋谷-夜勤")+COUNTIF('1月'!DT12:DU12,"渋谷-夜勤")+COUNTIF('1月'!DY12:DZ12,"渋谷-夜勤")+COUNTIF('1月'!ED12:EE12,"渋谷-夜勤")+COUNTIF('1月'!EI12:EJ12,"渋谷-夜勤")+COUNTIF('1月'!EN12:EO12,"渋谷-夜勤")+COUNTIF('1月'!ES12:ET12,"渋谷-夜勤")</f>
        <v>0</v>
      </c>
      <c r="I14" s="76">
        <f t="shared" si="3"/>
        <v>0</v>
      </c>
      <c r="J14" s="76">
        <f>COUNTIF('1月'!D12:E12,J$4)+COUNTIF('1月'!I12:J12,J$4)+COUNTIF('1月'!N12:O12,J$4)+COUNTIF('1月'!S12:T12,J$4)+COUNTIF('1月'!X12:Y12,J$4)+COUNTIF('1月'!AC12:AD12,J$4)+COUNTIF('1月'!AH12:AI12,J$4)+COUNTIF('1月'!AM12:AN12,J$4)+COUNTIF('1月'!AR12:AS12,J$4)+COUNTIF('1月'!AW12:AX12,J$4)+COUNTIF('1月'!BB12:BC12,J$4)+COUNTIF('1月'!BG12:BH12,J$4)+COUNTIF('1月'!BL12:BM12,J$4)+COUNTIF('1月'!BQ12:BR12,J$4)+COUNTIF('1月'!BV12:BW12,J$4)+COUNTIF('1月'!CA12:CB12,J$4)+COUNTIF('1月'!CF12:CG12,J$4)+COUNTIF('1月'!CK12:CL12,J$4)+COUNTIF('1月'!CP12:CQ12,J$4)+COUNTIF('1月'!CU12:CV12,J$4)+COUNTIF('1月'!CZ12:DA12,J$4)+COUNTIF('1月'!DE12:DF12,J$4)+COUNTIF('1月'!DJ12:DK12,J$4)+COUNTIF('1月'!DO12:DP12,J$4)+COUNTIF('1月'!DT12:DU12,J$4)+COUNTIF('1月'!DY12:DZ12,J$4)+COUNTIF('1月'!ED12:EE12,J$4)+COUNTIF('1月'!EI12:EJ12,J$4)+COUNTIF('1月'!EN12:EO12,J$4)+COUNTIF('1月'!ES12:ET12,J$4)+COUNTIF('1月'!D12:E12,"六本木-夜勤")+COUNTIF('1月'!I12:J12,"六本木-夜勤")+COUNTIF('1月'!N12:O12,"六本木-夜勤")+COUNTIF('1月'!S12:T12,"六本木-夜勤")+COUNTIF('1月'!X12:Y12,"六本木-夜勤")+COUNTIF('1月'!AC12:AD12,"六本木-夜勤")+COUNTIF('1月'!AH12:AI12,"六本木-夜勤")+COUNTIF('1月'!AM12:AN12,"六本木-夜勤")+COUNTIF('1月'!AR12:AS12,"六本木-夜勤")+COUNTIF('1月'!AW12:AX12,"六本木-夜勤")+COUNTIF('1月'!BB12:BC12,"六本木-夜勤")+COUNTIF('1月'!BG12:BH12,"六本木-夜勤")+COUNTIF('1月'!BL12:BM12,"六本木-夜勤")+COUNTIF('1月'!BQ12:BR12,"六本木-夜勤")+COUNTIF('1月'!BV12:BW12,"六本木-夜勤")+COUNTIF('1月'!CA12:CB12,"六本木-夜勤")+COUNTIF('1月'!CF12:CG12,"六本木-夜勤")+COUNTIF('1月'!CK12:CL12,"六本木-夜勤")+COUNTIF('1月'!CP12:CQ12,"六本木-夜勤")+COUNTIF('1月'!CU12:CV12,"六本木-夜勤")+COUNTIF('1月'!CZ12:DA12,"六本木-夜勤")+COUNTIF('1月'!DE12:DF12,"六本木-夜勤")+COUNTIF('1月'!DJ12:DK12,"六本木-夜勤")+COUNTIF('1月'!DO12:DP12,"六本木-夜勤")+COUNTIF('1月'!DT12:DU12,"六本木-夜勤")+COUNTIF('1月'!DY12:DZ12,"六本木-夜勤")+COUNTIF('1月'!ED12:EE12,"六本木-夜勤")+COUNTIF('1月'!EI12:EJ12,"六本木-夜勤")+COUNTIF('1月'!EN12:EO12,"六本木-夜勤")+COUNTIF('1月'!ES12:ET12,"六本木-夜勤")+COUNTIF('1月'!D12:E12,"六本木ー夜勤")+COUNTIF('1月'!I12:J12,"六本木ー夜勤")+COUNTIF('1月'!N12:O12,"六本木ー夜勤")+COUNTIF('1月'!S12:T12,"六本木ー夜勤")+COUNTIF('1月'!X12:Y12,"六本木ー夜勤")+COUNTIF('1月'!AC12:AD12,"六本木ー夜勤")+COUNTIF('1月'!AH12:AI12,"六本木ー夜勤")+COUNTIF('1月'!AM12:AN12,"六本木ー夜勤")+COUNTIF('1月'!AR12:AS12,"六本木ー夜勤")+COUNTIF('1月'!AW12:AX12,"六本木ー夜勤")+COUNTIF('1月'!BB12:BC12,"六本木ー夜勤")+COUNTIF('1月'!BG12:BH12,"六本木ー夜勤")+COUNTIF('1月'!BL12:BM12,"六本木ー夜勤")+COUNTIF('1月'!BQ12:BR12,"六本木ー夜勤")+COUNTIF('1月'!BV12:BW12,"六本木ー夜勤")+COUNTIF('1月'!CA12:CB12,"六本木ー夜勤")+COUNTIF('1月'!CF12:CG12,"六本木ー夜勤")+COUNTIF('1月'!CK12:CL12,"六本木ー夜勤")+COUNTIF('1月'!CP12:CQ12,"六本木ー夜勤")+COUNTIF('1月'!CU12:CV12,"六本木ー夜勤")+COUNTIF('1月'!CZ12:DA12,"六本木ー夜勤")+COUNTIF('1月'!DE12:DF12,"六本木ー夜勤")+COUNTIF('1月'!DJ12:DK12,"六本木ー夜勤")+COUNTIF('1月'!DO12:DP12,"六本木ー夜勤")+COUNTIF('1月'!DT12:DU12,"六本木ー夜勤")+COUNTIF('1月'!DY12:DZ12,"六本木ー夜勤")+COUNTIF('1月'!ED12:EE12,"六本木ー夜勤")+COUNTIF('1月'!EI12:EJ12,"六本木ー夜勤")+COUNTIF('1月'!EN12:EO12,"六本木ー夜勤")+COUNTIF('1月'!ES12:ET12,"六本木ー夜勤")</f>
        <v>0</v>
      </c>
      <c r="K14" s="76">
        <f t="shared" si="4"/>
        <v>0</v>
      </c>
      <c r="L14" s="76">
        <f>COUNTIF('1月'!D12:E12,L$4)+COUNTIF('1月'!I12:J12,L$4)+COUNTIF('1月'!N12:O12,L$4)+COUNTIF('1月'!S12:T12,L$4)+COUNTIF('1月'!X12:Y12,L$4)+COUNTIF('1月'!AC12:AD12,L$4)+COUNTIF('1月'!AH12:AI12,L$4)+COUNTIF('1月'!AM12:AN12,L$4)+COUNTIF('1月'!AR12:AS12,L$4)+COUNTIF('1月'!AW12:AX12,L$4)+COUNTIF('1月'!BB12:BC12,L$4)+COUNTIF('1月'!BG12:BH12,L$4)+COUNTIF('1月'!BL12:BM12,L$4)+COUNTIF('1月'!BQ12:BR12,L$4)+COUNTIF('1月'!BV12:BW12,L$4)+COUNTIF('1月'!CA12:CB12,L$4)+COUNTIF('1月'!CF12:CG12,L$4)+COUNTIF('1月'!CK12:CL12,L$4)+COUNTIF('1月'!CP12:CQ12,L$4)+COUNTIF('1月'!CU12:CV12,L$4)+COUNTIF('1月'!CZ12:DA12,L$4)+COUNTIF('1月'!DE12:DF12,L$4)+COUNTIF('1月'!DJ12:DK12,L$4)+COUNTIF('1月'!DO12:DP12,L$4)+COUNTIF('1月'!DT12:DU12,L$4)+COUNTIF('1月'!DY12:DZ12,L$4)+COUNTIF('1月'!ED12:EE12,L$4)+COUNTIF('1月'!EI12:EJ12,L$4)+COUNTIF('1月'!EN12:EO12,L$4)+COUNTIF('1月'!ES12:ET12,L$4)</f>
        <v>0</v>
      </c>
      <c r="M14" s="76">
        <f t="shared" si="5"/>
        <v>0</v>
      </c>
      <c r="N14" s="76">
        <f>COUNTIF('1月'!D12:E12,N$4)+COUNTIF('1月'!I12:J12,N$4)+COUNTIF('1月'!N12:O12,N$4)+COUNTIF('1月'!S12:T12,N$4)+COUNTIF('1月'!X12:Y12,N$4)+COUNTIF('1月'!AC12:AD12,N$4)+COUNTIF('1月'!AH12:AI12,N$4)+COUNTIF('1月'!AM12:AN12,N$4)+COUNTIF('1月'!AR12:AS12,N$4)+COUNTIF('1月'!AW12:AX12,N$4)+COUNTIF('1月'!BB12:BC12,N$4)+COUNTIF('1月'!BG12:BH12,N$4)+COUNTIF('1月'!BL12:BM12,N$4)+COUNTIF('1月'!BQ12:BR12,N$4)+COUNTIF('1月'!BV12:BW12,N$4)+COUNTIF('1月'!CA12:CB12,N$4)+COUNTIF('1月'!CF12:CG12,N$4)+COUNTIF('1月'!CK12:CL12,N$4)+COUNTIF('1月'!CP12:CQ12,N$4)+COUNTIF('1月'!CU12:CV12,N$4)+COUNTIF('1月'!CZ12:DA12,N$4)+COUNTIF('1月'!DE12:DF12,N$4)+COUNTIF('1月'!DJ12:DK12,N$4)+COUNTIF('1月'!DO12:DP12,N$4)+COUNTIF('1月'!DT12:DU12,N$4)+COUNTIF('1月'!DY12:DZ12,N$4)+COUNTIF('1月'!ED12:EE12,N$4)+COUNTIF('1月'!EI12:EJ12,N$4)+COUNTIF('1月'!EN12:EO12,N$4)+COUNTIF('1月'!ES12:ET12,N$4)+COUNTIF('1月'!D12:E12,"三軒茶屋－夜勤")+COUNTIF('1月'!I12:J12,"三軒茶屋－夜勤")+COUNTIF('1月'!N12:O12,"三軒茶屋－夜勤")+COUNTIF('1月'!S12:T12,"三軒茶屋－夜勤")+COUNTIF('1月'!X12:Y12,"三軒茶屋－夜勤")+COUNTIF('1月'!AC12:AD12,"三軒茶屋－夜勤")+COUNTIF('1月'!AH12:AI12,"三軒茶屋－夜勤")+COUNTIF('1月'!AM12:AN12,"三軒茶屋－夜勤")+COUNTIF('1月'!AR12:AS12,"三軒茶屋－夜勤")+COUNTIF('1月'!AW12:AX12,"三軒茶屋－夜勤")+COUNTIF('1月'!BB12:BC12,"三軒茶屋－夜勤")+COUNTIF('1月'!BG12:BH12,"三軒茶屋－夜勤")+COUNTIF('1月'!BL12:BM12,"三軒茶屋－夜勤")+COUNTIF('1月'!BQ12:BR12,"三軒茶屋－夜勤")+COUNTIF('1月'!BV12:BW12,"三軒茶屋－夜勤")+COUNTIF('1月'!CA12:CB12,"三軒茶屋－夜勤")+COUNTIF('1月'!CF12:CG12,"三軒茶屋－夜勤")+COUNTIF('1月'!CK12:CL12,"三軒茶屋－夜勤")+COUNTIF('1月'!CP12:CQ12,"三軒茶屋－夜勤")+COUNTIF('1月'!CU12:CV12,"三軒茶屋－夜勤")+COUNTIF('1月'!CZ12:DA12,"三軒茶屋－夜勤")+COUNTIF('1月'!DE12:DF12,"三軒茶屋－夜勤")+COUNTIF('1月'!DJ12:DK12,"三軒茶屋－夜勤")+COUNTIF('1月'!DO12:DP12,"三軒茶屋－夜勤")+COUNTIF('1月'!DT12:DU12,"三軒茶屋－夜勤")+COUNTIF('1月'!DY12:DZ12,"三軒茶屋－夜勤")+COUNTIF('1月'!ED12:EE12,"三軒茶屋－夜勤")+COUNTIF('1月'!EI12:EJ12,"三軒茶屋－夜勤")+COUNTIF('1月'!EN12:EO12,"三軒茶屋－夜勤")+COUNTIF('1月'!ES12:ET12,"三軒茶屋－夜勤")</f>
        <v>0</v>
      </c>
      <c r="O14" s="76">
        <f t="shared" si="6"/>
        <v>0</v>
      </c>
      <c r="P14" s="76">
        <f>COUNTIF('1月'!D12:E12,P$4)+COUNTIF('1月'!I12:J12,P$4)+COUNTIF('1月'!N12:O12,P$4)+COUNTIF('1月'!S12:T12,P$4)+COUNTIF('1月'!X12:Y12,P$4)+COUNTIF('1月'!AC12:AD12,P$4)+COUNTIF('1月'!AH12:AI12,P$4)+COUNTIF('1月'!AM12:AN12,P$4)+COUNTIF('1月'!AR12:AS12,P$4)+COUNTIF('1月'!AW12:AX12,P$4)+COUNTIF('1月'!BB12:BC12,P$4)+COUNTIF('1月'!BG12:BH12,P$4)+COUNTIF('1月'!BL12:BM12,P$4)+COUNTIF('1月'!BQ12:BR12,P$4)+COUNTIF('1月'!BV12:BW12,P$4)+COUNTIF('1月'!CA12:CB12,P$4)+COUNTIF('1月'!CF12:CG12,P$4)+COUNTIF('1月'!CK12:CL12,P$4)+COUNTIF('1月'!CP12:CQ12,P$4)+COUNTIF('1月'!CU12:CV12,P$4)+COUNTIF('1月'!CZ12:DA12,P$4)+COUNTIF('1月'!DE12:DF12,P$4)+COUNTIF('1月'!DJ12:DK12,P$4)+COUNTIF('1月'!DO12:DP12,P$4)+COUNTIF('1月'!DT12:DU12,P$4)+COUNTIF('1月'!DY12:DZ12,P$4)+COUNTIF('1月'!ED12:EE12,P$4)+COUNTIF('1月'!EI12:EJ12,P$4)+COUNTIF('1月'!EN12:EO12,P$4)+COUNTIF('1月'!ES12:ET12,P$4)+COUNTIF('1月'!D12:E12,"荻窪ー夜勤")+COUNTIF('1月'!I12:J12,"荻窪ー夜勤")+COUNTIF('1月'!N12:O12,"荻窪ー夜勤")+COUNTIF('1月'!S12:T12,"荻窪ー夜勤")+COUNTIF('1月'!X12:Y12,"荻窪ー夜勤")+COUNTIF('1月'!AC12:AD12,"荻窪ー夜勤")+COUNTIF('1月'!AH12:AI12,"荻窪ー夜勤")+COUNTIF('1月'!AM12:AN12,"荻窪ー夜勤")+COUNTIF('1月'!AR12:AS12,"荻窪ー夜勤")+COUNTIF('1月'!AW12:AX12,"荻窪ー夜勤")+COUNTIF('1月'!BB12:BC12,"荻窪ー夜勤")+COUNTIF('1月'!BG12:BH12,"荻窪ー夜勤")+COUNTIF('1月'!BL12:BM12,"荻窪ー夜勤")+COUNTIF('1月'!BQ12:BR12,"荻窪ー夜勤")+COUNTIF('1月'!BV12:BW12,"荻窪ー夜勤")+COUNTIF('1月'!CA12:CB12,"荻窪ー夜勤")+COUNTIF('1月'!CF12:CG12,"荻窪ー夜勤")+COUNTIF('1月'!CK12:CL12,"荻窪ー夜勤")+COUNTIF('1月'!CP12:CQ12,"荻窪ー夜勤")+COUNTIF('1月'!CU12:CV12,"荻窪ー夜勤")+COUNTIF('1月'!CZ12:DA12,"荻窪ー夜勤")+COUNTIF('1月'!DE12:DF12,"荻窪ー夜勤")+COUNTIF('1月'!DJ12:DK12,"荻窪ー夜勤")+COUNTIF('1月'!DO12:DP12,"荻窪ー夜勤")+COUNTIF('1月'!DT12:DU12,"荻窪ー夜勤")+COUNTIF('1月'!DY12:DZ12,"荻窪ー夜勤")+COUNTIF('1月'!ED12:EE12,"荻窪ー夜勤")+COUNTIF('1月'!EI12:EJ12,"荻窪ー夜勤")+COUNTIF('1月'!EN12:EO12,"荻窪ー夜勤")+COUNTIF('1月'!ES12:ET12,"荻窪ー夜勤")</f>
        <v>0</v>
      </c>
      <c r="Q14" s="76">
        <f t="shared" si="7"/>
        <v>0</v>
      </c>
      <c r="R14" s="76">
        <f>COUNTIF('1月'!D12:E12,R$4)+COUNTIF('1月'!I12:J12,R$4)+COUNTIF('1月'!N12:O12,R$4)+COUNTIF('1月'!S12:T12,R$4)+COUNTIF('1月'!X12:Y12,R$4)+COUNTIF('1月'!AC12:AD12,R$4)+COUNTIF('1月'!AH12:AI12,R$4)+COUNTIF('1月'!AM12:AN12,R$4)+COUNTIF('1月'!AR12:AS12,R$4)+COUNTIF('1月'!AW12:AX12,R$4)+COUNTIF('1月'!BB12:BC12,R$4)+COUNTIF('1月'!BG12:BH12,R$4)+COUNTIF('1月'!BL12:BM12,R$4)+COUNTIF('1月'!BQ12:BR12,R$4)+COUNTIF('1月'!BV12:BW12,R$4)+COUNTIF('1月'!CA12:CB12,R$4)+COUNTIF('1月'!CF12:CG12,R$4)+COUNTIF('1月'!CK12:CL12,R$4)+COUNTIF('1月'!CP12:CQ12,R$4)+COUNTIF('1月'!CU12:CV12,R$4)+COUNTIF('1月'!CZ12:DA12,R$4)+COUNTIF('1月'!DE12:DF12,R$4)+COUNTIF('1月'!DJ12:DK12,R$4)+COUNTIF('1月'!DO12:DP12,R$4)+COUNTIF('1月'!DT12:DU12,R$4)+COUNTIF('1月'!DY12:DZ12,R$4)+COUNTIF('1月'!ED12:EE12,R$4)+COUNTIF('1月'!EI12:EJ12,R$4)+COUNTIF('1月'!EN12:EO12,R$4)+COUNTIF('1月'!ES12:ET12,R$4)</f>
        <v>0</v>
      </c>
      <c r="S14" s="76">
        <f t="shared" si="8"/>
        <v>0</v>
      </c>
      <c r="T14" s="76">
        <f>COUNTIF('1月'!D12:E12,T$4)+COUNTIF('1月'!I12:J12,T$4)+COUNTIF('1月'!N12:O12,T$4)+COUNTIF('1月'!S12:T12,T$4)+COUNTIF('1月'!X12:Y12,T$4)+COUNTIF('1月'!AC12:AD12,T$4)+COUNTIF('1月'!AH12:AI12,T$4)+COUNTIF('1月'!AM12:AN12,T$4)+COUNTIF('1月'!AR12:AS12,T$4)+COUNTIF('1月'!AW12:AX12,T$4)+COUNTIF('1月'!BB12:BC12,T$4)+COUNTIF('1月'!BG12:BH12,T$4)+COUNTIF('1月'!BL12:BM12,T$4)+COUNTIF('1月'!BQ12:BR12,T$4)+COUNTIF('1月'!BV12:BW12,T$4)+COUNTIF('1月'!CA12:CB12,T$4)+COUNTIF('1月'!CF12:CG12,T$4)+COUNTIF('1月'!CK12:CL12,T$4)+COUNTIF('1月'!CP12:CQ12,T$4)+COUNTIF('1月'!CU12:CV12,T$4)+COUNTIF('1月'!CZ12:DA12,T$4)+COUNTIF('1月'!DE12:DF12,T$4)+COUNTIF('1月'!DJ12:DK12,T$4)+COUNTIF('1月'!DO12:DP12,T$4)+COUNTIF('1月'!DT12:DU12,T$4)+COUNTIF('1月'!DY12:DZ12,T$4)+COUNTIF('1月'!ED12:EE12,T$4)+COUNTIF('1月'!EI12:EJ12,T$4)+COUNTIF('1月'!EN12:EO12,T$4)+COUNTIF('1月'!ES12:ET12,T$4)</f>
        <v>0</v>
      </c>
      <c r="U14" s="76">
        <f t="shared" si="9"/>
        <v>0</v>
      </c>
      <c r="V14" s="76">
        <f>COUNTIF('1月'!D12:E12,V$4)+COUNTIF('1月'!I12:J12,V$4)+COUNTIF('1月'!N12:O12,V$4)+COUNTIF('1月'!S12:T12,V$4)+COUNTIF('1月'!X12:Y12,V$4)+COUNTIF('1月'!AC12:AD12,V$4)+COUNTIF('1月'!AH12:AI12,V$4)+COUNTIF('1月'!AM12:AN12,V$4)+COUNTIF('1月'!AR12:AS12,V$4)+COUNTIF('1月'!AW12:AX12,V$4)+COUNTIF('1月'!BB12:BC12,V$4)+COUNTIF('1月'!BG12:BH12,V$4)+COUNTIF('1月'!BL12:BM12,V$4)+COUNTIF('1月'!BQ12:BR12,V$4)+COUNTIF('1月'!BV12:BW12,V$4)+COUNTIF('1月'!CA12:CB12,V$4)+COUNTIF('1月'!CF12:CG12,V$4)+COUNTIF('1月'!CK12:CL12,V$4)+COUNTIF('1月'!CP12:CQ12,V$4)+COUNTIF('1月'!CU12:CV12,V$4)+COUNTIF('1月'!CZ12:DA12,V$4)+COUNTIF('1月'!DE12:DF12,V$4)+COUNTIF('1月'!DJ12:DK12,V$4)+COUNTIF('1月'!DO12:DP12,V$4)+COUNTIF('1月'!DT12:DU12,V$4)+COUNTIF('1月'!DY12:DZ12,V$4)+COUNTIF('1月'!ED12:EE12,V$4)+COUNTIF('1月'!EI12:EJ12,V$4)+COUNTIF('1月'!EN12:EO12,V$4)+COUNTIF('1月'!ES12:ET12,V$4)</f>
        <v>0</v>
      </c>
      <c r="W14" s="76">
        <f t="shared" si="10"/>
        <v>0</v>
      </c>
      <c r="X14" s="76">
        <f>COUNTIF('1月'!D12:E12,X$4)+COUNTIF('1月'!I12:J12,X$4)+COUNTIF('1月'!N12:O12,X$4)+COUNTIF('1月'!S12:T12,X$4)+COUNTIF('1月'!X12:Y12,X$4)+COUNTIF('1月'!AC12:AD12,X$4)+COUNTIF('1月'!AH12:AI12,X$4)+COUNTIF('1月'!AM12:AN12,X$4)+COUNTIF('1月'!AR12:AS12,X$4)+COUNTIF('1月'!AW12:AX12,X$4)+COUNTIF('1月'!BB12:BC12,X$4)+COUNTIF('1月'!BG12:BH12,X$4)+COUNTIF('1月'!BL12:BM12,X$4)+COUNTIF('1月'!BQ12:BR12,X$4)+COUNTIF('1月'!BV12:BW12,X$4)+COUNTIF('1月'!CA12:CB12,X$4)+COUNTIF('1月'!CF12:CG12,X$4)+COUNTIF('1月'!CK12:CL12,X$4)+COUNTIF('1月'!CP12:CQ12,X$4)+COUNTIF('1月'!CU12:CV12,X$4)+COUNTIF('1月'!CZ12:DA12,X$4)+COUNTIF('1月'!DE12:DF12,X$4)+COUNTIF('1月'!DJ12:DK12,X$4)+COUNTIF('1月'!DO12:DP12,X$4)+COUNTIF('1月'!DT12:DU12,X$4)+COUNTIF('1月'!DY12:DZ12,X$4)+COUNTIF('1月'!ED12:EE12,X$4)+COUNTIF('1月'!EI12:EJ12,X$4)+COUNTIF('1月'!EN12:EO12,X$4)+COUNTIF('1月'!ES12:ET12,X$4)</f>
        <v>0</v>
      </c>
      <c r="Y14" s="76">
        <f t="shared" si="11"/>
        <v>0</v>
      </c>
    </row>
    <row r="15" spans="1:25" ht="18" customHeight="1">
      <c r="A15" s="76">
        <v>10</v>
      </c>
      <c r="B15" s="76">
        <f>COUNTIF('1月'!D13:E13,B$4)+COUNTIF('1月'!I13:J13,B$4)+COUNTIF('1月'!N13:O13,B$4)+COUNTIF('1月'!S13:T13,B$4)+COUNTIF('1月'!X13:Y13,B$4)+COUNTIF('1月'!AC13:AD13,B$4)+COUNTIF('1月'!AH13:AI13,B$4)+COUNTIF('1月'!AM13:AN13,B$4)+COUNTIF('1月'!AR13:AS13,B$4)+COUNTIF('1月'!AW13:AX13,B$4)+COUNTIF('1月'!BB13:BC13,B$4)+COUNTIF('1月'!BG13:BH13,B$4)+COUNTIF('1月'!BL13:BM13,B$4)+COUNTIF('1月'!BQ13:BR13,B$4)+COUNTIF('1月'!BV13:BW13,B$4)+COUNTIF('1月'!CA13:CB13,B$4)+COUNTIF('1月'!CF13:CG13,B$4)+COUNTIF('1月'!CK13:CL13,B$4)+COUNTIF('1月'!CP13:CQ13,B$4)+COUNTIF('1月'!CU13:CV13,B$4)+COUNTIF('1月'!CZ13:DA13,B$4)+COUNTIF('1月'!DE13:DF13,B$4)+COUNTIF('1月'!DJ13:DK13,B$4)+COUNTIF('1月'!DO13:DP13,B$4)+COUNTIF('1月'!DT13:DU13,B$4)+COUNTIF('1月'!DY13:DZ13,B$4)+COUNTIF('1月'!ED13:EE13,B$4)+COUNTIF('1月'!EI13:EJ13,B$4)+COUNTIF('1月'!EN13:EO13,B$4)+COUNTIF('1月'!ES13:ET13,B$4)</f>
        <v>0</v>
      </c>
      <c r="C15" s="76">
        <f t="shared" si="0"/>
        <v>0</v>
      </c>
      <c r="D15" s="76">
        <f>COUNTIF('1月'!D13:E13,D$4)+COUNTIF('1月'!I13:J13,D$4)+COUNTIF('1月'!N13:O13,D$4)+COUNTIF('1月'!S13:T13,D$4)+COUNTIF('1月'!X13:Y13,D$4)+COUNTIF('1月'!AC13:AD13,D$4)+COUNTIF('1月'!AH13:AI13,D$4)+COUNTIF('1月'!AM13:AN13,D$4)+COUNTIF('1月'!AR13:AS13,D$4)+COUNTIF('1月'!AW13:AX13,D$4)+COUNTIF('1月'!BB13:BC13,D$4)+COUNTIF('1月'!BG13:BH13,D$4)+COUNTIF('1月'!BL13:BM13,D$4)+COUNTIF('1月'!BQ13:BR13,D$4)+COUNTIF('1月'!BV13:BW13,D$4)+COUNTIF('1月'!CA13:CB13,D$4)+COUNTIF('1月'!CF13:CG13,D$4)+COUNTIF('1月'!CK13:CL13,D$4)+COUNTIF('1月'!CP13:CQ13,D$4)+COUNTIF('1月'!CU13:CV13,D$4)+COUNTIF('1月'!CZ13:DA13,D$4)+COUNTIF('1月'!DE13:DF13,D$4)+COUNTIF('1月'!DJ13:DK13,D$4)+COUNTIF('1月'!DO13:DP13,D$4)+COUNTIF('1月'!DT13:DU13,D$4)+COUNTIF('1月'!DY13:DZ13,D$4)+COUNTIF('1月'!ED13:EE13,D$4)+COUNTIF('1月'!EI13:EJ13,D$4)+COUNTIF('1月'!EN13:EO13,D$4)+COUNTIF('1月'!ES13:ET13,D$4)</f>
        <v>0</v>
      </c>
      <c r="E15" s="76">
        <f t="shared" si="1"/>
        <v>0</v>
      </c>
      <c r="F15" s="76">
        <f>COUNTIF('1月'!D13:E13,F$4)+COUNTIF('1月'!I13:J13,F$4)+COUNTIF('1月'!N13:O13,F$4)+COUNTIF('1月'!S13:T13,F$4)+COUNTIF('1月'!X13:Y13,F$4)+COUNTIF('1月'!AC13:AD13,F$4)+COUNTIF('1月'!AH13:AI13,F$4)+COUNTIF('1月'!AM13:AN13,F$4)+COUNTIF('1月'!AR13:AS13,F$4)+COUNTIF('1月'!AW13:AX13,F$4)+COUNTIF('1月'!BB13:BC13,F$4)+COUNTIF('1月'!BG13:BH13,F$4)+COUNTIF('1月'!BL13:BM13,F$4)+COUNTIF('1月'!BQ13:BR13,F$4)+COUNTIF('1月'!BV13:BW13,F$4)+COUNTIF('1月'!CA13:CB13,F$4)+COUNTIF('1月'!CF13:CG13,F$4)+COUNTIF('1月'!CK13:CL13,F$4)+COUNTIF('1月'!CP13:CQ13,F$4)+COUNTIF('1月'!CU13:CV13,F$4)+COUNTIF('1月'!CZ13:DA13,F$4)+COUNTIF('1月'!DE13:DF13,F$4)+COUNTIF('1月'!DJ13:DK13,F$4)+COUNTIF('1月'!DO13:DP13,F$4)+COUNTIF('1月'!DT13:DU13,F$4)+COUNTIF('1月'!DY13:DZ13,F$4)+COUNTIF('1月'!ED13:EE13,F$4)+COUNTIF('1月'!EI13:EJ13,F$4)+COUNTIF('1月'!EN13:EO13,F$4)+COUNTIF('1月'!ES13:ET13,F$4)</f>
        <v>0</v>
      </c>
      <c r="G15" s="76">
        <f t="shared" si="2"/>
        <v>0</v>
      </c>
      <c r="H15" s="76">
        <f>COUNTIF('1月'!D13:E13,H$4)+COUNTIF('1月'!I13:J13,H$4)+COUNTIF('1月'!N13:O13,H$4)+COUNTIF('1月'!S13:T13,H$4)+COUNTIF('1月'!X13:Y13,H$4)+COUNTIF('1月'!AC13:AD13,H$4)+COUNTIF('1月'!AH13:AI13,H$4)+COUNTIF('1月'!AM13:AN13,H$4)+COUNTIF('1月'!AR13:AS13,H$4)+COUNTIF('1月'!AW13:AX13,H$4)+COUNTIF('1月'!BB13:BC13,H$4)+COUNTIF('1月'!BG13:BH13,H$4)+COUNTIF('1月'!BL13:BM13,H$4)+COUNTIF('1月'!BQ13:BR13,H$4)+COUNTIF('1月'!BV13:BW13,H$4)+COUNTIF('1月'!CA13:CB13,H$4)+COUNTIF('1月'!CF13:CG13,H$4)+COUNTIF('1月'!CK13:CL13,H$4)+COUNTIF('1月'!CP13:CQ13,H$4)+COUNTIF('1月'!CU13:CV13,H$4)+COUNTIF('1月'!CZ13:DA13,H$4)+COUNTIF('1月'!DE13:DF13,H$4)+COUNTIF('1月'!DJ13:DK13,H$4)+COUNTIF('1月'!DO13:DP13,H$4)+COUNTIF('1月'!DT13:DU13,H$4)+COUNTIF('1月'!DY13:DZ13,H$4)+COUNTIF('1月'!ED13:EE13,H$4)+COUNTIF('1月'!EI13:EJ13,H$4)+COUNTIF('1月'!EN13:EO13,H$4)+COUNTIF('1月'!ES13:ET13,H$4)+COUNTIF('1月'!D13:E13,"渋谷-夜勤")+COUNTIF('1月'!I13:J13,"渋谷-夜勤")+COUNTIF('1月'!N13:O13,"渋谷-夜勤")+COUNTIF('1月'!S13:T13,"渋谷-夜勤")+COUNTIF('1月'!X13:Y13,"渋谷-夜勤")+COUNTIF('1月'!AC13:AD13,"渋谷-夜勤")+COUNTIF('1月'!AH13:AI13,"渋谷-夜勤")+COUNTIF('1月'!AM13:AN13,"渋谷-夜勤")+COUNTIF('1月'!AR13:AS13,"渋谷-夜勤")+COUNTIF('1月'!AW13:AX13,"渋谷-夜勤")+COUNTIF('1月'!BB13:BC13,"渋谷-夜勤")+COUNTIF('1月'!BG13:BH13,"渋谷-夜勤")+COUNTIF('1月'!BL13:BM13,"渋谷-夜勤")+COUNTIF('1月'!BQ13:BR13,"渋谷-夜勤")+COUNTIF('1月'!BV13:BW13,"渋谷-夜勤")+COUNTIF('1月'!CA13:CB13,"渋谷-夜勤")+COUNTIF('1月'!CF13:CG13,"渋谷-夜勤")+COUNTIF('1月'!CK13:CL13,"渋谷-夜勤")+COUNTIF('1月'!CP13:CQ13,"渋谷-夜勤")+COUNTIF('1月'!CU13:CV13,"渋谷-夜勤")+COUNTIF('1月'!CZ13:DA13,"渋谷-夜勤")+COUNTIF('1月'!DE13:DF13,"渋谷-夜勤")+COUNTIF('1月'!DJ13:DK13,"渋谷-夜勤")+COUNTIF('1月'!DO13:DP13,"渋谷-夜勤")+COUNTIF('1月'!DT13:DU13,"渋谷-夜勤")+COUNTIF('1月'!DY13:DZ13,"渋谷-夜勤")+COUNTIF('1月'!ED13:EE13,"渋谷-夜勤")+COUNTIF('1月'!EI13:EJ13,"渋谷-夜勤")+COUNTIF('1月'!EN13:EO13,"渋谷-夜勤")+COUNTIF('1月'!ES13:ET13,"渋谷-夜勤")</f>
        <v>0</v>
      </c>
      <c r="I15" s="76">
        <f t="shared" si="3"/>
        <v>0</v>
      </c>
      <c r="J15" s="76">
        <f>COUNTIF('1月'!D13:E13,J$4)+COUNTIF('1月'!I13:J13,J$4)+COUNTIF('1月'!N13:O13,J$4)+COUNTIF('1月'!S13:T13,J$4)+COUNTIF('1月'!X13:Y13,J$4)+COUNTIF('1月'!AC13:AD13,J$4)+COUNTIF('1月'!AH13:AI13,J$4)+COUNTIF('1月'!AM13:AN13,J$4)+COUNTIF('1月'!AR13:AS13,J$4)+COUNTIF('1月'!AW13:AX13,J$4)+COUNTIF('1月'!BB13:BC13,J$4)+COUNTIF('1月'!BG13:BH13,J$4)+COUNTIF('1月'!BL13:BM13,J$4)+COUNTIF('1月'!BQ13:BR13,J$4)+COUNTIF('1月'!BV13:BW13,J$4)+COUNTIF('1月'!CA13:CB13,J$4)+COUNTIF('1月'!CF13:CG13,J$4)+COUNTIF('1月'!CK13:CL13,J$4)+COUNTIF('1月'!CP13:CQ13,J$4)+COUNTIF('1月'!CU13:CV13,J$4)+COUNTIF('1月'!CZ13:DA13,J$4)+COUNTIF('1月'!DE13:DF13,J$4)+COUNTIF('1月'!DJ13:DK13,J$4)+COUNTIF('1月'!DO13:DP13,J$4)+COUNTIF('1月'!DT13:DU13,J$4)+COUNTIF('1月'!DY13:DZ13,J$4)+COUNTIF('1月'!ED13:EE13,J$4)+COUNTIF('1月'!EI13:EJ13,J$4)+COUNTIF('1月'!EN13:EO13,J$4)+COUNTIF('1月'!ES13:ET13,J$4)+COUNTIF('1月'!D13:E13,"六本木-夜勤")+COUNTIF('1月'!I13:J13,"六本木-夜勤")+COUNTIF('1月'!N13:O13,"六本木-夜勤")+COUNTIF('1月'!S13:T13,"六本木-夜勤")+COUNTIF('1月'!X13:Y13,"六本木-夜勤")+COUNTIF('1月'!AC13:AD13,"六本木-夜勤")+COUNTIF('1月'!AH13:AI13,"六本木-夜勤")+COUNTIF('1月'!AM13:AN13,"六本木-夜勤")+COUNTIF('1月'!AR13:AS13,"六本木-夜勤")+COUNTIF('1月'!AW13:AX13,"六本木-夜勤")+COUNTIF('1月'!BB13:BC13,"六本木-夜勤")+COUNTIF('1月'!BG13:BH13,"六本木-夜勤")+COUNTIF('1月'!BL13:BM13,"六本木-夜勤")+COUNTIF('1月'!BQ13:BR13,"六本木-夜勤")+COUNTIF('1月'!BV13:BW13,"六本木-夜勤")+COUNTIF('1月'!CA13:CB13,"六本木-夜勤")+COUNTIF('1月'!CF13:CG13,"六本木-夜勤")+COUNTIF('1月'!CK13:CL13,"六本木-夜勤")+COUNTIF('1月'!CP13:CQ13,"六本木-夜勤")+COUNTIF('1月'!CU13:CV13,"六本木-夜勤")+COUNTIF('1月'!CZ13:DA13,"六本木-夜勤")+COUNTIF('1月'!DE13:DF13,"六本木-夜勤")+COUNTIF('1月'!DJ13:DK13,"六本木-夜勤")+COUNTIF('1月'!DO13:DP13,"六本木-夜勤")+COUNTIF('1月'!DT13:DU13,"六本木-夜勤")+COUNTIF('1月'!DY13:DZ13,"六本木-夜勤")+COUNTIF('1月'!ED13:EE13,"六本木-夜勤")+COUNTIF('1月'!EI13:EJ13,"六本木-夜勤")+COUNTIF('1月'!EN13:EO13,"六本木-夜勤")+COUNTIF('1月'!ES13:ET13,"六本木-夜勤")+COUNTIF('1月'!D13:E13,"六本木ー夜勤")+COUNTIF('1月'!I13:J13,"六本木ー夜勤")+COUNTIF('1月'!N13:O13,"六本木ー夜勤")+COUNTIF('1月'!S13:T13,"六本木ー夜勤")+COUNTIF('1月'!X13:Y13,"六本木ー夜勤")+COUNTIF('1月'!AC13:AD13,"六本木ー夜勤")+COUNTIF('1月'!AH13:AI13,"六本木ー夜勤")+COUNTIF('1月'!AM13:AN13,"六本木ー夜勤")+COUNTIF('1月'!AR13:AS13,"六本木ー夜勤")+COUNTIF('1月'!AW13:AX13,"六本木ー夜勤")+COUNTIF('1月'!BB13:BC13,"六本木ー夜勤")+COUNTIF('1月'!BG13:BH13,"六本木ー夜勤")+COUNTIF('1月'!BL13:BM13,"六本木ー夜勤")+COUNTIF('1月'!BQ13:BR13,"六本木ー夜勤")+COUNTIF('1月'!BV13:BW13,"六本木ー夜勤")+COUNTIF('1月'!CA13:CB13,"六本木ー夜勤")+COUNTIF('1月'!CF13:CG13,"六本木ー夜勤")+COUNTIF('1月'!CK13:CL13,"六本木ー夜勤")+COUNTIF('1月'!CP13:CQ13,"六本木ー夜勤")+COUNTIF('1月'!CU13:CV13,"六本木ー夜勤")+COUNTIF('1月'!CZ13:DA13,"六本木ー夜勤")+COUNTIF('1月'!DE13:DF13,"六本木ー夜勤")+COUNTIF('1月'!DJ13:DK13,"六本木ー夜勤")+COUNTIF('1月'!DO13:DP13,"六本木ー夜勤")+COUNTIF('1月'!DT13:DU13,"六本木ー夜勤")+COUNTIF('1月'!DY13:DZ13,"六本木ー夜勤")+COUNTIF('1月'!ED13:EE13,"六本木ー夜勤")+COUNTIF('1月'!EI13:EJ13,"六本木ー夜勤")+COUNTIF('1月'!EN13:EO13,"六本木ー夜勤")+COUNTIF('1月'!ES13:ET13,"六本木ー夜勤")</f>
        <v>0</v>
      </c>
      <c r="K15" s="76">
        <f t="shared" si="4"/>
        <v>0</v>
      </c>
      <c r="L15" s="76">
        <f>COUNTIF('1月'!D13:E13,L$4)+COUNTIF('1月'!I13:J13,L$4)+COUNTIF('1月'!N13:O13,L$4)+COUNTIF('1月'!S13:T13,L$4)+COUNTIF('1月'!X13:Y13,L$4)+COUNTIF('1月'!AC13:AD13,L$4)+COUNTIF('1月'!AH13:AI13,L$4)+COUNTIF('1月'!AM13:AN13,L$4)+COUNTIF('1月'!AR13:AS13,L$4)+COUNTIF('1月'!AW13:AX13,L$4)+COUNTIF('1月'!BB13:BC13,L$4)+COUNTIF('1月'!BG13:BH13,L$4)+COUNTIF('1月'!BL13:BM13,L$4)+COUNTIF('1月'!BQ13:BR13,L$4)+COUNTIF('1月'!BV13:BW13,L$4)+COUNTIF('1月'!CA13:CB13,L$4)+COUNTIF('1月'!CF13:CG13,L$4)+COUNTIF('1月'!CK13:CL13,L$4)+COUNTIF('1月'!CP13:CQ13,L$4)+COUNTIF('1月'!CU13:CV13,L$4)+COUNTIF('1月'!CZ13:DA13,L$4)+COUNTIF('1月'!DE13:DF13,L$4)+COUNTIF('1月'!DJ13:DK13,L$4)+COUNTIF('1月'!DO13:DP13,L$4)+COUNTIF('1月'!DT13:DU13,L$4)+COUNTIF('1月'!DY13:DZ13,L$4)+COUNTIF('1月'!ED13:EE13,L$4)+COUNTIF('1月'!EI13:EJ13,L$4)+COUNTIF('1月'!EN13:EO13,L$4)+COUNTIF('1月'!ES13:ET13,L$4)</f>
        <v>0</v>
      </c>
      <c r="M15" s="76">
        <f t="shared" si="5"/>
        <v>0</v>
      </c>
      <c r="N15" s="76">
        <f>COUNTIF('1月'!D13:E13,N$4)+COUNTIF('1月'!I13:J13,N$4)+COUNTIF('1月'!N13:O13,N$4)+COUNTIF('1月'!S13:T13,N$4)+COUNTIF('1月'!X13:Y13,N$4)+COUNTIF('1月'!AC13:AD13,N$4)+COUNTIF('1月'!AH13:AI13,N$4)+COUNTIF('1月'!AM13:AN13,N$4)+COUNTIF('1月'!AR13:AS13,N$4)+COUNTIF('1月'!AW13:AX13,N$4)+COUNTIF('1月'!BB13:BC13,N$4)+COUNTIF('1月'!BG13:BH13,N$4)+COUNTIF('1月'!BL13:BM13,N$4)+COUNTIF('1月'!BQ13:BR13,N$4)+COUNTIF('1月'!BV13:BW13,N$4)+COUNTIF('1月'!CA13:CB13,N$4)+COUNTIF('1月'!CF13:CG13,N$4)+COUNTIF('1月'!CK13:CL13,N$4)+COUNTIF('1月'!CP13:CQ13,N$4)+COUNTIF('1月'!CU13:CV13,N$4)+COUNTIF('1月'!CZ13:DA13,N$4)+COUNTIF('1月'!DE13:DF13,N$4)+COUNTIF('1月'!DJ13:DK13,N$4)+COUNTIF('1月'!DO13:DP13,N$4)+COUNTIF('1月'!DT13:DU13,N$4)+COUNTIF('1月'!DY13:DZ13,N$4)+COUNTIF('1月'!ED13:EE13,N$4)+COUNTIF('1月'!EI13:EJ13,N$4)+COUNTIF('1月'!EN13:EO13,N$4)+COUNTIF('1月'!ES13:ET13,N$4)+COUNTIF('1月'!D13:E13,"三軒茶屋－夜勤")+COUNTIF('1月'!I13:J13,"三軒茶屋－夜勤")+COUNTIF('1月'!N13:O13,"三軒茶屋－夜勤")+COUNTIF('1月'!S13:T13,"三軒茶屋－夜勤")+COUNTIF('1月'!X13:Y13,"三軒茶屋－夜勤")+COUNTIF('1月'!AC13:AD13,"三軒茶屋－夜勤")+COUNTIF('1月'!AH13:AI13,"三軒茶屋－夜勤")+COUNTIF('1月'!AM13:AN13,"三軒茶屋－夜勤")+COUNTIF('1月'!AR13:AS13,"三軒茶屋－夜勤")+COUNTIF('1月'!AW13:AX13,"三軒茶屋－夜勤")+COUNTIF('1月'!BB13:BC13,"三軒茶屋－夜勤")+COUNTIF('1月'!BG13:BH13,"三軒茶屋－夜勤")+COUNTIF('1月'!BL13:BM13,"三軒茶屋－夜勤")+COUNTIF('1月'!BQ13:BR13,"三軒茶屋－夜勤")+COUNTIF('1月'!BV13:BW13,"三軒茶屋－夜勤")+COUNTIF('1月'!CA13:CB13,"三軒茶屋－夜勤")+COUNTIF('1月'!CF13:CG13,"三軒茶屋－夜勤")+COUNTIF('1月'!CK13:CL13,"三軒茶屋－夜勤")+COUNTIF('1月'!CP13:CQ13,"三軒茶屋－夜勤")+COUNTIF('1月'!CU13:CV13,"三軒茶屋－夜勤")+COUNTIF('1月'!CZ13:DA13,"三軒茶屋－夜勤")+COUNTIF('1月'!DE13:DF13,"三軒茶屋－夜勤")+COUNTIF('1月'!DJ13:DK13,"三軒茶屋－夜勤")+COUNTIF('1月'!DO13:DP13,"三軒茶屋－夜勤")+COUNTIF('1月'!DT13:DU13,"三軒茶屋－夜勤")+COUNTIF('1月'!DY13:DZ13,"三軒茶屋－夜勤")+COUNTIF('1月'!ED13:EE13,"三軒茶屋－夜勤")+COUNTIF('1月'!EI13:EJ13,"三軒茶屋－夜勤")+COUNTIF('1月'!EN13:EO13,"三軒茶屋－夜勤")+COUNTIF('1月'!ES13:ET13,"三軒茶屋－夜勤")</f>
        <v>0</v>
      </c>
      <c r="O15" s="76">
        <f t="shared" si="6"/>
        <v>0</v>
      </c>
      <c r="P15" s="76">
        <f>COUNTIF('1月'!D13:E13,P$4)+COUNTIF('1月'!I13:J13,P$4)+COUNTIF('1月'!N13:O13,P$4)+COUNTIF('1月'!S13:T13,P$4)+COUNTIF('1月'!X13:Y13,P$4)+COUNTIF('1月'!AC13:AD13,P$4)+COUNTIF('1月'!AH13:AI13,P$4)+COUNTIF('1月'!AM13:AN13,P$4)+COUNTIF('1月'!AR13:AS13,P$4)+COUNTIF('1月'!AW13:AX13,P$4)+COUNTIF('1月'!BB13:BC13,P$4)+COUNTIF('1月'!BG13:BH13,P$4)+COUNTIF('1月'!BL13:BM13,P$4)+COUNTIF('1月'!BQ13:BR13,P$4)+COUNTIF('1月'!BV13:BW13,P$4)+COUNTIF('1月'!CA13:CB13,P$4)+COUNTIF('1月'!CF13:CG13,P$4)+COUNTIF('1月'!CK13:CL13,P$4)+COUNTIF('1月'!CP13:CQ13,P$4)+COUNTIF('1月'!CU13:CV13,P$4)+COUNTIF('1月'!CZ13:DA13,P$4)+COUNTIF('1月'!DE13:DF13,P$4)+COUNTIF('1月'!DJ13:DK13,P$4)+COUNTIF('1月'!DO13:DP13,P$4)+COUNTIF('1月'!DT13:DU13,P$4)+COUNTIF('1月'!DY13:DZ13,P$4)+COUNTIF('1月'!ED13:EE13,P$4)+COUNTIF('1月'!EI13:EJ13,P$4)+COUNTIF('1月'!EN13:EO13,P$4)+COUNTIF('1月'!ES13:ET13,P$4)+COUNTIF('1月'!D13:E13,"荻窪ー夜勤")+COUNTIF('1月'!I13:J13,"荻窪ー夜勤")+COUNTIF('1月'!N13:O13,"荻窪ー夜勤")+COUNTIF('1月'!S13:T13,"荻窪ー夜勤")+COUNTIF('1月'!X13:Y13,"荻窪ー夜勤")+COUNTIF('1月'!AC13:AD13,"荻窪ー夜勤")+COUNTIF('1月'!AH13:AI13,"荻窪ー夜勤")+COUNTIF('1月'!AM13:AN13,"荻窪ー夜勤")+COUNTIF('1月'!AR13:AS13,"荻窪ー夜勤")+COUNTIF('1月'!AW13:AX13,"荻窪ー夜勤")+COUNTIF('1月'!BB13:BC13,"荻窪ー夜勤")+COUNTIF('1月'!BG13:BH13,"荻窪ー夜勤")+COUNTIF('1月'!BL13:BM13,"荻窪ー夜勤")+COUNTIF('1月'!BQ13:BR13,"荻窪ー夜勤")+COUNTIF('1月'!BV13:BW13,"荻窪ー夜勤")+COUNTIF('1月'!CA13:CB13,"荻窪ー夜勤")+COUNTIF('1月'!CF13:CG13,"荻窪ー夜勤")+COUNTIF('1月'!CK13:CL13,"荻窪ー夜勤")+COUNTIF('1月'!CP13:CQ13,"荻窪ー夜勤")+COUNTIF('1月'!CU13:CV13,"荻窪ー夜勤")+COUNTIF('1月'!CZ13:DA13,"荻窪ー夜勤")+COUNTIF('1月'!DE13:DF13,"荻窪ー夜勤")+COUNTIF('1月'!DJ13:DK13,"荻窪ー夜勤")+COUNTIF('1月'!DO13:DP13,"荻窪ー夜勤")+COUNTIF('1月'!DT13:DU13,"荻窪ー夜勤")+COUNTIF('1月'!DY13:DZ13,"荻窪ー夜勤")+COUNTIF('1月'!ED13:EE13,"荻窪ー夜勤")+COUNTIF('1月'!EI13:EJ13,"荻窪ー夜勤")+COUNTIF('1月'!EN13:EO13,"荻窪ー夜勤")+COUNTIF('1月'!ES13:ET13,"荻窪ー夜勤")</f>
        <v>0</v>
      </c>
      <c r="Q15" s="76">
        <f t="shared" si="7"/>
        <v>0</v>
      </c>
      <c r="R15" s="76">
        <f>COUNTIF('1月'!D13:E13,R$4)+COUNTIF('1月'!I13:J13,R$4)+COUNTIF('1月'!N13:O13,R$4)+COUNTIF('1月'!S13:T13,R$4)+COUNTIF('1月'!X13:Y13,R$4)+COUNTIF('1月'!AC13:AD13,R$4)+COUNTIF('1月'!AH13:AI13,R$4)+COUNTIF('1月'!AM13:AN13,R$4)+COUNTIF('1月'!AR13:AS13,R$4)+COUNTIF('1月'!AW13:AX13,R$4)+COUNTIF('1月'!BB13:BC13,R$4)+COUNTIF('1月'!BG13:BH13,R$4)+COUNTIF('1月'!BL13:BM13,R$4)+COUNTIF('1月'!BQ13:BR13,R$4)+COUNTIF('1月'!BV13:BW13,R$4)+COUNTIF('1月'!CA13:CB13,R$4)+COUNTIF('1月'!CF13:CG13,R$4)+COUNTIF('1月'!CK13:CL13,R$4)+COUNTIF('1月'!CP13:CQ13,R$4)+COUNTIF('1月'!CU13:CV13,R$4)+COUNTIF('1月'!CZ13:DA13,R$4)+COUNTIF('1月'!DE13:DF13,R$4)+COUNTIF('1月'!DJ13:DK13,R$4)+COUNTIF('1月'!DO13:DP13,R$4)+COUNTIF('1月'!DT13:DU13,R$4)+COUNTIF('1月'!DY13:DZ13,R$4)+COUNTIF('1月'!ED13:EE13,R$4)+COUNTIF('1月'!EI13:EJ13,R$4)+COUNTIF('1月'!EN13:EO13,R$4)+COUNTIF('1月'!ES13:ET13,R$4)</f>
        <v>0</v>
      </c>
      <c r="S15" s="76">
        <f t="shared" si="8"/>
        <v>0</v>
      </c>
      <c r="T15" s="76">
        <f>COUNTIF('1月'!D13:E13,T$4)+COUNTIF('1月'!I13:J13,T$4)+COUNTIF('1月'!N13:O13,T$4)+COUNTIF('1月'!S13:T13,T$4)+COUNTIF('1月'!X13:Y13,T$4)+COUNTIF('1月'!AC13:AD13,T$4)+COUNTIF('1月'!AH13:AI13,T$4)+COUNTIF('1月'!AM13:AN13,T$4)+COUNTIF('1月'!AR13:AS13,T$4)+COUNTIF('1月'!AW13:AX13,T$4)+COUNTIF('1月'!BB13:BC13,T$4)+COUNTIF('1月'!BG13:BH13,T$4)+COUNTIF('1月'!BL13:BM13,T$4)+COUNTIF('1月'!BQ13:BR13,T$4)+COUNTIF('1月'!BV13:BW13,T$4)+COUNTIF('1月'!CA13:CB13,T$4)+COUNTIF('1月'!CF13:CG13,T$4)+COUNTIF('1月'!CK13:CL13,T$4)+COUNTIF('1月'!CP13:CQ13,T$4)+COUNTIF('1月'!CU13:CV13,T$4)+COUNTIF('1月'!CZ13:DA13,T$4)+COUNTIF('1月'!DE13:DF13,T$4)+COUNTIF('1月'!DJ13:DK13,T$4)+COUNTIF('1月'!DO13:DP13,T$4)+COUNTIF('1月'!DT13:DU13,T$4)+COUNTIF('1月'!DY13:DZ13,T$4)+COUNTIF('1月'!ED13:EE13,T$4)+COUNTIF('1月'!EI13:EJ13,T$4)+COUNTIF('1月'!EN13:EO13,T$4)+COUNTIF('1月'!ES13:ET13,T$4)</f>
        <v>0</v>
      </c>
      <c r="U15" s="76">
        <f t="shared" si="9"/>
        <v>0</v>
      </c>
      <c r="V15" s="76">
        <f>COUNTIF('1月'!D13:E13,V$4)+COUNTIF('1月'!I13:J13,V$4)+COUNTIF('1月'!N13:O13,V$4)+COUNTIF('1月'!S13:T13,V$4)+COUNTIF('1月'!X13:Y13,V$4)+COUNTIF('1月'!AC13:AD13,V$4)+COUNTIF('1月'!AH13:AI13,V$4)+COUNTIF('1月'!AM13:AN13,V$4)+COUNTIF('1月'!AR13:AS13,V$4)+COUNTIF('1月'!AW13:AX13,V$4)+COUNTIF('1月'!BB13:BC13,V$4)+COUNTIF('1月'!BG13:BH13,V$4)+COUNTIF('1月'!BL13:BM13,V$4)+COUNTIF('1月'!BQ13:BR13,V$4)+COUNTIF('1月'!BV13:BW13,V$4)+COUNTIF('1月'!CA13:CB13,V$4)+COUNTIF('1月'!CF13:CG13,V$4)+COUNTIF('1月'!CK13:CL13,V$4)+COUNTIF('1月'!CP13:CQ13,V$4)+COUNTIF('1月'!CU13:CV13,V$4)+COUNTIF('1月'!CZ13:DA13,V$4)+COUNTIF('1月'!DE13:DF13,V$4)+COUNTIF('1月'!DJ13:DK13,V$4)+COUNTIF('1月'!DO13:DP13,V$4)+COUNTIF('1月'!DT13:DU13,V$4)+COUNTIF('1月'!DY13:DZ13,V$4)+COUNTIF('1月'!ED13:EE13,V$4)+COUNTIF('1月'!EI13:EJ13,V$4)+COUNTIF('1月'!EN13:EO13,V$4)+COUNTIF('1月'!ES13:ET13,V$4)</f>
        <v>0</v>
      </c>
      <c r="W15" s="76">
        <f t="shared" si="10"/>
        <v>0</v>
      </c>
      <c r="X15" s="76">
        <f>COUNTIF('1月'!D13:E13,X$4)+COUNTIF('1月'!I13:J13,X$4)+COUNTIF('1月'!N13:O13,X$4)+COUNTIF('1月'!S13:T13,X$4)+COUNTIF('1月'!X13:Y13,X$4)+COUNTIF('1月'!AC13:AD13,X$4)+COUNTIF('1月'!AH13:AI13,X$4)+COUNTIF('1月'!AM13:AN13,X$4)+COUNTIF('1月'!AR13:AS13,X$4)+COUNTIF('1月'!AW13:AX13,X$4)+COUNTIF('1月'!BB13:BC13,X$4)+COUNTIF('1月'!BG13:BH13,X$4)+COUNTIF('1月'!BL13:BM13,X$4)+COUNTIF('1月'!BQ13:BR13,X$4)+COUNTIF('1月'!BV13:BW13,X$4)+COUNTIF('1月'!CA13:CB13,X$4)+COUNTIF('1月'!CF13:CG13,X$4)+COUNTIF('1月'!CK13:CL13,X$4)+COUNTIF('1月'!CP13:CQ13,X$4)+COUNTIF('1月'!CU13:CV13,X$4)+COUNTIF('1月'!CZ13:DA13,X$4)+COUNTIF('1月'!DE13:DF13,X$4)+COUNTIF('1月'!DJ13:DK13,X$4)+COUNTIF('1月'!DO13:DP13,X$4)+COUNTIF('1月'!DT13:DU13,X$4)+COUNTIF('1月'!DY13:DZ13,X$4)+COUNTIF('1月'!ED13:EE13,X$4)+COUNTIF('1月'!EI13:EJ13,X$4)+COUNTIF('1月'!EN13:EO13,X$4)+COUNTIF('1月'!ES13:ET13,X$4)</f>
        <v>0</v>
      </c>
      <c r="Y15" s="76">
        <f t="shared" si="11"/>
        <v>0</v>
      </c>
    </row>
    <row r="16" spans="1:25" ht="18" customHeight="1">
      <c r="A16" s="76">
        <v>11</v>
      </c>
      <c r="B16" s="76">
        <f>COUNTIF('1月'!D14:E14,B$4)+COUNTIF('1月'!I14:J14,B$4)+COUNTIF('1月'!N14:O14,B$4)+COUNTIF('1月'!S14:T14,B$4)+COUNTIF('1月'!X14:Y14,B$4)+COUNTIF('1月'!AC14:AD14,B$4)+COUNTIF('1月'!AH14:AI14,B$4)+COUNTIF('1月'!AM14:AN14,B$4)+COUNTIF('1月'!AR14:AS14,B$4)+COUNTIF('1月'!AW14:AX14,B$4)+COUNTIF('1月'!BB14:BC14,B$4)+COUNTIF('1月'!BG14:BH14,B$4)+COUNTIF('1月'!BL14:BM14,B$4)+COUNTIF('1月'!BQ14:BR14,B$4)+COUNTIF('1月'!BV14:BW14,B$4)+COUNTIF('1月'!CA14:CB14,B$4)+COUNTIF('1月'!CF14:CG14,B$4)+COUNTIF('1月'!CK14:CL14,B$4)+COUNTIF('1月'!CP14:CQ14,B$4)+COUNTIF('1月'!CU14:CV14,B$4)+COUNTIF('1月'!CZ14:DA14,B$4)+COUNTIF('1月'!DE14:DF14,B$4)+COUNTIF('1月'!DJ14:DK14,B$4)+COUNTIF('1月'!DO14:DP14,B$4)+COUNTIF('1月'!DT14:DU14,B$4)+COUNTIF('1月'!DY14:DZ14,B$4)+COUNTIF('1月'!ED14:EE14,B$4)+COUNTIF('1月'!EI14:EJ14,B$4)+COUNTIF('1月'!EN14:EO14,B$4)+COUNTIF('1月'!ES14:ET14,B$4)</f>
        <v>0</v>
      </c>
      <c r="C16" s="76">
        <f t="shared" si="0"/>
        <v>0</v>
      </c>
      <c r="D16" s="76">
        <f>COUNTIF('1月'!D14:E14,D$4)+COUNTIF('1月'!I14:J14,D$4)+COUNTIF('1月'!N14:O14,D$4)+COUNTIF('1月'!S14:T14,D$4)+COUNTIF('1月'!X14:Y14,D$4)+COUNTIF('1月'!AC14:AD14,D$4)+COUNTIF('1月'!AH14:AI14,D$4)+COUNTIF('1月'!AM14:AN14,D$4)+COUNTIF('1月'!AR14:AS14,D$4)+COUNTIF('1月'!AW14:AX14,D$4)+COUNTIF('1月'!BB14:BC14,D$4)+COUNTIF('1月'!BG14:BH14,D$4)+COUNTIF('1月'!BL14:BM14,D$4)+COUNTIF('1月'!BQ14:BR14,D$4)+COUNTIF('1月'!BV14:BW14,D$4)+COUNTIF('1月'!CA14:CB14,D$4)+COUNTIF('1月'!CF14:CG14,D$4)+COUNTIF('1月'!CK14:CL14,D$4)+COUNTIF('1月'!CP14:CQ14,D$4)+COUNTIF('1月'!CU14:CV14,D$4)+COUNTIF('1月'!CZ14:DA14,D$4)+COUNTIF('1月'!DE14:DF14,D$4)+COUNTIF('1月'!DJ14:DK14,D$4)+COUNTIF('1月'!DO14:DP14,D$4)+COUNTIF('1月'!DT14:DU14,D$4)+COUNTIF('1月'!DY14:DZ14,D$4)+COUNTIF('1月'!ED14:EE14,D$4)+COUNTIF('1月'!EI14:EJ14,D$4)+COUNTIF('1月'!EN14:EO14,D$4)+COUNTIF('1月'!ES14:ET14,D$4)</f>
        <v>0</v>
      </c>
      <c r="E16" s="76">
        <f t="shared" si="1"/>
        <v>0</v>
      </c>
      <c r="F16" s="76">
        <f>COUNTIF('1月'!D14:E14,F$4)+COUNTIF('1月'!I14:J14,F$4)+COUNTIF('1月'!N14:O14,F$4)+COUNTIF('1月'!S14:T14,F$4)+COUNTIF('1月'!X14:Y14,F$4)+COUNTIF('1月'!AC14:AD14,F$4)+COUNTIF('1月'!AH14:AI14,F$4)+COUNTIF('1月'!AM14:AN14,F$4)+COUNTIF('1月'!AR14:AS14,F$4)+COUNTIF('1月'!AW14:AX14,F$4)+COUNTIF('1月'!BB14:BC14,F$4)+COUNTIF('1月'!BG14:BH14,F$4)+COUNTIF('1月'!BL14:BM14,F$4)+COUNTIF('1月'!BQ14:BR14,F$4)+COUNTIF('1月'!BV14:BW14,F$4)+COUNTIF('1月'!CA14:CB14,F$4)+COUNTIF('1月'!CF14:CG14,F$4)+COUNTIF('1月'!CK14:CL14,F$4)+COUNTIF('1月'!CP14:CQ14,F$4)+COUNTIF('1月'!CU14:CV14,F$4)+COUNTIF('1月'!CZ14:DA14,F$4)+COUNTIF('1月'!DE14:DF14,F$4)+COUNTIF('1月'!DJ14:DK14,F$4)+COUNTIF('1月'!DO14:DP14,F$4)+COUNTIF('1月'!DT14:DU14,F$4)+COUNTIF('1月'!DY14:DZ14,F$4)+COUNTIF('1月'!ED14:EE14,F$4)+COUNTIF('1月'!EI14:EJ14,F$4)+COUNTIF('1月'!EN14:EO14,F$4)+COUNTIF('1月'!ES14:ET14,F$4)</f>
        <v>0</v>
      </c>
      <c r="G16" s="76">
        <f t="shared" si="2"/>
        <v>0</v>
      </c>
      <c r="H16" s="76">
        <f>COUNTIF('1月'!D14:E14,H$4)+COUNTIF('1月'!I14:J14,H$4)+COUNTIF('1月'!N14:O14,H$4)+COUNTIF('1月'!S14:T14,H$4)+COUNTIF('1月'!X14:Y14,H$4)+COUNTIF('1月'!AC14:AD14,H$4)+COUNTIF('1月'!AH14:AI14,H$4)+COUNTIF('1月'!AM14:AN14,H$4)+COUNTIF('1月'!AR14:AS14,H$4)+COUNTIF('1月'!AW14:AX14,H$4)+COUNTIF('1月'!BB14:BC14,H$4)+COUNTIF('1月'!BG14:BH14,H$4)+COUNTIF('1月'!BL14:BM14,H$4)+COUNTIF('1月'!BQ14:BR14,H$4)+COUNTIF('1月'!BV14:BW14,H$4)+COUNTIF('1月'!CA14:CB14,H$4)+COUNTIF('1月'!CF14:CG14,H$4)+COUNTIF('1月'!CK14:CL14,H$4)+COUNTIF('1月'!CP14:CQ14,H$4)+COUNTIF('1月'!CU14:CV14,H$4)+COUNTIF('1月'!CZ14:DA14,H$4)+COUNTIF('1月'!DE14:DF14,H$4)+COUNTIF('1月'!DJ14:DK14,H$4)+COUNTIF('1月'!DO14:DP14,H$4)+COUNTIF('1月'!DT14:DU14,H$4)+COUNTIF('1月'!DY14:DZ14,H$4)+COUNTIF('1月'!ED14:EE14,H$4)+COUNTIF('1月'!EI14:EJ14,H$4)+COUNTIF('1月'!EN14:EO14,H$4)+COUNTIF('1月'!ES14:ET14,H$4)+COUNTIF('1月'!D14:E14,"渋谷-夜勤")+COUNTIF('1月'!I14:J14,"渋谷-夜勤")+COUNTIF('1月'!N14:O14,"渋谷-夜勤")+COUNTIF('1月'!S14:T14,"渋谷-夜勤")+COUNTIF('1月'!X14:Y14,"渋谷-夜勤")+COUNTIF('1月'!AC14:AD14,"渋谷-夜勤")+COUNTIF('1月'!AH14:AI14,"渋谷-夜勤")+COUNTIF('1月'!AM14:AN14,"渋谷-夜勤")+COUNTIF('1月'!AR14:AS14,"渋谷-夜勤")+COUNTIF('1月'!AW14:AX14,"渋谷-夜勤")+COUNTIF('1月'!BB14:BC14,"渋谷-夜勤")+COUNTIF('1月'!BG14:BH14,"渋谷-夜勤")+COUNTIF('1月'!BL14:BM14,"渋谷-夜勤")+COUNTIF('1月'!BQ14:BR14,"渋谷-夜勤")+COUNTIF('1月'!BV14:BW14,"渋谷-夜勤")+COUNTIF('1月'!CA14:CB14,"渋谷-夜勤")+COUNTIF('1月'!CF14:CG14,"渋谷-夜勤")+COUNTIF('1月'!CK14:CL14,"渋谷-夜勤")+COUNTIF('1月'!CP14:CQ14,"渋谷-夜勤")+COUNTIF('1月'!CU14:CV14,"渋谷-夜勤")+COUNTIF('1月'!CZ14:DA14,"渋谷-夜勤")+COUNTIF('1月'!DE14:DF14,"渋谷-夜勤")+COUNTIF('1月'!DJ14:DK14,"渋谷-夜勤")+COUNTIF('1月'!DO14:DP14,"渋谷-夜勤")+COUNTIF('1月'!DT14:DU14,"渋谷-夜勤")+COUNTIF('1月'!DY14:DZ14,"渋谷-夜勤")+COUNTIF('1月'!ED14:EE14,"渋谷-夜勤")+COUNTIF('1月'!EI14:EJ14,"渋谷-夜勤")+COUNTIF('1月'!EN14:EO14,"渋谷-夜勤")+COUNTIF('1月'!ES14:ET14,"渋谷-夜勤")</f>
        <v>0</v>
      </c>
      <c r="I16" s="76">
        <f t="shared" si="3"/>
        <v>0</v>
      </c>
      <c r="J16" s="76">
        <f>COUNTIF('1月'!D14:E14,J$4)+COUNTIF('1月'!I14:J14,J$4)+COUNTIF('1月'!N14:O14,J$4)+COUNTIF('1月'!S14:T14,J$4)+COUNTIF('1月'!X14:Y14,J$4)+COUNTIF('1月'!AC14:AD14,J$4)+COUNTIF('1月'!AH14:AI14,J$4)+COUNTIF('1月'!AM14:AN14,J$4)+COUNTIF('1月'!AR14:AS14,J$4)+COUNTIF('1月'!AW14:AX14,J$4)+COUNTIF('1月'!BB14:BC14,J$4)+COUNTIF('1月'!BG14:BH14,J$4)+COUNTIF('1月'!BL14:BM14,J$4)+COUNTIF('1月'!BQ14:BR14,J$4)+COUNTIF('1月'!BV14:BW14,J$4)+COUNTIF('1月'!CA14:CB14,J$4)+COUNTIF('1月'!CF14:CG14,J$4)+COUNTIF('1月'!CK14:CL14,J$4)+COUNTIF('1月'!CP14:CQ14,J$4)+COUNTIF('1月'!CU14:CV14,J$4)+COUNTIF('1月'!CZ14:DA14,J$4)+COUNTIF('1月'!DE14:DF14,J$4)+COUNTIF('1月'!DJ14:DK14,J$4)+COUNTIF('1月'!DO14:DP14,J$4)+COUNTIF('1月'!DT14:DU14,J$4)+COUNTIF('1月'!DY14:DZ14,J$4)+COUNTIF('1月'!ED14:EE14,J$4)+COUNTIF('1月'!EI14:EJ14,J$4)+COUNTIF('1月'!EN14:EO14,J$4)+COUNTIF('1月'!ES14:ET14,J$4)+COUNTIF('1月'!D14:E14,"六本木-夜勤")+COUNTIF('1月'!I14:J14,"六本木-夜勤")+COUNTIF('1月'!N14:O14,"六本木-夜勤")+COUNTIF('1月'!S14:T14,"六本木-夜勤")+COUNTIF('1月'!X14:Y14,"六本木-夜勤")+COUNTIF('1月'!AC14:AD14,"六本木-夜勤")+COUNTIF('1月'!AH14:AI14,"六本木-夜勤")+COUNTIF('1月'!AM14:AN14,"六本木-夜勤")+COUNTIF('1月'!AR14:AS14,"六本木-夜勤")+COUNTIF('1月'!AW14:AX14,"六本木-夜勤")+COUNTIF('1月'!BB14:BC14,"六本木-夜勤")+COUNTIF('1月'!BG14:BH14,"六本木-夜勤")+COUNTIF('1月'!BL14:BM14,"六本木-夜勤")+COUNTIF('1月'!BQ14:BR14,"六本木-夜勤")+COUNTIF('1月'!BV14:BW14,"六本木-夜勤")+COUNTIF('1月'!CA14:CB14,"六本木-夜勤")+COUNTIF('1月'!CF14:CG14,"六本木-夜勤")+COUNTIF('1月'!CK14:CL14,"六本木-夜勤")+COUNTIF('1月'!CP14:CQ14,"六本木-夜勤")+COUNTIF('1月'!CU14:CV14,"六本木-夜勤")+COUNTIF('1月'!CZ14:DA14,"六本木-夜勤")+COUNTIF('1月'!DE14:DF14,"六本木-夜勤")+COUNTIF('1月'!DJ14:DK14,"六本木-夜勤")+COUNTIF('1月'!DO14:DP14,"六本木-夜勤")+COUNTIF('1月'!DT14:DU14,"六本木-夜勤")+COUNTIF('1月'!DY14:DZ14,"六本木-夜勤")+COUNTIF('1月'!ED14:EE14,"六本木-夜勤")+COUNTIF('1月'!EI14:EJ14,"六本木-夜勤")+COUNTIF('1月'!EN14:EO14,"六本木-夜勤")+COUNTIF('1月'!ES14:ET14,"六本木-夜勤")+COUNTIF('1月'!D14:E14,"六本木ー夜勤")+COUNTIF('1月'!I14:J14,"六本木ー夜勤")+COUNTIF('1月'!N14:O14,"六本木ー夜勤")+COUNTIF('1月'!S14:T14,"六本木ー夜勤")+COUNTIF('1月'!X14:Y14,"六本木ー夜勤")+COUNTIF('1月'!AC14:AD14,"六本木ー夜勤")+COUNTIF('1月'!AH14:AI14,"六本木ー夜勤")+COUNTIF('1月'!AM14:AN14,"六本木ー夜勤")+COUNTIF('1月'!AR14:AS14,"六本木ー夜勤")+COUNTIF('1月'!AW14:AX14,"六本木ー夜勤")+COUNTIF('1月'!BB14:BC14,"六本木ー夜勤")+COUNTIF('1月'!BG14:BH14,"六本木ー夜勤")+COUNTIF('1月'!BL14:BM14,"六本木ー夜勤")+COUNTIF('1月'!BQ14:BR14,"六本木ー夜勤")+COUNTIF('1月'!BV14:BW14,"六本木ー夜勤")+COUNTIF('1月'!CA14:CB14,"六本木ー夜勤")+COUNTIF('1月'!CF14:CG14,"六本木ー夜勤")+COUNTIF('1月'!CK14:CL14,"六本木ー夜勤")+COUNTIF('1月'!CP14:CQ14,"六本木ー夜勤")+COUNTIF('1月'!CU14:CV14,"六本木ー夜勤")+COUNTIF('1月'!CZ14:DA14,"六本木ー夜勤")+COUNTIF('1月'!DE14:DF14,"六本木ー夜勤")+COUNTIF('1月'!DJ14:DK14,"六本木ー夜勤")+COUNTIF('1月'!DO14:DP14,"六本木ー夜勤")+COUNTIF('1月'!DT14:DU14,"六本木ー夜勤")+COUNTIF('1月'!DY14:DZ14,"六本木ー夜勤")+COUNTIF('1月'!ED14:EE14,"六本木ー夜勤")+COUNTIF('1月'!EI14:EJ14,"六本木ー夜勤")+COUNTIF('1月'!EN14:EO14,"六本木ー夜勤")+COUNTIF('1月'!ES14:ET14,"六本木ー夜勤")</f>
        <v>0</v>
      </c>
      <c r="K16" s="76">
        <f t="shared" si="4"/>
        <v>0</v>
      </c>
      <c r="L16" s="76">
        <f>COUNTIF('1月'!D14:E14,L$4)+COUNTIF('1月'!I14:J14,L$4)+COUNTIF('1月'!N14:O14,L$4)+COUNTIF('1月'!S14:T14,L$4)+COUNTIF('1月'!X14:Y14,L$4)+COUNTIF('1月'!AC14:AD14,L$4)+COUNTIF('1月'!AH14:AI14,L$4)+COUNTIF('1月'!AM14:AN14,L$4)+COUNTIF('1月'!AR14:AS14,L$4)+COUNTIF('1月'!AW14:AX14,L$4)+COUNTIF('1月'!BB14:BC14,L$4)+COUNTIF('1月'!BG14:BH14,L$4)+COUNTIF('1月'!BL14:BM14,L$4)+COUNTIF('1月'!BQ14:BR14,L$4)+COUNTIF('1月'!BV14:BW14,L$4)+COUNTIF('1月'!CA14:CB14,L$4)+COUNTIF('1月'!CF14:CG14,L$4)+COUNTIF('1月'!CK14:CL14,L$4)+COUNTIF('1月'!CP14:CQ14,L$4)+COUNTIF('1月'!CU14:CV14,L$4)+COUNTIF('1月'!CZ14:DA14,L$4)+COUNTIF('1月'!DE14:DF14,L$4)+COUNTIF('1月'!DJ14:DK14,L$4)+COUNTIF('1月'!DO14:DP14,L$4)+COUNTIF('1月'!DT14:DU14,L$4)+COUNTIF('1月'!DY14:DZ14,L$4)+COUNTIF('1月'!ED14:EE14,L$4)+COUNTIF('1月'!EI14:EJ14,L$4)+COUNTIF('1月'!EN14:EO14,L$4)+COUNTIF('1月'!ES14:ET14,L$4)</f>
        <v>0</v>
      </c>
      <c r="M16" s="76">
        <f t="shared" si="5"/>
        <v>0</v>
      </c>
      <c r="N16" s="76">
        <f>COUNTIF('1月'!D14:E14,N$4)+COUNTIF('1月'!I14:J14,N$4)+COUNTIF('1月'!N14:O14,N$4)+COUNTIF('1月'!S14:T14,N$4)+COUNTIF('1月'!X14:Y14,N$4)+COUNTIF('1月'!AC14:AD14,N$4)+COUNTIF('1月'!AH14:AI14,N$4)+COUNTIF('1月'!AM14:AN14,N$4)+COUNTIF('1月'!AR14:AS14,N$4)+COUNTIF('1月'!AW14:AX14,N$4)+COUNTIF('1月'!BB14:BC14,N$4)+COUNTIF('1月'!BG14:BH14,N$4)+COUNTIF('1月'!BL14:BM14,N$4)+COUNTIF('1月'!BQ14:BR14,N$4)+COUNTIF('1月'!BV14:BW14,N$4)+COUNTIF('1月'!CA14:CB14,N$4)+COUNTIF('1月'!CF14:CG14,N$4)+COUNTIF('1月'!CK14:CL14,N$4)+COUNTIF('1月'!CP14:CQ14,N$4)+COUNTIF('1月'!CU14:CV14,N$4)+COUNTIF('1月'!CZ14:DA14,N$4)+COUNTIF('1月'!DE14:DF14,N$4)+COUNTIF('1月'!DJ14:DK14,N$4)+COUNTIF('1月'!DO14:DP14,N$4)+COUNTIF('1月'!DT14:DU14,N$4)+COUNTIF('1月'!DY14:DZ14,N$4)+COUNTIF('1月'!ED14:EE14,N$4)+COUNTIF('1月'!EI14:EJ14,N$4)+COUNTIF('1月'!EN14:EO14,N$4)+COUNTIF('1月'!ES14:ET14,N$4)+COUNTIF('1月'!D14:E14,"三軒茶屋－夜勤")+COUNTIF('1月'!I14:J14,"三軒茶屋－夜勤")+COUNTIF('1月'!N14:O14,"三軒茶屋－夜勤")+COUNTIF('1月'!S14:T14,"三軒茶屋－夜勤")+COUNTIF('1月'!X14:Y14,"三軒茶屋－夜勤")+COUNTIF('1月'!AC14:AD14,"三軒茶屋－夜勤")+COUNTIF('1月'!AH14:AI14,"三軒茶屋－夜勤")+COUNTIF('1月'!AM14:AN14,"三軒茶屋－夜勤")+COUNTIF('1月'!AR14:AS14,"三軒茶屋－夜勤")+COUNTIF('1月'!AW14:AX14,"三軒茶屋－夜勤")+COUNTIF('1月'!BB14:BC14,"三軒茶屋－夜勤")+COUNTIF('1月'!BG14:BH14,"三軒茶屋－夜勤")+COUNTIF('1月'!BL14:BM14,"三軒茶屋－夜勤")+COUNTIF('1月'!BQ14:BR14,"三軒茶屋－夜勤")+COUNTIF('1月'!BV14:BW14,"三軒茶屋－夜勤")+COUNTIF('1月'!CA14:CB14,"三軒茶屋－夜勤")+COUNTIF('1月'!CF14:CG14,"三軒茶屋－夜勤")+COUNTIF('1月'!CK14:CL14,"三軒茶屋－夜勤")+COUNTIF('1月'!CP14:CQ14,"三軒茶屋－夜勤")+COUNTIF('1月'!CU14:CV14,"三軒茶屋－夜勤")+COUNTIF('1月'!CZ14:DA14,"三軒茶屋－夜勤")+COUNTIF('1月'!DE14:DF14,"三軒茶屋－夜勤")+COUNTIF('1月'!DJ14:DK14,"三軒茶屋－夜勤")+COUNTIF('1月'!DO14:DP14,"三軒茶屋－夜勤")+COUNTIF('1月'!DT14:DU14,"三軒茶屋－夜勤")+COUNTIF('1月'!DY14:DZ14,"三軒茶屋－夜勤")+COUNTIF('1月'!ED14:EE14,"三軒茶屋－夜勤")+COUNTIF('1月'!EI14:EJ14,"三軒茶屋－夜勤")+COUNTIF('1月'!EN14:EO14,"三軒茶屋－夜勤")+COUNTIF('1月'!ES14:ET14,"三軒茶屋－夜勤")</f>
        <v>0</v>
      </c>
      <c r="O16" s="76">
        <f t="shared" si="6"/>
        <v>0</v>
      </c>
      <c r="P16" s="76">
        <f>COUNTIF('1月'!D14:E14,P$4)+COUNTIF('1月'!I14:J14,P$4)+COUNTIF('1月'!N14:O14,P$4)+COUNTIF('1月'!S14:T14,P$4)+COUNTIF('1月'!X14:Y14,P$4)+COUNTIF('1月'!AC14:AD14,P$4)+COUNTIF('1月'!AH14:AI14,P$4)+COUNTIF('1月'!AM14:AN14,P$4)+COUNTIF('1月'!AR14:AS14,P$4)+COUNTIF('1月'!AW14:AX14,P$4)+COUNTIF('1月'!BB14:BC14,P$4)+COUNTIF('1月'!BG14:BH14,P$4)+COUNTIF('1月'!BL14:BM14,P$4)+COUNTIF('1月'!BQ14:BR14,P$4)+COUNTIF('1月'!BV14:BW14,P$4)+COUNTIF('1月'!CA14:CB14,P$4)+COUNTIF('1月'!CF14:CG14,P$4)+COUNTIF('1月'!CK14:CL14,P$4)+COUNTIF('1月'!CP14:CQ14,P$4)+COUNTIF('1月'!CU14:CV14,P$4)+COUNTIF('1月'!CZ14:DA14,P$4)+COUNTIF('1月'!DE14:DF14,P$4)+COUNTIF('1月'!DJ14:DK14,P$4)+COUNTIF('1月'!DO14:DP14,P$4)+COUNTIF('1月'!DT14:DU14,P$4)+COUNTIF('1月'!DY14:DZ14,P$4)+COUNTIF('1月'!ED14:EE14,P$4)+COUNTIF('1月'!EI14:EJ14,P$4)+COUNTIF('1月'!EN14:EO14,P$4)+COUNTIF('1月'!ES14:ET14,P$4)+COUNTIF('1月'!D14:E14,"荻窪ー夜勤")+COUNTIF('1月'!I14:J14,"荻窪ー夜勤")+COUNTIF('1月'!N14:O14,"荻窪ー夜勤")+COUNTIF('1月'!S14:T14,"荻窪ー夜勤")+COUNTIF('1月'!X14:Y14,"荻窪ー夜勤")+COUNTIF('1月'!AC14:AD14,"荻窪ー夜勤")+COUNTIF('1月'!AH14:AI14,"荻窪ー夜勤")+COUNTIF('1月'!AM14:AN14,"荻窪ー夜勤")+COUNTIF('1月'!AR14:AS14,"荻窪ー夜勤")+COUNTIF('1月'!AW14:AX14,"荻窪ー夜勤")+COUNTIF('1月'!BB14:BC14,"荻窪ー夜勤")+COUNTIF('1月'!BG14:BH14,"荻窪ー夜勤")+COUNTIF('1月'!BL14:BM14,"荻窪ー夜勤")+COUNTIF('1月'!BQ14:BR14,"荻窪ー夜勤")+COUNTIF('1月'!BV14:BW14,"荻窪ー夜勤")+COUNTIF('1月'!CA14:CB14,"荻窪ー夜勤")+COUNTIF('1月'!CF14:CG14,"荻窪ー夜勤")+COUNTIF('1月'!CK14:CL14,"荻窪ー夜勤")+COUNTIF('1月'!CP14:CQ14,"荻窪ー夜勤")+COUNTIF('1月'!CU14:CV14,"荻窪ー夜勤")+COUNTIF('1月'!CZ14:DA14,"荻窪ー夜勤")+COUNTIF('1月'!DE14:DF14,"荻窪ー夜勤")+COUNTIF('1月'!DJ14:DK14,"荻窪ー夜勤")+COUNTIF('1月'!DO14:DP14,"荻窪ー夜勤")+COUNTIF('1月'!DT14:DU14,"荻窪ー夜勤")+COUNTIF('1月'!DY14:DZ14,"荻窪ー夜勤")+COUNTIF('1月'!ED14:EE14,"荻窪ー夜勤")+COUNTIF('1月'!EI14:EJ14,"荻窪ー夜勤")+COUNTIF('1月'!EN14:EO14,"荻窪ー夜勤")+COUNTIF('1月'!ES14:ET14,"荻窪ー夜勤")</f>
        <v>0</v>
      </c>
      <c r="Q16" s="76">
        <f t="shared" si="7"/>
        <v>0</v>
      </c>
      <c r="R16" s="76">
        <f>COUNTIF('1月'!D14:E14,R$4)+COUNTIF('1月'!I14:J14,R$4)+COUNTIF('1月'!N14:O14,R$4)+COUNTIF('1月'!S14:T14,R$4)+COUNTIF('1月'!X14:Y14,R$4)+COUNTIF('1月'!AC14:AD14,R$4)+COUNTIF('1月'!AH14:AI14,R$4)+COUNTIF('1月'!AM14:AN14,R$4)+COUNTIF('1月'!AR14:AS14,R$4)+COUNTIF('1月'!AW14:AX14,R$4)+COUNTIF('1月'!BB14:BC14,R$4)+COUNTIF('1月'!BG14:BH14,R$4)+COUNTIF('1月'!BL14:BM14,R$4)+COUNTIF('1月'!BQ14:BR14,R$4)+COUNTIF('1月'!BV14:BW14,R$4)+COUNTIF('1月'!CA14:CB14,R$4)+COUNTIF('1月'!CF14:CG14,R$4)+COUNTIF('1月'!CK14:CL14,R$4)+COUNTIF('1月'!CP14:CQ14,R$4)+COUNTIF('1月'!CU14:CV14,R$4)+COUNTIF('1月'!CZ14:DA14,R$4)+COUNTIF('1月'!DE14:DF14,R$4)+COUNTIF('1月'!DJ14:DK14,R$4)+COUNTIF('1月'!DO14:DP14,R$4)+COUNTIF('1月'!DT14:DU14,R$4)+COUNTIF('1月'!DY14:DZ14,R$4)+COUNTIF('1月'!ED14:EE14,R$4)+COUNTIF('1月'!EI14:EJ14,R$4)+COUNTIF('1月'!EN14:EO14,R$4)+COUNTIF('1月'!ES14:ET14,R$4)</f>
        <v>0</v>
      </c>
      <c r="S16" s="76">
        <f t="shared" si="8"/>
        <v>0</v>
      </c>
      <c r="T16" s="76">
        <f>COUNTIF('1月'!D14:E14,T$4)+COUNTIF('1月'!I14:J14,T$4)+COUNTIF('1月'!N14:O14,T$4)+COUNTIF('1月'!S14:T14,T$4)+COUNTIF('1月'!X14:Y14,T$4)+COUNTIF('1月'!AC14:AD14,T$4)+COUNTIF('1月'!AH14:AI14,T$4)+COUNTIF('1月'!AM14:AN14,T$4)+COUNTIF('1月'!AR14:AS14,T$4)+COUNTIF('1月'!AW14:AX14,T$4)+COUNTIF('1月'!BB14:BC14,T$4)+COUNTIF('1月'!BG14:BH14,T$4)+COUNTIF('1月'!BL14:BM14,T$4)+COUNTIF('1月'!BQ14:BR14,T$4)+COUNTIF('1月'!BV14:BW14,T$4)+COUNTIF('1月'!CA14:CB14,T$4)+COUNTIF('1月'!CF14:CG14,T$4)+COUNTIF('1月'!CK14:CL14,T$4)+COUNTIF('1月'!CP14:CQ14,T$4)+COUNTIF('1月'!CU14:CV14,T$4)+COUNTIF('1月'!CZ14:DA14,T$4)+COUNTIF('1月'!DE14:DF14,T$4)+COUNTIF('1月'!DJ14:DK14,T$4)+COUNTIF('1月'!DO14:DP14,T$4)+COUNTIF('1月'!DT14:DU14,T$4)+COUNTIF('1月'!DY14:DZ14,T$4)+COUNTIF('1月'!ED14:EE14,T$4)+COUNTIF('1月'!EI14:EJ14,T$4)+COUNTIF('1月'!EN14:EO14,T$4)+COUNTIF('1月'!ES14:ET14,T$4)</f>
        <v>0</v>
      </c>
      <c r="U16" s="76">
        <f t="shared" si="9"/>
        <v>0</v>
      </c>
      <c r="V16" s="76">
        <f>COUNTIF('1月'!D14:E14,V$4)+COUNTIF('1月'!I14:J14,V$4)+COUNTIF('1月'!N14:O14,V$4)+COUNTIF('1月'!S14:T14,V$4)+COUNTIF('1月'!X14:Y14,V$4)+COUNTIF('1月'!AC14:AD14,V$4)+COUNTIF('1月'!AH14:AI14,V$4)+COUNTIF('1月'!AM14:AN14,V$4)+COUNTIF('1月'!AR14:AS14,V$4)+COUNTIF('1月'!AW14:AX14,V$4)+COUNTIF('1月'!BB14:BC14,V$4)+COUNTIF('1月'!BG14:BH14,V$4)+COUNTIF('1月'!BL14:BM14,V$4)+COUNTIF('1月'!BQ14:BR14,V$4)+COUNTIF('1月'!BV14:BW14,V$4)+COUNTIF('1月'!CA14:CB14,V$4)+COUNTIF('1月'!CF14:CG14,V$4)+COUNTIF('1月'!CK14:CL14,V$4)+COUNTIF('1月'!CP14:CQ14,V$4)+COUNTIF('1月'!CU14:CV14,V$4)+COUNTIF('1月'!CZ14:DA14,V$4)+COUNTIF('1月'!DE14:DF14,V$4)+COUNTIF('1月'!DJ14:DK14,V$4)+COUNTIF('1月'!DO14:DP14,V$4)+COUNTIF('1月'!DT14:DU14,V$4)+COUNTIF('1月'!DY14:DZ14,V$4)+COUNTIF('1月'!ED14:EE14,V$4)+COUNTIF('1月'!EI14:EJ14,V$4)+COUNTIF('1月'!EN14:EO14,V$4)+COUNTIF('1月'!ES14:ET14,V$4)</f>
        <v>0</v>
      </c>
      <c r="W16" s="76">
        <f t="shared" si="10"/>
        <v>0</v>
      </c>
      <c r="X16" s="76">
        <f>COUNTIF('1月'!D14:E14,X$4)+COUNTIF('1月'!I14:J14,X$4)+COUNTIF('1月'!N14:O14,X$4)+COUNTIF('1月'!S14:T14,X$4)+COUNTIF('1月'!X14:Y14,X$4)+COUNTIF('1月'!AC14:AD14,X$4)+COUNTIF('1月'!AH14:AI14,X$4)+COUNTIF('1月'!AM14:AN14,X$4)+COUNTIF('1月'!AR14:AS14,X$4)+COUNTIF('1月'!AW14:AX14,X$4)+COUNTIF('1月'!BB14:BC14,X$4)+COUNTIF('1月'!BG14:BH14,X$4)+COUNTIF('1月'!BL14:BM14,X$4)+COUNTIF('1月'!BQ14:BR14,X$4)+COUNTIF('1月'!BV14:BW14,X$4)+COUNTIF('1月'!CA14:CB14,X$4)+COUNTIF('1月'!CF14:CG14,X$4)+COUNTIF('1月'!CK14:CL14,X$4)+COUNTIF('1月'!CP14:CQ14,X$4)+COUNTIF('1月'!CU14:CV14,X$4)+COUNTIF('1月'!CZ14:DA14,X$4)+COUNTIF('1月'!DE14:DF14,X$4)+COUNTIF('1月'!DJ14:DK14,X$4)+COUNTIF('1月'!DO14:DP14,X$4)+COUNTIF('1月'!DT14:DU14,X$4)+COUNTIF('1月'!DY14:DZ14,X$4)+COUNTIF('1月'!ED14:EE14,X$4)+COUNTIF('1月'!EI14:EJ14,X$4)+COUNTIF('1月'!EN14:EO14,X$4)+COUNTIF('1月'!ES14:ET14,X$4)</f>
        <v>0</v>
      </c>
      <c r="Y16" s="76">
        <f t="shared" si="11"/>
        <v>0</v>
      </c>
    </row>
    <row r="17" spans="1:25" ht="18" customHeight="1">
      <c r="A17" s="76">
        <v>12</v>
      </c>
      <c r="B17" s="76">
        <f>COUNTIF('1月'!D15:E15,B$4)+COUNTIF('1月'!I15:J15,B$4)+COUNTIF('1月'!N15:O15,B$4)+COUNTIF('1月'!S15:T15,B$4)+COUNTIF('1月'!X15:Y15,B$4)+COUNTIF('1月'!AC15:AD15,B$4)+COUNTIF('1月'!AH15:AI15,B$4)+COUNTIF('1月'!AM15:AN15,B$4)+COUNTIF('1月'!AR15:AS15,B$4)+COUNTIF('1月'!AW15:AX15,B$4)+COUNTIF('1月'!BB15:BC15,B$4)+COUNTIF('1月'!BG15:BH15,B$4)+COUNTIF('1月'!BL15:BM15,B$4)+COUNTIF('1月'!BQ15:BR15,B$4)+COUNTIF('1月'!BV15:BW15,B$4)+COUNTIF('1月'!CA15:CB15,B$4)+COUNTIF('1月'!CF15:CG15,B$4)+COUNTIF('1月'!CK15:CL15,B$4)+COUNTIF('1月'!CP15:CQ15,B$4)+COUNTIF('1月'!CU15:CV15,B$4)+COUNTIF('1月'!CZ15:DA15,B$4)+COUNTIF('1月'!DE15:DF15,B$4)+COUNTIF('1月'!DJ15:DK15,B$4)+COUNTIF('1月'!DO15:DP15,B$4)+COUNTIF('1月'!DT15:DU15,B$4)+COUNTIF('1月'!DY15:DZ15,B$4)+COUNTIF('1月'!ED15:EE15,B$4)+COUNTIF('1月'!EI15:EJ15,B$4)+COUNTIF('1月'!EN15:EO15,B$4)+COUNTIF('1月'!ES15:ET15,B$4)</f>
        <v>0</v>
      </c>
      <c r="C17" s="76">
        <f t="shared" si="0"/>
        <v>0</v>
      </c>
      <c r="D17" s="76">
        <f>COUNTIF('1月'!D15:E15,D$4)+COUNTIF('1月'!I15:J15,D$4)+COUNTIF('1月'!N15:O15,D$4)+COUNTIF('1月'!S15:T15,D$4)+COUNTIF('1月'!X15:Y15,D$4)+COUNTIF('1月'!AC15:AD15,D$4)+COUNTIF('1月'!AH15:AI15,D$4)+COUNTIF('1月'!AM15:AN15,D$4)+COUNTIF('1月'!AR15:AS15,D$4)+COUNTIF('1月'!AW15:AX15,D$4)+COUNTIF('1月'!BB15:BC15,D$4)+COUNTIF('1月'!BG15:BH15,D$4)+COUNTIF('1月'!BL15:BM15,D$4)+COUNTIF('1月'!BQ15:BR15,D$4)+COUNTIF('1月'!BV15:BW15,D$4)+COUNTIF('1月'!CA15:CB15,D$4)+COUNTIF('1月'!CF15:CG15,D$4)+COUNTIF('1月'!CK15:CL15,D$4)+COUNTIF('1月'!CP15:CQ15,D$4)+COUNTIF('1月'!CU15:CV15,D$4)+COUNTIF('1月'!CZ15:DA15,D$4)+COUNTIF('1月'!DE15:DF15,D$4)+COUNTIF('1月'!DJ15:DK15,D$4)+COUNTIF('1月'!DO15:DP15,D$4)+COUNTIF('1月'!DT15:DU15,D$4)+COUNTIF('1月'!DY15:DZ15,D$4)+COUNTIF('1月'!ED15:EE15,D$4)+COUNTIF('1月'!EI15:EJ15,D$4)+COUNTIF('1月'!EN15:EO15,D$4)+COUNTIF('1月'!ES15:ET15,D$4)</f>
        <v>0</v>
      </c>
      <c r="E17" s="76">
        <f t="shared" si="1"/>
        <v>0</v>
      </c>
      <c r="F17" s="76">
        <f>COUNTIF('1月'!D15:E15,F$4)+COUNTIF('1月'!I15:J15,F$4)+COUNTIF('1月'!N15:O15,F$4)+COUNTIF('1月'!S15:T15,F$4)+COUNTIF('1月'!X15:Y15,F$4)+COUNTIF('1月'!AC15:AD15,F$4)+COUNTIF('1月'!AH15:AI15,F$4)+COUNTIF('1月'!AM15:AN15,F$4)+COUNTIF('1月'!AR15:AS15,F$4)+COUNTIF('1月'!AW15:AX15,F$4)+COUNTIF('1月'!BB15:BC15,F$4)+COUNTIF('1月'!BG15:BH15,F$4)+COUNTIF('1月'!BL15:BM15,F$4)+COUNTIF('1月'!BQ15:BR15,F$4)+COUNTIF('1月'!BV15:BW15,F$4)+COUNTIF('1月'!CA15:CB15,F$4)+COUNTIF('1月'!CF15:CG15,F$4)+COUNTIF('1月'!CK15:CL15,F$4)+COUNTIF('1月'!CP15:CQ15,F$4)+COUNTIF('1月'!CU15:CV15,F$4)+COUNTIF('1月'!CZ15:DA15,F$4)+COUNTIF('1月'!DE15:DF15,F$4)+COUNTIF('1月'!DJ15:DK15,F$4)+COUNTIF('1月'!DO15:DP15,F$4)+COUNTIF('1月'!DT15:DU15,F$4)+COUNTIF('1月'!DY15:DZ15,F$4)+COUNTIF('1月'!ED15:EE15,F$4)+COUNTIF('1月'!EI15:EJ15,F$4)+COUNTIF('1月'!EN15:EO15,F$4)+COUNTIF('1月'!ES15:ET15,F$4)</f>
        <v>0</v>
      </c>
      <c r="G17" s="76">
        <f t="shared" si="2"/>
        <v>0</v>
      </c>
      <c r="H17" s="76">
        <f>COUNTIF('1月'!D15:E15,H$4)+COUNTIF('1月'!I15:J15,H$4)+COUNTIF('1月'!N15:O15,H$4)+COUNTIF('1月'!S15:T15,H$4)+COUNTIF('1月'!X15:Y15,H$4)+COUNTIF('1月'!AC15:AD15,H$4)+COUNTIF('1月'!AH15:AI15,H$4)+COUNTIF('1月'!AM15:AN15,H$4)+COUNTIF('1月'!AR15:AS15,H$4)+COUNTIF('1月'!AW15:AX15,H$4)+COUNTIF('1月'!BB15:BC15,H$4)+COUNTIF('1月'!BG15:BH15,H$4)+COUNTIF('1月'!BL15:BM15,H$4)+COUNTIF('1月'!BQ15:BR15,H$4)+COUNTIF('1月'!BV15:BW15,H$4)+COUNTIF('1月'!CA15:CB15,H$4)+COUNTIF('1月'!CF15:CG15,H$4)+COUNTIF('1月'!CK15:CL15,H$4)+COUNTIF('1月'!CP15:CQ15,H$4)+COUNTIF('1月'!CU15:CV15,H$4)+COUNTIF('1月'!CZ15:DA15,H$4)+COUNTIF('1月'!DE15:DF15,H$4)+COUNTIF('1月'!DJ15:DK15,H$4)+COUNTIF('1月'!DO15:DP15,H$4)+COUNTIF('1月'!DT15:DU15,H$4)+COUNTIF('1月'!DY15:DZ15,H$4)+COUNTIF('1月'!ED15:EE15,H$4)+COUNTIF('1月'!EI15:EJ15,H$4)+COUNTIF('1月'!EN15:EO15,H$4)+COUNTIF('1月'!ES15:ET15,H$4)+COUNTIF('1月'!D15:E15,"渋谷-夜勤")+COUNTIF('1月'!I15:J15,"渋谷-夜勤")+COUNTIF('1月'!N15:O15,"渋谷-夜勤")+COUNTIF('1月'!S15:T15,"渋谷-夜勤")+COUNTIF('1月'!X15:Y15,"渋谷-夜勤")+COUNTIF('1月'!AC15:AD15,"渋谷-夜勤")+COUNTIF('1月'!AH15:AI15,"渋谷-夜勤")+COUNTIF('1月'!AM15:AN15,"渋谷-夜勤")+COUNTIF('1月'!AR15:AS15,"渋谷-夜勤")+COUNTIF('1月'!AW15:AX15,"渋谷-夜勤")+COUNTIF('1月'!BB15:BC15,"渋谷-夜勤")+COUNTIF('1月'!BG15:BH15,"渋谷-夜勤")+COUNTIF('1月'!BL15:BM15,"渋谷-夜勤")+COUNTIF('1月'!BQ15:BR15,"渋谷-夜勤")+COUNTIF('1月'!BV15:BW15,"渋谷-夜勤")+COUNTIF('1月'!CA15:CB15,"渋谷-夜勤")+COUNTIF('1月'!CF15:CG15,"渋谷-夜勤")+COUNTIF('1月'!CK15:CL15,"渋谷-夜勤")+COUNTIF('1月'!CP15:CQ15,"渋谷-夜勤")+COUNTIF('1月'!CU15:CV15,"渋谷-夜勤")+COUNTIF('1月'!CZ15:DA15,"渋谷-夜勤")+COUNTIF('1月'!DE15:DF15,"渋谷-夜勤")+COUNTIF('1月'!DJ15:DK15,"渋谷-夜勤")+COUNTIF('1月'!DO15:DP15,"渋谷-夜勤")+COUNTIF('1月'!DT15:DU15,"渋谷-夜勤")+COUNTIF('1月'!DY15:DZ15,"渋谷-夜勤")+COUNTIF('1月'!ED15:EE15,"渋谷-夜勤")+COUNTIF('1月'!EI15:EJ15,"渋谷-夜勤")+COUNTIF('1月'!EN15:EO15,"渋谷-夜勤")+COUNTIF('1月'!ES15:ET15,"渋谷-夜勤")</f>
        <v>0</v>
      </c>
      <c r="I17" s="76">
        <f t="shared" si="3"/>
        <v>0</v>
      </c>
      <c r="J17" s="76">
        <f>COUNTIF('1月'!D15:E15,J$4)+COUNTIF('1月'!I15:J15,J$4)+COUNTIF('1月'!N15:O15,J$4)+COUNTIF('1月'!S15:T15,J$4)+COUNTIF('1月'!X15:Y15,J$4)+COUNTIF('1月'!AC15:AD15,J$4)+COUNTIF('1月'!AH15:AI15,J$4)+COUNTIF('1月'!AM15:AN15,J$4)+COUNTIF('1月'!AR15:AS15,J$4)+COUNTIF('1月'!AW15:AX15,J$4)+COUNTIF('1月'!BB15:BC15,J$4)+COUNTIF('1月'!BG15:BH15,J$4)+COUNTIF('1月'!BL15:BM15,J$4)+COUNTIF('1月'!BQ15:BR15,J$4)+COUNTIF('1月'!BV15:BW15,J$4)+COUNTIF('1月'!CA15:CB15,J$4)+COUNTIF('1月'!CF15:CG15,J$4)+COUNTIF('1月'!CK15:CL15,J$4)+COUNTIF('1月'!CP15:CQ15,J$4)+COUNTIF('1月'!CU15:CV15,J$4)+COUNTIF('1月'!CZ15:DA15,J$4)+COUNTIF('1月'!DE15:DF15,J$4)+COUNTIF('1月'!DJ15:DK15,J$4)+COUNTIF('1月'!DO15:DP15,J$4)+COUNTIF('1月'!DT15:DU15,J$4)+COUNTIF('1月'!DY15:DZ15,J$4)+COUNTIF('1月'!ED15:EE15,J$4)+COUNTIF('1月'!EI15:EJ15,J$4)+COUNTIF('1月'!EN15:EO15,J$4)+COUNTIF('1月'!ES15:ET15,J$4)+COUNTIF('1月'!D15:E15,"六本木-夜勤")+COUNTIF('1月'!I15:J15,"六本木-夜勤")+COUNTIF('1月'!N15:O15,"六本木-夜勤")+COUNTIF('1月'!S15:T15,"六本木-夜勤")+COUNTIF('1月'!X15:Y15,"六本木-夜勤")+COUNTIF('1月'!AC15:AD15,"六本木-夜勤")+COUNTIF('1月'!AH15:AI15,"六本木-夜勤")+COUNTIF('1月'!AM15:AN15,"六本木-夜勤")+COUNTIF('1月'!AR15:AS15,"六本木-夜勤")+COUNTIF('1月'!AW15:AX15,"六本木-夜勤")+COUNTIF('1月'!BB15:BC15,"六本木-夜勤")+COUNTIF('1月'!BG15:BH15,"六本木-夜勤")+COUNTIF('1月'!BL15:BM15,"六本木-夜勤")+COUNTIF('1月'!BQ15:BR15,"六本木-夜勤")+COUNTIF('1月'!BV15:BW15,"六本木-夜勤")+COUNTIF('1月'!CA15:CB15,"六本木-夜勤")+COUNTIF('1月'!CF15:CG15,"六本木-夜勤")+COUNTIF('1月'!CK15:CL15,"六本木-夜勤")+COUNTIF('1月'!CP15:CQ15,"六本木-夜勤")+COUNTIF('1月'!CU15:CV15,"六本木-夜勤")+COUNTIF('1月'!CZ15:DA15,"六本木-夜勤")+COUNTIF('1月'!DE15:DF15,"六本木-夜勤")+COUNTIF('1月'!DJ15:DK15,"六本木-夜勤")+COUNTIF('1月'!DO15:DP15,"六本木-夜勤")+COUNTIF('1月'!DT15:DU15,"六本木-夜勤")+COUNTIF('1月'!DY15:DZ15,"六本木-夜勤")+COUNTIF('1月'!ED15:EE15,"六本木-夜勤")+COUNTIF('1月'!EI15:EJ15,"六本木-夜勤")+COUNTIF('1月'!EN15:EO15,"六本木-夜勤")+COUNTIF('1月'!ES15:ET15,"六本木-夜勤")+COUNTIF('1月'!D15:E15,"六本木ー夜勤")+COUNTIF('1月'!I15:J15,"六本木ー夜勤")+COUNTIF('1月'!N15:O15,"六本木ー夜勤")+COUNTIF('1月'!S15:T15,"六本木ー夜勤")+COUNTIF('1月'!X15:Y15,"六本木ー夜勤")+COUNTIF('1月'!AC15:AD15,"六本木ー夜勤")+COUNTIF('1月'!AH15:AI15,"六本木ー夜勤")+COUNTIF('1月'!AM15:AN15,"六本木ー夜勤")+COUNTIF('1月'!AR15:AS15,"六本木ー夜勤")+COUNTIF('1月'!AW15:AX15,"六本木ー夜勤")+COUNTIF('1月'!BB15:BC15,"六本木ー夜勤")+COUNTIF('1月'!BG15:BH15,"六本木ー夜勤")+COUNTIF('1月'!BL15:BM15,"六本木ー夜勤")+COUNTIF('1月'!BQ15:BR15,"六本木ー夜勤")+COUNTIF('1月'!BV15:BW15,"六本木ー夜勤")+COUNTIF('1月'!CA15:CB15,"六本木ー夜勤")+COUNTIF('1月'!CF15:CG15,"六本木ー夜勤")+COUNTIF('1月'!CK15:CL15,"六本木ー夜勤")+COUNTIF('1月'!CP15:CQ15,"六本木ー夜勤")+COUNTIF('1月'!CU15:CV15,"六本木ー夜勤")+COUNTIF('1月'!CZ15:DA15,"六本木ー夜勤")+COUNTIF('1月'!DE15:DF15,"六本木ー夜勤")+COUNTIF('1月'!DJ15:DK15,"六本木ー夜勤")+COUNTIF('1月'!DO15:DP15,"六本木ー夜勤")+COUNTIF('1月'!DT15:DU15,"六本木ー夜勤")+COUNTIF('1月'!DY15:DZ15,"六本木ー夜勤")+COUNTIF('1月'!ED15:EE15,"六本木ー夜勤")+COUNTIF('1月'!EI15:EJ15,"六本木ー夜勤")+COUNTIF('1月'!EN15:EO15,"六本木ー夜勤")+COUNTIF('1月'!ES15:ET15,"六本木ー夜勤")</f>
        <v>0</v>
      </c>
      <c r="K17" s="76">
        <f t="shared" si="4"/>
        <v>0</v>
      </c>
      <c r="L17" s="76">
        <f>COUNTIF('1月'!D15:E15,L$4)+COUNTIF('1月'!I15:J15,L$4)+COUNTIF('1月'!N15:O15,L$4)+COUNTIF('1月'!S15:T15,L$4)+COUNTIF('1月'!X15:Y15,L$4)+COUNTIF('1月'!AC15:AD15,L$4)+COUNTIF('1月'!AH15:AI15,L$4)+COUNTIF('1月'!AM15:AN15,L$4)+COUNTIF('1月'!AR15:AS15,L$4)+COUNTIF('1月'!AW15:AX15,L$4)+COUNTIF('1月'!BB15:BC15,L$4)+COUNTIF('1月'!BG15:BH15,L$4)+COUNTIF('1月'!BL15:BM15,L$4)+COUNTIF('1月'!BQ15:BR15,L$4)+COUNTIF('1月'!BV15:BW15,L$4)+COUNTIF('1月'!CA15:CB15,L$4)+COUNTIF('1月'!CF15:CG15,L$4)+COUNTIF('1月'!CK15:CL15,L$4)+COUNTIF('1月'!CP15:CQ15,L$4)+COUNTIF('1月'!CU15:CV15,L$4)+COUNTIF('1月'!CZ15:DA15,L$4)+COUNTIF('1月'!DE15:DF15,L$4)+COUNTIF('1月'!DJ15:DK15,L$4)+COUNTIF('1月'!DO15:DP15,L$4)+COUNTIF('1月'!DT15:DU15,L$4)+COUNTIF('1月'!DY15:DZ15,L$4)+COUNTIF('1月'!ED15:EE15,L$4)+COUNTIF('1月'!EI15:EJ15,L$4)+COUNTIF('1月'!EN15:EO15,L$4)+COUNTIF('1月'!ES15:ET15,L$4)</f>
        <v>0</v>
      </c>
      <c r="M17" s="76">
        <f t="shared" si="5"/>
        <v>0</v>
      </c>
      <c r="N17" s="76">
        <f>COUNTIF('1月'!D15:E15,N$4)+COUNTIF('1月'!I15:J15,N$4)+COUNTIF('1月'!N15:O15,N$4)+COUNTIF('1月'!S15:T15,N$4)+COUNTIF('1月'!X15:Y15,N$4)+COUNTIF('1月'!AC15:AD15,N$4)+COUNTIF('1月'!AH15:AI15,N$4)+COUNTIF('1月'!AM15:AN15,N$4)+COUNTIF('1月'!AR15:AS15,N$4)+COUNTIF('1月'!AW15:AX15,N$4)+COUNTIF('1月'!BB15:BC15,N$4)+COUNTIF('1月'!BG15:BH15,N$4)+COUNTIF('1月'!BL15:BM15,N$4)+COUNTIF('1月'!BQ15:BR15,N$4)+COUNTIF('1月'!BV15:BW15,N$4)+COUNTIF('1月'!CA15:CB15,N$4)+COUNTIF('1月'!CF15:CG15,N$4)+COUNTIF('1月'!CK15:CL15,N$4)+COUNTIF('1月'!CP15:CQ15,N$4)+COUNTIF('1月'!CU15:CV15,N$4)+COUNTIF('1月'!CZ15:DA15,N$4)+COUNTIF('1月'!DE15:DF15,N$4)+COUNTIF('1月'!DJ15:DK15,N$4)+COUNTIF('1月'!DO15:DP15,N$4)+COUNTIF('1月'!DT15:DU15,N$4)+COUNTIF('1月'!DY15:DZ15,N$4)+COUNTIF('1月'!ED15:EE15,N$4)+COUNTIF('1月'!EI15:EJ15,N$4)+COUNTIF('1月'!EN15:EO15,N$4)+COUNTIF('1月'!ES15:ET15,N$4)+COUNTIF('1月'!D15:E15,"三軒茶屋－夜勤")+COUNTIF('1月'!I15:J15,"三軒茶屋－夜勤")+COUNTIF('1月'!N15:O15,"三軒茶屋－夜勤")+COUNTIF('1月'!S15:T15,"三軒茶屋－夜勤")+COUNTIF('1月'!X15:Y15,"三軒茶屋－夜勤")+COUNTIF('1月'!AC15:AD15,"三軒茶屋－夜勤")+COUNTIF('1月'!AH15:AI15,"三軒茶屋－夜勤")+COUNTIF('1月'!AM15:AN15,"三軒茶屋－夜勤")+COUNTIF('1月'!AR15:AS15,"三軒茶屋－夜勤")+COUNTIF('1月'!AW15:AX15,"三軒茶屋－夜勤")+COUNTIF('1月'!BB15:BC15,"三軒茶屋－夜勤")+COUNTIF('1月'!BG15:BH15,"三軒茶屋－夜勤")+COUNTIF('1月'!BL15:BM15,"三軒茶屋－夜勤")+COUNTIF('1月'!BQ15:BR15,"三軒茶屋－夜勤")+COUNTIF('1月'!BV15:BW15,"三軒茶屋－夜勤")+COUNTIF('1月'!CA15:CB15,"三軒茶屋－夜勤")+COUNTIF('1月'!CF15:CG15,"三軒茶屋－夜勤")+COUNTIF('1月'!CK15:CL15,"三軒茶屋－夜勤")+COUNTIF('1月'!CP15:CQ15,"三軒茶屋－夜勤")+COUNTIF('1月'!CU15:CV15,"三軒茶屋－夜勤")+COUNTIF('1月'!CZ15:DA15,"三軒茶屋－夜勤")+COUNTIF('1月'!DE15:DF15,"三軒茶屋－夜勤")+COUNTIF('1月'!DJ15:DK15,"三軒茶屋－夜勤")+COUNTIF('1月'!DO15:DP15,"三軒茶屋－夜勤")+COUNTIF('1月'!DT15:DU15,"三軒茶屋－夜勤")+COUNTIF('1月'!DY15:DZ15,"三軒茶屋－夜勤")+COUNTIF('1月'!ED15:EE15,"三軒茶屋－夜勤")+COUNTIF('1月'!EI15:EJ15,"三軒茶屋－夜勤")+COUNTIF('1月'!EN15:EO15,"三軒茶屋－夜勤")+COUNTIF('1月'!ES15:ET15,"三軒茶屋－夜勤")</f>
        <v>0</v>
      </c>
      <c r="O17" s="76">
        <f t="shared" si="6"/>
        <v>0</v>
      </c>
      <c r="P17" s="76">
        <f>COUNTIF('1月'!D15:E15,P$4)+COUNTIF('1月'!I15:J15,P$4)+COUNTIF('1月'!N15:O15,P$4)+COUNTIF('1月'!S15:T15,P$4)+COUNTIF('1月'!X15:Y15,P$4)+COUNTIF('1月'!AC15:AD15,P$4)+COUNTIF('1月'!AH15:AI15,P$4)+COUNTIF('1月'!AM15:AN15,P$4)+COUNTIF('1月'!AR15:AS15,P$4)+COUNTIF('1月'!AW15:AX15,P$4)+COUNTIF('1月'!BB15:BC15,P$4)+COUNTIF('1月'!BG15:BH15,P$4)+COUNTIF('1月'!BL15:BM15,P$4)+COUNTIF('1月'!BQ15:BR15,P$4)+COUNTIF('1月'!BV15:BW15,P$4)+COUNTIF('1月'!CA15:CB15,P$4)+COUNTIF('1月'!CF15:CG15,P$4)+COUNTIF('1月'!CK15:CL15,P$4)+COUNTIF('1月'!CP15:CQ15,P$4)+COUNTIF('1月'!CU15:CV15,P$4)+COUNTIF('1月'!CZ15:DA15,P$4)+COUNTIF('1月'!DE15:DF15,P$4)+COUNTIF('1月'!DJ15:DK15,P$4)+COUNTIF('1月'!DO15:DP15,P$4)+COUNTIF('1月'!DT15:DU15,P$4)+COUNTIF('1月'!DY15:DZ15,P$4)+COUNTIF('1月'!ED15:EE15,P$4)+COUNTIF('1月'!EI15:EJ15,P$4)+COUNTIF('1月'!EN15:EO15,P$4)+COUNTIF('1月'!ES15:ET15,P$4)+COUNTIF('1月'!D15:E15,"荻窪ー夜勤")+COUNTIF('1月'!I15:J15,"荻窪ー夜勤")+COUNTIF('1月'!N15:O15,"荻窪ー夜勤")+COUNTIF('1月'!S15:T15,"荻窪ー夜勤")+COUNTIF('1月'!X15:Y15,"荻窪ー夜勤")+COUNTIF('1月'!AC15:AD15,"荻窪ー夜勤")+COUNTIF('1月'!AH15:AI15,"荻窪ー夜勤")+COUNTIF('1月'!AM15:AN15,"荻窪ー夜勤")+COUNTIF('1月'!AR15:AS15,"荻窪ー夜勤")+COUNTIF('1月'!AW15:AX15,"荻窪ー夜勤")+COUNTIF('1月'!BB15:BC15,"荻窪ー夜勤")+COUNTIF('1月'!BG15:BH15,"荻窪ー夜勤")+COUNTIF('1月'!BL15:BM15,"荻窪ー夜勤")+COUNTIF('1月'!BQ15:BR15,"荻窪ー夜勤")+COUNTIF('1月'!BV15:BW15,"荻窪ー夜勤")+COUNTIF('1月'!CA15:CB15,"荻窪ー夜勤")+COUNTIF('1月'!CF15:CG15,"荻窪ー夜勤")+COUNTIF('1月'!CK15:CL15,"荻窪ー夜勤")+COUNTIF('1月'!CP15:CQ15,"荻窪ー夜勤")+COUNTIF('1月'!CU15:CV15,"荻窪ー夜勤")+COUNTIF('1月'!CZ15:DA15,"荻窪ー夜勤")+COUNTIF('1月'!DE15:DF15,"荻窪ー夜勤")+COUNTIF('1月'!DJ15:DK15,"荻窪ー夜勤")+COUNTIF('1月'!DO15:DP15,"荻窪ー夜勤")+COUNTIF('1月'!DT15:DU15,"荻窪ー夜勤")+COUNTIF('1月'!DY15:DZ15,"荻窪ー夜勤")+COUNTIF('1月'!ED15:EE15,"荻窪ー夜勤")+COUNTIF('1月'!EI15:EJ15,"荻窪ー夜勤")+COUNTIF('1月'!EN15:EO15,"荻窪ー夜勤")+COUNTIF('1月'!ES15:ET15,"荻窪ー夜勤")</f>
        <v>0</v>
      </c>
      <c r="Q17" s="76">
        <f t="shared" si="7"/>
        <v>0</v>
      </c>
      <c r="R17" s="76">
        <f>COUNTIF('1月'!D15:E15,R$4)+COUNTIF('1月'!I15:J15,R$4)+COUNTIF('1月'!N15:O15,R$4)+COUNTIF('1月'!S15:T15,R$4)+COUNTIF('1月'!X15:Y15,R$4)+COUNTIF('1月'!AC15:AD15,R$4)+COUNTIF('1月'!AH15:AI15,R$4)+COUNTIF('1月'!AM15:AN15,R$4)+COUNTIF('1月'!AR15:AS15,R$4)+COUNTIF('1月'!AW15:AX15,R$4)+COUNTIF('1月'!BB15:BC15,R$4)+COUNTIF('1月'!BG15:BH15,R$4)+COUNTIF('1月'!BL15:BM15,R$4)+COUNTIF('1月'!BQ15:BR15,R$4)+COUNTIF('1月'!BV15:BW15,R$4)+COUNTIF('1月'!CA15:CB15,R$4)+COUNTIF('1月'!CF15:CG15,R$4)+COUNTIF('1月'!CK15:CL15,R$4)+COUNTIF('1月'!CP15:CQ15,R$4)+COUNTIF('1月'!CU15:CV15,R$4)+COUNTIF('1月'!CZ15:DA15,R$4)+COUNTIF('1月'!DE15:DF15,R$4)+COUNTIF('1月'!DJ15:DK15,R$4)+COUNTIF('1月'!DO15:DP15,R$4)+COUNTIF('1月'!DT15:DU15,R$4)+COUNTIF('1月'!DY15:DZ15,R$4)+COUNTIF('1月'!ED15:EE15,R$4)+COUNTIF('1月'!EI15:EJ15,R$4)+COUNTIF('1月'!EN15:EO15,R$4)+COUNTIF('1月'!ES15:ET15,R$4)</f>
        <v>0</v>
      </c>
      <c r="S17" s="76">
        <f t="shared" si="8"/>
        <v>0</v>
      </c>
      <c r="T17" s="76">
        <f>COUNTIF('1月'!D15:E15,T$4)+COUNTIF('1月'!I15:J15,T$4)+COUNTIF('1月'!N15:O15,T$4)+COUNTIF('1月'!S15:T15,T$4)+COUNTIF('1月'!X15:Y15,T$4)+COUNTIF('1月'!AC15:AD15,T$4)+COUNTIF('1月'!AH15:AI15,T$4)+COUNTIF('1月'!AM15:AN15,T$4)+COUNTIF('1月'!AR15:AS15,T$4)+COUNTIF('1月'!AW15:AX15,T$4)+COUNTIF('1月'!BB15:BC15,T$4)+COUNTIF('1月'!BG15:BH15,T$4)+COUNTIF('1月'!BL15:BM15,T$4)+COUNTIF('1月'!BQ15:BR15,T$4)+COUNTIF('1月'!BV15:BW15,T$4)+COUNTIF('1月'!CA15:CB15,T$4)+COUNTIF('1月'!CF15:CG15,T$4)+COUNTIF('1月'!CK15:CL15,T$4)+COUNTIF('1月'!CP15:CQ15,T$4)+COUNTIF('1月'!CU15:CV15,T$4)+COUNTIF('1月'!CZ15:DA15,T$4)+COUNTIF('1月'!DE15:DF15,T$4)+COUNTIF('1月'!DJ15:DK15,T$4)+COUNTIF('1月'!DO15:DP15,T$4)+COUNTIF('1月'!DT15:DU15,T$4)+COUNTIF('1月'!DY15:DZ15,T$4)+COUNTIF('1月'!ED15:EE15,T$4)+COUNTIF('1月'!EI15:EJ15,T$4)+COUNTIF('1月'!EN15:EO15,T$4)+COUNTIF('1月'!ES15:ET15,T$4)</f>
        <v>0</v>
      </c>
      <c r="U17" s="76">
        <f t="shared" si="9"/>
        <v>0</v>
      </c>
      <c r="V17" s="76">
        <f>COUNTIF('1月'!D15:E15,V$4)+COUNTIF('1月'!I15:J15,V$4)+COUNTIF('1月'!N15:O15,V$4)+COUNTIF('1月'!S15:T15,V$4)+COUNTIF('1月'!X15:Y15,V$4)+COUNTIF('1月'!AC15:AD15,V$4)+COUNTIF('1月'!AH15:AI15,V$4)+COUNTIF('1月'!AM15:AN15,V$4)+COUNTIF('1月'!AR15:AS15,V$4)+COUNTIF('1月'!AW15:AX15,V$4)+COUNTIF('1月'!BB15:BC15,V$4)+COUNTIF('1月'!BG15:BH15,V$4)+COUNTIF('1月'!BL15:BM15,V$4)+COUNTIF('1月'!BQ15:BR15,V$4)+COUNTIF('1月'!BV15:BW15,V$4)+COUNTIF('1月'!CA15:CB15,V$4)+COUNTIF('1月'!CF15:CG15,V$4)+COUNTIF('1月'!CK15:CL15,V$4)+COUNTIF('1月'!CP15:CQ15,V$4)+COUNTIF('1月'!CU15:CV15,V$4)+COUNTIF('1月'!CZ15:DA15,V$4)+COUNTIF('1月'!DE15:DF15,V$4)+COUNTIF('1月'!DJ15:DK15,V$4)+COUNTIF('1月'!DO15:DP15,V$4)+COUNTIF('1月'!DT15:DU15,V$4)+COUNTIF('1月'!DY15:DZ15,V$4)+COUNTIF('1月'!ED15:EE15,V$4)+COUNTIF('1月'!EI15:EJ15,V$4)+COUNTIF('1月'!EN15:EO15,V$4)+COUNTIF('1月'!ES15:ET15,V$4)</f>
        <v>0</v>
      </c>
      <c r="W17" s="76">
        <f t="shared" si="10"/>
        <v>0</v>
      </c>
      <c r="X17" s="76">
        <f>COUNTIF('1月'!D15:E15,X$4)+COUNTIF('1月'!I15:J15,X$4)+COUNTIF('1月'!N15:O15,X$4)+COUNTIF('1月'!S15:T15,X$4)+COUNTIF('1月'!X15:Y15,X$4)+COUNTIF('1月'!AC15:AD15,X$4)+COUNTIF('1月'!AH15:AI15,X$4)+COUNTIF('1月'!AM15:AN15,X$4)+COUNTIF('1月'!AR15:AS15,X$4)+COUNTIF('1月'!AW15:AX15,X$4)+COUNTIF('1月'!BB15:BC15,X$4)+COUNTIF('1月'!BG15:BH15,X$4)+COUNTIF('1月'!BL15:BM15,X$4)+COUNTIF('1月'!BQ15:BR15,X$4)+COUNTIF('1月'!BV15:BW15,X$4)+COUNTIF('1月'!CA15:CB15,X$4)+COUNTIF('1月'!CF15:CG15,X$4)+COUNTIF('1月'!CK15:CL15,X$4)+COUNTIF('1月'!CP15:CQ15,X$4)+COUNTIF('1月'!CU15:CV15,X$4)+COUNTIF('1月'!CZ15:DA15,X$4)+COUNTIF('1月'!DE15:DF15,X$4)+COUNTIF('1月'!DJ15:DK15,X$4)+COUNTIF('1月'!DO15:DP15,X$4)+COUNTIF('1月'!DT15:DU15,X$4)+COUNTIF('1月'!DY15:DZ15,X$4)+COUNTIF('1月'!ED15:EE15,X$4)+COUNTIF('1月'!EI15:EJ15,X$4)+COUNTIF('1月'!EN15:EO15,X$4)+COUNTIF('1月'!ES15:ET15,X$4)</f>
        <v>0</v>
      </c>
      <c r="Y17" s="76">
        <f t="shared" si="11"/>
        <v>0</v>
      </c>
    </row>
    <row r="18" spans="1:25" ht="18" customHeight="1">
      <c r="A18" s="76">
        <v>13</v>
      </c>
      <c r="B18" s="76">
        <f>COUNTIF('1月'!D16:E16,B$4)+COUNTIF('1月'!I16:J16,B$4)+COUNTIF('1月'!N16:O16,B$4)+COUNTIF('1月'!S16:T16,B$4)+COUNTIF('1月'!X16:Y16,B$4)+COUNTIF('1月'!AC16:AD16,B$4)+COUNTIF('1月'!AH16:AI16,B$4)+COUNTIF('1月'!AM16:AN16,B$4)+COUNTIF('1月'!AR16:AS16,B$4)+COUNTIF('1月'!AW16:AX16,B$4)+COUNTIF('1月'!BB16:BC16,B$4)+COUNTIF('1月'!BG16:BH16,B$4)+COUNTIF('1月'!BL16:BM16,B$4)+COUNTIF('1月'!BQ16:BR16,B$4)+COUNTIF('1月'!BV16:BW16,B$4)+COUNTIF('1月'!CA16:CB16,B$4)+COUNTIF('1月'!CF16:CG16,B$4)+COUNTIF('1月'!CK16:CL16,B$4)+COUNTIF('1月'!CP16:CQ16,B$4)+COUNTIF('1月'!CU16:CV16,B$4)+COUNTIF('1月'!CZ16:DA16,B$4)+COUNTIF('1月'!DE16:DF16,B$4)+COUNTIF('1月'!DJ16:DK16,B$4)+COUNTIF('1月'!DO16:DP16,B$4)+COUNTIF('1月'!DT16:DU16,B$4)+COUNTIF('1月'!DY16:DZ16,B$4)+COUNTIF('1月'!ED16:EE16,B$4)+COUNTIF('1月'!EI16:EJ16,B$4)+COUNTIF('1月'!EN16:EO16,B$4)+COUNTIF('1月'!ES16:ET16,B$4)</f>
        <v>0</v>
      </c>
      <c r="C18" s="76">
        <f t="shared" si="0"/>
        <v>0</v>
      </c>
      <c r="D18" s="76">
        <f>COUNTIF('1月'!D16:E16,D$4)+COUNTIF('1月'!I16:J16,D$4)+COUNTIF('1月'!N16:O16,D$4)+COUNTIF('1月'!S16:T16,D$4)+COUNTIF('1月'!X16:Y16,D$4)+COUNTIF('1月'!AC16:AD16,D$4)+COUNTIF('1月'!AH16:AI16,D$4)+COUNTIF('1月'!AM16:AN16,D$4)+COUNTIF('1月'!AR16:AS16,D$4)+COUNTIF('1月'!AW16:AX16,D$4)+COUNTIF('1月'!BB16:BC16,D$4)+COUNTIF('1月'!BG16:BH16,D$4)+COUNTIF('1月'!BL16:BM16,D$4)+COUNTIF('1月'!BQ16:BR16,D$4)+COUNTIF('1月'!BV16:BW16,D$4)+COUNTIF('1月'!CA16:CB16,D$4)+COUNTIF('1月'!CF16:CG16,D$4)+COUNTIF('1月'!CK16:CL16,D$4)+COUNTIF('1月'!CP16:CQ16,D$4)+COUNTIF('1月'!CU16:CV16,D$4)+COUNTIF('1月'!CZ16:DA16,D$4)+COUNTIF('1月'!DE16:DF16,D$4)+COUNTIF('1月'!DJ16:DK16,D$4)+COUNTIF('1月'!DO16:DP16,D$4)+COUNTIF('1月'!DT16:DU16,D$4)+COUNTIF('1月'!DY16:DZ16,D$4)+COUNTIF('1月'!ED16:EE16,D$4)+COUNTIF('1月'!EI16:EJ16,D$4)+COUNTIF('1月'!EN16:EO16,D$4)+COUNTIF('1月'!ES16:ET16,D$4)</f>
        <v>0</v>
      </c>
      <c r="E18" s="76">
        <f t="shared" si="1"/>
        <v>0</v>
      </c>
      <c r="F18" s="76">
        <f>COUNTIF('1月'!D16:E16,F$4)+COUNTIF('1月'!I16:J16,F$4)+COUNTIF('1月'!N16:O16,F$4)+COUNTIF('1月'!S16:T16,F$4)+COUNTIF('1月'!X16:Y16,F$4)+COUNTIF('1月'!AC16:AD16,F$4)+COUNTIF('1月'!AH16:AI16,F$4)+COUNTIF('1月'!AM16:AN16,F$4)+COUNTIF('1月'!AR16:AS16,F$4)+COUNTIF('1月'!AW16:AX16,F$4)+COUNTIF('1月'!BB16:BC16,F$4)+COUNTIF('1月'!BG16:BH16,F$4)+COUNTIF('1月'!BL16:BM16,F$4)+COUNTIF('1月'!BQ16:BR16,F$4)+COUNTIF('1月'!BV16:BW16,F$4)+COUNTIF('1月'!CA16:CB16,F$4)+COUNTIF('1月'!CF16:CG16,F$4)+COUNTIF('1月'!CK16:CL16,F$4)+COUNTIF('1月'!CP16:CQ16,F$4)+COUNTIF('1月'!CU16:CV16,F$4)+COUNTIF('1月'!CZ16:DA16,F$4)+COUNTIF('1月'!DE16:DF16,F$4)+COUNTIF('1月'!DJ16:DK16,F$4)+COUNTIF('1月'!DO16:DP16,F$4)+COUNTIF('1月'!DT16:DU16,F$4)+COUNTIF('1月'!DY16:DZ16,F$4)+COUNTIF('1月'!ED16:EE16,F$4)+COUNTIF('1月'!EI16:EJ16,F$4)+COUNTIF('1月'!EN16:EO16,F$4)+COUNTIF('1月'!ES16:ET16,F$4)</f>
        <v>0</v>
      </c>
      <c r="G18" s="76">
        <f t="shared" si="2"/>
        <v>0</v>
      </c>
      <c r="H18" s="76">
        <f>COUNTIF('1月'!D16:E16,H$4)+COUNTIF('1月'!I16:J16,H$4)+COUNTIF('1月'!N16:O16,H$4)+COUNTIF('1月'!S16:T16,H$4)+COUNTIF('1月'!X16:Y16,H$4)+COUNTIF('1月'!AC16:AD16,H$4)+COUNTIF('1月'!AH16:AI16,H$4)+COUNTIF('1月'!AM16:AN16,H$4)+COUNTIF('1月'!AR16:AS16,H$4)+COUNTIF('1月'!AW16:AX16,H$4)+COUNTIF('1月'!BB16:BC16,H$4)+COUNTIF('1月'!BG16:BH16,H$4)+COUNTIF('1月'!BL16:BM16,H$4)+COUNTIF('1月'!BQ16:BR16,H$4)+COUNTIF('1月'!BV16:BW16,H$4)+COUNTIF('1月'!CA16:CB16,H$4)+COUNTIF('1月'!CF16:CG16,H$4)+COUNTIF('1月'!CK16:CL16,H$4)+COUNTIF('1月'!CP16:CQ16,H$4)+COUNTIF('1月'!CU16:CV16,H$4)+COUNTIF('1月'!CZ16:DA16,H$4)+COUNTIF('1月'!DE16:DF16,H$4)+COUNTIF('1月'!DJ16:DK16,H$4)+COUNTIF('1月'!DO16:DP16,H$4)+COUNTIF('1月'!DT16:DU16,H$4)+COUNTIF('1月'!DY16:DZ16,H$4)+COUNTIF('1月'!ED16:EE16,H$4)+COUNTIF('1月'!EI16:EJ16,H$4)+COUNTIF('1月'!EN16:EO16,H$4)+COUNTIF('1月'!ES16:ET16,H$4)+COUNTIF('1月'!D16:E16,"渋谷-夜勤")+COUNTIF('1月'!I16:J16,"渋谷-夜勤")+COUNTIF('1月'!N16:O16,"渋谷-夜勤")+COUNTIF('1月'!S16:T16,"渋谷-夜勤")+COUNTIF('1月'!X16:Y16,"渋谷-夜勤")+COUNTIF('1月'!AC16:AD16,"渋谷-夜勤")+COUNTIF('1月'!AH16:AI16,"渋谷-夜勤")+COUNTIF('1月'!AM16:AN16,"渋谷-夜勤")+COUNTIF('1月'!AR16:AS16,"渋谷-夜勤")+COUNTIF('1月'!AW16:AX16,"渋谷-夜勤")+COUNTIF('1月'!BB16:BC16,"渋谷-夜勤")+COUNTIF('1月'!BG16:BH16,"渋谷-夜勤")+COUNTIF('1月'!BL16:BM16,"渋谷-夜勤")+COUNTIF('1月'!BQ16:BR16,"渋谷-夜勤")+COUNTIF('1月'!BV16:BW16,"渋谷-夜勤")+COUNTIF('1月'!CA16:CB16,"渋谷-夜勤")+COUNTIF('1月'!CF16:CG16,"渋谷-夜勤")+COUNTIF('1月'!CK16:CL16,"渋谷-夜勤")+COUNTIF('1月'!CP16:CQ16,"渋谷-夜勤")+COUNTIF('1月'!CU16:CV16,"渋谷-夜勤")+COUNTIF('1月'!CZ16:DA16,"渋谷-夜勤")+COUNTIF('1月'!DE16:DF16,"渋谷-夜勤")+COUNTIF('1月'!DJ16:DK16,"渋谷-夜勤")+COUNTIF('1月'!DO16:DP16,"渋谷-夜勤")+COUNTIF('1月'!DT16:DU16,"渋谷-夜勤")+COUNTIF('1月'!DY16:DZ16,"渋谷-夜勤")+COUNTIF('1月'!ED16:EE16,"渋谷-夜勤")+COUNTIF('1月'!EI16:EJ16,"渋谷-夜勤")+COUNTIF('1月'!EN16:EO16,"渋谷-夜勤")+COUNTIF('1月'!ES16:ET16,"渋谷-夜勤")</f>
        <v>0</v>
      </c>
      <c r="I18" s="76">
        <f t="shared" si="3"/>
        <v>0</v>
      </c>
      <c r="J18" s="76">
        <f>COUNTIF('1月'!D16:E16,J$4)+COUNTIF('1月'!I16:J16,J$4)+COUNTIF('1月'!N16:O16,J$4)+COUNTIF('1月'!S16:T16,J$4)+COUNTIF('1月'!X16:Y16,J$4)+COUNTIF('1月'!AC16:AD16,J$4)+COUNTIF('1月'!AH16:AI16,J$4)+COUNTIF('1月'!AM16:AN16,J$4)+COUNTIF('1月'!AR16:AS16,J$4)+COUNTIF('1月'!AW16:AX16,J$4)+COUNTIF('1月'!BB16:BC16,J$4)+COUNTIF('1月'!BG16:BH16,J$4)+COUNTIF('1月'!BL16:BM16,J$4)+COUNTIF('1月'!BQ16:BR16,J$4)+COUNTIF('1月'!BV16:BW16,J$4)+COUNTIF('1月'!CA16:CB16,J$4)+COUNTIF('1月'!CF16:CG16,J$4)+COUNTIF('1月'!CK16:CL16,J$4)+COUNTIF('1月'!CP16:CQ16,J$4)+COUNTIF('1月'!CU16:CV16,J$4)+COUNTIF('1月'!CZ16:DA16,J$4)+COUNTIF('1月'!DE16:DF16,J$4)+COUNTIF('1月'!DJ16:DK16,J$4)+COUNTIF('1月'!DO16:DP16,J$4)+COUNTIF('1月'!DT16:DU16,J$4)+COUNTIF('1月'!DY16:DZ16,J$4)+COUNTIF('1月'!ED16:EE16,J$4)+COUNTIF('1月'!EI16:EJ16,J$4)+COUNTIF('1月'!EN16:EO16,J$4)+COUNTIF('1月'!ES16:ET16,J$4)+COUNTIF('1月'!D16:E16,"六本木-夜勤")+COUNTIF('1月'!I16:J16,"六本木-夜勤")+COUNTIF('1月'!N16:O16,"六本木-夜勤")+COUNTIF('1月'!S16:T16,"六本木-夜勤")+COUNTIF('1月'!X16:Y16,"六本木-夜勤")+COUNTIF('1月'!AC16:AD16,"六本木-夜勤")+COUNTIF('1月'!AH16:AI16,"六本木-夜勤")+COUNTIF('1月'!AM16:AN16,"六本木-夜勤")+COUNTIF('1月'!AR16:AS16,"六本木-夜勤")+COUNTIF('1月'!AW16:AX16,"六本木-夜勤")+COUNTIF('1月'!BB16:BC16,"六本木-夜勤")+COUNTIF('1月'!BG16:BH16,"六本木-夜勤")+COUNTIF('1月'!BL16:BM16,"六本木-夜勤")+COUNTIF('1月'!BQ16:BR16,"六本木-夜勤")+COUNTIF('1月'!BV16:BW16,"六本木-夜勤")+COUNTIF('1月'!CA16:CB16,"六本木-夜勤")+COUNTIF('1月'!CF16:CG16,"六本木-夜勤")+COUNTIF('1月'!CK16:CL16,"六本木-夜勤")+COUNTIF('1月'!CP16:CQ16,"六本木-夜勤")+COUNTIF('1月'!CU16:CV16,"六本木-夜勤")+COUNTIF('1月'!CZ16:DA16,"六本木-夜勤")+COUNTIF('1月'!DE16:DF16,"六本木-夜勤")+COUNTIF('1月'!DJ16:DK16,"六本木-夜勤")+COUNTIF('1月'!DO16:DP16,"六本木-夜勤")+COUNTIF('1月'!DT16:DU16,"六本木-夜勤")+COUNTIF('1月'!DY16:DZ16,"六本木-夜勤")+COUNTIF('1月'!ED16:EE16,"六本木-夜勤")+COUNTIF('1月'!EI16:EJ16,"六本木-夜勤")+COUNTIF('1月'!EN16:EO16,"六本木-夜勤")+COUNTIF('1月'!ES16:ET16,"六本木-夜勤")+COUNTIF('1月'!D16:E16,"六本木ー夜勤")+COUNTIF('1月'!I16:J16,"六本木ー夜勤")+COUNTIF('1月'!N16:O16,"六本木ー夜勤")+COUNTIF('1月'!S16:T16,"六本木ー夜勤")+COUNTIF('1月'!X16:Y16,"六本木ー夜勤")+COUNTIF('1月'!AC16:AD16,"六本木ー夜勤")+COUNTIF('1月'!AH16:AI16,"六本木ー夜勤")+COUNTIF('1月'!AM16:AN16,"六本木ー夜勤")+COUNTIF('1月'!AR16:AS16,"六本木ー夜勤")+COUNTIF('1月'!AW16:AX16,"六本木ー夜勤")+COUNTIF('1月'!BB16:BC16,"六本木ー夜勤")+COUNTIF('1月'!BG16:BH16,"六本木ー夜勤")+COUNTIF('1月'!BL16:BM16,"六本木ー夜勤")+COUNTIF('1月'!BQ16:BR16,"六本木ー夜勤")+COUNTIF('1月'!BV16:BW16,"六本木ー夜勤")+COUNTIF('1月'!CA16:CB16,"六本木ー夜勤")+COUNTIF('1月'!CF16:CG16,"六本木ー夜勤")+COUNTIF('1月'!CK16:CL16,"六本木ー夜勤")+COUNTIF('1月'!CP16:CQ16,"六本木ー夜勤")+COUNTIF('1月'!CU16:CV16,"六本木ー夜勤")+COUNTIF('1月'!CZ16:DA16,"六本木ー夜勤")+COUNTIF('1月'!DE16:DF16,"六本木ー夜勤")+COUNTIF('1月'!DJ16:DK16,"六本木ー夜勤")+COUNTIF('1月'!DO16:DP16,"六本木ー夜勤")+COUNTIF('1月'!DT16:DU16,"六本木ー夜勤")+COUNTIF('1月'!DY16:DZ16,"六本木ー夜勤")+COUNTIF('1月'!ED16:EE16,"六本木ー夜勤")+COUNTIF('1月'!EI16:EJ16,"六本木ー夜勤")+COUNTIF('1月'!EN16:EO16,"六本木ー夜勤")+COUNTIF('1月'!ES16:ET16,"六本木ー夜勤")</f>
        <v>0</v>
      </c>
      <c r="K18" s="76">
        <f t="shared" si="4"/>
        <v>0</v>
      </c>
      <c r="L18" s="76">
        <f>COUNTIF('1月'!D16:E16,L$4)+COUNTIF('1月'!I16:J16,L$4)+COUNTIF('1月'!N16:O16,L$4)+COUNTIF('1月'!S16:T16,L$4)+COUNTIF('1月'!X16:Y16,L$4)+COUNTIF('1月'!AC16:AD16,L$4)+COUNTIF('1月'!AH16:AI16,L$4)+COUNTIF('1月'!AM16:AN16,L$4)+COUNTIF('1月'!AR16:AS16,L$4)+COUNTIF('1月'!AW16:AX16,L$4)+COUNTIF('1月'!BB16:BC16,L$4)+COUNTIF('1月'!BG16:BH16,L$4)+COUNTIF('1月'!BL16:BM16,L$4)+COUNTIF('1月'!BQ16:BR16,L$4)+COUNTIF('1月'!BV16:BW16,L$4)+COUNTIF('1月'!CA16:CB16,L$4)+COUNTIF('1月'!CF16:CG16,L$4)+COUNTIF('1月'!CK16:CL16,L$4)+COUNTIF('1月'!CP16:CQ16,L$4)+COUNTIF('1月'!CU16:CV16,L$4)+COUNTIF('1月'!CZ16:DA16,L$4)+COUNTIF('1月'!DE16:DF16,L$4)+COUNTIF('1月'!DJ16:DK16,L$4)+COUNTIF('1月'!DO16:DP16,L$4)+COUNTIF('1月'!DT16:DU16,L$4)+COUNTIF('1月'!DY16:DZ16,L$4)+COUNTIF('1月'!ED16:EE16,L$4)+COUNTIF('1月'!EI16:EJ16,L$4)+COUNTIF('1月'!EN16:EO16,L$4)+COUNTIF('1月'!ES16:ET16,L$4)</f>
        <v>0</v>
      </c>
      <c r="M18" s="76">
        <f t="shared" si="5"/>
        <v>0</v>
      </c>
      <c r="N18" s="76">
        <f>COUNTIF('1月'!D16:E16,N$4)+COUNTIF('1月'!I16:J16,N$4)+COUNTIF('1月'!N16:O16,N$4)+COUNTIF('1月'!S16:T16,N$4)+COUNTIF('1月'!X16:Y16,N$4)+COUNTIF('1月'!AC16:AD16,N$4)+COUNTIF('1月'!AH16:AI16,N$4)+COUNTIF('1月'!AM16:AN16,N$4)+COUNTIF('1月'!AR16:AS16,N$4)+COUNTIF('1月'!AW16:AX16,N$4)+COUNTIF('1月'!BB16:BC16,N$4)+COUNTIF('1月'!BG16:BH16,N$4)+COUNTIF('1月'!BL16:BM16,N$4)+COUNTIF('1月'!BQ16:BR16,N$4)+COUNTIF('1月'!BV16:BW16,N$4)+COUNTIF('1月'!CA16:CB16,N$4)+COUNTIF('1月'!CF16:CG16,N$4)+COUNTIF('1月'!CK16:CL16,N$4)+COUNTIF('1月'!CP16:CQ16,N$4)+COUNTIF('1月'!CU16:CV16,N$4)+COUNTIF('1月'!CZ16:DA16,N$4)+COUNTIF('1月'!DE16:DF16,N$4)+COUNTIF('1月'!DJ16:DK16,N$4)+COUNTIF('1月'!DO16:DP16,N$4)+COUNTIF('1月'!DT16:DU16,N$4)+COUNTIF('1月'!DY16:DZ16,N$4)+COUNTIF('1月'!ED16:EE16,N$4)+COUNTIF('1月'!EI16:EJ16,N$4)+COUNTIF('1月'!EN16:EO16,N$4)+COUNTIF('1月'!ES16:ET16,N$4)+COUNTIF('1月'!D16:E16,"三軒茶屋－夜勤")+COUNTIF('1月'!I16:J16,"三軒茶屋－夜勤")+COUNTIF('1月'!N16:O16,"三軒茶屋－夜勤")+COUNTIF('1月'!S16:T16,"三軒茶屋－夜勤")+COUNTIF('1月'!X16:Y16,"三軒茶屋－夜勤")+COUNTIF('1月'!AC16:AD16,"三軒茶屋－夜勤")+COUNTIF('1月'!AH16:AI16,"三軒茶屋－夜勤")+COUNTIF('1月'!AM16:AN16,"三軒茶屋－夜勤")+COUNTIF('1月'!AR16:AS16,"三軒茶屋－夜勤")+COUNTIF('1月'!AW16:AX16,"三軒茶屋－夜勤")+COUNTIF('1月'!BB16:BC16,"三軒茶屋－夜勤")+COUNTIF('1月'!BG16:BH16,"三軒茶屋－夜勤")+COUNTIF('1月'!BL16:BM16,"三軒茶屋－夜勤")+COUNTIF('1月'!BQ16:BR16,"三軒茶屋－夜勤")+COUNTIF('1月'!BV16:BW16,"三軒茶屋－夜勤")+COUNTIF('1月'!CA16:CB16,"三軒茶屋－夜勤")+COUNTIF('1月'!CF16:CG16,"三軒茶屋－夜勤")+COUNTIF('1月'!CK16:CL16,"三軒茶屋－夜勤")+COUNTIF('1月'!CP16:CQ16,"三軒茶屋－夜勤")+COUNTIF('1月'!CU16:CV16,"三軒茶屋－夜勤")+COUNTIF('1月'!CZ16:DA16,"三軒茶屋－夜勤")+COUNTIF('1月'!DE16:DF16,"三軒茶屋－夜勤")+COUNTIF('1月'!DJ16:DK16,"三軒茶屋－夜勤")+COUNTIF('1月'!DO16:DP16,"三軒茶屋－夜勤")+COUNTIF('1月'!DT16:DU16,"三軒茶屋－夜勤")+COUNTIF('1月'!DY16:DZ16,"三軒茶屋－夜勤")+COUNTIF('1月'!ED16:EE16,"三軒茶屋－夜勤")+COUNTIF('1月'!EI16:EJ16,"三軒茶屋－夜勤")+COUNTIF('1月'!EN16:EO16,"三軒茶屋－夜勤")+COUNTIF('1月'!ES16:ET16,"三軒茶屋－夜勤")</f>
        <v>0</v>
      </c>
      <c r="O18" s="76">
        <f t="shared" si="6"/>
        <v>0</v>
      </c>
      <c r="P18" s="76">
        <f>COUNTIF('1月'!D16:E16,P$4)+COUNTIF('1月'!I16:J16,P$4)+COUNTIF('1月'!N16:O16,P$4)+COUNTIF('1月'!S16:T16,P$4)+COUNTIF('1月'!X16:Y16,P$4)+COUNTIF('1月'!AC16:AD16,P$4)+COUNTIF('1月'!AH16:AI16,P$4)+COUNTIF('1月'!AM16:AN16,P$4)+COUNTIF('1月'!AR16:AS16,P$4)+COUNTIF('1月'!AW16:AX16,P$4)+COUNTIF('1月'!BB16:BC16,P$4)+COUNTIF('1月'!BG16:BH16,P$4)+COUNTIF('1月'!BL16:BM16,P$4)+COUNTIF('1月'!BQ16:BR16,P$4)+COUNTIF('1月'!BV16:BW16,P$4)+COUNTIF('1月'!CA16:CB16,P$4)+COUNTIF('1月'!CF16:CG16,P$4)+COUNTIF('1月'!CK16:CL16,P$4)+COUNTIF('1月'!CP16:CQ16,P$4)+COUNTIF('1月'!CU16:CV16,P$4)+COUNTIF('1月'!CZ16:DA16,P$4)+COUNTIF('1月'!DE16:DF16,P$4)+COUNTIF('1月'!DJ16:DK16,P$4)+COUNTIF('1月'!DO16:DP16,P$4)+COUNTIF('1月'!DT16:DU16,P$4)+COUNTIF('1月'!DY16:DZ16,P$4)+COUNTIF('1月'!ED16:EE16,P$4)+COUNTIF('1月'!EI16:EJ16,P$4)+COUNTIF('1月'!EN16:EO16,P$4)+COUNTIF('1月'!ES16:ET16,P$4)+COUNTIF('1月'!D16:E16,"荻窪ー夜勤")+COUNTIF('1月'!I16:J16,"荻窪ー夜勤")+COUNTIF('1月'!N16:O16,"荻窪ー夜勤")+COUNTIF('1月'!S16:T16,"荻窪ー夜勤")+COUNTIF('1月'!X16:Y16,"荻窪ー夜勤")+COUNTIF('1月'!AC16:AD16,"荻窪ー夜勤")+COUNTIF('1月'!AH16:AI16,"荻窪ー夜勤")+COUNTIF('1月'!AM16:AN16,"荻窪ー夜勤")+COUNTIF('1月'!AR16:AS16,"荻窪ー夜勤")+COUNTIF('1月'!AW16:AX16,"荻窪ー夜勤")+COUNTIF('1月'!BB16:BC16,"荻窪ー夜勤")+COUNTIF('1月'!BG16:BH16,"荻窪ー夜勤")+COUNTIF('1月'!BL16:BM16,"荻窪ー夜勤")+COUNTIF('1月'!BQ16:BR16,"荻窪ー夜勤")+COUNTIF('1月'!BV16:BW16,"荻窪ー夜勤")+COUNTIF('1月'!CA16:CB16,"荻窪ー夜勤")+COUNTIF('1月'!CF16:CG16,"荻窪ー夜勤")+COUNTIF('1月'!CK16:CL16,"荻窪ー夜勤")+COUNTIF('1月'!CP16:CQ16,"荻窪ー夜勤")+COUNTIF('1月'!CU16:CV16,"荻窪ー夜勤")+COUNTIF('1月'!CZ16:DA16,"荻窪ー夜勤")+COUNTIF('1月'!DE16:DF16,"荻窪ー夜勤")+COUNTIF('1月'!DJ16:DK16,"荻窪ー夜勤")+COUNTIF('1月'!DO16:DP16,"荻窪ー夜勤")+COUNTIF('1月'!DT16:DU16,"荻窪ー夜勤")+COUNTIF('1月'!DY16:DZ16,"荻窪ー夜勤")+COUNTIF('1月'!ED16:EE16,"荻窪ー夜勤")+COUNTIF('1月'!EI16:EJ16,"荻窪ー夜勤")+COUNTIF('1月'!EN16:EO16,"荻窪ー夜勤")+COUNTIF('1月'!ES16:ET16,"荻窪ー夜勤")</f>
        <v>0</v>
      </c>
      <c r="Q18" s="76">
        <f t="shared" si="7"/>
        <v>0</v>
      </c>
      <c r="R18" s="76">
        <f>COUNTIF('1月'!D16:E16,R$4)+COUNTIF('1月'!I16:J16,R$4)+COUNTIF('1月'!N16:O16,R$4)+COUNTIF('1月'!S16:T16,R$4)+COUNTIF('1月'!X16:Y16,R$4)+COUNTIF('1月'!AC16:AD16,R$4)+COUNTIF('1月'!AH16:AI16,R$4)+COUNTIF('1月'!AM16:AN16,R$4)+COUNTIF('1月'!AR16:AS16,R$4)+COUNTIF('1月'!AW16:AX16,R$4)+COUNTIF('1月'!BB16:BC16,R$4)+COUNTIF('1月'!BG16:BH16,R$4)+COUNTIF('1月'!BL16:BM16,R$4)+COUNTIF('1月'!BQ16:BR16,R$4)+COUNTIF('1月'!BV16:BW16,R$4)+COUNTIF('1月'!CA16:CB16,R$4)+COUNTIF('1月'!CF16:CG16,R$4)+COUNTIF('1月'!CK16:CL16,R$4)+COUNTIF('1月'!CP16:CQ16,R$4)+COUNTIF('1月'!CU16:CV16,R$4)+COUNTIF('1月'!CZ16:DA16,R$4)+COUNTIF('1月'!DE16:DF16,R$4)+COUNTIF('1月'!DJ16:DK16,R$4)+COUNTIF('1月'!DO16:DP16,R$4)+COUNTIF('1月'!DT16:DU16,R$4)+COUNTIF('1月'!DY16:DZ16,R$4)+COUNTIF('1月'!ED16:EE16,R$4)+COUNTIF('1月'!EI16:EJ16,R$4)+COUNTIF('1月'!EN16:EO16,R$4)+COUNTIF('1月'!ES16:ET16,R$4)</f>
        <v>0</v>
      </c>
      <c r="S18" s="76">
        <f t="shared" si="8"/>
        <v>0</v>
      </c>
      <c r="T18" s="76">
        <f>COUNTIF('1月'!D16:E16,T$4)+COUNTIF('1月'!I16:J16,T$4)+COUNTIF('1月'!N16:O16,T$4)+COUNTIF('1月'!S16:T16,T$4)+COUNTIF('1月'!X16:Y16,T$4)+COUNTIF('1月'!AC16:AD16,T$4)+COUNTIF('1月'!AH16:AI16,T$4)+COUNTIF('1月'!AM16:AN16,T$4)+COUNTIF('1月'!AR16:AS16,T$4)+COUNTIF('1月'!AW16:AX16,T$4)+COUNTIF('1月'!BB16:BC16,T$4)+COUNTIF('1月'!BG16:BH16,T$4)+COUNTIF('1月'!BL16:BM16,T$4)+COUNTIF('1月'!BQ16:BR16,T$4)+COUNTIF('1月'!BV16:BW16,T$4)+COUNTIF('1月'!CA16:CB16,T$4)+COUNTIF('1月'!CF16:CG16,T$4)+COUNTIF('1月'!CK16:CL16,T$4)+COUNTIF('1月'!CP16:CQ16,T$4)+COUNTIF('1月'!CU16:CV16,T$4)+COUNTIF('1月'!CZ16:DA16,T$4)+COUNTIF('1月'!DE16:DF16,T$4)+COUNTIF('1月'!DJ16:DK16,T$4)+COUNTIF('1月'!DO16:DP16,T$4)+COUNTIF('1月'!DT16:DU16,T$4)+COUNTIF('1月'!DY16:DZ16,T$4)+COUNTIF('1月'!ED16:EE16,T$4)+COUNTIF('1月'!EI16:EJ16,T$4)+COUNTIF('1月'!EN16:EO16,T$4)+COUNTIF('1月'!ES16:ET16,T$4)</f>
        <v>0</v>
      </c>
      <c r="U18" s="76">
        <f t="shared" si="9"/>
        <v>0</v>
      </c>
      <c r="V18" s="76">
        <f>COUNTIF('1月'!D16:E16,V$4)+COUNTIF('1月'!I16:J16,V$4)+COUNTIF('1月'!N16:O16,V$4)+COUNTIF('1月'!S16:T16,V$4)+COUNTIF('1月'!X16:Y16,V$4)+COUNTIF('1月'!AC16:AD16,V$4)+COUNTIF('1月'!AH16:AI16,V$4)+COUNTIF('1月'!AM16:AN16,V$4)+COUNTIF('1月'!AR16:AS16,V$4)+COUNTIF('1月'!AW16:AX16,V$4)+COUNTIF('1月'!BB16:BC16,V$4)+COUNTIF('1月'!BG16:BH16,V$4)+COUNTIF('1月'!BL16:BM16,V$4)+COUNTIF('1月'!BQ16:BR16,V$4)+COUNTIF('1月'!BV16:BW16,V$4)+COUNTIF('1月'!CA16:CB16,V$4)+COUNTIF('1月'!CF16:CG16,V$4)+COUNTIF('1月'!CK16:CL16,V$4)+COUNTIF('1月'!CP16:CQ16,V$4)+COUNTIF('1月'!CU16:CV16,V$4)+COUNTIF('1月'!CZ16:DA16,V$4)+COUNTIF('1月'!DE16:DF16,V$4)+COUNTIF('1月'!DJ16:DK16,V$4)+COUNTIF('1月'!DO16:DP16,V$4)+COUNTIF('1月'!DT16:DU16,V$4)+COUNTIF('1月'!DY16:DZ16,V$4)+COUNTIF('1月'!ED16:EE16,V$4)+COUNTIF('1月'!EI16:EJ16,V$4)+COUNTIF('1月'!EN16:EO16,V$4)+COUNTIF('1月'!ES16:ET16,V$4)</f>
        <v>0</v>
      </c>
      <c r="W18" s="76">
        <f t="shared" si="10"/>
        <v>0</v>
      </c>
      <c r="X18" s="76">
        <f>COUNTIF('1月'!D16:E16,X$4)+COUNTIF('1月'!I16:J16,X$4)+COUNTIF('1月'!N16:O16,X$4)+COUNTIF('1月'!S16:T16,X$4)+COUNTIF('1月'!X16:Y16,X$4)+COUNTIF('1月'!AC16:AD16,X$4)+COUNTIF('1月'!AH16:AI16,X$4)+COUNTIF('1月'!AM16:AN16,X$4)+COUNTIF('1月'!AR16:AS16,X$4)+COUNTIF('1月'!AW16:AX16,X$4)+COUNTIF('1月'!BB16:BC16,X$4)+COUNTIF('1月'!BG16:BH16,X$4)+COUNTIF('1月'!BL16:BM16,X$4)+COUNTIF('1月'!BQ16:BR16,X$4)+COUNTIF('1月'!BV16:BW16,X$4)+COUNTIF('1月'!CA16:CB16,X$4)+COUNTIF('1月'!CF16:CG16,X$4)+COUNTIF('1月'!CK16:CL16,X$4)+COUNTIF('1月'!CP16:CQ16,X$4)+COUNTIF('1月'!CU16:CV16,X$4)+COUNTIF('1月'!CZ16:DA16,X$4)+COUNTIF('1月'!DE16:DF16,X$4)+COUNTIF('1月'!DJ16:DK16,X$4)+COUNTIF('1月'!DO16:DP16,X$4)+COUNTIF('1月'!DT16:DU16,X$4)+COUNTIF('1月'!DY16:DZ16,X$4)+COUNTIF('1月'!ED16:EE16,X$4)+COUNTIF('1月'!EI16:EJ16,X$4)+COUNTIF('1月'!EN16:EO16,X$4)+COUNTIF('1月'!ES16:ET16,X$4)</f>
        <v>0</v>
      </c>
      <c r="Y18" s="76">
        <f t="shared" si="11"/>
        <v>0</v>
      </c>
    </row>
    <row r="19" spans="1:25" ht="18" customHeight="1">
      <c r="A19" s="76">
        <v>14</v>
      </c>
      <c r="B19" s="76">
        <f>COUNTIF('1月'!D17:E17,B$4)+COUNTIF('1月'!I17:J17,B$4)+COUNTIF('1月'!N17:O17,B$4)+COUNTIF('1月'!S17:T17,B$4)+COUNTIF('1月'!X17:Y17,B$4)+COUNTIF('1月'!AC17:AD17,B$4)+COUNTIF('1月'!AH17:AI17,B$4)+COUNTIF('1月'!AM17:AN17,B$4)+COUNTIF('1月'!AR17:AS17,B$4)+COUNTIF('1月'!AW17:AX17,B$4)+COUNTIF('1月'!BB17:BC17,B$4)+COUNTIF('1月'!BG17:BH17,B$4)+COUNTIF('1月'!BL17:BM17,B$4)+COUNTIF('1月'!BQ17:BR17,B$4)+COUNTIF('1月'!BV17:BW17,B$4)+COUNTIF('1月'!CA17:CB17,B$4)+COUNTIF('1月'!CF17:CG17,B$4)+COUNTIF('1月'!CK17:CL17,B$4)+COUNTIF('1月'!CP17:CQ17,B$4)+COUNTIF('1月'!CU17:CV17,B$4)+COUNTIF('1月'!CZ17:DA17,B$4)+COUNTIF('1月'!DE17:DF17,B$4)+COUNTIF('1月'!DJ17:DK17,B$4)+COUNTIF('1月'!DO17:DP17,B$4)+COUNTIF('1月'!DT17:DU17,B$4)+COUNTIF('1月'!DY17:DZ17,B$4)+COUNTIF('1月'!ED17:EE17,B$4)+COUNTIF('1月'!EI17:EJ17,B$4)+COUNTIF('1月'!EN17:EO17,B$4)+COUNTIF('1月'!ES17:ET17,B$4)</f>
        <v>0</v>
      </c>
      <c r="C19" s="76">
        <f t="shared" si="0"/>
        <v>0</v>
      </c>
      <c r="D19" s="76">
        <f>COUNTIF('1月'!D17:E17,D$4)+COUNTIF('1月'!I17:J17,D$4)+COUNTIF('1月'!N17:O17,D$4)+COUNTIF('1月'!S17:T17,D$4)+COUNTIF('1月'!X17:Y17,D$4)+COUNTIF('1月'!AC17:AD17,D$4)+COUNTIF('1月'!AH17:AI17,D$4)+COUNTIF('1月'!AM17:AN17,D$4)+COUNTIF('1月'!AR17:AS17,D$4)+COUNTIF('1月'!AW17:AX17,D$4)+COUNTIF('1月'!BB17:BC17,D$4)+COUNTIF('1月'!BG17:BH17,D$4)+COUNTIF('1月'!BL17:BM17,D$4)+COUNTIF('1月'!BQ17:BR17,D$4)+COUNTIF('1月'!BV17:BW17,D$4)+COUNTIF('1月'!CA17:CB17,D$4)+COUNTIF('1月'!CF17:CG17,D$4)+COUNTIF('1月'!CK17:CL17,D$4)+COUNTIF('1月'!CP17:CQ17,D$4)+COUNTIF('1月'!CU17:CV17,D$4)+COUNTIF('1月'!CZ17:DA17,D$4)+COUNTIF('1月'!DE17:DF17,D$4)+COUNTIF('1月'!DJ17:DK17,D$4)+COUNTIF('1月'!DO17:DP17,D$4)+COUNTIF('1月'!DT17:DU17,D$4)+COUNTIF('1月'!DY17:DZ17,D$4)+COUNTIF('1月'!ED17:EE17,D$4)+COUNTIF('1月'!EI17:EJ17,D$4)+COUNTIF('1月'!EN17:EO17,D$4)+COUNTIF('1月'!ES17:ET17,D$4)</f>
        <v>0</v>
      </c>
      <c r="E19" s="76">
        <f t="shared" si="1"/>
        <v>0</v>
      </c>
      <c r="F19" s="76">
        <f>COUNTIF('1月'!D17:E17,F$4)+COUNTIF('1月'!I17:J17,F$4)+COUNTIF('1月'!N17:O17,F$4)+COUNTIF('1月'!S17:T17,F$4)+COUNTIF('1月'!X17:Y17,F$4)+COUNTIF('1月'!AC17:AD17,F$4)+COUNTIF('1月'!AH17:AI17,F$4)+COUNTIF('1月'!AM17:AN17,F$4)+COUNTIF('1月'!AR17:AS17,F$4)+COUNTIF('1月'!AW17:AX17,F$4)+COUNTIF('1月'!BB17:BC17,F$4)+COUNTIF('1月'!BG17:BH17,F$4)+COUNTIF('1月'!BL17:BM17,F$4)+COUNTIF('1月'!BQ17:BR17,F$4)+COUNTIF('1月'!BV17:BW17,F$4)+COUNTIF('1月'!CA17:CB17,F$4)+COUNTIF('1月'!CF17:CG17,F$4)+COUNTIF('1月'!CK17:CL17,F$4)+COUNTIF('1月'!CP17:CQ17,F$4)+COUNTIF('1月'!CU17:CV17,F$4)+COUNTIF('1月'!CZ17:DA17,F$4)+COUNTIF('1月'!DE17:DF17,F$4)+COUNTIF('1月'!DJ17:DK17,F$4)+COUNTIF('1月'!DO17:DP17,F$4)+COUNTIF('1月'!DT17:DU17,F$4)+COUNTIF('1月'!DY17:DZ17,F$4)+COUNTIF('1月'!ED17:EE17,F$4)+COUNTIF('1月'!EI17:EJ17,F$4)+COUNTIF('1月'!EN17:EO17,F$4)+COUNTIF('1月'!ES17:ET17,F$4)</f>
        <v>0</v>
      </c>
      <c r="G19" s="76">
        <f t="shared" si="2"/>
        <v>0</v>
      </c>
      <c r="H19" s="76">
        <f>COUNTIF('1月'!D17:E17,H$4)+COUNTIF('1月'!I17:J17,H$4)+COUNTIF('1月'!N17:O17,H$4)+COUNTIF('1月'!S17:T17,H$4)+COUNTIF('1月'!X17:Y17,H$4)+COUNTIF('1月'!AC17:AD17,H$4)+COUNTIF('1月'!AH17:AI17,H$4)+COUNTIF('1月'!AM17:AN17,H$4)+COUNTIF('1月'!AR17:AS17,H$4)+COUNTIF('1月'!AW17:AX17,H$4)+COUNTIF('1月'!BB17:BC17,H$4)+COUNTIF('1月'!BG17:BH17,H$4)+COUNTIF('1月'!BL17:BM17,H$4)+COUNTIF('1月'!BQ17:BR17,H$4)+COUNTIF('1月'!BV17:BW17,H$4)+COUNTIF('1月'!CA17:CB17,H$4)+COUNTIF('1月'!CF17:CG17,H$4)+COUNTIF('1月'!CK17:CL17,H$4)+COUNTIF('1月'!CP17:CQ17,H$4)+COUNTIF('1月'!CU17:CV17,H$4)+COUNTIF('1月'!CZ17:DA17,H$4)+COUNTIF('1月'!DE17:DF17,H$4)+COUNTIF('1月'!DJ17:DK17,H$4)+COUNTIF('1月'!DO17:DP17,H$4)+COUNTIF('1月'!DT17:DU17,H$4)+COUNTIF('1月'!DY17:DZ17,H$4)+COUNTIF('1月'!ED17:EE17,H$4)+COUNTIF('1月'!EI17:EJ17,H$4)+COUNTIF('1月'!EN17:EO17,H$4)+COUNTIF('1月'!ES17:ET17,H$4)+COUNTIF('1月'!D17:E17,"渋谷-夜勤")+COUNTIF('1月'!I17:J17,"渋谷-夜勤")+COUNTIF('1月'!N17:O17,"渋谷-夜勤")+COUNTIF('1月'!S17:T17,"渋谷-夜勤")+COUNTIF('1月'!X17:Y17,"渋谷-夜勤")+COUNTIF('1月'!AC17:AD17,"渋谷-夜勤")+COUNTIF('1月'!AH17:AI17,"渋谷-夜勤")+COUNTIF('1月'!AM17:AN17,"渋谷-夜勤")+COUNTIF('1月'!AR17:AS17,"渋谷-夜勤")+COUNTIF('1月'!AW17:AX17,"渋谷-夜勤")+COUNTIF('1月'!BB17:BC17,"渋谷-夜勤")+COUNTIF('1月'!BG17:BH17,"渋谷-夜勤")+COUNTIF('1月'!BL17:BM17,"渋谷-夜勤")+COUNTIF('1月'!BQ17:BR17,"渋谷-夜勤")+COUNTIF('1月'!BV17:BW17,"渋谷-夜勤")+COUNTIF('1月'!CA17:CB17,"渋谷-夜勤")+COUNTIF('1月'!CF17:CG17,"渋谷-夜勤")+COUNTIF('1月'!CK17:CL17,"渋谷-夜勤")+COUNTIF('1月'!CP17:CQ17,"渋谷-夜勤")+COUNTIF('1月'!CU17:CV17,"渋谷-夜勤")+COUNTIF('1月'!CZ17:DA17,"渋谷-夜勤")+COUNTIF('1月'!DE17:DF17,"渋谷-夜勤")+COUNTIF('1月'!DJ17:DK17,"渋谷-夜勤")+COUNTIF('1月'!DO17:DP17,"渋谷-夜勤")+COUNTIF('1月'!DT17:DU17,"渋谷-夜勤")+COUNTIF('1月'!DY17:DZ17,"渋谷-夜勤")+COUNTIF('1月'!ED17:EE17,"渋谷-夜勤")+COUNTIF('1月'!EI17:EJ17,"渋谷-夜勤")+COUNTIF('1月'!EN17:EO17,"渋谷-夜勤")+COUNTIF('1月'!ES17:ET17,"渋谷-夜勤")</f>
        <v>0</v>
      </c>
      <c r="I19" s="76">
        <f t="shared" si="3"/>
        <v>0</v>
      </c>
      <c r="J19" s="76">
        <f>COUNTIF('1月'!D17:E17,J$4)+COUNTIF('1月'!I17:J17,J$4)+COUNTIF('1月'!N17:O17,J$4)+COUNTIF('1月'!S17:T17,J$4)+COUNTIF('1月'!X17:Y17,J$4)+COUNTIF('1月'!AC17:AD17,J$4)+COUNTIF('1月'!AH17:AI17,J$4)+COUNTIF('1月'!AM17:AN17,J$4)+COUNTIF('1月'!AR17:AS17,J$4)+COUNTIF('1月'!AW17:AX17,J$4)+COUNTIF('1月'!BB17:BC17,J$4)+COUNTIF('1月'!BG17:BH17,J$4)+COUNTIF('1月'!BL17:BM17,J$4)+COUNTIF('1月'!BQ17:BR17,J$4)+COUNTIF('1月'!BV17:BW17,J$4)+COUNTIF('1月'!CA17:CB17,J$4)+COUNTIF('1月'!CF17:CG17,J$4)+COUNTIF('1月'!CK17:CL17,J$4)+COUNTIF('1月'!CP17:CQ17,J$4)+COUNTIF('1月'!CU17:CV17,J$4)+COUNTIF('1月'!CZ17:DA17,J$4)+COUNTIF('1月'!DE17:DF17,J$4)+COUNTIF('1月'!DJ17:DK17,J$4)+COUNTIF('1月'!DO17:DP17,J$4)+COUNTIF('1月'!DT17:DU17,J$4)+COUNTIF('1月'!DY17:DZ17,J$4)+COUNTIF('1月'!ED17:EE17,J$4)+COUNTIF('1月'!EI17:EJ17,J$4)+COUNTIF('1月'!EN17:EO17,J$4)+COUNTIF('1月'!ES17:ET17,J$4)+COUNTIF('1月'!D17:E17,"六本木-夜勤")+COUNTIF('1月'!I17:J17,"六本木-夜勤")+COUNTIF('1月'!N17:O17,"六本木-夜勤")+COUNTIF('1月'!S17:T17,"六本木-夜勤")+COUNTIF('1月'!X17:Y17,"六本木-夜勤")+COUNTIF('1月'!AC17:AD17,"六本木-夜勤")+COUNTIF('1月'!AH17:AI17,"六本木-夜勤")+COUNTIF('1月'!AM17:AN17,"六本木-夜勤")+COUNTIF('1月'!AR17:AS17,"六本木-夜勤")+COUNTIF('1月'!AW17:AX17,"六本木-夜勤")+COUNTIF('1月'!BB17:BC17,"六本木-夜勤")+COUNTIF('1月'!BG17:BH17,"六本木-夜勤")+COUNTIF('1月'!BL17:BM17,"六本木-夜勤")+COUNTIF('1月'!BQ17:BR17,"六本木-夜勤")+COUNTIF('1月'!BV17:BW17,"六本木-夜勤")+COUNTIF('1月'!CA17:CB17,"六本木-夜勤")+COUNTIF('1月'!CF17:CG17,"六本木-夜勤")+COUNTIF('1月'!CK17:CL17,"六本木-夜勤")+COUNTIF('1月'!CP17:CQ17,"六本木-夜勤")+COUNTIF('1月'!CU17:CV17,"六本木-夜勤")+COUNTIF('1月'!CZ17:DA17,"六本木-夜勤")+COUNTIF('1月'!DE17:DF17,"六本木-夜勤")+COUNTIF('1月'!DJ17:DK17,"六本木-夜勤")+COUNTIF('1月'!DO17:DP17,"六本木-夜勤")+COUNTIF('1月'!DT17:DU17,"六本木-夜勤")+COUNTIF('1月'!DY17:DZ17,"六本木-夜勤")+COUNTIF('1月'!ED17:EE17,"六本木-夜勤")+COUNTIF('1月'!EI17:EJ17,"六本木-夜勤")+COUNTIF('1月'!EN17:EO17,"六本木-夜勤")+COUNTIF('1月'!ES17:ET17,"六本木-夜勤")+COUNTIF('1月'!D17:E17,"六本木ー夜勤")+COUNTIF('1月'!I17:J17,"六本木ー夜勤")+COUNTIF('1月'!N17:O17,"六本木ー夜勤")+COUNTIF('1月'!S17:T17,"六本木ー夜勤")+COUNTIF('1月'!X17:Y17,"六本木ー夜勤")+COUNTIF('1月'!AC17:AD17,"六本木ー夜勤")+COUNTIF('1月'!AH17:AI17,"六本木ー夜勤")+COUNTIF('1月'!AM17:AN17,"六本木ー夜勤")+COUNTIF('1月'!AR17:AS17,"六本木ー夜勤")+COUNTIF('1月'!AW17:AX17,"六本木ー夜勤")+COUNTIF('1月'!BB17:BC17,"六本木ー夜勤")+COUNTIF('1月'!BG17:BH17,"六本木ー夜勤")+COUNTIF('1月'!BL17:BM17,"六本木ー夜勤")+COUNTIF('1月'!BQ17:BR17,"六本木ー夜勤")+COUNTIF('1月'!BV17:BW17,"六本木ー夜勤")+COUNTIF('1月'!CA17:CB17,"六本木ー夜勤")+COUNTIF('1月'!CF17:CG17,"六本木ー夜勤")+COUNTIF('1月'!CK17:CL17,"六本木ー夜勤")+COUNTIF('1月'!CP17:CQ17,"六本木ー夜勤")+COUNTIF('1月'!CU17:CV17,"六本木ー夜勤")+COUNTIF('1月'!CZ17:DA17,"六本木ー夜勤")+COUNTIF('1月'!DE17:DF17,"六本木ー夜勤")+COUNTIF('1月'!DJ17:DK17,"六本木ー夜勤")+COUNTIF('1月'!DO17:DP17,"六本木ー夜勤")+COUNTIF('1月'!DT17:DU17,"六本木ー夜勤")+COUNTIF('1月'!DY17:DZ17,"六本木ー夜勤")+COUNTIF('1月'!ED17:EE17,"六本木ー夜勤")+COUNTIF('1月'!EI17:EJ17,"六本木ー夜勤")+COUNTIF('1月'!EN17:EO17,"六本木ー夜勤")+COUNTIF('1月'!ES17:ET17,"六本木ー夜勤")</f>
        <v>0</v>
      </c>
      <c r="K19" s="76">
        <f t="shared" si="4"/>
        <v>0</v>
      </c>
      <c r="L19" s="76">
        <f>COUNTIF('1月'!D17:E17,L$4)+COUNTIF('1月'!I17:J17,L$4)+COUNTIF('1月'!N17:O17,L$4)+COUNTIF('1月'!S17:T17,L$4)+COUNTIF('1月'!X17:Y17,L$4)+COUNTIF('1月'!AC17:AD17,L$4)+COUNTIF('1月'!AH17:AI17,L$4)+COUNTIF('1月'!AM17:AN17,L$4)+COUNTIF('1月'!AR17:AS17,L$4)+COUNTIF('1月'!AW17:AX17,L$4)+COUNTIF('1月'!BB17:BC17,L$4)+COUNTIF('1月'!BG17:BH17,L$4)+COUNTIF('1月'!BL17:BM17,L$4)+COUNTIF('1月'!BQ17:BR17,L$4)+COUNTIF('1月'!BV17:BW17,L$4)+COUNTIF('1月'!CA17:CB17,L$4)+COUNTIF('1月'!CF17:CG17,L$4)+COUNTIF('1月'!CK17:CL17,L$4)+COUNTIF('1月'!CP17:CQ17,L$4)+COUNTIF('1月'!CU17:CV17,L$4)+COUNTIF('1月'!CZ17:DA17,L$4)+COUNTIF('1月'!DE17:DF17,L$4)+COUNTIF('1月'!DJ17:DK17,L$4)+COUNTIF('1月'!DO17:DP17,L$4)+COUNTIF('1月'!DT17:DU17,L$4)+COUNTIF('1月'!DY17:DZ17,L$4)+COUNTIF('1月'!ED17:EE17,L$4)+COUNTIF('1月'!EI17:EJ17,L$4)+COUNTIF('1月'!EN17:EO17,L$4)+COUNTIF('1月'!ES17:ET17,L$4)</f>
        <v>0</v>
      </c>
      <c r="M19" s="76">
        <f t="shared" si="5"/>
        <v>0</v>
      </c>
      <c r="N19" s="76">
        <f>COUNTIF('1月'!D17:E17,N$4)+COUNTIF('1月'!I17:J17,N$4)+COUNTIF('1月'!N17:O17,N$4)+COUNTIF('1月'!S17:T17,N$4)+COUNTIF('1月'!X17:Y17,N$4)+COUNTIF('1月'!AC17:AD17,N$4)+COUNTIF('1月'!AH17:AI17,N$4)+COUNTIF('1月'!AM17:AN17,N$4)+COUNTIF('1月'!AR17:AS17,N$4)+COUNTIF('1月'!AW17:AX17,N$4)+COUNTIF('1月'!BB17:BC17,N$4)+COUNTIF('1月'!BG17:BH17,N$4)+COUNTIF('1月'!BL17:BM17,N$4)+COUNTIF('1月'!BQ17:BR17,N$4)+COUNTIF('1月'!BV17:BW17,N$4)+COUNTIF('1月'!CA17:CB17,N$4)+COUNTIF('1月'!CF17:CG17,N$4)+COUNTIF('1月'!CK17:CL17,N$4)+COUNTIF('1月'!CP17:CQ17,N$4)+COUNTIF('1月'!CU17:CV17,N$4)+COUNTIF('1月'!CZ17:DA17,N$4)+COUNTIF('1月'!DE17:DF17,N$4)+COUNTIF('1月'!DJ17:DK17,N$4)+COUNTIF('1月'!DO17:DP17,N$4)+COUNTIF('1月'!DT17:DU17,N$4)+COUNTIF('1月'!DY17:DZ17,N$4)+COUNTIF('1月'!ED17:EE17,N$4)+COUNTIF('1月'!EI17:EJ17,N$4)+COUNTIF('1月'!EN17:EO17,N$4)+COUNTIF('1月'!ES17:ET17,N$4)+COUNTIF('1月'!D17:E17,"三軒茶屋－夜勤")+COUNTIF('1月'!I17:J17,"三軒茶屋－夜勤")+COUNTIF('1月'!N17:O17,"三軒茶屋－夜勤")+COUNTIF('1月'!S17:T17,"三軒茶屋－夜勤")+COUNTIF('1月'!X17:Y17,"三軒茶屋－夜勤")+COUNTIF('1月'!AC17:AD17,"三軒茶屋－夜勤")+COUNTIF('1月'!AH17:AI17,"三軒茶屋－夜勤")+COUNTIF('1月'!AM17:AN17,"三軒茶屋－夜勤")+COUNTIF('1月'!AR17:AS17,"三軒茶屋－夜勤")+COUNTIF('1月'!AW17:AX17,"三軒茶屋－夜勤")+COUNTIF('1月'!BB17:BC17,"三軒茶屋－夜勤")+COUNTIF('1月'!BG17:BH17,"三軒茶屋－夜勤")+COUNTIF('1月'!BL17:BM17,"三軒茶屋－夜勤")+COUNTIF('1月'!BQ17:BR17,"三軒茶屋－夜勤")+COUNTIF('1月'!BV17:BW17,"三軒茶屋－夜勤")+COUNTIF('1月'!CA17:CB17,"三軒茶屋－夜勤")+COUNTIF('1月'!CF17:CG17,"三軒茶屋－夜勤")+COUNTIF('1月'!CK17:CL17,"三軒茶屋－夜勤")+COUNTIF('1月'!CP17:CQ17,"三軒茶屋－夜勤")+COUNTIF('1月'!CU17:CV17,"三軒茶屋－夜勤")+COUNTIF('1月'!CZ17:DA17,"三軒茶屋－夜勤")+COUNTIF('1月'!DE17:DF17,"三軒茶屋－夜勤")+COUNTIF('1月'!DJ17:DK17,"三軒茶屋－夜勤")+COUNTIF('1月'!DO17:DP17,"三軒茶屋－夜勤")+COUNTIF('1月'!DT17:DU17,"三軒茶屋－夜勤")+COUNTIF('1月'!DY17:DZ17,"三軒茶屋－夜勤")+COUNTIF('1月'!ED17:EE17,"三軒茶屋－夜勤")+COUNTIF('1月'!EI17:EJ17,"三軒茶屋－夜勤")+COUNTIF('1月'!EN17:EO17,"三軒茶屋－夜勤")+COUNTIF('1月'!ES17:ET17,"三軒茶屋－夜勤")</f>
        <v>0</v>
      </c>
      <c r="O19" s="76">
        <f t="shared" si="6"/>
        <v>0</v>
      </c>
      <c r="P19" s="76">
        <f>COUNTIF('1月'!D17:E17,P$4)+COUNTIF('1月'!I17:J17,P$4)+COUNTIF('1月'!N17:O17,P$4)+COUNTIF('1月'!S17:T17,P$4)+COUNTIF('1月'!X17:Y17,P$4)+COUNTIF('1月'!AC17:AD17,P$4)+COUNTIF('1月'!AH17:AI17,P$4)+COUNTIF('1月'!AM17:AN17,P$4)+COUNTIF('1月'!AR17:AS17,P$4)+COUNTIF('1月'!AW17:AX17,P$4)+COUNTIF('1月'!BB17:BC17,P$4)+COUNTIF('1月'!BG17:BH17,P$4)+COUNTIF('1月'!BL17:BM17,P$4)+COUNTIF('1月'!BQ17:BR17,P$4)+COUNTIF('1月'!BV17:BW17,P$4)+COUNTIF('1月'!CA17:CB17,P$4)+COUNTIF('1月'!CF17:CG17,P$4)+COUNTIF('1月'!CK17:CL17,P$4)+COUNTIF('1月'!CP17:CQ17,P$4)+COUNTIF('1月'!CU17:CV17,P$4)+COUNTIF('1月'!CZ17:DA17,P$4)+COUNTIF('1月'!DE17:DF17,P$4)+COUNTIF('1月'!DJ17:DK17,P$4)+COUNTIF('1月'!DO17:DP17,P$4)+COUNTIF('1月'!DT17:DU17,P$4)+COUNTIF('1月'!DY17:DZ17,P$4)+COUNTIF('1月'!ED17:EE17,P$4)+COUNTIF('1月'!EI17:EJ17,P$4)+COUNTIF('1月'!EN17:EO17,P$4)+COUNTIF('1月'!ES17:ET17,P$4)+COUNTIF('1月'!D17:E17,"荻窪ー夜勤")+COUNTIF('1月'!I17:J17,"荻窪ー夜勤")+COUNTIF('1月'!N17:O17,"荻窪ー夜勤")+COUNTIF('1月'!S17:T17,"荻窪ー夜勤")+COUNTIF('1月'!X17:Y17,"荻窪ー夜勤")+COUNTIF('1月'!AC17:AD17,"荻窪ー夜勤")+COUNTIF('1月'!AH17:AI17,"荻窪ー夜勤")+COUNTIF('1月'!AM17:AN17,"荻窪ー夜勤")+COUNTIF('1月'!AR17:AS17,"荻窪ー夜勤")+COUNTIF('1月'!AW17:AX17,"荻窪ー夜勤")+COUNTIF('1月'!BB17:BC17,"荻窪ー夜勤")+COUNTIF('1月'!BG17:BH17,"荻窪ー夜勤")+COUNTIF('1月'!BL17:BM17,"荻窪ー夜勤")+COUNTIF('1月'!BQ17:BR17,"荻窪ー夜勤")+COUNTIF('1月'!BV17:BW17,"荻窪ー夜勤")+COUNTIF('1月'!CA17:CB17,"荻窪ー夜勤")+COUNTIF('1月'!CF17:CG17,"荻窪ー夜勤")+COUNTIF('1月'!CK17:CL17,"荻窪ー夜勤")+COUNTIF('1月'!CP17:CQ17,"荻窪ー夜勤")+COUNTIF('1月'!CU17:CV17,"荻窪ー夜勤")+COUNTIF('1月'!CZ17:DA17,"荻窪ー夜勤")+COUNTIF('1月'!DE17:DF17,"荻窪ー夜勤")+COUNTIF('1月'!DJ17:DK17,"荻窪ー夜勤")+COUNTIF('1月'!DO17:DP17,"荻窪ー夜勤")+COUNTIF('1月'!DT17:DU17,"荻窪ー夜勤")+COUNTIF('1月'!DY17:DZ17,"荻窪ー夜勤")+COUNTIF('1月'!ED17:EE17,"荻窪ー夜勤")+COUNTIF('1月'!EI17:EJ17,"荻窪ー夜勤")+COUNTIF('1月'!EN17:EO17,"荻窪ー夜勤")+COUNTIF('1月'!ES17:ET17,"荻窪ー夜勤")</f>
        <v>0</v>
      </c>
      <c r="Q19" s="76">
        <f t="shared" si="7"/>
        <v>0</v>
      </c>
      <c r="R19" s="76">
        <f>COUNTIF('1月'!D17:E17,R$4)+COUNTIF('1月'!I17:J17,R$4)+COUNTIF('1月'!N17:O17,R$4)+COUNTIF('1月'!S17:T17,R$4)+COUNTIF('1月'!X17:Y17,R$4)+COUNTIF('1月'!AC17:AD17,R$4)+COUNTIF('1月'!AH17:AI17,R$4)+COUNTIF('1月'!AM17:AN17,R$4)+COUNTIF('1月'!AR17:AS17,R$4)+COUNTIF('1月'!AW17:AX17,R$4)+COUNTIF('1月'!BB17:BC17,R$4)+COUNTIF('1月'!BG17:BH17,R$4)+COUNTIF('1月'!BL17:BM17,R$4)+COUNTIF('1月'!BQ17:BR17,R$4)+COUNTIF('1月'!BV17:BW17,R$4)+COUNTIF('1月'!CA17:CB17,R$4)+COUNTIF('1月'!CF17:CG17,R$4)+COUNTIF('1月'!CK17:CL17,R$4)+COUNTIF('1月'!CP17:CQ17,R$4)+COUNTIF('1月'!CU17:CV17,R$4)+COUNTIF('1月'!CZ17:DA17,R$4)+COUNTIF('1月'!DE17:DF17,R$4)+COUNTIF('1月'!DJ17:DK17,R$4)+COUNTIF('1月'!DO17:DP17,R$4)+COUNTIF('1月'!DT17:DU17,R$4)+COUNTIF('1月'!DY17:DZ17,R$4)+COUNTIF('1月'!ED17:EE17,R$4)+COUNTIF('1月'!EI17:EJ17,R$4)+COUNTIF('1月'!EN17:EO17,R$4)+COUNTIF('1月'!ES17:ET17,R$4)</f>
        <v>0</v>
      </c>
      <c r="S19" s="76">
        <f t="shared" si="8"/>
        <v>0</v>
      </c>
      <c r="T19" s="76">
        <f>COUNTIF('1月'!D17:E17,T$4)+COUNTIF('1月'!I17:J17,T$4)+COUNTIF('1月'!N17:O17,T$4)+COUNTIF('1月'!S17:T17,T$4)+COUNTIF('1月'!X17:Y17,T$4)+COUNTIF('1月'!AC17:AD17,T$4)+COUNTIF('1月'!AH17:AI17,T$4)+COUNTIF('1月'!AM17:AN17,T$4)+COUNTIF('1月'!AR17:AS17,T$4)+COUNTIF('1月'!AW17:AX17,T$4)+COUNTIF('1月'!BB17:BC17,T$4)+COUNTIF('1月'!BG17:BH17,T$4)+COUNTIF('1月'!BL17:BM17,T$4)+COUNTIF('1月'!BQ17:BR17,T$4)+COUNTIF('1月'!BV17:BW17,T$4)+COUNTIF('1月'!CA17:CB17,T$4)+COUNTIF('1月'!CF17:CG17,T$4)+COUNTIF('1月'!CK17:CL17,T$4)+COUNTIF('1月'!CP17:CQ17,T$4)+COUNTIF('1月'!CU17:CV17,T$4)+COUNTIF('1月'!CZ17:DA17,T$4)+COUNTIF('1月'!DE17:DF17,T$4)+COUNTIF('1月'!DJ17:DK17,T$4)+COUNTIF('1月'!DO17:DP17,T$4)+COUNTIF('1月'!DT17:DU17,T$4)+COUNTIF('1月'!DY17:DZ17,T$4)+COUNTIF('1月'!ED17:EE17,T$4)+COUNTIF('1月'!EI17:EJ17,T$4)+COUNTIF('1月'!EN17:EO17,T$4)+COUNTIF('1月'!ES17:ET17,T$4)</f>
        <v>0</v>
      </c>
      <c r="U19" s="76">
        <f t="shared" si="9"/>
        <v>0</v>
      </c>
      <c r="V19" s="76">
        <f>COUNTIF('1月'!D17:E17,V$4)+COUNTIF('1月'!I17:J17,V$4)+COUNTIF('1月'!N17:O17,V$4)+COUNTIF('1月'!S17:T17,V$4)+COUNTIF('1月'!X17:Y17,V$4)+COUNTIF('1月'!AC17:AD17,V$4)+COUNTIF('1月'!AH17:AI17,V$4)+COUNTIF('1月'!AM17:AN17,V$4)+COUNTIF('1月'!AR17:AS17,V$4)+COUNTIF('1月'!AW17:AX17,V$4)+COUNTIF('1月'!BB17:BC17,V$4)+COUNTIF('1月'!BG17:BH17,V$4)+COUNTIF('1月'!BL17:BM17,V$4)+COUNTIF('1月'!BQ17:BR17,V$4)+COUNTIF('1月'!BV17:BW17,V$4)+COUNTIF('1月'!CA17:CB17,V$4)+COUNTIF('1月'!CF17:CG17,V$4)+COUNTIF('1月'!CK17:CL17,V$4)+COUNTIF('1月'!CP17:CQ17,V$4)+COUNTIF('1月'!CU17:CV17,V$4)+COUNTIF('1月'!CZ17:DA17,V$4)+COUNTIF('1月'!DE17:DF17,V$4)+COUNTIF('1月'!DJ17:DK17,V$4)+COUNTIF('1月'!DO17:DP17,V$4)+COUNTIF('1月'!DT17:DU17,V$4)+COUNTIF('1月'!DY17:DZ17,V$4)+COUNTIF('1月'!ED17:EE17,V$4)+COUNTIF('1月'!EI17:EJ17,V$4)+COUNTIF('1月'!EN17:EO17,V$4)+COUNTIF('1月'!ES17:ET17,V$4)</f>
        <v>0</v>
      </c>
      <c r="W19" s="76">
        <f t="shared" si="10"/>
        <v>0</v>
      </c>
      <c r="X19" s="76">
        <f>COUNTIF('1月'!D17:E17,X$4)+COUNTIF('1月'!I17:J17,X$4)+COUNTIF('1月'!N17:O17,X$4)+COUNTIF('1月'!S17:T17,X$4)+COUNTIF('1月'!X17:Y17,X$4)+COUNTIF('1月'!AC17:AD17,X$4)+COUNTIF('1月'!AH17:AI17,X$4)+COUNTIF('1月'!AM17:AN17,X$4)+COUNTIF('1月'!AR17:AS17,X$4)+COUNTIF('1月'!AW17:AX17,X$4)+COUNTIF('1月'!BB17:BC17,X$4)+COUNTIF('1月'!BG17:BH17,X$4)+COUNTIF('1月'!BL17:BM17,X$4)+COUNTIF('1月'!BQ17:BR17,X$4)+COUNTIF('1月'!BV17:BW17,X$4)+COUNTIF('1月'!CA17:CB17,X$4)+COUNTIF('1月'!CF17:CG17,X$4)+COUNTIF('1月'!CK17:CL17,X$4)+COUNTIF('1月'!CP17:CQ17,X$4)+COUNTIF('1月'!CU17:CV17,X$4)+COUNTIF('1月'!CZ17:DA17,X$4)+COUNTIF('1月'!DE17:DF17,X$4)+COUNTIF('1月'!DJ17:DK17,X$4)+COUNTIF('1月'!DO17:DP17,X$4)+COUNTIF('1月'!DT17:DU17,X$4)+COUNTIF('1月'!DY17:DZ17,X$4)+COUNTIF('1月'!ED17:EE17,X$4)+COUNTIF('1月'!EI17:EJ17,X$4)+COUNTIF('1月'!EN17:EO17,X$4)+COUNTIF('1月'!ES17:ET17,X$4)</f>
        <v>0</v>
      </c>
      <c r="Y19" s="76">
        <f t="shared" si="11"/>
        <v>0</v>
      </c>
    </row>
    <row r="20" spans="1:25" ht="18" customHeight="1">
      <c r="A20" s="76">
        <v>15</v>
      </c>
      <c r="B20" s="76">
        <f>COUNTIF('1月'!D18:E18,B$4)+COUNTIF('1月'!I18:J18,B$4)+COUNTIF('1月'!N18:O18,B$4)+COUNTIF('1月'!S18:T18,B$4)+COUNTIF('1月'!X18:Y18,B$4)+COUNTIF('1月'!AC18:AD18,B$4)+COUNTIF('1月'!AH18:AI18,B$4)+COUNTIF('1月'!AM18:AN18,B$4)+COUNTIF('1月'!AR18:AS18,B$4)+COUNTIF('1月'!AW18:AX18,B$4)+COUNTIF('1月'!BB18:BC18,B$4)+COUNTIF('1月'!BG18:BH18,B$4)+COUNTIF('1月'!BL18:BM18,B$4)+COUNTIF('1月'!BQ18:BR18,B$4)+COUNTIF('1月'!BV18:BW18,B$4)+COUNTIF('1月'!CA18:CB18,B$4)+COUNTIF('1月'!CF18:CG18,B$4)+COUNTIF('1月'!CK18:CL18,B$4)+COUNTIF('1月'!CP18:CQ18,B$4)+COUNTIF('1月'!CU18:CV18,B$4)+COUNTIF('1月'!CZ18:DA18,B$4)+COUNTIF('1月'!DE18:DF18,B$4)+COUNTIF('1月'!DJ18:DK18,B$4)+COUNTIF('1月'!DO18:DP18,B$4)+COUNTIF('1月'!DT18:DU18,B$4)+COUNTIF('1月'!DY18:DZ18,B$4)+COUNTIF('1月'!ED18:EE18,B$4)+COUNTIF('1月'!EI18:EJ18,B$4)+COUNTIF('1月'!EN18:EO18,B$4)+COUNTIF('1月'!ES18:ET18,B$4)</f>
        <v>0</v>
      </c>
      <c r="C20" s="76">
        <f t="shared" si="0"/>
        <v>0</v>
      </c>
      <c r="D20" s="76">
        <f>COUNTIF('1月'!D18:E18,D$4)+COUNTIF('1月'!I18:J18,D$4)+COUNTIF('1月'!N18:O18,D$4)+COUNTIF('1月'!S18:T18,D$4)+COUNTIF('1月'!X18:Y18,D$4)+COUNTIF('1月'!AC18:AD18,D$4)+COUNTIF('1月'!AH18:AI18,D$4)+COUNTIF('1月'!AM18:AN18,D$4)+COUNTIF('1月'!AR18:AS18,D$4)+COUNTIF('1月'!AW18:AX18,D$4)+COUNTIF('1月'!BB18:BC18,D$4)+COUNTIF('1月'!BG18:BH18,D$4)+COUNTIF('1月'!BL18:BM18,D$4)+COUNTIF('1月'!BQ18:BR18,D$4)+COUNTIF('1月'!BV18:BW18,D$4)+COUNTIF('1月'!CA18:CB18,D$4)+COUNTIF('1月'!CF18:CG18,D$4)+COUNTIF('1月'!CK18:CL18,D$4)+COUNTIF('1月'!CP18:CQ18,D$4)+COUNTIF('1月'!CU18:CV18,D$4)+COUNTIF('1月'!CZ18:DA18,D$4)+COUNTIF('1月'!DE18:DF18,D$4)+COUNTIF('1月'!DJ18:DK18,D$4)+COUNTIF('1月'!DO18:DP18,D$4)+COUNTIF('1月'!DT18:DU18,D$4)+COUNTIF('1月'!DY18:DZ18,D$4)+COUNTIF('1月'!ED18:EE18,D$4)+COUNTIF('1月'!EI18:EJ18,D$4)+COUNTIF('1月'!EN18:EO18,D$4)+COUNTIF('1月'!ES18:ET18,D$4)</f>
        <v>0</v>
      </c>
      <c r="E20" s="76">
        <f t="shared" si="1"/>
        <v>0</v>
      </c>
      <c r="F20" s="76">
        <f>COUNTIF('1月'!D18:E18,F$4)+COUNTIF('1月'!I18:J18,F$4)+COUNTIF('1月'!N18:O18,F$4)+COUNTIF('1月'!S18:T18,F$4)+COUNTIF('1月'!X18:Y18,F$4)+COUNTIF('1月'!AC18:AD18,F$4)+COUNTIF('1月'!AH18:AI18,F$4)+COUNTIF('1月'!AM18:AN18,F$4)+COUNTIF('1月'!AR18:AS18,F$4)+COUNTIF('1月'!AW18:AX18,F$4)+COUNTIF('1月'!BB18:BC18,F$4)+COUNTIF('1月'!BG18:BH18,F$4)+COUNTIF('1月'!BL18:BM18,F$4)+COUNTIF('1月'!BQ18:BR18,F$4)+COUNTIF('1月'!BV18:BW18,F$4)+COUNTIF('1月'!CA18:CB18,F$4)+COUNTIF('1月'!CF18:CG18,F$4)+COUNTIF('1月'!CK18:CL18,F$4)+COUNTIF('1月'!CP18:CQ18,F$4)+COUNTIF('1月'!CU18:CV18,F$4)+COUNTIF('1月'!CZ18:DA18,F$4)+COUNTIF('1月'!DE18:DF18,F$4)+COUNTIF('1月'!DJ18:DK18,F$4)+COUNTIF('1月'!DO18:DP18,F$4)+COUNTIF('1月'!DT18:DU18,F$4)+COUNTIF('1月'!DY18:DZ18,F$4)+COUNTIF('1月'!ED18:EE18,F$4)+COUNTIF('1月'!EI18:EJ18,F$4)+COUNTIF('1月'!EN18:EO18,F$4)+COUNTIF('1月'!ES18:ET18,F$4)</f>
        <v>0</v>
      </c>
      <c r="G20" s="76">
        <f t="shared" si="2"/>
        <v>0</v>
      </c>
      <c r="H20" s="76">
        <f>COUNTIF('1月'!D18:E18,H$4)+COUNTIF('1月'!I18:J18,H$4)+COUNTIF('1月'!N18:O18,H$4)+COUNTIF('1月'!S18:T18,H$4)+COUNTIF('1月'!X18:Y18,H$4)+COUNTIF('1月'!AC18:AD18,H$4)+COUNTIF('1月'!AH18:AI18,H$4)+COUNTIF('1月'!AM18:AN18,H$4)+COUNTIF('1月'!AR18:AS18,H$4)+COUNTIF('1月'!AW18:AX18,H$4)+COUNTIF('1月'!BB18:BC18,H$4)+COUNTIF('1月'!BG18:BH18,H$4)+COUNTIF('1月'!BL18:BM18,H$4)+COUNTIF('1月'!BQ18:BR18,H$4)+COUNTIF('1月'!BV18:BW18,H$4)+COUNTIF('1月'!CA18:CB18,H$4)+COUNTIF('1月'!CF18:CG18,H$4)+COUNTIF('1月'!CK18:CL18,H$4)+COUNTIF('1月'!CP18:CQ18,H$4)+COUNTIF('1月'!CU18:CV18,H$4)+COUNTIF('1月'!CZ18:DA18,H$4)+COUNTIF('1月'!DE18:DF18,H$4)+COUNTIF('1月'!DJ18:DK18,H$4)+COUNTIF('1月'!DO18:DP18,H$4)+COUNTIF('1月'!DT18:DU18,H$4)+COUNTIF('1月'!DY18:DZ18,H$4)+COUNTIF('1月'!ED18:EE18,H$4)+COUNTIF('1月'!EI18:EJ18,H$4)+COUNTIF('1月'!EN18:EO18,H$4)+COUNTIF('1月'!ES18:ET18,H$4)+COUNTIF('1月'!D18:E18,"渋谷-夜勤")+COUNTIF('1月'!I18:J18,"渋谷-夜勤")+COUNTIF('1月'!N18:O18,"渋谷-夜勤")+COUNTIF('1月'!S18:T18,"渋谷-夜勤")+COUNTIF('1月'!X18:Y18,"渋谷-夜勤")+COUNTIF('1月'!AC18:AD18,"渋谷-夜勤")+COUNTIF('1月'!AH18:AI18,"渋谷-夜勤")+COUNTIF('1月'!AM18:AN18,"渋谷-夜勤")+COUNTIF('1月'!AR18:AS18,"渋谷-夜勤")+COUNTIF('1月'!AW18:AX18,"渋谷-夜勤")+COUNTIF('1月'!BB18:BC18,"渋谷-夜勤")+COUNTIF('1月'!BG18:BH18,"渋谷-夜勤")+COUNTIF('1月'!BL18:BM18,"渋谷-夜勤")+COUNTIF('1月'!BQ18:BR18,"渋谷-夜勤")+COUNTIF('1月'!BV18:BW18,"渋谷-夜勤")+COUNTIF('1月'!CA18:CB18,"渋谷-夜勤")+COUNTIF('1月'!CF18:CG18,"渋谷-夜勤")+COUNTIF('1月'!CK18:CL18,"渋谷-夜勤")+COUNTIF('1月'!CP18:CQ18,"渋谷-夜勤")+COUNTIF('1月'!CU18:CV18,"渋谷-夜勤")+COUNTIF('1月'!CZ18:DA18,"渋谷-夜勤")+COUNTIF('1月'!DE18:DF18,"渋谷-夜勤")+COUNTIF('1月'!DJ18:DK18,"渋谷-夜勤")+COUNTIF('1月'!DO18:DP18,"渋谷-夜勤")+COUNTIF('1月'!DT18:DU18,"渋谷-夜勤")+COUNTIF('1月'!DY18:DZ18,"渋谷-夜勤")+COUNTIF('1月'!ED18:EE18,"渋谷-夜勤")+COUNTIF('1月'!EI18:EJ18,"渋谷-夜勤")+COUNTIF('1月'!EN18:EO18,"渋谷-夜勤")+COUNTIF('1月'!ES18:ET18,"渋谷-夜勤")</f>
        <v>0</v>
      </c>
      <c r="I20" s="76">
        <f t="shared" si="3"/>
        <v>0</v>
      </c>
      <c r="J20" s="76">
        <f>COUNTIF('1月'!D18:E18,J$4)+COUNTIF('1月'!I18:J18,J$4)+COUNTIF('1月'!N18:O18,J$4)+COUNTIF('1月'!S18:T18,J$4)+COUNTIF('1月'!X18:Y18,J$4)+COUNTIF('1月'!AC18:AD18,J$4)+COUNTIF('1月'!AH18:AI18,J$4)+COUNTIF('1月'!AM18:AN18,J$4)+COUNTIF('1月'!AR18:AS18,J$4)+COUNTIF('1月'!AW18:AX18,J$4)+COUNTIF('1月'!BB18:BC18,J$4)+COUNTIF('1月'!BG18:BH18,J$4)+COUNTIF('1月'!BL18:BM18,J$4)+COUNTIF('1月'!BQ18:BR18,J$4)+COUNTIF('1月'!BV18:BW18,J$4)+COUNTIF('1月'!CA18:CB18,J$4)+COUNTIF('1月'!CF18:CG18,J$4)+COUNTIF('1月'!CK18:CL18,J$4)+COUNTIF('1月'!CP18:CQ18,J$4)+COUNTIF('1月'!CU18:CV18,J$4)+COUNTIF('1月'!CZ18:DA18,J$4)+COUNTIF('1月'!DE18:DF18,J$4)+COUNTIF('1月'!DJ18:DK18,J$4)+COUNTIF('1月'!DO18:DP18,J$4)+COUNTIF('1月'!DT18:DU18,J$4)+COUNTIF('1月'!DY18:DZ18,J$4)+COUNTIF('1月'!ED18:EE18,J$4)+COUNTIF('1月'!EI18:EJ18,J$4)+COUNTIF('1月'!EN18:EO18,J$4)+COUNTIF('1月'!ES18:ET18,J$4)+COUNTIF('1月'!D18:E18,"六本木-夜勤")+COUNTIF('1月'!I18:J18,"六本木-夜勤")+COUNTIF('1月'!N18:O18,"六本木-夜勤")+COUNTIF('1月'!S18:T18,"六本木-夜勤")+COUNTIF('1月'!X18:Y18,"六本木-夜勤")+COUNTIF('1月'!AC18:AD18,"六本木-夜勤")+COUNTIF('1月'!AH18:AI18,"六本木-夜勤")+COUNTIF('1月'!AM18:AN18,"六本木-夜勤")+COUNTIF('1月'!AR18:AS18,"六本木-夜勤")+COUNTIF('1月'!AW18:AX18,"六本木-夜勤")+COUNTIF('1月'!BB18:BC18,"六本木-夜勤")+COUNTIF('1月'!BG18:BH18,"六本木-夜勤")+COUNTIF('1月'!BL18:BM18,"六本木-夜勤")+COUNTIF('1月'!BQ18:BR18,"六本木-夜勤")+COUNTIF('1月'!BV18:BW18,"六本木-夜勤")+COUNTIF('1月'!CA18:CB18,"六本木-夜勤")+COUNTIF('1月'!CF18:CG18,"六本木-夜勤")+COUNTIF('1月'!CK18:CL18,"六本木-夜勤")+COUNTIF('1月'!CP18:CQ18,"六本木-夜勤")+COUNTIF('1月'!CU18:CV18,"六本木-夜勤")+COUNTIF('1月'!CZ18:DA18,"六本木-夜勤")+COUNTIF('1月'!DE18:DF18,"六本木-夜勤")+COUNTIF('1月'!DJ18:DK18,"六本木-夜勤")+COUNTIF('1月'!DO18:DP18,"六本木-夜勤")+COUNTIF('1月'!DT18:DU18,"六本木-夜勤")+COUNTIF('1月'!DY18:DZ18,"六本木-夜勤")+COUNTIF('1月'!ED18:EE18,"六本木-夜勤")+COUNTIF('1月'!EI18:EJ18,"六本木-夜勤")+COUNTIF('1月'!EN18:EO18,"六本木-夜勤")+COUNTIF('1月'!ES18:ET18,"六本木-夜勤")+COUNTIF('1月'!D18:E18,"六本木ー夜勤")+COUNTIF('1月'!I18:J18,"六本木ー夜勤")+COUNTIF('1月'!N18:O18,"六本木ー夜勤")+COUNTIF('1月'!S18:T18,"六本木ー夜勤")+COUNTIF('1月'!X18:Y18,"六本木ー夜勤")+COUNTIF('1月'!AC18:AD18,"六本木ー夜勤")+COUNTIF('1月'!AH18:AI18,"六本木ー夜勤")+COUNTIF('1月'!AM18:AN18,"六本木ー夜勤")+COUNTIF('1月'!AR18:AS18,"六本木ー夜勤")+COUNTIF('1月'!AW18:AX18,"六本木ー夜勤")+COUNTIF('1月'!BB18:BC18,"六本木ー夜勤")+COUNTIF('1月'!BG18:BH18,"六本木ー夜勤")+COUNTIF('1月'!BL18:BM18,"六本木ー夜勤")+COUNTIF('1月'!BQ18:BR18,"六本木ー夜勤")+COUNTIF('1月'!BV18:BW18,"六本木ー夜勤")+COUNTIF('1月'!CA18:CB18,"六本木ー夜勤")+COUNTIF('1月'!CF18:CG18,"六本木ー夜勤")+COUNTIF('1月'!CK18:CL18,"六本木ー夜勤")+COUNTIF('1月'!CP18:CQ18,"六本木ー夜勤")+COUNTIF('1月'!CU18:CV18,"六本木ー夜勤")+COUNTIF('1月'!CZ18:DA18,"六本木ー夜勤")+COUNTIF('1月'!DE18:DF18,"六本木ー夜勤")+COUNTIF('1月'!DJ18:DK18,"六本木ー夜勤")+COUNTIF('1月'!DO18:DP18,"六本木ー夜勤")+COUNTIF('1月'!DT18:DU18,"六本木ー夜勤")+COUNTIF('1月'!DY18:DZ18,"六本木ー夜勤")+COUNTIF('1月'!ED18:EE18,"六本木ー夜勤")+COUNTIF('1月'!EI18:EJ18,"六本木ー夜勤")+COUNTIF('1月'!EN18:EO18,"六本木ー夜勤")+COUNTIF('1月'!ES18:ET18,"六本木ー夜勤")</f>
        <v>0</v>
      </c>
      <c r="K20" s="76">
        <f t="shared" si="4"/>
        <v>0</v>
      </c>
      <c r="L20" s="76">
        <f>COUNTIF('1月'!D18:E18,L$4)+COUNTIF('1月'!I18:J18,L$4)+COUNTIF('1月'!N18:O18,L$4)+COUNTIF('1月'!S18:T18,L$4)+COUNTIF('1月'!X18:Y18,L$4)+COUNTIF('1月'!AC18:AD18,L$4)+COUNTIF('1月'!AH18:AI18,L$4)+COUNTIF('1月'!AM18:AN18,L$4)+COUNTIF('1月'!AR18:AS18,L$4)+COUNTIF('1月'!AW18:AX18,L$4)+COUNTIF('1月'!BB18:BC18,L$4)+COUNTIF('1月'!BG18:BH18,L$4)+COUNTIF('1月'!BL18:BM18,L$4)+COUNTIF('1月'!BQ18:BR18,L$4)+COUNTIF('1月'!BV18:BW18,L$4)+COUNTIF('1月'!CA18:CB18,L$4)+COUNTIF('1月'!CF18:CG18,L$4)+COUNTIF('1月'!CK18:CL18,L$4)+COUNTIF('1月'!CP18:CQ18,L$4)+COUNTIF('1月'!CU18:CV18,L$4)+COUNTIF('1月'!CZ18:DA18,L$4)+COUNTIF('1月'!DE18:DF18,L$4)+COUNTIF('1月'!DJ18:DK18,L$4)+COUNTIF('1月'!DO18:DP18,L$4)+COUNTIF('1月'!DT18:DU18,L$4)+COUNTIF('1月'!DY18:DZ18,L$4)+COUNTIF('1月'!ED18:EE18,L$4)+COUNTIF('1月'!EI18:EJ18,L$4)+COUNTIF('1月'!EN18:EO18,L$4)+COUNTIF('1月'!ES18:ET18,L$4)</f>
        <v>0</v>
      </c>
      <c r="M20" s="76">
        <f t="shared" si="5"/>
        <v>0</v>
      </c>
      <c r="N20" s="76">
        <f>COUNTIF('1月'!D18:E18,N$4)+COUNTIF('1月'!I18:J18,N$4)+COUNTIF('1月'!N18:O18,N$4)+COUNTIF('1月'!S18:T18,N$4)+COUNTIF('1月'!X18:Y18,N$4)+COUNTIF('1月'!AC18:AD18,N$4)+COUNTIF('1月'!AH18:AI18,N$4)+COUNTIF('1月'!AM18:AN18,N$4)+COUNTIF('1月'!AR18:AS18,N$4)+COUNTIF('1月'!AW18:AX18,N$4)+COUNTIF('1月'!BB18:BC18,N$4)+COUNTIF('1月'!BG18:BH18,N$4)+COUNTIF('1月'!BL18:BM18,N$4)+COUNTIF('1月'!BQ18:BR18,N$4)+COUNTIF('1月'!BV18:BW18,N$4)+COUNTIF('1月'!CA18:CB18,N$4)+COUNTIF('1月'!CF18:CG18,N$4)+COUNTIF('1月'!CK18:CL18,N$4)+COUNTIF('1月'!CP18:CQ18,N$4)+COUNTIF('1月'!CU18:CV18,N$4)+COUNTIF('1月'!CZ18:DA18,N$4)+COUNTIF('1月'!DE18:DF18,N$4)+COUNTIF('1月'!DJ18:DK18,N$4)+COUNTIF('1月'!DO18:DP18,N$4)+COUNTIF('1月'!DT18:DU18,N$4)+COUNTIF('1月'!DY18:DZ18,N$4)+COUNTIF('1月'!ED18:EE18,N$4)+COUNTIF('1月'!EI18:EJ18,N$4)+COUNTIF('1月'!EN18:EO18,N$4)+COUNTIF('1月'!ES18:ET18,N$4)+COUNTIF('1月'!D18:E18,"三軒茶屋－夜勤")+COUNTIF('1月'!I18:J18,"三軒茶屋－夜勤")+COUNTIF('1月'!N18:O18,"三軒茶屋－夜勤")+COUNTIF('1月'!S18:T18,"三軒茶屋－夜勤")+COUNTIF('1月'!X18:Y18,"三軒茶屋－夜勤")+COUNTIF('1月'!AC18:AD18,"三軒茶屋－夜勤")+COUNTIF('1月'!AH18:AI18,"三軒茶屋－夜勤")+COUNTIF('1月'!AM18:AN18,"三軒茶屋－夜勤")+COUNTIF('1月'!AR18:AS18,"三軒茶屋－夜勤")+COUNTIF('1月'!AW18:AX18,"三軒茶屋－夜勤")+COUNTIF('1月'!BB18:BC18,"三軒茶屋－夜勤")+COUNTIF('1月'!BG18:BH18,"三軒茶屋－夜勤")+COUNTIF('1月'!BL18:BM18,"三軒茶屋－夜勤")+COUNTIF('1月'!BQ18:BR18,"三軒茶屋－夜勤")+COUNTIF('1月'!BV18:BW18,"三軒茶屋－夜勤")+COUNTIF('1月'!CA18:CB18,"三軒茶屋－夜勤")+COUNTIF('1月'!CF18:CG18,"三軒茶屋－夜勤")+COUNTIF('1月'!CK18:CL18,"三軒茶屋－夜勤")+COUNTIF('1月'!CP18:CQ18,"三軒茶屋－夜勤")+COUNTIF('1月'!CU18:CV18,"三軒茶屋－夜勤")+COUNTIF('1月'!CZ18:DA18,"三軒茶屋－夜勤")+COUNTIF('1月'!DE18:DF18,"三軒茶屋－夜勤")+COUNTIF('1月'!DJ18:DK18,"三軒茶屋－夜勤")+COUNTIF('1月'!DO18:DP18,"三軒茶屋－夜勤")+COUNTIF('1月'!DT18:DU18,"三軒茶屋－夜勤")+COUNTIF('1月'!DY18:DZ18,"三軒茶屋－夜勤")+COUNTIF('1月'!ED18:EE18,"三軒茶屋－夜勤")+COUNTIF('1月'!EI18:EJ18,"三軒茶屋－夜勤")+COUNTIF('1月'!EN18:EO18,"三軒茶屋－夜勤")+COUNTIF('1月'!ES18:ET18,"三軒茶屋－夜勤")</f>
        <v>0</v>
      </c>
      <c r="O20" s="76">
        <f t="shared" si="6"/>
        <v>0</v>
      </c>
      <c r="P20" s="76">
        <f>COUNTIF('1月'!D18:E18,P$4)+COUNTIF('1月'!I18:J18,P$4)+COUNTIF('1月'!N18:O18,P$4)+COUNTIF('1月'!S18:T18,P$4)+COUNTIF('1月'!X18:Y18,P$4)+COUNTIF('1月'!AC18:AD18,P$4)+COUNTIF('1月'!AH18:AI18,P$4)+COUNTIF('1月'!AM18:AN18,P$4)+COUNTIF('1月'!AR18:AS18,P$4)+COUNTIF('1月'!AW18:AX18,P$4)+COUNTIF('1月'!BB18:BC18,P$4)+COUNTIF('1月'!BG18:BH18,P$4)+COUNTIF('1月'!BL18:BM18,P$4)+COUNTIF('1月'!BQ18:BR18,P$4)+COUNTIF('1月'!BV18:BW18,P$4)+COUNTIF('1月'!CA18:CB18,P$4)+COUNTIF('1月'!CF18:CG18,P$4)+COUNTIF('1月'!CK18:CL18,P$4)+COUNTIF('1月'!CP18:CQ18,P$4)+COUNTIF('1月'!CU18:CV18,P$4)+COUNTIF('1月'!CZ18:DA18,P$4)+COUNTIF('1月'!DE18:DF18,P$4)+COUNTIF('1月'!DJ18:DK18,P$4)+COUNTIF('1月'!DO18:DP18,P$4)+COUNTIF('1月'!DT18:DU18,P$4)+COUNTIF('1月'!DY18:DZ18,P$4)+COUNTIF('1月'!ED18:EE18,P$4)+COUNTIF('1月'!EI18:EJ18,P$4)+COUNTIF('1月'!EN18:EO18,P$4)+COUNTIF('1月'!ES18:ET18,P$4)+COUNTIF('1月'!D18:E18,"荻窪ー夜勤")+COUNTIF('1月'!I18:J18,"荻窪ー夜勤")+COUNTIF('1月'!N18:O18,"荻窪ー夜勤")+COUNTIF('1月'!S18:T18,"荻窪ー夜勤")+COUNTIF('1月'!X18:Y18,"荻窪ー夜勤")+COUNTIF('1月'!AC18:AD18,"荻窪ー夜勤")+COUNTIF('1月'!AH18:AI18,"荻窪ー夜勤")+COUNTIF('1月'!AM18:AN18,"荻窪ー夜勤")+COUNTIF('1月'!AR18:AS18,"荻窪ー夜勤")+COUNTIF('1月'!AW18:AX18,"荻窪ー夜勤")+COUNTIF('1月'!BB18:BC18,"荻窪ー夜勤")+COUNTIF('1月'!BG18:BH18,"荻窪ー夜勤")+COUNTIF('1月'!BL18:BM18,"荻窪ー夜勤")+COUNTIF('1月'!BQ18:BR18,"荻窪ー夜勤")+COUNTIF('1月'!BV18:BW18,"荻窪ー夜勤")+COUNTIF('1月'!CA18:CB18,"荻窪ー夜勤")+COUNTIF('1月'!CF18:CG18,"荻窪ー夜勤")+COUNTIF('1月'!CK18:CL18,"荻窪ー夜勤")+COUNTIF('1月'!CP18:CQ18,"荻窪ー夜勤")+COUNTIF('1月'!CU18:CV18,"荻窪ー夜勤")+COUNTIF('1月'!CZ18:DA18,"荻窪ー夜勤")+COUNTIF('1月'!DE18:DF18,"荻窪ー夜勤")+COUNTIF('1月'!DJ18:DK18,"荻窪ー夜勤")+COUNTIF('1月'!DO18:DP18,"荻窪ー夜勤")+COUNTIF('1月'!DT18:DU18,"荻窪ー夜勤")+COUNTIF('1月'!DY18:DZ18,"荻窪ー夜勤")+COUNTIF('1月'!ED18:EE18,"荻窪ー夜勤")+COUNTIF('1月'!EI18:EJ18,"荻窪ー夜勤")+COUNTIF('1月'!EN18:EO18,"荻窪ー夜勤")+COUNTIF('1月'!ES18:ET18,"荻窪ー夜勤")</f>
        <v>0</v>
      </c>
      <c r="Q20" s="76">
        <f t="shared" si="7"/>
        <v>0</v>
      </c>
      <c r="R20" s="76">
        <f>COUNTIF('1月'!D18:E18,R$4)+COUNTIF('1月'!I18:J18,R$4)+COUNTIF('1月'!N18:O18,R$4)+COUNTIF('1月'!S18:T18,R$4)+COUNTIF('1月'!X18:Y18,R$4)+COUNTIF('1月'!AC18:AD18,R$4)+COUNTIF('1月'!AH18:AI18,R$4)+COUNTIF('1月'!AM18:AN18,R$4)+COUNTIF('1月'!AR18:AS18,R$4)+COUNTIF('1月'!AW18:AX18,R$4)+COUNTIF('1月'!BB18:BC18,R$4)+COUNTIF('1月'!BG18:BH18,R$4)+COUNTIF('1月'!BL18:BM18,R$4)+COUNTIF('1月'!BQ18:BR18,R$4)+COUNTIF('1月'!BV18:BW18,R$4)+COUNTIF('1月'!CA18:CB18,R$4)+COUNTIF('1月'!CF18:CG18,R$4)+COUNTIF('1月'!CK18:CL18,R$4)+COUNTIF('1月'!CP18:CQ18,R$4)+COUNTIF('1月'!CU18:CV18,R$4)+COUNTIF('1月'!CZ18:DA18,R$4)+COUNTIF('1月'!DE18:DF18,R$4)+COUNTIF('1月'!DJ18:DK18,R$4)+COUNTIF('1月'!DO18:DP18,R$4)+COUNTIF('1月'!DT18:DU18,R$4)+COUNTIF('1月'!DY18:DZ18,R$4)+COUNTIF('1月'!ED18:EE18,R$4)+COUNTIF('1月'!EI18:EJ18,R$4)+COUNTIF('1月'!EN18:EO18,R$4)+COUNTIF('1月'!ES18:ET18,R$4)</f>
        <v>0</v>
      </c>
      <c r="S20" s="76">
        <f t="shared" si="8"/>
        <v>0</v>
      </c>
      <c r="T20" s="76">
        <f>COUNTIF('1月'!D18:E18,T$4)+COUNTIF('1月'!I18:J18,T$4)+COUNTIF('1月'!N18:O18,T$4)+COUNTIF('1月'!S18:T18,T$4)+COUNTIF('1月'!X18:Y18,T$4)+COUNTIF('1月'!AC18:AD18,T$4)+COUNTIF('1月'!AH18:AI18,T$4)+COUNTIF('1月'!AM18:AN18,T$4)+COUNTIF('1月'!AR18:AS18,T$4)+COUNTIF('1月'!AW18:AX18,T$4)+COUNTIF('1月'!BB18:BC18,T$4)+COUNTIF('1月'!BG18:BH18,T$4)+COUNTIF('1月'!BL18:BM18,T$4)+COUNTIF('1月'!BQ18:BR18,T$4)+COUNTIF('1月'!BV18:BW18,T$4)+COUNTIF('1月'!CA18:CB18,T$4)+COUNTIF('1月'!CF18:CG18,T$4)+COUNTIF('1月'!CK18:CL18,T$4)+COUNTIF('1月'!CP18:CQ18,T$4)+COUNTIF('1月'!CU18:CV18,T$4)+COUNTIF('1月'!CZ18:DA18,T$4)+COUNTIF('1月'!DE18:DF18,T$4)+COUNTIF('1月'!DJ18:DK18,T$4)+COUNTIF('1月'!DO18:DP18,T$4)+COUNTIF('1月'!DT18:DU18,T$4)+COUNTIF('1月'!DY18:DZ18,T$4)+COUNTIF('1月'!ED18:EE18,T$4)+COUNTIF('1月'!EI18:EJ18,T$4)+COUNTIF('1月'!EN18:EO18,T$4)+COUNTIF('1月'!ES18:ET18,T$4)</f>
        <v>0</v>
      </c>
      <c r="U20" s="76">
        <f t="shared" si="9"/>
        <v>0</v>
      </c>
      <c r="V20" s="76">
        <f>COUNTIF('1月'!D18:E18,V$4)+COUNTIF('1月'!I18:J18,V$4)+COUNTIF('1月'!N18:O18,V$4)+COUNTIF('1月'!S18:T18,V$4)+COUNTIF('1月'!X18:Y18,V$4)+COUNTIF('1月'!AC18:AD18,V$4)+COUNTIF('1月'!AH18:AI18,V$4)+COUNTIF('1月'!AM18:AN18,V$4)+COUNTIF('1月'!AR18:AS18,V$4)+COUNTIF('1月'!AW18:AX18,V$4)+COUNTIF('1月'!BB18:BC18,V$4)+COUNTIF('1月'!BG18:BH18,V$4)+COUNTIF('1月'!BL18:BM18,V$4)+COUNTIF('1月'!BQ18:BR18,V$4)+COUNTIF('1月'!BV18:BW18,V$4)+COUNTIF('1月'!CA18:CB18,V$4)+COUNTIF('1月'!CF18:CG18,V$4)+COUNTIF('1月'!CK18:CL18,V$4)+COUNTIF('1月'!CP18:CQ18,V$4)+COUNTIF('1月'!CU18:CV18,V$4)+COUNTIF('1月'!CZ18:DA18,V$4)+COUNTIF('1月'!DE18:DF18,V$4)+COUNTIF('1月'!DJ18:DK18,V$4)+COUNTIF('1月'!DO18:DP18,V$4)+COUNTIF('1月'!DT18:DU18,V$4)+COUNTIF('1月'!DY18:DZ18,V$4)+COUNTIF('1月'!ED18:EE18,V$4)+COUNTIF('1月'!EI18:EJ18,V$4)+COUNTIF('1月'!EN18:EO18,V$4)+COUNTIF('1月'!ES18:ET18,V$4)</f>
        <v>0</v>
      </c>
      <c r="W20" s="76">
        <f t="shared" si="10"/>
        <v>0</v>
      </c>
      <c r="X20" s="76">
        <f>COUNTIF('1月'!D18:E18,X$4)+COUNTIF('1月'!I18:J18,X$4)+COUNTIF('1月'!N18:O18,X$4)+COUNTIF('1月'!S18:T18,X$4)+COUNTIF('1月'!X18:Y18,X$4)+COUNTIF('1月'!AC18:AD18,X$4)+COUNTIF('1月'!AH18:AI18,X$4)+COUNTIF('1月'!AM18:AN18,X$4)+COUNTIF('1月'!AR18:AS18,X$4)+COUNTIF('1月'!AW18:AX18,X$4)+COUNTIF('1月'!BB18:BC18,X$4)+COUNTIF('1月'!BG18:BH18,X$4)+COUNTIF('1月'!BL18:BM18,X$4)+COUNTIF('1月'!BQ18:BR18,X$4)+COUNTIF('1月'!BV18:BW18,X$4)+COUNTIF('1月'!CA18:CB18,X$4)+COUNTIF('1月'!CF18:CG18,X$4)+COUNTIF('1月'!CK18:CL18,X$4)+COUNTIF('1月'!CP18:CQ18,X$4)+COUNTIF('1月'!CU18:CV18,X$4)+COUNTIF('1月'!CZ18:DA18,X$4)+COUNTIF('1月'!DE18:DF18,X$4)+COUNTIF('1月'!DJ18:DK18,X$4)+COUNTIF('1月'!DO18:DP18,X$4)+COUNTIF('1月'!DT18:DU18,X$4)+COUNTIF('1月'!DY18:DZ18,X$4)+COUNTIF('1月'!ED18:EE18,X$4)+COUNTIF('1月'!EI18:EJ18,X$4)+COUNTIF('1月'!EN18:EO18,X$4)+COUNTIF('1月'!ES18:ET18,X$4)</f>
        <v>0</v>
      </c>
      <c r="Y20" s="76">
        <f t="shared" si="11"/>
        <v>0</v>
      </c>
    </row>
    <row r="21" spans="1:25" ht="18" customHeight="1">
      <c r="A21" s="76">
        <v>16</v>
      </c>
      <c r="B21" s="76">
        <f>COUNTIF('1月'!D19:E19,B$4)+COUNTIF('1月'!I19:J19,B$4)+COUNTIF('1月'!N19:O19,B$4)+COUNTIF('1月'!S19:T19,B$4)+COUNTIF('1月'!X19:Y19,B$4)+COUNTIF('1月'!AC19:AD19,B$4)+COUNTIF('1月'!AH19:AI19,B$4)+COUNTIF('1月'!AM19:AN19,B$4)+COUNTIF('1月'!AR19:AS19,B$4)+COUNTIF('1月'!AW19:AX19,B$4)+COUNTIF('1月'!BB19:BC19,B$4)+COUNTIF('1月'!BG19:BH19,B$4)+COUNTIF('1月'!BL19:BM19,B$4)+COUNTIF('1月'!BQ19:BR19,B$4)+COUNTIF('1月'!BV19:BW19,B$4)+COUNTIF('1月'!CA19:CB19,B$4)+COUNTIF('1月'!CF19:CG19,B$4)+COUNTIF('1月'!CK19:CL19,B$4)+COUNTIF('1月'!CP19:CQ19,B$4)+COUNTIF('1月'!CU19:CV19,B$4)+COUNTIF('1月'!CZ19:DA19,B$4)+COUNTIF('1月'!DE19:DF19,B$4)+COUNTIF('1月'!DJ19:DK19,B$4)+COUNTIF('1月'!DO19:DP19,B$4)+COUNTIF('1月'!DT19:DU19,B$4)+COUNTIF('1月'!DY19:DZ19,B$4)+COUNTIF('1月'!ED19:EE19,B$4)+COUNTIF('1月'!EI19:EJ19,B$4)+COUNTIF('1月'!EN19:EO19,B$4)+COUNTIF('1月'!ES19:ET19,B$4)</f>
        <v>0</v>
      </c>
      <c r="C21" s="76">
        <f t="shared" si="0"/>
        <v>0</v>
      </c>
      <c r="D21" s="76">
        <f>COUNTIF('1月'!D19:E19,D$4)+COUNTIF('1月'!I19:J19,D$4)+COUNTIF('1月'!N19:O19,D$4)+COUNTIF('1月'!S19:T19,D$4)+COUNTIF('1月'!X19:Y19,D$4)+COUNTIF('1月'!AC19:AD19,D$4)+COUNTIF('1月'!AH19:AI19,D$4)+COUNTIF('1月'!AM19:AN19,D$4)+COUNTIF('1月'!AR19:AS19,D$4)+COUNTIF('1月'!AW19:AX19,D$4)+COUNTIF('1月'!BB19:BC19,D$4)+COUNTIF('1月'!BG19:BH19,D$4)+COUNTIF('1月'!BL19:BM19,D$4)+COUNTIF('1月'!BQ19:BR19,D$4)+COUNTIF('1月'!BV19:BW19,D$4)+COUNTIF('1月'!CA19:CB19,D$4)+COUNTIF('1月'!CF19:CG19,D$4)+COUNTIF('1月'!CK19:CL19,D$4)+COUNTIF('1月'!CP19:CQ19,D$4)+COUNTIF('1月'!CU19:CV19,D$4)+COUNTIF('1月'!CZ19:DA19,D$4)+COUNTIF('1月'!DE19:DF19,D$4)+COUNTIF('1月'!DJ19:DK19,D$4)+COUNTIF('1月'!DO19:DP19,D$4)+COUNTIF('1月'!DT19:DU19,D$4)+COUNTIF('1月'!DY19:DZ19,D$4)+COUNTIF('1月'!ED19:EE19,D$4)+COUNTIF('1月'!EI19:EJ19,D$4)+COUNTIF('1月'!EN19:EO19,D$4)+COUNTIF('1月'!ES19:ET19,D$4)</f>
        <v>0</v>
      </c>
      <c r="E21" s="76">
        <f t="shared" si="1"/>
        <v>0</v>
      </c>
      <c r="F21" s="76">
        <f>COUNTIF('1月'!D19:E19,F$4)+COUNTIF('1月'!I19:J19,F$4)+COUNTIF('1月'!N19:O19,F$4)+COUNTIF('1月'!S19:T19,F$4)+COUNTIF('1月'!X19:Y19,F$4)+COUNTIF('1月'!AC19:AD19,F$4)+COUNTIF('1月'!AH19:AI19,F$4)+COUNTIF('1月'!AM19:AN19,F$4)+COUNTIF('1月'!AR19:AS19,F$4)+COUNTIF('1月'!AW19:AX19,F$4)+COUNTIF('1月'!BB19:BC19,F$4)+COUNTIF('1月'!BG19:BH19,F$4)+COUNTIF('1月'!BL19:BM19,F$4)+COUNTIF('1月'!BQ19:BR19,F$4)+COUNTIF('1月'!BV19:BW19,F$4)+COUNTIF('1月'!CA19:CB19,F$4)+COUNTIF('1月'!CF19:CG19,F$4)+COUNTIF('1月'!CK19:CL19,F$4)+COUNTIF('1月'!CP19:CQ19,F$4)+COUNTIF('1月'!CU19:CV19,F$4)+COUNTIF('1月'!CZ19:DA19,F$4)+COUNTIF('1月'!DE19:DF19,F$4)+COUNTIF('1月'!DJ19:DK19,F$4)+COUNTIF('1月'!DO19:DP19,F$4)+COUNTIF('1月'!DT19:DU19,F$4)+COUNTIF('1月'!DY19:DZ19,F$4)+COUNTIF('1月'!ED19:EE19,F$4)+COUNTIF('1月'!EI19:EJ19,F$4)+COUNTIF('1月'!EN19:EO19,F$4)+COUNTIF('1月'!ES19:ET19,F$4)</f>
        <v>0</v>
      </c>
      <c r="G21" s="76">
        <f t="shared" si="2"/>
        <v>0</v>
      </c>
      <c r="H21" s="76">
        <f>COUNTIF('1月'!D19:E19,H$4)+COUNTIF('1月'!I19:J19,H$4)+COUNTIF('1月'!N19:O19,H$4)+COUNTIF('1月'!S19:T19,H$4)+COUNTIF('1月'!X19:Y19,H$4)+COUNTIF('1月'!AC19:AD19,H$4)+COUNTIF('1月'!AH19:AI19,H$4)+COUNTIF('1月'!AM19:AN19,H$4)+COUNTIF('1月'!AR19:AS19,H$4)+COUNTIF('1月'!AW19:AX19,H$4)+COUNTIF('1月'!BB19:BC19,H$4)+COUNTIF('1月'!BG19:BH19,H$4)+COUNTIF('1月'!BL19:BM19,H$4)+COUNTIF('1月'!BQ19:BR19,H$4)+COUNTIF('1月'!BV19:BW19,H$4)+COUNTIF('1月'!CA19:CB19,H$4)+COUNTIF('1月'!CF19:CG19,H$4)+COUNTIF('1月'!CK19:CL19,H$4)+COUNTIF('1月'!CP19:CQ19,H$4)+COUNTIF('1月'!CU19:CV19,H$4)+COUNTIF('1月'!CZ19:DA19,H$4)+COUNTIF('1月'!DE19:DF19,H$4)+COUNTIF('1月'!DJ19:DK19,H$4)+COUNTIF('1月'!DO19:DP19,H$4)+COUNTIF('1月'!DT19:DU19,H$4)+COUNTIF('1月'!DY19:DZ19,H$4)+COUNTIF('1月'!ED19:EE19,H$4)+COUNTIF('1月'!EI19:EJ19,H$4)+COUNTIF('1月'!EN19:EO19,H$4)+COUNTIF('1月'!ES19:ET19,H$4)+COUNTIF('1月'!D19:E19,"渋谷-夜勤")+COUNTIF('1月'!I19:J19,"渋谷-夜勤")+COUNTIF('1月'!N19:O19,"渋谷-夜勤")+COUNTIF('1月'!S19:T19,"渋谷-夜勤")+COUNTIF('1月'!X19:Y19,"渋谷-夜勤")+COUNTIF('1月'!AC19:AD19,"渋谷-夜勤")+COUNTIF('1月'!AH19:AI19,"渋谷-夜勤")+COUNTIF('1月'!AM19:AN19,"渋谷-夜勤")+COUNTIF('1月'!AR19:AS19,"渋谷-夜勤")+COUNTIF('1月'!AW19:AX19,"渋谷-夜勤")+COUNTIF('1月'!BB19:BC19,"渋谷-夜勤")+COUNTIF('1月'!BG19:BH19,"渋谷-夜勤")+COUNTIF('1月'!BL19:BM19,"渋谷-夜勤")+COUNTIF('1月'!BQ19:BR19,"渋谷-夜勤")+COUNTIF('1月'!BV19:BW19,"渋谷-夜勤")+COUNTIF('1月'!CA19:CB19,"渋谷-夜勤")+COUNTIF('1月'!CF19:CG19,"渋谷-夜勤")+COUNTIF('1月'!CK19:CL19,"渋谷-夜勤")+COUNTIF('1月'!CP19:CQ19,"渋谷-夜勤")+COUNTIF('1月'!CU19:CV19,"渋谷-夜勤")+COUNTIF('1月'!CZ19:DA19,"渋谷-夜勤")+COUNTIF('1月'!DE19:DF19,"渋谷-夜勤")+COUNTIF('1月'!DJ19:DK19,"渋谷-夜勤")+COUNTIF('1月'!DO19:DP19,"渋谷-夜勤")+COUNTIF('1月'!DT19:DU19,"渋谷-夜勤")+COUNTIF('1月'!DY19:DZ19,"渋谷-夜勤")+COUNTIF('1月'!ED19:EE19,"渋谷-夜勤")+COUNTIF('1月'!EI19:EJ19,"渋谷-夜勤")+COUNTIF('1月'!EN19:EO19,"渋谷-夜勤")+COUNTIF('1月'!ES19:ET19,"渋谷-夜勤")</f>
        <v>0</v>
      </c>
      <c r="I21" s="76">
        <f t="shared" si="3"/>
        <v>0</v>
      </c>
      <c r="J21" s="76">
        <f>COUNTIF('1月'!D19:E19,J$4)+COUNTIF('1月'!I19:J19,J$4)+COUNTIF('1月'!N19:O19,J$4)+COUNTIF('1月'!S19:T19,J$4)+COUNTIF('1月'!X19:Y19,J$4)+COUNTIF('1月'!AC19:AD19,J$4)+COUNTIF('1月'!AH19:AI19,J$4)+COUNTIF('1月'!AM19:AN19,J$4)+COUNTIF('1月'!AR19:AS19,J$4)+COUNTIF('1月'!AW19:AX19,J$4)+COUNTIF('1月'!BB19:BC19,J$4)+COUNTIF('1月'!BG19:BH19,J$4)+COUNTIF('1月'!BL19:BM19,J$4)+COUNTIF('1月'!BQ19:BR19,J$4)+COUNTIF('1月'!BV19:BW19,J$4)+COUNTIF('1月'!CA19:CB19,J$4)+COUNTIF('1月'!CF19:CG19,J$4)+COUNTIF('1月'!CK19:CL19,J$4)+COUNTIF('1月'!CP19:CQ19,J$4)+COUNTIF('1月'!CU19:CV19,J$4)+COUNTIF('1月'!CZ19:DA19,J$4)+COUNTIF('1月'!DE19:DF19,J$4)+COUNTIF('1月'!DJ19:DK19,J$4)+COUNTIF('1月'!DO19:DP19,J$4)+COUNTIF('1月'!DT19:DU19,J$4)+COUNTIF('1月'!DY19:DZ19,J$4)+COUNTIF('1月'!ED19:EE19,J$4)+COUNTIF('1月'!EI19:EJ19,J$4)+COUNTIF('1月'!EN19:EO19,J$4)+COUNTIF('1月'!ES19:ET19,J$4)+COUNTIF('1月'!D19:E19,"六本木-夜勤")+COUNTIF('1月'!I19:J19,"六本木-夜勤")+COUNTIF('1月'!N19:O19,"六本木-夜勤")+COUNTIF('1月'!S19:T19,"六本木-夜勤")+COUNTIF('1月'!X19:Y19,"六本木-夜勤")+COUNTIF('1月'!AC19:AD19,"六本木-夜勤")+COUNTIF('1月'!AH19:AI19,"六本木-夜勤")+COUNTIF('1月'!AM19:AN19,"六本木-夜勤")+COUNTIF('1月'!AR19:AS19,"六本木-夜勤")+COUNTIF('1月'!AW19:AX19,"六本木-夜勤")+COUNTIF('1月'!BB19:BC19,"六本木-夜勤")+COUNTIF('1月'!BG19:BH19,"六本木-夜勤")+COUNTIF('1月'!BL19:BM19,"六本木-夜勤")+COUNTIF('1月'!BQ19:BR19,"六本木-夜勤")+COUNTIF('1月'!BV19:BW19,"六本木-夜勤")+COUNTIF('1月'!CA19:CB19,"六本木-夜勤")+COUNTIF('1月'!CF19:CG19,"六本木-夜勤")+COUNTIF('1月'!CK19:CL19,"六本木-夜勤")+COUNTIF('1月'!CP19:CQ19,"六本木-夜勤")+COUNTIF('1月'!CU19:CV19,"六本木-夜勤")+COUNTIF('1月'!CZ19:DA19,"六本木-夜勤")+COUNTIF('1月'!DE19:DF19,"六本木-夜勤")+COUNTIF('1月'!DJ19:DK19,"六本木-夜勤")+COUNTIF('1月'!DO19:DP19,"六本木-夜勤")+COUNTIF('1月'!DT19:DU19,"六本木-夜勤")+COUNTIF('1月'!DY19:DZ19,"六本木-夜勤")+COUNTIF('1月'!ED19:EE19,"六本木-夜勤")+COUNTIF('1月'!EI19:EJ19,"六本木-夜勤")+COUNTIF('1月'!EN19:EO19,"六本木-夜勤")+COUNTIF('1月'!ES19:ET19,"六本木-夜勤")+COUNTIF('1月'!D19:E19,"六本木ー夜勤")+COUNTIF('1月'!I19:J19,"六本木ー夜勤")+COUNTIF('1月'!N19:O19,"六本木ー夜勤")+COUNTIF('1月'!S19:T19,"六本木ー夜勤")+COUNTIF('1月'!X19:Y19,"六本木ー夜勤")+COUNTIF('1月'!AC19:AD19,"六本木ー夜勤")+COUNTIF('1月'!AH19:AI19,"六本木ー夜勤")+COUNTIF('1月'!AM19:AN19,"六本木ー夜勤")+COUNTIF('1月'!AR19:AS19,"六本木ー夜勤")+COUNTIF('1月'!AW19:AX19,"六本木ー夜勤")+COUNTIF('1月'!BB19:BC19,"六本木ー夜勤")+COUNTIF('1月'!BG19:BH19,"六本木ー夜勤")+COUNTIF('1月'!BL19:BM19,"六本木ー夜勤")+COUNTIF('1月'!BQ19:BR19,"六本木ー夜勤")+COUNTIF('1月'!BV19:BW19,"六本木ー夜勤")+COUNTIF('1月'!CA19:CB19,"六本木ー夜勤")+COUNTIF('1月'!CF19:CG19,"六本木ー夜勤")+COUNTIF('1月'!CK19:CL19,"六本木ー夜勤")+COUNTIF('1月'!CP19:CQ19,"六本木ー夜勤")+COUNTIF('1月'!CU19:CV19,"六本木ー夜勤")+COUNTIF('1月'!CZ19:DA19,"六本木ー夜勤")+COUNTIF('1月'!DE19:DF19,"六本木ー夜勤")+COUNTIF('1月'!DJ19:DK19,"六本木ー夜勤")+COUNTIF('1月'!DO19:DP19,"六本木ー夜勤")+COUNTIF('1月'!DT19:DU19,"六本木ー夜勤")+COUNTIF('1月'!DY19:DZ19,"六本木ー夜勤")+COUNTIF('1月'!ED19:EE19,"六本木ー夜勤")+COUNTIF('1月'!EI19:EJ19,"六本木ー夜勤")+COUNTIF('1月'!EN19:EO19,"六本木ー夜勤")+COUNTIF('1月'!ES19:ET19,"六本木ー夜勤")</f>
        <v>0</v>
      </c>
      <c r="K21" s="76">
        <f t="shared" si="4"/>
        <v>0</v>
      </c>
      <c r="L21" s="76">
        <f>COUNTIF('1月'!D19:E19,L$4)+COUNTIF('1月'!I19:J19,L$4)+COUNTIF('1月'!N19:O19,L$4)+COUNTIF('1月'!S19:T19,L$4)+COUNTIF('1月'!X19:Y19,L$4)+COUNTIF('1月'!AC19:AD19,L$4)+COUNTIF('1月'!AH19:AI19,L$4)+COUNTIF('1月'!AM19:AN19,L$4)+COUNTIF('1月'!AR19:AS19,L$4)+COUNTIF('1月'!AW19:AX19,L$4)+COUNTIF('1月'!BB19:BC19,L$4)+COUNTIF('1月'!BG19:BH19,L$4)+COUNTIF('1月'!BL19:BM19,L$4)+COUNTIF('1月'!BQ19:BR19,L$4)+COUNTIF('1月'!BV19:BW19,L$4)+COUNTIF('1月'!CA19:CB19,L$4)+COUNTIF('1月'!CF19:CG19,L$4)+COUNTIF('1月'!CK19:CL19,L$4)+COUNTIF('1月'!CP19:CQ19,L$4)+COUNTIF('1月'!CU19:CV19,L$4)+COUNTIF('1月'!CZ19:DA19,L$4)+COUNTIF('1月'!DE19:DF19,L$4)+COUNTIF('1月'!DJ19:DK19,L$4)+COUNTIF('1月'!DO19:DP19,L$4)+COUNTIF('1月'!DT19:DU19,L$4)+COUNTIF('1月'!DY19:DZ19,L$4)+COUNTIF('1月'!ED19:EE19,L$4)+COUNTIF('1月'!EI19:EJ19,L$4)+COUNTIF('1月'!EN19:EO19,L$4)+COUNTIF('1月'!ES19:ET19,L$4)</f>
        <v>0</v>
      </c>
      <c r="M21" s="76">
        <f t="shared" si="5"/>
        <v>0</v>
      </c>
      <c r="N21" s="76">
        <f>COUNTIF('1月'!D19:E19,N$4)+COUNTIF('1月'!I19:J19,N$4)+COUNTIF('1月'!N19:O19,N$4)+COUNTIF('1月'!S19:T19,N$4)+COUNTIF('1月'!X19:Y19,N$4)+COUNTIF('1月'!AC19:AD19,N$4)+COUNTIF('1月'!AH19:AI19,N$4)+COUNTIF('1月'!AM19:AN19,N$4)+COUNTIF('1月'!AR19:AS19,N$4)+COUNTIF('1月'!AW19:AX19,N$4)+COUNTIF('1月'!BB19:BC19,N$4)+COUNTIF('1月'!BG19:BH19,N$4)+COUNTIF('1月'!BL19:BM19,N$4)+COUNTIF('1月'!BQ19:BR19,N$4)+COUNTIF('1月'!BV19:BW19,N$4)+COUNTIF('1月'!CA19:CB19,N$4)+COUNTIF('1月'!CF19:CG19,N$4)+COUNTIF('1月'!CK19:CL19,N$4)+COUNTIF('1月'!CP19:CQ19,N$4)+COUNTIF('1月'!CU19:CV19,N$4)+COUNTIF('1月'!CZ19:DA19,N$4)+COUNTIF('1月'!DE19:DF19,N$4)+COUNTIF('1月'!DJ19:DK19,N$4)+COUNTIF('1月'!DO19:DP19,N$4)+COUNTIF('1月'!DT19:DU19,N$4)+COUNTIF('1月'!DY19:DZ19,N$4)+COUNTIF('1月'!ED19:EE19,N$4)+COUNTIF('1月'!EI19:EJ19,N$4)+COUNTIF('1月'!EN19:EO19,N$4)+COUNTIF('1月'!ES19:ET19,N$4)+COUNTIF('1月'!D19:E19,"三軒茶屋－夜勤")+COUNTIF('1月'!I19:J19,"三軒茶屋－夜勤")+COUNTIF('1月'!N19:O19,"三軒茶屋－夜勤")+COUNTIF('1月'!S19:T19,"三軒茶屋－夜勤")+COUNTIF('1月'!X19:Y19,"三軒茶屋－夜勤")+COUNTIF('1月'!AC19:AD19,"三軒茶屋－夜勤")+COUNTIF('1月'!AH19:AI19,"三軒茶屋－夜勤")+COUNTIF('1月'!AM19:AN19,"三軒茶屋－夜勤")+COUNTIF('1月'!AR19:AS19,"三軒茶屋－夜勤")+COUNTIF('1月'!AW19:AX19,"三軒茶屋－夜勤")+COUNTIF('1月'!BB19:BC19,"三軒茶屋－夜勤")+COUNTIF('1月'!BG19:BH19,"三軒茶屋－夜勤")+COUNTIF('1月'!BL19:BM19,"三軒茶屋－夜勤")+COUNTIF('1月'!BQ19:BR19,"三軒茶屋－夜勤")+COUNTIF('1月'!BV19:BW19,"三軒茶屋－夜勤")+COUNTIF('1月'!CA19:CB19,"三軒茶屋－夜勤")+COUNTIF('1月'!CF19:CG19,"三軒茶屋－夜勤")+COUNTIF('1月'!CK19:CL19,"三軒茶屋－夜勤")+COUNTIF('1月'!CP19:CQ19,"三軒茶屋－夜勤")+COUNTIF('1月'!CU19:CV19,"三軒茶屋－夜勤")+COUNTIF('1月'!CZ19:DA19,"三軒茶屋－夜勤")+COUNTIF('1月'!DE19:DF19,"三軒茶屋－夜勤")+COUNTIF('1月'!DJ19:DK19,"三軒茶屋－夜勤")+COUNTIF('1月'!DO19:DP19,"三軒茶屋－夜勤")+COUNTIF('1月'!DT19:DU19,"三軒茶屋－夜勤")+COUNTIF('1月'!DY19:DZ19,"三軒茶屋－夜勤")+COUNTIF('1月'!ED19:EE19,"三軒茶屋－夜勤")+COUNTIF('1月'!EI19:EJ19,"三軒茶屋－夜勤")+COUNTIF('1月'!EN19:EO19,"三軒茶屋－夜勤")+COUNTIF('1月'!ES19:ET19,"三軒茶屋－夜勤")</f>
        <v>0</v>
      </c>
      <c r="O21" s="76">
        <f t="shared" si="6"/>
        <v>0</v>
      </c>
      <c r="P21" s="76">
        <f>COUNTIF('1月'!D19:E19,P$4)+COUNTIF('1月'!I19:J19,P$4)+COUNTIF('1月'!N19:O19,P$4)+COUNTIF('1月'!S19:T19,P$4)+COUNTIF('1月'!X19:Y19,P$4)+COUNTIF('1月'!AC19:AD19,P$4)+COUNTIF('1月'!AH19:AI19,P$4)+COUNTIF('1月'!AM19:AN19,P$4)+COUNTIF('1月'!AR19:AS19,P$4)+COUNTIF('1月'!AW19:AX19,P$4)+COUNTIF('1月'!BB19:BC19,P$4)+COUNTIF('1月'!BG19:BH19,P$4)+COUNTIF('1月'!BL19:BM19,P$4)+COUNTIF('1月'!BQ19:BR19,P$4)+COUNTIF('1月'!BV19:BW19,P$4)+COUNTIF('1月'!CA19:CB19,P$4)+COUNTIF('1月'!CF19:CG19,P$4)+COUNTIF('1月'!CK19:CL19,P$4)+COUNTIF('1月'!CP19:CQ19,P$4)+COUNTIF('1月'!CU19:CV19,P$4)+COUNTIF('1月'!CZ19:DA19,P$4)+COUNTIF('1月'!DE19:DF19,P$4)+COUNTIF('1月'!DJ19:DK19,P$4)+COUNTIF('1月'!DO19:DP19,P$4)+COUNTIF('1月'!DT19:DU19,P$4)+COUNTIF('1月'!DY19:DZ19,P$4)+COUNTIF('1月'!ED19:EE19,P$4)+COUNTIF('1月'!EI19:EJ19,P$4)+COUNTIF('1月'!EN19:EO19,P$4)+COUNTIF('1月'!ES19:ET19,P$4)+COUNTIF('1月'!D19:E19,"荻窪ー夜勤")+COUNTIF('1月'!I19:J19,"荻窪ー夜勤")+COUNTIF('1月'!N19:O19,"荻窪ー夜勤")+COUNTIF('1月'!S19:T19,"荻窪ー夜勤")+COUNTIF('1月'!X19:Y19,"荻窪ー夜勤")+COUNTIF('1月'!AC19:AD19,"荻窪ー夜勤")+COUNTIF('1月'!AH19:AI19,"荻窪ー夜勤")+COUNTIF('1月'!AM19:AN19,"荻窪ー夜勤")+COUNTIF('1月'!AR19:AS19,"荻窪ー夜勤")+COUNTIF('1月'!AW19:AX19,"荻窪ー夜勤")+COUNTIF('1月'!BB19:BC19,"荻窪ー夜勤")+COUNTIF('1月'!BG19:BH19,"荻窪ー夜勤")+COUNTIF('1月'!BL19:BM19,"荻窪ー夜勤")+COUNTIF('1月'!BQ19:BR19,"荻窪ー夜勤")+COUNTIF('1月'!BV19:BW19,"荻窪ー夜勤")+COUNTIF('1月'!CA19:CB19,"荻窪ー夜勤")+COUNTIF('1月'!CF19:CG19,"荻窪ー夜勤")+COUNTIF('1月'!CK19:CL19,"荻窪ー夜勤")+COUNTIF('1月'!CP19:CQ19,"荻窪ー夜勤")+COUNTIF('1月'!CU19:CV19,"荻窪ー夜勤")+COUNTIF('1月'!CZ19:DA19,"荻窪ー夜勤")+COUNTIF('1月'!DE19:DF19,"荻窪ー夜勤")+COUNTIF('1月'!DJ19:DK19,"荻窪ー夜勤")+COUNTIF('1月'!DO19:DP19,"荻窪ー夜勤")+COUNTIF('1月'!DT19:DU19,"荻窪ー夜勤")+COUNTIF('1月'!DY19:DZ19,"荻窪ー夜勤")+COUNTIF('1月'!ED19:EE19,"荻窪ー夜勤")+COUNTIF('1月'!EI19:EJ19,"荻窪ー夜勤")+COUNTIF('1月'!EN19:EO19,"荻窪ー夜勤")+COUNTIF('1月'!ES19:ET19,"荻窪ー夜勤")</f>
        <v>0</v>
      </c>
      <c r="Q21" s="76">
        <f t="shared" si="7"/>
        <v>0</v>
      </c>
      <c r="R21" s="76">
        <f>COUNTIF('1月'!D19:E19,R$4)+COUNTIF('1月'!I19:J19,R$4)+COUNTIF('1月'!N19:O19,R$4)+COUNTIF('1月'!S19:T19,R$4)+COUNTIF('1月'!X19:Y19,R$4)+COUNTIF('1月'!AC19:AD19,R$4)+COUNTIF('1月'!AH19:AI19,R$4)+COUNTIF('1月'!AM19:AN19,R$4)+COUNTIF('1月'!AR19:AS19,R$4)+COUNTIF('1月'!AW19:AX19,R$4)+COUNTIF('1月'!BB19:BC19,R$4)+COUNTIF('1月'!BG19:BH19,R$4)+COUNTIF('1月'!BL19:BM19,R$4)+COUNTIF('1月'!BQ19:BR19,R$4)+COUNTIF('1月'!BV19:BW19,R$4)+COUNTIF('1月'!CA19:CB19,R$4)+COUNTIF('1月'!CF19:CG19,R$4)+COUNTIF('1月'!CK19:CL19,R$4)+COUNTIF('1月'!CP19:CQ19,R$4)+COUNTIF('1月'!CU19:CV19,R$4)+COUNTIF('1月'!CZ19:DA19,R$4)+COUNTIF('1月'!DE19:DF19,R$4)+COUNTIF('1月'!DJ19:DK19,R$4)+COUNTIF('1月'!DO19:DP19,R$4)+COUNTIF('1月'!DT19:DU19,R$4)+COUNTIF('1月'!DY19:DZ19,R$4)+COUNTIF('1月'!ED19:EE19,R$4)+COUNTIF('1月'!EI19:EJ19,R$4)+COUNTIF('1月'!EN19:EO19,R$4)+COUNTIF('1月'!ES19:ET19,R$4)</f>
        <v>0</v>
      </c>
      <c r="S21" s="76">
        <f t="shared" si="8"/>
        <v>0</v>
      </c>
      <c r="T21" s="76">
        <f>COUNTIF('1月'!D19:E19,T$4)+COUNTIF('1月'!I19:J19,T$4)+COUNTIF('1月'!N19:O19,T$4)+COUNTIF('1月'!S19:T19,T$4)+COUNTIF('1月'!X19:Y19,T$4)+COUNTIF('1月'!AC19:AD19,T$4)+COUNTIF('1月'!AH19:AI19,T$4)+COUNTIF('1月'!AM19:AN19,T$4)+COUNTIF('1月'!AR19:AS19,T$4)+COUNTIF('1月'!AW19:AX19,T$4)+COUNTIF('1月'!BB19:BC19,T$4)+COUNTIF('1月'!BG19:BH19,T$4)+COUNTIF('1月'!BL19:BM19,T$4)+COUNTIF('1月'!BQ19:BR19,T$4)+COUNTIF('1月'!BV19:BW19,T$4)+COUNTIF('1月'!CA19:CB19,T$4)+COUNTIF('1月'!CF19:CG19,T$4)+COUNTIF('1月'!CK19:CL19,T$4)+COUNTIF('1月'!CP19:CQ19,T$4)+COUNTIF('1月'!CU19:CV19,T$4)+COUNTIF('1月'!CZ19:DA19,T$4)+COUNTIF('1月'!DE19:DF19,T$4)+COUNTIF('1月'!DJ19:DK19,T$4)+COUNTIF('1月'!DO19:DP19,T$4)+COUNTIF('1月'!DT19:DU19,T$4)+COUNTIF('1月'!DY19:DZ19,T$4)+COUNTIF('1月'!ED19:EE19,T$4)+COUNTIF('1月'!EI19:EJ19,T$4)+COUNTIF('1月'!EN19:EO19,T$4)+COUNTIF('1月'!ES19:ET19,T$4)</f>
        <v>0</v>
      </c>
      <c r="U21" s="76">
        <f t="shared" si="9"/>
        <v>0</v>
      </c>
      <c r="V21" s="76">
        <f>COUNTIF('1月'!D19:E19,V$4)+COUNTIF('1月'!I19:J19,V$4)+COUNTIF('1月'!N19:O19,V$4)+COUNTIF('1月'!S19:T19,V$4)+COUNTIF('1月'!X19:Y19,V$4)+COUNTIF('1月'!AC19:AD19,V$4)+COUNTIF('1月'!AH19:AI19,V$4)+COUNTIF('1月'!AM19:AN19,V$4)+COUNTIF('1月'!AR19:AS19,V$4)+COUNTIF('1月'!AW19:AX19,V$4)+COUNTIF('1月'!BB19:BC19,V$4)+COUNTIF('1月'!BG19:BH19,V$4)+COUNTIF('1月'!BL19:BM19,V$4)+COUNTIF('1月'!BQ19:BR19,V$4)+COUNTIF('1月'!BV19:BW19,V$4)+COUNTIF('1月'!CA19:CB19,V$4)+COUNTIF('1月'!CF19:CG19,V$4)+COUNTIF('1月'!CK19:CL19,V$4)+COUNTIF('1月'!CP19:CQ19,V$4)+COUNTIF('1月'!CU19:CV19,V$4)+COUNTIF('1月'!CZ19:DA19,V$4)+COUNTIF('1月'!DE19:DF19,V$4)+COUNTIF('1月'!DJ19:DK19,V$4)+COUNTIF('1月'!DO19:DP19,V$4)+COUNTIF('1月'!DT19:DU19,V$4)+COUNTIF('1月'!DY19:DZ19,V$4)+COUNTIF('1月'!ED19:EE19,V$4)+COUNTIF('1月'!EI19:EJ19,V$4)+COUNTIF('1月'!EN19:EO19,V$4)+COUNTIF('1月'!ES19:ET19,V$4)</f>
        <v>0</v>
      </c>
      <c r="W21" s="76">
        <f t="shared" si="10"/>
        <v>0</v>
      </c>
      <c r="X21" s="76">
        <f>COUNTIF('1月'!D19:E19,X$4)+COUNTIF('1月'!I19:J19,X$4)+COUNTIF('1月'!N19:O19,X$4)+COUNTIF('1月'!S19:T19,X$4)+COUNTIF('1月'!X19:Y19,X$4)+COUNTIF('1月'!AC19:AD19,X$4)+COUNTIF('1月'!AH19:AI19,X$4)+COUNTIF('1月'!AM19:AN19,X$4)+COUNTIF('1月'!AR19:AS19,X$4)+COUNTIF('1月'!AW19:AX19,X$4)+COUNTIF('1月'!BB19:BC19,X$4)+COUNTIF('1月'!BG19:BH19,X$4)+COUNTIF('1月'!BL19:BM19,X$4)+COUNTIF('1月'!BQ19:BR19,X$4)+COUNTIF('1月'!BV19:BW19,X$4)+COUNTIF('1月'!CA19:CB19,X$4)+COUNTIF('1月'!CF19:CG19,X$4)+COUNTIF('1月'!CK19:CL19,X$4)+COUNTIF('1月'!CP19:CQ19,X$4)+COUNTIF('1月'!CU19:CV19,X$4)+COUNTIF('1月'!CZ19:DA19,X$4)+COUNTIF('1月'!DE19:DF19,X$4)+COUNTIF('1月'!DJ19:DK19,X$4)+COUNTIF('1月'!DO19:DP19,X$4)+COUNTIF('1月'!DT19:DU19,X$4)+COUNTIF('1月'!DY19:DZ19,X$4)+COUNTIF('1月'!ED19:EE19,X$4)+COUNTIF('1月'!EI19:EJ19,X$4)+COUNTIF('1月'!EN19:EO19,X$4)+COUNTIF('1月'!ES19:ET19,X$4)</f>
        <v>0</v>
      </c>
      <c r="Y21" s="76">
        <f t="shared" si="11"/>
        <v>0</v>
      </c>
    </row>
    <row r="22" spans="1:25" ht="18" customHeight="1">
      <c r="A22" s="76">
        <v>17</v>
      </c>
      <c r="B22" s="76">
        <f>COUNTIF('1月'!D20:E20,B$4)+COUNTIF('1月'!I20:J20,B$4)+COUNTIF('1月'!N20:O20,B$4)+COUNTIF('1月'!S20:T20,B$4)+COUNTIF('1月'!X20:Y20,B$4)+COUNTIF('1月'!AC20:AD20,B$4)+COUNTIF('1月'!AH20:AI20,B$4)+COUNTIF('1月'!AM20:AN20,B$4)+COUNTIF('1月'!AR20:AS20,B$4)+COUNTIF('1月'!AW20:AX20,B$4)+COUNTIF('1月'!BB20:BC20,B$4)+COUNTIF('1月'!BG20:BH20,B$4)+COUNTIF('1月'!BL20:BM20,B$4)+COUNTIF('1月'!BQ20:BR20,B$4)+COUNTIF('1月'!BV20:BW20,B$4)+COUNTIF('1月'!CA20:CB20,B$4)+COUNTIF('1月'!CF20:CG20,B$4)+COUNTIF('1月'!CK20:CL20,B$4)+COUNTIF('1月'!CP20:CQ20,B$4)+COUNTIF('1月'!CU20:CV20,B$4)+COUNTIF('1月'!CZ20:DA20,B$4)+COUNTIF('1月'!DE20:DF20,B$4)+COUNTIF('1月'!DJ20:DK20,B$4)+COUNTIF('1月'!DO20:DP20,B$4)+COUNTIF('1月'!DT20:DU20,B$4)+COUNTIF('1月'!DY20:DZ20,B$4)+COUNTIF('1月'!ED20:EE20,B$4)+COUNTIF('1月'!EI20:EJ20,B$4)+COUNTIF('1月'!EN20:EO20,B$4)+COUNTIF('1月'!ES20:ET20,B$4)</f>
        <v>0</v>
      </c>
      <c r="C22" s="76">
        <f t="shared" si="0"/>
        <v>0</v>
      </c>
      <c r="D22" s="76">
        <f>COUNTIF('1月'!D20:E20,D$4)+COUNTIF('1月'!I20:J20,D$4)+COUNTIF('1月'!N20:O20,D$4)+COUNTIF('1月'!S20:T20,D$4)+COUNTIF('1月'!X20:Y20,D$4)+COUNTIF('1月'!AC20:AD20,D$4)+COUNTIF('1月'!AH20:AI20,D$4)+COUNTIF('1月'!AM20:AN20,D$4)+COUNTIF('1月'!AR20:AS20,D$4)+COUNTIF('1月'!AW20:AX20,D$4)+COUNTIF('1月'!BB20:BC20,D$4)+COUNTIF('1月'!BG20:BH20,D$4)+COUNTIF('1月'!BL20:BM20,D$4)+COUNTIF('1月'!BQ20:BR20,D$4)+COUNTIF('1月'!BV20:BW20,D$4)+COUNTIF('1月'!CA20:CB20,D$4)+COUNTIF('1月'!CF20:CG20,D$4)+COUNTIF('1月'!CK20:CL20,D$4)+COUNTIF('1月'!CP20:CQ20,D$4)+COUNTIF('1月'!CU20:CV20,D$4)+COUNTIF('1月'!CZ20:DA20,D$4)+COUNTIF('1月'!DE20:DF20,D$4)+COUNTIF('1月'!DJ20:DK20,D$4)+COUNTIF('1月'!DO20:DP20,D$4)+COUNTIF('1月'!DT20:DU20,D$4)+COUNTIF('1月'!DY20:DZ20,D$4)+COUNTIF('1月'!ED20:EE20,D$4)+COUNTIF('1月'!EI20:EJ20,D$4)+COUNTIF('1月'!EN20:EO20,D$4)+COUNTIF('1月'!ES20:ET20,D$4)</f>
        <v>0</v>
      </c>
      <c r="E22" s="76">
        <f t="shared" si="1"/>
        <v>0</v>
      </c>
      <c r="F22" s="76">
        <f>COUNTIF('1月'!D20:E20,F$4)+COUNTIF('1月'!I20:J20,F$4)+COUNTIF('1月'!N20:O20,F$4)+COUNTIF('1月'!S20:T20,F$4)+COUNTIF('1月'!X20:Y20,F$4)+COUNTIF('1月'!AC20:AD20,F$4)+COUNTIF('1月'!AH20:AI20,F$4)+COUNTIF('1月'!AM20:AN20,F$4)+COUNTIF('1月'!AR20:AS20,F$4)+COUNTIF('1月'!AW20:AX20,F$4)+COUNTIF('1月'!BB20:BC20,F$4)+COUNTIF('1月'!BG20:BH20,F$4)+COUNTIF('1月'!BL20:BM20,F$4)+COUNTIF('1月'!BQ20:BR20,F$4)+COUNTIF('1月'!BV20:BW20,F$4)+COUNTIF('1月'!CA20:CB20,F$4)+COUNTIF('1月'!CF20:CG20,F$4)+COUNTIF('1月'!CK20:CL20,F$4)+COUNTIF('1月'!CP20:CQ20,F$4)+COUNTIF('1月'!CU20:CV20,F$4)+COUNTIF('1月'!CZ20:DA20,F$4)+COUNTIF('1月'!DE20:DF20,F$4)+COUNTIF('1月'!DJ20:DK20,F$4)+COUNTIF('1月'!DO20:DP20,F$4)+COUNTIF('1月'!DT20:DU20,F$4)+COUNTIF('1月'!DY20:DZ20,F$4)+COUNTIF('1月'!ED20:EE20,F$4)+COUNTIF('1月'!EI20:EJ20,F$4)+COUNTIF('1月'!EN20:EO20,F$4)+COUNTIF('1月'!ES20:ET20,F$4)</f>
        <v>0</v>
      </c>
      <c r="G22" s="76">
        <f t="shared" si="2"/>
        <v>0</v>
      </c>
      <c r="H22" s="76">
        <f>COUNTIF('1月'!D20:E20,H$4)+COUNTIF('1月'!I20:J20,H$4)+COUNTIF('1月'!N20:O20,H$4)+COUNTIF('1月'!S20:T20,H$4)+COUNTIF('1月'!X20:Y20,H$4)+COUNTIF('1月'!AC20:AD20,H$4)+COUNTIF('1月'!AH20:AI20,H$4)+COUNTIF('1月'!AM20:AN20,H$4)+COUNTIF('1月'!AR20:AS20,H$4)+COUNTIF('1月'!AW20:AX20,H$4)+COUNTIF('1月'!BB20:BC20,H$4)+COUNTIF('1月'!BG20:BH20,H$4)+COUNTIF('1月'!BL20:BM20,H$4)+COUNTIF('1月'!BQ20:BR20,H$4)+COUNTIF('1月'!BV20:BW20,H$4)+COUNTIF('1月'!CA20:CB20,H$4)+COUNTIF('1月'!CF20:CG20,H$4)+COUNTIF('1月'!CK20:CL20,H$4)+COUNTIF('1月'!CP20:CQ20,H$4)+COUNTIF('1月'!CU20:CV20,H$4)+COUNTIF('1月'!CZ20:DA20,H$4)+COUNTIF('1月'!DE20:DF20,H$4)+COUNTIF('1月'!DJ20:DK20,H$4)+COUNTIF('1月'!DO20:DP20,H$4)+COUNTIF('1月'!DT20:DU20,H$4)+COUNTIF('1月'!DY20:DZ20,H$4)+COUNTIF('1月'!ED20:EE20,H$4)+COUNTIF('1月'!EI20:EJ20,H$4)+COUNTIF('1月'!EN20:EO20,H$4)+COUNTIF('1月'!ES20:ET20,H$4)+COUNTIF('1月'!D20:E20,"渋谷-夜勤")+COUNTIF('1月'!I20:J20,"渋谷-夜勤")+COUNTIF('1月'!N20:O20,"渋谷-夜勤")+COUNTIF('1月'!S20:T20,"渋谷-夜勤")+COUNTIF('1月'!X20:Y20,"渋谷-夜勤")+COUNTIF('1月'!AC20:AD20,"渋谷-夜勤")+COUNTIF('1月'!AH20:AI20,"渋谷-夜勤")+COUNTIF('1月'!AM20:AN20,"渋谷-夜勤")+COUNTIF('1月'!AR20:AS20,"渋谷-夜勤")+COUNTIF('1月'!AW20:AX20,"渋谷-夜勤")+COUNTIF('1月'!BB20:BC20,"渋谷-夜勤")+COUNTIF('1月'!BG20:BH20,"渋谷-夜勤")+COUNTIF('1月'!BL20:BM20,"渋谷-夜勤")+COUNTIF('1月'!BQ20:BR20,"渋谷-夜勤")+COUNTIF('1月'!BV20:BW20,"渋谷-夜勤")+COUNTIF('1月'!CA20:CB20,"渋谷-夜勤")+COUNTIF('1月'!CF20:CG20,"渋谷-夜勤")+COUNTIF('1月'!CK20:CL20,"渋谷-夜勤")+COUNTIF('1月'!CP20:CQ20,"渋谷-夜勤")+COUNTIF('1月'!CU20:CV20,"渋谷-夜勤")+COUNTIF('1月'!CZ20:DA20,"渋谷-夜勤")+COUNTIF('1月'!DE20:DF20,"渋谷-夜勤")+COUNTIF('1月'!DJ20:DK20,"渋谷-夜勤")+COUNTIF('1月'!DO20:DP20,"渋谷-夜勤")+COUNTIF('1月'!DT20:DU20,"渋谷-夜勤")+COUNTIF('1月'!DY20:DZ20,"渋谷-夜勤")+COUNTIF('1月'!ED20:EE20,"渋谷-夜勤")+COUNTIF('1月'!EI20:EJ20,"渋谷-夜勤")+COUNTIF('1月'!EN20:EO20,"渋谷-夜勤")+COUNTIF('1月'!ES20:ET20,"渋谷-夜勤")</f>
        <v>0</v>
      </c>
      <c r="I22" s="76">
        <f t="shared" si="3"/>
        <v>0</v>
      </c>
      <c r="J22" s="76">
        <f>COUNTIF('1月'!D20:E20,J$4)+COUNTIF('1月'!I20:J20,J$4)+COUNTIF('1月'!N20:O20,J$4)+COUNTIF('1月'!S20:T20,J$4)+COUNTIF('1月'!X20:Y20,J$4)+COUNTIF('1月'!AC20:AD20,J$4)+COUNTIF('1月'!AH20:AI20,J$4)+COUNTIF('1月'!AM20:AN20,J$4)+COUNTIF('1月'!AR20:AS20,J$4)+COUNTIF('1月'!AW20:AX20,J$4)+COUNTIF('1月'!BB20:BC20,J$4)+COUNTIF('1月'!BG20:BH20,J$4)+COUNTIF('1月'!BL20:BM20,J$4)+COUNTIF('1月'!BQ20:BR20,J$4)+COUNTIF('1月'!BV20:BW20,J$4)+COUNTIF('1月'!CA20:CB20,J$4)+COUNTIF('1月'!CF20:CG20,J$4)+COUNTIF('1月'!CK20:CL20,J$4)+COUNTIF('1月'!CP20:CQ20,J$4)+COUNTIF('1月'!CU20:CV20,J$4)+COUNTIF('1月'!CZ20:DA20,J$4)+COUNTIF('1月'!DE20:DF20,J$4)+COUNTIF('1月'!DJ20:DK20,J$4)+COUNTIF('1月'!DO20:DP20,J$4)+COUNTIF('1月'!DT20:DU20,J$4)+COUNTIF('1月'!DY20:DZ20,J$4)+COUNTIF('1月'!ED20:EE20,J$4)+COUNTIF('1月'!EI20:EJ20,J$4)+COUNTIF('1月'!EN20:EO20,J$4)+COUNTIF('1月'!ES20:ET20,J$4)+COUNTIF('1月'!D20:E20,"六本木-夜勤")+COUNTIF('1月'!I20:J20,"六本木-夜勤")+COUNTIF('1月'!N20:O20,"六本木-夜勤")+COUNTIF('1月'!S20:T20,"六本木-夜勤")+COUNTIF('1月'!X20:Y20,"六本木-夜勤")+COUNTIF('1月'!AC20:AD20,"六本木-夜勤")+COUNTIF('1月'!AH20:AI20,"六本木-夜勤")+COUNTIF('1月'!AM20:AN20,"六本木-夜勤")+COUNTIF('1月'!AR20:AS20,"六本木-夜勤")+COUNTIF('1月'!AW20:AX20,"六本木-夜勤")+COUNTIF('1月'!BB20:BC20,"六本木-夜勤")+COUNTIF('1月'!BG20:BH20,"六本木-夜勤")+COUNTIF('1月'!BL20:BM20,"六本木-夜勤")+COUNTIF('1月'!BQ20:BR20,"六本木-夜勤")+COUNTIF('1月'!BV20:BW20,"六本木-夜勤")+COUNTIF('1月'!CA20:CB20,"六本木-夜勤")+COUNTIF('1月'!CF20:CG20,"六本木-夜勤")+COUNTIF('1月'!CK20:CL20,"六本木-夜勤")+COUNTIF('1月'!CP20:CQ20,"六本木-夜勤")+COUNTIF('1月'!CU20:CV20,"六本木-夜勤")+COUNTIF('1月'!CZ20:DA20,"六本木-夜勤")+COUNTIF('1月'!DE20:DF20,"六本木-夜勤")+COUNTIF('1月'!DJ20:DK20,"六本木-夜勤")+COUNTIF('1月'!DO20:DP20,"六本木-夜勤")+COUNTIF('1月'!DT20:DU20,"六本木-夜勤")+COUNTIF('1月'!DY20:DZ20,"六本木-夜勤")+COUNTIF('1月'!ED20:EE20,"六本木-夜勤")+COUNTIF('1月'!EI20:EJ20,"六本木-夜勤")+COUNTIF('1月'!EN20:EO20,"六本木-夜勤")+COUNTIF('1月'!ES20:ET20,"六本木-夜勤")+COUNTIF('1月'!D20:E20,"六本木ー夜勤")+COUNTIF('1月'!I20:J20,"六本木ー夜勤")+COUNTIF('1月'!N20:O20,"六本木ー夜勤")+COUNTIF('1月'!S20:T20,"六本木ー夜勤")+COUNTIF('1月'!X20:Y20,"六本木ー夜勤")+COUNTIF('1月'!AC20:AD20,"六本木ー夜勤")+COUNTIF('1月'!AH20:AI20,"六本木ー夜勤")+COUNTIF('1月'!AM20:AN20,"六本木ー夜勤")+COUNTIF('1月'!AR20:AS20,"六本木ー夜勤")+COUNTIF('1月'!AW20:AX20,"六本木ー夜勤")+COUNTIF('1月'!BB20:BC20,"六本木ー夜勤")+COUNTIF('1月'!BG20:BH20,"六本木ー夜勤")+COUNTIF('1月'!BL20:BM20,"六本木ー夜勤")+COUNTIF('1月'!BQ20:BR20,"六本木ー夜勤")+COUNTIF('1月'!BV20:BW20,"六本木ー夜勤")+COUNTIF('1月'!CA20:CB20,"六本木ー夜勤")+COUNTIF('1月'!CF20:CG20,"六本木ー夜勤")+COUNTIF('1月'!CK20:CL20,"六本木ー夜勤")+COUNTIF('1月'!CP20:CQ20,"六本木ー夜勤")+COUNTIF('1月'!CU20:CV20,"六本木ー夜勤")+COUNTIF('1月'!CZ20:DA20,"六本木ー夜勤")+COUNTIF('1月'!DE20:DF20,"六本木ー夜勤")+COUNTIF('1月'!DJ20:DK20,"六本木ー夜勤")+COUNTIF('1月'!DO20:DP20,"六本木ー夜勤")+COUNTIF('1月'!DT20:DU20,"六本木ー夜勤")+COUNTIF('1月'!DY20:DZ20,"六本木ー夜勤")+COUNTIF('1月'!ED20:EE20,"六本木ー夜勤")+COUNTIF('1月'!EI20:EJ20,"六本木ー夜勤")+COUNTIF('1月'!EN20:EO20,"六本木ー夜勤")+COUNTIF('1月'!ES20:ET20,"六本木ー夜勤")</f>
        <v>0</v>
      </c>
      <c r="K22" s="76">
        <f t="shared" si="4"/>
        <v>0</v>
      </c>
      <c r="L22" s="76">
        <f>COUNTIF('1月'!D20:E20,L$4)+COUNTIF('1月'!I20:J20,L$4)+COUNTIF('1月'!N20:O20,L$4)+COUNTIF('1月'!S20:T20,L$4)+COUNTIF('1月'!X20:Y20,L$4)+COUNTIF('1月'!AC20:AD20,L$4)+COUNTIF('1月'!AH20:AI20,L$4)+COUNTIF('1月'!AM20:AN20,L$4)+COUNTIF('1月'!AR20:AS20,L$4)+COUNTIF('1月'!AW20:AX20,L$4)+COUNTIF('1月'!BB20:BC20,L$4)+COUNTIF('1月'!BG20:BH20,L$4)+COUNTIF('1月'!BL20:BM20,L$4)+COUNTIF('1月'!BQ20:BR20,L$4)+COUNTIF('1月'!BV20:BW20,L$4)+COUNTIF('1月'!CA20:CB20,L$4)+COUNTIF('1月'!CF20:CG20,L$4)+COUNTIF('1月'!CK20:CL20,L$4)+COUNTIF('1月'!CP20:CQ20,L$4)+COUNTIF('1月'!CU20:CV20,L$4)+COUNTIF('1月'!CZ20:DA20,L$4)+COUNTIF('1月'!DE20:DF20,L$4)+COUNTIF('1月'!DJ20:DK20,L$4)+COUNTIF('1月'!DO20:DP20,L$4)+COUNTIF('1月'!DT20:DU20,L$4)+COUNTIF('1月'!DY20:DZ20,L$4)+COUNTIF('1月'!ED20:EE20,L$4)+COUNTIF('1月'!EI20:EJ20,L$4)+COUNTIF('1月'!EN20:EO20,L$4)+COUNTIF('1月'!ES20:ET20,L$4)</f>
        <v>0</v>
      </c>
      <c r="M22" s="76">
        <f t="shared" si="5"/>
        <v>0</v>
      </c>
      <c r="N22" s="76">
        <f>COUNTIF('1月'!D20:E20,N$4)+COUNTIF('1月'!I20:J20,N$4)+COUNTIF('1月'!N20:O20,N$4)+COUNTIF('1月'!S20:T20,N$4)+COUNTIF('1月'!X20:Y20,N$4)+COUNTIF('1月'!AC20:AD20,N$4)+COUNTIF('1月'!AH20:AI20,N$4)+COUNTIF('1月'!AM20:AN20,N$4)+COUNTIF('1月'!AR20:AS20,N$4)+COUNTIF('1月'!AW20:AX20,N$4)+COUNTIF('1月'!BB20:BC20,N$4)+COUNTIF('1月'!BG20:BH20,N$4)+COUNTIF('1月'!BL20:BM20,N$4)+COUNTIF('1月'!BQ20:BR20,N$4)+COUNTIF('1月'!BV20:BW20,N$4)+COUNTIF('1月'!CA20:CB20,N$4)+COUNTIF('1月'!CF20:CG20,N$4)+COUNTIF('1月'!CK20:CL20,N$4)+COUNTIF('1月'!CP20:CQ20,N$4)+COUNTIF('1月'!CU20:CV20,N$4)+COUNTIF('1月'!CZ20:DA20,N$4)+COUNTIF('1月'!DE20:DF20,N$4)+COUNTIF('1月'!DJ20:DK20,N$4)+COUNTIF('1月'!DO20:DP20,N$4)+COUNTIF('1月'!DT20:DU20,N$4)+COUNTIF('1月'!DY20:DZ20,N$4)+COUNTIF('1月'!ED20:EE20,N$4)+COUNTIF('1月'!EI20:EJ20,N$4)+COUNTIF('1月'!EN20:EO20,N$4)+COUNTIF('1月'!ES20:ET20,N$4)+COUNTIF('1月'!D20:E20,"三軒茶屋－夜勤")+COUNTIF('1月'!I20:J20,"三軒茶屋－夜勤")+COUNTIF('1月'!N20:O20,"三軒茶屋－夜勤")+COUNTIF('1月'!S20:T20,"三軒茶屋－夜勤")+COUNTIF('1月'!X20:Y20,"三軒茶屋－夜勤")+COUNTIF('1月'!AC20:AD20,"三軒茶屋－夜勤")+COUNTIF('1月'!AH20:AI20,"三軒茶屋－夜勤")+COUNTIF('1月'!AM20:AN20,"三軒茶屋－夜勤")+COUNTIF('1月'!AR20:AS20,"三軒茶屋－夜勤")+COUNTIF('1月'!AW20:AX20,"三軒茶屋－夜勤")+COUNTIF('1月'!BB20:BC20,"三軒茶屋－夜勤")+COUNTIF('1月'!BG20:BH20,"三軒茶屋－夜勤")+COUNTIF('1月'!BL20:BM20,"三軒茶屋－夜勤")+COUNTIF('1月'!BQ20:BR20,"三軒茶屋－夜勤")+COUNTIF('1月'!BV20:BW20,"三軒茶屋－夜勤")+COUNTIF('1月'!CA20:CB20,"三軒茶屋－夜勤")+COUNTIF('1月'!CF20:CG20,"三軒茶屋－夜勤")+COUNTIF('1月'!CK20:CL20,"三軒茶屋－夜勤")+COUNTIF('1月'!CP20:CQ20,"三軒茶屋－夜勤")+COUNTIF('1月'!CU20:CV20,"三軒茶屋－夜勤")+COUNTIF('1月'!CZ20:DA20,"三軒茶屋－夜勤")+COUNTIF('1月'!DE20:DF20,"三軒茶屋－夜勤")+COUNTIF('1月'!DJ20:DK20,"三軒茶屋－夜勤")+COUNTIF('1月'!DO20:DP20,"三軒茶屋－夜勤")+COUNTIF('1月'!DT20:DU20,"三軒茶屋－夜勤")+COUNTIF('1月'!DY20:DZ20,"三軒茶屋－夜勤")+COUNTIF('1月'!ED20:EE20,"三軒茶屋－夜勤")+COUNTIF('1月'!EI20:EJ20,"三軒茶屋－夜勤")+COUNTIF('1月'!EN20:EO20,"三軒茶屋－夜勤")+COUNTIF('1月'!ES20:ET20,"三軒茶屋－夜勤")</f>
        <v>0</v>
      </c>
      <c r="O22" s="76">
        <f t="shared" si="6"/>
        <v>0</v>
      </c>
      <c r="P22" s="76">
        <f>COUNTIF('1月'!D20:E20,P$4)+COUNTIF('1月'!I20:J20,P$4)+COUNTIF('1月'!N20:O20,P$4)+COUNTIF('1月'!S20:T20,P$4)+COUNTIF('1月'!X20:Y20,P$4)+COUNTIF('1月'!AC20:AD20,P$4)+COUNTIF('1月'!AH20:AI20,P$4)+COUNTIF('1月'!AM20:AN20,P$4)+COUNTIF('1月'!AR20:AS20,P$4)+COUNTIF('1月'!AW20:AX20,P$4)+COUNTIF('1月'!BB20:BC20,P$4)+COUNTIF('1月'!BG20:BH20,P$4)+COUNTIF('1月'!BL20:BM20,P$4)+COUNTIF('1月'!BQ20:BR20,P$4)+COUNTIF('1月'!BV20:BW20,P$4)+COUNTIF('1月'!CA20:CB20,P$4)+COUNTIF('1月'!CF20:CG20,P$4)+COUNTIF('1月'!CK20:CL20,P$4)+COUNTIF('1月'!CP20:CQ20,P$4)+COUNTIF('1月'!CU20:CV20,P$4)+COUNTIF('1月'!CZ20:DA20,P$4)+COUNTIF('1月'!DE20:DF20,P$4)+COUNTIF('1月'!DJ20:DK20,P$4)+COUNTIF('1月'!DO20:DP20,P$4)+COUNTIF('1月'!DT20:DU20,P$4)+COUNTIF('1月'!DY20:DZ20,P$4)+COUNTIF('1月'!ED20:EE20,P$4)+COUNTIF('1月'!EI20:EJ20,P$4)+COUNTIF('1月'!EN20:EO20,P$4)+COUNTIF('1月'!ES20:ET20,P$4)+COUNTIF('1月'!D20:E20,"荻窪ー夜勤")+COUNTIF('1月'!I20:J20,"荻窪ー夜勤")+COUNTIF('1月'!N20:O20,"荻窪ー夜勤")+COUNTIF('1月'!S20:T20,"荻窪ー夜勤")+COUNTIF('1月'!X20:Y20,"荻窪ー夜勤")+COUNTIF('1月'!AC20:AD20,"荻窪ー夜勤")+COUNTIF('1月'!AH20:AI20,"荻窪ー夜勤")+COUNTIF('1月'!AM20:AN20,"荻窪ー夜勤")+COUNTIF('1月'!AR20:AS20,"荻窪ー夜勤")+COUNTIF('1月'!AW20:AX20,"荻窪ー夜勤")+COUNTIF('1月'!BB20:BC20,"荻窪ー夜勤")+COUNTIF('1月'!BG20:BH20,"荻窪ー夜勤")+COUNTIF('1月'!BL20:BM20,"荻窪ー夜勤")+COUNTIF('1月'!BQ20:BR20,"荻窪ー夜勤")+COUNTIF('1月'!BV20:BW20,"荻窪ー夜勤")+COUNTIF('1月'!CA20:CB20,"荻窪ー夜勤")+COUNTIF('1月'!CF20:CG20,"荻窪ー夜勤")+COUNTIF('1月'!CK20:CL20,"荻窪ー夜勤")+COUNTIF('1月'!CP20:CQ20,"荻窪ー夜勤")+COUNTIF('1月'!CU20:CV20,"荻窪ー夜勤")+COUNTIF('1月'!CZ20:DA20,"荻窪ー夜勤")+COUNTIF('1月'!DE20:DF20,"荻窪ー夜勤")+COUNTIF('1月'!DJ20:DK20,"荻窪ー夜勤")+COUNTIF('1月'!DO20:DP20,"荻窪ー夜勤")+COUNTIF('1月'!DT20:DU20,"荻窪ー夜勤")+COUNTIF('1月'!DY20:DZ20,"荻窪ー夜勤")+COUNTIF('1月'!ED20:EE20,"荻窪ー夜勤")+COUNTIF('1月'!EI20:EJ20,"荻窪ー夜勤")+COUNTIF('1月'!EN20:EO20,"荻窪ー夜勤")+COUNTIF('1月'!ES20:ET20,"荻窪ー夜勤")</f>
        <v>0</v>
      </c>
      <c r="Q22" s="76">
        <f t="shared" si="7"/>
        <v>0</v>
      </c>
      <c r="R22" s="76">
        <f>COUNTIF('1月'!D20:E20,R$4)+COUNTIF('1月'!I20:J20,R$4)+COUNTIF('1月'!N20:O20,R$4)+COUNTIF('1月'!S20:T20,R$4)+COUNTIF('1月'!X20:Y20,R$4)+COUNTIF('1月'!AC20:AD20,R$4)+COUNTIF('1月'!AH20:AI20,R$4)+COUNTIF('1月'!AM20:AN20,R$4)+COUNTIF('1月'!AR20:AS20,R$4)+COUNTIF('1月'!AW20:AX20,R$4)+COUNTIF('1月'!BB20:BC20,R$4)+COUNTIF('1月'!BG20:BH20,R$4)+COUNTIF('1月'!BL20:BM20,R$4)+COUNTIF('1月'!BQ20:BR20,R$4)+COUNTIF('1月'!BV20:BW20,R$4)+COUNTIF('1月'!CA20:CB20,R$4)+COUNTIF('1月'!CF20:CG20,R$4)+COUNTIF('1月'!CK20:CL20,R$4)+COUNTIF('1月'!CP20:CQ20,R$4)+COUNTIF('1月'!CU20:CV20,R$4)+COUNTIF('1月'!CZ20:DA20,R$4)+COUNTIF('1月'!DE20:DF20,R$4)+COUNTIF('1月'!DJ20:DK20,R$4)+COUNTIF('1月'!DO20:DP20,R$4)+COUNTIF('1月'!DT20:DU20,R$4)+COUNTIF('1月'!DY20:DZ20,R$4)+COUNTIF('1月'!ED20:EE20,R$4)+COUNTIF('1月'!EI20:EJ20,R$4)+COUNTIF('1月'!EN20:EO20,R$4)+COUNTIF('1月'!ES20:ET20,R$4)</f>
        <v>0</v>
      </c>
      <c r="S22" s="76">
        <f t="shared" si="8"/>
        <v>0</v>
      </c>
      <c r="T22" s="76">
        <f>COUNTIF('1月'!D20:E20,T$4)+COUNTIF('1月'!I20:J20,T$4)+COUNTIF('1月'!N20:O20,T$4)+COUNTIF('1月'!S20:T20,T$4)+COUNTIF('1月'!X20:Y20,T$4)+COUNTIF('1月'!AC20:AD20,T$4)+COUNTIF('1月'!AH20:AI20,T$4)+COUNTIF('1月'!AM20:AN20,T$4)+COUNTIF('1月'!AR20:AS20,T$4)+COUNTIF('1月'!AW20:AX20,T$4)+COUNTIF('1月'!BB20:BC20,T$4)+COUNTIF('1月'!BG20:BH20,T$4)+COUNTIF('1月'!BL20:BM20,T$4)+COUNTIF('1月'!BQ20:BR20,T$4)+COUNTIF('1月'!BV20:BW20,T$4)+COUNTIF('1月'!CA20:CB20,T$4)+COUNTIF('1月'!CF20:CG20,T$4)+COUNTIF('1月'!CK20:CL20,T$4)+COUNTIF('1月'!CP20:CQ20,T$4)+COUNTIF('1月'!CU20:CV20,T$4)+COUNTIF('1月'!CZ20:DA20,T$4)+COUNTIF('1月'!DE20:DF20,T$4)+COUNTIF('1月'!DJ20:DK20,T$4)+COUNTIF('1月'!DO20:DP20,T$4)+COUNTIF('1月'!DT20:DU20,T$4)+COUNTIF('1月'!DY20:DZ20,T$4)+COUNTIF('1月'!ED20:EE20,T$4)+COUNTIF('1月'!EI20:EJ20,T$4)+COUNTIF('1月'!EN20:EO20,T$4)+COUNTIF('1月'!ES20:ET20,T$4)</f>
        <v>0</v>
      </c>
      <c r="U22" s="76">
        <f t="shared" si="9"/>
        <v>0</v>
      </c>
      <c r="V22" s="76">
        <f>COUNTIF('1月'!D20:E20,V$4)+COUNTIF('1月'!I20:J20,V$4)+COUNTIF('1月'!N20:O20,V$4)+COUNTIF('1月'!S20:T20,V$4)+COUNTIF('1月'!X20:Y20,V$4)+COUNTIF('1月'!AC20:AD20,V$4)+COUNTIF('1月'!AH20:AI20,V$4)+COUNTIF('1月'!AM20:AN20,V$4)+COUNTIF('1月'!AR20:AS20,V$4)+COUNTIF('1月'!AW20:AX20,V$4)+COUNTIF('1月'!BB20:BC20,V$4)+COUNTIF('1月'!BG20:BH20,V$4)+COUNTIF('1月'!BL20:BM20,V$4)+COUNTIF('1月'!BQ20:BR20,V$4)+COUNTIF('1月'!BV20:BW20,V$4)+COUNTIF('1月'!CA20:CB20,V$4)+COUNTIF('1月'!CF20:CG20,V$4)+COUNTIF('1月'!CK20:CL20,V$4)+COUNTIF('1月'!CP20:CQ20,V$4)+COUNTIF('1月'!CU20:CV20,V$4)+COUNTIF('1月'!CZ20:DA20,V$4)+COUNTIF('1月'!DE20:DF20,V$4)+COUNTIF('1月'!DJ20:DK20,V$4)+COUNTIF('1月'!DO20:DP20,V$4)+COUNTIF('1月'!DT20:DU20,V$4)+COUNTIF('1月'!DY20:DZ20,V$4)+COUNTIF('1月'!ED20:EE20,V$4)+COUNTIF('1月'!EI20:EJ20,V$4)+COUNTIF('1月'!EN20:EO20,V$4)+COUNTIF('1月'!ES20:ET20,V$4)</f>
        <v>0</v>
      </c>
      <c r="W22" s="76">
        <f t="shared" si="10"/>
        <v>0</v>
      </c>
      <c r="X22" s="76">
        <f>COUNTIF('1月'!D20:E20,X$4)+COUNTIF('1月'!I20:J20,X$4)+COUNTIF('1月'!N20:O20,X$4)+COUNTIF('1月'!S20:T20,X$4)+COUNTIF('1月'!X20:Y20,X$4)+COUNTIF('1月'!AC20:AD20,X$4)+COUNTIF('1月'!AH20:AI20,X$4)+COUNTIF('1月'!AM20:AN20,X$4)+COUNTIF('1月'!AR20:AS20,X$4)+COUNTIF('1月'!AW20:AX20,X$4)+COUNTIF('1月'!BB20:BC20,X$4)+COUNTIF('1月'!BG20:BH20,X$4)+COUNTIF('1月'!BL20:BM20,X$4)+COUNTIF('1月'!BQ20:BR20,X$4)+COUNTIF('1月'!BV20:BW20,X$4)+COUNTIF('1月'!CA20:CB20,X$4)+COUNTIF('1月'!CF20:CG20,X$4)+COUNTIF('1月'!CK20:CL20,X$4)+COUNTIF('1月'!CP20:CQ20,X$4)+COUNTIF('1月'!CU20:CV20,X$4)+COUNTIF('1月'!CZ20:DA20,X$4)+COUNTIF('1月'!DE20:DF20,X$4)+COUNTIF('1月'!DJ20:DK20,X$4)+COUNTIF('1月'!DO20:DP20,X$4)+COUNTIF('1月'!DT20:DU20,X$4)+COUNTIF('1月'!DY20:DZ20,X$4)+COUNTIF('1月'!ED20:EE20,X$4)+COUNTIF('1月'!EI20:EJ20,X$4)+COUNTIF('1月'!EN20:EO20,X$4)+COUNTIF('1月'!ES20:ET20,X$4)</f>
        <v>0</v>
      </c>
      <c r="Y22" s="76">
        <f t="shared" si="11"/>
        <v>0</v>
      </c>
    </row>
    <row r="23" spans="1:25" ht="18" customHeight="1">
      <c r="A23" s="76">
        <v>18</v>
      </c>
      <c r="B23" s="76">
        <f>COUNTIF('1月'!D21:E21,B$4)+COUNTIF('1月'!I21:J21,B$4)+COUNTIF('1月'!N21:O21,B$4)+COUNTIF('1月'!S21:T21,B$4)+COUNTIF('1月'!X21:Y21,B$4)+COUNTIF('1月'!AC21:AD21,B$4)+COUNTIF('1月'!AH21:AI21,B$4)+COUNTIF('1月'!AM21:AN21,B$4)+COUNTIF('1月'!AR21:AS21,B$4)+COUNTIF('1月'!AW21:AX21,B$4)+COUNTIF('1月'!BB21:BC21,B$4)+COUNTIF('1月'!BG21:BH21,B$4)+COUNTIF('1月'!BL21:BM21,B$4)+COUNTIF('1月'!BQ21:BR21,B$4)+COUNTIF('1月'!BV21:BW21,B$4)+COUNTIF('1月'!CA21:CB21,B$4)+COUNTIF('1月'!CF21:CG21,B$4)+COUNTIF('1月'!CK21:CL21,B$4)+COUNTIF('1月'!CP21:CQ21,B$4)+COUNTIF('1月'!CU21:CV21,B$4)+COUNTIF('1月'!CZ21:DA21,B$4)+COUNTIF('1月'!DE21:DF21,B$4)+COUNTIF('1月'!DJ21:DK21,B$4)+COUNTIF('1月'!DO21:DP21,B$4)+COUNTIF('1月'!DT21:DU21,B$4)+COUNTIF('1月'!DY21:DZ21,B$4)+COUNTIF('1月'!ED21:EE21,B$4)+COUNTIF('1月'!EI21:EJ21,B$4)+COUNTIF('1月'!EN21:EO21,B$4)+COUNTIF('1月'!ES21:ET21,B$4)</f>
        <v>0</v>
      </c>
      <c r="C23" s="76">
        <f t="shared" si="0"/>
        <v>0</v>
      </c>
      <c r="D23" s="76">
        <f>COUNTIF('1月'!D21:E21,D$4)+COUNTIF('1月'!I21:J21,D$4)+COUNTIF('1月'!N21:O21,D$4)+COUNTIF('1月'!S21:T21,D$4)+COUNTIF('1月'!X21:Y21,D$4)+COUNTIF('1月'!AC21:AD21,D$4)+COUNTIF('1月'!AH21:AI21,D$4)+COUNTIF('1月'!AM21:AN21,D$4)+COUNTIF('1月'!AR21:AS21,D$4)+COUNTIF('1月'!AW21:AX21,D$4)+COUNTIF('1月'!BB21:BC21,D$4)+COUNTIF('1月'!BG21:BH21,D$4)+COUNTIF('1月'!BL21:BM21,D$4)+COUNTIF('1月'!BQ21:BR21,D$4)+COUNTIF('1月'!BV21:BW21,D$4)+COUNTIF('1月'!CA21:CB21,D$4)+COUNTIF('1月'!CF21:CG21,D$4)+COUNTIF('1月'!CK21:CL21,D$4)+COUNTIF('1月'!CP21:CQ21,D$4)+COUNTIF('1月'!CU21:CV21,D$4)+COUNTIF('1月'!CZ21:DA21,D$4)+COUNTIF('1月'!DE21:DF21,D$4)+COUNTIF('1月'!DJ21:DK21,D$4)+COUNTIF('1月'!DO21:DP21,D$4)+COUNTIF('1月'!DT21:DU21,D$4)+COUNTIF('1月'!DY21:DZ21,D$4)+COUNTIF('1月'!ED21:EE21,D$4)+COUNTIF('1月'!EI21:EJ21,D$4)+COUNTIF('1月'!EN21:EO21,D$4)+COUNTIF('1月'!ES21:ET21,D$4)</f>
        <v>0</v>
      </c>
      <c r="E23" s="76">
        <f t="shared" si="1"/>
        <v>0</v>
      </c>
      <c r="F23" s="76">
        <f>COUNTIF('1月'!D21:E21,F$4)+COUNTIF('1月'!I21:J21,F$4)+COUNTIF('1月'!N21:O21,F$4)+COUNTIF('1月'!S21:T21,F$4)+COUNTIF('1月'!X21:Y21,F$4)+COUNTIF('1月'!AC21:AD21,F$4)+COUNTIF('1月'!AH21:AI21,F$4)+COUNTIF('1月'!AM21:AN21,F$4)+COUNTIF('1月'!AR21:AS21,F$4)+COUNTIF('1月'!AW21:AX21,F$4)+COUNTIF('1月'!BB21:BC21,F$4)+COUNTIF('1月'!BG21:BH21,F$4)+COUNTIF('1月'!BL21:BM21,F$4)+COUNTIF('1月'!BQ21:BR21,F$4)+COUNTIF('1月'!BV21:BW21,F$4)+COUNTIF('1月'!CA21:CB21,F$4)+COUNTIF('1月'!CF21:CG21,F$4)+COUNTIF('1月'!CK21:CL21,F$4)+COUNTIF('1月'!CP21:CQ21,F$4)+COUNTIF('1月'!CU21:CV21,F$4)+COUNTIF('1月'!CZ21:DA21,F$4)+COUNTIF('1月'!DE21:DF21,F$4)+COUNTIF('1月'!DJ21:DK21,F$4)+COUNTIF('1月'!DO21:DP21,F$4)+COUNTIF('1月'!DT21:DU21,F$4)+COUNTIF('1月'!DY21:DZ21,F$4)+COUNTIF('1月'!ED21:EE21,F$4)+COUNTIF('1月'!EI21:EJ21,F$4)+COUNTIF('1月'!EN21:EO21,F$4)+COUNTIF('1月'!ES21:ET21,F$4)</f>
        <v>0</v>
      </c>
      <c r="G23" s="76">
        <f t="shared" si="2"/>
        <v>0</v>
      </c>
      <c r="H23" s="76">
        <f>COUNTIF('1月'!D21:E21,H$4)+COUNTIF('1月'!I21:J21,H$4)+COUNTIF('1月'!N21:O21,H$4)+COUNTIF('1月'!S21:T21,H$4)+COUNTIF('1月'!X21:Y21,H$4)+COUNTIF('1月'!AC21:AD21,H$4)+COUNTIF('1月'!AH21:AI21,H$4)+COUNTIF('1月'!AM21:AN21,H$4)+COUNTIF('1月'!AR21:AS21,H$4)+COUNTIF('1月'!AW21:AX21,H$4)+COUNTIF('1月'!BB21:BC21,H$4)+COUNTIF('1月'!BG21:BH21,H$4)+COUNTIF('1月'!BL21:BM21,H$4)+COUNTIF('1月'!BQ21:BR21,H$4)+COUNTIF('1月'!BV21:BW21,H$4)+COUNTIF('1月'!CA21:CB21,H$4)+COUNTIF('1月'!CF21:CG21,H$4)+COUNTIF('1月'!CK21:CL21,H$4)+COUNTIF('1月'!CP21:CQ21,H$4)+COUNTIF('1月'!CU21:CV21,H$4)+COUNTIF('1月'!CZ21:DA21,H$4)+COUNTIF('1月'!DE21:DF21,H$4)+COUNTIF('1月'!DJ21:DK21,H$4)+COUNTIF('1月'!DO21:DP21,H$4)+COUNTIF('1月'!DT21:DU21,H$4)+COUNTIF('1月'!DY21:DZ21,H$4)+COUNTIF('1月'!ED21:EE21,H$4)+COUNTIF('1月'!EI21:EJ21,H$4)+COUNTIF('1月'!EN21:EO21,H$4)+COUNTIF('1月'!ES21:ET21,H$4)+COUNTIF('1月'!D21:E21,"渋谷-夜勤")+COUNTIF('1月'!I21:J21,"渋谷-夜勤")+COUNTIF('1月'!N21:O21,"渋谷-夜勤")+COUNTIF('1月'!S21:T21,"渋谷-夜勤")+COUNTIF('1月'!X21:Y21,"渋谷-夜勤")+COUNTIF('1月'!AC21:AD21,"渋谷-夜勤")+COUNTIF('1月'!AH21:AI21,"渋谷-夜勤")+COUNTIF('1月'!AM21:AN21,"渋谷-夜勤")+COUNTIF('1月'!AR21:AS21,"渋谷-夜勤")+COUNTIF('1月'!AW21:AX21,"渋谷-夜勤")+COUNTIF('1月'!BB21:BC21,"渋谷-夜勤")+COUNTIF('1月'!BG21:BH21,"渋谷-夜勤")+COUNTIF('1月'!BL21:BM21,"渋谷-夜勤")+COUNTIF('1月'!BQ21:BR21,"渋谷-夜勤")+COUNTIF('1月'!BV21:BW21,"渋谷-夜勤")+COUNTIF('1月'!CA21:CB21,"渋谷-夜勤")+COUNTIF('1月'!CF21:CG21,"渋谷-夜勤")+COUNTIF('1月'!CK21:CL21,"渋谷-夜勤")+COUNTIF('1月'!CP21:CQ21,"渋谷-夜勤")+COUNTIF('1月'!CU21:CV21,"渋谷-夜勤")+COUNTIF('1月'!CZ21:DA21,"渋谷-夜勤")+COUNTIF('1月'!DE21:DF21,"渋谷-夜勤")+COUNTIF('1月'!DJ21:DK21,"渋谷-夜勤")+COUNTIF('1月'!DO21:DP21,"渋谷-夜勤")+COUNTIF('1月'!DT21:DU21,"渋谷-夜勤")+COUNTIF('1月'!DY21:DZ21,"渋谷-夜勤")+COUNTIF('1月'!ED21:EE21,"渋谷-夜勤")+COUNTIF('1月'!EI21:EJ21,"渋谷-夜勤")+COUNTIF('1月'!EN21:EO21,"渋谷-夜勤")+COUNTIF('1月'!ES21:ET21,"渋谷-夜勤")</f>
        <v>0</v>
      </c>
      <c r="I23" s="76">
        <f t="shared" si="3"/>
        <v>0</v>
      </c>
      <c r="J23" s="76">
        <f>COUNTIF('1月'!D21:E21,J$4)+COUNTIF('1月'!I21:J21,J$4)+COUNTIF('1月'!N21:O21,J$4)+COUNTIF('1月'!S21:T21,J$4)+COUNTIF('1月'!X21:Y21,J$4)+COUNTIF('1月'!AC21:AD21,J$4)+COUNTIF('1月'!AH21:AI21,J$4)+COUNTIF('1月'!AM21:AN21,J$4)+COUNTIF('1月'!AR21:AS21,J$4)+COUNTIF('1月'!AW21:AX21,J$4)+COUNTIF('1月'!BB21:BC21,J$4)+COUNTIF('1月'!BG21:BH21,J$4)+COUNTIF('1月'!BL21:BM21,J$4)+COUNTIF('1月'!BQ21:BR21,J$4)+COUNTIF('1月'!BV21:BW21,J$4)+COUNTIF('1月'!CA21:CB21,J$4)+COUNTIF('1月'!CF21:CG21,J$4)+COUNTIF('1月'!CK21:CL21,J$4)+COUNTIF('1月'!CP21:CQ21,J$4)+COUNTIF('1月'!CU21:CV21,J$4)+COUNTIF('1月'!CZ21:DA21,J$4)+COUNTIF('1月'!DE21:DF21,J$4)+COUNTIF('1月'!DJ21:DK21,J$4)+COUNTIF('1月'!DO21:DP21,J$4)+COUNTIF('1月'!DT21:DU21,J$4)+COUNTIF('1月'!DY21:DZ21,J$4)+COUNTIF('1月'!ED21:EE21,J$4)+COUNTIF('1月'!EI21:EJ21,J$4)+COUNTIF('1月'!EN21:EO21,J$4)+COUNTIF('1月'!ES21:ET21,J$4)+COUNTIF('1月'!D21:E21,"六本木-夜勤")+COUNTIF('1月'!I21:J21,"六本木-夜勤")+COUNTIF('1月'!N21:O21,"六本木-夜勤")+COUNTIF('1月'!S21:T21,"六本木-夜勤")+COUNTIF('1月'!X21:Y21,"六本木-夜勤")+COUNTIF('1月'!AC21:AD21,"六本木-夜勤")+COUNTIF('1月'!AH21:AI21,"六本木-夜勤")+COUNTIF('1月'!AM21:AN21,"六本木-夜勤")+COUNTIF('1月'!AR21:AS21,"六本木-夜勤")+COUNTIF('1月'!AW21:AX21,"六本木-夜勤")+COUNTIF('1月'!BB21:BC21,"六本木-夜勤")+COUNTIF('1月'!BG21:BH21,"六本木-夜勤")+COUNTIF('1月'!BL21:BM21,"六本木-夜勤")+COUNTIF('1月'!BQ21:BR21,"六本木-夜勤")+COUNTIF('1月'!BV21:BW21,"六本木-夜勤")+COUNTIF('1月'!CA21:CB21,"六本木-夜勤")+COUNTIF('1月'!CF21:CG21,"六本木-夜勤")+COUNTIF('1月'!CK21:CL21,"六本木-夜勤")+COUNTIF('1月'!CP21:CQ21,"六本木-夜勤")+COUNTIF('1月'!CU21:CV21,"六本木-夜勤")+COUNTIF('1月'!CZ21:DA21,"六本木-夜勤")+COUNTIF('1月'!DE21:DF21,"六本木-夜勤")+COUNTIF('1月'!DJ21:DK21,"六本木-夜勤")+COUNTIF('1月'!DO21:DP21,"六本木-夜勤")+COUNTIF('1月'!DT21:DU21,"六本木-夜勤")+COUNTIF('1月'!DY21:DZ21,"六本木-夜勤")+COUNTIF('1月'!ED21:EE21,"六本木-夜勤")+COUNTIF('1月'!EI21:EJ21,"六本木-夜勤")+COUNTIF('1月'!EN21:EO21,"六本木-夜勤")+COUNTIF('1月'!ES21:ET21,"六本木-夜勤")+COUNTIF('1月'!D21:E21,"六本木ー夜勤")+COUNTIF('1月'!I21:J21,"六本木ー夜勤")+COUNTIF('1月'!N21:O21,"六本木ー夜勤")+COUNTIF('1月'!S21:T21,"六本木ー夜勤")+COUNTIF('1月'!X21:Y21,"六本木ー夜勤")+COUNTIF('1月'!AC21:AD21,"六本木ー夜勤")+COUNTIF('1月'!AH21:AI21,"六本木ー夜勤")+COUNTIF('1月'!AM21:AN21,"六本木ー夜勤")+COUNTIF('1月'!AR21:AS21,"六本木ー夜勤")+COUNTIF('1月'!AW21:AX21,"六本木ー夜勤")+COUNTIF('1月'!BB21:BC21,"六本木ー夜勤")+COUNTIF('1月'!BG21:BH21,"六本木ー夜勤")+COUNTIF('1月'!BL21:BM21,"六本木ー夜勤")+COUNTIF('1月'!BQ21:BR21,"六本木ー夜勤")+COUNTIF('1月'!BV21:BW21,"六本木ー夜勤")+COUNTIF('1月'!CA21:CB21,"六本木ー夜勤")+COUNTIF('1月'!CF21:CG21,"六本木ー夜勤")+COUNTIF('1月'!CK21:CL21,"六本木ー夜勤")+COUNTIF('1月'!CP21:CQ21,"六本木ー夜勤")+COUNTIF('1月'!CU21:CV21,"六本木ー夜勤")+COUNTIF('1月'!CZ21:DA21,"六本木ー夜勤")+COUNTIF('1月'!DE21:DF21,"六本木ー夜勤")+COUNTIF('1月'!DJ21:DK21,"六本木ー夜勤")+COUNTIF('1月'!DO21:DP21,"六本木ー夜勤")+COUNTIF('1月'!DT21:DU21,"六本木ー夜勤")+COUNTIF('1月'!DY21:DZ21,"六本木ー夜勤")+COUNTIF('1月'!ED21:EE21,"六本木ー夜勤")+COUNTIF('1月'!EI21:EJ21,"六本木ー夜勤")+COUNTIF('1月'!EN21:EO21,"六本木ー夜勤")+COUNTIF('1月'!ES21:ET21,"六本木ー夜勤")</f>
        <v>0</v>
      </c>
      <c r="K23" s="76">
        <f t="shared" si="4"/>
        <v>0</v>
      </c>
      <c r="L23" s="76">
        <f>COUNTIF('1月'!D21:E21,L$4)+COUNTIF('1月'!I21:J21,L$4)+COUNTIF('1月'!N21:O21,L$4)+COUNTIF('1月'!S21:T21,L$4)+COUNTIF('1月'!X21:Y21,L$4)+COUNTIF('1月'!AC21:AD21,L$4)+COUNTIF('1月'!AH21:AI21,L$4)+COUNTIF('1月'!AM21:AN21,L$4)+COUNTIF('1月'!AR21:AS21,L$4)+COUNTIF('1月'!AW21:AX21,L$4)+COUNTIF('1月'!BB21:BC21,L$4)+COUNTIF('1月'!BG21:BH21,L$4)+COUNTIF('1月'!BL21:BM21,L$4)+COUNTIF('1月'!BQ21:BR21,L$4)+COUNTIF('1月'!BV21:BW21,L$4)+COUNTIF('1月'!CA21:CB21,L$4)+COUNTIF('1月'!CF21:CG21,L$4)+COUNTIF('1月'!CK21:CL21,L$4)+COUNTIF('1月'!CP21:CQ21,L$4)+COUNTIF('1月'!CU21:CV21,L$4)+COUNTIF('1月'!CZ21:DA21,L$4)+COUNTIF('1月'!DE21:DF21,L$4)+COUNTIF('1月'!DJ21:DK21,L$4)+COUNTIF('1月'!DO21:DP21,L$4)+COUNTIF('1月'!DT21:DU21,L$4)+COUNTIF('1月'!DY21:DZ21,L$4)+COUNTIF('1月'!ED21:EE21,L$4)+COUNTIF('1月'!EI21:EJ21,L$4)+COUNTIF('1月'!EN21:EO21,L$4)+COUNTIF('1月'!ES21:ET21,L$4)</f>
        <v>0</v>
      </c>
      <c r="M23" s="76">
        <f t="shared" si="5"/>
        <v>0</v>
      </c>
      <c r="N23" s="76">
        <f>COUNTIF('1月'!D21:E21,N$4)+COUNTIF('1月'!I21:J21,N$4)+COUNTIF('1月'!N21:O21,N$4)+COUNTIF('1月'!S21:T21,N$4)+COUNTIF('1月'!X21:Y21,N$4)+COUNTIF('1月'!AC21:AD21,N$4)+COUNTIF('1月'!AH21:AI21,N$4)+COUNTIF('1月'!AM21:AN21,N$4)+COUNTIF('1月'!AR21:AS21,N$4)+COUNTIF('1月'!AW21:AX21,N$4)+COUNTIF('1月'!BB21:BC21,N$4)+COUNTIF('1月'!BG21:BH21,N$4)+COUNTIF('1月'!BL21:BM21,N$4)+COUNTIF('1月'!BQ21:BR21,N$4)+COUNTIF('1月'!BV21:BW21,N$4)+COUNTIF('1月'!CA21:CB21,N$4)+COUNTIF('1月'!CF21:CG21,N$4)+COUNTIF('1月'!CK21:CL21,N$4)+COUNTIF('1月'!CP21:CQ21,N$4)+COUNTIF('1月'!CU21:CV21,N$4)+COUNTIF('1月'!CZ21:DA21,N$4)+COUNTIF('1月'!DE21:DF21,N$4)+COUNTIF('1月'!DJ21:DK21,N$4)+COUNTIF('1月'!DO21:DP21,N$4)+COUNTIF('1月'!DT21:DU21,N$4)+COUNTIF('1月'!DY21:DZ21,N$4)+COUNTIF('1月'!ED21:EE21,N$4)+COUNTIF('1月'!EI21:EJ21,N$4)+COUNTIF('1月'!EN21:EO21,N$4)+COUNTIF('1月'!ES21:ET21,N$4)+COUNTIF('1月'!D21:E21,"三軒茶屋－夜勤")+COUNTIF('1月'!I21:J21,"三軒茶屋－夜勤")+COUNTIF('1月'!N21:O21,"三軒茶屋－夜勤")+COUNTIF('1月'!S21:T21,"三軒茶屋－夜勤")+COUNTIF('1月'!X21:Y21,"三軒茶屋－夜勤")+COUNTIF('1月'!AC21:AD21,"三軒茶屋－夜勤")+COUNTIF('1月'!AH21:AI21,"三軒茶屋－夜勤")+COUNTIF('1月'!AM21:AN21,"三軒茶屋－夜勤")+COUNTIF('1月'!AR21:AS21,"三軒茶屋－夜勤")+COUNTIF('1月'!AW21:AX21,"三軒茶屋－夜勤")+COUNTIF('1月'!BB21:BC21,"三軒茶屋－夜勤")+COUNTIF('1月'!BG21:BH21,"三軒茶屋－夜勤")+COUNTIF('1月'!BL21:BM21,"三軒茶屋－夜勤")+COUNTIF('1月'!BQ21:BR21,"三軒茶屋－夜勤")+COUNTIF('1月'!BV21:BW21,"三軒茶屋－夜勤")+COUNTIF('1月'!CA21:CB21,"三軒茶屋－夜勤")+COUNTIF('1月'!CF21:CG21,"三軒茶屋－夜勤")+COUNTIF('1月'!CK21:CL21,"三軒茶屋－夜勤")+COUNTIF('1月'!CP21:CQ21,"三軒茶屋－夜勤")+COUNTIF('1月'!CU21:CV21,"三軒茶屋－夜勤")+COUNTIF('1月'!CZ21:DA21,"三軒茶屋－夜勤")+COUNTIF('1月'!DE21:DF21,"三軒茶屋－夜勤")+COUNTIF('1月'!DJ21:DK21,"三軒茶屋－夜勤")+COUNTIF('1月'!DO21:DP21,"三軒茶屋－夜勤")+COUNTIF('1月'!DT21:DU21,"三軒茶屋－夜勤")+COUNTIF('1月'!DY21:DZ21,"三軒茶屋－夜勤")+COUNTIF('1月'!ED21:EE21,"三軒茶屋－夜勤")+COUNTIF('1月'!EI21:EJ21,"三軒茶屋－夜勤")+COUNTIF('1月'!EN21:EO21,"三軒茶屋－夜勤")+COUNTIF('1月'!ES21:ET21,"三軒茶屋－夜勤")</f>
        <v>0</v>
      </c>
      <c r="O23" s="76">
        <f t="shared" si="6"/>
        <v>0</v>
      </c>
      <c r="P23" s="76">
        <f>COUNTIF('1月'!D21:E21,P$4)+COUNTIF('1月'!I21:J21,P$4)+COUNTIF('1月'!N21:O21,P$4)+COUNTIF('1月'!S21:T21,P$4)+COUNTIF('1月'!X21:Y21,P$4)+COUNTIF('1月'!AC21:AD21,P$4)+COUNTIF('1月'!AH21:AI21,P$4)+COUNTIF('1月'!AM21:AN21,P$4)+COUNTIF('1月'!AR21:AS21,P$4)+COUNTIF('1月'!AW21:AX21,P$4)+COUNTIF('1月'!BB21:BC21,P$4)+COUNTIF('1月'!BG21:BH21,P$4)+COUNTIF('1月'!BL21:BM21,P$4)+COUNTIF('1月'!BQ21:BR21,P$4)+COUNTIF('1月'!BV21:BW21,P$4)+COUNTIF('1月'!CA21:CB21,P$4)+COUNTIF('1月'!CF21:CG21,P$4)+COUNTIF('1月'!CK21:CL21,P$4)+COUNTIF('1月'!CP21:CQ21,P$4)+COUNTIF('1月'!CU21:CV21,P$4)+COUNTIF('1月'!CZ21:DA21,P$4)+COUNTIF('1月'!DE21:DF21,P$4)+COUNTIF('1月'!DJ21:DK21,P$4)+COUNTIF('1月'!DO21:DP21,P$4)+COUNTIF('1月'!DT21:DU21,P$4)+COUNTIF('1月'!DY21:DZ21,P$4)+COUNTIF('1月'!ED21:EE21,P$4)+COUNTIF('1月'!EI21:EJ21,P$4)+COUNTIF('1月'!EN21:EO21,P$4)+COUNTIF('1月'!ES21:ET21,P$4)+COUNTIF('1月'!D21:E21,"荻窪ー夜勤")+COUNTIF('1月'!I21:J21,"荻窪ー夜勤")+COUNTIF('1月'!N21:O21,"荻窪ー夜勤")+COUNTIF('1月'!S21:T21,"荻窪ー夜勤")+COUNTIF('1月'!X21:Y21,"荻窪ー夜勤")+COUNTIF('1月'!AC21:AD21,"荻窪ー夜勤")+COUNTIF('1月'!AH21:AI21,"荻窪ー夜勤")+COUNTIF('1月'!AM21:AN21,"荻窪ー夜勤")+COUNTIF('1月'!AR21:AS21,"荻窪ー夜勤")+COUNTIF('1月'!AW21:AX21,"荻窪ー夜勤")+COUNTIF('1月'!BB21:BC21,"荻窪ー夜勤")+COUNTIF('1月'!BG21:BH21,"荻窪ー夜勤")+COUNTIF('1月'!BL21:BM21,"荻窪ー夜勤")+COUNTIF('1月'!BQ21:BR21,"荻窪ー夜勤")+COUNTIF('1月'!BV21:BW21,"荻窪ー夜勤")+COUNTIF('1月'!CA21:CB21,"荻窪ー夜勤")+COUNTIF('1月'!CF21:CG21,"荻窪ー夜勤")+COUNTIF('1月'!CK21:CL21,"荻窪ー夜勤")+COUNTIF('1月'!CP21:CQ21,"荻窪ー夜勤")+COUNTIF('1月'!CU21:CV21,"荻窪ー夜勤")+COUNTIF('1月'!CZ21:DA21,"荻窪ー夜勤")+COUNTIF('1月'!DE21:DF21,"荻窪ー夜勤")+COUNTIF('1月'!DJ21:DK21,"荻窪ー夜勤")+COUNTIF('1月'!DO21:DP21,"荻窪ー夜勤")+COUNTIF('1月'!DT21:DU21,"荻窪ー夜勤")+COUNTIF('1月'!DY21:DZ21,"荻窪ー夜勤")+COUNTIF('1月'!ED21:EE21,"荻窪ー夜勤")+COUNTIF('1月'!EI21:EJ21,"荻窪ー夜勤")+COUNTIF('1月'!EN21:EO21,"荻窪ー夜勤")+COUNTIF('1月'!ES21:ET21,"荻窪ー夜勤")</f>
        <v>0</v>
      </c>
      <c r="Q23" s="76">
        <f t="shared" si="7"/>
        <v>0</v>
      </c>
      <c r="R23" s="76">
        <f>COUNTIF('1月'!D21:E21,R$4)+COUNTIF('1月'!I21:J21,R$4)+COUNTIF('1月'!N21:O21,R$4)+COUNTIF('1月'!S21:T21,R$4)+COUNTIF('1月'!X21:Y21,R$4)+COUNTIF('1月'!AC21:AD21,R$4)+COUNTIF('1月'!AH21:AI21,R$4)+COUNTIF('1月'!AM21:AN21,R$4)+COUNTIF('1月'!AR21:AS21,R$4)+COUNTIF('1月'!AW21:AX21,R$4)+COUNTIF('1月'!BB21:BC21,R$4)+COUNTIF('1月'!BG21:BH21,R$4)+COUNTIF('1月'!BL21:BM21,R$4)+COUNTIF('1月'!BQ21:BR21,R$4)+COUNTIF('1月'!BV21:BW21,R$4)+COUNTIF('1月'!CA21:CB21,R$4)+COUNTIF('1月'!CF21:CG21,R$4)+COUNTIF('1月'!CK21:CL21,R$4)+COUNTIF('1月'!CP21:CQ21,R$4)+COUNTIF('1月'!CU21:CV21,R$4)+COUNTIF('1月'!CZ21:DA21,R$4)+COUNTIF('1月'!DE21:DF21,R$4)+COUNTIF('1月'!DJ21:DK21,R$4)+COUNTIF('1月'!DO21:DP21,R$4)+COUNTIF('1月'!DT21:DU21,R$4)+COUNTIF('1月'!DY21:DZ21,R$4)+COUNTIF('1月'!ED21:EE21,R$4)+COUNTIF('1月'!EI21:EJ21,R$4)+COUNTIF('1月'!EN21:EO21,R$4)+COUNTIF('1月'!ES21:ET21,R$4)</f>
        <v>0</v>
      </c>
      <c r="S23" s="76">
        <f t="shared" si="8"/>
        <v>0</v>
      </c>
      <c r="T23" s="76">
        <f>COUNTIF('1月'!D21:E21,T$4)+COUNTIF('1月'!I21:J21,T$4)+COUNTIF('1月'!N21:O21,T$4)+COUNTIF('1月'!S21:T21,T$4)+COUNTIF('1月'!X21:Y21,T$4)+COUNTIF('1月'!AC21:AD21,T$4)+COUNTIF('1月'!AH21:AI21,T$4)+COUNTIF('1月'!AM21:AN21,T$4)+COUNTIF('1月'!AR21:AS21,T$4)+COUNTIF('1月'!AW21:AX21,T$4)+COUNTIF('1月'!BB21:BC21,T$4)+COUNTIF('1月'!BG21:BH21,T$4)+COUNTIF('1月'!BL21:BM21,T$4)+COUNTIF('1月'!BQ21:BR21,T$4)+COUNTIF('1月'!BV21:BW21,T$4)+COUNTIF('1月'!CA21:CB21,T$4)+COUNTIF('1月'!CF21:CG21,T$4)+COUNTIF('1月'!CK21:CL21,T$4)+COUNTIF('1月'!CP21:CQ21,T$4)+COUNTIF('1月'!CU21:CV21,T$4)+COUNTIF('1月'!CZ21:DA21,T$4)+COUNTIF('1月'!DE21:DF21,T$4)+COUNTIF('1月'!DJ21:DK21,T$4)+COUNTIF('1月'!DO21:DP21,T$4)+COUNTIF('1月'!DT21:DU21,T$4)+COUNTIF('1月'!DY21:DZ21,T$4)+COUNTIF('1月'!ED21:EE21,T$4)+COUNTIF('1月'!EI21:EJ21,T$4)+COUNTIF('1月'!EN21:EO21,T$4)+COUNTIF('1月'!ES21:ET21,T$4)</f>
        <v>0</v>
      </c>
      <c r="U23" s="76">
        <f t="shared" si="9"/>
        <v>0</v>
      </c>
      <c r="V23" s="76">
        <f>COUNTIF('1月'!D21:E21,V$4)+COUNTIF('1月'!I21:J21,V$4)+COUNTIF('1月'!N21:O21,V$4)+COUNTIF('1月'!S21:T21,V$4)+COUNTIF('1月'!X21:Y21,V$4)+COUNTIF('1月'!AC21:AD21,V$4)+COUNTIF('1月'!AH21:AI21,V$4)+COUNTIF('1月'!AM21:AN21,V$4)+COUNTIF('1月'!AR21:AS21,V$4)+COUNTIF('1月'!AW21:AX21,V$4)+COUNTIF('1月'!BB21:BC21,V$4)+COUNTIF('1月'!BG21:BH21,V$4)+COUNTIF('1月'!BL21:BM21,V$4)+COUNTIF('1月'!BQ21:BR21,V$4)+COUNTIF('1月'!BV21:BW21,V$4)+COUNTIF('1月'!CA21:CB21,V$4)+COUNTIF('1月'!CF21:CG21,V$4)+COUNTIF('1月'!CK21:CL21,V$4)+COUNTIF('1月'!CP21:CQ21,V$4)+COUNTIF('1月'!CU21:CV21,V$4)+COUNTIF('1月'!CZ21:DA21,V$4)+COUNTIF('1月'!DE21:DF21,V$4)+COUNTIF('1月'!DJ21:DK21,V$4)+COUNTIF('1月'!DO21:DP21,V$4)+COUNTIF('1月'!DT21:DU21,V$4)+COUNTIF('1月'!DY21:DZ21,V$4)+COUNTIF('1月'!ED21:EE21,V$4)+COUNTIF('1月'!EI21:EJ21,V$4)+COUNTIF('1月'!EN21:EO21,V$4)+COUNTIF('1月'!ES21:ET21,V$4)</f>
        <v>0</v>
      </c>
      <c r="W23" s="76">
        <f t="shared" si="10"/>
        <v>0</v>
      </c>
      <c r="X23" s="76">
        <f>COUNTIF('1月'!D21:E21,X$4)+COUNTIF('1月'!I21:J21,X$4)+COUNTIF('1月'!N21:O21,X$4)+COUNTIF('1月'!S21:T21,X$4)+COUNTIF('1月'!X21:Y21,X$4)+COUNTIF('1月'!AC21:AD21,X$4)+COUNTIF('1月'!AH21:AI21,X$4)+COUNTIF('1月'!AM21:AN21,X$4)+COUNTIF('1月'!AR21:AS21,X$4)+COUNTIF('1月'!AW21:AX21,X$4)+COUNTIF('1月'!BB21:BC21,X$4)+COUNTIF('1月'!BG21:BH21,X$4)+COUNTIF('1月'!BL21:BM21,X$4)+COUNTIF('1月'!BQ21:BR21,X$4)+COUNTIF('1月'!BV21:BW21,X$4)+COUNTIF('1月'!CA21:CB21,X$4)+COUNTIF('1月'!CF21:CG21,X$4)+COUNTIF('1月'!CK21:CL21,X$4)+COUNTIF('1月'!CP21:CQ21,X$4)+COUNTIF('1月'!CU21:CV21,X$4)+COUNTIF('1月'!CZ21:DA21,X$4)+COUNTIF('1月'!DE21:DF21,X$4)+COUNTIF('1月'!DJ21:DK21,X$4)+COUNTIF('1月'!DO21:DP21,X$4)+COUNTIF('1月'!DT21:DU21,X$4)+COUNTIF('1月'!DY21:DZ21,X$4)+COUNTIF('1月'!ED21:EE21,X$4)+COUNTIF('1月'!EI21:EJ21,X$4)+COUNTIF('1月'!EN21:EO21,X$4)+COUNTIF('1月'!ES21:ET21,X$4)</f>
        <v>0</v>
      </c>
      <c r="Y23" s="76">
        <f t="shared" si="11"/>
        <v>0</v>
      </c>
    </row>
    <row r="24" spans="1:25" ht="18" customHeight="1">
      <c r="A24" s="76">
        <v>19</v>
      </c>
      <c r="B24" s="76">
        <f>COUNTIF('1月'!D22:E22,B$4)+COUNTIF('1月'!I22:J22,B$4)+COUNTIF('1月'!N22:O22,B$4)+COUNTIF('1月'!S22:T22,B$4)+COUNTIF('1月'!X22:Y22,B$4)+COUNTIF('1月'!AC22:AD22,B$4)+COUNTIF('1月'!AH22:AI22,B$4)+COUNTIF('1月'!AM22:AN22,B$4)+COUNTIF('1月'!AR22:AS22,B$4)+COUNTIF('1月'!AW22:AX22,B$4)+COUNTIF('1月'!BB22:BC22,B$4)+COUNTIF('1月'!BG22:BH22,B$4)+COUNTIF('1月'!BL22:BM22,B$4)+COUNTIF('1月'!BQ22:BR22,B$4)+COUNTIF('1月'!BV22:BW22,B$4)+COUNTIF('1月'!CA22:CB22,B$4)+COUNTIF('1月'!CF22:CG22,B$4)+COUNTIF('1月'!CK22:CL22,B$4)+COUNTIF('1月'!CP22:CQ22,B$4)+COUNTIF('1月'!CU22:CV22,B$4)+COUNTIF('1月'!CZ22:DA22,B$4)+COUNTIF('1月'!DE22:DF22,B$4)+COUNTIF('1月'!DJ22:DK22,B$4)+COUNTIF('1月'!DO22:DP22,B$4)+COUNTIF('1月'!DT22:DU22,B$4)+COUNTIF('1月'!DY22:DZ22,B$4)+COUNTIF('1月'!ED22:EE22,B$4)+COUNTIF('1月'!EI22:EJ22,B$4)+COUNTIF('1月'!EN22:EO22,B$4)+COUNTIF('1月'!ES22:ET22,B$4)</f>
        <v>0</v>
      </c>
      <c r="C24" s="76">
        <f t="shared" si="0"/>
        <v>0</v>
      </c>
      <c r="D24" s="76">
        <f>COUNTIF('1月'!D22:E22,D$4)+COUNTIF('1月'!I22:J22,D$4)+COUNTIF('1月'!N22:O22,D$4)+COUNTIF('1月'!S22:T22,D$4)+COUNTIF('1月'!X22:Y22,D$4)+COUNTIF('1月'!AC22:AD22,D$4)+COUNTIF('1月'!AH22:AI22,D$4)+COUNTIF('1月'!AM22:AN22,D$4)+COUNTIF('1月'!AR22:AS22,D$4)+COUNTIF('1月'!AW22:AX22,D$4)+COUNTIF('1月'!BB22:BC22,D$4)+COUNTIF('1月'!BG22:BH22,D$4)+COUNTIF('1月'!BL22:BM22,D$4)+COUNTIF('1月'!BQ22:BR22,D$4)+COUNTIF('1月'!BV22:BW22,D$4)+COUNTIF('1月'!CA22:CB22,D$4)+COUNTIF('1月'!CF22:CG22,D$4)+COUNTIF('1月'!CK22:CL22,D$4)+COUNTIF('1月'!CP22:CQ22,D$4)+COUNTIF('1月'!CU22:CV22,D$4)+COUNTIF('1月'!CZ22:DA22,D$4)+COUNTIF('1月'!DE22:DF22,D$4)+COUNTIF('1月'!DJ22:DK22,D$4)+COUNTIF('1月'!DO22:DP22,D$4)+COUNTIF('1月'!DT22:DU22,D$4)+COUNTIF('1月'!DY22:DZ22,D$4)+COUNTIF('1月'!ED22:EE22,D$4)+COUNTIF('1月'!EI22:EJ22,D$4)+COUNTIF('1月'!EN22:EO22,D$4)+COUNTIF('1月'!ES22:ET22,D$4)</f>
        <v>0</v>
      </c>
      <c r="E24" s="76">
        <f t="shared" si="1"/>
        <v>0</v>
      </c>
      <c r="F24" s="76">
        <f>COUNTIF('1月'!D22:E22,F$4)+COUNTIF('1月'!I22:J22,F$4)+COUNTIF('1月'!N22:O22,F$4)+COUNTIF('1月'!S22:T22,F$4)+COUNTIF('1月'!X22:Y22,F$4)+COUNTIF('1月'!AC22:AD22,F$4)+COUNTIF('1月'!AH22:AI22,F$4)+COUNTIF('1月'!AM22:AN22,F$4)+COUNTIF('1月'!AR22:AS22,F$4)+COUNTIF('1月'!AW22:AX22,F$4)+COUNTIF('1月'!BB22:BC22,F$4)+COUNTIF('1月'!BG22:BH22,F$4)+COUNTIF('1月'!BL22:BM22,F$4)+COUNTIF('1月'!BQ22:BR22,F$4)+COUNTIF('1月'!BV22:BW22,F$4)+COUNTIF('1月'!CA22:CB22,F$4)+COUNTIF('1月'!CF22:CG22,F$4)+COUNTIF('1月'!CK22:CL22,F$4)+COUNTIF('1月'!CP22:CQ22,F$4)+COUNTIF('1月'!CU22:CV22,F$4)+COUNTIF('1月'!CZ22:DA22,F$4)+COUNTIF('1月'!DE22:DF22,F$4)+COUNTIF('1月'!DJ22:DK22,F$4)+COUNTIF('1月'!DO22:DP22,F$4)+COUNTIF('1月'!DT22:DU22,F$4)+COUNTIF('1月'!DY22:DZ22,F$4)+COUNTIF('1月'!ED22:EE22,F$4)+COUNTIF('1月'!EI22:EJ22,F$4)+COUNTIF('1月'!EN22:EO22,F$4)+COUNTIF('1月'!ES22:ET22,F$4)</f>
        <v>0</v>
      </c>
      <c r="G24" s="76">
        <f t="shared" si="2"/>
        <v>0</v>
      </c>
      <c r="H24" s="76">
        <f>COUNTIF('1月'!D22:E22,H$4)+COUNTIF('1月'!I22:J22,H$4)+COUNTIF('1月'!N22:O22,H$4)+COUNTIF('1月'!S22:T22,H$4)+COUNTIF('1月'!X22:Y22,H$4)+COUNTIF('1月'!AC22:AD22,H$4)+COUNTIF('1月'!AH22:AI22,H$4)+COUNTIF('1月'!AM22:AN22,H$4)+COUNTIF('1月'!AR22:AS22,H$4)+COUNTIF('1月'!AW22:AX22,H$4)+COUNTIF('1月'!BB22:BC22,H$4)+COUNTIF('1月'!BG22:BH22,H$4)+COUNTIF('1月'!BL22:BM22,H$4)+COUNTIF('1月'!BQ22:BR22,H$4)+COUNTIF('1月'!BV22:BW22,H$4)+COUNTIF('1月'!CA22:CB22,H$4)+COUNTIF('1月'!CF22:CG22,H$4)+COUNTIF('1月'!CK22:CL22,H$4)+COUNTIF('1月'!CP22:CQ22,H$4)+COUNTIF('1月'!CU22:CV22,H$4)+COUNTIF('1月'!CZ22:DA22,H$4)+COUNTIF('1月'!DE22:DF22,H$4)+COUNTIF('1月'!DJ22:DK22,H$4)+COUNTIF('1月'!DO22:DP22,H$4)+COUNTIF('1月'!DT22:DU22,H$4)+COUNTIF('1月'!DY22:DZ22,H$4)+COUNTIF('1月'!ED22:EE22,H$4)+COUNTIF('1月'!EI22:EJ22,H$4)+COUNTIF('1月'!EN22:EO22,H$4)+COUNTIF('1月'!ES22:ET22,H$4)+COUNTIF('1月'!D22:E22,"渋谷-夜勤")+COUNTIF('1月'!I22:J22,"渋谷-夜勤")+COUNTIF('1月'!N22:O22,"渋谷-夜勤")+COUNTIF('1月'!S22:T22,"渋谷-夜勤")+COUNTIF('1月'!X22:Y22,"渋谷-夜勤")+COUNTIF('1月'!AC22:AD22,"渋谷-夜勤")+COUNTIF('1月'!AH22:AI22,"渋谷-夜勤")+COUNTIF('1月'!AM22:AN22,"渋谷-夜勤")+COUNTIF('1月'!AR22:AS22,"渋谷-夜勤")+COUNTIF('1月'!AW22:AX22,"渋谷-夜勤")+COUNTIF('1月'!BB22:BC22,"渋谷-夜勤")+COUNTIF('1月'!BG22:BH22,"渋谷-夜勤")+COUNTIF('1月'!BL22:BM22,"渋谷-夜勤")+COUNTIF('1月'!BQ22:BR22,"渋谷-夜勤")+COUNTIF('1月'!BV22:BW22,"渋谷-夜勤")+COUNTIF('1月'!CA22:CB22,"渋谷-夜勤")+COUNTIF('1月'!CF22:CG22,"渋谷-夜勤")+COUNTIF('1月'!CK22:CL22,"渋谷-夜勤")+COUNTIF('1月'!CP22:CQ22,"渋谷-夜勤")+COUNTIF('1月'!CU22:CV22,"渋谷-夜勤")+COUNTIF('1月'!CZ22:DA22,"渋谷-夜勤")+COUNTIF('1月'!DE22:DF22,"渋谷-夜勤")+COUNTIF('1月'!DJ22:DK22,"渋谷-夜勤")+COUNTIF('1月'!DO22:DP22,"渋谷-夜勤")+COUNTIF('1月'!DT22:DU22,"渋谷-夜勤")+COUNTIF('1月'!DY22:DZ22,"渋谷-夜勤")+COUNTIF('1月'!ED22:EE22,"渋谷-夜勤")+COUNTIF('1月'!EI22:EJ22,"渋谷-夜勤")+COUNTIF('1月'!EN22:EO22,"渋谷-夜勤")+COUNTIF('1月'!ES22:ET22,"渋谷-夜勤")</f>
        <v>0</v>
      </c>
      <c r="I24" s="76">
        <f t="shared" si="3"/>
        <v>0</v>
      </c>
      <c r="J24" s="76">
        <f>COUNTIF('1月'!D22:E22,J$4)+COUNTIF('1月'!I22:J22,J$4)+COUNTIF('1月'!N22:O22,J$4)+COUNTIF('1月'!S22:T22,J$4)+COUNTIF('1月'!X22:Y22,J$4)+COUNTIF('1月'!AC22:AD22,J$4)+COUNTIF('1月'!AH22:AI22,J$4)+COUNTIF('1月'!AM22:AN22,J$4)+COUNTIF('1月'!AR22:AS22,J$4)+COUNTIF('1月'!AW22:AX22,J$4)+COUNTIF('1月'!BB22:BC22,J$4)+COUNTIF('1月'!BG22:BH22,J$4)+COUNTIF('1月'!BL22:BM22,J$4)+COUNTIF('1月'!BQ22:BR22,J$4)+COUNTIF('1月'!BV22:BW22,J$4)+COUNTIF('1月'!CA22:CB22,J$4)+COUNTIF('1月'!CF22:CG22,J$4)+COUNTIF('1月'!CK22:CL22,J$4)+COUNTIF('1月'!CP22:CQ22,J$4)+COUNTIF('1月'!CU22:CV22,J$4)+COUNTIF('1月'!CZ22:DA22,J$4)+COUNTIF('1月'!DE22:DF22,J$4)+COUNTIF('1月'!DJ22:DK22,J$4)+COUNTIF('1月'!DO22:DP22,J$4)+COUNTIF('1月'!DT22:DU22,J$4)+COUNTIF('1月'!DY22:DZ22,J$4)+COUNTIF('1月'!ED22:EE22,J$4)+COUNTIF('1月'!EI22:EJ22,J$4)+COUNTIF('1月'!EN22:EO22,J$4)+COUNTIF('1月'!ES22:ET22,J$4)+COUNTIF('1月'!D22:E22,"六本木-夜勤")+COUNTIF('1月'!I22:J22,"六本木-夜勤")+COUNTIF('1月'!N22:O22,"六本木-夜勤")+COUNTIF('1月'!S22:T22,"六本木-夜勤")+COUNTIF('1月'!X22:Y22,"六本木-夜勤")+COUNTIF('1月'!AC22:AD22,"六本木-夜勤")+COUNTIF('1月'!AH22:AI22,"六本木-夜勤")+COUNTIF('1月'!AM22:AN22,"六本木-夜勤")+COUNTIF('1月'!AR22:AS22,"六本木-夜勤")+COUNTIF('1月'!AW22:AX22,"六本木-夜勤")+COUNTIF('1月'!BB22:BC22,"六本木-夜勤")+COUNTIF('1月'!BG22:BH22,"六本木-夜勤")+COUNTIF('1月'!BL22:BM22,"六本木-夜勤")+COUNTIF('1月'!BQ22:BR22,"六本木-夜勤")+COUNTIF('1月'!BV22:BW22,"六本木-夜勤")+COUNTIF('1月'!CA22:CB22,"六本木-夜勤")+COUNTIF('1月'!CF22:CG22,"六本木-夜勤")+COUNTIF('1月'!CK22:CL22,"六本木-夜勤")+COUNTIF('1月'!CP22:CQ22,"六本木-夜勤")+COUNTIF('1月'!CU22:CV22,"六本木-夜勤")+COUNTIF('1月'!CZ22:DA22,"六本木-夜勤")+COUNTIF('1月'!DE22:DF22,"六本木-夜勤")+COUNTIF('1月'!DJ22:DK22,"六本木-夜勤")+COUNTIF('1月'!DO22:DP22,"六本木-夜勤")+COUNTIF('1月'!DT22:DU22,"六本木-夜勤")+COUNTIF('1月'!DY22:DZ22,"六本木-夜勤")+COUNTIF('1月'!ED22:EE22,"六本木-夜勤")+COUNTIF('1月'!EI22:EJ22,"六本木-夜勤")+COUNTIF('1月'!EN22:EO22,"六本木-夜勤")+COUNTIF('1月'!ES22:ET22,"六本木-夜勤")+COUNTIF('1月'!D22:E22,"六本木ー夜勤")+COUNTIF('1月'!I22:J22,"六本木ー夜勤")+COUNTIF('1月'!N22:O22,"六本木ー夜勤")+COUNTIF('1月'!S22:T22,"六本木ー夜勤")+COUNTIF('1月'!X22:Y22,"六本木ー夜勤")+COUNTIF('1月'!AC22:AD22,"六本木ー夜勤")+COUNTIF('1月'!AH22:AI22,"六本木ー夜勤")+COUNTIF('1月'!AM22:AN22,"六本木ー夜勤")+COUNTIF('1月'!AR22:AS22,"六本木ー夜勤")+COUNTIF('1月'!AW22:AX22,"六本木ー夜勤")+COUNTIF('1月'!BB22:BC22,"六本木ー夜勤")+COUNTIF('1月'!BG22:BH22,"六本木ー夜勤")+COUNTIF('1月'!BL22:BM22,"六本木ー夜勤")+COUNTIF('1月'!BQ22:BR22,"六本木ー夜勤")+COUNTIF('1月'!BV22:BW22,"六本木ー夜勤")+COUNTIF('1月'!CA22:CB22,"六本木ー夜勤")+COUNTIF('1月'!CF22:CG22,"六本木ー夜勤")+COUNTIF('1月'!CK22:CL22,"六本木ー夜勤")+COUNTIF('1月'!CP22:CQ22,"六本木ー夜勤")+COUNTIF('1月'!CU22:CV22,"六本木ー夜勤")+COUNTIF('1月'!CZ22:DA22,"六本木ー夜勤")+COUNTIF('1月'!DE22:DF22,"六本木ー夜勤")+COUNTIF('1月'!DJ22:DK22,"六本木ー夜勤")+COUNTIF('1月'!DO22:DP22,"六本木ー夜勤")+COUNTIF('1月'!DT22:DU22,"六本木ー夜勤")+COUNTIF('1月'!DY22:DZ22,"六本木ー夜勤")+COUNTIF('1月'!ED22:EE22,"六本木ー夜勤")+COUNTIF('1月'!EI22:EJ22,"六本木ー夜勤")+COUNTIF('1月'!EN22:EO22,"六本木ー夜勤")+COUNTIF('1月'!ES22:ET22,"六本木ー夜勤")</f>
        <v>0</v>
      </c>
      <c r="K24" s="76">
        <f t="shared" si="4"/>
        <v>0</v>
      </c>
      <c r="L24" s="76">
        <f>COUNTIF('1月'!D22:E22,L$4)+COUNTIF('1月'!I22:J22,L$4)+COUNTIF('1月'!N22:O22,L$4)+COUNTIF('1月'!S22:T22,L$4)+COUNTIF('1月'!X22:Y22,L$4)+COUNTIF('1月'!AC22:AD22,L$4)+COUNTIF('1月'!AH22:AI22,L$4)+COUNTIF('1月'!AM22:AN22,L$4)+COUNTIF('1月'!AR22:AS22,L$4)+COUNTIF('1月'!AW22:AX22,L$4)+COUNTIF('1月'!BB22:BC22,L$4)+COUNTIF('1月'!BG22:BH22,L$4)+COUNTIF('1月'!BL22:BM22,L$4)+COUNTIF('1月'!BQ22:BR22,L$4)+COUNTIF('1月'!BV22:BW22,L$4)+COUNTIF('1月'!CA22:CB22,L$4)+COUNTIF('1月'!CF22:CG22,L$4)+COUNTIF('1月'!CK22:CL22,L$4)+COUNTIF('1月'!CP22:CQ22,L$4)+COUNTIF('1月'!CU22:CV22,L$4)+COUNTIF('1月'!CZ22:DA22,L$4)+COUNTIF('1月'!DE22:DF22,L$4)+COUNTIF('1月'!DJ22:DK22,L$4)+COUNTIF('1月'!DO22:DP22,L$4)+COUNTIF('1月'!DT22:DU22,L$4)+COUNTIF('1月'!DY22:DZ22,L$4)+COUNTIF('1月'!ED22:EE22,L$4)+COUNTIF('1月'!EI22:EJ22,L$4)+COUNTIF('1月'!EN22:EO22,L$4)+COUNTIF('1月'!ES22:ET22,L$4)</f>
        <v>0</v>
      </c>
      <c r="M24" s="76">
        <f t="shared" si="5"/>
        <v>0</v>
      </c>
      <c r="N24" s="76">
        <f>COUNTIF('1月'!D22:E22,N$4)+COUNTIF('1月'!I22:J22,N$4)+COUNTIF('1月'!N22:O22,N$4)+COUNTIF('1月'!S22:T22,N$4)+COUNTIF('1月'!X22:Y22,N$4)+COUNTIF('1月'!AC22:AD22,N$4)+COUNTIF('1月'!AH22:AI22,N$4)+COUNTIF('1月'!AM22:AN22,N$4)+COUNTIF('1月'!AR22:AS22,N$4)+COUNTIF('1月'!AW22:AX22,N$4)+COUNTIF('1月'!BB22:BC22,N$4)+COUNTIF('1月'!BG22:BH22,N$4)+COUNTIF('1月'!BL22:BM22,N$4)+COUNTIF('1月'!BQ22:BR22,N$4)+COUNTIF('1月'!BV22:BW22,N$4)+COUNTIF('1月'!CA22:CB22,N$4)+COUNTIF('1月'!CF22:CG22,N$4)+COUNTIF('1月'!CK22:CL22,N$4)+COUNTIF('1月'!CP22:CQ22,N$4)+COUNTIF('1月'!CU22:CV22,N$4)+COUNTIF('1月'!CZ22:DA22,N$4)+COUNTIF('1月'!DE22:DF22,N$4)+COUNTIF('1月'!DJ22:DK22,N$4)+COUNTIF('1月'!DO22:DP22,N$4)+COUNTIF('1月'!DT22:DU22,N$4)+COUNTIF('1月'!DY22:DZ22,N$4)+COUNTIF('1月'!ED22:EE22,N$4)+COUNTIF('1月'!EI22:EJ22,N$4)+COUNTIF('1月'!EN22:EO22,N$4)+COUNTIF('1月'!ES22:ET22,N$4)+COUNTIF('1月'!D22:E22,"三軒茶屋－夜勤")+COUNTIF('1月'!I22:J22,"三軒茶屋－夜勤")+COUNTIF('1月'!N22:O22,"三軒茶屋－夜勤")+COUNTIF('1月'!S22:T22,"三軒茶屋－夜勤")+COUNTIF('1月'!X22:Y22,"三軒茶屋－夜勤")+COUNTIF('1月'!AC22:AD22,"三軒茶屋－夜勤")+COUNTIF('1月'!AH22:AI22,"三軒茶屋－夜勤")+COUNTIF('1月'!AM22:AN22,"三軒茶屋－夜勤")+COUNTIF('1月'!AR22:AS22,"三軒茶屋－夜勤")+COUNTIF('1月'!AW22:AX22,"三軒茶屋－夜勤")+COUNTIF('1月'!BB22:BC22,"三軒茶屋－夜勤")+COUNTIF('1月'!BG22:BH22,"三軒茶屋－夜勤")+COUNTIF('1月'!BL22:BM22,"三軒茶屋－夜勤")+COUNTIF('1月'!BQ22:BR22,"三軒茶屋－夜勤")+COUNTIF('1月'!BV22:BW22,"三軒茶屋－夜勤")+COUNTIF('1月'!CA22:CB22,"三軒茶屋－夜勤")+COUNTIF('1月'!CF22:CG22,"三軒茶屋－夜勤")+COUNTIF('1月'!CK22:CL22,"三軒茶屋－夜勤")+COUNTIF('1月'!CP22:CQ22,"三軒茶屋－夜勤")+COUNTIF('1月'!CU22:CV22,"三軒茶屋－夜勤")+COUNTIF('1月'!CZ22:DA22,"三軒茶屋－夜勤")+COUNTIF('1月'!DE22:DF22,"三軒茶屋－夜勤")+COUNTIF('1月'!DJ22:DK22,"三軒茶屋－夜勤")+COUNTIF('1月'!DO22:DP22,"三軒茶屋－夜勤")+COUNTIF('1月'!DT22:DU22,"三軒茶屋－夜勤")+COUNTIF('1月'!DY22:DZ22,"三軒茶屋－夜勤")+COUNTIF('1月'!ED22:EE22,"三軒茶屋－夜勤")+COUNTIF('1月'!EI22:EJ22,"三軒茶屋－夜勤")+COUNTIF('1月'!EN22:EO22,"三軒茶屋－夜勤")+COUNTIF('1月'!ES22:ET22,"三軒茶屋－夜勤")</f>
        <v>0</v>
      </c>
      <c r="O24" s="76">
        <f t="shared" si="6"/>
        <v>0</v>
      </c>
      <c r="P24" s="76">
        <f>COUNTIF('1月'!D22:E22,P$4)+COUNTIF('1月'!I22:J22,P$4)+COUNTIF('1月'!N22:O22,P$4)+COUNTIF('1月'!S22:T22,P$4)+COUNTIF('1月'!X22:Y22,P$4)+COUNTIF('1月'!AC22:AD22,P$4)+COUNTIF('1月'!AH22:AI22,P$4)+COUNTIF('1月'!AM22:AN22,P$4)+COUNTIF('1月'!AR22:AS22,P$4)+COUNTIF('1月'!AW22:AX22,P$4)+COUNTIF('1月'!BB22:BC22,P$4)+COUNTIF('1月'!BG22:BH22,P$4)+COUNTIF('1月'!BL22:BM22,P$4)+COUNTIF('1月'!BQ22:BR22,P$4)+COUNTIF('1月'!BV22:BW22,P$4)+COUNTIF('1月'!CA22:CB22,P$4)+COUNTIF('1月'!CF22:CG22,P$4)+COUNTIF('1月'!CK22:CL22,P$4)+COUNTIF('1月'!CP22:CQ22,P$4)+COUNTIF('1月'!CU22:CV22,P$4)+COUNTIF('1月'!CZ22:DA22,P$4)+COUNTIF('1月'!DE22:DF22,P$4)+COUNTIF('1月'!DJ22:DK22,P$4)+COUNTIF('1月'!DO22:DP22,P$4)+COUNTIF('1月'!DT22:DU22,P$4)+COUNTIF('1月'!DY22:DZ22,P$4)+COUNTIF('1月'!ED22:EE22,P$4)+COUNTIF('1月'!EI22:EJ22,P$4)+COUNTIF('1月'!EN22:EO22,P$4)+COUNTIF('1月'!ES22:ET22,P$4)+COUNTIF('1月'!D22:E22,"荻窪ー夜勤")+COUNTIF('1月'!I22:J22,"荻窪ー夜勤")+COUNTIF('1月'!N22:O22,"荻窪ー夜勤")+COUNTIF('1月'!S22:T22,"荻窪ー夜勤")+COUNTIF('1月'!X22:Y22,"荻窪ー夜勤")+COUNTIF('1月'!AC22:AD22,"荻窪ー夜勤")+COUNTIF('1月'!AH22:AI22,"荻窪ー夜勤")+COUNTIF('1月'!AM22:AN22,"荻窪ー夜勤")+COUNTIF('1月'!AR22:AS22,"荻窪ー夜勤")+COUNTIF('1月'!AW22:AX22,"荻窪ー夜勤")+COUNTIF('1月'!BB22:BC22,"荻窪ー夜勤")+COUNTIF('1月'!BG22:BH22,"荻窪ー夜勤")+COUNTIF('1月'!BL22:BM22,"荻窪ー夜勤")+COUNTIF('1月'!BQ22:BR22,"荻窪ー夜勤")+COUNTIF('1月'!BV22:BW22,"荻窪ー夜勤")+COUNTIF('1月'!CA22:CB22,"荻窪ー夜勤")+COUNTIF('1月'!CF22:CG22,"荻窪ー夜勤")+COUNTIF('1月'!CK22:CL22,"荻窪ー夜勤")+COUNTIF('1月'!CP22:CQ22,"荻窪ー夜勤")+COUNTIF('1月'!CU22:CV22,"荻窪ー夜勤")+COUNTIF('1月'!CZ22:DA22,"荻窪ー夜勤")+COUNTIF('1月'!DE22:DF22,"荻窪ー夜勤")+COUNTIF('1月'!DJ22:DK22,"荻窪ー夜勤")+COUNTIF('1月'!DO22:DP22,"荻窪ー夜勤")+COUNTIF('1月'!DT22:DU22,"荻窪ー夜勤")+COUNTIF('1月'!DY22:DZ22,"荻窪ー夜勤")+COUNTIF('1月'!ED22:EE22,"荻窪ー夜勤")+COUNTIF('1月'!EI22:EJ22,"荻窪ー夜勤")+COUNTIF('1月'!EN22:EO22,"荻窪ー夜勤")+COUNTIF('1月'!ES22:ET22,"荻窪ー夜勤")</f>
        <v>0</v>
      </c>
      <c r="Q24" s="76">
        <f t="shared" si="7"/>
        <v>0</v>
      </c>
      <c r="R24" s="76">
        <f>COUNTIF('1月'!D22:E22,R$4)+COUNTIF('1月'!I22:J22,R$4)+COUNTIF('1月'!N22:O22,R$4)+COUNTIF('1月'!S22:T22,R$4)+COUNTIF('1月'!X22:Y22,R$4)+COUNTIF('1月'!AC22:AD22,R$4)+COUNTIF('1月'!AH22:AI22,R$4)+COUNTIF('1月'!AM22:AN22,R$4)+COUNTIF('1月'!AR22:AS22,R$4)+COUNTIF('1月'!AW22:AX22,R$4)+COUNTIF('1月'!BB22:BC22,R$4)+COUNTIF('1月'!BG22:BH22,R$4)+COUNTIF('1月'!BL22:BM22,R$4)+COUNTIF('1月'!BQ22:BR22,R$4)+COUNTIF('1月'!BV22:BW22,R$4)+COUNTIF('1月'!CA22:CB22,R$4)+COUNTIF('1月'!CF22:CG22,R$4)+COUNTIF('1月'!CK22:CL22,R$4)+COUNTIF('1月'!CP22:CQ22,R$4)+COUNTIF('1月'!CU22:CV22,R$4)+COUNTIF('1月'!CZ22:DA22,R$4)+COUNTIF('1月'!DE22:DF22,R$4)+COUNTIF('1月'!DJ22:DK22,R$4)+COUNTIF('1月'!DO22:DP22,R$4)+COUNTIF('1月'!DT22:DU22,R$4)+COUNTIF('1月'!DY22:DZ22,R$4)+COUNTIF('1月'!ED22:EE22,R$4)+COUNTIF('1月'!EI22:EJ22,R$4)+COUNTIF('1月'!EN22:EO22,R$4)+COUNTIF('1月'!ES22:ET22,R$4)</f>
        <v>0</v>
      </c>
      <c r="S24" s="76">
        <f t="shared" si="8"/>
        <v>0</v>
      </c>
      <c r="T24" s="76">
        <f>COUNTIF('1月'!D22:E22,T$4)+COUNTIF('1月'!I22:J22,T$4)+COUNTIF('1月'!N22:O22,T$4)+COUNTIF('1月'!S22:T22,T$4)+COUNTIF('1月'!X22:Y22,T$4)+COUNTIF('1月'!AC22:AD22,T$4)+COUNTIF('1月'!AH22:AI22,T$4)+COUNTIF('1月'!AM22:AN22,T$4)+COUNTIF('1月'!AR22:AS22,T$4)+COUNTIF('1月'!AW22:AX22,T$4)+COUNTIF('1月'!BB22:BC22,T$4)+COUNTIF('1月'!BG22:BH22,T$4)+COUNTIF('1月'!BL22:BM22,T$4)+COUNTIF('1月'!BQ22:BR22,T$4)+COUNTIF('1月'!BV22:BW22,T$4)+COUNTIF('1月'!CA22:CB22,T$4)+COUNTIF('1月'!CF22:CG22,T$4)+COUNTIF('1月'!CK22:CL22,T$4)+COUNTIF('1月'!CP22:CQ22,T$4)+COUNTIF('1月'!CU22:CV22,T$4)+COUNTIF('1月'!CZ22:DA22,T$4)+COUNTIF('1月'!DE22:DF22,T$4)+COUNTIF('1月'!DJ22:DK22,T$4)+COUNTIF('1月'!DO22:DP22,T$4)+COUNTIF('1月'!DT22:DU22,T$4)+COUNTIF('1月'!DY22:DZ22,T$4)+COUNTIF('1月'!ED22:EE22,T$4)+COUNTIF('1月'!EI22:EJ22,T$4)+COUNTIF('1月'!EN22:EO22,T$4)+COUNTIF('1月'!ES22:ET22,T$4)</f>
        <v>0</v>
      </c>
      <c r="U24" s="76">
        <f t="shared" si="9"/>
        <v>0</v>
      </c>
      <c r="V24" s="76">
        <f>COUNTIF('1月'!D22:E22,V$4)+COUNTIF('1月'!I22:J22,V$4)+COUNTIF('1月'!N22:O22,V$4)+COUNTIF('1月'!S22:T22,V$4)+COUNTIF('1月'!X22:Y22,V$4)+COUNTIF('1月'!AC22:AD22,V$4)+COUNTIF('1月'!AH22:AI22,V$4)+COUNTIF('1月'!AM22:AN22,V$4)+COUNTIF('1月'!AR22:AS22,V$4)+COUNTIF('1月'!AW22:AX22,V$4)+COUNTIF('1月'!BB22:BC22,V$4)+COUNTIF('1月'!BG22:BH22,V$4)+COUNTIF('1月'!BL22:BM22,V$4)+COUNTIF('1月'!BQ22:BR22,V$4)+COUNTIF('1月'!BV22:BW22,V$4)+COUNTIF('1月'!CA22:CB22,V$4)+COUNTIF('1月'!CF22:CG22,V$4)+COUNTIF('1月'!CK22:CL22,V$4)+COUNTIF('1月'!CP22:CQ22,V$4)+COUNTIF('1月'!CU22:CV22,V$4)+COUNTIF('1月'!CZ22:DA22,V$4)+COUNTIF('1月'!DE22:DF22,V$4)+COUNTIF('1月'!DJ22:DK22,V$4)+COUNTIF('1月'!DO22:DP22,V$4)+COUNTIF('1月'!DT22:DU22,V$4)+COUNTIF('1月'!DY22:DZ22,V$4)+COUNTIF('1月'!ED22:EE22,V$4)+COUNTIF('1月'!EI22:EJ22,V$4)+COUNTIF('1月'!EN22:EO22,V$4)+COUNTIF('1月'!ES22:ET22,V$4)</f>
        <v>0</v>
      </c>
      <c r="W24" s="76">
        <f t="shared" si="10"/>
        <v>0</v>
      </c>
      <c r="X24" s="76">
        <f>COUNTIF('1月'!D22:E22,X$4)+COUNTIF('1月'!I22:J22,X$4)+COUNTIF('1月'!N22:O22,X$4)+COUNTIF('1月'!S22:T22,X$4)+COUNTIF('1月'!X22:Y22,X$4)+COUNTIF('1月'!AC22:AD22,X$4)+COUNTIF('1月'!AH22:AI22,X$4)+COUNTIF('1月'!AM22:AN22,X$4)+COUNTIF('1月'!AR22:AS22,X$4)+COUNTIF('1月'!AW22:AX22,X$4)+COUNTIF('1月'!BB22:BC22,X$4)+COUNTIF('1月'!BG22:BH22,X$4)+COUNTIF('1月'!BL22:BM22,X$4)+COUNTIF('1月'!BQ22:BR22,X$4)+COUNTIF('1月'!BV22:BW22,X$4)+COUNTIF('1月'!CA22:CB22,X$4)+COUNTIF('1月'!CF22:CG22,X$4)+COUNTIF('1月'!CK22:CL22,X$4)+COUNTIF('1月'!CP22:CQ22,X$4)+COUNTIF('1月'!CU22:CV22,X$4)+COUNTIF('1月'!CZ22:DA22,X$4)+COUNTIF('1月'!DE22:DF22,X$4)+COUNTIF('1月'!DJ22:DK22,X$4)+COUNTIF('1月'!DO22:DP22,X$4)+COUNTIF('1月'!DT22:DU22,X$4)+COUNTIF('1月'!DY22:DZ22,X$4)+COUNTIF('1月'!ED22:EE22,X$4)+COUNTIF('1月'!EI22:EJ22,X$4)+COUNTIF('1月'!EN22:EO22,X$4)+COUNTIF('1月'!ES22:ET22,X$4)</f>
        <v>0</v>
      </c>
      <c r="Y24" s="76">
        <f t="shared" si="11"/>
        <v>0</v>
      </c>
    </row>
    <row r="25" spans="1:25" ht="18" customHeight="1">
      <c r="A25" s="76">
        <v>20</v>
      </c>
      <c r="B25" s="76">
        <f>COUNTIF('1月'!D23:E23,B$4)+COUNTIF('1月'!I23:J23,B$4)+COUNTIF('1月'!N23:O23,B$4)+COUNTIF('1月'!S23:T23,B$4)+COUNTIF('1月'!X23:Y23,B$4)+COUNTIF('1月'!AC23:AD23,B$4)+COUNTIF('1月'!AH23:AI23,B$4)+COUNTIF('1月'!AM23:AN23,B$4)+COUNTIF('1月'!AR23:AS23,B$4)+COUNTIF('1月'!AW23:AX23,B$4)+COUNTIF('1月'!BB23:BC23,B$4)+COUNTIF('1月'!BG23:BH23,B$4)+COUNTIF('1月'!BL23:BM23,B$4)+COUNTIF('1月'!BQ23:BR23,B$4)+COUNTIF('1月'!BV23:BW23,B$4)+COUNTIF('1月'!CA23:CB23,B$4)+COUNTIF('1月'!CF23:CG23,B$4)+COUNTIF('1月'!CK23:CL23,B$4)+COUNTIF('1月'!CP23:CQ23,B$4)+COUNTIF('1月'!CU23:CV23,B$4)+COUNTIF('1月'!CZ23:DA23,B$4)+COUNTIF('1月'!DE23:DF23,B$4)+COUNTIF('1月'!DJ23:DK23,B$4)+COUNTIF('1月'!DO23:DP23,B$4)+COUNTIF('1月'!DT23:DU23,B$4)+COUNTIF('1月'!DY23:DZ23,B$4)+COUNTIF('1月'!ED23:EE23,B$4)+COUNTIF('1月'!EI23:EJ23,B$4)+COUNTIF('1月'!EN23:EO23,B$4)+COUNTIF('1月'!ES23:ET23,B$4)</f>
        <v>0</v>
      </c>
      <c r="C25" s="76">
        <f t="shared" si="0"/>
        <v>0</v>
      </c>
      <c r="D25" s="76">
        <f>COUNTIF('1月'!D23:E23,D$4)+COUNTIF('1月'!I23:J23,D$4)+COUNTIF('1月'!N23:O23,D$4)+COUNTIF('1月'!S23:T23,D$4)+COUNTIF('1月'!X23:Y23,D$4)+COUNTIF('1月'!AC23:AD23,D$4)+COUNTIF('1月'!AH23:AI23,D$4)+COUNTIF('1月'!AM23:AN23,D$4)+COUNTIF('1月'!AR23:AS23,D$4)+COUNTIF('1月'!AW23:AX23,D$4)+COUNTIF('1月'!BB23:BC23,D$4)+COUNTIF('1月'!BG23:BH23,D$4)+COUNTIF('1月'!BL23:BM23,D$4)+COUNTIF('1月'!BQ23:BR23,D$4)+COUNTIF('1月'!BV23:BW23,D$4)+COUNTIF('1月'!CA23:CB23,D$4)+COUNTIF('1月'!CF23:CG23,D$4)+COUNTIF('1月'!CK23:CL23,D$4)+COUNTIF('1月'!CP23:CQ23,D$4)+COUNTIF('1月'!CU23:CV23,D$4)+COUNTIF('1月'!CZ23:DA23,D$4)+COUNTIF('1月'!DE23:DF23,D$4)+COUNTIF('1月'!DJ23:DK23,D$4)+COUNTIF('1月'!DO23:DP23,D$4)+COUNTIF('1月'!DT23:DU23,D$4)+COUNTIF('1月'!DY23:DZ23,D$4)+COUNTIF('1月'!ED23:EE23,D$4)+COUNTIF('1月'!EI23:EJ23,D$4)+COUNTIF('1月'!EN23:EO23,D$4)+COUNTIF('1月'!ES23:ET23,D$4)</f>
        <v>0</v>
      </c>
      <c r="E25" s="76">
        <f t="shared" si="1"/>
        <v>0</v>
      </c>
      <c r="F25" s="76">
        <f>COUNTIF('1月'!D23:E23,F$4)+COUNTIF('1月'!I23:J23,F$4)+COUNTIF('1月'!N23:O23,F$4)+COUNTIF('1月'!S23:T23,F$4)+COUNTIF('1月'!X23:Y23,F$4)+COUNTIF('1月'!AC23:AD23,F$4)+COUNTIF('1月'!AH23:AI23,F$4)+COUNTIF('1月'!AM23:AN23,F$4)+COUNTIF('1月'!AR23:AS23,F$4)+COUNTIF('1月'!AW23:AX23,F$4)+COUNTIF('1月'!BB23:BC23,F$4)+COUNTIF('1月'!BG23:BH23,F$4)+COUNTIF('1月'!BL23:BM23,F$4)+COUNTIF('1月'!BQ23:BR23,F$4)+COUNTIF('1月'!BV23:BW23,F$4)+COUNTIF('1月'!CA23:CB23,F$4)+COUNTIF('1月'!CF23:CG23,F$4)+COUNTIF('1月'!CK23:CL23,F$4)+COUNTIF('1月'!CP23:CQ23,F$4)+COUNTIF('1月'!CU23:CV23,F$4)+COUNTIF('1月'!CZ23:DA23,F$4)+COUNTIF('1月'!DE23:DF23,F$4)+COUNTIF('1月'!DJ23:DK23,F$4)+COUNTIF('1月'!DO23:DP23,F$4)+COUNTIF('1月'!DT23:DU23,F$4)+COUNTIF('1月'!DY23:DZ23,F$4)+COUNTIF('1月'!ED23:EE23,F$4)+COUNTIF('1月'!EI23:EJ23,F$4)+COUNTIF('1月'!EN23:EO23,F$4)+COUNTIF('1月'!ES23:ET23,F$4)</f>
        <v>0</v>
      </c>
      <c r="G25" s="76">
        <f t="shared" si="2"/>
        <v>0</v>
      </c>
      <c r="H25" s="76">
        <f>COUNTIF('1月'!D23:E23,H$4)+COUNTIF('1月'!I23:J23,H$4)+COUNTIF('1月'!N23:O23,H$4)+COUNTIF('1月'!S23:T23,H$4)+COUNTIF('1月'!X23:Y23,H$4)+COUNTIF('1月'!AC23:AD23,H$4)+COUNTIF('1月'!AH23:AI23,H$4)+COUNTIF('1月'!AM23:AN23,H$4)+COUNTIF('1月'!AR23:AS23,H$4)+COUNTIF('1月'!AW23:AX23,H$4)+COUNTIF('1月'!BB23:BC23,H$4)+COUNTIF('1月'!BG23:BH23,H$4)+COUNTIF('1月'!BL23:BM23,H$4)+COUNTIF('1月'!BQ23:BR23,H$4)+COUNTIF('1月'!BV23:BW23,H$4)+COUNTIF('1月'!CA23:CB23,H$4)+COUNTIF('1月'!CF23:CG23,H$4)+COUNTIF('1月'!CK23:CL23,H$4)+COUNTIF('1月'!CP23:CQ23,H$4)+COUNTIF('1月'!CU23:CV23,H$4)+COUNTIF('1月'!CZ23:DA23,H$4)+COUNTIF('1月'!DE23:DF23,H$4)+COUNTIF('1月'!DJ23:DK23,H$4)+COUNTIF('1月'!DO23:DP23,H$4)+COUNTIF('1月'!DT23:DU23,H$4)+COUNTIF('1月'!DY23:DZ23,H$4)+COUNTIF('1月'!ED23:EE23,H$4)+COUNTIF('1月'!EI23:EJ23,H$4)+COUNTIF('1月'!EN23:EO23,H$4)+COUNTIF('1月'!ES23:ET23,H$4)+COUNTIF('1月'!D23:E23,"渋谷-夜勤")+COUNTIF('1月'!I23:J23,"渋谷-夜勤")+COUNTIF('1月'!N23:O23,"渋谷-夜勤")+COUNTIF('1月'!S23:T23,"渋谷-夜勤")+COUNTIF('1月'!X23:Y23,"渋谷-夜勤")+COUNTIF('1月'!AC23:AD23,"渋谷-夜勤")+COUNTIF('1月'!AH23:AI23,"渋谷-夜勤")+COUNTIF('1月'!AM23:AN23,"渋谷-夜勤")+COUNTIF('1月'!AR23:AS23,"渋谷-夜勤")+COUNTIF('1月'!AW23:AX23,"渋谷-夜勤")+COUNTIF('1月'!BB23:BC23,"渋谷-夜勤")+COUNTIF('1月'!BG23:BH23,"渋谷-夜勤")+COUNTIF('1月'!BL23:BM23,"渋谷-夜勤")+COUNTIF('1月'!BQ23:BR23,"渋谷-夜勤")+COUNTIF('1月'!BV23:BW23,"渋谷-夜勤")+COUNTIF('1月'!CA23:CB23,"渋谷-夜勤")+COUNTIF('1月'!CF23:CG23,"渋谷-夜勤")+COUNTIF('1月'!CK23:CL23,"渋谷-夜勤")+COUNTIF('1月'!CP23:CQ23,"渋谷-夜勤")+COUNTIF('1月'!CU23:CV23,"渋谷-夜勤")+COUNTIF('1月'!CZ23:DA23,"渋谷-夜勤")+COUNTIF('1月'!DE23:DF23,"渋谷-夜勤")+COUNTIF('1月'!DJ23:DK23,"渋谷-夜勤")+COUNTIF('1月'!DO23:DP23,"渋谷-夜勤")+COUNTIF('1月'!DT23:DU23,"渋谷-夜勤")+COUNTIF('1月'!DY23:DZ23,"渋谷-夜勤")+COUNTIF('1月'!ED23:EE23,"渋谷-夜勤")+COUNTIF('1月'!EI23:EJ23,"渋谷-夜勤")+COUNTIF('1月'!EN23:EO23,"渋谷-夜勤")+COUNTIF('1月'!ES23:ET23,"渋谷-夜勤")</f>
        <v>0</v>
      </c>
      <c r="I25" s="76">
        <f t="shared" si="3"/>
        <v>0</v>
      </c>
      <c r="J25" s="76">
        <f>COUNTIF('1月'!D23:E23,J$4)+COUNTIF('1月'!I23:J23,J$4)+COUNTIF('1月'!N23:O23,J$4)+COUNTIF('1月'!S23:T23,J$4)+COUNTIF('1月'!X23:Y23,J$4)+COUNTIF('1月'!AC23:AD23,J$4)+COUNTIF('1月'!AH23:AI23,J$4)+COUNTIF('1月'!AM23:AN23,J$4)+COUNTIF('1月'!AR23:AS23,J$4)+COUNTIF('1月'!AW23:AX23,J$4)+COUNTIF('1月'!BB23:BC23,J$4)+COUNTIF('1月'!BG23:BH23,J$4)+COUNTIF('1月'!BL23:BM23,J$4)+COUNTIF('1月'!BQ23:BR23,J$4)+COUNTIF('1月'!BV23:BW23,J$4)+COUNTIF('1月'!CA23:CB23,J$4)+COUNTIF('1月'!CF23:CG23,J$4)+COUNTIF('1月'!CK23:CL23,J$4)+COUNTIF('1月'!CP23:CQ23,J$4)+COUNTIF('1月'!CU23:CV23,J$4)+COUNTIF('1月'!CZ23:DA23,J$4)+COUNTIF('1月'!DE23:DF23,J$4)+COUNTIF('1月'!DJ23:DK23,J$4)+COUNTIF('1月'!DO23:DP23,J$4)+COUNTIF('1月'!DT23:DU23,J$4)+COUNTIF('1月'!DY23:DZ23,J$4)+COUNTIF('1月'!ED23:EE23,J$4)+COUNTIF('1月'!EI23:EJ23,J$4)+COUNTIF('1月'!EN23:EO23,J$4)+COUNTIF('1月'!ES23:ET23,J$4)+COUNTIF('1月'!D23:E23,"六本木-夜勤")+COUNTIF('1月'!I23:J23,"六本木-夜勤")+COUNTIF('1月'!N23:O23,"六本木-夜勤")+COUNTIF('1月'!S23:T23,"六本木-夜勤")+COUNTIF('1月'!X23:Y23,"六本木-夜勤")+COUNTIF('1月'!AC23:AD23,"六本木-夜勤")+COUNTIF('1月'!AH23:AI23,"六本木-夜勤")+COUNTIF('1月'!AM23:AN23,"六本木-夜勤")+COUNTIF('1月'!AR23:AS23,"六本木-夜勤")+COUNTIF('1月'!AW23:AX23,"六本木-夜勤")+COUNTIF('1月'!BB23:BC23,"六本木-夜勤")+COUNTIF('1月'!BG23:BH23,"六本木-夜勤")+COUNTIF('1月'!BL23:BM23,"六本木-夜勤")+COUNTIF('1月'!BQ23:BR23,"六本木-夜勤")+COUNTIF('1月'!BV23:BW23,"六本木-夜勤")+COUNTIF('1月'!CA23:CB23,"六本木-夜勤")+COUNTIF('1月'!CF23:CG23,"六本木-夜勤")+COUNTIF('1月'!CK23:CL23,"六本木-夜勤")+COUNTIF('1月'!CP23:CQ23,"六本木-夜勤")+COUNTIF('1月'!CU23:CV23,"六本木-夜勤")+COUNTIF('1月'!CZ23:DA23,"六本木-夜勤")+COUNTIF('1月'!DE23:DF23,"六本木-夜勤")+COUNTIF('1月'!DJ23:DK23,"六本木-夜勤")+COUNTIF('1月'!DO23:DP23,"六本木-夜勤")+COUNTIF('1月'!DT23:DU23,"六本木-夜勤")+COUNTIF('1月'!DY23:DZ23,"六本木-夜勤")+COUNTIF('1月'!ED23:EE23,"六本木-夜勤")+COUNTIF('1月'!EI23:EJ23,"六本木-夜勤")+COUNTIF('1月'!EN23:EO23,"六本木-夜勤")+COUNTIF('1月'!ES23:ET23,"六本木-夜勤")+COUNTIF('1月'!D23:E23,"六本木ー夜勤")+COUNTIF('1月'!I23:J23,"六本木ー夜勤")+COUNTIF('1月'!N23:O23,"六本木ー夜勤")+COUNTIF('1月'!S23:T23,"六本木ー夜勤")+COUNTIF('1月'!X23:Y23,"六本木ー夜勤")+COUNTIF('1月'!AC23:AD23,"六本木ー夜勤")+COUNTIF('1月'!AH23:AI23,"六本木ー夜勤")+COUNTIF('1月'!AM23:AN23,"六本木ー夜勤")+COUNTIF('1月'!AR23:AS23,"六本木ー夜勤")+COUNTIF('1月'!AW23:AX23,"六本木ー夜勤")+COUNTIF('1月'!BB23:BC23,"六本木ー夜勤")+COUNTIF('1月'!BG23:BH23,"六本木ー夜勤")+COUNTIF('1月'!BL23:BM23,"六本木ー夜勤")+COUNTIF('1月'!BQ23:BR23,"六本木ー夜勤")+COUNTIF('1月'!BV23:BW23,"六本木ー夜勤")+COUNTIF('1月'!CA23:CB23,"六本木ー夜勤")+COUNTIF('1月'!CF23:CG23,"六本木ー夜勤")+COUNTIF('1月'!CK23:CL23,"六本木ー夜勤")+COUNTIF('1月'!CP23:CQ23,"六本木ー夜勤")+COUNTIF('1月'!CU23:CV23,"六本木ー夜勤")+COUNTIF('1月'!CZ23:DA23,"六本木ー夜勤")+COUNTIF('1月'!DE23:DF23,"六本木ー夜勤")+COUNTIF('1月'!DJ23:DK23,"六本木ー夜勤")+COUNTIF('1月'!DO23:DP23,"六本木ー夜勤")+COUNTIF('1月'!DT23:DU23,"六本木ー夜勤")+COUNTIF('1月'!DY23:DZ23,"六本木ー夜勤")+COUNTIF('1月'!ED23:EE23,"六本木ー夜勤")+COUNTIF('1月'!EI23:EJ23,"六本木ー夜勤")+COUNTIF('1月'!EN23:EO23,"六本木ー夜勤")+COUNTIF('1月'!ES23:ET23,"六本木ー夜勤")</f>
        <v>0</v>
      </c>
      <c r="K25" s="76">
        <f t="shared" si="4"/>
        <v>0</v>
      </c>
      <c r="L25" s="76">
        <f>COUNTIF('1月'!D23:E23,L$4)+COUNTIF('1月'!I23:J23,L$4)+COUNTIF('1月'!N23:O23,L$4)+COUNTIF('1月'!S23:T23,L$4)+COUNTIF('1月'!X23:Y23,L$4)+COUNTIF('1月'!AC23:AD23,L$4)+COUNTIF('1月'!AH23:AI23,L$4)+COUNTIF('1月'!AM23:AN23,L$4)+COUNTIF('1月'!AR23:AS23,L$4)+COUNTIF('1月'!AW23:AX23,L$4)+COUNTIF('1月'!BB23:BC23,L$4)+COUNTIF('1月'!BG23:BH23,L$4)+COUNTIF('1月'!BL23:BM23,L$4)+COUNTIF('1月'!BQ23:BR23,L$4)+COUNTIF('1月'!BV23:BW23,L$4)+COUNTIF('1月'!CA23:CB23,L$4)+COUNTIF('1月'!CF23:CG23,L$4)+COUNTIF('1月'!CK23:CL23,L$4)+COUNTIF('1月'!CP23:CQ23,L$4)+COUNTIF('1月'!CU23:CV23,L$4)+COUNTIF('1月'!CZ23:DA23,L$4)+COUNTIF('1月'!DE23:DF23,L$4)+COUNTIF('1月'!DJ23:DK23,L$4)+COUNTIF('1月'!DO23:DP23,L$4)+COUNTIF('1月'!DT23:DU23,L$4)+COUNTIF('1月'!DY23:DZ23,L$4)+COUNTIF('1月'!ED23:EE23,L$4)+COUNTIF('1月'!EI23:EJ23,L$4)+COUNTIF('1月'!EN23:EO23,L$4)+COUNTIF('1月'!ES23:ET23,L$4)</f>
        <v>0</v>
      </c>
      <c r="M25" s="76">
        <f t="shared" si="5"/>
        <v>0</v>
      </c>
      <c r="N25" s="76">
        <f>COUNTIF('1月'!D23:E23,N$4)+COUNTIF('1月'!I23:J23,N$4)+COUNTIF('1月'!N23:O23,N$4)+COUNTIF('1月'!S23:T23,N$4)+COUNTIF('1月'!X23:Y23,N$4)+COUNTIF('1月'!AC23:AD23,N$4)+COUNTIF('1月'!AH23:AI23,N$4)+COUNTIF('1月'!AM23:AN23,N$4)+COUNTIF('1月'!AR23:AS23,N$4)+COUNTIF('1月'!AW23:AX23,N$4)+COUNTIF('1月'!BB23:BC23,N$4)+COUNTIF('1月'!BG23:BH23,N$4)+COUNTIF('1月'!BL23:BM23,N$4)+COUNTIF('1月'!BQ23:BR23,N$4)+COUNTIF('1月'!BV23:BW23,N$4)+COUNTIF('1月'!CA23:CB23,N$4)+COUNTIF('1月'!CF23:CG23,N$4)+COUNTIF('1月'!CK23:CL23,N$4)+COUNTIF('1月'!CP23:CQ23,N$4)+COUNTIF('1月'!CU23:CV23,N$4)+COUNTIF('1月'!CZ23:DA23,N$4)+COUNTIF('1月'!DE23:DF23,N$4)+COUNTIF('1月'!DJ23:DK23,N$4)+COUNTIF('1月'!DO23:DP23,N$4)+COUNTIF('1月'!DT23:DU23,N$4)+COUNTIF('1月'!DY23:DZ23,N$4)+COUNTIF('1月'!ED23:EE23,N$4)+COUNTIF('1月'!EI23:EJ23,N$4)+COUNTIF('1月'!EN23:EO23,N$4)+COUNTIF('1月'!ES23:ET23,N$4)+COUNTIF('1月'!D23:E23,"三軒茶屋－夜勤")+COUNTIF('1月'!I23:J23,"三軒茶屋－夜勤")+COUNTIF('1月'!N23:O23,"三軒茶屋－夜勤")+COUNTIF('1月'!S23:T23,"三軒茶屋－夜勤")+COUNTIF('1月'!X23:Y23,"三軒茶屋－夜勤")+COUNTIF('1月'!AC23:AD23,"三軒茶屋－夜勤")+COUNTIF('1月'!AH23:AI23,"三軒茶屋－夜勤")+COUNTIF('1月'!AM23:AN23,"三軒茶屋－夜勤")+COUNTIF('1月'!AR23:AS23,"三軒茶屋－夜勤")+COUNTIF('1月'!AW23:AX23,"三軒茶屋－夜勤")+COUNTIF('1月'!BB23:BC23,"三軒茶屋－夜勤")+COUNTIF('1月'!BG23:BH23,"三軒茶屋－夜勤")+COUNTIF('1月'!BL23:BM23,"三軒茶屋－夜勤")+COUNTIF('1月'!BQ23:BR23,"三軒茶屋－夜勤")+COUNTIF('1月'!BV23:BW23,"三軒茶屋－夜勤")+COUNTIF('1月'!CA23:CB23,"三軒茶屋－夜勤")+COUNTIF('1月'!CF23:CG23,"三軒茶屋－夜勤")+COUNTIF('1月'!CK23:CL23,"三軒茶屋－夜勤")+COUNTIF('1月'!CP23:CQ23,"三軒茶屋－夜勤")+COUNTIF('1月'!CU23:CV23,"三軒茶屋－夜勤")+COUNTIF('1月'!CZ23:DA23,"三軒茶屋－夜勤")+COUNTIF('1月'!DE23:DF23,"三軒茶屋－夜勤")+COUNTIF('1月'!DJ23:DK23,"三軒茶屋－夜勤")+COUNTIF('1月'!DO23:DP23,"三軒茶屋－夜勤")+COUNTIF('1月'!DT23:DU23,"三軒茶屋－夜勤")+COUNTIF('1月'!DY23:DZ23,"三軒茶屋－夜勤")+COUNTIF('1月'!ED23:EE23,"三軒茶屋－夜勤")+COUNTIF('1月'!EI23:EJ23,"三軒茶屋－夜勤")+COUNTIF('1月'!EN23:EO23,"三軒茶屋－夜勤")+COUNTIF('1月'!ES23:ET23,"三軒茶屋－夜勤")</f>
        <v>0</v>
      </c>
      <c r="O25" s="76">
        <f t="shared" si="6"/>
        <v>0</v>
      </c>
      <c r="P25" s="76">
        <f>COUNTIF('1月'!D23:E23,P$4)+COUNTIF('1月'!I23:J23,P$4)+COUNTIF('1月'!N23:O23,P$4)+COUNTIF('1月'!S23:T23,P$4)+COUNTIF('1月'!X23:Y23,P$4)+COUNTIF('1月'!AC23:AD23,P$4)+COUNTIF('1月'!AH23:AI23,P$4)+COUNTIF('1月'!AM23:AN23,P$4)+COUNTIF('1月'!AR23:AS23,P$4)+COUNTIF('1月'!AW23:AX23,P$4)+COUNTIF('1月'!BB23:BC23,P$4)+COUNTIF('1月'!BG23:BH23,P$4)+COUNTIF('1月'!BL23:BM23,P$4)+COUNTIF('1月'!BQ23:BR23,P$4)+COUNTIF('1月'!BV23:BW23,P$4)+COUNTIF('1月'!CA23:CB23,P$4)+COUNTIF('1月'!CF23:CG23,P$4)+COUNTIF('1月'!CK23:CL23,P$4)+COUNTIF('1月'!CP23:CQ23,P$4)+COUNTIF('1月'!CU23:CV23,P$4)+COUNTIF('1月'!CZ23:DA23,P$4)+COUNTIF('1月'!DE23:DF23,P$4)+COUNTIF('1月'!DJ23:DK23,P$4)+COUNTIF('1月'!DO23:DP23,P$4)+COUNTIF('1月'!DT23:DU23,P$4)+COUNTIF('1月'!DY23:DZ23,P$4)+COUNTIF('1月'!ED23:EE23,P$4)+COUNTIF('1月'!EI23:EJ23,P$4)+COUNTIF('1月'!EN23:EO23,P$4)+COUNTIF('1月'!ES23:ET23,P$4)+COUNTIF('1月'!D23:E23,"荻窪ー夜勤")+COUNTIF('1月'!I23:J23,"荻窪ー夜勤")+COUNTIF('1月'!N23:O23,"荻窪ー夜勤")+COUNTIF('1月'!S23:T23,"荻窪ー夜勤")+COUNTIF('1月'!X23:Y23,"荻窪ー夜勤")+COUNTIF('1月'!AC23:AD23,"荻窪ー夜勤")+COUNTIF('1月'!AH23:AI23,"荻窪ー夜勤")+COUNTIF('1月'!AM23:AN23,"荻窪ー夜勤")+COUNTIF('1月'!AR23:AS23,"荻窪ー夜勤")+COUNTIF('1月'!AW23:AX23,"荻窪ー夜勤")+COUNTIF('1月'!BB23:BC23,"荻窪ー夜勤")+COUNTIF('1月'!BG23:BH23,"荻窪ー夜勤")+COUNTIF('1月'!BL23:BM23,"荻窪ー夜勤")+COUNTIF('1月'!BQ23:BR23,"荻窪ー夜勤")+COUNTIF('1月'!BV23:BW23,"荻窪ー夜勤")+COUNTIF('1月'!CA23:CB23,"荻窪ー夜勤")+COUNTIF('1月'!CF23:CG23,"荻窪ー夜勤")+COUNTIF('1月'!CK23:CL23,"荻窪ー夜勤")+COUNTIF('1月'!CP23:CQ23,"荻窪ー夜勤")+COUNTIF('1月'!CU23:CV23,"荻窪ー夜勤")+COUNTIF('1月'!CZ23:DA23,"荻窪ー夜勤")+COUNTIF('1月'!DE23:DF23,"荻窪ー夜勤")+COUNTIF('1月'!DJ23:DK23,"荻窪ー夜勤")+COUNTIF('1月'!DO23:DP23,"荻窪ー夜勤")+COUNTIF('1月'!DT23:DU23,"荻窪ー夜勤")+COUNTIF('1月'!DY23:DZ23,"荻窪ー夜勤")+COUNTIF('1月'!ED23:EE23,"荻窪ー夜勤")+COUNTIF('1月'!EI23:EJ23,"荻窪ー夜勤")+COUNTIF('1月'!EN23:EO23,"荻窪ー夜勤")+COUNTIF('1月'!ES23:ET23,"荻窪ー夜勤")</f>
        <v>0</v>
      </c>
      <c r="Q25" s="76">
        <f t="shared" si="7"/>
        <v>0</v>
      </c>
      <c r="R25" s="76">
        <f>COUNTIF('1月'!D23:E23,R$4)+COUNTIF('1月'!I23:J23,R$4)+COUNTIF('1月'!N23:O23,R$4)+COUNTIF('1月'!S23:T23,R$4)+COUNTIF('1月'!X23:Y23,R$4)+COUNTIF('1月'!AC23:AD23,R$4)+COUNTIF('1月'!AH23:AI23,R$4)+COUNTIF('1月'!AM23:AN23,R$4)+COUNTIF('1月'!AR23:AS23,R$4)+COUNTIF('1月'!AW23:AX23,R$4)+COUNTIF('1月'!BB23:BC23,R$4)+COUNTIF('1月'!BG23:BH23,R$4)+COUNTIF('1月'!BL23:BM23,R$4)+COUNTIF('1月'!BQ23:BR23,R$4)+COUNTIF('1月'!BV23:BW23,R$4)+COUNTIF('1月'!CA23:CB23,R$4)+COUNTIF('1月'!CF23:CG23,R$4)+COUNTIF('1月'!CK23:CL23,R$4)+COUNTIF('1月'!CP23:CQ23,R$4)+COUNTIF('1月'!CU23:CV23,R$4)+COUNTIF('1月'!CZ23:DA23,R$4)+COUNTIF('1月'!DE23:DF23,R$4)+COUNTIF('1月'!DJ23:DK23,R$4)+COUNTIF('1月'!DO23:DP23,R$4)+COUNTIF('1月'!DT23:DU23,R$4)+COUNTIF('1月'!DY23:DZ23,R$4)+COUNTIF('1月'!ED23:EE23,R$4)+COUNTIF('1月'!EI23:EJ23,R$4)+COUNTIF('1月'!EN23:EO23,R$4)+COUNTIF('1月'!ES23:ET23,R$4)</f>
        <v>0</v>
      </c>
      <c r="S25" s="76">
        <f t="shared" si="8"/>
        <v>0</v>
      </c>
      <c r="T25" s="76">
        <f>COUNTIF('1月'!D23:E23,T$4)+COUNTIF('1月'!I23:J23,T$4)+COUNTIF('1月'!N23:O23,T$4)+COUNTIF('1月'!S23:T23,T$4)+COUNTIF('1月'!X23:Y23,T$4)+COUNTIF('1月'!AC23:AD23,T$4)+COUNTIF('1月'!AH23:AI23,T$4)+COUNTIF('1月'!AM23:AN23,T$4)+COUNTIF('1月'!AR23:AS23,T$4)+COUNTIF('1月'!AW23:AX23,T$4)+COUNTIF('1月'!BB23:BC23,T$4)+COUNTIF('1月'!BG23:BH23,T$4)+COUNTIF('1月'!BL23:BM23,T$4)+COUNTIF('1月'!BQ23:BR23,T$4)+COUNTIF('1月'!BV23:BW23,T$4)+COUNTIF('1月'!CA23:CB23,T$4)+COUNTIF('1月'!CF23:CG23,T$4)+COUNTIF('1月'!CK23:CL23,T$4)+COUNTIF('1月'!CP23:CQ23,T$4)+COUNTIF('1月'!CU23:CV23,T$4)+COUNTIF('1月'!CZ23:DA23,T$4)+COUNTIF('1月'!DE23:DF23,T$4)+COUNTIF('1月'!DJ23:DK23,T$4)+COUNTIF('1月'!DO23:DP23,T$4)+COUNTIF('1月'!DT23:DU23,T$4)+COUNTIF('1月'!DY23:DZ23,T$4)+COUNTIF('1月'!ED23:EE23,T$4)+COUNTIF('1月'!EI23:EJ23,T$4)+COUNTIF('1月'!EN23:EO23,T$4)+COUNTIF('1月'!ES23:ET23,T$4)</f>
        <v>0</v>
      </c>
      <c r="U25" s="76">
        <f t="shared" si="9"/>
        <v>0</v>
      </c>
      <c r="V25" s="76">
        <f>COUNTIF('1月'!D23:E23,V$4)+COUNTIF('1月'!I23:J23,V$4)+COUNTIF('1月'!N23:O23,V$4)+COUNTIF('1月'!S23:T23,V$4)+COUNTIF('1月'!X23:Y23,V$4)+COUNTIF('1月'!AC23:AD23,V$4)+COUNTIF('1月'!AH23:AI23,V$4)+COUNTIF('1月'!AM23:AN23,V$4)+COUNTIF('1月'!AR23:AS23,V$4)+COUNTIF('1月'!AW23:AX23,V$4)+COUNTIF('1月'!BB23:BC23,V$4)+COUNTIF('1月'!BG23:BH23,V$4)+COUNTIF('1月'!BL23:BM23,V$4)+COUNTIF('1月'!BQ23:BR23,V$4)+COUNTIF('1月'!BV23:BW23,V$4)+COUNTIF('1月'!CA23:CB23,V$4)+COUNTIF('1月'!CF23:CG23,V$4)+COUNTIF('1月'!CK23:CL23,V$4)+COUNTIF('1月'!CP23:CQ23,V$4)+COUNTIF('1月'!CU23:CV23,V$4)+COUNTIF('1月'!CZ23:DA23,V$4)+COUNTIF('1月'!DE23:DF23,V$4)+COUNTIF('1月'!DJ23:DK23,V$4)+COUNTIF('1月'!DO23:DP23,V$4)+COUNTIF('1月'!DT23:DU23,V$4)+COUNTIF('1月'!DY23:DZ23,V$4)+COUNTIF('1月'!ED23:EE23,V$4)+COUNTIF('1月'!EI23:EJ23,V$4)+COUNTIF('1月'!EN23:EO23,V$4)+COUNTIF('1月'!ES23:ET23,V$4)</f>
        <v>0</v>
      </c>
      <c r="W25" s="76">
        <f t="shared" si="10"/>
        <v>0</v>
      </c>
      <c r="X25" s="76">
        <f>COUNTIF('1月'!D23:E23,X$4)+COUNTIF('1月'!I23:J23,X$4)+COUNTIF('1月'!N23:O23,X$4)+COUNTIF('1月'!S23:T23,X$4)+COUNTIF('1月'!X23:Y23,X$4)+COUNTIF('1月'!AC23:AD23,X$4)+COUNTIF('1月'!AH23:AI23,X$4)+COUNTIF('1月'!AM23:AN23,X$4)+COUNTIF('1月'!AR23:AS23,X$4)+COUNTIF('1月'!AW23:AX23,X$4)+COUNTIF('1月'!BB23:BC23,X$4)+COUNTIF('1月'!BG23:BH23,X$4)+COUNTIF('1月'!BL23:BM23,X$4)+COUNTIF('1月'!BQ23:BR23,X$4)+COUNTIF('1月'!BV23:BW23,X$4)+COUNTIF('1月'!CA23:CB23,X$4)+COUNTIF('1月'!CF23:CG23,X$4)+COUNTIF('1月'!CK23:CL23,X$4)+COUNTIF('1月'!CP23:CQ23,X$4)+COUNTIF('1月'!CU23:CV23,X$4)+COUNTIF('1月'!CZ23:DA23,X$4)+COUNTIF('1月'!DE23:DF23,X$4)+COUNTIF('1月'!DJ23:DK23,X$4)+COUNTIF('1月'!DO23:DP23,X$4)+COUNTIF('1月'!DT23:DU23,X$4)+COUNTIF('1月'!DY23:DZ23,X$4)+COUNTIF('1月'!ED23:EE23,X$4)+COUNTIF('1月'!EI23:EJ23,X$4)+COUNTIF('1月'!EN23:EO23,X$4)+COUNTIF('1月'!ES23:ET23,X$4)</f>
        <v>0</v>
      </c>
      <c r="Y25" s="76">
        <f t="shared" si="11"/>
        <v>0</v>
      </c>
    </row>
    <row r="26" spans="1:25" ht="18" customHeight="1">
      <c r="A26" s="76">
        <v>21</v>
      </c>
      <c r="B26" s="76">
        <f>COUNTIF('1月'!D24:E24,B$4)+COUNTIF('1月'!I24:J24,B$4)+COUNTIF('1月'!N24:O24,B$4)+COUNTIF('1月'!S24:T24,B$4)+COUNTIF('1月'!X24:Y24,B$4)+COUNTIF('1月'!AC24:AD24,B$4)+COUNTIF('1月'!AH24:AI24,B$4)+COUNTIF('1月'!AM24:AN24,B$4)+COUNTIF('1月'!AR24:AS24,B$4)+COUNTIF('1月'!AW24:AX24,B$4)+COUNTIF('1月'!BB24:BC24,B$4)+COUNTIF('1月'!BG24:BH24,B$4)+COUNTIF('1月'!BL24:BM24,B$4)+COUNTIF('1月'!BQ24:BR24,B$4)+COUNTIF('1月'!BV24:BW24,B$4)+COUNTIF('1月'!CA24:CB24,B$4)+COUNTIF('1月'!CF24:CG24,B$4)+COUNTIF('1月'!CK24:CL24,B$4)+COUNTIF('1月'!CP24:CQ24,B$4)+COUNTIF('1月'!CU24:CV24,B$4)+COUNTIF('1月'!CZ24:DA24,B$4)+COUNTIF('1月'!DE24:DF24,B$4)+COUNTIF('1月'!DJ24:DK24,B$4)+COUNTIF('1月'!DO24:DP24,B$4)+COUNTIF('1月'!DT24:DU24,B$4)+COUNTIF('1月'!DY24:DZ24,B$4)+COUNTIF('1月'!ED24:EE24,B$4)+COUNTIF('1月'!EI24:EJ24,B$4)+COUNTIF('1月'!EN24:EO24,B$4)+COUNTIF('1月'!ES24:ET24,B$4)</f>
        <v>5</v>
      </c>
      <c r="C26" s="76">
        <f t="shared" si="0"/>
        <v>5</v>
      </c>
      <c r="D26" s="76">
        <f>COUNTIF('1月'!D24:E24,D$4)+COUNTIF('1月'!I24:J24,D$4)+COUNTIF('1月'!N24:O24,D$4)+COUNTIF('1月'!S24:T24,D$4)+COUNTIF('1月'!X24:Y24,D$4)+COUNTIF('1月'!AC24:AD24,D$4)+COUNTIF('1月'!AH24:AI24,D$4)+COUNTIF('1月'!AM24:AN24,D$4)+COUNTIF('1月'!AR24:AS24,D$4)+COUNTIF('1月'!AW24:AX24,D$4)+COUNTIF('1月'!BB24:BC24,D$4)+COUNTIF('1月'!BG24:BH24,D$4)+COUNTIF('1月'!BL24:BM24,D$4)+COUNTIF('1月'!BQ24:BR24,D$4)+COUNTIF('1月'!BV24:BW24,D$4)+COUNTIF('1月'!CA24:CB24,D$4)+COUNTIF('1月'!CF24:CG24,D$4)+COUNTIF('1月'!CK24:CL24,D$4)+COUNTIF('1月'!CP24:CQ24,D$4)+COUNTIF('1月'!CU24:CV24,D$4)+COUNTIF('1月'!CZ24:DA24,D$4)+COUNTIF('1月'!DE24:DF24,D$4)+COUNTIF('1月'!DJ24:DK24,D$4)+COUNTIF('1月'!DO24:DP24,D$4)+COUNTIF('1月'!DT24:DU24,D$4)+COUNTIF('1月'!DY24:DZ24,D$4)+COUNTIF('1月'!ED24:EE24,D$4)+COUNTIF('1月'!EI24:EJ24,D$4)+COUNTIF('1月'!EN24:EO24,D$4)+COUNTIF('1月'!ES24:ET24,D$4)</f>
        <v>0</v>
      </c>
      <c r="E26" s="76">
        <f t="shared" si="1"/>
        <v>0</v>
      </c>
      <c r="F26" s="76">
        <f>COUNTIF('1月'!D24:E24,F$4)+COUNTIF('1月'!I24:J24,F$4)+COUNTIF('1月'!N24:O24,F$4)+COUNTIF('1月'!S24:T24,F$4)+COUNTIF('1月'!X24:Y24,F$4)+COUNTIF('1月'!AC24:AD24,F$4)+COUNTIF('1月'!AH24:AI24,F$4)+COUNTIF('1月'!AM24:AN24,F$4)+COUNTIF('1月'!AR24:AS24,F$4)+COUNTIF('1月'!AW24:AX24,F$4)+COUNTIF('1月'!BB24:BC24,F$4)+COUNTIF('1月'!BG24:BH24,F$4)+COUNTIF('1月'!BL24:BM24,F$4)+COUNTIF('1月'!BQ24:BR24,F$4)+COUNTIF('1月'!BV24:BW24,F$4)+COUNTIF('1月'!CA24:CB24,F$4)+COUNTIF('1月'!CF24:CG24,F$4)+COUNTIF('1月'!CK24:CL24,F$4)+COUNTIF('1月'!CP24:CQ24,F$4)+COUNTIF('1月'!CU24:CV24,F$4)+COUNTIF('1月'!CZ24:DA24,F$4)+COUNTIF('1月'!DE24:DF24,F$4)+COUNTIF('1月'!DJ24:DK24,F$4)+COUNTIF('1月'!DO24:DP24,F$4)+COUNTIF('1月'!DT24:DU24,F$4)+COUNTIF('1月'!DY24:DZ24,F$4)+COUNTIF('1月'!ED24:EE24,F$4)+COUNTIF('1月'!EI24:EJ24,F$4)+COUNTIF('1月'!EN24:EO24,F$4)+COUNTIF('1月'!ES24:ET24,F$4)</f>
        <v>0</v>
      </c>
      <c r="G26" s="76">
        <f t="shared" si="2"/>
        <v>0</v>
      </c>
      <c r="H26" s="76">
        <f>COUNTIF('1月'!D24:E24,H$4)+COUNTIF('1月'!I24:J24,H$4)+COUNTIF('1月'!N24:O24,H$4)+COUNTIF('1月'!S24:T24,H$4)+COUNTIF('1月'!X24:Y24,H$4)+COUNTIF('1月'!AC24:AD24,H$4)+COUNTIF('1月'!AH24:AI24,H$4)+COUNTIF('1月'!AM24:AN24,H$4)+COUNTIF('1月'!AR24:AS24,H$4)+COUNTIF('1月'!AW24:AX24,H$4)+COUNTIF('1月'!BB24:BC24,H$4)+COUNTIF('1月'!BG24:BH24,H$4)+COUNTIF('1月'!BL24:BM24,H$4)+COUNTIF('1月'!BQ24:BR24,H$4)+COUNTIF('1月'!BV24:BW24,H$4)+COUNTIF('1月'!CA24:CB24,H$4)+COUNTIF('1月'!CF24:CG24,H$4)+COUNTIF('1月'!CK24:CL24,H$4)+COUNTIF('1月'!CP24:CQ24,H$4)+COUNTIF('1月'!CU24:CV24,H$4)+COUNTIF('1月'!CZ24:DA24,H$4)+COUNTIF('1月'!DE24:DF24,H$4)+COUNTIF('1月'!DJ24:DK24,H$4)+COUNTIF('1月'!DO24:DP24,H$4)+COUNTIF('1月'!DT24:DU24,H$4)+COUNTIF('1月'!DY24:DZ24,H$4)+COUNTIF('1月'!ED24:EE24,H$4)+COUNTIF('1月'!EI24:EJ24,H$4)+COUNTIF('1月'!EN24:EO24,H$4)+COUNTIF('1月'!ES24:ET24,H$4)+COUNTIF('1月'!D24:E24,"渋谷-夜勤")+COUNTIF('1月'!I24:J24,"渋谷-夜勤")+COUNTIF('1月'!N24:O24,"渋谷-夜勤")+COUNTIF('1月'!S24:T24,"渋谷-夜勤")+COUNTIF('1月'!X24:Y24,"渋谷-夜勤")+COUNTIF('1月'!AC24:AD24,"渋谷-夜勤")+COUNTIF('1月'!AH24:AI24,"渋谷-夜勤")+COUNTIF('1月'!AM24:AN24,"渋谷-夜勤")+COUNTIF('1月'!AR24:AS24,"渋谷-夜勤")+COUNTIF('1月'!AW24:AX24,"渋谷-夜勤")+COUNTIF('1月'!BB24:BC24,"渋谷-夜勤")+COUNTIF('1月'!BG24:BH24,"渋谷-夜勤")+COUNTIF('1月'!BL24:BM24,"渋谷-夜勤")+COUNTIF('1月'!BQ24:BR24,"渋谷-夜勤")+COUNTIF('1月'!BV24:BW24,"渋谷-夜勤")+COUNTIF('1月'!CA24:CB24,"渋谷-夜勤")+COUNTIF('1月'!CF24:CG24,"渋谷-夜勤")+COUNTIF('1月'!CK24:CL24,"渋谷-夜勤")+COUNTIF('1月'!CP24:CQ24,"渋谷-夜勤")+COUNTIF('1月'!CU24:CV24,"渋谷-夜勤")+COUNTIF('1月'!CZ24:DA24,"渋谷-夜勤")+COUNTIF('1月'!DE24:DF24,"渋谷-夜勤")+COUNTIF('1月'!DJ24:DK24,"渋谷-夜勤")+COUNTIF('1月'!DO24:DP24,"渋谷-夜勤")+COUNTIF('1月'!DT24:DU24,"渋谷-夜勤")+COUNTIF('1月'!DY24:DZ24,"渋谷-夜勤")+COUNTIF('1月'!ED24:EE24,"渋谷-夜勤")+COUNTIF('1月'!EI24:EJ24,"渋谷-夜勤")+COUNTIF('1月'!EN24:EO24,"渋谷-夜勤")+COUNTIF('1月'!ES24:ET24,"渋谷-夜勤")</f>
        <v>0</v>
      </c>
      <c r="I26" s="76">
        <f t="shared" si="3"/>
        <v>0</v>
      </c>
      <c r="J26" s="76">
        <f>COUNTIF('1月'!D24:E24,J$4)+COUNTIF('1月'!I24:J24,J$4)+COUNTIF('1月'!N24:O24,J$4)+COUNTIF('1月'!S24:T24,J$4)+COUNTIF('1月'!X24:Y24,J$4)+COUNTIF('1月'!AC24:AD24,J$4)+COUNTIF('1月'!AH24:AI24,J$4)+COUNTIF('1月'!AM24:AN24,J$4)+COUNTIF('1月'!AR24:AS24,J$4)+COUNTIF('1月'!AW24:AX24,J$4)+COUNTIF('1月'!BB24:BC24,J$4)+COUNTIF('1月'!BG24:BH24,J$4)+COUNTIF('1月'!BL24:BM24,J$4)+COUNTIF('1月'!BQ24:BR24,J$4)+COUNTIF('1月'!BV24:BW24,J$4)+COUNTIF('1月'!CA24:CB24,J$4)+COUNTIF('1月'!CF24:CG24,J$4)+COUNTIF('1月'!CK24:CL24,J$4)+COUNTIF('1月'!CP24:CQ24,J$4)+COUNTIF('1月'!CU24:CV24,J$4)+COUNTIF('1月'!CZ24:DA24,J$4)+COUNTIF('1月'!DE24:DF24,J$4)+COUNTIF('1月'!DJ24:DK24,J$4)+COUNTIF('1月'!DO24:DP24,J$4)+COUNTIF('1月'!DT24:DU24,J$4)+COUNTIF('1月'!DY24:DZ24,J$4)+COUNTIF('1月'!ED24:EE24,J$4)+COUNTIF('1月'!EI24:EJ24,J$4)+COUNTIF('1月'!EN24:EO24,J$4)+COUNTIF('1月'!ES24:ET24,J$4)+COUNTIF('1月'!D24:E24,"六本木-夜勤")+COUNTIF('1月'!I24:J24,"六本木-夜勤")+COUNTIF('1月'!N24:O24,"六本木-夜勤")+COUNTIF('1月'!S24:T24,"六本木-夜勤")+COUNTIF('1月'!X24:Y24,"六本木-夜勤")+COUNTIF('1月'!AC24:AD24,"六本木-夜勤")+COUNTIF('1月'!AH24:AI24,"六本木-夜勤")+COUNTIF('1月'!AM24:AN24,"六本木-夜勤")+COUNTIF('1月'!AR24:AS24,"六本木-夜勤")+COUNTIF('1月'!AW24:AX24,"六本木-夜勤")+COUNTIF('1月'!BB24:BC24,"六本木-夜勤")+COUNTIF('1月'!BG24:BH24,"六本木-夜勤")+COUNTIF('1月'!BL24:BM24,"六本木-夜勤")+COUNTIF('1月'!BQ24:BR24,"六本木-夜勤")+COUNTIF('1月'!BV24:BW24,"六本木-夜勤")+COUNTIF('1月'!CA24:CB24,"六本木-夜勤")+COUNTIF('1月'!CF24:CG24,"六本木-夜勤")+COUNTIF('1月'!CK24:CL24,"六本木-夜勤")+COUNTIF('1月'!CP24:CQ24,"六本木-夜勤")+COUNTIF('1月'!CU24:CV24,"六本木-夜勤")+COUNTIF('1月'!CZ24:DA24,"六本木-夜勤")+COUNTIF('1月'!DE24:DF24,"六本木-夜勤")+COUNTIF('1月'!DJ24:DK24,"六本木-夜勤")+COUNTIF('1月'!DO24:DP24,"六本木-夜勤")+COUNTIF('1月'!DT24:DU24,"六本木-夜勤")+COUNTIF('1月'!DY24:DZ24,"六本木-夜勤")+COUNTIF('1月'!ED24:EE24,"六本木-夜勤")+COUNTIF('1月'!EI24:EJ24,"六本木-夜勤")+COUNTIF('1月'!EN24:EO24,"六本木-夜勤")+COUNTIF('1月'!ES24:ET24,"六本木-夜勤")+COUNTIF('1月'!D24:E24,"六本木ー夜勤")+COUNTIF('1月'!I24:J24,"六本木ー夜勤")+COUNTIF('1月'!N24:O24,"六本木ー夜勤")+COUNTIF('1月'!S24:T24,"六本木ー夜勤")+COUNTIF('1月'!X24:Y24,"六本木ー夜勤")+COUNTIF('1月'!AC24:AD24,"六本木ー夜勤")+COUNTIF('1月'!AH24:AI24,"六本木ー夜勤")+COUNTIF('1月'!AM24:AN24,"六本木ー夜勤")+COUNTIF('1月'!AR24:AS24,"六本木ー夜勤")+COUNTIF('1月'!AW24:AX24,"六本木ー夜勤")+COUNTIF('1月'!BB24:BC24,"六本木ー夜勤")+COUNTIF('1月'!BG24:BH24,"六本木ー夜勤")+COUNTIF('1月'!BL24:BM24,"六本木ー夜勤")+COUNTIF('1月'!BQ24:BR24,"六本木ー夜勤")+COUNTIF('1月'!BV24:BW24,"六本木ー夜勤")+COUNTIF('1月'!CA24:CB24,"六本木ー夜勤")+COUNTIF('1月'!CF24:CG24,"六本木ー夜勤")+COUNTIF('1月'!CK24:CL24,"六本木ー夜勤")+COUNTIF('1月'!CP24:CQ24,"六本木ー夜勤")+COUNTIF('1月'!CU24:CV24,"六本木ー夜勤")+COUNTIF('1月'!CZ24:DA24,"六本木ー夜勤")+COUNTIF('1月'!DE24:DF24,"六本木ー夜勤")+COUNTIF('1月'!DJ24:DK24,"六本木ー夜勤")+COUNTIF('1月'!DO24:DP24,"六本木ー夜勤")+COUNTIF('1月'!DT24:DU24,"六本木ー夜勤")+COUNTIF('1月'!DY24:DZ24,"六本木ー夜勤")+COUNTIF('1月'!ED24:EE24,"六本木ー夜勤")+COUNTIF('1月'!EI24:EJ24,"六本木ー夜勤")+COUNTIF('1月'!EN24:EO24,"六本木ー夜勤")+COUNTIF('1月'!ES24:ET24,"六本木ー夜勤")</f>
        <v>0</v>
      </c>
      <c r="K26" s="76">
        <f t="shared" si="4"/>
        <v>0</v>
      </c>
      <c r="L26" s="76">
        <f>COUNTIF('1月'!D24:E24,L$4)+COUNTIF('1月'!I24:J24,L$4)+COUNTIF('1月'!N24:O24,L$4)+COUNTIF('1月'!S24:T24,L$4)+COUNTIF('1月'!X24:Y24,L$4)+COUNTIF('1月'!AC24:AD24,L$4)+COUNTIF('1月'!AH24:AI24,L$4)+COUNTIF('1月'!AM24:AN24,L$4)+COUNTIF('1月'!AR24:AS24,L$4)+COUNTIF('1月'!AW24:AX24,L$4)+COUNTIF('1月'!BB24:BC24,L$4)+COUNTIF('1月'!BG24:BH24,L$4)+COUNTIF('1月'!BL24:BM24,L$4)+COUNTIF('1月'!BQ24:BR24,L$4)+COUNTIF('1月'!BV24:BW24,L$4)+COUNTIF('1月'!CA24:CB24,L$4)+COUNTIF('1月'!CF24:CG24,L$4)+COUNTIF('1月'!CK24:CL24,L$4)+COUNTIF('1月'!CP24:CQ24,L$4)+COUNTIF('1月'!CU24:CV24,L$4)+COUNTIF('1月'!CZ24:DA24,L$4)+COUNTIF('1月'!DE24:DF24,L$4)+COUNTIF('1月'!DJ24:DK24,L$4)+COUNTIF('1月'!DO24:DP24,L$4)+COUNTIF('1月'!DT24:DU24,L$4)+COUNTIF('1月'!DY24:DZ24,L$4)+COUNTIF('1月'!ED24:EE24,L$4)+COUNTIF('1月'!EI24:EJ24,L$4)+COUNTIF('1月'!EN24:EO24,L$4)+COUNTIF('1月'!ES24:ET24,L$4)</f>
        <v>0</v>
      </c>
      <c r="M26" s="76">
        <f t="shared" si="5"/>
        <v>0</v>
      </c>
      <c r="N26" s="76">
        <f>COUNTIF('1月'!D24:E24,N$4)+COUNTIF('1月'!I24:J24,N$4)+COUNTIF('1月'!N24:O24,N$4)+COUNTIF('1月'!S24:T24,N$4)+COUNTIF('1月'!X24:Y24,N$4)+COUNTIF('1月'!AC24:AD24,N$4)+COUNTIF('1月'!AH24:AI24,N$4)+COUNTIF('1月'!AM24:AN24,N$4)+COUNTIF('1月'!AR24:AS24,N$4)+COUNTIF('1月'!AW24:AX24,N$4)+COUNTIF('1月'!BB24:BC24,N$4)+COUNTIF('1月'!BG24:BH24,N$4)+COUNTIF('1月'!BL24:BM24,N$4)+COUNTIF('1月'!BQ24:BR24,N$4)+COUNTIF('1月'!BV24:BW24,N$4)+COUNTIF('1月'!CA24:CB24,N$4)+COUNTIF('1月'!CF24:CG24,N$4)+COUNTIF('1月'!CK24:CL24,N$4)+COUNTIF('1月'!CP24:CQ24,N$4)+COUNTIF('1月'!CU24:CV24,N$4)+COUNTIF('1月'!CZ24:DA24,N$4)+COUNTIF('1月'!DE24:DF24,N$4)+COUNTIF('1月'!DJ24:DK24,N$4)+COUNTIF('1月'!DO24:DP24,N$4)+COUNTIF('1月'!DT24:DU24,N$4)+COUNTIF('1月'!DY24:DZ24,N$4)+COUNTIF('1月'!ED24:EE24,N$4)+COUNTIF('1月'!EI24:EJ24,N$4)+COUNTIF('1月'!EN24:EO24,N$4)+COUNTIF('1月'!ES24:ET24,N$4)+COUNTIF('1月'!D24:E24,"三軒茶屋－夜勤")+COUNTIF('1月'!I24:J24,"三軒茶屋－夜勤")+COUNTIF('1月'!N24:O24,"三軒茶屋－夜勤")+COUNTIF('1月'!S24:T24,"三軒茶屋－夜勤")+COUNTIF('1月'!X24:Y24,"三軒茶屋－夜勤")+COUNTIF('1月'!AC24:AD24,"三軒茶屋－夜勤")+COUNTIF('1月'!AH24:AI24,"三軒茶屋－夜勤")+COUNTIF('1月'!AM24:AN24,"三軒茶屋－夜勤")+COUNTIF('1月'!AR24:AS24,"三軒茶屋－夜勤")+COUNTIF('1月'!AW24:AX24,"三軒茶屋－夜勤")+COUNTIF('1月'!BB24:BC24,"三軒茶屋－夜勤")+COUNTIF('1月'!BG24:BH24,"三軒茶屋－夜勤")+COUNTIF('1月'!BL24:BM24,"三軒茶屋－夜勤")+COUNTIF('1月'!BQ24:BR24,"三軒茶屋－夜勤")+COUNTIF('1月'!BV24:BW24,"三軒茶屋－夜勤")+COUNTIF('1月'!CA24:CB24,"三軒茶屋－夜勤")+COUNTIF('1月'!CF24:CG24,"三軒茶屋－夜勤")+COUNTIF('1月'!CK24:CL24,"三軒茶屋－夜勤")+COUNTIF('1月'!CP24:CQ24,"三軒茶屋－夜勤")+COUNTIF('1月'!CU24:CV24,"三軒茶屋－夜勤")+COUNTIF('1月'!CZ24:DA24,"三軒茶屋－夜勤")+COUNTIF('1月'!DE24:DF24,"三軒茶屋－夜勤")+COUNTIF('1月'!DJ24:DK24,"三軒茶屋－夜勤")+COUNTIF('1月'!DO24:DP24,"三軒茶屋－夜勤")+COUNTIF('1月'!DT24:DU24,"三軒茶屋－夜勤")+COUNTIF('1月'!DY24:DZ24,"三軒茶屋－夜勤")+COUNTIF('1月'!ED24:EE24,"三軒茶屋－夜勤")+COUNTIF('1月'!EI24:EJ24,"三軒茶屋－夜勤")+COUNTIF('1月'!EN24:EO24,"三軒茶屋－夜勤")+COUNTIF('1月'!ES24:ET24,"三軒茶屋－夜勤")</f>
        <v>0</v>
      </c>
      <c r="O26" s="76">
        <f t="shared" si="6"/>
        <v>0</v>
      </c>
      <c r="P26" s="76">
        <f>COUNTIF('1月'!D24:E24,P$4)+COUNTIF('1月'!I24:J24,P$4)+COUNTIF('1月'!N24:O24,P$4)+COUNTIF('1月'!S24:T24,P$4)+COUNTIF('1月'!X24:Y24,P$4)+COUNTIF('1月'!AC24:AD24,P$4)+COUNTIF('1月'!AH24:AI24,P$4)+COUNTIF('1月'!AM24:AN24,P$4)+COUNTIF('1月'!AR24:AS24,P$4)+COUNTIF('1月'!AW24:AX24,P$4)+COUNTIF('1月'!BB24:BC24,P$4)+COUNTIF('1月'!BG24:BH24,P$4)+COUNTIF('1月'!BL24:BM24,P$4)+COUNTIF('1月'!BQ24:BR24,P$4)+COUNTIF('1月'!BV24:BW24,P$4)+COUNTIF('1月'!CA24:CB24,P$4)+COUNTIF('1月'!CF24:CG24,P$4)+COUNTIF('1月'!CK24:CL24,P$4)+COUNTIF('1月'!CP24:CQ24,P$4)+COUNTIF('1月'!CU24:CV24,P$4)+COUNTIF('1月'!CZ24:DA24,P$4)+COUNTIF('1月'!DE24:DF24,P$4)+COUNTIF('1月'!DJ24:DK24,P$4)+COUNTIF('1月'!DO24:DP24,P$4)+COUNTIF('1月'!DT24:DU24,P$4)+COUNTIF('1月'!DY24:DZ24,P$4)+COUNTIF('1月'!ED24:EE24,P$4)+COUNTIF('1月'!EI24:EJ24,P$4)+COUNTIF('1月'!EN24:EO24,P$4)+COUNTIF('1月'!ES24:ET24,P$4)+COUNTIF('1月'!D24:E24,"荻窪ー夜勤")+COUNTIF('1月'!I24:J24,"荻窪ー夜勤")+COUNTIF('1月'!N24:O24,"荻窪ー夜勤")+COUNTIF('1月'!S24:T24,"荻窪ー夜勤")+COUNTIF('1月'!X24:Y24,"荻窪ー夜勤")+COUNTIF('1月'!AC24:AD24,"荻窪ー夜勤")+COUNTIF('1月'!AH24:AI24,"荻窪ー夜勤")+COUNTIF('1月'!AM24:AN24,"荻窪ー夜勤")+COUNTIF('1月'!AR24:AS24,"荻窪ー夜勤")+COUNTIF('1月'!AW24:AX24,"荻窪ー夜勤")+COUNTIF('1月'!BB24:BC24,"荻窪ー夜勤")+COUNTIF('1月'!BG24:BH24,"荻窪ー夜勤")+COUNTIF('1月'!BL24:BM24,"荻窪ー夜勤")+COUNTIF('1月'!BQ24:BR24,"荻窪ー夜勤")+COUNTIF('1月'!BV24:BW24,"荻窪ー夜勤")+COUNTIF('1月'!CA24:CB24,"荻窪ー夜勤")+COUNTIF('1月'!CF24:CG24,"荻窪ー夜勤")+COUNTIF('1月'!CK24:CL24,"荻窪ー夜勤")+COUNTIF('1月'!CP24:CQ24,"荻窪ー夜勤")+COUNTIF('1月'!CU24:CV24,"荻窪ー夜勤")+COUNTIF('1月'!CZ24:DA24,"荻窪ー夜勤")+COUNTIF('1月'!DE24:DF24,"荻窪ー夜勤")+COUNTIF('1月'!DJ24:DK24,"荻窪ー夜勤")+COUNTIF('1月'!DO24:DP24,"荻窪ー夜勤")+COUNTIF('1月'!DT24:DU24,"荻窪ー夜勤")+COUNTIF('1月'!DY24:DZ24,"荻窪ー夜勤")+COUNTIF('1月'!ED24:EE24,"荻窪ー夜勤")+COUNTIF('1月'!EI24:EJ24,"荻窪ー夜勤")+COUNTIF('1月'!EN24:EO24,"荻窪ー夜勤")+COUNTIF('1月'!ES24:ET24,"荻窪ー夜勤")</f>
        <v>0</v>
      </c>
      <c r="Q26" s="76">
        <f t="shared" si="7"/>
        <v>0</v>
      </c>
      <c r="R26" s="76">
        <f>COUNTIF('1月'!D24:E24,R$4)+COUNTIF('1月'!I24:J24,R$4)+COUNTIF('1月'!N24:O24,R$4)+COUNTIF('1月'!S24:T24,R$4)+COUNTIF('1月'!X24:Y24,R$4)+COUNTIF('1月'!AC24:AD24,R$4)+COUNTIF('1月'!AH24:AI24,R$4)+COUNTIF('1月'!AM24:AN24,R$4)+COUNTIF('1月'!AR24:AS24,R$4)+COUNTIF('1月'!AW24:AX24,R$4)+COUNTIF('1月'!BB24:BC24,R$4)+COUNTIF('1月'!BG24:BH24,R$4)+COUNTIF('1月'!BL24:BM24,R$4)+COUNTIF('1月'!BQ24:BR24,R$4)+COUNTIF('1月'!BV24:BW24,R$4)+COUNTIF('1月'!CA24:CB24,R$4)+COUNTIF('1月'!CF24:CG24,R$4)+COUNTIF('1月'!CK24:CL24,R$4)+COUNTIF('1月'!CP24:CQ24,R$4)+COUNTIF('1月'!CU24:CV24,R$4)+COUNTIF('1月'!CZ24:DA24,R$4)+COUNTIF('1月'!DE24:DF24,R$4)+COUNTIF('1月'!DJ24:DK24,R$4)+COUNTIF('1月'!DO24:DP24,R$4)+COUNTIF('1月'!DT24:DU24,R$4)+COUNTIF('1月'!DY24:DZ24,R$4)+COUNTIF('1月'!ED24:EE24,R$4)+COUNTIF('1月'!EI24:EJ24,R$4)+COUNTIF('1月'!EN24:EO24,R$4)+COUNTIF('1月'!ES24:ET24,R$4)</f>
        <v>0</v>
      </c>
      <c r="S26" s="76">
        <f t="shared" si="8"/>
        <v>0</v>
      </c>
      <c r="T26" s="76">
        <f>COUNTIF('1月'!D24:E24,T$4)+COUNTIF('1月'!I24:J24,T$4)+COUNTIF('1月'!N24:O24,T$4)+COUNTIF('1月'!S24:T24,T$4)+COUNTIF('1月'!X24:Y24,T$4)+COUNTIF('1月'!AC24:AD24,T$4)+COUNTIF('1月'!AH24:AI24,T$4)+COUNTIF('1月'!AM24:AN24,T$4)+COUNTIF('1月'!AR24:AS24,T$4)+COUNTIF('1月'!AW24:AX24,T$4)+COUNTIF('1月'!BB24:BC24,T$4)+COUNTIF('1月'!BG24:BH24,T$4)+COUNTIF('1月'!BL24:BM24,T$4)+COUNTIF('1月'!BQ24:BR24,T$4)+COUNTIF('1月'!BV24:BW24,T$4)+COUNTIF('1月'!CA24:CB24,T$4)+COUNTIF('1月'!CF24:CG24,T$4)+COUNTIF('1月'!CK24:CL24,T$4)+COUNTIF('1月'!CP24:CQ24,T$4)+COUNTIF('1月'!CU24:CV24,T$4)+COUNTIF('1月'!CZ24:DA24,T$4)+COUNTIF('1月'!DE24:DF24,T$4)+COUNTIF('1月'!DJ24:DK24,T$4)+COUNTIF('1月'!DO24:DP24,T$4)+COUNTIF('1月'!DT24:DU24,T$4)+COUNTIF('1月'!DY24:DZ24,T$4)+COUNTIF('1月'!ED24:EE24,T$4)+COUNTIF('1月'!EI24:EJ24,T$4)+COUNTIF('1月'!EN24:EO24,T$4)+COUNTIF('1月'!ES24:ET24,T$4)</f>
        <v>0</v>
      </c>
      <c r="U26" s="76">
        <f t="shared" si="9"/>
        <v>0</v>
      </c>
      <c r="V26" s="76">
        <f>COUNTIF('1月'!D24:E24,V$4)+COUNTIF('1月'!I24:J24,V$4)+COUNTIF('1月'!N24:O24,V$4)+COUNTIF('1月'!S24:T24,V$4)+COUNTIF('1月'!X24:Y24,V$4)+COUNTIF('1月'!AC24:AD24,V$4)+COUNTIF('1月'!AH24:AI24,V$4)+COUNTIF('1月'!AM24:AN24,V$4)+COUNTIF('1月'!AR24:AS24,V$4)+COUNTIF('1月'!AW24:AX24,V$4)+COUNTIF('1月'!BB24:BC24,V$4)+COUNTIF('1月'!BG24:BH24,V$4)+COUNTIF('1月'!BL24:BM24,V$4)+COUNTIF('1月'!BQ24:BR24,V$4)+COUNTIF('1月'!BV24:BW24,V$4)+COUNTIF('1月'!CA24:CB24,V$4)+COUNTIF('1月'!CF24:CG24,V$4)+COUNTIF('1月'!CK24:CL24,V$4)+COUNTIF('1月'!CP24:CQ24,V$4)+COUNTIF('1月'!CU24:CV24,V$4)+COUNTIF('1月'!CZ24:DA24,V$4)+COUNTIF('1月'!DE24:DF24,V$4)+COUNTIF('1月'!DJ24:DK24,V$4)+COUNTIF('1月'!DO24:DP24,V$4)+COUNTIF('1月'!DT24:DU24,V$4)+COUNTIF('1月'!DY24:DZ24,V$4)+COUNTIF('1月'!ED24:EE24,V$4)+COUNTIF('1月'!EI24:EJ24,V$4)+COUNTIF('1月'!EN24:EO24,V$4)+COUNTIF('1月'!ES24:ET24,V$4)</f>
        <v>0</v>
      </c>
      <c r="W26" s="76">
        <f t="shared" si="10"/>
        <v>0</v>
      </c>
      <c r="X26" s="76">
        <f>COUNTIF('1月'!D24:E24,X$4)+COUNTIF('1月'!I24:J24,X$4)+COUNTIF('1月'!N24:O24,X$4)+COUNTIF('1月'!S24:T24,X$4)+COUNTIF('1月'!X24:Y24,X$4)+COUNTIF('1月'!AC24:AD24,X$4)+COUNTIF('1月'!AH24:AI24,X$4)+COUNTIF('1月'!AM24:AN24,X$4)+COUNTIF('1月'!AR24:AS24,X$4)+COUNTIF('1月'!AW24:AX24,X$4)+COUNTIF('1月'!BB24:BC24,X$4)+COUNTIF('1月'!BG24:BH24,X$4)+COUNTIF('1月'!BL24:BM24,X$4)+COUNTIF('1月'!BQ24:BR24,X$4)+COUNTIF('1月'!BV24:BW24,X$4)+COUNTIF('1月'!CA24:CB24,X$4)+COUNTIF('1月'!CF24:CG24,X$4)+COUNTIF('1月'!CK24:CL24,X$4)+COUNTIF('1月'!CP24:CQ24,X$4)+COUNTIF('1月'!CU24:CV24,X$4)+COUNTIF('1月'!CZ24:DA24,X$4)+COUNTIF('1月'!DE24:DF24,X$4)+COUNTIF('1月'!DJ24:DK24,X$4)+COUNTIF('1月'!DO24:DP24,X$4)+COUNTIF('1月'!DT24:DU24,X$4)+COUNTIF('1月'!DY24:DZ24,X$4)+COUNTIF('1月'!ED24:EE24,X$4)+COUNTIF('1月'!EI24:EJ24,X$4)+COUNTIF('1月'!EN24:EO24,X$4)+COUNTIF('1月'!ES24:ET24,X$4)</f>
        <v>0</v>
      </c>
      <c r="Y26" s="76">
        <f t="shared" si="11"/>
        <v>0</v>
      </c>
    </row>
    <row r="27" spans="1:25" ht="18" customHeight="1">
      <c r="A27" s="76">
        <v>22</v>
      </c>
      <c r="B27" s="76">
        <f>COUNTIF('1月'!D25:E25,B$4)+COUNTIF('1月'!I25:J25,B$4)+COUNTIF('1月'!N25:O25,B$4)+COUNTIF('1月'!S25:T25,B$4)+COUNTIF('1月'!X25:Y25,B$4)+COUNTIF('1月'!AC25:AD25,B$4)+COUNTIF('1月'!AH25:AI25,B$4)+COUNTIF('1月'!AM25:AN25,B$4)+COUNTIF('1月'!AR25:AS25,B$4)+COUNTIF('1月'!AW25:AX25,B$4)+COUNTIF('1月'!BB25:BC25,B$4)+COUNTIF('1月'!BG25:BH25,B$4)+COUNTIF('1月'!BL25:BM25,B$4)+COUNTIF('1月'!BQ25:BR25,B$4)+COUNTIF('1月'!BV25:BW25,B$4)+COUNTIF('1月'!CA25:CB25,B$4)+COUNTIF('1月'!CF25:CG25,B$4)+COUNTIF('1月'!CK25:CL25,B$4)+COUNTIF('1月'!CP25:CQ25,B$4)+COUNTIF('1月'!CU25:CV25,B$4)+COUNTIF('1月'!CZ25:DA25,B$4)+COUNTIF('1月'!DE25:DF25,B$4)+COUNTIF('1月'!DJ25:DK25,B$4)+COUNTIF('1月'!DO25:DP25,B$4)+COUNTIF('1月'!DT25:DU25,B$4)+COUNTIF('1月'!DY25:DZ25,B$4)+COUNTIF('1月'!ED25:EE25,B$4)+COUNTIF('1月'!EI25:EJ25,B$4)+COUNTIF('1月'!EN25:EO25,B$4)+COUNTIF('1月'!ES25:ET25,B$4)</f>
        <v>5</v>
      </c>
      <c r="C27" s="76">
        <f t="shared" si="0"/>
        <v>10</v>
      </c>
      <c r="D27" s="76">
        <f>COUNTIF('1月'!D25:E25,D$4)+COUNTIF('1月'!I25:J25,D$4)+COUNTIF('1月'!N25:O25,D$4)+COUNTIF('1月'!S25:T25,D$4)+COUNTIF('1月'!X25:Y25,D$4)+COUNTIF('1月'!AC25:AD25,D$4)+COUNTIF('1月'!AH25:AI25,D$4)+COUNTIF('1月'!AM25:AN25,D$4)+COUNTIF('1月'!AR25:AS25,D$4)+COUNTIF('1月'!AW25:AX25,D$4)+COUNTIF('1月'!BB25:BC25,D$4)+COUNTIF('1月'!BG25:BH25,D$4)+COUNTIF('1月'!BL25:BM25,D$4)+COUNTIF('1月'!BQ25:BR25,D$4)+COUNTIF('1月'!BV25:BW25,D$4)+COUNTIF('1月'!CA25:CB25,D$4)+COUNTIF('1月'!CF25:CG25,D$4)+COUNTIF('1月'!CK25:CL25,D$4)+COUNTIF('1月'!CP25:CQ25,D$4)+COUNTIF('1月'!CU25:CV25,D$4)+COUNTIF('1月'!CZ25:DA25,D$4)+COUNTIF('1月'!DE25:DF25,D$4)+COUNTIF('1月'!DJ25:DK25,D$4)+COUNTIF('1月'!DO25:DP25,D$4)+COUNTIF('1月'!DT25:DU25,D$4)+COUNTIF('1月'!DY25:DZ25,D$4)+COUNTIF('1月'!ED25:EE25,D$4)+COUNTIF('1月'!EI25:EJ25,D$4)+COUNTIF('1月'!EN25:EO25,D$4)+COUNTIF('1月'!ES25:ET25,D$4)</f>
        <v>0</v>
      </c>
      <c r="E27" s="76">
        <f t="shared" si="1"/>
        <v>0</v>
      </c>
      <c r="F27" s="76">
        <f>COUNTIF('1月'!D25:E25,F$4)+COUNTIF('1月'!I25:J25,F$4)+COUNTIF('1月'!N25:O25,F$4)+COUNTIF('1月'!S25:T25,F$4)+COUNTIF('1月'!X25:Y25,F$4)+COUNTIF('1月'!AC25:AD25,F$4)+COUNTIF('1月'!AH25:AI25,F$4)+COUNTIF('1月'!AM25:AN25,F$4)+COUNTIF('1月'!AR25:AS25,F$4)+COUNTIF('1月'!AW25:AX25,F$4)+COUNTIF('1月'!BB25:BC25,F$4)+COUNTIF('1月'!BG25:BH25,F$4)+COUNTIF('1月'!BL25:BM25,F$4)+COUNTIF('1月'!BQ25:BR25,F$4)+COUNTIF('1月'!BV25:BW25,F$4)+COUNTIF('1月'!CA25:CB25,F$4)+COUNTIF('1月'!CF25:CG25,F$4)+COUNTIF('1月'!CK25:CL25,F$4)+COUNTIF('1月'!CP25:CQ25,F$4)+COUNTIF('1月'!CU25:CV25,F$4)+COUNTIF('1月'!CZ25:DA25,F$4)+COUNTIF('1月'!DE25:DF25,F$4)+COUNTIF('1月'!DJ25:DK25,F$4)+COUNTIF('1月'!DO25:DP25,F$4)+COUNTIF('1月'!DT25:DU25,F$4)+COUNTIF('1月'!DY25:DZ25,F$4)+COUNTIF('1月'!ED25:EE25,F$4)+COUNTIF('1月'!EI25:EJ25,F$4)+COUNTIF('1月'!EN25:EO25,F$4)+COUNTIF('1月'!ES25:ET25,F$4)</f>
        <v>0</v>
      </c>
      <c r="G27" s="76">
        <f t="shared" si="2"/>
        <v>0</v>
      </c>
      <c r="H27" s="76">
        <f>COUNTIF('1月'!D25:E25,H$4)+COUNTIF('1月'!I25:J25,H$4)+COUNTIF('1月'!N25:O25,H$4)+COUNTIF('1月'!S25:T25,H$4)+COUNTIF('1月'!X25:Y25,H$4)+COUNTIF('1月'!AC25:AD25,H$4)+COUNTIF('1月'!AH25:AI25,H$4)+COUNTIF('1月'!AM25:AN25,H$4)+COUNTIF('1月'!AR25:AS25,H$4)+COUNTIF('1月'!AW25:AX25,H$4)+COUNTIF('1月'!BB25:BC25,H$4)+COUNTIF('1月'!BG25:BH25,H$4)+COUNTIF('1月'!BL25:BM25,H$4)+COUNTIF('1月'!BQ25:BR25,H$4)+COUNTIF('1月'!BV25:BW25,H$4)+COUNTIF('1月'!CA25:CB25,H$4)+COUNTIF('1月'!CF25:CG25,H$4)+COUNTIF('1月'!CK25:CL25,H$4)+COUNTIF('1月'!CP25:CQ25,H$4)+COUNTIF('1月'!CU25:CV25,H$4)+COUNTIF('1月'!CZ25:DA25,H$4)+COUNTIF('1月'!DE25:DF25,H$4)+COUNTIF('1月'!DJ25:DK25,H$4)+COUNTIF('1月'!DO25:DP25,H$4)+COUNTIF('1月'!DT25:DU25,H$4)+COUNTIF('1月'!DY25:DZ25,H$4)+COUNTIF('1月'!ED25:EE25,H$4)+COUNTIF('1月'!EI25:EJ25,H$4)+COUNTIF('1月'!EN25:EO25,H$4)+COUNTIF('1月'!ES25:ET25,H$4)+COUNTIF('1月'!D25:E25,"渋谷-夜勤")+COUNTIF('1月'!I25:J25,"渋谷-夜勤")+COUNTIF('1月'!N25:O25,"渋谷-夜勤")+COUNTIF('1月'!S25:T25,"渋谷-夜勤")+COUNTIF('1月'!X25:Y25,"渋谷-夜勤")+COUNTIF('1月'!AC25:AD25,"渋谷-夜勤")+COUNTIF('1月'!AH25:AI25,"渋谷-夜勤")+COUNTIF('1月'!AM25:AN25,"渋谷-夜勤")+COUNTIF('1月'!AR25:AS25,"渋谷-夜勤")+COUNTIF('1月'!AW25:AX25,"渋谷-夜勤")+COUNTIF('1月'!BB25:BC25,"渋谷-夜勤")+COUNTIF('1月'!BG25:BH25,"渋谷-夜勤")+COUNTIF('1月'!BL25:BM25,"渋谷-夜勤")+COUNTIF('1月'!BQ25:BR25,"渋谷-夜勤")+COUNTIF('1月'!BV25:BW25,"渋谷-夜勤")+COUNTIF('1月'!CA25:CB25,"渋谷-夜勤")+COUNTIF('1月'!CF25:CG25,"渋谷-夜勤")+COUNTIF('1月'!CK25:CL25,"渋谷-夜勤")+COUNTIF('1月'!CP25:CQ25,"渋谷-夜勤")+COUNTIF('1月'!CU25:CV25,"渋谷-夜勤")+COUNTIF('1月'!CZ25:DA25,"渋谷-夜勤")+COUNTIF('1月'!DE25:DF25,"渋谷-夜勤")+COUNTIF('1月'!DJ25:DK25,"渋谷-夜勤")+COUNTIF('1月'!DO25:DP25,"渋谷-夜勤")+COUNTIF('1月'!DT25:DU25,"渋谷-夜勤")+COUNTIF('1月'!DY25:DZ25,"渋谷-夜勤")+COUNTIF('1月'!ED25:EE25,"渋谷-夜勤")+COUNTIF('1月'!EI25:EJ25,"渋谷-夜勤")+COUNTIF('1月'!EN25:EO25,"渋谷-夜勤")+COUNTIF('1月'!ES25:ET25,"渋谷-夜勤")</f>
        <v>0</v>
      </c>
      <c r="I27" s="76">
        <f t="shared" si="3"/>
        <v>0</v>
      </c>
      <c r="J27" s="76">
        <f>COUNTIF('1月'!D25:E25,J$4)+COUNTIF('1月'!I25:J25,J$4)+COUNTIF('1月'!N25:O25,J$4)+COUNTIF('1月'!S25:T25,J$4)+COUNTIF('1月'!X25:Y25,J$4)+COUNTIF('1月'!AC25:AD25,J$4)+COUNTIF('1月'!AH25:AI25,J$4)+COUNTIF('1月'!AM25:AN25,J$4)+COUNTIF('1月'!AR25:AS25,J$4)+COUNTIF('1月'!AW25:AX25,J$4)+COUNTIF('1月'!BB25:BC25,J$4)+COUNTIF('1月'!BG25:BH25,J$4)+COUNTIF('1月'!BL25:BM25,J$4)+COUNTIF('1月'!BQ25:BR25,J$4)+COUNTIF('1月'!BV25:BW25,J$4)+COUNTIF('1月'!CA25:CB25,J$4)+COUNTIF('1月'!CF25:CG25,J$4)+COUNTIF('1月'!CK25:CL25,J$4)+COUNTIF('1月'!CP25:CQ25,J$4)+COUNTIF('1月'!CU25:CV25,J$4)+COUNTIF('1月'!CZ25:DA25,J$4)+COUNTIF('1月'!DE25:DF25,J$4)+COUNTIF('1月'!DJ25:DK25,J$4)+COUNTIF('1月'!DO25:DP25,J$4)+COUNTIF('1月'!DT25:DU25,J$4)+COUNTIF('1月'!DY25:DZ25,J$4)+COUNTIF('1月'!ED25:EE25,J$4)+COUNTIF('1月'!EI25:EJ25,J$4)+COUNTIF('1月'!EN25:EO25,J$4)+COUNTIF('1月'!ES25:ET25,J$4)+COUNTIF('1月'!D25:E25,"六本木-夜勤")+COUNTIF('1月'!I25:J25,"六本木-夜勤")+COUNTIF('1月'!N25:O25,"六本木-夜勤")+COUNTIF('1月'!S25:T25,"六本木-夜勤")+COUNTIF('1月'!X25:Y25,"六本木-夜勤")+COUNTIF('1月'!AC25:AD25,"六本木-夜勤")+COUNTIF('1月'!AH25:AI25,"六本木-夜勤")+COUNTIF('1月'!AM25:AN25,"六本木-夜勤")+COUNTIF('1月'!AR25:AS25,"六本木-夜勤")+COUNTIF('1月'!AW25:AX25,"六本木-夜勤")+COUNTIF('1月'!BB25:BC25,"六本木-夜勤")+COUNTIF('1月'!BG25:BH25,"六本木-夜勤")+COUNTIF('1月'!BL25:BM25,"六本木-夜勤")+COUNTIF('1月'!BQ25:BR25,"六本木-夜勤")+COUNTIF('1月'!BV25:BW25,"六本木-夜勤")+COUNTIF('1月'!CA25:CB25,"六本木-夜勤")+COUNTIF('1月'!CF25:CG25,"六本木-夜勤")+COUNTIF('1月'!CK25:CL25,"六本木-夜勤")+COUNTIF('1月'!CP25:CQ25,"六本木-夜勤")+COUNTIF('1月'!CU25:CV25,"六本木-夜勤")+COUNTIF('1月'!CZ25:DA25,"六本木-夜勤")+COUNTIF('1月'!DE25:DF25,"六本木-夜勤")+COUNTIF('1月'!DJ25:DK25,"六本木-夜勤")+COUNTIF('1月'!DO25:DP25,"六本木-夜勤")+COUNTIF('1月'!DT25:DU25,"六本木-夜勤")+COUNTIF('1月'!DY25:DZ25,"六本木-夜勤")+COUNTIF('1月'!ED25:EE25,"六本木-夜勤")+COUNTIF('1月'!EI25:EJ25,"六本木-夜勤")+COUNTIF('1月'!EN25:EO25,"六本木-夜勤")+COUNTIF('1月'!ES25:ET25,"六本木-夜勤")+COUNTIF('1月'!D25:E25,"六本木ー夜勤")+COUNTIF('1月'!I25:J25,"六本木ー夜勤")+COUNTIF('1月'!N25:O25,"六本木ー夜勤")+COUNTIF('1月'!S25:T25,"六本木ー夜勤")+COUNTIF('1月'!X25:Y25,"六本木ー夜勤")+COUNTIF('1月'!AC25:AD25,"六本木ー夜勤")+COUNTIF('1月'!AH25:AI25,"六本木ー夜勤")+COUNTIF('1月'!AM25:AN25,"六本木ー夜勤")+COUNTIF('1月'!AR25:AS25,"六本木ー夜勤")+COUNTIF('1月'!AW25:AX25,"六本木ー夜勤")+COUNTIF('1月'!BB25:BC25,"六本木ー夜勤")+COUNTIF('1月'!BG25:BH25,"六本木ー夜勤")+COUNTIF('1月'!BL25:BM25,"六本木ー夜勤")+COUNTIF('1月'!BQ25:BR25,"六本木ー夜勤")+COUNTIF('1月'!BV25:BW25,"六本木ー夜勤")+COUNTIF('1月'!CA25:CB25,"六本木ー夜勤")+COUNTIF('1月'!CF25:CG25,"六本木ー夜勤")+COUNTIF('1月'!CK25:CL25,"六本木ー夜勤")+COUNTIF('1月'!CP25:CQ25,"六本木ー夜勤")+COUNTIF('1月'!CU25:CV25,"六本木ー夜勤")+COUNTIF('1月'!CZ25:DA25,"六本木ー夜勤")+COUNTIF('1月'!DE25:DF25,"六本木ー夜勤")+COUNTIF('1月'!DJ25:DK25,"六本木ー夜勤")+COUNTIF('1月'!DO25:DP25,"六本木ー夜勤")+COUNTIF('1月'!DT25:DU25,"六本木ー夜勤")+COUNTIF('1月'!DY25:DZ25,"六本木ー夜勤")+COUNTIF('1月'!ED25:EE25,"六本木ー夜勤")+COUNTIF('1月'!EI25:EJ25,"六本木ー夜勤")+COUNTIF('1月'!EN25:EO25,"六本木ー夜勤")+COUNTIF('1月'!ES25:ET25,"六本木ー夜勤")</f>
        <v>0</v>
      </c>
      <c r="K27" s="76">
        <f t="shared" si="4"/>
        <v>0</v>
      </c>
      <c r="L27" s="76">
        <f>COUNTIF('1月'!D25:E25,L$4)+COUNTIF('1月'!I25:J25,L$4)+COUNTIF('1月'!N25:O25,L$4)+COUNTIF('1月'!S25:T25,L$4)+COUNTIF('1月'!X25:Y25,L$4)+COUNTIF('1月'!AC25:AD25,L$4)+COUNTIF('1月'!AH25:AI25,L$4)+COUNTIF('1月'!AM25:AN25,L$4)+COUNTIF('1月'!AR25:AS25,L$4)+COUNTIF('1月'!AW25:AX25,L$4)+COUNTIF('1月'!BB25:BC25,L$4)+COUNTIF('1月'!BG25:BH25,L$4)+COUNTIF('1月'!BL25:BM25,L$4)+COUNTIF('1月'!BQ25:BR25,L$4)+COUNTIF('1月'!BV25:BW25,L$4)+COUNTIF('1月'!CA25:CB25,L$4)+COUNTIF('1月'!CF25:CG25,L$4)+COUNTIF('1月'!CK25:CL25,L$4)+COUNTIF('1月'!CP25:CQ25,L$4)+COUNTIF('1月'!CU25:CV25,L$4)+COUNTIF('1月'!CZ25:DA25,L$4)+COUNTIF('1月'!DE25:DF25,L$4)+COUNTIF('1月'!DJ25:DK25,L$4)+COUNTIF('1月'!DO25:DP25,L$4)+COUNTIF('1月'!DT25:DU25,L$4)+COUNTIF('1月'!DY25:DZ25,L$4)+COUNTIF('1月'!ED25:EE25,L$4)+COUNTIF('1月'!EI25:EJ25,L$4)+COUNTIF('1月'!EN25:EO25,L$4)+COUNTIF('1月'!ES25:ET25,L$4)</f>
        <v>0</v>
      </c>
      <c r="M27" s="76">
        <f t="shared" si="5"/>
        <v>0</v>
      </c>
      <c r="N27" s="76">
        <f>COUNTIF('1月'!D25:E25,N$4)+COUNTIF('1月'!I25:J25,N$4)+COUNTIF('1月'!N25:O25,N$4)+COUNTIF('1月'!S25:T25,N$4)+COUNTIF('1月'!X25:Y25,N$4)+COUNTIF('1月'!AC25:AD25,N$4)+COUNTIF('1月'!AH25:AI25,N$4)+COUNTIF('1月'!AM25:AN25,N$4)+COUNTIF('1月'!AR25:AS25,N$4)+COUNTIF('1月'!AW25:AX25,N$4)+COUNTIF('1月'!BB25:BC25,N$4)+COUNTIF('1月'!BG25:BH25,N$4)+COUNTIF('1月'!BL25:BM25,N$4)+COUNTIF('1月'!BQ25:BR25,N$4)+COUNTIF('1月'!BV25:BW25,N$4)+COUNTIF('1月'!CA25:CB25,N$4)+COUNTIF('1月'!CF25:CG25,N$4)+COUNTIF('1月'!CK25:CL25,N$4)+COUNTIF('1月'!CP25:CQ25,N$4)+COUNTIF('1月'!CU25:CV25,N$4)+COUNTIF('1月'!CZ25:DA25,N$4)+COUNTIF('1月'!DE25:DF25,N$4)+COUNTIF('1月'!DJ25:DK25,N$4)+COUNTIF('1月'!DO25:DP25,N$4)+COUNTIF('1月'!DT25:DU25,N$4)+COUNTIF('1月'!DY25:DZ25,N$4)+COUNTIF('1月'!ED25:EE25,N$4)+COUNTIF('1月'!EI25:EJ25,N$4)+COUNTIF('1月'!EN25:EO25,N$4)+COUNTIF('1月'!ES25:ET25,N$4)+COUNTIF('1月'!D25:E25,"三軒茶屋－夜勤")+COUNTIF('1月'!I25:J25,"三軒茶屋－夜勤")+COUNTIF('1月'!N25:O25,"三軒茶屋－夜勤")+COUNTIF('1月'!S25:T25,"三軒茶屋－夜勤")+COUNTIF('1月'!X25:Y25,"三軒茶屋－夜勤")+COUNTIF('1月'!AC25:AD25,"三軒茶屋－夜勤")+COUNTIF('1月'!AH25:AI25,"三軒茶屋－夜勤")+COUNTIF('1月'!AM25:AN25,"三軒茶屋－夜勤")+COUNTIF('1月'!AR25:AS25,"三軒茶屋－夜勤")+COUNTIF('1月'!AW25:AX25,"三軒茶屋－夜勤")+COUNTIF('1月'!BB25:BC25,"三軒茶屋－夜勤")+COUNTIF('1月'!BG25:BH25,"三軒茶屋－夜勤")+COUNTIF('1月'!BL25:BM25,"三軒茶屋－夜勤")+COUNTIF('1月'!BQ25:BR25,"三軒茶屋－夜勤")+COUNTIF('1月'!BV25:BW25,"三軒茶屋－夜勤")+COUNTIF('1月'!CA25:CB25,"三軒茶屋－夜勤")+COUNTIF('1月'!CF25:CG25,"三軒茶屋－夜勤")+COUNTIF('1月'!CK25:CL25,"三軒茶屋－夜勤")+COUNTIF('1月'!CP25:CQ25,"三軒茶屋－夜勤")+COUNTIF('1月'!CU25:CV25,"三軒茶屋－夜勤")+COUNTIF('1月'!CZ25:DA25,"三軒茶屋－夜勤")+COUNTIF('1月'!DE25:DF25,"三軒茶屋－夜勤")+COUNTIF('1月'!DJ25:DK25,"三軒茶屋－夜勤")+COUNTIF('1月'!DO25:DP25,"三軒茶屋－夜勤")+COUNTIF('1月'!DT25:DU25,"三軒茶屋－夜勤")+COUNTIF('1月'!DY25:DZ25,"三軒茶屋－夜勤")+COUNTIF('1月'!ED25:EE25,"三軒茶屋－夜勤")+COUNTIF('1月'!EI25:EJ25,"三軒茶屋－夜勤")+COUNTIF('1月'!EN25:EO25,"三軒茶屋－夜勤")+COUNTIF('1月'!ES25:ET25,"三軒茶屋－夜勤")</f>
        <v>0</v>
      </c>
      <c r="O27" s="76">
        <f t="shared" si="6"/>
        <v>0</v>
      </c>
      <c r="P27" s="76">
        <f>COUNTIF('1月'!D25:E25,P$4)+COUNTIF('1月'!I25:J25,P$4)+COUNTIF('1月'!N25:O25,P$4)+COUNTIF('1月'!S25:T25,P$4)+COUNTIF('1月'!X25:Y25,P$4)+COUNTIF('1月'!AC25:AD25,P$4)+COUNTIF('1月'!AH25:AI25,P$4)+COUNTIF('1月'!AM25:AN25,P$4)+COUNTIF('1月'!AR25:AS25,P$4)+COUNTIF('1月'!AW25:AX25,P$4)+COUNTIF('1月'!BB25:BC25,P$4)+COUNTIF('1月'!BG25:BH25,P$4)+COUNTIF('1月'!BL25:BM25,P$4)+COUNTIF('1月'!BQ25:BR25,P$4)+COUNTIF('1月'!BV25:BW25,P$4)+COUNTIF('1月'!CA25:CB25,P$4)+COUNTIF('1月'!CF25:CG25,P$4)+COUNTIF('1月'!CK25:CL25,P$4)+COUNTIF('1月'!CP25:CQ25,P$4)+COUNTIF('1月'!CU25:CV25,P$4)+COUNTIF('1月'!CZ25:DA25,P$4)+COUNTIF('1月'!DE25:DF25,P$4)+COUNTIF('1月'!DJ25:DK25,P$4)+COUNTIF('1月'!DO25:DP25,P$4)+COUNTIF('1月'!DT25:DU25,P$4)+COUNTIF('1月'!DY25:DZ25,P$4)+COUNTIF('1月'!ED25:EE25,P$4)+COUNTIF('1月'!EI25:EJ25,P$4)+COUNTIF('1月'!EN25:EO25,P$4)+COUNTIF('1月'!ES25:ET25,P$4)+COUNTIF('1月'!D25:E25,"荻窪ー夜勤")+COUNTIF('1月'!I25:J25,"荻窪ー夜勤")+COUNTIF('1月'!N25:O25,"荻窪ー夜勤")+COUNTIF('1月'!S25:T25,"荻窪ー夜勤")+COUNTIF('1月'!X25:Y25,"荻窪ー夜勤")+COUNTIF('1月'!AC25:AD25,"荻窪ー夜勤")+COUNTIF('1月'!AH25:AI25,"荻窪ー夜勤")+COUNTIF('1月'!AM25:AN25,"荻窪ー夜勤")+COUNTIF('1月'!AR25:AS25,"荻窪ー夜勤")+COUNTIF('1月'!AW25:AX25,"荻窪ー夜勤")+COUNTIF('1月'!BB25:BC25,"荻窪ー夜勤")+COUNTIF('1月'!BG25:BH25,"荻窪ー夜勤")+COUNTIF('1月'!BL25:BM25,"荻窪ー夜勤")+COUNTIF('1月'!BQ25:BR25,"荻窪ー夜勤")+COUNTIF('1月'!BV25:BW25,"荻窪ー夜勤")+COUNTIF('1月'!CA25:CB25,"荻窪ー夜勤")+COUNTIF('1月'!CF25:CG25,"荻窪ー夜勤")+COUNTIF('1月'!CK25:CL25,"荻窪ー夜勤")+COUNTIF('1月'!CP25:CQ25,"荻窪ー夜勤")+COUNTIF('1月'!CU25:CV25,"荻窪ー夜勤")+COUNTIF('1月'!CZ25:DA25,"荻窪ー夜勤")+COUNTIF('1月'!DE25:DF25,"荻窪ー夜勤")+COUNTIF('1月'!DJ25:DK25,"荻窪ー夜勤")+COUNTIF('1月'!DO25:DP25,"荻窪ー夜勤")+COUNTIF('1月'!DT25:DU25,"荻窪ー夜勤")+COUNTIF('1月'!DY25:DZ25,"荻窪ー夜勤")+COUNTIF('1月'!ED25:EE25,"荻窪ー夜勤")+COUNTIF('1月'!EI25:EJ25,"荻窪ー夜勤")+COUNTIF('1月'!EN25:EO25,"荻窪ー夜勤")+COUNTIF('1月'!ES25:ET25,"荻窪ー夜勤")</f>
        <v>0</v>
      </c>
      <c r="Q27" s="76">
        <f t="shared" si="7"/>
        <v>0</v>
      </c>
      <c r="R27" s="76">
        <f>COUNTIF('1月'!D25:E25,R$4)+COUNTIF('1月'!I25:J25,R$4)+COUNTIF('1月'!N25:O25,R$4)+COUNTIF('1月'!S25:T25,R$4)+COUNTIF('1月'!X25:Y25,R$4)+COUNTIF('1月'!AC25:AD25,R$4)+COUNTIF('1月'!AH25:AI25,R$4)+COUNTIF('1月'!AM25:AN25,R$4)+COUNTIF('1月'!AR25:AS25,R$4)+COUNTIF('1月'!AW25:AX25,R$4)+COUNTIF('1月'!BB25:BC25,R$4)+COUNTIF('1月'!BG25:BH25,R$4)+COUNTIF('1月'!BL25:BM25,R$4)+COUNTIF('1月'!BQ25:BR25,R$4)+COUNTIF('1月'!BV25:BW25,R$4)+COUNTIF('1月'!CA25:CB25,R$4)+COUNTIF('1月'!CF25:CG25,R$4)+COUNTIF('1月'!CK25:CL25,R$4)+COUNTIF('1月'!CP25:CQ25,R$4)+COUNTIF('1月'!CU25:CV25,R$4)+COUNTIF('1月'!CZ25:DA25,R$4)+COUNTIF('1月'!DE25:DF25,R$4)+COUNTIF('1月'!DJ25:DK25,R$4)+COUNTIF('1月'!DO25:DP25,R$4)+COUNTIF('1月'!DT25:DU25,R$4)+COUNTIF('1月'!DY25:DZ25,R$4)+COUNTIF('1月'!ED25:EE25,R$4)+COUNTIF('1月'!EI25:EJ25,R$4)+COUNTIF('1月'!EN25:EO25,R$4)+COUNTIF('1月'!ES25:ET25,R$4)</f>
        <v>0</v>
      </c>
      <c r="S27" s="76">
        <f t="shared" si="8"/>
        <v>0</v>
      </c>
      <c r="T27" s="76">
        <f>COUNTIF('1月'!D25:E25,T$4)+COUNTIF('1月'!I25:J25,T$4)+COUNTIF('1月'!N25:O25,T$4)+COUNTIF('1月'!S25:T25,T$4)+COUNTIF('1月'!X25:Y25,T$4)+COUNTIF('1月'!AC25:AD25,T$4)+COUNTIF('1月'!AH25:AI25,T$4)+COUNTIF('1月'!AM25:AN25,T$4)+COUNTIF('1月'!AR25:AS25,T$4)+COUNTIF('1月'!AW25:AX25,T$4)+COUNTIF('1月'!BB25:BC25,T$4)+COUNTIF('1月'!BG25:BH25,T$4)+COUNTIF('1月'!BL25:BM25,T$4)+COUNTIF('1月'!BQ25:BR25,T$4)+COUNTIF('1月'!BV25:BW25,T$4)+COUNTIF('1月'!CA25:CB25,T$4)+COUNTIF('1月'!CF25:CG25,T$4)+COUNTIF('1月'!CK25:CL25,T$4)+COUNTIF('1月'!CP25:CQ25,T$4)+COUNTIF('1月'!CU25:CV25,T$4)+COUNTIF('1月'!CZ25:DA25,T$4)+COUNTIF('1月'!DE25:DF25,T$4)+COUNTIF('1月'!DJ25:DK25,T$4)+COUNTIF('1月'!DO25:DP25,T$4)+COUNTIF('1月'!DT25:DU25,T$4)+COUNTIF('1月'!DY25:DZ25,T$4)+COUNTIF('1月'!ED25:EE25,T$4)+COUNTIF('1月'!EI25:EJ25,T$4)+COUNTIF('1月'!EN25:EO25,T$4)+COUNTIF('1月'!ES25:ET25,T$4)</f>
        <v>0</v>
      </c>
      <c r="U27" s="76">
        <f t="shared" si="9"/>
        <v>0</v>
      </c>
      <c r="V27" s="76">
        <f>COUNTIF('1月'!D25:E25,V$4)+COUNTIF('1月'!I25:J25,V$4)+COUNTIF('1月'!N25:O25,V$4)+COUNTIF('1月'!S25:T25,V$4)+COUNTIF('1月'!X25:Y25,V$4)+COUNTIF('1月'!AC25:AD25,V$4)+COUNTIF('1月'!AH25:AI25,V$4)+COUNTIF('1月'!AM25:AN25,V$4)+COUNTIF('1月'!AR25:AS25,V$4)+COUNTIF('1月'!AW25:AX25,V$4)+COUNTIF('1月'!BB25:BC25,V$4)+COUNTIF('1月'!BG25:BH25,V$4)+COUNTIF('1月'!BL25:BM25,V$4)+COUNTIF('1月'!BQ25:BR25,V$4)+COUNTIF('1月'!BV25:BW25,V$4)+COUNTIF('1月'!CA25:CB25,V$4)+COUNTIF('1月'!CF25:CG25,V$4)+COUNTIF('1月'!CK25:CL25,V$4)+COUNTIF('1月'!CP25:CQ25,V$4)+COUNTIF('1月'!CU25:CV25,V$4)+COUNTIF('1月'!CZ25:DA25,V$4)+COUNTIF('1月'!DE25:DF25,V$4)+COUNTIF('1月'!DJ25:DK25,V$4)+COUNTIF('1月'!DO25:DP25,V$4)+COUNTIF('1月'!DT25:DU25,V$4)+COUNTIF('1月'!DY25:DZ25,V$4)+COUNTIF('1月'!ED25:EE25,V$4)+COUNTIF('1月'!EI25:EJ25,V$4)+COUNTIF('1月'!EN25:EO25,V$4)+COUNTIF('1月'!ES25:ET25,V$4)</f>
        <v>0</v>
      </c>
      <c r="W27" s="76">
        <f t="shared" si="10"/>
        <v>0</v>
      </c>
      <c r="X27" s="76">
        <f>COUNTIF('1月'!D25:E25,X$4)+COUNTIF('1月'!I25:J25,X$4)+COUNTIF('1月'!N25:O25,X$4)+COUNTIF('1月'!S25:T25,X$4)+COUNTIF('1月'!X25:Y25,X$4)+COUNTIF('1月'!AC25:AD25,X$4)+COUNTIF('1月'!AH25:AI25,X$4)+COUNTIF('1月'!AM25:AN25,X$4)+COUNTIF('1月'!AR25:AS25,X$4)+COUNTIF('1月'!AW25:AX25,X$4)+COUNTIF('1月'!BB25:BC25,X$4)+COUNTIF('1月'!BG25:BH25,X$4)+COUNTIF('1月'!BL25:BM25,X$4)+COUNTIF('1月'!BQ25:BR25,X$4)+COUNTIF('1月'!BV25:BW25,X$4)+COUNTIF('1月'!CA25:CB25,X$4)+COUNTIF('1月'!CF25:CG25,X$4)+COUNTIF('1月'!CK25:CL25,X$4)+COUNTIF('1月'!CP25:CQ25,X$4)+COUNTIF('1月'!CU25:CV25,X$4)+COUNTIF('1月'!CZ25:DA25,X$4)+COUNTIF('1月'!DE25:DF25,X$4)+COUNTIF('1月'!DJ25:DK25,X$4)+COUNTIF('1月'!DO25:DP25,X$4)+COUNTIF('1月'!DT25:DU25,X$4)+COUNTIF('1月'!DY25:DZ25,X$4)+COUNTIF('1月'!ED25:EE25,X$4)+COUNTIF('1月'!EI25:EJ25,X$4)+COUNTIF('1月'!EN25:EO25,X$4)+COUNTIF('1月'!ES25:ET25,X$4)</f>
        <v>0</v>
      </c>
      <c r="Y27" s="76">
        <f t="shared" si="11"/>
        <v>0</v>
      </c>
    </row>
    <row r="28" spans="1:25" ht="18" customHeight="1">
      <c r="A28" s="76">
        <v>23</v>
      </c>
      <c r="B28" s="76">
        <f>COUNTIF('1月'!D26:E26,B$4)+COUNTIF('1月'!I26:J26,B$4)+COUNTIF('1月'!N26:O26,B$4)+COUNTIF('1月'!S26:T26,B$4)+COUNTIF('1月'!X26:Y26,B$4)+COUNTIF('1月'!AC26:AD26,B$4)+COUNTIF('1月'!AH26:AI26,B$4)+COUNTIF('1月'!AM26:AN26,B$4)+COUNTIF('1月'!AR26:AS26,B$4)+COUNTIF('1月'!AW26:AX26,B$4)+COUNTIF('1月'!BB26:BC26,B$4)+COUNTIF('1月'!BG26:BH26,B$4)+COUNTIF('1月'!BL26:BM26,B$4)+COUNTIF('1月'!BQ26:BR26,B$4)+COUNTIF('1月'!BV26:BW26,B$4)+COUNTIF('1月'!CA26:CB26,B$4)+COUNTIF('1月'!CF26:CG26,B$4)+COUNTIF('1月'!CK26:CL26,B$4)+COUNTIF('1月'!CP26:CQ26,B$4)+COUNTIF('1月'!CU26:CV26,B$4)+COUNTIF('1月'!CZ26:DA26,B$4)+COUNTIF('1月'!DE26:DF26,B$4)+COUNTIF('1月'!DJ26:DK26,B$4)+COUNTIF('1月'!DO26:DP26,B$4)+COUNTIF('1月'!DT26:DU26,B$4)+COUNTIF('1月'!DY26:DZ26,B$4)+COUNTIF('1月'!ED26:EE26,B$4)+COUNTIF('1月'!EI26:EJ26,B$4)+COUNTIF('1月'!EN26:EO26,B$4)+COUNTIF('1月'!ES26:ET26,B$4)</f>
        <v>5</v>
      </c>
      <c r="C28" s="76">
        <f t="shared" si="0"/>
        <v>15</v>
      </c>
      <c r="D28" s="76">
        <f>COUNTIF('1月'!D26:E26,D$4)+COUNTIF('1月'!I26:J26,D$4)+COUNTIF('1月'!N26:O26,D$4)+COUNTIF('1月'!S26:T26,D$4)+COUNTIF('1月'!X26:Y26,D$4)+COUNTIF('1月'!AC26:AD26,D$4)+COUNTIF('1月'!AH26:AI26,D$4)+COUNTIF('1月'!AM26:AN26,D$4)+COUNTIF('1月'!AR26:AS26,D$4)+COUNTIF('1月'!AW26:AX26,D$4)+COUNTIF('1月'!BB26:BC26,D$4)+COUNTIF('1月'!BG26:BH26,D$4)+COUNTIF('1月'!BL26:BM26,D$4)+COUNTIF('1月'!BQ26:BR26,D$4)+COUNTIF('1月'!BV26:BW26,D$4)+COUNTIF('1月'!CA26:CB26,D$4)+COUNTIF('1月'!CF26:CG26,D$4)+COUNTIF('1月'!CK26:CL26,D$4)+COUNTIF('1月'!CP26:CQ26,D$4)+COUNTIF('1月'!CU26:CV26,D$4)+COUNTIF('1月'!CZ26:DA26,D$4)+COUNTIF('1月'!DE26:DF26,D$4)+COUNTIF('1月'!DJ26:DK26,D$4)+COUNTIF('1月'!DO26:DP26,D$4)+COUNTIF('1月'!DT26:DU26,D$4)+COUNTIF('1月'!DY26:DZ26,D$4)+COUNTIF('1月'!ED26:EE26,D$4)+COUNTIF('1月'!EI26:EJ26,D$4)+COUNTIF('1月'!EN26:EO26,D$4)+COUNTIF('1月'!ES26:ET26,D$4)</f>
        <v>0</v>
      </c>
      <c r="E28" s="76">
        <f t="shared" si="1"/>
        <v>0</v>
      </c>
      <c r="F28" s="76">
        <f>COUNTIF('1月'!D26:E26,F$4)+COUNTIF('1月'!I26:J26,F$4)+COUNTIF('1月'!N26:O26,F$4)+COUNTIF('1月'!S26:T26,F$4)+COUNTIF('1月'!X26:Y26,F$4)+COUNTIF('1月'!AC26:AD26,F$4)+COUNTIF('1月'!AH26:AI26,F$4)+COUNTIF('1月'!AM26:AN26,F$4)+COUNTIF('1月'!AR26:AS26,F$4)+COUNTIF('1月'!AW26:AX26,F$4)+COUNTIF('1月'!BB26:BC26,F$4)+COUNTIF('1月'!BG26:BH26,F$4)+COUNTIF('1月'!BL26:BM26,F$4)+COUNTIF('1月'!BQ26:BR26,F$4)+COUNTIF('1月'!BV26:BW26,F$4)+COUNTIF('1月'!CA26:CB26,F$4)+COUNTIF('1月'!CF26:CG26,F$4)+COUNTIF('1月'!CK26:CL26,F$4)+COUNTIF('1月'!CP26:CQ26,F$4)+COUNTIF('1月'!CU26:CV26,F$4)+COUNTIF('1月'!CZ26:DA26,F$4)+COUNTIF('1月'!DE26:DF26,F$4)+COUNTIF('1月'!DJ26:DK26,F$4)+COUNTIF('1月'!DO26:DP26,F$4)+COUNTIF('1月'!DT26:DU26,F$4)+COUNTIF('1月'!DY26:DZ26,F$4)+COUNTIF('1月'!ED26:EE26,F$4)+COUNTIF('1月'!EI26:EJ26,F$4)+COUNTIF('1月'!EN26:EO26,F$4)+COUNTIF('1月'!ES26:ET26,F$4)</f>
        <v>0</v>
      </c>
      <c r="G28" s="76">
        <f t="shared" si="2"/>
        <v>0</v>
      </c>
      <c r="H28" s="76">
        <f>COUNTIF('1月'!D26:E26,H$4)+COUNTIF('1月'!I26:J26,H$4)+COUNTIF('1月'!N26:O26,H$4)+COUNTIF('1月'!S26:T26,H$4)+COUNTIF('1月'!X26:Y26,H$4)+COUNTIF('1月'!AC26:AD26,H$4)+COUNTIF('1月'!AH26:AI26,H$4)+COUNTIF('1月'!AM26:AN26,H$4)+COUNTIF('1月'!AR26:AS26,H$4)+COUNTIF('1月'!AW26:AX26,H$4)+COUNTIF('1月'!BB26:BC26,H$4)+COUNTIF('1月'!BG26:BH26,H$4)+COUNTIF('1月'!BL26:BM26,H$4)+COUNTIF('1月'!BQ26:BR26,H$4)+COUNTIF('1月'!BV26:BW26,H$4)+COUNTIF('1月'!CA26:CB26,H$4)+COUNTIF('1月'!CF26:CG26,H$4)+COUNTIF('1月'!CK26:CL26,H$4)+COUNTIF('1月'!CP26:CQ26,H$4)+COUNTIF('1月'!CU26:CV26,H$4)+COUNTIF('1月'!CZ26:DA26,H$4)+COUNTIF('1月'!DE26:DF26,H$4)+COUNTIF('1月'!DJ26:DK26,H$4)+COUNTIF('1月'!DO26:DP26,H$4)+COUNTIF('1月'!DT26:DU26,H$4)+COUNTIF('1月'!DY26:DZ26,H$4)+COUNTIF('1月'!ED26:EE26,H$4)+COUNTIF('1月'!EI26:EJ26,H$4)+COUNTIF('1月'!EN26:EO26,H$4)+COUNTIF('1月'!ES26:ET26,H$4)+COUNTIF('1月'!D26:E26,"渋谷-夜勤")+COUNTIF('1月'!I26:J26,"渋谷-夜勤")+COUNTIF('1月'!N26:O26,"渋谷-夜勤")+COUNTIF('1月'!S26:T26,"渋谷-夜勤")+COUNTIF('1月'!X26:Y26,"渋谷-夜勤")+COUNTIF('1月'!AC26:AD26,"渋谷-夜勤")+COUNTIF('1月'!AH26:AI26,"渋谷-夜勤")+COUNTIF('1月'!AM26:AN26,"渋谷-夜勤")+COUNTIF('1月'!AR26:AS26,"渋谷-夜勤")+COUNTIF('1月'!AW26:AX26,"渋谷-夜勤")+COUNTIF('1月'!BB26:BC26,"渋谷-夜勤")+COUNTIF('1月'!BG26:BH26,"渋谷-夜勤")+COUNTIF('1月'!BL26:BM26,"渋谷-夜勤")+COUNTIF('1月'!BQ26:BR26,"渋谷-夜勤")+COUNTIF('1月'!BV26:BW26,"渋谷-夜勤")+COUNTIF('1月'!CA26:CB26,"渋谷-夜勤")+COUNTIF('1月'!CF26:CG26,"渋谷-夜勤")+COUNTIF('1月'!CK26:CL26,"渋谷-夜勤")+COUNTIF('1月'!CP26:CQ26,"渋谷-夜勤")+COUNTIF('1月'!CU26:CV26,"渋谷-夜勤")+COUNTIF('1月'!CZ26:DA26,"渋谷-夜勤")+COUNTIF('1月'!DE26:DF26,"渋谷-夜勤")+COUNTIF('1月'!DJ26:DK26,"渋谷-夜勤")+COUNTIF('1月'!DO26:DP26,"渋谷-夜勤")+COUNTIF('1月'!DT26:DU26,"渋谷-夜勤")+COUNTIF('1月'!DY26:DZ26,"渋谷-夜勤")+COUNTIF('1月'!ED26:EE26,"渋谷-夜勤")+COUNTIF('1月'!EI26:EJ26,"渋谷-夜勤")+COUNTIF('1月'!EN26:EO26,"渋谷-夜勤")+COUNTIF('1月'!ES26:ET26,"渋谷-夜勤")</f>
        <v>0</v>
      </c>
      <c r="I28" s="76">
        <f t="shared" si="3"/>
        <v>0</v>
      </c>
      <c r="J28" s="76">
        <f>COUNTIF('1月'!D26:E26,J$4)+COUNTIF('1月'!I26:J26,J$4)+COUNTIF('1月'!N26:O26,J$4)+COUNTIF('1月'!S26:T26,J$4)+COUNTIF('1月'!X26:Y26,J$4)+COUNTIF('1月'!AC26:AD26,J$4)+COUNTIF('1月'!AH26:AI26,J$4)+COUNTIF('1月'!AM26:AN26,J$4)+COUNTIF('1月'!AR26:AS26,J$4)+COUNTIF('1月'!AW26:AX26,J$4)+COUNTIF('1月'!BB26:BC26,J$4)+COUNTIF('1月'!BG26:BH26,J$4)+COUNTIF('1月'!BL26:BM26,J$4)+COUNTIF('1月'!BQ26:BR26,J$4)+COUNTIF('1月'!BV26:BW26,J$4)+COUNTIF('1月'!CA26:CB26,J$4)+COUNTIF('1月'!CF26:CG26,J$4)+COUNTIF('1月'!CK26:CL26,J$4)+COUNTIF('1月'!CP26:CQ26,J$4)+COUNTIF('1月'!CU26:CV26,J$4)+COUNTIF('1月'!CZ26:DA26,J$4)+COUNTIF('1月'!DE26:DF26,J$4)+COUNTIF('1月'!DJ26:DK26,J$4)+COUNTIF('1月'!DO26:DP26,J$4)+COUNTIF('1月'!DT26:DU26,J$4)+COUNTIF('1月'!DY26:DZ26,J$4)+COUNTIF('1月'!ED26:EE26,J$4)+COUNTIF('1月'!EI26:EJ26,J$4)+COUNTIF('1月'!EN26:EO26,J$4)+COUNTIF('1月'!ES26:ET26,J$4)+COUNTIF('1月'!D26:E26,"六本木-夜勤")+COUNTIF('1月'!I26:J26,"六本木-夜勤")+COUNTIF('1月'!N26:O26,"六本木-夜勤")+COUNTIF('1月'!S26:T26,"六本木-夜勤")+COUNTIF('1月'!X26:Y26,"六本木-夜勤")+COUNTIF('1月'!AC26:AD26,"六本木-夜勤")+COUNTIF('1月'!AH26:AI26,"六本木-夜勤")+COUNTIF('1月'!AM26:AN26,"六本木-夜勤")+COUNTIF('1月'!AR26:AS26,"六本木-夜勤")+COUNTIF('1月'!AW26:AX26,"六本木-夜勤")+COUNTIF('1月'!BB26:BC26,"六本木-夜勤")+COUNTIF('1月'!BG26:BH26,"六本木-夜勤")+COUNTIF('1月'!BL26:BM26,"六本木-夜勤")+COUNTIF('1月'!BQ26:BR26,"六本木-夜勤")+COUNTIF('1月'!BV26:BW26,"六本木-夜勤")+COUNTIF('1月'!CA26:CB26,"六本木-夜勤")+COUNTIF('1月'!CF26:CG26,"六本木-夜勤")+COUNTIF('1月'!CK26:CL26,"六本木-夜勤")+COUNTIF('1月'!CP26:CQ26,"六本木-夜勤")+COUNTIF('1月'!CU26:CV26,"六本木-夜勤")+COUNTIF('1月'!CZ26:DA26,"六本木-夜勤")+COUNTIF('1月'!DE26:DF26,"六本木-夜勤")+COUNTIF('1月'!DJ26:DK26,"六本木-夜勤")+COUNTIF('1月'!DO26:DP26,"六本木-夜勤")+COUNTIF('1月'!DT26:DU26,"六本木-夜勤")+COUNTIF('1月'!DY26:DZ26,"六本木-夜勤")+COUNTIF('1月'!ED26:EE26,"六本木-夜勤")+COUNTIF('1月'!EI26:EJ26,"六本木-夜勤")+COUNTIF('1月'!EN26:EO26,"六本木-夜勤")+COUNTIF('1月'!ES26:ET26,"六本木-夜勤")+COUNTIF('1月'!D26:E26,"六本木ー夜勤")+COUNTIF('1月'!I26:J26,"六本木ー夜勤")+COUNTIF('1月'!N26:O26,"六本木ー夜勤")+COUNTIF('1月'!S26:T26,"六本木ー夜勤")+COUNTIF('1月'!X26:Y26,"六本木ー夜勤")+COUNTIF('1月'!AC26:AD26,"六本木ー夜勤")+COUNTIF('1月'!AH26:AI26,"六本木ー夜勤")+COUNTIF('1月'!AM26:AN26,"六本木ー夜勤")+COUNTIF('1月'!AR26:AS26,"六本木ー夜勤")+COUNTIF('1月'!AW26:AX26,"六本木ー夜勤")+COUNTIF('1月'!BB26:BC26,"六本木ー夜勤")+COUNTIF('1月'!BG26:BH26,"六本木ー夜勤")+COUNTIF('1月'!BL26:BM26,"六本木ー夜勤")+COUNTIF('1月'!BQ26:BR26,"六本木ー夜勤")+COUNTIF('1月'!BV26:BW26,"六本木ー夜勤")+COUNTIF('1月'!CA26:CB26,"六本木ー夜勤")+COUNTIF('1月'!CF26:CG26,"六本木ー夜勤")+COUNTIF('1月'!CK26:CL26,"六本木ー夜勤")+COUNTIF('1月'!CP26:CQ26,"六本木ー夜勤")+COUNTIF('1月'!CU26:CV26,"六本木ー夜勤")+COUNTIF('1月'!CZ26:DA26,"六本木ー夜勤")+COUNTIF('1月'!DE26:DF26,"六本木ー夜勤")+COUNTIF('1月'!DJ26:DK26,"六本木ー夜勤")+COUNTIF('1月'!DO26:DP26,"六本木ー夜勤")+COUNTIF('1月'!DT26:DU26,"六本木ー夜勤")+COUNTIF('1月'!DY26:DZ26,"六本木ー夜勤")+COUNTIF('1月'!ED26:EE26,"六本木ー夜勤")+COUNTIF('1月'!EI26:EJ26,"六本木ー夜勤")+COUNTIF('1月'!EN26:EO26,"六本木ー夜勤")+COUNTIF('1月'!ES26:ET26,"六本木ー夜勤")</f>
        <v>0</v>
      </c>
      <c r="K28" s="76">
        <f t="shared" si="4"/>
        <v>0</v>
      </c>
      <c r="L28" s="76">
        <f>COUNTIF('1月'!D26:E26,L$4)+COUNTIF('1月'!I26:J26,L$4)+COUNTIF('1月'!N26:O26,L$4)+COUNTIF('1月'!S26:T26,L$4)+COUNTIF('1月'!X26:Y26,L$4)+COUNTIF('1月'!AC26:AD26,L$4)+COUNTIF('1月'!AH26:AI26,L$4)+COUNTIF('1月'!AM26:AN26,L$4)+COUNTIF('1月'!AR26:AS26,L$4)+COUNTIF('1月'!AW26:AX26,L$4)+COUNTIF('1月'!BB26:BC26,L$4)+COUNTIF('1月'!BG26:BH26,L$4)+COUNTIF('1月'!BL26:BM26,L$4)+COUNTIF('1月'!BQ26:BR26,L$4)+COUNTIF('1月'!BV26:BW26,L$4)+COUNTIF('1月'!CA26:CB26,L$4)+COUNTIF('1月'!CF26:CG26,L$4)+COUNTIF('1月'!CK26:CL26,L$4)+COUNTIF('1月'!CP26:CQ26,L$4)+COUNTIF('1月'!CU26:CV26,L$4)+COUNTIF('1月'!CZ26:DA26,L$4)+COUNTIF('1月'!DE26:DF26,L$4)+COUNTIF('1月'!DJ26:DK26,L$4)+COUNTIF('1月'!DO26:DP26,L$4)+COUNTIF('1月'!DT26:DU26,L$4)+COUNTIF('1月'!DY26:DZ26,L$4)+COUNTIF('1月'!ED26:EE26,L$4)+COUNTIF('1月'!EI26:EJ26,L$4)+COUNTIF('1月'!EN26:EO26,L$4)+COUNTIF('1月'!ES26:ET26,L$4)</f>
        <v>0</v>
      </c>
      <c r="M28" s="76">
        <f t="shared" si="5"/>
        <v>0</v>
      </c>
      <c r="N28" s="76">
        <f>COUNTIF('1月'!D26:E26,N$4)+COUNTIF('1月'!I26:J26,N$4)+COUNTIF('1月'!N26:O26,N$4)+COUNTIF('1月'!S26:T26,N$4)+COUNTIF('1月'!X26:Y26,N$4)+COUNTIF('1月'!AC26:AD26,N$4)+COUNTIF('1月'!AH26:AI26,N$4)+COUNTIF('1月'!AM26:AN26,N$4)+COUNTIF('1月'!AR26:AS26,N$4)+COUNTIF('1月'!AW26:AX26,N$4)+COUNTIF('1月'!BB26:BC26,N$4)+COUNTIF('1月'!BG26:BH26,N$4)+COUNTIF('1月'!BL26:BM26,N$4)+COUNTIF('1月'!BQ26:BR26,N$4)+COUNTIF('1月'!BV26:BW26,N$4)+COUNTIF('1月'!CA26:CB26,N$4)+COUNTIF('1月'!CF26:CG26,N$4)+COUNTIF('1月'!CK26:CL26,N$4)+COUNTIF('1月'!CP26:CQ26,N$4)+COUNTIF('1月'!CU26:CV26,N$4)+COUNTIF('1月'!CZ26:DA26,N$4)+COUNTIF('1月'!DE26:DF26,N$4)+COUNTIF('1月'!DJ26:DK26,N$4)+COUNTIF('1月'!DO26:DP26,N$4)+COUNTIF('1月'!DT26:DU26,N$4)+COUNTIF('1月'!DY26:DZ26,N$4)+COUNTIF('1月'!ED26:EE26,N$4)+COUNTIF('1月'!EI26:EJ26,N$4)+COUNTIF('1月'!EN26:EO26,N$4)+COUNTIF('1月'!ES26:ET26,N$4)+COUNTIF('1月'!D26:E26,"三軒茶屋－夜勤")+COUNTIF('1月'!I26:J26,"三軒茶屋－夜勤")+COUNTIF('1月'!N26:O26,"三軒茶屋－夜勤")+COUNTIF('1月'!S26:T26,"三軒茶屋－夜勤")+COUNTIF('1月'!X26:Y26,"三軒茶屋－夜勤")+COUNTIF('1月'!AC26:AD26,"三軒茶屋－夜勤")+COUNTIF('1月'!AH26:AI26,"三軒茶屋－夜勤")+COUNTIF('1月'!AM26:AN26,"三軒茶屋－夜勤")+COUNTIF('1月'!AR26:AS26,"三軒茶屋－夜勤")+COUNTIF('1月'!AW26:AX26,"三軒茶屋－夜勤")+COUNTIF('1月'!BB26:BC26,"三軒茶屋－夜勤")+COUNTIF('1月'!BG26:BH26,"三軒茶屋－夜勤")+COUNTIF('1月'!BL26:BM26,"三軒茶屋－夜勤")+COUNTIF('1月'!BQ26:BR26,"三軒茶屋－夜勤")+COUNTIF('1月'!BV26:BW26,"三軒茶屋－夜勤")+COUNTIF('1月'!CA26:CB26,"三軒茶屋－夜勤")+COUNTIF('1月'!CF26:CG26,"三軒茶屋－夜勤")+COUNTIF('1月'!CK26:CL26,"三軒茶屋－夜勤")+COUNTIF('1月'!CP26:CQ26,"三軒茶屋－夜勤")+COUNTIF('1月'!CU26:CV26,"三軒茶屋－夜勤")+COUNTIF('1月'!CZ26:DA26,"三軒茶屋－夜勤")+COUNTIF('1月'!DE26:DF26,"三軒茶屋－夜勤")+COUNTIF('1月'!DJ26:DK26,"三軒茶屋－夜勤")+COUNTIF('1月'!DO26:DP26,"三軒茶屋－夜勤")+COUNTIF('1月'!DT26:DU26,"三軒茶屋－夜勤")+COUNTIF('1月'!DY26:DZ26,"三軒茶屋－夜勤")+COUNTIF('1月'!ED26:EE26,"三軒茶屋－夜勤")+COUNTIF('1月'!EI26:EJ26,"三軒茶屋－夜勤")+COUNTIF('1月'!EN26:EO26,"三軒茶屋－夜勤")+COUNTIF('1月'!ES26:ET26,"三軒茶屋－夜勤")</f>
        <v>0</v>
      </c>
      <c r="O28" s="76">
        <f t="shared" si="6"/>
        <v>0</v>
      </c>
      <c r="P28" s="76">
        <f>COUNTIF('1月'!D26:E26,P$4)+COUNTIF('1月'!I26:J26,P$4)+COUNTIF('1月'!N26:O26,P$4)+COUNTIF('1月'!S26:T26,P$4)+COUNTIF('1月'!X26:Y26,P$4)+COUNTIF('1月'!AC26:AD26,P$4)+COUNTIF('1月'!AH26:AI26,P$4)+COUNTIF('1月'!AM26:AN26,P$4)+COUNTIF('1月'!AR26:AS26,P$4)+COUNTIF('1月'!AW26:AX26,P$4)+COUNTIF('1月'!BB26:BC26,P$4)+COUNTIF('1月'!BG26:BH26,P$4)+COUNTIF('1月'!BL26:BM26,P$4)+COUNTIF('1月'!BQ26:BR26,P$4)+COUNTIF('1月'!BV26:BW26,P$4)+COUNTIF('1月'!CA26:CB26,P$4)+COUNTIF('1月'!CF26:CG26,P$4)+COUNTIF('1月'!CK26:CL26,P$4)+COUNTIF('1月'!CP26:CQ26,P$4)+COUNTIF('1月'!CU26:CV26,P$4)+COUNTIF('1月'!CZ26:DA26,P$4)+COUNTIF('1月'!DE26:DF26,P$4)+COUNTIF('1月'!DJ26:DK26,P$4)+COUNTIF('1月'!DO26:DP26,P$4)+COUNTIF('1月'!DT26:DU26,P$4)+COUNTIF('1月'!DY26:DZ26,P$4)+COUNTIF('1月'!ED26:EE26,P$4)+COUNTIF('1月'!EI26:EJ26,P$4)+COUNTIF('1月'!EN26:EO26,P$4)+COUNTIF('1月'!ES26:ET26,P$4)+COUNTIF('1月'!D26:E26,"荻窪ー夜勤")+COUNTIF('1月'!I26:J26,"荻窪ー夜勤")+COUNTIF('1月'!N26:O26,"荻窪ー夜勤")+COUNTIF('1月'!S26:T26,"荻窪ー夜勤")+COUNTIF('1月'!X26:Y26,"荻窪ー夜勤")+COUNTIF('1月'!AC26:AD26,"荻窪ー夜勤")+COUNTIF('1月'!AH26:AI26,"荻窪ー夜勤")+COUNTIF('1月'!AM26:AN26,"荻窪ー夜勤")+COUNTIF('1月'!AR26:AS26,"荻窪ー夜勤")+COUNTIF('1月'!AW26:AX26,"荻窪ー夜勤")+COUNTIF('1月'!BB26:BC26,"荻窪ー夜勤")+COUNTIF('1月'!BG26:BH26,"荻窪ー夜勤")+COUNTIF('1月'!BL26:BM26,"荻窪ー夜勤")+COUNTIF('1月'!BQ26:BR26,"荻窪ー夜勤")+COUNTIF('1月'!BV26:BW26,"荻窪ー夜勤")+COUNTIF('1月'!CA26:CB26,"荻窪ー夜勤")+COUNTIF('1月'!CF26:CG26,"荻窪ー夜勤")+COUNTIF('1月'!CK26:CL26,"荻窪ー夜勤")+COUNTIF('1月'!CP26:CQ26,"荻窪ー夜勤")+COUNTIF('1月'!CU26:CV26,"荻窪ー夜勤")+COUNTIF('1月'!CZ26:DA26,"荻窪ー夜勤")+COUNTIF('1月'!DE26:DF26,"荻窪ー夜勤")+COUNTIF('1月'!DJ26:DK26,"荻窪ー夜勤")+COUNTIF('1月'!DO26:DP26,"荻窪ー夜勤")+COUNTIF('1月'!DT26:DU26,"荻窪ー夜勤")+COUNTIF('1月'!DY26:DZ26,"荻窪ー夜勤")+COUNTIF('1月'!ED26:EE26,"荻窪ー夜勤")+COUNTIF('1月'!EI26:EJ26,"荻窪ー夜勤")+COUNTIF('1月'!EN26:EO26,"荻窪ー夜勤")+COUNTIF('1月'!ES26:ET26,"荻窪ー夜勤")</f>
        <v>0</v>
      </c>
      <c r="Q28" s="76">
        <f t="shared" si="7"/>
        <v>0</v>
      </c>
      <c r="R28" s="76">
        <f>COUNTIF('1月'!D26:E26,R$4)+COUNTIF('1月'!I26:J26,R$4)+COUNTIF('1月'!N26:O26,R$4)+COUNTIF('1月'!S26:T26,R$4)+COUNTIF('1月'!X26:Y26,R$4)+COUNTIF('1月'!AC26:AD26,R$4)+COUNTIF('1月'!AH26:AI26,R$4)+COUNTIF('1月'!AM26:AN26,R$4)+COUNTIF('1月'!AR26:AS26,R$4)+COUNTIF('1月'!AW26:AX26,R$4)+COUNTIF('1月'!BB26:BC26,R$4)+COUNTIF('1月'!BG26:BH26,R$4)+COUNTIF('1月'!BL26:BM26,R$4)+COUNTIF('1月'!BQ26:BR26,R$4)+COUNTIF('1月'!BV26:BW26,R$4)+COUNTIF('1月'!CA26:CB26,R$4)+COUNTIF('1月'!CF26:CG26,R$4)+COUNTIF('1月'!CK26:CL26,R$4)+COUNTIF('1月'!CP26:CQ26,R$4)+COUNTIF('1月'!CU26:CV26,R$4)+COUNTIF('1月'!CZ26:DA26,R$4)+COUNTIF('1月'!DE26:DF26,R$4)+COUNTIF('1月'!DJ26:DK26,R$4)+COUNTIF('1月'!DO26:DP26,R$4)+COUNTIF('1月'!DT26:DU26,R$4)+COUNTIF('1月'!DY26:DZ26,R$4)+COUNTIF('1月'!ED26:EE26,R$4)+COUNTIF('1月'!EI26:EJ26,R$4)+COUNTIF('1月'!EN26:EO26,R$4)+COUNTIF('1月'!ES26:ET26,R$4)</f>
        <v>0</v>
      </c>
      <c r="S28" s="76">
        <f t="shared" si="8"/>
        <v>0</v>
      </c>
      <c r="T28" s="76">
        <f>COUNTIF('1月'!D26:E26,T$4)+COUNTIF('1月'!I26:J26,T$4)+COUNTIF('1月'!N26:O26,T$4)+COUNTIF('1月'!S26:T26,T$4)+COUNTIF('1月'!X26:Y26,T$4)+COUNTIF('1月'!AC26:AD26,T$4)+COUNTIF('1月'!AH26:AI26,T$4)+COUNTIF('1月'!AM26:AN26,T$4)+COUNTIF('1月'!AR26:AS26,T$4)+COUNTIF('1月'!AW26:AX26,T$4)+COUNTIF('1月'!BB26:BC26,T$4)+COUNTIF('1月'!BG26:BH26,T$4)+COUNTIF('1月'!BL26:BM26,T$4)+COUNTIF('1月'!BQ26:BR26,T$4)+COUNTIF('1月'!BV26:BW26,T$4)+COUNTIF('1月'!CA26:CB26,T$4)+COUNTIF('1月'!CF26:CG26,T$4)+COUNTIF('1月'!CK26:CL26,T$4)+COUNTIF('1月'!CP26:CQ26,T$4)+COUNTIF('1月'!CU26:CV26,T$4)+COUNTIF('1月'!CZ26:DA26,T$4)+COUNTIF('1月'!DE26:DF26,T$4)+COUNTIF('1月'!DJ26:DK26,T$4)+COUNTIF('1月'!DO26:DP26,T$4)+COUNTIF('1月'!DT26:DU26,T$4)+COUNTIF('1月'!DY26:DZ26,T$4)+COUNTIF('1月'!ED26:EE26,T$4)+COUNTIF('1月'!EI26:EJ26,T$4)+COUNTIF('1月'!EN26:EO26,T$4)+COUNTIF('1月'!ES26:ET26,T$4)</f>
        <v>0</v>
      </c>
      <c r="U28" s="76">
        <f t="shared" si="9"/>
        <v>0</v>
      </c>
      <c r="V28" s="76">
        <f>COUNTIF('1月'!D26:E26,V$4)+COUNTIF('1月'!I26:J26,V$4)+COUNTIF('1月'!N26:O26,V$4)+COUNTIF('1月'!S26:T26,V$4)+COUNTIF('1月'!X26:Y26,V$4)+COUNTIF('1月'!AC26:AD26,V$4)+COUNTIF('1月'!AH26:AI26,V$4)+COUNTIF('1月'!AM26:AN26,V$4)+COUNTIF('1月'!AR26:AS26,V$4)+COUNTIF('1月'!AW26:AX26,V$4)+COUNTIF('1月'!BB26:BC26,V$4)+COUNTIF('1月'!BG26:BH26,V$4)+COUNTIF('1月'!BL26:BM26,V$4)+COUNTIF('1月'!BQ26:BR26,V$4)+COUNTIF('1月'!BV26:BW26,V$4)+COUNTIF('1月'!CA26:CB26,V$4)+COUNTIF('1月'!CF26:CG26,V$4)+COUNTIF('1月'!CK26:CL26,V$4)+COUNTIF('1月'!CP26:CQ26,V$4)+COUNTIF('1月'!CU26:CV26,V$4)+COUNTIF('1月'!CZ26:DA26,V$4)+COUNTIF('1月'!DE26:DF26,V$4)+COUNTIF('1月'!DJ26:DK26,V$4)+COUNTIF('1月'!DO26:DP26,V$4)+COUNTIF('1月'!DT26:DU26,V$4)+COUNTIF('1月'!DY26:DZ26,V$4)+COUNTIF('1月'!ED26:EE26,V$4)+COUNTIF('1月'!EI26:EJ26,V$4)+COUNTIF('1月'!EN26:EO26,V$4)+COUNTIF('1月'!ES26:ET26,V$4)</f>
        <v>0</v>
      </c>
      <c r="W28" s="76">
        <f t="shared" si="10"/>
        <v>0</v>
      </c>
      <c r="X28" s="76">
        <f>COUNTIF('1月'!D26:E26,X$4)+COUNTIF('1月'!I26:J26,X$4)+COUNTIF('1月'!N26:O26,X$4)+COUNTIF('1月'!S26:T26,X$4)+COUNTIF('1月'!X26:Y26,X$4)+COUNTIF('1月'!AC26:AD26,X$4)+COUNTIF('1月'!AH26:AI26,X$4)+COUNTIF('1月'!AM26:AN26,X$4)+COUNTIF('1月'!AR26:AS26,X$4)+COUNTIF('1月'!AW26:AX26,X$4)+COUNTIF('1月'!BB26:BC26,X$4)+COUNTIF('1月'!BG26:BH26,X$4)+COUNTIF('1月'!BL26:BM26,X$4)+COUNTIF('1月'!BQ26:BR26,X$4)+COUNTIF('1月'!BV26:BW26,X$4)+COUNTIF('1月'!CA26:CB26,X$4)+COUNTIF('1月'!CF26:CG26,X$4)+COUNTIF('1月'!CK26:CL26,X$4)+COUNTIF('1月'!CP26:CQ26,X$4)+COUNTIF('1月'!CU26:CV26,X$4)+COUNTIF('1月'!CZ26:DA26,X$4)+COUNTIF('1月'!DE26:DF26,X$4)+COUNTIF('1月'!DJ26:DK26,X$4)+COUNTIF('1月'!DO26:DP26,X$4)+COUNTIF('1月'!DT26:DU26,X$4)+COUNTIF('1月'!DY26:DZ26,X$4)+COUNTIF('1月'!ED26:EE26,X$4)+COUNTIF('1月'!EI26:EJ26,X$4)+COUNTIF('1月'!EN26:EO26,X$4)+COUNTIF('1月'!ES26:ET26,X$4)</f>
        <v>0</v>
      </c>
      <c r="Y28" s="76">
        <f t="shared" si="11"/>
        <v>0</v>
      </c>
    </row>
    <row r="29" spans="1:25" ht="18" customHeight="1">
      <c r="A29" s="76">
        <v>24</v>
      </c>
      <c r="B29" s="76">
        <f>COUNTIF('1月'!D27:E27,B$4)+COUNTIF('1月'!I27:J27,B$4)+COUNTIF('1月'!N27:O27,B$4)+COUNTIF('1月'!S27:T27,B$4)+COUNTIF('1月'!X27:Y27,B$4)+COUNTIF('1月'!AC27:AD27,B$4)+COUNTIF('1月'!AH27:AI27,B$4)+COUNTIF('1月'!AM27:AN27,B$4)+COUNTIF('1月'!AR27:AS27,B$4)+COUNTIF('1月'!AW27:AX27,B$4)+COUNTIF('1月'!BB27:BC27,B$4)+COUNTIF('1月'!BG27:BH27,B$4)+COUNTIF('1月'!BL27:BM27,B$4)+COUNTIF('1月'!BQ27:BR27,B$4)+COUNTIF('1月'!BV27:BW27,B$4)+COUNTIF('1月'!CA27:CB27,B$4)+COUNTIF('1月'!CF27:CG27,B$4)+COUNTIF('1月'!CK27:CL27,B$4)+COUNTIF('1月'!CP27:CQ27,B$4)+COUNTIF('1月'!CU27:CV27,B$4)+COUNTIF('1月'!CZ27:DA27,B$4)+COUNTIF('1月'!DE27:DF27,B$4)+COUNTIF('1月'!DJ27:DK27,B$4)+COUNTIF('1月'!DO27:DP27,B$4)+COUNTIF('1月'!DT27:DU27,B$4)+COUNTIF('1月'!DY27:DZ27,B$4)+COUNTIF('1月'!ED27:EE27,B$4)+COUNTIF('1月'!EI27:EJ27,B$4)+COUNTIF('1月'!EN27:EO27,B$4)+COUNTIF('1月'!ES27:ET27,B$4)</f>
        <v>5</v>
      </c>
      <c r="C29" s="76">
        <f t="shared" si="0"/>
        <v>20</v>
      </c>
      <c r="D29" s="76">
        <f>COUNTIF('1月'!D27:E27,D$4)+COUNTIF('1月'!I27:J27,D$4)+COUNTIF('1月'!N27:O27,D$4)+COUNTIF('1月'!S27:T27,D$4)+COUNTIF('1月'!X27:Y27,D$4)+COUNTIF('1月'!AC27:AD27,D$4)+COUNTIF('1月'!AH27:AI27,D$4)+COUNTIF('1月'!AM27:AN27,D$4)+COUNTIF('1月'!AR27:AS27,D$4)+COUNTIF('1月'!AW27:AX27,D$4)+COUNTIF('1月'!BB27:BC27,D$4)+COUNTIF('1月'!BG27:BH27,D$4)+COUNTIF('1月'!BL27:BM27,D$4)+COUNTIF('1月'!BQ27:BR27,D$4)+COUNTIF('1月'!BV27:BW27,D$4)+COUNTIF('1月'!CA27:CB27,D$4)+COUNTIF('1月'!CF27:CG27,D$4)+COUNTIF('1月'!CK27:CL27,D$4)+COUNTIF('1月'!CP27:CQ27,D$4)+COUNTIF('1月'!CU27:CV27,D$4)+COUNTIF('1月'!CZ27:DA27,D$4)+COUNTIF('1月'!DE27:DF27,D$4)+COUNTIF('1月'!DJ27:DK27,D$4)+COUNTIF('1月'!DO27:DP27,D$4)+COUNTIF('1月'!DT27:DU27,D$4)+COUNTIF('1月'!DY27:DZ27,D$4)+COUNTIF('1月'!ED27:EE27,D$4)+COUNTIF('1月'!EI27:EJ27,D$4)+COUNTIF('1月'!EN27:EO27,D$4)+COUNTIF('1月'!ES27:ET27,D$4)</f>
        <v>0</v>
      </c>
      <c r="E29" s="76">
        <f t="shared" si="1"/>
        <v>0</v>
      </c>
      <c r="F29" s="76">
        <f>COUNTIF('1月'!D27:E27,F$4)+COUNTIF('1月'!I27:J27,F$4)+COUNTIF('1月'!N27:O27,F$4)+COUNTIF('1月'!S27:T27,F$4)+COUNTIF('1月'!X27:Y27,F$4)+COUNTIF('1月'!AC27:AD27,F$4)+COUNTIF('1月'!AH27:AI27,F$4)+COUNTIF('1月'!AM27:AN27,F$4)+COUNTIF('1月'!AR27:AS27,F$4)+COUNTIF('1月'!AW27:AX27,F$4)+COUNTIF('1月'!BB27:BC27,F$4)+COUNTIF('1月'!BG27:BH27,F$4)+COUNTIF('1月'!BL27:BM27,F$4)+COUNTIF('1月'!BQ27:BR27,F$4)+COUNTIF('1月'!BV27:BW27,F$4)+COUNTIF('1月'!CA27:CB27,F$4)+COUNTIF('1月'!CF27:CG27,F$4)+COUNTIF('1月'!CK27:CL27,F$4)+COUNTIF('1月'!CP27:CQ27,F$4)+COUNTIF('1月'!CU27:CV27,F$4)+COUNTIF('1月'!CZ27:DA27,F$4)+COUNTIF('1月'!DE27:DF27,F$4)+COUNTIF('1月'!DJ27:DK27,F$4)+COUNTIF('1月'!DO27:DP27,F$4)+COUNTIF('1月'!DT27:DU27,F$4)+COUNTIF('1月'!DY27:DZ27,F$4)+COUNTIF('1月'!ED27:EE27,F$4)+COUNTIF('1月'!EI27:EJ27,F$4)+COUNTIF('1月'!EN27:EO27,F$4)+COUNTIF('1月'!ES27:ET27,F$4)</f>
        <v>0</v>
      </c>
      <c r="G29" s="76">
        <f t="shared" si="2"/>
        <v>0</v>
      </c>
      <c r="H29" s="76">
        <f>COUNTIF('1月'!D27:E27,H$4)+COUNTIF('1月'!I27:J27,H$4)+COUNTIF('1月'!N27:O27,H$4)+COUNTIF('1月'!S27:T27,H$4)+COUNTIF('1月'!X27:Y27,H$4)+COUNTIF('1月'!AC27:AD27,H$4)+COUNTIF('1月'!AH27:AI27,H$4)+COUNTIF('1月'!AM27:AN27,H$4)+COUNTIF('1月'!AR27:AS27,H$4)+COUNTIF('1月'!AW27:AX27,H$4)+COUNTIF('1月'!BB27:BC27,H$4)+COUNTIF('1月'!BG27:BH27,H$4)+COUNTIF('1月'!BL27:BM27,H$4)+COUNTIF('1月'!BQ27:BR27,H$4)+COUNTIF('1月'!BV27:BW27,H$4)+COUNTIF('1月'!CA27:CB27,H$4)+COUNTIF('1月'!CF27:CG27,H$4)+COUNTIF('1月'!CK27:CL27,H$4)+COUNTIF('1月'!CP27:CQ27,H$4)+COUNTIF('1月'!CU27:CV27,H$4)+COUNTIF('1月'!CZ27:DA27,H$4)+COUNTIF('1月'!DE27:DF27,H$4)+COUNTIF('1月'!DJ27:DK27,H$4)+COUNTIF('1月'!DO27:DP27,H$4)+COUNTIF('1月'!DT27:DU27,H$4)+COUNTIF('1月'!DY27:DZ27,H$4)+COUNTIF('1月'!ED27:EE27,H$4)+COUNTIF('1月'!EI27:EJ27,H$4)+COUNTIF('1月'!EN27:EO27,H$4)+COUNTIF('1月'!ES27:ET27,H$4)+COUNTIF('1月'!D27:E27,"渋谷-夜勤")+COUNTIF('1月'!I27:J27,"渋谷-夜勤")+COUNTIF('1月'!N27:O27,"渋谷-夜勤")+COUNTIF('1月'!S27:T27,"渋谷-夜勤")+COUNTIF('1月'!X27:Y27,"渋谷-夜勤")+COUNTIF('1月'!AC27:AD27,"渋谷-夜勤")+COUNTIF('1月'!AH27:AI27,"渋谷-夜勤")+COUNTIF('1月'!AM27:AN27,"渋谷-夜勤")+COUNTIF('1月'!AR27:AS27,"渋谷-夜勤")+COUNTIF('1月'!AW27:AX27,"渋谷-夜勤")+COUNTIF('1月'!BB27:BC27,"渋谷-夜勤")+COUNTIF('1月'!BG27:BH27,"渋谷-夜勤")+COUNTIF('1月'!BL27:BM27,"渋谷-夜勤")+COUNTIF('1月'!BQ27:BR27,"渋谷-夜勤")+COUNTIF('1月'!BV27:BW27,"渋谷-夜勤")+COUNTIF('1月'!CA27:CB27,"渋谷-夜勤")+COUNTIF('1月'!CF27:CG27,"渋谷-夜勤")+COUNTIF('1月'!CK27:CL27,"渋谷-夜勤")+COUNTIF('1月'!CP27:CQ27,"渋谷-夜勤")+COUNTIF('1月'!CU27:CV27,"渋谷-夜勤")+COUNTIF('1月'!CZ27:DA27,"渋谷-夜勤")+COUNTIF('1月'!DE27:DF27,"渋谷-夜勤")+COUNTIF('1月'!DJ27:DK27,"渋谷-夜勤")+COUNTIF('1月'!DO27:DP27,"渋谷-夜勤")+COUNTIF('1月'!DT27:DU27,"渋谷-夜勤")+COUNTIF('1月'!DY27:DZ27,"渋谷-夜勤")+COUNTIF('1月'!ED27:EE27,"渋谷-夜勤")+COUNTIF('1月'!EI27:EJ27,"渋谷-夜勤")+COUNTIF('1月'!EN27:EO27,"渋谷-夜勤")+COUNTIF('1月'!ES27:ET27,"渋谷-夜勤")</f>
        <v>0</v>
      </c>
      <c r="I29" s="76">
        <f t="shared" si="3"/>
        <v>0</v>
      </c>
      <c r="J29" s="76">
        <f>COUNTIF('1月'!D27:E27,J$4)+COUNTIF('1月'!I27:J27,J$4)+COUNTIF('1月'!N27:O27,J$4)+COUNTIF('1月'!S27:T27,J$4)+COUNTIF('1月'!X27:Y27,J$4)+COUNTIF('1月'!AC27:AD27,J$4)+COUNTIF('1月'!AH27:AI27,J$4)+COUNTIF('1月'!AM27:AN27,J$4)+COUNTIF('1月'!AR27:AS27,J$4)+COUNTIF('1月'!AW27:AX27,J$4)+COUNTIF('1月'!BB27:BC27,J$4)+COUNTIF('1月'!BG27:BH27,J$4)+COUNTIF('1月'!BL27:BM27,J$4)+COUNTIF('1月'!BQ27:BR27,J$4)+COUNTIF('1月'!BV27:BW27,J$4)+COUNTIF('1月'!CA27:CB27,J$4)+COUNTIF('1月'!CF27:CG27,J$4)+COUNTIF('1月'!CK27:CL27,J$4)+COUNTIF('1月'!CP27:CQ27,J$4)+COUNTIF('1月'!CU27:CV27,J$4)+COUNTIF('1月'!CZ27:DA27,J$4)+COUNTIF('1月'!DE27:DF27,J$4)+COUNTIF('1月'!DJ27:DK27,J$4)+COUNTIF('1月'!DO27:DP27,J$4)+COUNTIF('1月'!DT27:DU27,J$4)+COUNTIF('1月'!DY27:DZ27,J$4)+COUNTIF('1月'!ED27:EE27,J$4)+COUNTIF('1月'!EI27:EJ27,J$4)+COUNTIF('1月'!EN27:EO27,J$4)+COUNTIF('1月'!ES27:ET27,J$4)+COUNTIF('1月'!D27:E27,"六本木-夜勤")+COUNTIF('1月'!I27:J27,"六本木-夜勤")+COUNTIF('1月'!N27:O27,"六本木-夜勤")+COUNTIF('1月'!S27:T27,"六本木-夜勤")+COUNTIF('1月'!X27:Y27,"六本木-夜勤")+COUNTIF('1月'!AC27:AD27,"六本木-夜勤")+COUNTIF('1月'!AH27:AI27,"六本木-夜勤")+COUNTIF('1月'!AM27:AN27,"六本木-夜勤")+COUNTIF('1月'!AR27:AS27,"六本木-夜勤")+COUNTIF('1月'!AW27:AX27,"六本木-夜勤")+COUNTIF('1月'!BB27:BC27,"六本木-夜勤")+COUNTIF('1月'!BG27:BH27,"六本木-夜勤")+COUNTIF('1月'!BL27:BM27,"六本木-夜勤")+COUNTIF('1月'!BQ27:BR27,"六本木-夜勤")+COUNTIF('1月'!BV27:BW27,"六本木-夜勤")+COUNTIF('1月'!CA27:CB27,"六本木-夜勤")+COUNTIF('1月'!CF27:CG27,"六本木-夜勤")+COUNTIF('1月'!CK27:CL27,"六本木-夜勤")+COUNTIF('1月'!CP27:CQ27,"六本木-夜勤")+COUNTIF('1月'!CU27:CV27,"六本木-夜勤")+COUNTIF('1月'!CZ27:DA27,"六本木-夜勤")+COUNTIF('1月'!DE27:DF27,"六本木-夜勤")+COUNTIF('1月'!DJ27:DK27,"六本木-夜勤")+COUNTIF('1月'!DO27:DP27,"六本木-夜勤")+COUNTIF('1月'!DT27:DU27,"六本木-夜勤")+COUNTIF('1月'!DY27:DZ27,"六本木-夜勤")+COUNTIF('1月'!ED27:EE27,"六本木-夜勤")+COUNTIF('1月'!EI27:EJ27,"六本木-夜勤")+COUNTIF('1月'!EN27:EO27,"六本木-夜勤")+COUNTIF('1月'!ES27:ET27,"六本木-夜勤")+COUNTIF('1月'!D27:E27,"六本木ー夜勤")+COUNTIF('1月'!I27:J27,"六本木ー夜勤")+COUNTIF('1月'!N27:O27,"六本木ー夜勤")+COUNTIF('1月'!S27:T27,"六本木ー夜勤")+COUNTIF('1月'!X27:Y27,"六本木ー夜勤")+COUNTIF('1月'!AC27:AD27,"六本木ー夜勤")+COUNTIF('1月'!AH27:AI27,"六本木ー夜勤")+COUNTIF('1月'!AM27:AN27,"六本木ー夜勤")+COUNTIF('1月'!AR27:AS27,"六本木ー夜勤")+COUNTIF('1月'!AW27:AX27,"六本木ー夜勤")+COUNTIF('1月'!BB27:BC27,"六本木ー夜勤")+COUNTIF('1月'!BG27:BH27,"六本木ー夜勤")+COUNTIF('1月'!BL27:BM27,"六本木ー夜勤")+COUNTIF('1月'!BQ27:BR27,"六本木ー夜勤")+COUNTIF('1月'!BV27:BW27,"六本木ー夜勤")+COUNTIF('1月'!CA27:CB27,"六本木ー夜勤")+COUNTIF('1月'!CF27:CG27,"六本木ー夜勤")+COUNTIF('1月'!CK27:CL27,"六本木ー夜勤")+COUNTIF('1月'!CP27:CQ27,"六本木ー夜勤")+COUNTIF('1月'!CU27:CV27,"六本木ー夜勤")+COUNTIF('1月'!CZ27:DA27,"六本木ー夜勤")+COUNTIF('1月'!DE27:DF27,"六本木ー夜勤")+COUNTIF('1月'!DJ27:DK27,"六本木ー夜勤")+COUNTIF('1月'!DO27:DP27,"六本木ー夜勤")+COUNTIF('1月'!DT27:DU27,"六本木ー夜勤")+COUNTIF('1月'!DY27:DZ27,"六本木ー夜勤")+COUNTIF('1月'!ED27:EE27,"六本木ー夜勤")+COUNTIF('1月'!EI27:EJ27,"六本木ー夜勤")+COUNTIF('1月'!EN27:EO27,"六本木ー夜勤")+COUNTIF('1月'!ES27:ET27,"六本木ー夜勤")</f>
        <v>0</v>
      </c>
      <c r="K29" s="76">
        <f t="shared" si="4"/>
        <v>0</v>
      </c>
      <c r="L29" s="76">
        <f>COUNTIF('1月'!D27:E27,L$4)+COUNTIF('1月'!I27:J27,L$4)+COUNTIF('1月'!N27:O27,L$4)+COUNTIF('1月'!S27:T27,L$4)+COUNTIF('1月'!X27:Y27,L$4)+COUNTIF('1月'!AC27:AD27,L$4)+COUNTIF('1月'!AH27:AI27,L$4)+COUNTIF('1月'!AM27:AN27,L$4)+COUNTIF('1月'!AR27:AS27,L$4)+COUNTIF('1月'!AW27:AX27,L$4)+COUNTIF('1月'!BB27:BC27,L$4)+COUNTIF('1月'!BG27:BH27,L$4)+COUNTIF('1月'!BL27:BM27,L$4)+COUNTIF('1月'!BQ27:BR27,L$4)+COUNTIF('1月'!BV27:BW27,L$4)+COUNTIF('1月'!CA27:CB27,L$4)+COUNTIF('1月'!CF27:CG27,L$4)+COUNTIF('1月'!CK27:CL27,L$4)+COUNTIF('1月'!CP27:CQ27,L$4)+COUNTIF('1月'!CU27:CV27,L$4)+COUNTIF('1月'!CZ27:DA27,L$4)+COUNTIF('1月'!DE27:DF27,L$4)+COUNTIF('1月'!DJ27:DK27,L$4)+COUNTIF('1月'!DO27:DP27,L$4)+COUNTIF('1月'!DT27:DU27,L$4)+COUNTIF('1月'!DY27:DZ27,L$4)+COUNTIF('1月'!ED27:EE27,L$4)+COUNTIF('1月'!EI27:EJ27,L$4)+COUNTIF('1月'!EN27:EO27,L$4)+COUNTIF('1月'!ES27:ET27,L$4)</f>
        <v>0</v>
      </c>
      <c r="M29" s="76">
        <f t="shared" si="5"/>
        <v>0</v>
      </c>
      <c r="N29" s="76">
        <f>COUNTIF('1月'!D27:E27,N$4)+COUNTIF('1月'!I27:J27,N$4)+COUNTIF('1月'!N27:O27,N$4)+COUNTIF('1月'!S27:T27,N$4)+COUNTIF('1月'!X27:Y27,N$4)+COUNTIF('1月'!AC27:AD27,N$4)+COUNTIF('1月'!AH27:AI27,N$4)+COUNTIF('1月'!AM27:AN27,N$4)+COUNTIF('1月'!AR27:AS27,N$4)+COUNTIF('1月'!AW27:AX27,N$4)+COUNTIF('1月'!BB27:BC27,N$4)+COUNTIF('1月'!BG27:BH27,N$4)+COUNTIF('1月'!BL27:BM27,N$4)+COUNTIF('1月'!BQ27:BR27,N$4)+COUNTIF('1月'!BV27:BW27,N$4)+COUNTIF('1月'!CA27:CB27,N$4)+COUNTIF('1月'!CF27:CG27,N$4)+COUNTIF('1月'!CK27:CL27,N$4)+COUNTIF('1月'!CP27:CQ27,N$4)+COUNTIF('1月'!CU27:CV27,N$4)+COUNTIF('1月'!CZ27:DA27,N$4)+COUNTIF('1月'!DE27:DF27,N$4)+COUNTIF('1月'!DJ27:DK27,N$4)+COUNTIF('1月'!DO27:DP27,N$4)+COUNTIF('1月'!DT27:DU27,N$4)+COUNTIF('1月'!DY27:DZ27,N$4)+COUNTIF('1月'!ED27:EE27,N$4)+COUNTIF('1月'!EI27:EJ27,N$4)+COUNTIF('1月'!EN27:EO27,N$4)+COUNTIF('1月'!ES27:ET27,N$4)+COUNTIF('1月'!D27:E27,"三軒茶屋－夜勤")+COUNTIF('1月'!I27:J27,"三軒茶屋－夜勤")+COUNTIF('1月'!N27:O27,"三軒茶屋－夜勤")+COUNTIF('1月'!S27:T27,"三軒茶屋－夜勤")+COUNTIF('1月'!X27:Y27,"三軒茶屋－夜勤")+COUNTIF('1月'!AC27:AD27,"三軒茶屋－夜勤")+COUNTIF('1月'!AH27:AI27,"三軒茶屋－夜勤")+COUNTIF('1月'!AM27:AN27,"三軒茶屋－夜勤")+COUNTIF('1月'!AR27:AS27,"三軒茶屋－夜勤")+COUNTIF('1月'!AW27:AX27,"三軒茶屋－夜勤")+COUNTIF('1月'!BB27:BC27,"三軒茶屋－夜勤")+COUNTIF('1月'!BG27:BH27,"三軒茶屋－夜勤")+COUNTIF('1月'!BL27:BM27,"三軒茶屋－夜勤")+COUNTIF('1月'!BQ27:BR27,"三軒茶屋－夜勤")+COUNTIF('1月'!BV27:BW27,"三軒茶屋－夜勤")+COUNTIF('1月'!CA27:CB27,"三軒茶屋－夜勤")+COUNTIF('1月'!CF27:CG27,"三軒茶屋－夜勤")+COUNTIF('1月'!CK27:CL27,"三軒茶屋－夜勤")+COUNTIF('1月'!CP27:CQ27,"三軒茶屋－夜勤")+COUNTIF('1月'!CU27:CV27,"三軒茶屋－夜勤")+COUNTIF('1月'!CZ27:DA27,"三軒茶屋－夜勤")+COUNTIF('1月'!DE27:DF27,"三軒茶屋－夜勤")+COUNTIF('1月'!DJ27:DK27,"三軒茶屋－夜勤")+COUNTIF('1月'!DO27:DP27,"三軒茶屋－夜勤")+COUNTIF('1月'!DT27:DU27,"三軒茶屋－夜勤")+COUNTIF('1月'!DY27:DZ27,"三軒茶屋－夜勤")+COUNTIF('1月'!ED27:EE27,"三軒茶屋－夜勤")+COUNTIF('1月'!EI27:EJ27,"三軒茶屋－夜勤")+COUNTIF('1月'!EN27:EO27,"三軒茶屋－夜勤")+COUNTIF('1月'!ES27:ET27,"三軒茶屋－夜勤")</f>
        <v>0</v>
      </c>
      <c r="O29" s="76">
        <f t="shared" si="6"/>
        <v>0</v>
      </c>
      <c r="P29" s="76">
        <f>COUNTIF('1月'!D27:E27,P$4)+COUNTIF('1月'!I27:J27,P$4)+COUNTIF('1月'!N27:O27,P$4)+COUNTIF('1月'!S27:T27,P$4)+COUNTIF('1月'!X27:Y27,P$4)+COUNTIF('1月'!AC27:AD27,P$4)+COUNTIF('1月'!AH27:AI27,P$4)+COUNTIF('1月'!AM27:AN27,P$4)+COUNTIF('1月'!AR27:AS27,P$4)+COUNTIF('1月'!AW27:AX27,P$4)+COUNTIF('1月'!BB27:BC27,P$4)+COUNTIF('1月'!BG27:BH27,P$4)+COUNTIF('1月'!BL27:BM27,P$4)+COUNTIF('1月'!BQ27:BR27,P$4)+COUNTIF('1月'!BV27:BW27,P$4)+COUNTIF('1月'!CA27:CB27,P$4)+COUNTIF('1月'!CF27:CG27,P$4)+COUNTIF('1月'!CK27:CL27,P$4)+COUNTIF('1月'!CP27:CQ27,P$4)+COUNTIF('1月'!CU27:CV27,P$4)+COUNTIF('1月'!CZ27:DA27,P$4)+COUNTIF('1月'!DE27:DF27,P$4)+COUNTIF('1月'!DJ27:DK27,P$4)+COUNTIF('1月'!DO27:DP27,P$4)+COUNTIF('1月'!DT27:DU27,P$4)+COUNTIF('1月'!DY27:DZ27,P$4)+COUNTIF('1月'!ED27:EE27,P$4)+COUNTIF('1月'!EI27:EJ27,P$4)+COUNTIF('1月'!EN27:EO27,P$4)+COUNTIF('1月'!ES27:ET27,P$4)+COUNTIF('1月'!D27:E27,"荻窪ー夜勤")+COUNTIF('1月'!I27:J27,"荻窪ー夜勤")+COUNTIF('1月'!N27:O27,"荻窪ー夜勤")+COUNTIF('1月'!S27:T27,"荻窪ー夜勤")+COUNTIF('1月'!X27:Y27,"荻窪ー夜勤")+COUNTIF('1月'!AC27:AD27,"荻窪ー夜勤")+COUNTIF('1月'!AH27:AI27,"荻窪ー夜勤")+COUNTIF('1月'!AM27:AN27,"荻窪ー夜勤")+COUNTIF('1月'!AR27:AS27,"荻窪ー夜勤")+COUNTIF('1月'!AW27:AX27,"荻窪ー夜勤")+COUNTIF('1月'!BB27:BC27,"荻窪ー夜勤")+COUNTIF('1月'!BG27:BH27,"荻窪ー夜勤")+COUNTIF('1月'!BL27:BM27,"荻窪ー夜勤")+COUNTIF('1月'!BQ27:BR27,"荻窪ー夜勤")+COUNTIF('1月'!BV27:BW27,"荻窪ー夜勤")+COUNTIF('1月'!CA27:CB27,"荻窪ー夜勤")+COUNTIF('1月'!CF27:CG27,"荻窪ー夜勤")+COUNTIF('1月'!CK27:CL27,"荻窪ー夜勤")+COUNTIF('1月'!CP27:CQ27,"荻窪ー夜勤")+COUNTIF('1月'!CU27:CV27,"荻窪ー夜勤")+COUNTIF('1月'!CZ27:DA27,"荻窪ー夜勤")+COUNTIF('1月'!DE27:DF27,"荻窪ー夜勤")+COUNTIF('1月'!DJ27:DK27,"荻窪ー夜勤")+COUNTIF('1月'!DO27:DP27,"荻窪ー夜勤")+COUNTIF('1月'!DT27:DU27,"荻窪ー夜勤")+COUNTIF('1月'!DY27:DZ27,"荻窪ー夜勤")+COUNTIF('1月'!ED27:EE27,"荻窪ー夜勤")+COUNTIF('1月'!EI27:EJ27,"荻窪ー夜勤")+COUNTIF('1月'!EN27:EO27,"荻窪ー夜勤")+COUNTIF('1月'!ES27:ET27,"荻窪ー夜勤")</f>
        <v>0</v>
      </c>
      <c r="Q29" s="76">
        <f t="shared" si="7"/>
        <v>0</v>
      </c>
      <c r="R29" s="76">
        <f>COUNTIF('1月'!D27:E27,R$4)+COUNTIF('1月'!I27:J27,R$4)+COUNTIF('1月'!N27:O27,R$4)+COUNTIF('1月'!S27:T27,R$4)+COUNTIF('1月'!X27:Y27,R$4)+COUNTIF('1月'!AC27:AD27,R$4)+COUNTIF('1月'!AH27:AI27,R$4)+COUNTIF('1月'!AM27:AN27,R$4)+COUNTIF('1月'!AR27:AS27,R$4)+COUNTIF('1月'!AW27:AX27,R$4)+COUNTIF('1月'!BB27:BC27,R$4)+COUNTIF('1月'!BG27:BH27,R$4)+COUNTIF('1月'!BL27:BM27,R$4)+COUNTIF('1月'!BQ27:BR27,R$4)+COUNTIF('1月'!BV27:BW27,R$4)+COUNTIF('1月'!CA27:CB27,R$4)+COUNTIF('1月'!CF27:CG27,R$4)+COUNTIF('1月'!CK27:CL27,R$4)+COUNTIF('1月'!CP27:CQ27,R$4)+COUNTIF('1月'!CU27:CV27,R$4)+COUNTIF('1月'!CZ27:DA27,R$4)+COUNTIF('1月'!DE27:DF27,R$4)+COUNTIF('1月'!DJ27:DK27,R$4)+COUNTIF('1月'!DO27:DP27,R$4)+COUNTIF('1月'!DT27:DU27,R$4)+COUNTIF('1月'!DY27:DZ27,R$4)+COUNTIF('1月'!ED27:EE27,R$4)+COUNTIF('1月'!EI27:EJ27,R$4)+COUNTIF('1月'!EN27:EO27,R$4)+COUNTIF('1月'!ES27:ET27,R$4)</f>
        <v>0</v>
      </c>
      <c r="S29" s="76">
        <f t="shared" si="8"/>
        <v>0</v>
      </c>
      <c r="T29" s="76">
        <f>COUNTIF('1月'!D27:E27,T$4)+COUNTIF('1月'!I27:J27,T$4)+COUNTIF('1月'!N27:O27,T$4)+COUNTIF('1月'!S27:T27,T$4)+COUNTIF('1月'!X27:Y27,T$4)+COUNTIF('1月'!AC27:AD27,T$4)+COUNTIF('1月'!AH27:AI27,T$4)+COUNTIF('1月'!AM27:AN27,T$4)+COUNTIF('1月'!AR27:AS27,T$4)+COUNTIF('1月'!AW27:AX27,T$4)+COUNTIF('1月'!BB27:BC27,T$4)+COUNTIF('1月'!BG27:BH27,T$4)+COUNTIF('1月'!BL27:BM27,T$4)+COUNTIF('1月'!BQ27:BR27,T$4)+COUNTIF('1月'!BV27:BW27,T$4)+COUNTIF('1月'!CA27:CB27,T$4)+COUNTIF('1月'!CF27:CG27,T$4)+COUNTIF('1月'!CK27:CL27,T$4)+COUNTIF('1月'!CP27:CQ27,T$4)+COUNTIF('1月'!CU27:CV27,T$4)+COUNTIF('1月'!CZ27:DA27,T$4)+COUNTIF('1月'!DE27:DF27,T$4)+COUNTIF('1月'!DJ27:DK27,T$4)+COUNTIF('1月'!DO27:DP27,T$4)+COUNTIF('1月'!DT27:DU27,T$4)+COUNTIF('1月'!DY27:DZ27,T$4)+COUNTIF('1月'!ED27:EE27,T$4)+COUNTIF('1月'!EI27:EJ27,T$4)+COUNTIF('1月'!EN27:EO27,T$4)+COUNTIF('1月'!ES27:ET27,T$4)</f>
        <v>0</v>
      </c>
      <c r="U29" s="76">
        <f t="shared" si="9"/>
        <v>0</v>
      </c>
      <c r="V29" s="76">
        <f>COUNTIF('1月'!D27:E27,V$4)+COUNTIF('1月'!I27:J27,V$4)+COUNTIF('1月'!N27:O27,V$4)+COUNTIF('1月'!S27:T27,V$4)+COUNTIF('1月'!X27:Y27,V$4)+COUNTIF('1月'!AC27:AD27,V$4)+COUNTIF('1月'!AH27:AI27,V$4)+COUNTIF('1月'!AM27:AN27,V$4)+COUNTIF('1月'!AR27:AS27,V$4)+COUNTIF('1月'!AW27:AX27,V$4)+COUNTIF('1月'!BB27:BC27,V$4)+COUNTIF('1月'!BG27:BH27,V$4)+COUNTIF('1月'!BL27:BM27,V$4)+COUNTIF('1月'!BQ27:BR27,V$4)+COUNTIF('1月'!BV27:BW27,V$4)+COUNTIF('1月'!CA27:CB27,V$4)+COUNTIF('1月'!CF27:CG27,V$4)+COUNTIF('1月'!CK27:CL27,V$4)+COUNTIF('1月'!CP27:CQ27,V$4)+COUNTIF('1月'!CU27:CV27,V$4)+COUNTIF('1月'!CZ27:DA27,V$4)+COUNTIF('1月'!DE27:DF27,V$4)+COUNTIF('1月'!DJ27:DK27,V$4)+COUNTIF('1月'!DO27:DP27,V$4)+COUNTIF('1月'!DT27:DU27,V$4)+COUNTIF('1月'!DY27:DZ27,V$4)+COUNTIF('1月'!ED27:EE27,V$4)+COUNTIF('1月'!EI27:EJ27,V$4)+COUNTIF('1月'!EN27:EO27,V$4)+COUNTIF('1月'!ES27:ET27,V$4)</f>
        <v>0</v>
      </c>
      <c r="W29" s="76">
        <f t="shared" si="10"/>
        <v>0</v>
      </c>
      <c r="X29" s="76">
        <f>COUNTIF('1月'!D27:E27,X$4)+COUNTIF('1月'!I27:J27,X$4)+COUNTIF('1月'!N27:O27,X$4)+COUNTIF('1月'!S27:T27,X$4)+COUNTIF('1月'!X27:Y27,X$4)+COUNTIF('1月'!AC27:AD27,X$4)+COUNTIF('1月'!AH27:AI27,X$4)+COUNTIF('1月'!AM27:AN27,X$4)+COUNTIF('1月'!AR27:AS27,X$4)+COUNTIF('1月'!AW27:AX27,X$4)+COUNTIF('1月'!BB27:BC27,X$4)+COUNTIF('1月'!BG27:BH27,X$4)+COUNTIF('1月'!BL27:BM27,X$4)+COUNTIF('1月'!BQ27:BR27,X$4)+COUNTIF('1月'!BV27:BW27,X$4)+COUNTIF('1月'!CA27:CB27,X$4)+COUNTIF('1月'!CF27:CG27,X$4)+COUNTIF('1月'!CK27:CL27,X$4)+COUNTIF('1月'!CP27:CQ27,X$4)+COUNTIF('1月'!CU27:CV27,X$4)+COUNTIF('1月'!CZ27:DA27,X$4)+COUNTIF('1月'!DE27:DF27,X$4)+COUNTIF('1月'!DJ27:DK27,X$4)+COUNTIF('1月'!DO27:DP27,X$4)+COUNTIF('1月'!DT27:DU27,X$4)+COUNTIF('1月'!DY27:DZ27,X$4)+COUNTIF('1月'!ED27:EE27,X$4)+COUNTIF('1月'!EI27:EJ27,X$4)+COUNTIF('1月'!EN27:EO27,X$4)+COUNTIF('1月'!ES27:ET27,X$4)</f>
        <v>0</v>
      </c>
      <c r="Y29" s="76">
        <f t="shared" si="11"/>
        <v>0</v>
      </c>
    </row>
    <row r="30" spans="1:25" ht="18" customHeight="1">
      <c r="A30" s="76">
        <v>25</v>
      </c>
      <c r="B30" s="76">
        <f>COUNTIF('1月'!D28:E28,B$4)+COUNTIF('1月'!I28:J28,B$4)+COUNTIF('1月'!N28:O28,B$4)+COUNTIF('1月'!S28:T28,B$4)+COUNTIF('1月'!X28:Y28,B$4)+COUNTIF('1月'!AC28:AD28,B$4)+COUNTIF('1月'!AH28:AI28,B$4)+COUNTIF('1月'!AM28:AN28,B$4)+COUNTIF('1月'!AR28:AS28,B$4)+COUNTIF('1月'!AW28:AX28,B$4)+COUNTIF('1月'!BB28:BC28,B$4)+COUNTIF('1月'!BG28:BH28,B$4)+COUNTIF('1月'!BL28:BM28,B$4)+COUNTIF('1月'!BQ28:BR28,B$4)+COUNTIF('1月'!BV28:BW28,B$4)+COUNTIF('1月'!CA28:CB28,B$4)+COUNTIF('1月'!CF28:CG28,B$4)+COUNTIF('1月'!CK28:CL28,B$4)+COUNTIF('1月'!CP28:CQ28,B$4)+COUNTIF('1月'!CU28:CV28,B$4)+COUNTIF('1月'!CZ28:DA28,B$4)+COUNTIF('1月'!DE28:DF28,B$4)+COUNTIF('1月'!DJ28:DK28,B$4)+COUNTIF('1月'!DO28:DP28,B$4)+COUNTIF('1月'!DT28:DU28,B$4)+COUNTIF('1月'!DY28:DZ28,B$4)+COUNTIF('1月'!ED28:EE28,B$4)+COUNTIF('1月'!EI28:EJ28,B$4)+COUNTIF('1月'!EN28:EO28,B$4)+COUNTIF('1月'!ES28:ET28,B$4)</f>
        <v>0</v>
      </c>
      <c r="C30" s="76">
        <f t="shared" si="0"/>
        <v>20</v>
      </c>
      <c r="D30" s="76">
        <f>COUNTIF('1月'!D28:E28,D$4)+COUNTIF('1月'!I28:J28,D$4)+COUNTIF('1月'!N28:O28,D$4)+COUNTIF('1月'!S28:T28,D$4)+COUNTIF('1月'!X28:Y28,D$4)+COUNTIF('1月'!AC28:AD28,D$4)+COUNTIF('1月'!AH28:AI28,D$4)+COUNTIF('1月'!AM28:AN28,D$4)+COUNTIF('1月'!AR28:AS28,D$4)+COUNTIF('1月'!AW28:AX28,D$4)+COUNTIF('1月'!BB28:BC28,D$4)+COUNTIF('1月'!BG28:BH28,D$4)+COUNTIF('1月'!BL28:BM28,D$4)+COUNTIF('1月'!BQ28:BR28,D$4)+COUNTIF('1月'!BV28:BW28,D$4)+COUNTIF('1月'!CA28:CB28,D$4)+COUNTIF('1月'!CF28:CG28,D$4)+COUNTIF('1月'!CK28:CL28,D$4)+COUNTIF('1月'!CP28:CQ28,D$4)+COUNTIF('1月'!CU28:CV28,D$4)+COUNTIF('1月'!CZ28:DA28,D$4)+COUNTIF('1月'!DE28:DF28,D$4)+COUNTIF('1月'!DJ28:DK28,D$4)+COUNTIF('1月'!DO28:DP28,D$4)+COUNTIF('1月'!DT28:DU28,D$4)+COUNTIF('1月'!DY28:DZ28,D$4)+COUNTIF('1月'!ED28:EE28,D$4)+COUNTIF('1月'!EI28:EJ28,D$4)+COUNTIF('1月'!EN28:EO28,D$4)+COUNTIF('1月'!ES28:ET28,D$4)</f>
        <v>0</v>
      </c>
      <c r="E30" s="76">
        <f t="shared" si="1"/>
        <v>0</v>
      </c>
      <c r="F30" s="76">
        <f>COUNTIF('1月'!D28:E28,F$4)+COUNTIF('1月'!I28:J28,F$4)+COUNTIF('1月'!N28:O28,F$4)+COUNTIF('1月'!S28:T28,F$4)+COUNTIF('1月'!X28:Y28,F$4)+COUNTIF('1月'!AC28:AD28,F$4)+COUNTIF('1月'!AH28:AI28,F$4)+COUNTIF('1月'!AM28:AN28,F$4)+COUNTIF('1月'!AR28:AS28,F$4)+COUNTIF('1月'!AW28:AX28,F$4)+COUNTIF('1月'!BB28:BC28,F$4)+COUNTIF('1月'!BG28:BH28,F$4)+COUNTIF('1月'!BL28:BM28,F$4)+COUNTIF('1月'!BQ28:BR28,F$4)+COUNTIF('1月'!BV28:BW28,F$4)+COUNTIF('1月'!CA28:CB28,F$4)+COUNTIF('1月'!CF28:CG28,F$4)+COUNTIF('1月'!CK28:CL28,F$4)+COUNTIF('1月'!CP28:CQ28,F$4)+COUNTIF('1月'!CU28:CV28,F$4)+COUNTIF('1月'!CZ28:DA28,F$4)+COUNTIF('1月'!DE28:DF28,F$4)+COUNTIF('1月'!DJ28:DK28,F$4)+COUNTIF('1月'!DO28:DP28,F$4)+COUNTIF('1月'!DT28:DU28,F$4)+COUNTIF('1月'!DY28:DZ28,F$4)+COUNTIF('1月'!ED28:EE28,F$4)+COUNTIF('1月'!EI28:EJ28,F$4)+COUNTIF('1月'!EN28:EO28,F$4)+COUNTIF('1月'!ES28:ET28,F$4)</f>
        <v>0</v>
      </c>
      <c r="G30" s="76">
        <f t="shared" si="2"/>
        <v>0</v>
      </c>
      <c r="H30" s="76">
        <f>COUNTIF('1月'!D28:E28,H$4)+COUNTIF('1月'!I28:J28,H$4)+COUNTIF('1月'!N28:O28,H$4)+COUNTIF('1月'!S28:T28,H$4)+COUNTIF('1月'!X28:Y28,H$4)+COUNTIF('1月'!AC28:AD28,H$4)+COUNTIF('1月'!AH28:AI28,H$4)+COUNTIF('1月'!AM28:AN28,H$4)+COUNTIF('1月'!AR28:AS28,H$4)+COUNTIF('1月'!AW28:AX28,H$4)+COUNTIF('1月'!BB28:BC28,H$4)+COUNTIF('1月'!BG28:BH28,H$4)+COUNTIF('1月'!BL28:BM28,H$4)+COUNTIF('1月'!BQ28:BR28,H$4)+COUNTIF('1月'!BV28:BW28,H$4)+COUNTIF('1月'!CA28:CB28,H$4)+COUNTIF('1月'!CF28:CG28,H$4)+COUNTIF('1月'!CK28:CL28,H$4)+COUNTIF('1月'!CP28:CQ28,H$4)+COUNTIF('1月'!CU28:CV28,H$4)+COUNTIF('1月'!CZ28:DA28,H$4)+COUNTIF('1月'!DE28:DF28,H$4)+COUNTIF('1月'!DJ28:DK28,H$4)+COUNTIF('1月'!DO28:DP28,H$4)+COUNTIF('1月'!DT28:DU28,H$4)+COUNTIF('1月'!DY28:DZ28,H$4)+COUNTIF('1月'!ED28:EE28,H$4)+COUNTIF('1月'!EI28:EJ28,H$4)+COUNTIF('1月'!EN28:EO28,H$4)+COUNTIF('1月'!ES28:ET28,H$4)+COUNTIF('1月'!D28:E28,"渋谷-夜勤")+COUNTIF('1月'!I28:J28,"渋谷-夜勤")+COUNTIF('1月'!N28:O28,"渋谷-夜勤")+COUNTIF('1月'!S28:T28,"渋谷-夜勤")+COUNTIF('1月'!X28:Y28,"渋谷-夜勤")+COUNTIF('1月'!AC28:AD28,"渋谷-夜勤")+COUNTIF('1月'!AH28:AI28,"渋谷-夜勤")+COUNTIF('1月'!AM28:AN28,"渋谷-夜勤")+COUNTIF('1月'!AR28:AS28,"渋谷-夜勤")+COUNTIF('1月'!AW28:AX28,"渋谷-夜勤")+COUNTIF('1月'!BB28:BC28,"渋谷-夜勤")+COUNTIF('1月'!BG28:BH28,"渋谷-夜勤")+COUNTIF('1月'!BL28:BM28,"渋谷-夜勤")+COUNTIF('1月'!BQ28:BR28,"渋谷-夜勤")+COUNTIF('1月'!BV28:BW28,"渋谷-夜勤")+COUNTIF('1月'!CA28:CB28,"渋谷-夜勤")+COUNTIF('1月'!CF28:CG28,"渋谷-夜勤")+COUNTIF('1月'!CK28:CL28,"渋谷-夜勤")+COUNTIF('1月'!CP28:CQ28,"渋谷-夜勤")+COUNTIF('1月'!CU28:CV28,"渋谷-夜勤")+COUNTIF('1月'!CZ28:DA28,"渋谷-夜勤")+COUNTIF('1月'!DE28:DF28,"渋谷-夜勤")+COUNTIF('1月'!DJ28:DK28,"渋谷-夜勤")+COUNTIF('1月'!DO28:DP28,"渋谷-夜勤")+COUNTIF('1月'!DT28:DU28,"渋谷-夜勤")+COUNTIF('1月'!DY28:DZ28,"渋谷-夜勤")+COUNTIF('1月'!ED28:EE28,"渋谷-夜勤")+COUNTIF('1月'!EI28:EJ28,"渋谷-夜勤")+COUNTIF('1月'!EN28:EO28,"渋谷-夜勤")+COUNTIF('1月'!ES28:ET28,"渋谷-夜勤")</f>
        <v>0</v>
      </c>
      <c r="I30" s="76">
        <f t="shared" si="3"/>
        <v>0</v>
      </c>
      <c r="J30" s="76">
        <f>COUNTIF('1月'!D28:E28,J$4)+COUNTIF('1月'!I28:J28,J$4)+COUNTIF('1月'!N28:O28,J$4)+COUNTIF('1月'!S28:T28,J$4)+COUNTIF('1月'!X28:Y28,J$4)+COUNTIF('1月'!AC28:AD28,J$4)+COUNTIF('1月'!AH28:AI28,J$4)+COUNTIF('1月'!AM28:AN28,J$4)+COUNTIF('1月'!AR28:AS28,J$4)+COUNTIF('1月'!AW28:AX28,J$4)+COUNTIF('1月'!BB28:BC28,J$4)+COUNTIF('1月'!BG28:BH28,J$4)+COUNTIF('1月'!BL28:BM28,J$4)+COUNTIF('1月'!BQ28:BR28,J$4)+COUNTIF('1月'!BV28:BW28,J$4)+COUNTIF('1月'!CA28:CB28,J$4)+COUNTIF('1月'!CF28:CG28,J$4)+COUNTIF('1月'!CK28:CL28,J$4)+COUNTIF('1月'!CP28:CQ28,J$4)+COUNTIF('1月'!CU28:CV28,J$4)+COUNTIF('1月'!CZ28:DA28,J$4)+COUNTIF('1月'!DE28:DF28,J$4)+COUNTIF('1月'!DJ28:DK28,J$4)+COUNTIF('1月'!DO28:DP28,J$4)+COUNTIF('1月'!DT28:DU28,J$4)+COUNTIF('1月'!DY28:DZ28,J$4)+COUNTIF('1月'!ED28:EE28,J$4)+COUNTIF('1月'!EI28:EJ28,J$4)+COUNTIF('1月'!EN28:EO28,J$4)+COUNTIF('1月'!ES28:ET28,J$4)+COUNTIF('1月'!D28:E28,"六本木-夜勤")+COUNTIF('1月'!I28:J28,"六本木-夜勤")+COUNTIF('1月'!N28:O28,"六本木-夜勤")+COUNTIF('1月'!S28:T28,"六本木-夜勤")+COUNTIF('1月'!X28:Y28,"六本木-夜勤")+COUNTIF('1月'!AC28:AD28,"六本木-夜勤")+COUNTIF('1月'!AH28:AI28,"六本木-夜勤")+COUNTIF('1月'!AM28:AN28,"六本木-夜勤")+COUNTIF('1月'!AR28:AS28,"六本木-夜勤")+COUNTIF('1月'!AW28:AX28,"六本木-夜勤")+COUNTIF('1月'!BB28:BC28,"六本木-夜勤")+COUNTIF('1月'!BG28:BH28,"六本木-夜勤")+COUNTIF('1月'!BL28:BM28,"六本木-夜勤")+COUNTIF('1月'!BQ28:BR28,"六本木-夜勤")+COUNTIF('1月'!BV28:BW28,"六本木-夜勤")+COUNTIF('1月'!CA28:CB28,"六本木-夜勤")+COUNTIF('1月'!CF28:CG28,"六本木-夜勤")+COUNTIF('1月'!CK28:CL28,"六本木-夜勤")+COUNTIF('1月'!CP28:CQ28,"六本木-夜勤")+COUNTIF('1月'!CU28:CV28,"六本木-夜勤")+COUNTIF('1月'!CZ28:DA28,"六本木-夜勤")+COUNTIF('1月'!DE28:DF28,"六本木-夜勤")+COUNTIF('1月'!DJ28:DK28,"六本木-夜勤")+COUNTIF('1月'!DO28:DP28,"六本木-夜勤")+COUNTIF('1月'!DT28:DU28,"六本木-夜勤")+COUNTIF('1月'!DY28:DZ28,"六本木-夜勤")+COUNTIF('1月'!ED28:EE28,"六本木-夜勤")+COUNTIF('1月'!EI28:EJ28,"六本木-夜勤")+COUNTIF('1月'!EN28:EO28,"六本木-夜勤")+COUNTIF('1月'!ES28:ET28,"六本木-夜勤")+COUNTIF('1月'!D28:E28,"六本木ー夜勤")+COUNTIF('1月'!I28:J28,"六本木ー夜勤")+COUNTIF('1月'!N28:O28,"六本木ー夜勤")+COUNTIF('1月'!S28:T28,"六本木ー夜勤")+COUNTIF('1月'!X28:Y28,"六本木ー夜勤")+COUNTIF('1月'!AC28:AD28,"六本木ー夜勤")+COUNTIF('1月'!AH28:AI28,"六本木ー夜勤")+COUNTIF('1月'!AM28:AN28,"六本木ー夜勤")+COUNTIF('1月'!AR28:AS28,"六本木ー夜勤")+COUNTIF('1月'!AW28:AX28,"六本木ー夜勤")+COUNTIF('1月'!BB28:BC28,"六本木ー夜勤")+COUNTIF('1月'!BG28:BH28,"六本木ー夜勤")+COUNTIF('1月'!BL28:BM28,"六本木ー夜勤")+COUNTIF('1月'!BQ28:BR28,"六本木ー夜勤")+COUNTIF('1月'!BV28:BW28,"六本木ー夜勤")+COUNTIF('1月'!CA28:CB28,"六本木ー夜勤")+COUNTIF('1月'!CF28:CG28,"六本木ー夜勤")+COUNTIF('1月'!CK28:CL28,"六本木ー夜勤")+COUNTIF('1月'!CP28:CQ28,"六本木ー夜勤")+COUNTIF('1月'!CU28:CV28,"六本木ー夜勤")+COUNTIF('1月'!CZ28:DA28,"六本木ー夜勤")+COUNTIF('1月'!DE28:DF28,"六本木ー夜勤")+COUNTIF('1月'!DJ28:DK28,"六本木ー夜勤")+COUNTIF('1月'!DO28:DP28,"六本木ー夜勤")+COUNTIF('1月'!DT28:DU28,"六本木ー夜勤")+COUNTIF('1月'!DY28:DZ28,"六本木ー夜勤")+COUNTIF('1月'!ED28:EE28,"六本木ー夜勤")+COUNTIF('1月'!EI28:EJ28,"六本木ー夜勤")+COUNTIF('1月'!EN28:EO28,"六本木ー夜勤")+COUNTIF('1月'!ES28:ET28,"六本木ー夜勤")</f>
        <v>0</v>
      </c>
      <c r="K30" s="76">
        <f t="shared" si="4"/>
        <v>0</v>
      </c>
      <c r="L30" s="76">
        <f>COUNTIF('1月'!D28:E28,L$4)+COUNTIF('1月'!I28:J28,L$4)+COUNTIF('1月'!N28:O28,L$4)+COUNTIF('1月'!S28:T28,L$4)+COUNTIF('1月'!X28:Y28,L$4)+COUNTIF('1月'!AC28:AD28,L$4)+COUNTIF('1月'!AH28:AI28,L$4)+COUNTIF('1月'!AM28:AN28,L$4)+COUNTIF('1月'!AR28:AS28,L$4)+COUNTIF('1月'!AW28:AX28,L$4)+COUNTIF('1月'!BB28:BC28,L$4)+COUNTIF('1月'!BG28:BH28,L$4)+COUNTIF('1月'!BL28:BM28,L$4)+COUNTIF('1月'!BQ28:BR28,L$4)+COUNTIF('1月'!BV28:BW28,L$4)+COUNTIF('1月'!CA28:CB28,L$4)+COUNTIF('1月'!CF28:CG28,L$4)+COUNTIF('1月'!CK28:CL28,L$4)+COUNTIF('1月'!CP28:CQ28,L$4)+COUNTIF('1月'!CU28:CV28,L$4)+COUNTIF('1月'!CZ28:DA28,L$4)+COUNTIF('1月'!DE28:DF28,L$4)+COUNTIF('1月'!DJ28:DK28,L$4)+COUNTIF('1月'!DO28:DP28,L$4)+COUNTIF('1月'!DT28:DU28,L$4)+COUNTIF('1月'!DY28:DZ28,L$4)+COUNTIF('1月'!ED28:EE28,L$4)+COUNTIF('1月'!EI28:EJ28,L$4)+COUNTIF('1月'!EN28:EO28,L$4)+COUNTIF('1月'!ES28:ET28,L$4)</f>
        <v>0</v>
      </c>
      <c r="M30" s="76">
        <f t="shared" si="5"/>
        <v>0</v>
      </c>
      <c r="N30" s="76">
        <f>COUNTIF('1月'!D28:E28,N$4)+COUNTIF('1月'!I28:J28,N$4)+COUNTIF('1月'!N28:O28,N$4)+COUNTIF('1月'!S28:T28,N$4)+COUNTIF('1月'!X28:Y28,N$4)+COUNTIF('1月'!AC28:AD28,N$4)+COUNTIF('1月'!AH28:AI28,N$4)+COUNTIF('1月'!AM28:AN28,N$4)+COUNTIF('1月'!AR28:AS28,N$4)+COUNTIF('1月'!AW28:AX28,N$4)+COUNTIF('1月'!BB28:BC28,N$4)+COUNTIF('1月'!BG28:BH28,N$4)+COUNTIF('1月'!BL28:BM28,N$4)+COUNTIF('1月'!BQ28:BR28,N$4)+COUNTIF('1月'!BV28:BW28,N$4)+COUNTIF('1月'!CA28:CB28,N$4)+COUNTIF('1月'!CF28:CG28,N$4)+COUNTIF('1月'!CK28:CL28,N$4)+COUNTIF('1月'!CP28:CQ28,N$4)+COUNTIF('1月'!CU28:CV28,N$4)+COUNTIF('1月'!CZ28:DA28,N$4)+COUNTIF('1月'!DE28:DF28,N$4)+COUNTIF('1月'!DJ28:DK28,N$4)+COUNTIF('1月'!DO28:DP28,N$4)+COUNTIF('1月'!DT28:DU28,N$4)+COUNTIF('1月'!DY28:DZ28,N$4)+COUNTIF('1月'!ED28:EE28,N$4)+COUNTIF('1月'!EI28:EJ28,N$4)+COUNTIF('1月'!EN28:EO28,N$4)+COUNTIF('1月'!ES28:ET28,N$4)+COUNTIF('1月'!D28:E28,"三軒茶屋－夜勤")+COUNTIF('1月'!I28:J28,"三軒茶屋－夜勤")+COUNTIF('1月'!N28:O28,"三軒茶屋－夜勤")+COUNTIF('1月'!S28:T28,"三軒茶屋－夜勤")+COUNTIF('1月'!X28:Y28,"三軒茶屋－夜勤")+COUNTIF('1月'!AC28:AD28,"三軒茶屋－夜勤")+COUNTIF('1月'!AH28:AI28,"三軒茶屋－夜勤")+COUNTIF('1月'!AM28:AN28,"三軒茶屋－夜勤")+COUNTIF('1月'!AR28:AS28,"三軒茶屋－夜勤")+COUNTIF('1月'!AW28:AX28,"三軒茶屋－夜勤")+COUNTIF('1月'!BB28:BC28,"三軒茶屋－夜勤")+COUNTIF('1月'!BG28:BH28,"三軒茶屋－夜勤")+COUNTIF('1月'!BL28:BM28,"三軒茶屋－夜勤")+COUNTIF('1月'!BQ28:BR28,"三軒茶屋－夜勤")+COUNTIF('1月'!BV28:BW28,"三軒茶屋－夜勤")+COUNTIF('1月'!CA28:CB28,"三軒茶屋－夜勤")+COUNTIF('1月'!CF28:CG28,"三軒茶屋－夜勤")+COUNTIF('1月'!CK28:CL28,"三軒茶屋－夜勤")+COUNTIF('1月'!CP28:CQ28,"三軒茶屋－夜勤")+COUNTIF('1月'!CU28:CV28,"三軒茶屋－夜勤")+COUNTIF('1月'!CZ28:DA28,"三軒茶屋－夜勤")+COUNTIF('1月'!DE28:DF28,"三軒茶屋－夜勤")+COUNTIF('1月'!DJ28:DK28,"三軒茶屋－夜勤")+COUNTIF('1月'!DO28:DP28,"三軒茶屋－夜勤")+COUNTIF('1月'!DT28:DU28,"三軒茶屋－夜勤")+COUNTIF('1月'!DY28:DZ28,"三軒茶屋－夜勤")+COUNTIF('1月'!ED28:EE28,"三軒茶屋－夜勤")+COUNTIF('1月'!EI28:EJ28,"三軒茶屋－夜勤")+COUNTIF('1月'!EN28:EO28,"三軒茶屋－夜勤")+COUNTIF('1月'!ES28:ET28,"三軒茶屋－夜勤")</f>
        <v>0</v>
      </c>
      <c r="O30" s="76">
        <f t="shared" si="6"/>
        <v>0</v>
      </c>
      <c r="P30" s="76">
        <f>COUNTIF('1月'!D28:E28,P$4)+COUNTIF('1月'!I28:J28,P$4)+COUNTIF('1月'!N28:O28,P$4)+COUNTIF('1月'!S28:T28,P$4)+COUNTIF('1月'!X28:Y28,P$4)+COUNTIF('1月'!AC28:AD28,P$4)+COUNTIF('1月'!AH28:AI28,P$4)+COUNTIF('1月'!AM28:AN28,P$4)+COUNTIF('1月'!AR28:AS28,P$4)+COUNTIF('1月'!AW28:AX28,P$4)+COUNTIF('1月'!BB28:BC28,P$4)+COUNTIF('1月'!BG28:BH28,P$4)+COUNTIF('1月'!BL28:BM28,P$4)+COUNTIF('1月'!BQ28:BR28,P$4)+COUNTIF('1月'!BV28:BW28,P$4)+COUNTIF('1月'!CA28:CB28,P$4)+COUNTIF('1月'!CF28:CG28,P$4)+COUNTIF('1月'!CK28:CL28,P$4)+COUNTIF('1月'!CP28:CQ28,P$4)+COUNTIF('1月'!CU28:CV28,P$4)+COUNTIF('1月'!CZ28:DA28,P$4)+COUNTIF('1月'!DE28:DF28,P$4)+COUNTIF('1月'!DJ28:DK28,P$4)+COUNTIF('1月'!DO28:DP28,P$4)+COUNTIF('1月'!DT28:DU28,P$4)+COUNTIF('1月'!DY28:DZ28,P$4)+COUNTIF('1月'!ED28:EE28,P$4)+COUNTIF('1月'!EI28:EJ28,P$4)+COUNTIF('1月'!EN28:EO28,P$4)+COUNTIF('1月'!ES28:ET28,P$4)+COUNTIF('1月'!D28:E28,"荻窪ー夜勤")+COUNTIF('1月'!I28:J28,"荻窪ー夜勤")+COUNTIF('1月'!N28:O28,"荻窪ー夜勤")+COUNTIF('1月'!S28:T28,"荻窪ー夜勤")+COUNTIF('1月'!X28:Y28,"荻窪ー夜勤")+COUNTIF('1月'!AC28:AD28,"荻窪ー夜勤")+COUNTIF('1月'!AH28:AI28,"荻窪ー夜勤")+COUNTIF('1月'!AM28:AN28,"荻窪ー夜勤")+COUNTIF('1月'!AR28:AS28,"荻窪ー夜勤")+COUNTIF('1月'!AW28:AX28,"荻窪ー夜勤")+COUNTIF('1月'!BB28:BC28,"荻窪ー夜勤")+COUNTIF('1月'!BG28:BH28,"荻窪ー夜勤")+COUNTIF('1月'!BL28:BM28,"荻窪ー夜勤")+COUNTIF('1月'!BQ28:BR28,"荻窪ー夜勤")+COUNTIF('1月'!BV28:BW28,"荻窪ー夜勤")+COUNTIF('1月'!CA28:CB28,"荻窪ー夜勤")+COUNTIF('1月'!CF28:CG28,"荻窪ー夜勤")+COUNTIF('1月'!CK28:CL28,"荻窪ー夜勤")+COUNTIF('1月'!CP28:CQ28,"荻窪ー夜勤")+COUNTIF('1月'!CU28:CV28,"荻窪ー夜勤")+COUNTIF('1月'!CZ28:DA28,"荻窪ー夜勤")+COUNTIF('1月'!DE28:DF28,"荻窪ー夜勤")+COUNTIF('1月'!DJ28:DK28,"荻窪ー夜勤")+COUNTIF('1月'!DO28:DP28,"荻窪ー夜勤")+COUNTIF('1月'!DT28:DU28,"荻窪ー夜勤")+COUNTIF('1月'!DY28:DZ28,"荻窪ー夜勤")+COUNTIF('1月'!ED28:EE28,"荻窪ー夜勤")+COUNTIF('1月'!EI28:EJ28,"荻窪ー夜勤")+COUNTIF('1月'!EN28:EO28,"荻窪ー夜勤")+COUNTIF('1月'!ES28:ET28,"荻窪ー夜勤")</f>
        <v>0</v>
      </c>
      <c r="Q30" s="76">
        <f t="shared" si="7"/>
        <v>0</v>
      </c>
      <c r="R30" s="76">
        <f>COUNTIF('1月'!D28:E28,R$4)+COUNTIF('1月'!I28:J28,R$4)+COUNTIF('1月'!N28:O28,R$4)+COUNTIF('1月'!S28:T28,R$4)+COUNTIF('1月'!X28:Y28,R$4)+COUNTIF('1月'!AC28:AD28,R$4)+COUNTIF('1月'!AH28:AI28,R$4)+COUNTIF('1月'!AM28:AN28,R$4)+COUNTIF('1月'!AR28:AS28,R$4)+COUNTIF('1月'!AW28:AX28,R$4)+COUNTIF('1月'!BB28:BC28,R$4)+COUNTIF('1月'!BG28:BH28,R$4)+COUNTIF('1月'!BL28:BM28,R$4)+COUNTIF('1月'!BQ28:BR28,R$4)+COUNTIF('1月'!BV28:BW28,R$4)+COUNTIF('1月'!CA28:CB28,R$4)+COUNTIF('1月'!CF28:CG28,R$4)+COUNTIF('1月'!CK28:CL28,R$4)+COUNTIF('1月'!CP28:CQ28,R$4)+COUNTIF('1月'!CU28:CV28,R$4)+COUNTIF('1月'!CZ28:DA28,R$4)+COUNTIF('1月'!DE28:DF28,R$4)+COUNTIF('1月'!DJ28:DK28,R$4)+COUNTIF('1月'!DO28:DP28,R$4)+COUNTIF('1月'!DT28:DU28,R$4)+COUNTIF('1月'!DY28:DZ28,R$4)+COUNTIF('1月'!ED28:EE28,R$4)+COUNTIF('1月'!EI28:EJ28,R$4)+COUNTIF('1月'!EN28:EO28,R$4)+COUNTIF('1月'!ES28:ET28,R$4)</f>
        <v>0</v>
      </c>
      <c r="S30" s="76">
        <f t="shared" si="8"/>
        <v>0</v>
      </c>
      <c r="T30" s="76">
        <f>COUNTIF('1月'!D28:E28,T$4)+COUNTIF('1月'!I28:J28,T$4)+COUNTIF('1月'!N28:O28,T$4)+COUNTIF('1月'!S28:T28,T$4)+COUNTIF('1月'!X28:Y28,T$4)+COUNTIF('1月'!AC28:AD28,T$4)+COUNTIF('1月'!AH28:AI28,T$4)+COUNTIF('1月'!AM28:AN28,T$4)+COUNTIF('1月'!AR28:AS28,T$4)+COUNTIF('1月'!AW28:AX28,T$4)+COUNTIF('1月'!BB28:BC28,T$4)+COUNTIF('1月'!BG28:BH28,T$4)+COUNTIF('1月'!BL28:BM28,T$4)+COUNTIF('1月'!BQ28:BR28,T$4)+COUNTIF('1月'!BV28:BW28,T$4)+COUNTIF('1月'!CA28:CB28,T$4)+COUNTIF('1月'!CF28:CG28,T$4)+COUNTIF('1月'!CK28:CL28,T$4)+COUNTIF('1月'!CP28:CQ28,T$4)+COUNTIF('1月'!CU28:CV28,T$4)+COUNTIF('1月'!CZ28:DA28,T$4)+COUNTIF('1月'!DE28:DF28,T$4)+COUNTIF('1月'!DJ28:DK28,T$4)+COUNTIF('1月'!DO28:DP28,T$4)+COUNTIF('1月'!DT28:DU28,T$4)+COUNTIF('1月'!DY28:DZ28,T$4)+COUNTIF('1月'!ED28:EE28,T$4)+COUNTIF('1月'!EI28:EJ28,T$4)+COUNTIF('1月'!EN28:EO28,T$4)+COUNTIF('1月'!ES28:ET28,T$4)</f>
        <v>0</v>
      </c>
      <c r="U30" s="76">
        <f t="shared" si="9"/>
        <v>0</v>
      </c>
      <c r="V30" s="76">
        <f>COUNTIF('1月'!D28:E28,V$4)+COUNTIF('1月'!I28:J28,V$4)+COUNTIF('1月'!N28:O28,V$4)+COUNTIF('1月'!S28:T28,V$4)+COUNTIF('1月'!X28:Y28,V$4)+COUNTIF('1月'!AC28:AD28,V$4)+COUNTIF('1月'!AH28:AI28,V$4)+COUNTIF('1月'!AM28:AN28,V$4)+COUNTIF('1月'!AR28:AS28,V$4)+COUNTIF('1月'!AW28:AX28,V$4)+COUNTIF('1月'!BB28:BC28,V$4)+COUNTIF('1月'!BG28:BH28,V$4)+COUNTIF('1月'!BL28:BM28,V$4)+COUNTIF('1月'!BQ28:BR28,V$4)+COUNTIF('1月'!BV28:BW28,V$4)+COUNTIF('1月'!CA28:CB28,V$4)+COUNTIF('1月'!CF28:CG28,V$4)+COUNTIF('1月'!CK28:CL28,V$4)+COUNTIF('1月'!CP28:CQ28,V$4)+COUNTIF('1月'!CU28:CV28,V$4)+COUNTIF('1月'!CZ28:DA28,V$4)+COUNTIF('1月'!DE28:DF28,V$4)+COUNTIF('1月'!DJ28:DK28,V$4)+COUNTIF('1月'!DO28:DP28,V$4)+COUNTIF('1月'!DT28:DU28,V$4)+COUNTIF('1月'!DY28:DZ28,V$4)+COUNTIF('1月'!ED28:EE28,V$4)+COUNTIF('1月'!EI28:EJ28,V$4)+COUNTIF('1月'!EN28:EO28,V$4)+COUNTIF('1月'!ES28:ET28,V$4)</f>
        <v>0</v>
      </c>
      <c r="W30" s="76">
        <f t="shared" si="10"/>
        <v>0</v>
      </c>
      <c r="X30" s="76">
        <f>COUNTIF('1月'!D28:E28,X$4)+COUNTIF('1月'!I28:J28,X$4)+COUNTIF('1月'!N28:O28,X$4)+COUNTIF('1月'!S28:T28,X$4)+COUNTIF('1月'!X28:Y28,X$4)+COUNTIF('1月'!AC28:AD28,X$4)+COUNTIF('1月'!AH28:AI28,X$4)+COUNTIF('1月'!AM28:AN28,X$4)+COUNTIF('1月'!AR28:AS28,X$4)+COUNTIF('1月'!AW28:AX28,X$4)+COUNTIF('1月'!BB28:BC28,X$4)+COUNTIF('1月'!BG28:BH28,X$4)+COUNTIF('1月'!BL28:BM28,X$4)+COUNTIF('1月'!BQ28:BR28,X$4)+COUNTIF('1月'!BV28:BW28,X$4)+COUNTIF('1月'!CA28:CB28,X$4)+COUNTIF('1月'!CF28:CG28,X$4)+COUNTIF('1月'!CK28:CL28,X$4)+COUNTIF('1月'!CP28:CQ28,X$4)+COUNTIF('1月'!CU28:CV28,X$4)+COUNTIF('1月'!CZ28:DA28,X$4)+COUNTIF('1月'!DE28:DF28,X$4)+COUNTIF('1月'!DJ28:DK28,X$4)+COUNTIF('1月'!DO28:DP28,X$4)+COUNTIF('1月'!DT28:DU28,X$4)+COUNTIF('1月'!DY28:DZ28,X$4)+COUNTIF('1月'!ED28:EE28,X$4)+COUNTIF('1月'!EI28:EJ28,X$4)+COUNTIF('1月'!EN28:EO28,X$4)+COUNTIF('1月'!ES28:ET28,X$4)</f>
        <v>0</v>
      </c>
      <c r="Y30" s="76">
        <f t="shared" si="11"/>
        <v>0</v>
      </c>
    </row>
    <row r="31" spans="1:25" ht="18" customHeight="1">
      <c r="A31" s="76">
        <v>26</v>
      </c>
      <c r="B31" s="76">
        <f>COUNTIF('1月'!D29:E29,B$4)+COUNTIF('1月'!I29:J29,B$4)+COUNTIF('1月'!N29:O29,B$4)+COUNTIF('1月'!S29:T29,B$4)+COUNTIF('1月'!X29:Y29,B$4)+COUNTIF('1月'!AC29:AD29,B$4)+COUNTIF('1月'!AH29:AI29,B$4)+COUNTIF('1月'!AM29:AN29,B$4)+COUNTIF('1月'!AR29:AS29,B$4)+COUNTIF('1月'!AW29:AX29,B$4)+COUNTIF('1月'!BB29:BC29,B$4)+COUNTIF('1月'!BG29:BH29,B$4)+COUNTIF('1月'!BL29:BM29,B$4)+COUNTIF('1月'!BQ29:BR29,B$4)+COUNTIF('1月'!BV29:BW29,B$4)+COUNTIF('1月'!CA29:CB29,B$4)+COUNTIF('1月'!CF29:CG29,B$4)+COUNTIF('1月'!CK29:CL29,B$4)+COUNTIF('1月'!CP29:CQ29,B$4)+COUNTIF('1月'!CU29:CV29,B$4)+COUNTIF('1月'!CZ29:DA29,B$4)+COUNTIF('1月'!DE29:DF29,B$4)+COUNTIF('1月'!DJ29:DK29,B$4)+COUNTIF('1月'!DO29:DP29,B$4)+COUNTIF('1月'!DT29:DU29,B$4)+COUNTIF('1月'!DY29:DZ29,B$4)+COUNTIF('1月'!ED29:EE29,B$4)+COUNTIF('1月'!EI29:EJ29,B$4)+COUNTIF('1月'!EN29:EO29,B$4)+COUNTIF('1月'!ES29:ET29,B$4)</f>
        <v>4</v>
      </c>
      <c r="C31" s="76">
        <f t="shared" si="0"/>
        <v>24</v>
      </c>
      <c r="D31" s="76">
        <f>COUNTIF('1月'!D29:E29,D$4)+COUNTIF('1月'!I29:J29,D$4)+COUNTIF('1月'!N29:O29,D$4)+COUNTIF('1月'!S29:T29,D$4)+COUNTIF('1月'!X29:Y29,D$4)+COUNTIF('1月'!AC29:AD29,D$4)+COUNTIF('1月'!AH29:AI29,D$4)+COUNTIF('1月'!AM29:AN29,D$4)+COUNTIF('1月'!AR29:AS29,D$4)+COUNTIF('1月'!AW29:AX29,D$4)+COUNTIF('1月'!BB29:BC29,D$4)+COUNTIF('1月'!BG29:BH29,D$4)+COUNTIF('1月'!BL29:BM29,D$4)+COUNTIF('1月'!BQ29:BR29,D$4)+COUNTIF('1月'!BV29:BW29,D$4)+COUNTIF('1月'!CA29:CB29,D$4)+COUNTIF('1月'!CF29:CG29,D$4)+COUNTIF('1月'!CK29:CL29,D$4)+COUNTIF('1月'!CP29:CQ29,D$4)+COUNTIF('1月'!CU29:CV29,D$4)+COUNTIF('1月'!CZ29:DA29,D$4)+COUNTIF('1月'!DE29:DF29,D$4)+COUNTIF('1月'!DJ29:DK29,D$4)+COUNTIF('1月'!DO29:DP29,D$4)+COUNTIF('1月'!DT29:DU29,D$4)+COUNTIF('1月'!DY29:DZ29,D$4)+COUNTIF('1月'!ED29:EE29,D$4)+COUNTIF('1月'!EI29:EJ29,D$4)+COUNTIF('1月'!EN29:EO29,D$4)+COUNTIF('1月'!ES29:ET29,D$4)</f>
        <v>0</v>
      </c>
      <c r="E31" s="76">
        <f t="shared" si="1"/>
        <v>0</v>
      </c>
      <c r="F31" s="76">
        <f>COUNTIF('1月'!D29:E29,F$4)+COUNTIF('1月'!I29:J29,F$4)+COUNTIF('1月'!N29:O29,F$4)+COUNTIF('1月'!S29:T29,F$4)+COUNTIF('1月'!X29:Y29,F$4)+COUNTIF('1月'!AC29:AD29,F$4)+COUNTIF('1月'!AH29:AI29,F$4)+COUNTIF('1月'!AM29:AN29,F$4)+COUNTIF('1月'!AR29:AS29,F$4)+COUNTIF('1月'!AW29:AX29,F$4)+COUNTIF('1月'!BB29:BC29,F$4)+COUNTIF('1月'!BG29:BH29,F$4)+COUNTIF('1月'!BL29:BM29,F$4)+COUNTIF('1月'!BQ29:BR29,F$4)+COUNTIF('1月'!BV29:BW29,F$4)+COUNTIF('1月'!CA29:CB29,F$4)+COUNTIF('1月'!CF29:CG29,F$4)+COUNTIF('1月'!CK29:CL29,F$4)+COUNTIF('1月'!CP29:CQ29,F$4)+COUNTIF('1月'!CU29:CV29,F$4)+COUNTIF('1月'!CZ29:DA29,F$4)+COUNTIF('1月'!DE29:DF29,F$4)+COUNTIF('1月'!DJ29:DK29,F$4)+COUNTIF('1月'!DO29:DP29,F$4)+COUNTIF('1月'!DT29:DU29,F$4)+COUNTIF('1月'!DY29:DZ29,F$4)+COUNTIF('1月'!ED29:EE29,F$4)+COUNTIF('1月'!EI29:EJ29,F$4)+COUNTIF('1月'!EN29:EO29,F$4)+COUNTIF('1月'!ES29:ET29,F$4)</f>
        <v>0</v>
      </c>
      <c r="G31" s="76">
        <f t="shared" si="2"/>
        <v>0</v>
      </c>
      <c r="H31" s="76">
        <f>COUNTIF('1月'!D29:E29,H$4)+COUNTIF('1月'!I29:J29,H$4)+COUNTIF('1月'!N29:O29,H$4)+COUNTIF('1月'!S29:T29,H$4)+COUNTIF('1月'!X29:Y29,H$4)+COUNTIF('1月'!AC29:AD29,H$4)+COUNTIF('1月'!AH29:AI29,H$4)+COUNTIF('1月'!AM29:AN29,H$4)+COUNTIF('1月'!AR29:AS29,H$4)+COUNTIF('1月'!AW29:AX29,H$4)+COUNTIF('1月'!BB29:BC29,H$4)+COUNTIF('1月'!BG29:BH29,H$4)+COUNTIF('1月'!BL29:BM29,H$4)+COUNTIF('1月'!BQ29:BR29,H$4)+COUNTIF('1月'!BV29:BW29,H$4)+COUNTIF('1月'!CA29:CB29,H$4)+COUNTIF('1月'!CF29:CG29,H$4)+COUNTIF('1月'!CK29:CL29,H$4)+COUNTIF('1月'!CP29:CQ29,H$4)+COUNTIF('1月'!CU29:CV29,H$4)+COUNTIF('1月'!CZ29:DA29,H$4)+COUNTIF('1月'!DE29:DF29,H$4)+COUNTIF('1月'!DJ29:DK29,H$4)+COUNTIF('1月'!DO29:DP29,H$4)+COUNTIF('1月'!DT29:DU29,H$4)+COUNTIF('1月'!DY29:DZ29,H$4)+COUNTIF('1月'!ED29:EE29,H$4)+COUNTIF('1月'!EI29:EJ29,H$4)+COUNTIF('1月'!EN29:EO29,H$4)+COUNTIF('1月'!ES29:ET29,H$4)+COUNTIF('1月'!D29:E29,"渋谷-夜勤")+COUNTIF('1月'!I29:J29,"渋谷-夜勤")+COUNTIF('1月'!N29:O29,"渋谷-夜勤")+COUNTIF('1月'!S29:T29,"渋谷-夜勤")+COUNTIF('1月'!X29:Y29,"渋谷-夜勤")+COUNTIF('1月'!AC29:AD29,"渋谷-夜勤")+COUNTIF('1月'!AH29:AI29,"渋谷-夜勤")+COUNTIF('1月'!AM29:AN29,"渋谷-夜勤")+COUNTIF('1月'!AR29:AS29,"渋谷-夜勤")+COUNTIF('1月'!AW29:AX29,"渋谷-夜勤")+COUNTIF('1月'!BB29:BC29,"渋谷-夜勤")+COUNTIF('1月'!BG29:BH29,"渋谷-夜勤")+COUNTIF('1月'!BL29:BM29,"渋谷-夜勤")+COUNTIF('1月'!BQ29:BR29,"渋谷-夜勤")+COUNTIF('1月'!BV29:BW29,"渋谷-夜勤")+COUNTIF('1月'!CA29:CB29,"渋谷-夜勤")+COUNTIF('1月'!CF29:CG29,"渋谷-夜勤")+COUNTIF('1月'!CK29:CL29,"渋谷-夜勤")+COUNTIF('1月'!CP29:CQ29,"渋谷-夜勤")+COUNTIF('1月'!CU29:CV29,"渋谷-夜勤")+COUNTIF('1月'!CZ29:DA29,"渋谷-夜勤")+COUNTIF('1月'!DE29:DF29,"渋谷-夜勤")+COUNTIF('1月'!DJ29:DK29,"渋谷-夜勤")+COUNTIF('1月'!DO29:DP29,"渋谷-夜勤")+COUNTIF('1月'!DT29:DU29,"渋谷-夜勤")+COUNTIF('1月'!DY29:DZ29,"渋谷-夜勤")+COUNTIF('1月'!ED29:EE29,"渋谷-夜勤")+COUNTIF('1月'!EI29:EJ29,"渋谷-夜勤")+COUNTIF('1月'!EN29:EO29,"渋谷-夜勤")+COUNTIF('1月'!ES29:ET29,"渋谷-夜勤")</f>
        <v>0</v>
      </c>
      <c r="I31" s="76">
        <f t="shared" si="3"/>
        <v>0</v>
      </c>
      <c r="J31" s="76">
        <f>COUNTIF('1月'!D29:E29,J$4)+COUNTIF('1月'!I29:J29,J$4)+COUNTIF('1月'!N29:O29,J$4)+COUNTIF('1月'!S29:T29,J$4)+COUNTIF('1月'!X29:Y29,J$4)+COUNTIF('1月'!AC29:AD29,J$4)+COUNTIF('1月'!AH29:AI29,J$4)+COUNTIF('1月'!AM29:AN29,J$4)+COUNTIF('1月'!AR29:AS29,J$4)+COUNTIF('1月'!AW29:AX29,J$4)+COUNTIF('1月'!BB29:BC29,J$4)+COUNTIF('1月'!BG29:BH29,J$4)+COUNTIF('1月'!BL29:BM29,J$4)+COUNTIF('1月'!BQ29:BR29,J$4)+COUNTIF('1月'!BV29:BW29,J$4)+COUNTIF('1月'!CA29:CB29,J$4)+COUNTIF('1月'!CF29:CG29,J$4)+COUNTIF('1月'!CK29:CL29,J$4)+COUNTIF('1月'!CP29:CQ29,J$4)+COUNTIF('1月'!CU29:CV29,J$4)+COUNTIF('1月'!CZ29:DA29,J$4)+COUNTIF('1月'!DE29:DF29,J$4)+COUNTIF('1月'!DJ29:DK29,J$4)+COUNTIF('1月'!DO29:DP29,J$4)+COUNTIF('1月'!DT29:DU29,J$4)+COUNTIF('1月'!DY29:DZ29,J$4)+COUNTIF('1月'!ED29:EE29,J$4)+COUNTIF('1月'!EI29:EJ29,J$4)+COUNTIF('1月'!EN29:EO29,J$4)+COUNTIF('1月'!ES29:ET29,J$4)+COUNTIF('1月'!D29:E29,"六本木-夜勤")+COUNTIF('1月'!I29:J29,"六本木-夜勤")+COUNTIF('1月'!N29:O29,"六本木-夜勤")+COUNTIF('1月'!S29:T29,"六本木-夜勤")+COUNTIF('1月'!X29:Y29,"六本木-夜勤")+COUNTIF('1月'!AC29:AD29,"六本木-夜勤")+COUNTIF('1月'!AH29:AI29,"六本木-夜勤")+COUNTIF('1月'!AM29:AN29,"六本木-夜勤")+COUNTIF('1月'!AR29:AS29,"六本木-夜勤")+COUNTIF('1月'!AW29:AX29,"六本木-夜勤")+COUNTIF('1月'!BB29:BC29,"六本木-夜勤")+COUNTIF('1月'!BG29:BH29,"六本木-夜勤")+COUNTIF('1月'!BL29:BM29,"六本木-夜勤")+COUNTIF('1月'!BQ29:BR29,"六本木-夜勤")+COUNTIF('1月'!BV29:BW29,"六本木-夜勤")+COUNTIF('1月'!CA29:CB29,"六本木-夜勤")+COUNTIF('1月'!CF29:CG29,"六本木-夜勤")+COUNTIF('1月'!CK29:CL29,"六本木-夜勤")+COUNTIF('1月'!CP29:CQ29,"六本木-夜勤")+COUNTIF('1月'!CU29:CV29,"六本木-夜勤")+COUNTIF('1月'!CZ29:DA29,"六本木-夜勤")+COUNTIF('1月'!DE29:DF29,"六本木-夜勤")+COUNTIF('1月'!DJ29:DK29,"六本木-夜勤")+COUNTIF('1月'!DO29:DP29,"六本木-夜勤")+COUNTIF('1月'!DT29:DU29,"六本木-夜勤")+COUNTIF('1月'!DY29:DZ29,"六本木-夜勤")+COUNTIF('1月'!ED29:EE29,"六本木-夜勤")+COUNTIF('1月'!EI29:EJ29,"六本木-夜勤")+COUNTIF('1月'!EN29:EO29,"六本木-夜勤")+COUNTIF('1月'!ES29:ET29,"六本木-夜勤")+COUNTIF('1月'!D29:E29,"六本木ー夜勤")+COUNTIF('1月'!I29:J29,"六本木ー夜勤")+COUNTIF('1月'!N29:O29,"六本木ー夜勤")+COUNTIF('1月'!S29:T29,"六本木ー夜勤")+COUNTIF('1月'!X29:Y29,"六本木ー夜勤")+COUNTIF('1月'!AC29:AD29,"六本木ー夜勤")+COUNTIF('1月'!AH29:AI29,"六本木ー夜勤")+COUNTIF('1月'!AM29:AN29,"六本木ー夜勤")+COUNTIF('1月'!AR29:AS29,"六本木ー夜勤")+COUNTIF('1月'!AW29:AX29,"六本木ー夜勤")+COUNTIF('1月'!BB29:BC29,"六本木ー夜勤")+COUNTIF('1月'!BG29:BH29,"六本木ー夜勤")+COUNTIF('1月'!BL29:BM29,"六本木ー夜勤")+COUNTIF('1月'!BQ29:BR29,"六本木ー夜勤")+COUNTIF('1月'!BV29:BW29,"六本木ー夜勤")+COUNTIF('1月'!CA29:CB29,"六本木ー夜勤")+COUNTIF('1月'!CF29:CG29,"六本木ー夜勤")+COUNTIF('1月'!CK29:CL29,"六本木ー夜勤")+COUNTIF('1月'!CP29:CQ29,"六本木ー夜勤")+COUNTIF('1月'!CU29:CV29,"六本木ー夜勤")+COUNTIF('1月'!CZ29:DA29,"六本木ー夜勤")+COUNTIF('1月'!DE29:DF29,"六本木ー夜勤")+COUNTIF('1月'!DJ29:DK29,"六本木ー夜勤")+COUNTIF('1月'!DO29:DP29,"六本木ー夜勤")+COUNTIF('1月'!DT29:DU29,"六本木ー夜勤")+COUNTIF('1月'!DY29:DZ29,"六本木ー夜勤")+COUNTIF('1月'!ED29:EE29,"六本木ー夜勤")+COUNTIF('1月'!EI29:EJ29,"六本木ー夜勤")+COUNTIF('1月'!EN29:EO29,"六本木ー夜勤")+COUNTIF('1月'!ES29:ET29,"六本木ー夜勤")</f>
        <v>1</v>
      </c>
      <c r="K31" s="76">
        <f t="shared" si="4"/>
        <v>1</v>
      </c>
      <c r="L31" s="76">
        <f>COUNTIF('1月'!D29:E29,L$4)+COUNTIF('1月'!I29:J29,L$4)+COUNTIF('1月'!N29:O29,L$4)+COUNTIF('1月'!S29:T29,L$4)+COUNTIF('1月'!X29:Y29,L$4)+COUNTIF('1月'!AC29:AD29,L$4)+COUNTIF('1月'!AH29:AI29,L$4)+COUNTIF('1月'!AM29:AN29,L$4)+COUNTIF('1月'!AR29:AS29,L$4)+COUNTIF('1月'!AW29:AX29,L$4)+COUNTIF('1月'!BB29:BC29,L$4)+COUNTIF('1月'!BG29:BH29,L$4)+COUNTIF('1月'!BL29:BM29,L$4)+COUNTIF('1月'!BQ29:BR29,L$4)+COUNTIF('1月'!BV29:BW29,L$4)+COUNTIF('1月'!CA29:CB29,L$4)+COUNTIF('1月'!CF29:CG29,L$4)+COUNTIF('1月'!CK29:CL29,L$4)+COUNTIF('1月'!CP29:CQ29,L$4)+COUNTIF('1月'!CU29:CV29,L$4)+COUNTIF('1月'!CZ29:DA29,L$4)+COUNTIF('1月'!DE29:DF29,L$4)+COUNTIF('1月'!DJ29:DK29,L$4)+COUNTIF('1月'!DO29:DP29,L$4)+COUNTIF('1月'!DT29:DU29,L$4)+COUNTIF('1月'!DY29:DZ29,L$4)+COUNTIF('1月'!ED29:EE29,L$4)+COUNTIF('1月'!EI29:EJ29,L$4)+COUNTIF('1月'!EN29:EO29,L$4)+COUNTIF('1月'!ES29:ET29,L$4)</f>
        <v>0</v>
      </c>
      <c r="M31" s="76">
        <f t="shared" si="5"/>
        <v>0</v>
      </c>
      <c r="N31" s="76">
        <f>COUNTIF('1月'!D29:E29,N$4)+COUNTIF('1月'!I29:J29,N$4)+COUNTIF('1月'!N29:O29,N$4)+COUNTIF('1月'!S29:T29,N$4)+COUNTIF('1月'!X29:Y29,N$4)+COUNTIF('1月'!AC29:AD29,N$4)+COUNTIF('1月'!AH29:AI29,N$4)+COUNTIF('1月'!AM29:AN29,N$4)+COUNTIF('1月'!AR29:AS29,N$4)+COUNTIF('1月'!AW29:AX29,N$4)+COUNTIF('1月'!BB29:BC29,N$4)+COUNTIF('1月'!BG29:BH29,N$4)+COUNTIF('1月'!BL29:BM29,N$4)+COUNTIF('1月'!BQ29:BR29,N$4)+COUNTIF('1月'!BV29:BW29,N$4)+COUNTIF('1月'!CA29:CB29,N$4)+COUNTIF('1月'!CF29:CG29,N$4)+COUNTIF('1月'!CK29:CL29,N$4)+COUNTIF('1月'!CP29:CQ29,N$4)+COUNTIF('1月'!CU29:CV29,N$4)+COUNTIF('1月'!CZ29:DA29,N$4)+COUNTIF('1月'!DE29:DF29,N$4)+COUNTIF('1月'!DJ29:DK29,N$4)+COUNTIF('1月'!DO29:DP29,N$4)+COUNTIF('1月'!DT29:DU29,N$4)+COUNTIF('1月'!DY29:DZ29,N$4)+COUNTIF('1月'!ED29:EE29,N$4)+COUNTIF('1月'!EI29:EJ29,N$4)+COUNTIF('1月'!EN29:EO29,N$4)+COUNTIF('1月'!ES29:ET29,N$4)+COUNTIF('1月'!D29:E29,"三軒茶屋－夜勤")+COUNTIF('1月'!I29:J29,"三軒茶屋－夜勤")+COUNTIF('1月'!N29:O29,"三軒茶屋－夜勤")+COUNTIF('1月'!S29:T29,"三軒茶屋－夜勤")+COUNTIF('1月'!X29:Y29,"三軒茶屋－夜勤")+COUNTIF('1月'!AC29:AD29,"三軒茶屋－夜勤")+COUNTIF('1月'!AH29:AI29,"三軒茶屋－夜勤")+COUNTIF('1月'!AM29:AN29,"三軒茶屋－夜勤")+COUNTIF('1月'!AR29:AS29,"三軒茶屋－夜勤")+COUNTIF('1月'!AW29:AX29,"三軒茶屋－夜勤")+COUNTIF('1月'!BB29:BC29,"三軒茶屋－夜勤")+COUNTIF('1月'!BG29:BH29,"三軒茶屋－夜勤")+COUNTIF('1月'!BL29:BM29,"三軒茶屋－夜勤")+COUNTIF('1月'!BQ29:BR29,"三軒茶屋－夜勤")+COUNTIF('1月'!BV29:BW29,"三軒茶屋－夜勤")+COUNTIF('1月'!CA29:CB29,"三軒茶屋－夜勤")+COUNTIF('1月'!CF29:CG29,"三軒茶屋－夜勤")+COUNTIF('1月'!CK29:CL29,"三軒茶屋－夜勤")+COUNTIF('1月'!CP29:CQ29,"三軒茶屋－夜勤")+COUNTIF('1月'!CU29:CV29,"三軒茶屋－夜勤")+COUNTIF('1月'!CZ29:DA29,"三軒茶屋－夜勤")+COUNTIF('1月'!DE29:DF29,"三軒茶屋－夜勤")+COUNTIF('1月'!DJ29:DK29,"三軒茶屋－夜勤")+COUNTIF('1月'!DO29:DP29,"三軒茶屋－夜勤")+COUNTIF('1月'!DT29:DU29,"三軒茶屋－夜勤")+COUNTIF('1月'!DY29:DZ29,"三軒茶屋－夜勤")+COUNTIF('1月'!ED29:EE29,"三軒茶屋－夜勤")+COUNTIF('1月'!EI29:EJ29,"三軒茶屋－夜勤")+COUNTIF('1月'!EN29:EO29,"三軒茶屋－夜勤")+COUNTIF('1月'!ES29:ET29,"三軒茶屋－夜勤")</f>
        <v>0</v>
      </c>
      <c r="O31" s="76">
        <f t="shared" si="6"/>
        <v>0</v>
      </c>
      <c r="P31" s="76">
        <f>COUNTIF('1月'!D29:E29,P$4)+COUNTIF('1月'!I29:J29,P$4)+COUNTIF('1月'!N29:O29,P$4)+COUNTIF('1月'!S29:T29,P$4)+COUNTIF('1月'!X29:Y29,P$4)+COUNTIF('1月'!AC29:AD29,P$4)+COUNTIF('1月'!AH29:AI29,P$4)+COUNTIF('1月'!AM29:AN29,P$4)+COUNTIF('1月'!AR29:AS29,P$4)+COUNTIF('1月'!AW29:AX29,P$4)+COUNTIF('1月'!BB29:BC29,P$4)+COUNTIF('1月'!BG29:BH29,P$4)+COUNTIF('1月'!BL29:BM29,P$4)+COUNTIF('1月'!BQ29:BR29,P$4)+COUNTIF('1月'!BV29:BW29,P$4)+COUNTIF('1月'!CA29:CB29,P$4)+COUNTIF('1月'!CF29:CG29,P$4)+COUNTIF('1月'!CK29:CL29,P$4)+COUNTIF('1月'!CP29:CQ29,P$4)+COUNTIF('1月'!CU29:CV29,P$4)+COUNTIF('1月'!CZ29:DA29,P$4)+COUNTIF('1月'!DE29:DF29,P$4)+COUNTIF('1月'!DJ29:DK29,P$4)+COUNTIF('1月'!DO29:DP29,P$4)+COUNTIF('1月'!DT29:DU29,P$4)+COUNTIF('1月'!DY29:DZ29,P$4)+COUNTIF('1月'!ED29:EE29,P$4)+COUNTIF('1月'!EI29:EJ29,P$4)+COUNTIF('1月'!EN29:EO29,P$4)+COUNTIF('1月'!ES29:ET29,P$4)+COUNTIF('1月'!D29:E29,"荻窪ー夜勤")+COUNTIF('1月'!I29:J29,"荻窪ー夜勤")+COUNTIF('1月'!N29:O29,"荻窪ー夜勤")+COUNTIF('1月'!S29:T29,"荻窪ー夜勤")+COUNTIF('1月'!X29:Y29,"荻窪ー夜勤")+COUNTIF('1月'!AC29:AD29,"荻窪ー夜勤")+COUNTIF('1月'!AH29:AI29,"荻窪ー夜勤")+COUNTIF('1月'!AM29:AN29,"荻窪ー夜勤")+COUNTIF('1月'!AR29:AS29,"荻窪ー夜勤")+COUNTIF('1月'!AW29:AX29,"荻窪ー夜勤")+COUNTIF('1月'!BB29:BC29,"荻窪ー夜勤")+COUNTIF('1月'!BG29:BH29,"荻窪ー夜勤")+COUNTIF('1月'!BL29:BM29,"荻窪ー夜勤")+COUNTIF('1月'!BQ29:BR29,"荻窪ー夜勤")+COUNTIF('1月'!BV29:BW29,"荻窪ー夜勤")+COUNTIF('1月'!CA29:CB29,"荻窪ー夜勤")+COUNTIF('1月'!CF29:CG29,"荻窪ー夜勤")+COUNTIF('1月'!CK29:CL29,"荻窪ー夜勤")+COUNTIF('1月'!CP29:CQ29,"荻窪ー夜勤")+COUNTIF('1月'!CU29:CV29,"荻窪ー夜勤")+COUNTIF('1月'!CZ29:DA29,"荻窪ー夜勤")+COUNTIF('1月'!DE29:DF29,"荻窪ー夜勤")+COUNTIF('1月'!DJ29:DK29,"荻窪ー夜勤")+COUNTIF('1月'!DO29:DP29,"荻窪ー夜勤")+COUNTIF('1月'!DT29:DU29,"荻窪ー夜勤")+COUNTIF('1月'!DY29:DZ29,"荻窪ー夜勤")+COUNTIF('1月'!ED29:EE29,"荻窪ー夜勤")+COUNTIF('1月'!EI29:EJ29,"荻窪ー夜勤")+COUNTIF('1月'!EN29:EO29,"荻窪ー夜勤")+COUNTIF('1月'!ES29:ET29,"荻窪ー夜勤")</f>
        <v>0</v>
      </c>
      <c r="Q31" s="76">
        <f t="shared" si="7"/>
        <v>0</v>
      </c>
      <c r="R31" s="76">
        <f>COUNTIF('1月'!D29:E29,R$4)+COUNTIF('1月'!I29:J29,R$4)+COUNTIF('1月'!N29:O29,R$4)+COUNTIF('1月'!S29:T29,R$4)+COUNTIF('1月'!X29:Y29,R$4)+COUNTIF('1月'!AC29:AD29,R$4)+COUNTIF('1月'!AH29:AI29,R$4)+COUNTIF('1月'!AM29:AN29,R$4)+COUNTIF('1月'!AR29:AS29,R$4)+COUNTIF('1月'!AW29:AX29,R$4)+COUNTIF('1月'!BB29:BC29,R$4)+COUNTIF('1月'!BG29:BH29,R$4)+COUNTIF('1月'!BL29:BM29,R$4)+COUNTIF('1月'!BQ29:BR29,R$4)+COUNTIF('1月'!BV29:BW29,R$4)+COUNTIF('1月'!CA29:CB29,R$4)+COUNTIF('1月'!CF29:CG29,R$4)+COUNTIF('1月'!CK29:CL29,R$4)+COUNTIF('1月'!CP29:CQ29,R$4)+COUNTIF('1月'!CU29:CV29,R$4)+COUNTIF('1月'!CZ29:DA29,R$4)+COUNTIF('1月'!DE29:DF29,R$4)+COUNTIF('1月'!DJ29:DK29,R$4)+COUNTIF('1月'!DO29:DP29,R$4)+COUNTIF('1月'!DT29:DU29,R$4)+COUNTIF('1月'!DY29:DZ29,R$4)+COUNTIF('1月'!ED29:EE29,R$4)+COUNTIF('1月'!EI29:EJ29,R$4)+COUNTIF('1月'!EN29:EO29,R$4)+COUNTIF('1月'!ES29:ET29,R$4)</f>
        <v>0</v>
      </c>
      <c r="S31" s="76">
        <f t="shared" si="8"/>
        <v>0</v>
      </c>
      <c r="T31" s="76">
        <f>COUNTIF('1月'!D29:E29,T$4)+COUNTIF('1月'!I29:J29,T$4)+COUNTIF('1月'!N29:O29,T$4)+COUNTIF('1月'!S29:T29,T$4)+COUNTIF('1月'!X29:Y29,T$4)+COUNTIF('1月'!AC29:AD29,T$4)+COUNTIF('1月'!AH29:AI29,T$4)+COUNTIF('1月'!AM29:AN29,T$4)+COUNTIF('1月'!AR29:AS29,T$4)+COUNTIF('1月'!AW29:AX29,T$4)+COUNTIF('1月'!BB29:BC29,T$4)+COUNTIF('1月'!BG29:BH29,T$4)+COUNTIF('1月'!BL29:BM29,T$4)+COUNTIF('1月'!BQ29:BR29,T$4)+COUNTIF('1月'!BV29:BW29,T$4)+COUNTIF('1月'!CA29:CB29,T$4)+COUNTIF('1月'!CF29:CG29,T$4)+COUNTIF('1月'!CK29:CL29,T$4)+COUNTIF('1月'!CP29:CQ29,T$4)+COUNTIF('1月'!CU29:CV29,T$4)+COUNTIF('1月'!CZ29:DA29,T$4)+COUNTIF('1月'!DE29:DF29,T$4)+COUNTIF('1月'!DJ29:DK29,T$4)+COUNTIF('1月'!DO29:DP29,T$4)+COUNTIF('1月'!DT29:DU29,T$4)+COUNTIF('1月'!DY29:DZ29,T$4)+COUNTIF('1月'!ED29:EE29,T$4)+COUNTIF('1月'!EI29:EJ29,T$4)+COUNTIF('1月'!EN29:EO29,T$4)+COUNTIF('1月'!ES29:ET29,T$4)</f>
        <v>0</v>
      </c>
      <c r="U31" s="76">
        <f t="shared" si="9"/>
        <v>0</v>
      </c>
      <c r="V31" s="76">
        <f>COUNTIF('1月'!D29:E29,V$4)+COUNTIF('1月'!I29:J29,V$4)+COUNTIF('1月'!N29:O29,V$4)+COUNTIF('1月'!S29:T29,V$4)+COUNTIF('1月'!X29:Y29,V$4)+COUNTIF('1月'!AC29:AD29,V$4)+COUNTIF('1月'!AH29:AI29,V$4)+COUNTIF('1月'!AM29:AN29,V$4)+COUNTIF('1月'!AR29:AS29,V$4)+COUNTIF('1月'!AW29:AX29,V$4)+COUNTIF('1月'!BB29:BC29,V$4)+COUNTIF('1月'!BG29:BH29,V$4)+COUNTIF('1月'!BL29:BM29,V$4)+COUNTIF('1月'!BQ29:BR29,V$4)+COUNTIF('1月'!BV29:BW29,V$4)+COUNTIF('1月'!CA29:CB29,V$4)+COUNTIF('1月'!CF29:CG29,V$4)+COUNTIF('1月'!CK29:CL29,V$4)+COUNTIF('1月'!CP29:CQ29,V$4)+COUNTIF('1月'!CU29:CV29,V$4)+COUNTIF('1月'!CZ29:DA29,V$4)+COUNTIF('1月'!DE29:DF29,V$4)+COUNTIF('1月'!DJ29:DK29,V$4)+COUNTIF('1月'!DO29:DP29,V$4)+COUNTIF('1月'!DT29:DU29,V$4)+COUNTIF('1月'!DY29:DZ29,V$4)+COUNTIF('1月'!ED29:EE29,V$4)+COUNTIF('1月'!EI29:EJ29,V$4)+COUNTIF('1月'!EN29:EO29,V$4)+COUNTIF('1月'!ES29:ET29,V$4)</f>
        <v>0</v>
      </c>
      <c r="W31" s="76">
        <f t="shared" si="10"/>
        <v>0</v>
      </c>
      <c r="X31" s="76">
        <f>COUNTIF('1月'!D29:E29,X$4)+COUNTIF('1月'!I29:J29,X$4)+COUNTIF('1月'!N29:O29,X$4)+COUNTIF('1月'!S29:T29,X$4)+COUNTIF('1月'!X29:Y29,X$4)+COUNTIF('1月'!AC29:AD29,X$4)+COUNTIF('1月'!AH29:AI29,X$4)+COUNTIF('1月'!AM29:AN29,X$4)+COUNTIF('1月'!AR29:AS29,X$4)+COUNTIF('1月'!AW29:AX29,X$4)+COUNTIF('1月'!BB29:BC29,X$4)+COUNTIF('1月'!BG29:BH29,X$4)+COUNTIF('1月'!BL29:BM29,X$4)+COUNTIF('1月'!BQ29:BR29,X$4)+COUNTIF('1月'!BV29:BW29,X$4)+COUNTIF('1月'!CA29:CB29,X$4)+COUNTIF('1月'!CF29:CG29,X$4)+COUNTIF('1月'!CK29:CL29,X$4)+COUNTIF('1月'!CP29:CQ29,X$4)+COUNTIF('1月'!CU29:CV29,X$4)+COUNTIF('1月'!CZ29:DA29,X$4)+COUNTIF('1月'!DE29:DF29,X$4)+COUNTIF('1月'!DJ29:DK29,X$4)+COUNTIF('1月'!DO29:DP29,X$4)+COUNTIF('1月'!DT29:DU29,X$4)+COUNTIF('1月'!DY29:DZ29,X$4)+COUNTIF('1月'!ED29:EE29,X$4)+COUNTIF('1月'!EI29:EJ29,X$4)+COUNTIF('1月'!EN29:EO29,X$4)+COUNTIF('1月'!ES29:ET29,X$4)</f>
        <v>0</v>
      </c>
      <c r="Y31" s="76">
        <f t="shared" si="11"/>
        <v>0</v>
      </c>
    </row>
    <row r="32" spans="1:25" ht="18" customHeight="1">
      <c r="A32" s="76">
        <v>27</v>
      </c>
      <c r="B32" s="76">
        <f>COUNTIF('1月'!D30:E30,B$4)+COUNTIF('1月'!I30:J30,B$4)+COUNTIF('1月'!N30:O30,B$4)+COUNTIF('1月'!S30:T30,B$4)+COUNTIF('1月'!X30:Y30,B$4)+COUNTIF('1月'!AC30:AD30,B$4)+COUNTIF('1月'!AH30:AI30,B$4)+COUNTIF('1月'!AM30:AN30,B$4)+COUNTIF('1月'!AR30:AS30,B$4)+COUNTIF('1月'!AW30:AX30,B$4)+COUNTIF('1月'!BB30:BC30,B$4)+COUNTIF('1月'!BG30:BH30,B$4)+COUNTIF('1月'!BL30:BM30,B$4)+COUNTIF('1月'!BQ30:BR30,B$4)+COUNTIF('1月'!BV30:BW30,B$4)+COUNTIF('1月'!CA30:CB30,B$4)+COUNTIF('1月'!CF30:CG30,B$4)+COUNTIF('1月'!CK30:CL30,B$4)+COUNTIF('1月'!CP30:CQ30,B$4)+COUNTIF('1月'!CU30:CV30,B$4)+COUNTIF('1月'!CZ30:DA30,B$4)+COUNTIF('1月'!DE30:DF30,B$4)+COUNTIF('1月'!DJ30:DK30,B$4)+COUNTIF('1月'!DO30:DP30,B$4)+COUNTIF('1月'!DT30:DU30,B$4)+COUNTIF('1月'!DY30:DZ30,B$4)+COUNTIF('1月'!ED30:EE30,B$4)+COUNTIF('1月'!EI30:EJ30,B$4)+COUNTIF('1月'!EN30:EO30,B$4)+COUNTIF('1月'!ES30:ET30,B$4)</f>
        <v>5</v>
      </c>
      <c r="C32" s="76">
        <f t="shared" si="0"/>
        <v>29</v>
      </c>
      <c r="D32" s="76">
        <f>COUNTIF('1月'!D30:E30,D$4)+COUNTIF('1月'!I30:J30,D$4)+COUNTIF('1月'!N30:O30,D$4)+COUNTIF('1月'!S30:T30,D$4)+COUNTIF('1月'!X30:Y30,D$4)+COUNTIF('1月'!AC30:AD30,D$4)+COUNTIF('1月'!AH30:AI30,D$4)+COUNTIF('1月'!AM30:AN30,D$4)+COUNTIF('1月'!AR30:AS30,D$4)+COUNTIF('1月'!AW30:AX30,D$4)+COUNTIF('1月'!BB30:BC30,D$4)+COUNTIF('1月'!BG30:BH30,D$4)+COUNTIF('1月'!BL30:BM30,D$4)+COUNTIF('1月'!BQ30:BR30,D$4)+COUNTIF('1月'!BV30:BW30,D$4)+COUNTIF('1月'!CA30:CB30,D$4)+COUNTIF('1月'!CF30:CG30,D$4)+COUNTIF('1月'!CK30:CL30,D$4)+COUNTIF('1月'!CP30:CQ30,D$4)+COUNTIF('1月'!CU30:CV30,D$4)+COUNTIF('1月'!CZ30:DA30,D$4)+COUNTIF('1月'!DE30:DF30,D$4)+COUNTIF('1月'!DJ30:DK30,D$4)+COUNTIF('1月'!DO30:DP30,D$4)+COUNTIF('1月'!DT30:DU30,D$4)+COUNTIF('1月'!DY30:DZ30,D$4)+COUNTIF('1月'!ED30:EE30,D$4)+COUNTIF('1月'!EI30:EJ30,D$4)+COUNTIF('1月'!EN30:EO30,D$4)+COUNTIF('1月'!ES30:ET30,D$4)</f>
        <v>0</v>
      </c>
      <c r="E32" s="76">
        <f t="shared" si="1"/>
        <v>0</v>
      </c>
      <c r="F32" s="76">
        <f>COUNTIF('1月'!D30:E30,F$4)+COUNTIF('1月'!I30:J30,F$4)+COUNTIF('1月'!N30:O30,F$4)+COUNTIF('1月'!S30:T30,F$4)+COUNTIF('1月'!X30:Y30,F$4)+COUNTIF('1月'!AC30:AD30,F$4)+COUNTIF('1月'!AH30:AI30,F$4)+COUNTIF('1月'!AM30:AN30,F$4)+COUNTIF('1月'!AR30:AS30,F$4)+COUNTIF('1月'!AW30:AX30,F$4)+COUNTIF('1月'!BB30:BC30,F$4)+COUNTIF('1月'!BG30:BH30,F$4)+COUNTIF('1月'!BL30:BM30,F$4)+COUNTIF('1月'!BQ30:BR30,F$4)+COUNTIF('1月'!BV30:BW30,F$4)+COUNTIF('1月'!CA30:CB30,F$4)+COUNTIF('1月'!CF30:CG30,F$4)+COUNTIF('1月'!CK30:CL30,F$4)+COUNTIF('1月'!CP30:CQ30,F$4)+COUNTIF('1月'!CU30:CV30,F$4)+COUNTIF('1月'!CZ30:DA30,F$4)+COUNTIF('1月'!DE30:DF30,F$4)+COUNTIF('1月'!DJ30:DK30,F$4)+COUNTIF('1月'!DO30:DP30,F$4)+COUNTIF('1月'!DT30:DU30,F$4)+COUNTIF('1月'!DY30:DZ30,F$4)+COUNTIF('1月'!ED30:EE30,F$4)+COUNTIF('1月'!EI30:EJ30,F$4)+COUNTIF('1月'!EN30:EO30,F$4)+COUNTIF('1月'!ES30:ET30,F$4)</f>
        <v>0</v>
      </c>
      <c r="G32" s="76">
        <f t="shared" si="2"/>
        <v>0</v>
      </c>
      <c r="H32" s="76">
        <f>COUNTIF('1月'!D30:E30,H$4)+COUNTIF('1月'!I30:J30,H$4)+COUNTIF('1月'!N30:O30,H$4)+COUNTIF('1月'!S30:T30,H$4)+COUNTIF('1月'!X30:Y30,H$4)+COUNTIF('1月'!AC30:AD30,H$4)+COUNTIF('1月'!AH30:AI30,H$4)+COUNTIF('1月'!AM30:AN30,H$4)+COUNTIF('1月'!AR30:AS30,H$4)+COUNTIF('1月'!AW30:AX30,H$4)+COUNTIF('1月'!BB30:BC30,H$4)+COUNTIF('1月'!BG30:BH30,H$4)+COUNTIF('1月'!BL30:BM30,H$4)+COUNTIF('1月'!BQ30:BR30,H$4)+COUNTIF('1月'!BV30:BW30,H$4)+COUNTIF('1月'!CA30:CB30,H$4)+COUNTIF('1月'!CF30:CG30,H$4)+COUNTIF('1月'!CK30:CL30,H$4)+COUNTIF('1月'!CP30:CQ30,H$4)+COUNTIF('1月'!CU30:CV30,H$4)+COUNTIF('1月'!CZ30:DA30,H$4)+COUNTIF('1月'!DE30:DF30,H$4)+COUNTIF('1月'!DJ30:DK30,H$4)+COUNTIF('1月'!DO30:DP30,H$4)+COUNTIF('1月'!DT30:DU30,H$4)+COUNTIF('1月'!DY30:DZ30,H$4)+COUNTIF('1月'!ED30:EE30,H$4)+COUNTIF('1月'!EI30:EJ30,H$4)+COUNTIF('1月'!EN30:EO30,H$4)+COUNTIF('1月'!ES30:ET30,H$4)+COUNTIF('1月'!D30:E30,"渋谷-夜勤")+COUNTIF('1月'!I30:J30,"渋谷-夜勤")+COUNTIF('1月'!N30:O30,"渋谷-夜勤")+COUNTIF('1月'!S30:T30,"渋谷-夜勤")+COUNTIF('1月'!X30:Y30,"渋谷-夜勤")+COUNTIF('1月'!AC30:AD30,"渋谷-夜勤")+COUNTIF('1月'!AH30:AI30,"渋谷-夜勤")+COUNTIF('1月'!AM30:AN30,"渋谷-夜勤")+COUNTIF('1月'!AR30:AS30,"渋谷-夜勤")+COUNTIF('1月'!AW30:AX30,"渋谷-夜勤")+COUNTIF('1月'!BB30:BC30,"渋谷-夜勤")+COUNTIF('1月'!BG30:BH30,"渋谷-夜勤")+COUNTIF('1月'!BL30:BM30,"渋谷-夜勤")+COUNTIF('1月'!BQ30:BR30,"渋谷-夜勤")+COUNTIF('1月'!BV30:BW30,"渋谷-夜勤")+COUNTIF('1月'!CA30:CB30,"渋谷-夜勤")+COUNTIF('1月'!CF30:CG30,"渋谷-夜勤")+COUNTIF('1月'!CK30:CL30,"渋谷-夜勤")+COUNTIF('1月'!CP30:CQ30,"渋谷-夜勤")+COUNTIF('1月'!CU30:CV30,"渋谷-夜勤")+COUNTIF('1月'!CZ30:DA30,"渋谷-夜勤")+COUNTIF('1月'!DE30:DF30,"渋谷-夜勤")+COUNTIF('1月'!DJ30:DK30,"渋谷-夜勤")+COUNTIF('1月'!DO30:DP30,"渋谷-夜勤")+COUNTIF('1月'!DT30:DU30,"渋谷-夜勤")+COUNTIF('1月'!DY30:DZ30,"渋谷-夜勤")+COUNTIF('1月'!ED30:EE30,"渋谷-夜勤")+COUNTIF('1月'!EI30:EJ30,"渋谷-夜勤")+COUNTIF('1月'!EN30:EO30,"渋谷-夜勤")+COUNTIF('1月'!ES30:ET30,"渋谷-夜勤")</f>
        <v>0</v>
      </c>
      <c r="I32" s="76">
        <f t="shared" si="3"/>
        <v>0</v>
      </c>
      <c r="J32" s="76">
        <f>COUNTIF('1月'!D30:E30,J$4)+COUNTIF('1月'!I30:J30,J$4)+COUNTIF('1月'!N30:O30,J$4)+COUNTIF('1月'!S30:T30,J$4)+COUNTIF('1月'!X30:Y30,J$4)+COUNTIF('1月'!AC30:AD30,J$4)+COUNTIF('1月'!AH30:AI30,J$4)+COUNTIF('1月'!AM30:AN30,J$4)+COUNTIF('1月'!AR30:AS30,J$4)+COUNTIF('1月'!AW30:AX30,J$4)+COUNTIF('1月'!BB30:BC30,J$4)+COUNTIF('1月'!BG30:BH30,J$4)+COUNTIF('1月'!BL30:BM30,J$4)+COUNTIF('1月'!BQ30:BR30,J$4)+COUNTIF('1月'!BV30:BW30,J$4)+COUNTIF('1月'!CA30:CB30,J$4)+COUNTIF('1月'!CF30:CG30,J$4)+COUNTIF('1月'!CK30:CL30,J$4)+COUNTIF('1月'!CP30:CQ30,J$4)+COUNTIF('1月'!CU30:CV30,J$4)+COUNTIF('1月'!CZ30:DA30,J$4)+COUNTIF('1月'!DE30:DF30,J$4)+COUNTIF('1月'!DJ30:DK30,J$4)+COUNTIF('1月'!DO30:DP30,J$4)+COUNTIF('1月'!DT30:DU30,J$4)+COUNTIF('1月'!DY30:DZ30,J$4)+COUNTIF('1月'!ED30:EE30,J$4)+COUNTIF('1月'!EI30:EJ30,J$4)+COUNTIF('1月'!EN30:EO30,J$4)+COUNTIF('1月'!ES30:ET30,J$4)+COUNTIF('1月'!D30:E30,"六本木-夜勤")+COUNTIF('1月'!I30:J30,"六本木-夜勤")+COUNTIF('1月'!N30:O30,"六本木-夜勤")+COUNTIF('1月'!S30:T30,"六本木-夜勤")+COUNTIF('1月'!X30:Y30,"六本木-夜勤")+COUNTIF('1月'!AC30:AD30,"六本木-夜勤")+COUNTIF('1月'!AH30:AI30,"六本木-夜勤")+COUNTIF('1月'!AM30:AN30,"六本木-夜勤")+COUNTIF('1月'!AR30:AS30,"六本木-夜勤")+COUNTIF('1月'!AW30:AX30,"六本木-夜勤")+COUNTIF('1月'!BB30:BC30,"六本木-夜勤")+COUNTIF('1月'!BG30:BH30,"六本木-夜勤")+COUNTIF('1月'!BL30:BM30,"六本木-夜勤")+COUNTIF('1月'!BQ30:BR30,"六本木-夜勤")+COUNTIF('1月'!BV30:BW30,"六本木-夜勤")+COUNTIF('1月'!CA30:CB30,"六本木-夜勤")+COUNTIF('1月'!CF30:CG30,"六本木-夜勤")+COUNTIF('1月'!CK30:CL30,"六本木-夜勤")+COUNTIF('1月'!CP30:CQ30,"六本木-夜勤")+COUNTIF('1月'!CU30:CV30,"六本木-夜勤")+COUNTIF('1月'!CZ30:DA30,"六本木-夜勤")+COUNTIF('1月'!DE30:DF30,"六本木-夜勤")+COUNTIF('1月'!DJ30:DK30,"六本木-夜勤")+COUNTIF('1月'!DO30:DP30,"六本木-夜勤")+COUNTIF('1月'!DT30:DU30,"六本木-夜勤")+COUNTIF('1月'!DY30:DZ30,"六本木-夜勤")+COUNTIF('1月'!ED30:EE30,"六本木-夜勤")+COUNTIF('1月'!EI30:EJ30,"六本木-夜勤")+COUNTIF('1月'!EN30:EO30,"六本木-夜勤")+COUNTIF('1月'!ES30:ET30,"六本木-夜勤")+COUNTIF('1月'!D30:E30,"六本木ー夜勤")+COUNTIF('1月'!I30:J30,"六本木ー夜勤")+COUNTIF('1月'!N30:O30,"六本木ー夜勤")+COUNTIF('1月'!S30:T30,"六本木ー夜勤")+COUNTIF('1月'!X30:Y30,"六本木ー夜勤")+COUNTIF('1月'!AC30:AD30,"六本木ー夜勤")+COUNTIF('1月'!AH30:AI30,"六本木ー夜勤")+COUNTIF('1月'!AM30:AN30,"六本木ー夜勤")+COUNTIF('1月'!AR30:AS30,"六本木ー夜勤")+COUNTIF('1月'!AW30:AX30,"六本木ー夜勤")+COUNTIF('1月'!BB30:BC30,"六本木ー夜勤")+COUNTIF('1月'!BG30:BH30,"六本木ー夜勤")+COUNTIF('1月'!BL30:BM30,"六本木ー夜勤")+COUNTIF('1月'!BQ30:BR30,"六本木ー夜勤")+COUNTIF('1月'!BV30:BW30,"六本木ー夜勤")+COUNTIF('1月'!CA30:CB30,"六本木ー夜勤")+COUNTIF('1月'!CF30:CG30,"六本木ー夜勤")+COUNTIF('1月'!CK30:CL30,"六本木ー夜勤")+COUNTIF('1月'!CP30:CQ30,"六本木ー夜勤")+COUNTIF('1月'!CU30:CV30,"六本木ー夜勤")+COUNTIF('1月'!CZ30:DA30,"六本木ー夜勤")+COUNTIF('1月'!DE30:DF30,"六本木ー夜勤")+COUNTIF('1月'!DJ30:DK30,"六本木ー夜勤")+COUNTIF('1月'!DO30:DP30,"六本木ー夜勤")+COUNTIF('1月'!DT30:DU30,"六本木ー夜勤")+COUNTIF('1月'!DY30:DZ30,"六本木ー夜勤")+COUNTIF('1月'!ED30:EE30,"六本木ー夜勤")+COUNTIF('1月'!EI30:EJ30,"六本木ー夜勤")+COUNTIF('1月'!EN30:EO30,"六本木ー夜勤")+COUNTIF('1月'!ES30:ET30,"六本木ー夜勤")</f>
        <v>0</v>
      </c>
      <c r="K32" s="76">
        <f t="shared" si="4"/>
        <v>1</v>
      </c>
      <c r="L32" s="76">
        <f>COUNTIF('1月'!D30:E30,L$4)+COUNTIF('1月'!I30:J30,L$4)+COUNTIF('1月'!N30:O30,L$4)+COUNTIF('1月'!S30:T30,L$4)+COUNTIF('1月'!X30:Y30,L$4)+COUNTIF('1月'!AC30:AD30,L$4)+COUNTIF('1月'!AH30:AI30,L$4)+COUNTIF('1月'!AM30:AN30,L$4)+COUNTIF('1月'!AR30:AS30,L$4)+COUNTIF('1月'!AW30:AX30,L$4)+COUNTIF('1月'!BB30:BC30,L$4)+COUNTIF('1月'!BG30:BH30,L$4)+COUNTIF('1月'!BL30:BM30,L$4)+COUNTIF('1月'!BQ30:BR30,L$4)+COUNTIF('1月'!BV30:BW30,L$4)+COUNTIF('1月'!CA30:CB30,L$4)+COUNTIF('1月'!CF30:CG30,L$4)+COUNTIF('1月'!CK30:CL30,L$4)+COUNTIF('1月'!CP30:CQ30,L$4)+COUNTIF('1月'!CU30:CV30,L$4)+COUNTIF('1月'!CZ30:DA30,L$4)+COUNTIF('1月'!DE30:DF30,L$4)+COUNTIF('1月'!DJ30:DK30,L$4)+COUNTIF('1月'!DO30:DP30,L$4)+COUNTIF('1月'!DT30:DU30,L$4)+COUNTIF('1月'!DY30:DZ30,L$4)+COUNTIF('1月'!ED30:EE30,L$4)+COUNTIF('1月'!EI30:EJ30,L$4)+COUNTIF('1月'!EN30:EO30,L$4)+COUNTIF('1月'!ES30:ET30,L$4)</f>
        <v>0</v>
      </c>
      <c r="M32" s="76">
        <f t="shared" si="5"/>
        <v>0</v>
      </c>
      <c r="N32" s="76">
        <f>COUNTIF('1月'!D30:E30,N$4)+COUNTIF('1月'!I30:J30,N$4)+COUNTIF('1月'!N30:O30,N$4)+COUNTIF('1月'!S30:T30,N$4)+COUNTIF('1月'!X30:Y30,N$4)+COUNTIF('1月'!AC30:AD30,N$4)+COUNTIF('1月'!AH30:AI30,N$4)+COUNTIF('1月'!AM30:AN30,N$4)+COUNTIF('1月'!AR30:AS30,N$4)+COUNTIF('1月'!AW30:AX30,N$4)+COUNTIF('1月'!BB30:BC30,N$4)+COUNTIF('1月'!BG30:BH30,N$4)+COUNTIF('1月'!BL30:BM30,N$4)+COUNTIF('1月'!BQ30:BR30,N$4)+COUNTIF('1月'!BV30:BW30,N$4)+COUNTIF('1月'!CA30:CB30,N$4)+COUNTIF('1月'!CF30:CG30,N$4)+COUNTIF('1月'!CK30:CL30,N$4)+COUNTIF('1月'!CP30:CQ30,N$4)+COUNTIF('1月'!CU30:CV30,N$4)+COUNTIF('1月'!CZ30:DA30,N$4)+COUNTIF('1月'!DE30:DF30,N$4)+COUNTIF('1月'!DJ30:DK30,N$4)+COUNTIF('1月'!DO30:DP30,N$4)+COUNTIF('1月'!DT30:DU30,N$4)+COUNTIF('1月'!DY30:DZ30,N$4)+COUNTIF('1月'!ED30:EE30,N$4)+COUNTIF('1月'!EI30:EJ30,N$4)+COUNTIF('1月'!EN30:EO30,N$4)+COUNTIF('1月'!ES30:ET30,N$4)+COUNTIF('1月'!D30:E30,"三軒茶屋－夜勤")+COUNTIF('1月'!I30:J30,"三軒茶屋－夜勤")+COUNTIF('1月'!N30:O30,"三軒茶屋－夜勤")+COUNTIF('1月'!S30:T30,"三軒茶屋－夜勤")+COUNTIF('1月'!X30:Y30,"三軒茶屋－夜勤")+COUNTIF('1月'!AC30:AD30,"三軒茶屋－夜勤")+COUNTIF('1月'!AH30:AI30,"三軒茶屋－夜勤")+COUNTIF('1月'!AM30:AN30,"三軒茶屋－夜勤")+COUNTIF('1月'!AR30:AS30,"三軒茶屋－夜勤")+COUNTIF('1月'!AW30:AX30,"三軒茶屋－夜勤")+COUNTIF('1月'!BB30:BC30,"三軒茶屋－夜勤")+COUNTIF('1月'!BG30:BH30,"三軒茶屋－夜勤")+COUNTIF('1月'!BL30:BM30,"三軒茶屋－夜勤")+COUNTIF('1月'!BQ30:BR30,"三軒茶屋－夜勤")+COUNTIF('1月'!BV30:BW30,"三軒茶屋－夜勤")+COUNTIF('1月'!CA30:CB30,"三軒茶屋－夜勤")+COUNTIF('1月'!CF30:CG30,"三軒茶屋－夜勤")+COUNTIF('1月'!CK30:CL30,"三軒茶屋－夜勤")+COUNTIF('1月'!CP30:CQ30,"三軒茶屋－夜勤")+COUNTIF('1月'!CU30:CV30,"三軒茶屋－夜勤")+COUNTIF('1月'!CZ30:DA30,"三軒茶屋－夜勤")+COUNTIF('1月'!DE30:DF30,"三軒茶屋－夜勤")+COUNTIF('1月'!DJ30:DK30,"三軒茶屋－夜勤")+COUNTIF('1月'!DO30:DP30,"三軒茶屋－夜勤")+COUNTIF('1月'!DT30:DU30,"三軒茶屋－夜勤")+COUNTIF('1月'!DY30:DZ30,"三軒茶屋－夜勤")+COUNTIF('1月'!ED30:EE30,"三軒茶屋－夜勤")+COUNTIF('1月'!EI30:EJ30,"三軒茶屋－夜勤")+COUNTIF('1月'!EN30:EO30,"三軒茶屋－夜勤")+COUNTIF('1月'!ES30:ET30,"三軒茶屋－夜勤")</f>
        <v>0</v>
      </c>
      <c r="O32" s="76">
        <f t="shared" si="6"/>
        <v>0</v>
      </c>
      <c r="P32" s="76">
        <f>COUNTIF('1月'!D30:E30,P$4)+COUNTIF('1月'!I30:J30,P$4)+COUNTIF('1月'!N30:O30,P$4)+COUNTIF('1月'!S30:T30,P$4)+COUNTIF('1月'!X30:Y30,P$4)+COUNTIF('1月'!AC30:AD30,P$4)+COUNTIF('1月'!AH30:AI30,P$4)+COUNTIF('1月'!AM30:AN30,P$4)+COUNTIF('1月'!AR30:AS30,P$4)+COUNTIF('1月'!AW30:AX30,P$4)+COUNTIF('1月'!BB30:BC30,P$4)+COUNTIF('1月'!BG30:BH30,P$4)+COUNTIF('1月'!BL30:BM30,P$4)+COUNTIF('1月'!BQ30:BR30,P$4)+COUNTIF('1月'!BV30:BW30,P$4)+COUNTIF('1月'!CA30:CB30,P$4)+COUNTIF('1月'!CF30:CG30,P$4)+COUNTIF('1月'!CK30:CL30,P$4)+COUNTIF('1月'!CP30:CQ30,P$4)+COUNTIF('1月'!CU30:CV30,P$4)+COUNTIF('1月'!CZ30:DA30,P$4)+COUNTIF('1月'!DE30:DF30,P$4)+COUNTIF('1月'!DJ30:DK30,P$4)+COUNTIF('1月'!DO30:DP30,P$4)+COUNTIF('1月'!DT30:DU30,P$4)+COUNTIF('1月'!DY30:DZ30,P$4)+COUNTIF('1月'!ED30:EE30,P$4)+COUNTIF('1月'!EI30:EJ30,P$4)+COUNTIF('1月'!EN30:EO30,P$4)+COUNTIF('1月'!ES30:ET30,P$4)+COUNTIF('1月'!D30:E30,"荻窪ー夜勤")+COUNTIF('1月'!I30:J30,"荻窪ー夜勤")+COUNTIF('1月'!N30:O30,"荻窪ー夜勤")+COUNTIF('1月'!S30:T30,"荻窪ー夜勤")+COUNTIF('1月'!X30:Y30,"荻窪ー夜勤")+COUNTIF('1月'!AC30:AD30,"荻窪ー夜勤")+COUNTIF('1月'!AH30:AI30,"荻窪ー夜勤")+COUNTIF('1月'!AM30:AN30,"荻窪ー夜勤")+COUNTIF('1月'!AR30:AS30,"荻窪ー夜勤")+COUNTIF('1月'!AW30:AX30,"荻窪ー夜勤")+COUNTIF('1月'!BB30:BC30,"荻窪ー夜勤")+COUNTIF('1月'!BG30:BH30,"荻窪ー夜勤")+COUNTIF('1月'!BL30:BM30,"荻窪ー夜勤")+COUNTIF('1月'!BQ30:BR30,"荻窪ー夜勤")+COUNTIF('1月'!BV30:BW30,"荻窪ー夜勤")+COUNTIF('1月'!CA30:CB30,"荻窪ー夜勤")+COUNTIF('1月'!CF30:CG30,"荻窪ー夜勤")+COUNTIF('1月'!CK30:CL30,"荻窪ー夜勤")+COUNTIF('1月'!CP30:CQ30,"荻窪ー夜勤")+COUNTIF('1月'!CU30:CV30,"荻窪ー夜勤")+COUNTIF('1月'!CZ30:DA30,"荻窪ー夜勤")+COUNTIF('1月'!DE30:DF30,"荻窪ー夜勤")+COUNTIF('1月'!DJ30:DK30,"荻窪ー夜勤")+COUNTIF('1月'!DO30:DP30,"荻窪ー夜勤")+COUNTIF('1月'!DT30:DU30,"荻窪ー夜勤")+COUNTIF('1月'!DY30:DZ30,"荻窪ー夜勤")+COUNTIF('1月'!ED30:EE30,"荻窪ー夜勤")+COUNTIF('1月'!EI30:EJ30,"荻窪ー夜勤")+COUNTIF('1月'!EN30:EO30,"荻窪ー夜勤")+COUNTIF('1月'!ES30:ET30,"荻窪ー夜勤")</f>
        <v>0</v>
      </c>
      <c r="Q32" s="76">
        <f t="shared" si="7"/>
        <v>0</v>
      </c>
      <c r="R32" s="76">
        <f>COUNTIF('1月'!D30:E30,R$4)+COUNTIF('1月'!I30:J30,R$4)+COUNTIF('1月'!N30:O30,R$4)+COUNTIF('1月'!S30:T30,R$4)+COUNTIF('1月'!X30:Y30,R$4)+COUNTIF('1月'!AC30:AD30,R$4)+COUNTIF('1月'!AH30:AI30,R$4)+COUNTIF('1月'!AM30:AN30,R$4)+COUNTIF('1月'!AR30:AS30,R$4)+COUNTIF('1月'!AW30:AX30,R$4)+COUNTIF('1月'!BB30:BC30,R$4)+COUNTIF('1月'!BG30:BH30,R$4)+COUNTIF('1月'!BL30:BM30,R$4)+COUNTIF('1月'!BQ30:BR30,R$4)+COUNTIF('1月'!BV30:BW30,R$4)+COUNTIF('1月'!CA30:CB30,R$4)+COUNTIF('1月'!CF30:CG30,R$4)+COUNTIF('1月'!CK30:CL30,R$4)+COUNTIF('1月'!CP30:CQ30,R$4)+COUNTIF('1月'!CU30:CV30,R$4)+COUNTIF('1月'!CZ30:DA30,R$4)+COUNTIF('1月'!DE30:DF30,R$4)+COUNTIF('1月'!DJ30:DK30,R$4)+COUNTIF('1月'!DO30:DP30,R$4)+COUNTIF('1月'!DT30:DU30,R$4)+COUNTIF('1月'!DY30:DZ30,R$4)+COUNTIF('1月'!ED30:EE30,R$4)+COUNTIF('1月'!EI30:EJ30,R$4)+COUNTIF('1月'!EN30:EO30,R$4)+COUNTIF('1月'!ES30:ET30,R$4)</f>
        <v>0</v>
      </c>
      <c r="S32" s="76">
        <f t="shared" si="8"/>
        <v>0</v>
      </c>
      <c r="T32" s="76">
        <f>COUNTIF('1月'!D30:E30,T$4)+COUNTIF('1月'!I30:J30,T$4)+COUNTIF('1月'!N30:O30,T$4)+COUNTIF('1月'!S30:T30,T$4)+COUNTIF('1月'!X30:Y30,T$4)+COUNTIF('1月'!AC30:AD30,T$4)+COUNTIF('1月'!AH30:AI30,T$4)+COUNTIF('1月'!AM30:AN30,T$4)+COUNTIF('1月'!AR30:AS30,T$4)+COUNTIF('1月'!AW30:AX30,T$4)+COUNTIF('1月'!BB30:BC30,T$4)+COUNTIF('1月'!BG30:BH30,T$4)+COUNTIF('1月'!BL30:BM30,T$4)+COUNTIF('1月'!BQ30:BR30,T$4)+COUNTIF('1月'!BV30:BW30,T$4)+COUNTIF('1月'!CA30:CB30,T$4)+COUNTIF('1月'!CF30:CG30,T$4)+COUNTIF('1月'!CK30:CL30,T$4)+COUNTIF('1月'!CP30:CQ30,T$4)+COUNTIF('1月'!CU30:CV30,T$4)+COUNTIF('1月'!CZ30:DA30,T$4)+COUNTIF('1月'!DE30:DF30,T$4)+COUNTIF('1月'!DJ30:DK30,T$4)+COUNTIF('1月'!DO30:DP30,T$4)+COUNTIF('1月'!DT30:DU30,T$4)+COUNTIF('1月'!DY30:DZ30,T$4)+COUNTIF('1月'!ED30:EE30,T$4)+COUNTIF('1月'!EI30:EJ30,T$4)+COUNTIF('1月'!EN30:EO30,T$4)+COUNTIF('1月'!ES30:ET30,T$4)</f>
        <v>0</v>
      </c>
      <c r="U32" s="76">
        <f t="shared" si="9"/>
        <v>0</v>
      </c>
      <c r="V32" s="76">
        <f>COUNTIF('1月'!D30:E30,V$4)+COUNTIF('1月'!I30:J30,V$4)+COUNTIF('1月'!N30:O30,V$4)+COUNTIF('1月'!S30:T30,V$4)+COUNTIF('1月'!X30:Y30,V$4)+COUNTIF('1月'!AC30:AD30,V$4)+COUNTIF('1月'!AH30:AI30,V$4)+COUNTIF('1月'!AM30:AN30,V$4)+COUNTIF('1月'!AR30:AS30,V$4)+COUNTIF('1月'!AW30:AX30,V$4)+COUNTIF('1月'!BB30:BC30,V$4)+COUNTIF('1月'!BG30:BH30,V$4)+COUNTIF('1月'!BL30:BM30,V$4)+COUNTIF('1月'!BQ30:BR30,V$4)+COUNTIF('1月'!BV30:BW30,V$4)+COUNTIF('1月'!CA30:CB30,V$4)+COUNTIF('1月'!CF30:CG30,V$4)+COUNTIF('1月'!CK30:CL30,V$4)+COUNTIF('1月'!CP30:CQ30,V$4)+COUNTIF('1月'!CU30:CV30,V$4)+COUNTIF('1月'!CZ30:DA30,V$4)+COUNTIF('1月'!DE30:DF30,V$4)+COUNTIF('1月'!DJ30:DK30,V$4)+COUNTIF('1月'!DO30:DP30,V$4)+COUNTIF('1月'!DT30:DU30,V$4)+COUNTIF('1月'!DY30:DZ30,V$4)+COUNTIF('1月'!ED30:EE30,V$4)+COUNTIF('1月'!EI30:EJ30,V$4)+COUNTIF('1月'!EN30:EO30,V$4)+COUNTIF('1月'!ES30:ET30,V$4)</f>
        <v>0</v>
      </c>
      <c r="W32" s="76">
        <f t="shared" si="10"/>
        <v>0</v>
      </c>
      <c r="X32" s="76">
        <f>COUNTIF('1月'!D30:E30,X$4)+COUNTIF('1月'!I30:J30,X$4)+COUNTIF('1月'!N30:O30,X$4)+COUNTIF('1月'!S30:T30,X$4)+COUNTIF('1月'!X30:Y30,X$4)+COUNTIF('1月'!AC30:AD30,X$4)+COUNTIF('1月'!AH30:AI30,X$4)+COUNTIF('1月'!AM30:AN30,X$4)+COUNTIF('1月'!AR30:AS30,X$4)+COUNTIF('1月'!AW30:AX30,X$4)+COUNTIF('1月'!BB30:BC30,X$4)+COUNTIF('1月'!BG30:BH30,X$4)+COUNTIF('1月'!BL30:BM30,X$4)+COUNTIF('1月'!BQ30:BR30,X$4)+COUNTIF('1月'!BV30:BW30,X$4)+COUNTIF('1月'!CA30:CB30,X$4)+COUNTIF('1月'!CF30:CG30,X$4)+COUNTIF('1月'!CK30:CL30,X$4)+COUNTIF('1月'!CP30:CQ30,X$4)+COUNTIF('1月'!CU30:CV30,X$4)+COUNTIF('1月'!CZ30:DA30,X$4)+COUNTIF('1月'!DE30:DF30,X$4)+COUNTIF('1月'!DJ30:DK30,X$4)+COUNTIF('1月'!DO30:DP30,X$4)+COUNTIF('1月'!DT30:DU30,X$4)+COUNTIF('1月'!DY30:DZ30,X$4)+COUNTIF('1月'!ED30:EE30,X$4)+COUNTIF('1月'!EI30:EJ30,X$4)+COUNTIF('1月'!EN30:EO30,X$4)+COUNTIF('1月'!ES30:ET30,X$4)</f>
        <v>0</v>
      </c>
      <c r="Y32" s="76">
        <f t="shared" si="11"/>
        <v>0</v>
      </c>
    </row>
    <row r="33" spans="1:25" ht="18" customHeight="1">
      <c r="A33" s="76">
        <v>28</v>
      </c>
      <c r="B33" s="76">
        <f>COUNTIF('1月'!D31:E31,B$4)+COUNTIF('1月'!I31:J31,B$4)+COUNTIF('1月'!N31:O31,B$4)+COUNTIF('1月'!S31:T31,B$4)+COUNTIF('1月'!X31:Y31,B$4)+COUNTIF('1月'!AC31:AD31,B$4)+COUNTIF('1月'!AH31:AI31,B$4)+COUNTIF('1月'!AM31:AN31,B$4)+COUNTIF('1月'!AR31:AS31,B$4)+COUNTIF('1月'!AW31:AX31,B$4)+COUNTIF('1月'!BB31:BC31,B$4)+COUNTIF('1月'!BG31:BH31,B$4)+COUNTIF('1月'!BL31:BM31,B$4)+COUNTIF('1月'!BQ31:BR31,B$4)+COUNTIF('1月'!BV31:BW31,B$4)+COUNTIF('1月'!CA31:CB31,B$4)+COUNTIF('1月'!CF31:CG31,B$4)+COUNTIF('1月'!CK31:CL31,B$4)+COUNTIF('1月'!CP31:CQ31,B$4)+COUNTIF('1月'!CU31:CV31,B$4)+COUNTIF('1月'!CZ31:DA31,B$4)+COUNTIF('1月'!DE31:DF31,B$4)+COUNTIF('1月'!DJ31:DK31,B$4)+COUNTIF('1月'!DO31:DP31,B$4)+COUNTIF('1月'!DT31:DU31,B$4)+COUNTIF('1月'!DY31:DZ31,B$4)+COUNTIF('1月'!ED31:EE31,B$4)+COUNTIF('1月'!EI31:EJ31,B$4)+COUNTIF('1月'!EN31:EO31,B$4)+COUNTIF('1月'!ES31:ET31,B$4)</f>
        <v>5</v>
      </c>
      <c r="C33" s="76">
        <f t="shared" si="0"/>
        <v>34</v>
      </c>
      <c r="D33" s="76">
        <f>COUNTIF('1月'!D31:E31,D$4)+COUNTIF('1月'!I31:J31,D$4)+COUNTIF('1月'!N31:O31,D$4)+COUNTIF('1月'!S31:T31,D$4)+COUNTIF('1月'!X31:Y31,D$4)+COUNTIF('1月'!AC31:AD31,D$4)+COUNTIF('1月'!AH31:AI31,D$4)+COUNTIF('1月'!AM31:AN31,D$4)+COUNTIF('1月'!AR31:AS31,D$4)+COUNTIF('1月'!AW31:AX31,D$4)+COUNTIF('1月'!BB31:BC31,D$4)+COUNTIF('1月'!BG31:BH31,D$4)+COUNTIF('1月'!BL31:BM31,D$4)+COUNTIF('1月'!BQ31:BR31,D$4)+COUNTIF('1月'!BV31:BW31,D$4)+COUNTIF('1月'!CA31:CB31,D$4)+COUNTIF('1月'!CF31:CG31,D$4)+COUNTIF('1月'!CK31:CL31,D$4)+COUNTIF('1月'!CP31:CQ31,D$4)+COUNTIF('1月'!CU31:CV31,D$4)+COUNTIF('1月'!CZ31:DA31,D$4)+COUNTIF('1月'!DE31:DF31,D$4)+COUNTIF('1月'!DJ31:DK31,D$4)+COUNTIF('1月'!DO31:DP31,D$4)+COUNTIF('1月'!DT31:DU31,D$4)+COUNTIF('1月'!DY31:DZ31,D$4)+COUNTIF('1月'!ED31:EE31,D$4)+COUNTIF('1月'!EI31:EJ31,D$4)+COUNTIF('1月'!EN31:EO31,D$4)+COUNTIF('1月'!ES31:ET31,D$4)</f>
        <v>0</v>
      </c>
      <c r="E33" s="76">
        <f t="shared" si="1"/>
        <v>0</v>
      </c>
      <c r="F33" s="76">
        <f>COUNTIF('1月'!D31:E31,F$4)+COUNTIF('1月'!I31:J31,F$4)+COUNTIF('1月'!N31:O31,F$4)+COUNTIF('1月'!S31:T31,F$4)+COUNTIF('1月'!X31:Y31,F$4)+COUNTIF('1月'!AC31:AD31,F$4)+COUNTIF('1月'!AH31:AI31,F$4)+COUNTIF('1月'!AM31:AN31,F$4)+COUNTIF('1月'!AR31:AS31,F$4)+COUNTIF('1月'!AW31:AX31,F$4)+COUNTIF('1月'!BB31:BC31,F$4)+COUNTIF('1月'!BG31:BH31,F$4)+COUNTIF('1月'!BL31:BM31,F$4)+COUNTIF('1月'!BQ31:BR31,F$4)+COUNTIF('1月'!BV31:BW31,F$4)+COUNTIF('1月'!CA31:CB31,F$4)+COUNTIF('1月'!CF31:CG31,F$4)+COUNTIF('1月'!CK31:CL31,F$4)+COUNTIF('1月'!CP31:CQ31,F$4)+COUNTIF('1月'!CU31:CV31,F$4)+COUNTIF('1月'!CZ31:DA31,F$4)+COUNTIF('1月'!DE31:DF31,F$4)+COUNTIF('1月'!DJ31:DK31,F$4)+COUNTIF('1月'!DO31:DP31,F$4)+COUNTIF('1月'!DT31:DU31,F$4)+COUNTIF('1月'!DY31:DZ31,F$4)+COUNTIF('1月'!ED31:EE31,F$4)+COUNTIF('1月'!EI31:EJ31,F$4)+COUNTIF('1月'!EN31:EO31,F$4)+COUNTIF('1月'!ES31:ET31,F$4)</f>
        <v>0</v>
      </c>
      <c r="G33" s="76">
        <f t="shared" si="2"/>
        <v>0</v>
      </c>
      <c r="H33" s="76">
        <f>COUNTIF('1月'!D31:E31,H$4)+COUNTIF('1月'!I31:J31,H$4)+COUNTIF('1月'!N31:O31,H$4)+COUNTIF('1月'!S31:T31,H$4)+COUNTIF('1月'!X31:Y31,H$4)+COUNTIF('1月'!AC31:AD31,H$4)+COUNTIF('1月'!AH31:AI31,H$4)+COUNTIF('1月'!AM31:AN31,H$4)+COUNTIF('1月'!AR31:AS31,H$4)+COUNTIF('1月'!AW31:AX31,H$4)+COUNTIF('1月'!BB31:BC31,H$4)+COUNTIF('1月'!BG31:BH31,H$4)+COUNTIF('1月'!BL31:BM31,H$4)+COUNTIF('1月'!BQ31:BR31,H$4)+COUNTIF('1月'!BV31:BW31,H$4)+COUNTIF('1月'!CA31:CB31,H$4)+COUNTIF('1月'!CF31:CG31,H$4)+COUNTIF('1月'!CK31:CL31,H$4)+COUNTIF('1月'!CP31:CQ31,H$4)+COUNTIF('1月'!CU31:CV31,H$4)+COUNTIF('1月'!CZ31:DA31,H$4)+COUNTIF('1月'!DE31:DF31,H$4)+COUNTIF('1月'!DJ31:DK31,H$4)+COUNTIF('1月'!DO31:DP31,H$4)+COUNTIF('1月'!DT31:DU31,H$4)+COUNTIF('1月'!DY31:DZ31,H$4)+COUNTIF('1月'!ED31:EE31,H$4)+COUNTIF('1月'!EI31:EJ31,H$4)+COUNTIF('1月'!EN31:EO31,H$4)+COUNTIF('1月'!ES31:ET31,H$4)+COUNTIF('1月'!D31:E31,"渋谷-夜勤")+COUNTIF('1月'!I31:J31,"渋谷-夜勤")+COUNTIF('1月'!N31:O31,"渋谷-夜勤")+COUNTIF('1月'!S31:T31,"渋谷-夜勤")+COUNTIF('1月'!X31:Y31,"渋谷-夜勤")+COUNTIF('1月'!AC31:AD31,"渋谷-夜勤")+COUNTIF('1月'!AH31:AI31,"渋谷-夜勤")+COUNTIF('1月'!AM31:AN31,"渋谷-夜勤")+COUNTIF('1月'!AR31:AS31,"渋谷-夜勤")+COUNTIF('1月'!AW31:AX31,"渋谷-夜勤")+COUNTIF('1月'!BB31:BC31,"渋谷-夜勤")+COUNTIF('1月'!BG31:BH31,"渋谷-夜勤")+COUNTIF('1月'!BL31:BM31,"渋谷-夜勤")+COUNTIF('1月'!BQ31:BR31,"渋谷-夜勤")+COUNTIF('1月'!BV31:BW31,"渋谷-夜勤")+COUNTIF('1月'!CA31:CB31,"渋谷-夜勤")+COUNTIF('1月'!CF31:CG31,"渋谷-夜勤")+COUNTIF('1月'!CK31:CL31,"渋谷-夜勤")+COUNTIF('1月'!CP31:CQ31,"渋谷-夜勤")+COUNTIF('1月'!CU31:CV31,"渋谷-夜勤")+COUNTIF('1月'!CZ31:DA31,"渋谷-夜勤")+COUNTIF('1月'!DE31:DF31,"渋谷-夜勤")+COUNTIF('1月'!DJ31:DK31,"渋谷-夜勤")+COUNTIF('1月'!DO31:DP31,"渋谷-夜勤")+COUNTIF('1月'!DT31:DU31,"渋谷-夜勤")+COUNTIF('1月'!DY31:DZ31,"渋谷-夜勤")+COUNTIF('1月'!ED31:EE31,"渋谷-夜勤")+COUNTIF('1月'!EI31:EJ31,"渋谷-夜勤")+COUNTIF('1月'!EN31:EO31,"渋谷-夜勤")+COUNTIF('1月'!ES31:ET31,"渋谷-夜勤")</f>
        <v>0</v>
      </c>
      <c r="I33" s="76">
        <f t="shared" si="3"/>
        <v>0</v>
      </c>
      <c r="J33" s="76">
        <f>COUNTIF('1月'!D31:E31,J$4)+COUNTIF('1月'!I31:J31,J$4)+COUNTIF('1月'!N31:O31,J$4)+COUNTIF('1月'!S31:T31,J$4)+COUNTIF('1月'!X31:Y31,J$4)+COUNTIF('1月'!AC31:AD31,J$4)+COUNTIF('1月'!AH31:AI31,J$4)+COUNTIF('1月'!AM31:AN31,J$4)+COUNTIF('1月'!AR31:AS31,J$4)+COUNTIF('1月'!AW31:AX31,J$4)+COUNTIF('1月'!BB31:BC31,J$4)+COUNTIF('1月'!BG31:BH31,J$4)+COUNTIF('1月'!BL31:BM31,J$4)+COUNTIF('1月'!BQ31:BR31,J$4)+COUNTIF('1月'!BV31:BW31,J$4)+COUNTIF('1月'!CA31:CB31,J$4)+COUNTIF('1月'!CF31:CG31,J$4)+COUNTIF('1月'!CK31:CL31,J$4)+COUNTIF('1月'!CP31:CQ31,J$4)+COUNTIF('1月'!CU31:CV31,J$4)+COUNTIF('1月'!CZ31:DA31,J$4)+COUNTIF('1月'!DE31:DF31,J$4)+COUNTIF('1月'!DJ31:DK31,J$4)+COUNTIF('1月'!DO31:DP31,J$4)+COUNTIF('1月'!DT31:DU31,J$4)+COUNTIF('1月'!DY31:DZ31,J$4)+COUNTIF('1月'!ED31:EE31,J$4)+COUNTIF('1月'!EI31:EJ31,J$4)+COUNTIF('1月'!EN31:EO31,J$4)+COUNTIF('1月'!ES31:ET31,J$4)+COUNTIF('1月'!D31:E31,"六本木-夜勤")+COUNTIF('1月'!I31:J31,"六本木-夜勤")+COUNTIF('1月'!N31:O31,"六本木-夜勤")+COUNTIF('1月'!S31:T31,"六本木-夜勤")+COUNTIF('1月'!X31:Y31,"六本木-夜勤")+COUNTIF('1月'!AC31:AD31,"六本木-夜勤")+COUNTIF('1月'!AH31:AI31,"六本木-夜勤")+COUNTIF('1月'!AM31:AN31,"六本木-夜勤")+COUNTIF('1月'!AR31:AS31,"六本木-夜勤")+COUNTIF('1月'!AW31:AX31,"六本木-夜勤")+COUNTIF('1月'!BB31:BC31,"六本木-夜勤")+COUNTIF('1月'!BG31:BH31,"六本木-夜勤")+COUNTIF('1月'!BL31:BM31,"六本木-夜勤")+COUNTIF('1月'!BQ31:BR31,"六本木-夜勤")+COUNTIF('1月'!BV31:BW31,"六本木-夜勤")+COUNTIF('1月'!CA31:CB31,"六本木-夜勤")+COUNTIF('1月'!CF31:CG31,"六本木-夜勤")+COUNTIF('1月'!CK31:CL31,"六本木-夜勤")+COUNTIF('1月'!CP31:CQ31,"六本木-夜勤")+COUNTIF('1月'!CU31:CV31,"六本木-夜勤")+COUNTIF('1月'!CZ31:DA31,"六本木-夜勤")+COUNTIF('1月'!DE31:DF31,"六本木-夜勤")+COUNTIF('1月'!DJ31:DK31,"六本木-夜勤")+COUNTIF('1月'!DO31:DP31,"六本木-夜勤")+COUNTIF('1月'!DT31:DU31,"六本木-夜勤")+COUNTIF('1月'!DY31:DZ31,"六本木-夜勤")+COUNTIF('1月'!ED31:EE31,"六本木-夜勤")+COUNTIF('1月'!EI31:EJ31,"六本木-夜勤")+COUNTIF('1月'!EN31:EO31,"六本木-夜勤")+COUNTIF('1月'!ES31:ET31,"六本木-夜勤")+COUNTIF('1月'!D31:E31,"六本木ー夜勤")+COUNTIF('1月'!I31:J31,"六本木ー夜勤")+COUNTIF('1月'!N31:O31,"六本木ー夜勤")+COUNTIF('1月'!S31:T31,"六本木ー夜勤")+COUNTIF('1月'!X31:Y31,"六本木ー夜勤")+COUNTIF('1月'!AC31:AD31,"六本木ー夜勤")+COUNTIF('1月'!AH31:AI31,"六本木ー夜勤")+COUNTIF('1月'!AM31:AN31,"六本木ー夜勤")+COUNTIF('1月'!AR31:AS31,"六本木ー夜勤")+COUNTIF('1月'!AW31:AX31,"六本木ー夜勤")+COUNTIF('1月'!BB31:BC31,"六本木ー夜勤")+COUNTIF('1月'!BG31:BH31,"六本木ー夜勤")+COUNTIF('1月'!BL31:BM31,"六本木ー夜勤")+COUNTIF('1月'!BQ31:BR31,"六本木ー夜勤")+COUNTIF('1月'!BV31:BW31,"六本木ー夜勤")+COUNTIF('1月'!CA31:CB31,"六本木ー夜勤")+COUNTIF('1月'!CF31:CG31,"六本木ー夜勤")+COUNTIF('1月'!CK31:CL31,"六本木ー夜勤")+COUNTIF('1月'!CP31:CQ31,"六本木ー夜勤")+COUNTIF('1月'!CU31:CV31,"六本木ー夜勤")+COUNTIF('1月'!CZ31:DA31,"六本木ー夜勤")+COUNTIF('1月'!DE31:DF31,"六本木ー夜勤")+COUNTIF('1月'!DJ31:DK31,"六本木ー夜勤")+COUNTIF('1月'!DO31:DP31,"六本木ー夜勤")+COUNTIF('1月'!DT31:DU31,"六本木ー夜勤")+COUNTIF('1月'!DY31:DZ31,"六本木ー夜勤")+COUNTIF('1月'!ED31:EE31,"六本木ー夜勤")+COUNTIF('1月'!EI31:EJ31,"六本木ー夜勤")+COUNTIF('1月'!EN31:EO31,"六本木ー夜勤")+COUNTIF('1月'!ES31:ET31,"六本木ー夜勤")</f>
        <v>0</v>
      </c>
      <c r="K33" s="76">
        <f t="shared" si="4"/>
        <v>1</v>
      </c>
      <c r="L33" s="76">
        <f>COUNTIF('1月'!D31:E31,L$4)+COUNTIF('1月'!I31:J31,L$4)+COUNTIF('1月'!N31:O31,L$4)+COUNTIF('1月'!S31:T31,L$4)+COUNTIF('1月'!X31:Y31,L$4)+COUNTIF('1月'!AC31:AD31,L$4)+COUNTIF('1月'!AH31:AI31,L$4)+COUNTIF('1月'!AM31:AN31,L$4)+COUNTIF('1月'!AR31:AS31,L$4)+COUNTIF('1月'!AW31:AX31,L$4)+COUNTIF('1月'!BB31:BC31,L$4)+COUNTIF('1月'!BG31:BH31,L$4)+COUNTIF('1月'!BL31:BM31,L$4)+COUNTIF('1月'!BQ31:BR31,L$4)+COUNTIF('1月'!BV31:BW31,L$4)+COUNTIF('1月'!CA31:CB31,L$4)+COUNTIF('1月'!CF31:CG31,L$4)+COUNTIF('1月'!CK31:CL31,L$4)+COUNTIF('1月'!CP31:CQ31,L$4)+COUNTIF('1月'!CU31:CV31,L$4)+COUNTIF('1月'!CZ31:DA31,L$4)+COUNTIF('1月'!DE31:DF31,L$4)+COUNTIF('1月'!DJ31:DK31,L$4)+COUNTIF('1月'!DO31:DP31,L$4)+COUNTIF('1月'!DT31:DU31,L$4)+COUNTIF('1月'!DY31:DZ31,L$4)+COUNTIF('1月'!ED31:EE31,L$4)+COUNTIF('1月'!EI31:EJ31,L$4)+COUNTIF('1月'!EN31:EO31,L$4)+COUNTIF('1月'!ES31:ET31,L$4)</f>
        <v>0</v>
      </c>
      <c r="M33" s="76">
        <f t="shared" si="5"/>
        <v>0</v>
      </c>
      <c r="N33" s="76">
        <f>COUNTIF('1月'!D31:E31,N$4)+COUNTIF('1月'!I31:J31,N$4)+COUNTIF('1月'!N31:O31,N$4)+COUNTIF('1月'!S31:T31,N$4)+COUNTIF('1月'!X31:Y31,N$4)+COUNTIF('1月'!AC31:AD31,N$4)+COUNTIF('1月'!AH31:AI31,N$4)+COUNTIF('1月'!AM31:AN31,N$4)+COUNTIF('1月'!AR31:AS31,N$4)+COUNTIF('1月'!AW31:AX31,N$4)+COUNTIF('1月'!BB31:BC31,N$4)+COUNTIF('1月'!BG31:BH31,N$4)+COUNTIF('1月'!BL31:BM31,N$4)+COUNTIF('1月'!BQ31:BR31,N$4)+COUNTIF('1月'!BV31:BW31,N$4)+COUNTIF('1月'!CA31:CB31,N$4)+COUNTIF('1月'!CF31:CG31,N$4)+COUNTIF('1月'!CK31:CL31,N$4)+COUNTIF('1月'!CP31:CQ31,N$4)+COUNTIF('1月'!CU31:CV31,N$4)+COUNTIF('1月'!CZ31:DA31,N$4)+COUNTIF('1月'!DE31:DF31,N$4)+COUNTIF('1月'!DJ31:DK31,N$4)+COUNTIF('1月'!DO31:DP31,N$4)+COUNTIF('1月'!DT31:DU31,N$4)+COUNTIF('1月'!DY31:DZ31,N$4)+COUNTIF('1月'!ED31:EE31,N$4)+COUNTIF('1月'!EI31:EJ31,N$4)+COUNTIF('1月'!EN31:EO31,N$4)+COUNTIF('1月'!ES31:ET31,N$4)+COUNTIF('1月'!D31:E31,"三軒茶屋－夜勤")+COUNTIF('1月'!I31:J31,"三軒茶屋－夜勤")+COUNTIF('1月'!N31:O31,"三軒茶屋－夜勤")+COUNTIF('1月'!S31:T31,"三軒茶屋－夜勤")+COUNTIF('1月'!X31:Y31,"三軒茶屋－夜勤")+COUNTIF('1月'!AC31:AD31,"三軒茶屋－夜勤")+COUNTIF('1月'!AH31:AI31,"三軒茶屋－夜勤")+COUNTIF('1月'!AM31:AN31,"三軒茶屋－夜勤")+COUNTIF('1月'!AR31:AS31,"三軒茶屋－夜勤")+COUNTIF('1月'!AW31:AX31,"三軒茶屋－夜勤")+COUNTIF('1月'!BB31:BC31,"三軒茶屋－夜勤")+COUNTIF('1月'!BG31:BH31,"三軒茶屋－夜勤")+COUNTIF('1月'!BL31:BM31,"三軒茶屋－夜勤")+COUNTIF('1月'!BQ31:BR31,"三軒茶屋－夜勤")+COUNTIF('1月'!BV31:BW31,"三軒茶屋－夜勤")+COUNTIF('1月'!CA31:CB31,"三軒茶屋－夜勤")+COUNTIF('1月'!CF31:CG31,"三軒茶屋－夜勤")+COUNTIF('1月'!CK31:CL31,"三軒茶屋－夜勤")+COUNTIF('1月'!CP31:CQ31,"三軒茶屋－夜勤")+COUNTIF('1月'!CU31:CV31,"三軒茶屋－夜勤")+COUNTIF('1月'!CZ31:DA31,"三軒茶屋－夜勤")+COUNTIF('1月'!DE31:DF31,"三軒茶屋－夜勤")+COUNTIF('1月'!DJ31:DK31,"三軒茶屋－夜勤")+COUNTIF('1月'!DO31:DP31,"三軒茶屋－夜勤")+COUNTIF('1月'!DT31:DU31,"三軒茶屋－夜勤")+COUNTIF('1月'!DY31:DZ31,"三軒茶屋－夜勤")+COUNTIF('1月'!ED31:EE31,"三軒茶屋－夜勤")+COUNTIF('1月'!EI31:EJ31,"三軒茶屋－夜勤")+COUNTIF('1月'!EN31:EO31,"三軒茶屋－夜勤")+COUNTIF('1月'!ES31:ET31,"三軒茶屋－夜勤")</f>
        <v>0</v>
      </c>
      <c r="O33" s="76">
        <f t="shared" si="6"/>
        <v>0</v>
      </c>
      <c r="P33" s="76">
        <f>COUNTIF('1月'!D31:E31,P$4)+COUNTIF('1月'!I31:J31,P$4)+COUNTIF('1月'!N31:O31,P$4)+COUNTIF('1月'!S31:T31,P$4)+COUNTIF('1月'!X31:Y31,P$4)+COUNTIF('1月'!AC31:AD31,P$4)+COUNTIF('1月'!AH31:AI31,P$4)+COUNTIF('1月'!AM31:AN31,P$4)+COUNTIF('1月'!AR31:AS31,P$4)+COUNTIF('1月'!AW31:AX31,P$4)+COUNTIF('1月'!BB31:BC31,P$4)+COUNTIF('1月'!BG31:BH31,P$4)+COUNTIF('1月'!BL31:BM31,P$4)+COUNTIF('1月'!BQ31:BR31,P$4)+COUNTIF('1月'!BV31:BW31,P$4)+COUNTIF('1月'!CA31:CB31,P$4)+COUNTIF('1月'!CF31:CG31,P$4)+COUNTIF('1月'!CK31:CL31,P$4)+COUNTIF('1月'!CP31:CQ31,P$4)+COUNTIF('1月'!CU31:CV31,P$4)+COUNTIF('1月'!CZ31:DA31,P$4)+COUNTIF('1月'!DE31:DF31,P$4)+COUNTIF('1月'!DJ31:DK31,P$4)+COUNTIF('1月'!DO31:DP31,P$4)+COUNTIF('1月'!DT31:DU31,P$4)+COUNTIF('1月'!DY31:DZ31,P$4)+COUNTIF('1月'!ED31:EE31,P$4)+COUNTIF('1月'!EI31:EJ31,P$4)+COUNTIF('1月'!EN31:EO31,P$4)+COUNTIF('1月'!ES31:ET31,P$4)+COUNTIF('1月'!D31:E31,"荻窪ー夜勤")+COUNTIF('1月'!I31:J31,"荻窪ー夜勤")+COUNTIF('1月'!N31:O31,"荻窪ー夜勤")+COUNTIF('1月'!S31:T31,"荻窪ー夜勤")+COUNTIF('1月'!X31:Y31,"荻窪ー夜勤")+COUNTIF('1月'!AC31:AD31,"荻窪ー夜勤")+COUNTIF('1月'!AH31:AI31,"荻窪ー夜勤")+COUNTIF('1月'!AM31:AN31,"荻窪ー夜勤")+COUNTIF('1月'!AR31:AS31,"荻窪ー夜勤")+COUNTIF('1月'!AW31:AX31,"荻窪ー夜勤")+COUNTIF('1月'!BB31:BC31,"荻窪ー夜勤")+COUNTIF('1月'!BG31:BH31,"荻窪ー夜勤")+COUNTIF('1月'!BL31:BM31,"荻窪ー夜勤")+COUNTIF('1月'!BQ31:BR31,"荻窪ー夜勤")+COUNTIF('1月'!BV31:BW31,"荻窪ー夜勤")+COUNTIF('1月'!CA31:CB31,"荻窪ー夜勤")+COUNTIF('1月'!CF31:CG31,"荻窪ー夜勤")+COUNTIF('1月'!CK31:CL31,"荻窪ー夜勤")+COUNTIF('1月'!CP31:CQ31,"荻窪ー夜勤")+COUNTIF('1月'!CU31:CV31,"荻窪ー夜勤")+COUNTIF('1月'!CZ31:DA31,"荻窪ー夜勤")+COUNTIF('1月'!DE31:DF31,"荻窪ー夜勤")+COUNTIF('1月'!DJ31:DK31,"荻窪ー夜勤")+COUNTIF('1月'!DO31:DP31,"荻窪ー夜勤")+COUNTIF('1月'!DT31:DU31,"荻窪ー夜勤")+COUNTIF('1月'!DY31:DZ31,"荻窪ー夜勤")+COUNTIF('1月'!ED31:EE31,"荻窪ー夜勤")+COUNTIF('1月'!EI31:EJ31,"荻窪ー夜勤")+COUNTIF('1月'!EN31:EO31,"荻窪ー夜勤")+COUNTIF('1月'!ES31:ET31,"荻窪ー夜勤")</f>
        <v>0</v>
      </c>
      <c r="Q33" s="76">
        <f t="shared" si="7"/>
        <v>0</v>
      </c>
      <c r="R33" s="76">
        <f>COUNTIF('1月'!D31:E31,R$4)+COUNTIF('1月'!I31:J31,R$4)+COUNTIF('1月'!N31:O31,R$4)+COUNTIF('1月'!S31:T31,R$4)+COUNTIF('1月'!X31:Y31,R$4)+COUNTIF('1月'!AC31:AD31,R$4)+COUNTIF('1月'!AH31:AI31,R$4)+COUNTIF('1月'!AM31:AN31,R$4)+COUNTIF('1月'!AR31:AS31,R$4)+COUNTIF('1月'!AW31:AX31,R$4)+COUNTIF('1月'!BB31:BC31,R$4)+COUNTIF('1月'!BG31:BH31,R$4)+COUNTIF('1月'!BL31:BM31,R$4)+COUNTIF('1月'!BQ31:BR31,R$4)+COUNTIF('1月'!BV31:BW31,R$4)+COUNTIF('1月'!CA31:CB31,R$4)+COUNTIF('1月'!CF31:CG31,R$4)+COUNTIF('1月'!CK31:CL31,R$4)+COUNTIF('1月'!CP31:CQ31,R$4)+COUNTIF('1月'!CU31:CV31,R$4)+COUNTIF('1月'!CZ31:DA31,R$4)+COUNTIF('1月'!DE31:DF31,R$4)+COUNTIF('1月'!DJ31:DK31,R$4)+COUNTIF('1月'!DO31:DP31,R$4)+COUNTIF('1月'!DT31:DU31,R$4)+COUNTIF('1月'!DY31:DZ31,R$4)+COUNTIF('1月'!ED31:EE31,R$4)+COUNTIF('1月'!EI31:EJ31,R$4)+COUNTIF('1月'!EN31:EO31,R$4)+COUNTIF('1月'!ES31:ET31,R$4)</f>
        <v>0</v>
      </c>
      <c r="S33" s="76">
        <f t="shared" si="8"/>
        <v>0</v>
      </c>
      <c r="T33" s="76">
        <f>COUNTIF('1月'!D31:E31,T$4)+COUNTIF('1月'!I31:J31,T$4)+COUNTIF('1月'!N31:O31,T$4)+COUNTIF('1月'!S31:T31,T$4)+COUNTIF('1月'!X31:Y31,T$4)+COUNTIF('1月'!AC31:AD31,T$4)+COUNTIF('1月'!AH31:AI31,T$4)+COUNTIF('1月'!AM31:AN31,T$4)+COUNTIF('1月'!AR31:AS31,T$4)+COUNTIF('1月'!AW31:AX31,T$4)+COUNTIF('1月'!BB31:BC31,T$4)+COUNTIF('1月'!BG31:BH31,T$4)+COUNTIF('1月'!BL31:BM31,T$4)+COUNTIF('1月'!BQ31:BR31,T$4)+COUNTIF('1月'!BV31:BW31,T$4)+COUNTIF('1月'!CA31:CB31,T$4)+COUNTIF('1月'!CF31:CG31,T$4)+COUNTIF('1月'!CK31:CL31,T$4)+COUNTIF('1月'!CP31:CQ31,T$4)+COUNTIF('1月'!CU31:CV31,T$4)+COUNTIF('1月'!CZ31:DA31,T$4)+COUNTIF('1月'!DE31:DF31,T$4)+COUNTIF('1月'!DJ31:DK31,T$4)+COUNTIF('1月'!DO31:DP31,T$4)+COUNTIF('1月'!DT31:DU31,T$4)+COUNTIF('1月'!DY31:DZ31,T$4)+COUNTIF('1月'!ED31:EE31,T$4)+COUNTIF('1月'!EI31:EJ31,T$4)+COUNTIF('1月'!EN31:EO31,T$4)+COUNTIF('1月'!ES31:ET31,T$4)</f>
        <v>0</v>
      </c>
      <c r="U33" s="76">
        <f t="shared" si="9"/>
        <v>0</v>
      </c>
      <c r="V33" s="76">
        <f>COUNTIF('1月'!D31:E31,V$4)+COUNTIF('1月'!I31:J31,V$4)+COUNTIF('1月'!N31:O31,V$4)+COUNTIF('1月'!S31:T31,V$4)+COUNTIF('1月'!X31:Y31,V$4)+COUNTIF('1月'!AC31:AD31,V$4)+COUNTIF('1月'!AH31:AI31,V$4)+COUNTIF('1月'!AM31:AN31,V$4)+COUNTIF('1月'!AR31:AS31,V$4)+COUNTIF('1月'!AW31:AX31,V$4)+COUNTIF('1月'!BB31:BC31,V$4)+COUNTIF('1月'!BG31:BH31,V$4)+COUNTIF('1月'!BL31:BM31,V$4)+COUNTIF('1月'!BQ31:BR31,V$4)+COUNTIF('1月'!BV31:BW31,V$4)+COUNTIF('1月'!CA31:CB31,V$4)+COUNTIF('1月'!CF31:CG31,V$4)+COUNTIF('1月'!CK31:CL31,V$4)+COUNTIF('1月'!CP31:CQ31,V$4)+COUNTIF('1月'!CU31:CV31,V$4)+COUNTIF('1月'!CZ31:DA31,V$4)+COUNTIF('1月'!DE31:DF31,V$4)+COUNTIF('1月'!DJ31:DK31,V$4)+COUNTIF('1月'!DO31:DP31,V$4)+COUNTIF('1月'!DT31:DU31,V$4)+COUNTIF('1月'!DY31:DZ31,V$4)+COUNTIF('1月'!ED31:EE31,V$4)+COUNTIF('1月'!EI31:EJ31,V$4)+COUNTIF('1月'!EN31:EO31,V$4)+COUNTIF('1月'!ES31:ET31,V$4)</f>
        <v>0</v>
      </c>
      <c r="W33" s="76">
        <f t="shared" si="10"/>
        <v>0</v>
      </c>
      <c r="X33" s="76">
        <f>COUNTIF('1月'!D31:E31,X$4)+COUNTIF('1月'!I31:J31,X$4)+COUNTIF('1月'!N31:O31,X$4)+COUNTIF('1月'!S31:T31,X$4)+COUNTIF('1月'!X31:Y31,X$4)+COUNTIF('1月'!AC31:AD31,X$4)+COUNTIF('1月'!AH31:AI31,X$4)+COUNTIF('1月'!AM31:AN31,X$4)+COUNTIF('1月'!AR31:AS31,X$4)+COUNTIF('1月'!AW31:AX31,X$4)+COUNTIF('1月'!BB31:BC31,X$4)+COUNTIF('1月'!BG31:BH31,X$4)+COUNTIF('1月'!BL31:BM31,X$4)+COUNTIF('1月'!BQ31:BR31,X$4)+COUNTIF('1月'!BV31:BW31,X$4)+COUNTIF('1月'!CA31:CB31,X$4)+COUNTIF('1月'!CF31:CG31,X$4)+COUNTIF('1月'!CK31:CL31,X$4)+COUNTIF('1月'!CP31:CQ31,X$4)+COUNTIF('1月'!CU31:CV31,X$4)+COUNTIF('1月'!CZ31:DA31,X$4)+COUNTIF('1月'!DE31:DF31,X$4)+COUNTIF('1月'!DJ31:DK31,X$4)+COUNTIF('1月'!DO31:DP31,X$4)+COUNTIF('1月'!DT31:DU31,X$4)+COUNTIF('1月'!DY31:DZ31,X$4)+COUNTIF('1月'!ED31:EE31,X$4)+COUNTIF('1月'!EI31:EJ31,X$4)+COUNTIF('1月'!EN31:EO31,X$4)+COUNTIF('1月'!ES31:ET31,X$4)</f>
        <v>0</v>
      </c>
      <c r="Y33" s="76">
        <f t="shared" si="11"/>
        <v>0</v>
      </c>
    </row>
    <row r="34" spans="1:25" ht="18" customHeight="1">
      <c r="A34" s="76">
        <v>29</v>
      </c>
      <c r="B34" s="76">
        <f>COUNTIF('1月'!D32:E32,B$4)+COUNTIF('1月'!I32:J32,B$4)+COUNTIF('1月'!N32:O32,B$4)+COUNTIF('1月'!S32:T32,B$4)+COUNTIF('1月'!X32:Y32,B$4)+COUNTIF('1月'!AC32:AD32,B$4)+COUNTIF('1月'!AH32:AI32,B$4)+COUNTIF('1月'!AM32:AN32,B$4)+COUNTIF('1月'!AR32:AS32,B$4)+COUNTIF('1月'!AW32:AX32,B$4)+COUNTIF('1月'!BB32:BC32,B$4)+COUNTIF('1月'!BG32:BH32,B$4)+COUNTIF('1月'!BL32:BM32,B$4)+COUNTIF('1月'!BQ32:BR32,B$4)+COUNTIF('1月'!BV32:BW32,B$4)+COUNTIF('1月'!CA32:CB32,B$4)+COUNTIF('1月'!CF32:CG32,B$4)+COUNTIF('1月'!CK32:CL32,B$4)+COUNTIF('1月'!CP32:CQ32,B$4)+COUNTIF('1月'!CU32:CV32,B$4)+COUNTIF('1月'!CZ32:DA32,B$4)+COUNTIF('1月'!DE32:DF32,B$4)+COUNTIF('1月'!DJ32:DK32,B$4)+COUNTIF('1月'!DO32:DP32,B$4)+COUNTIF('1月'!DT32:DU32,B$4)+COUNTIF('1月'!DY32:DZ32,B$4)+COUNTIF('1月'!ED32:EE32,B$4)+COUNTIF('1月'!EI32:EJ32,B$4)+COUNTIF('1月'!EN32:EO32,B$4)+COUNTIF('1月'!ES32:ET32,B$4)</f>
        <v>5</v>
      </c>
      <c r="C34" s="76">
        <f t="shared" si="0"/>
        <v>39</v>
      </c>
      <c r="D34" s="76">
        <f>COUNTIF('1月'!D32:E32,D$4)+COUNTIF('1月'!I32:J32,D$4)+COUNTIF('1月'!N32:O32,D$4)+COUNTIF('1月'!S32:T32,D$4)+COUNTIF('1月'!X32:Y32,D$4)+COUNTIF('1月'!AC32:AD32,D$4)+COUNTIF('1月'!AH32:AI32,D$4)+COUNTIF('1月'!AM32:AN32,D$4)+COUNTIF('1月'!AR32:AS32,D$4)+COUNTIF('1月'!AW32:AX32,D$4)+COUNTIF('1月'!BB32:BC32,D$4)+COUNTIF('1月'!BG32:BH32,D$4)+COUNTIF('1月'!BL32:BM32,D$4)+COUNTIF('1月'!BQ32:BR32,D$4)+COUNTIF('1月'!BV32:BW32,D$4)+COUNTIF('1月'!CA32:CB32,D$4)+COUNTIF('1月'!CF32:CG32,D$4)+COUNTIF('1月'!CK32:CL32,D$4)+COUNTIF('1月'!CP32:CQ32,D$4)+COUNTIF('1月'!CU32:CV32,D$4)+COUNTIF('1月'!CZ32:DA32,D$4)+COUNTIF('1月'!DE32:DF32,D$4)+COUNTIF('1月'!DJ32:DK32,D$4)+COUNTIF('1月'!DO32:DP32,D$4)+COUNTIF('1月'!DT32:DU32,D$4)+COUNTIF('1月'!DY32:DZ32,D$4)+COUNTIF('1月'!ED32:EE32,D$4)+COUNTIF('1月'!EI32:EJ32,D$4)+COUNTIF('1月'!EN32:EO32,D$4)+COUNTIF('1月'!ES32:ET32,D$4)</f>
        <v>0</v>
      </c>
      <c r="E34" s="76">
        <f t="shared" si="1"/>
        <v>0</v>
      </c>
      <c r="F34" s="76">
        <f>COUNTIF('1月'!D32:E32,F$4)+COUNTIF('1月'!I32:J32,F$4)+COUNTIF('1月'!N32:O32,F$4)+COUNTIF('1月'!S32:T32,F$4)+COUNTIF('1月'!X32:Y32,F$4)+COUNTIF('1月'!AC32:AD32,F$4)+COUNTIF('1月'!AH32:AI32,F$4)+COUNTIF('1月'!AM32:AN32,F$4)+COUNTIF('1月'!AR32:AS32,F$4)+COUNTIF('1月'!AW32:AX32,F$4)+COUNTIF('1月'!BB32:BC32,F$4)+COUNTIF('1月'!BG32:BH32,F$4)+COUNTIF('1月'!BL32:BM32,F$4)+COUNTIF('1月'!BQ32:BR32,F$4)+COUNTIF('1月'!BV32:BW32,F$4)+COUNTIF('1月'!CA32:CB32,F$4)+COUNTIF('1月'!CF32:CG32,F$4)+COUNTIF('1月'!CK32:CL32,F$4)+COUNTIF('1月'!CP32:CQ32,F$4)+COUNTIF('1月'!CU32:CV32,F$4)+COUNTIF('1月'!CZ32:DA32,F$4)+COUNTIF('1月'!DE32:DF32,F$4)+COUNTIF('1月'!DJ32:DK32,F$4)+COUNTIF('1月'!DO32:DP32,F$4)+COUNTIF('1月'!DT32:DU32,F$4)+COUNTIF('1月'!DY32:DZ32,F$4)+COUNTIF('1月'!ED32:EE32,F$4)+COUNTIF('1月'!EI32:EJ32,F$4)+COUNTIF('1月'!EN32:EO32,F$4)+COUNTIF('1月'!ES32:ET32,F$4)</f>
        <v>0</v>
      </c>
      <c r="G34" s="76">
        <f t="shared" si="2"/>
        <v>0</v>
      </c>
      <c r="H34" s="76">
        <f>COUNTIF('1月'!D32:E32,H$4)+COUNTIF('1月'!I32:J32,H$4)+COUNTIF('1月'!N32:O32,H$4)+COUNTIF('1月'!S32:T32,H$4)+COUNTIF('1月'!X32:Y32,H$4)+COUNTIF('1月'!AC32:AD32,H$4)+COUNTIF('1月'!AH32:AI32,H$4)+COUNTIF('1月'!AM32:AN32,H$4)+COUNTIF('1月'!AR32:AS32,H$4)+COUNTIF('1月'!AW32:AX32,H$4)+COUNTIF('1月'!BB32:BC32,H$4)+COUNTIF('1月'!BG32:BH32,H$4)+COUNTIF('1月'!BL32:BM32,H$4)+COUNTIF('1月'!BQ32:BR32,H$4)+COUNTIF('1月'!BV32:BW32,H$4)+COUNTIF('1月'!CA32:CB32,H$4)+COUNTIF('1月'!CF32:CG32,H$4)+COUNTIF('1月'!CK32:CL32,H$4)+COUNTIF('1月'!CP32:CQ32,H$4)+COUNTIF('1月'!CU32:CV32,H$4)+COUNTIF('1月'!CZ32:DA32,H$4)+COUNTIF('1月'!DE32:DF32,H$4)+COUNTIF('1月'!DJ32:DK32,H$4)+COUNTIF('1月'!DO32:DP32,H$4)+COUNTIF('1月'!DT32:DU32,H$4)+COUNTIF('1月'!DY32:DZ32,H$4)+COUNTIF('1月'!ED32:EE32,H$4)+COUNTIF('1月'!EI32:EJ32,H$4)+COUNTIF('1月'!EN32:EO32,H$4)+COUNTIF('1月'!ES32:ET32,H$4)+COUNTIF('1月'!D32:E32,"渋谷-夜勤")+COUNTIF('1月'!I32:J32,"渋谷-夜勤")+COUNTIF('1月'!N32:O32,"渋谷-夜勤")+COUNTIF('1月'!S32:T32,"渋谷-夜勤")+COUNTIF('1月'!X32:Y32,"渋谷-夜勤")+COUNTIF('1月'!AC32:AD32,"渋谷-夜勤")+COUNTIF('1月'!AH32:AI32,"渋谷-夜勤")+COUNTIF('1月'!AM32:AN32,"渋谷-夜勤")+COUNTIF('1月'!AR32:AS32,"渋谷-夜勤")+COUNTIF('1月'!AW32:AX32,"渋谷-夜勤")+COUNTIF('1月'!BB32:BC32,"渋谷-夜勤")+COUNTIF('1月'!BG32:BH32,"渋谷-夜勤")+COUNTIF('1月'!BL32:BM32,"渋谷-夜勤")+COUNTIF('1月'!BQ32:BR32,"渋谷-夜勤")+COUNTIF('1月'!BV32:BW32,"渋谷-夜勤")+COUNTIF('1月'!CA32:CB32,"渋谷-夜勤")+COUNTIF('1月'!CF32:CG32,"渋谷-夜勤")+COUNTIF('1月'!CK32:CL32,"渋谷-夜勤")+COUNTIF('1月'!CP32:CQ32,"渋谷-夜勤")+COUNTIF('1月'!CU32:CV32,"渋谷-夜勤")+COUNTIF('1月'!CZ32:DA32,"渋谷-夜勤")+COUNTIF('1月'!DE32:DF32,"渋谷-夜勤")+COUNTIF('1月'!DJ32:DK32,"渋谷-夜勤")+COUNTIF('1月'!DO32:DP32,"渋谷-夜勤")+COUNTIF('1月'!DT32:DU32,"渋谷-夜勤")+COUNTIF('1月'!DY32:DZ32,"渋谷-夜勤")+COUNTIF('1月'!ED32:EE32,"渋谷-夜勤")+COUNTIF('1月'!EI32:EJ32,"渋谷-夜勤")+COUNTIF('1月'!EN32:EO32,"渋谷-夜勤")+COUNTIF('1月'!ES32:ET32,"渋谷-夜勤")</f>
        <v>0</v>
      </c>
      <c r="I34" s="76">
        <f t="shared" si="3"/>
        <v>0</v>
      </c>
      <c r="J34" s="76">
        <f>COUNTIF('1月'!D32:E32,J$4)+COUNTIF('1月'!I32:J32,J$4)+COUNTIF('1月'!N32:O32,J$4)+COUNTIF('1月'!S32:T32,J$4)+COUNTIF('1月'!X32:Y32,J$4)+COUNTIF('1月'!AC32:AD32,J$4)+COUNTIF('1月'!AH32:AI32,J$4)+COUNTIF('1月'!AM32:AN32,J$4)+COUNTIF('1月'!AR32:AS32,J$4)+COUNTIF('1月'!AW32:AX32,J$4)+COUNTIF('1月'!BB32:BC32,J$4)+COUNTIF('1月'!BG32:BH32,J$4)+COUNTIF('1月'!BL32:BM32,J$4)+COUNTIF('1月'!BQ32:BR32,J$4)+COUNTIF('1月'!BV32:BW32,J$4)+COUNTIF('1月'!CA32:CB32,J$4)+COUNTIF('1月'!CF32:CG32,J$4)+COUNTIF('1月'!CK32:CL32,J$4)+COUNTIF('1月'!CP32:CQ32,J$4)+COUNTIF('1月'!CU32:CV32,J$4)+COUNTIF('1月'!CZ32:DA32,J$4)+COUNTIF('1月'!DE32:DF32,J$4)+COUNTIF('1月'!DJ32:DK32,J$4)+COUNTIF('1月'!DO32:DP32,J$4)+COUNTIF('1月'!DT32:DU32,J$4)+COUNTIF('1月'!DY32:DZ32,J$4)+COUNTIF('1月'!ED32:EE32,J$4)+COUNTIF('1月'!EI32:EJ32,J$4)+COUNTIF('1月'!EN32:EO32,J$4)+COUNTIF('1月'!ES32:ET32,J$4)+COUNTIF('1月'!D32:E32,"六本木-夜勤")+COUNTIF('1月'!I32:J32,"六本木-夜勤")+COUNTIF('1月'!N32:O32,"六本木-夜勤")+COUNTIF('1月'!S32:T32,"六本木-夜勤")+COUNTIF('1月'!X32:Y32,"六本木-夜勤")+COUNTIF('1月'!AC32:AD32,"六本木-夜勤")+COUNTIF('1月'!AH32:AI32,"六本木-夜勤")+COUNTIF('1月'!AM32:AN32,"六本木-夜勤")+COUNTIF('1月'!AR32:AS32,"六本木-夜勤")+COUNTIF('1月'!AW32:AX32,"六本木-夜勤")+COUNTIF('1月'!BB32:BC32,"六本木-夜勤")+COUNTIF('1月'!BG32:BH32,"六本木-夜勤")+COUNTIF('1月'!BL32:BM32,"六本木-夜勤")+COUNTIF('1月'!BQ32:BR32,"六本木-夜勤")+COUNTIF('1月'!BV32:BW32,"六本木-夜勤")+COUNTIF('1月'!CA32:CB32,"六本木-夜勤")+COUNTIF('1月'!CF32:CG32,"六本木-夜勤")+COUNTIF('1月'!CK32:CL32,"六本木-夜勤")+COUNTIF('1月'!CP32:CQ32,"六本木-夜勤")+COUNTIF('1月'!CU32:CV32,"六本木-夜勤")+COUNTIF('1月'!CZ32:DA32,"六本木-夜勤")+COUNTIF('1月'!DE32:DF32,"六本木-夜勤")+COUNTIF('1月'!DJ32:DK32,"六本木-夜勤")+COUNTIF('1月'!DO32:DP32,"六本木-夜勤")+COUNTIF('1月'!DT32:DU32,"六本木-夜勤")+COUNTIF('1月'!DY32:DZ32,"六本木-夜勤")+COUNTIF('1月'!ED32:EE32,"六本木-夜勤")+COUNTIF('1月'!EI32:EJ32,"六本木-夜勤")+COUNTIF('1月'!EN32:EO32,"六本木-夜勤")+COUNTIF('1月'!ES32:ET32,"六本木-夜勤")+COUNTIF('1月'!D32:E32,"六本木ー夜勤")+COUNTIF('1月'!I32:J32,"六本木ー夜勤")+COUNTIF('1月'!N32:O32,"六本木ー夜勤")+COUNTIF('1月'!S32:T32,"六本木ー夜勤")+COUNTIF('1月'!X32:Y32,"六本木ー夜勤")+COUNTIF('1月'!AC32:AD32,"六本木ー夜勤")+COUNTIF('1月'!AH32:AI32,"六本木ー夜勤")+COUNTIF('1月'!AM32:AN32,"六本木ー夜勤")+COUNTIF('1月'!AR32:AS32,"六本木ー夜勤")+COUNTIF('1月'!AW32:AX32,"六本木ー夜勤")+COUNTIF('1月'!BB32:BC32,"六本木ー夜勤")+COUNTIF('1月'!BG32:BH32,"六本木ー夜勤")+COUNTIF('1月'!BL32:BM32,"六本木ー夜勤")+COUNTIF('1月'!BQ32:BR32,"六本木ー夜勤")+COUNTIF('1月'!BV32:BW32,"六本木ー夜勤")+COUNTIF('1月'!CA32:CB32,"六本木ー夜勤")+COUNTIF('1月'!CF32:CG32,"六本木ー夜勤")+COUNTIF('1月'!CK32:CL32,"六本木ー夜勤")+COUNTIF('1月'!CP32:CQ32,"六本木ー夜勤")+COUNTIF('1月'!CU32:CV32,"六本木ー夜勤")+COUNTIF('1月'!CZ32:DA32,"六本木ー夜勤")+COUNTIF('1月'!DE32:DF32,"六本木ー夜勤")+COUNTIF('1月'!DJ32:DK32,"六本木ー夜勤")+COUNTIF('1月'!DO32:DP32,"六本木ー夜勤")+COUNTIF('1月'!DT32:DU32,"六本木ー夜勤")+COUNTIF('1月'!DY32:DZ32,"六本木ー夜勤")+COUNTIF('1月'!ED32:EE32,"六本木ー夜勤")+COUNTIF('1月'!EI32:EJ32,"六本木ー夜勤")+COUNTIF('1月'!EN32:EO32,"六本木ー夜勤")+COUNTIF('1月'!ES32:ET32,"六本木ー夜勤")</f>
        <v>0</v>
      </c>
      <c r="K34" s="76">
        <f t="shared" si="4"/>
        <v>1</v>
      </c>
      <c r="L34" s="76">
        <f>COUNTIF('1月'!D32:E32,L$4)+COUNTIF('1月'!I32:J32,L$4)+COUNTIF('1月'!N32:O32,L$4)+COUNTIF('1月'!S32:T32,L$4)+COUNTIF('1月'!X32:Y32,L$4)+COUNTIF('1月'!AC32:AD32,L$4)+COUNTIF('1月'!AH32:AI32,L$4)+COUNTIF('1月'!AM32:AN32,L$4)+COUNTIF('1月'!AR32:AS32,L$4)+COUNTIF('1月'!AW32:AX32,L$4)+COUNTIF('1月'!BB32:BC32,L$4)+COUNTIF('1月'!BG32:BH32,L$4)+COUNTIF('1月'!BL32:BM32,L$4)+COUNTIF('1月'!BQ32:BR32,L$4)+COUNTIF('1月'!BV32:BW32,L$4)+COUNTIF('1月'!CA32:CB32,L$4)+COUNTIF('1月'!CF32:CG32,L$4)+COUNTIF('1月'!CK32:CL32,L$4)+COUNTIF('1月'!CP32:CQ32,L$4)+COUNTIF('1月'!CU32:CV32,L$4)+COUNTIF('1月'!CZ32:DA32,L$4)+COUNTIF('1月'!DE32:DF32,L$4)+COUNTIF('1月'!DJ32:DK32,L$4)+COUNTIF('1月'!DO32:DP32,L$4)+COUNTIF('1月'!DT32:DU32,L$4)+COUNTIF('1月'!DY32:DZ32,L$4)+COUNTIF('1月'!ED32:EE32,L$4)+COUNTIF('1月'!EI32:EJ32,L$4)+COUNTIF('1月'!EN32:EO32,L$4)+COUNTIF('1月'!ES32:ET32,L$4)</f>
        <v>0</v>
      </c>
      <c r="M34" s="76">
        <f t="shared" si="5"/>
        <v>0</v>
      </c>
      <c r="N34" s="76">
        <f>COUNTIF('1月'!D32:E32,N$4)+COUNTIF('1月'!I32:J32,N$4)+COUNTIF('1月'!N32:O32,N$4)+COUNTIF('1月'!S32:T32,N$4)+COUNTIF('1月'!X32:Y32,N$4)+COUNTIF('1月'!AC32:AD32,N$4)+COUNTIF('1月'!AH32:AI32,N$4)+COUNTIF('1月'!AM32:AN32,N$4)+COUNTIF('1月'!AR32:AS32,N$4)+COUNTIF('1月'!AW32:AX32,N$4)+COUNTIF('1月'!BB32:BC32,N$4)+COUNTIF('1月'!BG32:BH32,N$4)+COUNTIF('1月'!BL32:BM32,N$4)+COUNTIF('1月'!BQ32:BR32,N$4)+COUNTIF('1月'!BV32:BW32,N$4)+COUNTIF('1月'!CA32:CB32,N$4)+COUNTIF('1月'!CF32:CG32,N$4)+COUNTIF('1月'!CK32:CL32,N$4)+COUNTIF('1月'!CP32:CQ32,N$4)+COUNTIF('1月'!CU32:CV32,N$4)+COUNTIF('1月'!CZ32:DA32,N$4)+COUNTIF('1月'!DE32:DF32,N$4)+COUNTIF('1月'!DJ32:DK32,N$4)+COUNTIF('1月'!DO32:DP32,N$4)+COUNTIF('1月'!DT32:DU32,N$4)+COUNTIF('1月'!DY32:DZ32,N$4)+COUNTIF('1月'!ED32:EE32,N$4)+COUNTIF('1月'!EI32:EJ32,N$4)+COUNTIF('1月'!EN32:EO32,N$4)+COUNTIF('1月'!ES32:ET32,N$4)+COUNTIF('1月'!D32:E32,"三軒茶屋－夜勤")+COUNTIF('1月'!I32:J32,"三軒茶屋－夜勤")+COUNTIF('1月'!N32:O32,"三軒茶屋－夜勤")+COUNTIF('1月'!S32:T32,"三軒茶屋－夜勤")+COUNTIF('1月'!X32:Y32,"三軒茶屋－夜勤")+COUNTIF('1月'!AC32:AD32,"三軒茶屋－夜勤")+COUNTIF('1月'!AH32:AI32,"三軒茶屋－夜勤")+COUNTIF('1月'!AM32:AN32,"三軒茶屋－夜勤")+COUNTIF('1月'!AR32:AS32,"三軒茶屋－夜勤")+COUNTIF('1月'!AW32:AX32,"三軒茶屋－夜勤")+COUNTIF('1月'!BB32:BC32,"三軒茶屋－夜勤")+COUNTIF('1月'!BG32:BH32,"三軒茶屋－夜勤")+COUNTIF('1月'!BL32:BM32,"三軒茶屋－夜勤")+COUNTIF('1月'!BQ32:BR32,"三軒茶屋－夜勤")+COUNTIF('1月'!BV32:BW32,"三軒茶屋－夜勤")+COUNTIF('1月'!CA32:CB32,"三軒茶屋－夜勤")+COUNTIF('1月'!CF32:CG32,"三軒茶屋－夜勤")+COUNTIF('1月'!CK32:CL32,"三軒茶屋－夜勤")+COUNTIF('1月'!CP32:CQ32,"三軒茶屋－夜勤")+COUNTIF('1月'!CU32:CV32,"三軒茶屋－夜勤")+COUNTIF('1月'!CZ32:DA32,"三軒茶屋－夜勤")+COUNTIF('1月'!DE32:DF32,"三軒茶屋－夜勤")+COUNTIF('1月'!DJ32:DK32,"三軒茶屋－夜勤")+COUNTIF('1月'!DO32:DP32,"三軒茶屋－夜勤")+COUNTIF('1月'!DT32:DU32,"三軒茶屋－夜勤")+COUNTIF('1月'!DY32:DZ32,"三軒茶屋－夜勤")+COUNTIF('1月'!ED32:EE32,"三軒茶屋－夜勤")+COUNTIF('1月'!EI32:EJ32,"三軒茶屋－夜勤")+COUNTIF('1月'!EN32:EO32,"三軒茶屋－夜勤")+COUNTIF('1月'!ES32:ET32,"三軒茶屋－夜勤")</f>
        <v>0</v>
      </c>
      <c r="O34" s="76">
        <f t="shared" si="6"/>
        <v>0</v>
      </c>
      <c r="P34" s="76">
        <f>COUNTIF('1月'!D32:E32,P$4)+COUNTIF('1月'!I32:J32,P$4)+COUNTIF('1月'!N32:O32,P$4)+COUNTIF('1月'!S32:T32,P$4)+COUNTIF('1月'!X32:Y32,P$4)+COUNTIF('1月'!AC32:AD32,P$4)+COUNTIF('1月'!AH32:AI32,P$4)+COUNTIF('1月'!AM32:AN32,P$4)+COUNTIF('1月'!AR32:AS32,P$4)+COUNTIF('1月'!AW32:AX32,P$4)+COUNTIF('1月'!BB32:BC32,P$4)+COUNTIF('1月'!BG32:BH32,P$4)+COUNTIF('1月'!BL32:BM32,P$4)+COUNTIF('1月'!BQ32:BR32,P$4)+COUNTIF('1月'!BV32:BW32,P$4)+COUNTIF('1月'!CA32:CB32,P$4)+COUNTIF('1月'!CF32:CG32,P$4)+COUNTIF('1月'!CK32:CL32,P$4)+COUNTIF('1月'!CP32:CQ32,P$4)+COUNTIF('1月'!CU32:CV32,P$4)+COUNTIF('1月'!CZ32:DA32,P$4)+COUNTIF('1月'!DE32:DF32,P$4)+COUNTIF('1月'!DJ32:DK32,P$4)+COUNTIF('1月'!DO32:DP32,P$4)+COUNTIF('1月'!DT32:DU32,P$4)+COUNTIF('1月'!DY32:DZ32,P$4)+COUNTIF('1月'!ED32:EE32,P$4)+COUNTIF('1月'!EI32:EJ32,P$4)+COUNTIF('1月'!EN32:EO32,P$4)+COUNTIF('1月'!ES32:ET32,P$4)+COUNTIF('1月'!D32:E32,"荻窪ー夜勤")+COUNTIF('1月'!I32:J32,"荻窪ー夜勤")+COUNTIF('1月'!N32:O32,"荻窪ー夜勤")+COUNTIF('1月'!S32:T32,"荻窪ー夜勤")+COUNTIF('1月'!X32:Y32,"荻窪ー夜勤")+COUNTIF('1月'!AC32:AD32,"荻窪ー夜勤")+COUNTIF('1月'!AH32:AI32,"荻窪ー夜勤")+COUNTIF('1月'!AM32:AN32,"荻窪ー夜勤")+COUNTIF('1月'!AR32:AS32,"荻窪ー夜勤")+COUNTIF('1月'!AW32:AX32,"荻窪ー夜勤")+COUNTIF('1月'!BB32:BC32,"荻窪ー夜勤")+COUNTIF('1月'!BG32:BH32,"荻窪ー夜勤")+COUNTIF('1月'!BL32:BM32,"荻窪ー夜勤")+COUNTIF('1月'!BQ32:BR32,"荻窪ー夜勤")+COUNTIF('1月'!BV32:BW32,"荻窪ー夜勤")+COUNTIF('1月'!CA32:CB32,"荻窪ー夜勤")+COUNTIF('1月'!CF32:CG32,"荻窪ー夜勤")+COUNTIF('1月'!CK32:CL32,"荻窪ー夜勤")+COUNTIF('1月'!CP32:CQ32,"荻窪ー夜勤")+COUNTIF('1月'!CU32:CV32,"荻窪ー夜勤")+COUNTIF('1月'!CZ32:DA32,"荻窪ー夜勤")+COUNTIF('1月'!DE32:DF32,"荻窪ー夜勤")+COUNTIF('1月'!DJ32:DK32,"荻窪ー夜勤")+COUNTIF('1月'!DO32:DP32,"荻窪ー夜勤")+COUNTIF('1月'!DT32:DU32,"荻窪ー夜勤")+COUNTIF('1月'!DY32:DZ32,"荻窪ー夜勤")+COUNTIF('1月'!ED32:EE32,"荻窪ー夜勤")+COUNTIF('1月'!EI32:EJ32,"荻窪ー夜勤")+COUNTIF('1月'!EN32:EO32,"荻窪ー夜勤")+COUNTIF('1月'!ES32:ET32,"荻窪ー夜勤")</f>
        <v>0</v>
      </c>
      <c r="Q34" s="76">
        <f t="shared" si="7"/>
        <v>0</v>
      </c>
      <c r="R34" s="76">
        <f>COUNTIF('1月'!D32:E32,R$4)+COUNTIF('1月'!I32:J32,R$4)+COUNTIF('1月'!N32:O32,R$4)+COUNTIF('1月'!S32:T32,R$4)+COUNTIF('1月'!X32:Y32,R$4)+COUNTIF('1月'!AC32:AD32,R$4)+COUNTIF('1月'!AH32:AI32,R$4)+COUNTIF('1月'!AM32:AN32,R$4)+COUNTIF('1月'!AR32:AS32,R$4)+COUNTIF('1月'!AW32:AX32,R$4)+COUNTIF('1月'!BB32:BC32,R$4)+COUNTIF('1月'!BG32:BH32,R$4)+COUNTIF('1月'!BL32:BM32,R$4)+COUNTIF('1月'!BQ32:BR32,R$4)+COUNTIF('1月'!BV32:BW32,R$4)+COUNTIF('1月'!CA32:CB32,R$4)+COUNTIF('1月'!CF32:CG32,R$4)+COUNTIF('1月'!CK32:CL32,R$4)+COUNTIF('1月'!CP32:CQ32,R$4)+COUNTIF('1月'!CU32:CV32,R$4)+COUNTIF('1月'!CZ32:DA32,R$4)+COUNTIF('1月'!DE32:DF32,R$4)+COUNTIF('1月'!DJ32:DK32,R$4)+COUNTIF('1月'!DO32:DP32,R$4)+COUNTIF('1月'!DT32:DU32,R$4)+COUNTIF('1月'!DY32:DZ32,R$4)+COUNTIF('1月'!ED32:EE32,R$4)+COUNTIF('1月'!EI32:EJ32,R$4)+COUNTIF('1月'!EN32:EO32,R$4)+COUNTIF('1月'!ES32:ET32,R$4)</f>
        <v>0</v>
      </c>
      <c r="S34" s="76">
        <f t="shared" si="8"/>
        <v>0</v>
      </c>
      <c r="T34" s="76">
        <f>COUNTIF('1月'!D32:E32,T$4)+COUNTIF('1月'!I32:J32,T$4)+COUNTIF('1月'!N32:O32,T$4)+COUNTIF('1月'!S32:T32,T$4)+COUNTIF('1月'!X32:Y32,T$4)+COUNTIF('1月'!AC32:AD32,T$4)+COUNTIF('1月'!AH32:AI32,T$4)+COUNTIF('1月'!AM32:AN32,T$4)+COUNTIF('1月'!AR32:AS32,T$4)+COUNTIF('1月'!AW32:AX32,T$4)+COUNTIF('1月'!BB32:BC32,T$4)+COUNTIF('1月'!BG32:BH32,T$4)+COUNTIF('1月'!BL32:BM32,T$4)+COUNTIF('1月'!BQ32:BR32,T$4)+COUNTIF('1月'!BV32:BW32,T$4)+COUNTIF('1月'!CA32:CB32,T$4)+COUNTIF('1月'!CF32:CG32,T$4)+COUNTIF('1月'!CK32:CL32,T$4)+COUNTIF('1月'!CP32:CQ32,T$4)+COUNTIF('1月'!CU32:CV32,T$4)+COUNTIF('1月'!CZ32:DA32,T$4)+COUNTIF('1月'!DE32:DF32,T$4)+COUNTIF('1月'!DJ32:DK32,T$4)+COUNTIF('1月'!DO32:DP32,T$4)+COUNTIF('1月'!DT32:DU32,T$4)+COUNTIF('1月'!DY32:DZ32,T$4)+COUNTIF('1月'!ED32:EE32,T$4)+COUNTIF('1月'!EI32:EJ32,T$4)+COUNTIF('1月'!EN32:EO32,T$4)+COUNTIF('1月'!ES32:ET32,T$4)</f>
        <v>0</v>
      </c>
      <c r="U34" s="76">
        <f t="shared" si="9"/>
        <v>0</v>
      </c>
      <c r="V34" s="76">
        <f>COUNTIF('1月'!D32:E32,V$4)+COUNTIF('1月'!I32:J32,V$4)+COUNTIF('1月'!N32:O32,V$4)+COUNTIF('1月'!S32:T32,V$4)+COUNTIF('1月'!X32:Y32,V$4)+COUNTIF('1月'!AC32:AD32,V$4)+COUNTIF('1月'!AH32:AI32,V$4)+COUNTIF('1月'!AM32:AN32,V$4)+COUNTIF('1月'!AR32:AS32,V$4)+COUNTIF('1月'!AW32:AX32,V$4)+COUNTIF('1月'!BB32:BC32,V$4)+COUNTIF('1月'!BG32:BH32,V$4)+COUNTIF('1月'!BL32:BM32,V$4)+COUNTIF('1月'!BQ32:BR32,V$4)+COUNTIF('1月'!BV32:BW32,V$4)+COUNTIF('1月'!CA32:CB32,V$4)+COUNTIF('1月'!CF32:CG32,V$4)+COUNTIF('1月'!CK32:CL32,V$4)+COUNTIF('1月'!CP32:CQ32,V$4)+COUNTIF('1月'!CU32:CV32,V$4)+COUNTIF('1月'!CZ32:DA32,V$4)+COUNTIF('1月'!DE32:DF32,V$4)+COUNTIF('1月'!DJ32:DK32,V$4)+COUNTIF('1月'!DO32:DP32,V$4)+COUNTIF('1月'!DT32:DU32,V$4)+COUNTIF('1月'!DY32:DZ32,V$4)+COUNTIF('1月'!ED32:EE32,V$4)+COUNTIF('1月'!EI32:EJ32,V$4)+COUNTIF('1月'!EN32:EO32,V$4)+COUNTIF('1月'!ES32:ET32,V$4)</f>
        <v>0</v>
      </c>
      <c r="W34" s="76">
        <f t="shared" si="10"/>
        <v>0</v>
      </c>
      <c r="X34" s="76">
        <f>COUNTIF('1月'!D32:E32,X$4)+COUNTIF('1月'!I32:J32,X$4)+COUNTIF('1月'!N32:O32,X$4)+COUNTIF('1月'!S32:T32,X$4)+COUNTIF('1月'!X32:Y32,X$4)+COUNTIF('1月'!AC32:AD32,X$4)+COUNTIF('1月'!AH32:AI32,X$4)+COUNTIF('1月'!AM32:AN32,X$4)+COUNTIF('1月'!AR32:AS32,X$4)+COUNTIF('1月'!AW32:AX32,X$4)+COUNTIF('1月'!BB32:BC32,X$4)+COUNTIF('1月'!BG32:BH32,X$4)+COUNTIF('1月'!BL32:BM32,X$4)+COUNTIF('1月'!BQ32:BR32,X$4)+COUNTIF('1月'!BV32:BW32,X$4)+COUNTIF('1月'!CA32:CB32,X$4)+COUNTIF('1月'!CF32:CG32,X$4)+COUNTIF('1月'!CK32:CL32,X$4)+COUNTIF('1月'!CP32:CQ32,X$4)+COUNTIF('1月'!CU32:CV32,X$4)+COUNTIF('1月'!CZ32:DA32,X$4)+COUNTIF('1月'!DE32:DF32,X$4)+COUNTIF('1月'!DJ32:DK32,X$4)+COUNTIF('1月'!DO32:DP32,X$4)+COUNTIF('1月'!DT32:DU32,X$4)+COUNTIF('1月'!DY32:DZ32,X$4)+COUNTIF('1月'!ED32:EE32,X$4)+COUNTIF('1月'!EI32:EJ32,X$4)+COUNTIF('1月'!EN32:EO32,X$4)+COUNTIF('1月'!ES32:ET32,X$4)</f>
        <v>0</v>
      </c>
      <c r="Y34" s="76">
        <f t="shared" si="11"/>
        <v>0</v>
      </c>
    </row>
    <row r="35" spans="1:25" ht="18" customHeight="1">
      <c r="A35" s="76">
        <v>30</v>
      </c>
      <c r="B35" s="76">
        <f>COUNTIF('1月'!D33:E33,B$4)+COUNTIF('1月'!I33:J33,B$4)+COUNTIF('1月'!N33:O33,B$4)+COUNTIF('1月'!S33:T33,B$4)+COUNTIF('1月'!X33:Y33,B$4)+COUNTIF('1月'!AC33:AD33,B$4)+COUNTIF('1月'!AH33:AI33,B$4)+COUNTIF('1月'!AM33:AN33,B$4)+COUNTIF('1月'!AR33:AS33,B$4)+COUNTIF('1月'!AW33:AX33,B$4)+COUNTIF('1月'!BB33:BC33,B$4)+COUNTIF('1月'!BG33:BH33,B$4)+COUNTIF('1月'!BL33:BM33,B$4)+COUNTIF('1月'!BQ33:BR33,B$4)+COUNTIF('1月'!BV33:BW33,B$4)+COUNTIF('1月'!CA33:CB33,B$4)+COUNTIF('1月'!CF33:CG33,B$4)+COUNTIF('1月'!CK33:CL33,B$4)+COUNTIF('1月'!CP33:CQ33,B$4)+COUNTIF('1月'!CU33:CV33,B$4)+COUNTIF('1月'!CZ33:DA33,B$4)+COUNTIF('1月'!DE33:DF33,B$4)+COUNTIF('1月'!DJ33:DK33,B$4)+COUNTIF('1月'!DO33:DP33,B$4)+COUNTIF('1月'!DT33:DU33,B$4)+COUNTIF('1月'!DY33:DZ33,B$4)+COUNTIF('1月'!ED33:EE33,B$4)+COUNTIF('1月'!EI33:EJ33,B$4)+COUNTIF('1月'!EN33:EO33,B$4)+COUNTIF('1月'!ES33:ET33,B$4)</f>
        <v>5</v>
      </c>
      <c r="C35" s="76">
        <f t="shared" si="0"/>
        <v>44</v>
      </c>
      <c r="D35" s="76">
        <f>COUNTIF('1月'!D33:E33,D$4)+COUNTIF('1月'!I33:J33,D$4)+COUNTIF('1月'!N33:O33,D$4)+COUNTIF('1月'!S33:T33,D$4)+COUNTIF('1月'!X33:Y33,D$4)+COUNTIF('1月'!AC33:AD33,D$4)+COUNTIF('1月'!AH33:AI33,D$4)+COUNTIF('1月'!AM33:AN33,D$4)+COUNTIF('1月'!AR33:AS33,D$4)+COUNTIF('1月'!AW33:AX33,D$4)+COUNTIF('1月'!BB33:BC33,D$4)+COUNTIF('1月'!BG33:BH33,D$4)+COUNTIF('1月'!BL33:BM33,D$4)+COUNTIF('1月'!BQ33:BR33,D$4)+COUNTIF('1月'!BV33:BW33,D$4)+COUNTIF('1月'!CA33:CB33,D$4)+COUNTIF('1月'!CF33:CG33,D$4)+COUNTIF('1月'!CK33:CL33,D$4)+COUNTIF('1月'!CP33:CQ33,D$4)+COUNTIF('1月'!CU33:CV33,D$4)+COUNTIF('1月'!CZ33:DA33,D$4)+COUNTIF('1月'!DE33:DF33,D$4)+COUNTIF('1月'!DJ33:DK33,D$4)+COUNTIF('1月'!DO33:DP33,D$4)+COUNTIF('1月'!DT33:DU33,D$4)+COUNTIF('1月'!DY33:DZ33,D$4)+COUNTIF('1月'!ED33:EE33,D$4)+COUNTIF('1月'!EI33:EJ33,D$4)+COUNTIF('1月'!EN33:EO33,D$4)+COUNTIF('1月'!ES33:ET33,D$4)</f>
        <v>0</v>
      </c>
      <c r="E35" s="76">
        <f t="shared" si="1"/>
        <v>0</v>
      </c>
      <c r="F35" s="76">
        <f>COUNTIF('1月'!D33:E33,F$4)+COUNTIF('1月'!I33:J33,F$4)+COUNTIF('1月'!N33:O33,F$4)+COUNTIF('1月'!S33:T33,F$4)+COUNTIF('1月'!X33:Y33,F$4)+COUNTIF('1月'!AC33:AD33,F$4)+COUNTIF('1月'!AH33:AI33,F$4)+COUNTIF('1月'!AM33:AN33,F$4)+COUNTIF('1月'!AR33:AS33,F$4)+COUNTIF('1月'!AW33:AX33,F$4)+COUNTIF('1月'!BB33:BC33,F$4)+COUNTIF('1月'!BG33:BH33,F$4)+COUNTIF('1月'!BL33:BM33,F$4)+COUNTIF('1月'!BQ33:BR33,F$4)+COUNTIF('1月'!BV33:BW33,F$4)+COUNTIF('1月'!CA33:CB33,F$4)+COUNTIF('1月'!CF33:CG33,F$4)+COUNTIF('1月'!CK33:CL33,F$4)+COUNTIF('1月'!CP33:CQ33,F$4)+COUNTIF('1月'!CU33:CV33,F$4)+COUNTIF('1月'!CZ33:DA33,F$4)+COUNTIF('1月'!DE33:DF33,F$4)+COUNTIF('1月'!DJ33:DK33,F$4)+COUNTIF('1月'!DO33:DP33,F$4)+COUNTIF('1月'!DT33:DU33,F$4)+COUNTIF('1月'!DY33:DZ33,F$4)+COUNTIF('1月'!ED33:EE33,F$4)+COUNTIF('1月'!EI33:EJ33,F$4)+COUNTIF('1月'!EN33:EO33,F$4)+COUNTIF('1月'!ES33:ET33,F$4)</f>
        <v>0</v>
      </c>
      <c r="G35" s="76">
        <f t="shared" si="2"/>
        <v>0</v>
      </c>
      <c r="H35" s="76">
        <f>COUNTIF('1月'!D33:E33,H$4)+COUNTIF('1月'!I33:J33,H$4)+COUNTIF('1月'!N33:O33,H$4)+COUNTIF('1月'!S33:T33,H$4)+COUNTIF('1月'!X33:Y33,H$4)+COUNTIF('1月'!AC33:AD33,H$4)+COUNTIF('1月'!AH33:AI33,H$4)+COUNTIF('1月'!AM33:AN33,H$4)+COUNTIF('1月'!AR33:AS33,H$4)+COUNTIF('1月'!AW33:AX33,H$4)+COUNTIF('1月'!BB33:BC33,H$4)+COUNTIF('1月'!BG33:BH33,H$4)+COUNTIF('1月'!BL33:BM33,H$4)+COUNTIF('1月'!BQ33:BR33,H$4)+COUNTIF('1月'!BV33:BW33,H$4)+COUNTIF('1月'!CA33:CB33,H$4)+COUNTIF('1月'!CF33:CG33,H$4)+COUNTIF('1月'!CK33:CL33,H$4)+COUNTIF('1月'!CP33:CQ33,H$4)+COUNTIF('1月'!CU33:CV33,H$4)+COUNTIF('1月'!CZ33:DA33,H$4)+COUNTIF('1月'!DE33:DF33,H$4)+COUNTIF('1月'!DJ33:DK33,H$4)+COUNTIF('1月'!DO33:DP33,H$4)+COUNTIF('1月'!DT33:DU33,H$4)+COUNTIF('1月'!DY33:DZ33,H$4)+COUNTIF('1月'!ED33:EE33,H$4)+COUNTIF('1月'!EI33:EJ33,H$4)+COUNTIF('1月'!EN33:EO33,H$4)+COUNTIF('1月'!ES33:ET33,H$4)+COUNTIF('1月'!D33:E33,"渋谷-夜勤")+COUNTIF('1月'!I33:J33,"渋谷-夜勤")+COUNTIF('1月'!N33:O33,"渋谷-夜勤")+COUNTIF('1月'!S33:T33,"渋谷-夜勤")+COUNTIF('1月'!X33:Y33,"渋谷-夜勤")+COUNTIF('1月'!AC33:AD33,"渋谷-夜勤")+COUNTIF('1月'!AH33:AI33,"渋谷-夜勤")+COUNTIF('1月'!AM33:AN33,"渋谷-夜勤")+COUNTIF('1月'!AR33:AS33,"渋谷-夜勤")+COUNTIF('1月'!AW33:AX33,"渋谷-夜勤")+COUNTIF('1月'!BB33:BC33,"渋谷-夜勤")+COUNTIF('1月'!BG33:BH33,"渋谷-夜勤")+COUNTIF('1月'!BL33:BM33,"渋谷-夜勤")+COUNTIF('1月'!BQ33:BR33,"渋谷-夜勤")+COUNTIF('1月'!BV33:BW33,"渋谷-夜勤")+COUNTIF('1月'!CA33:CB33,"渋谷-夜勤")+COUNTIF('1月'!CF33:CG33,"渋谷-夜勤")+COUNTIF('1月'!CK33:CL33,"渋谷-夜勤")+COUNTIF('1月'!CP33:CQ33,"渋谷-夜勤")+COUNTIF('1月'!CU33:CV33,"渋谷-夜勤")+COUNTIF('1月'!CZ33:DA33,"渋谷-夜勤")+COUNTIF('1月'!DE33:DF33,"渋谷-夜勤")+COUNTIF('1月'!DJ33:DK33,"渋谷-夜勤")+COUNTIF('1月'!DO33:DP33,"渋谷-夜勤")+COUNTIF('1月'!DT33:DU33,"渋谷-夜勤")+COUNTIF('1月'!DY33:DZ33,"渋谷-夜勤")+COUNTIF('1月'!ED33:EE33,"渋谷-夜勤")+COUNTIF('1月'!EI33:EJ33,"渋谷-夜勤")+COUNTIF('1月'!EN33:EO33,"渋谷-夜勤")+COUNTIF('1月'!ES33:ET33,"渋谷-夜勤")</f>
        <v>0</v>
      </c>
      <c r="I35" s="76">
        <f t="shared" si="3"/>
        <v>0</v>
      </c>
      <c r="J35" s="76">
        <f>COUNTIF('1月'!D33:E33,J$4)+COUNTIF('1月'!I33:J33,J$4)+COUNTIF('1月'!N33:O33,J$4)+COUNTIF('1月'!S33:T33,J$4)+COUNTIF('1月'!X33:Y33,J$4)+COUNTIF('1月'!AC33:AD33,J$4)+COUNTIF('1月'!AH33:AI33,J$4)+COUNTIF('1月'!AM33:AN33,J$4)+COUNTIF('1月'!AR33:AS33,J$4)+COUNTIF('1月'!AW33:AX33,J$4)+COUNTIF('1月'!BB33:BC33,J$4)+COUNTIF('1月'!BG33:BH33,J$4)+COUNTIF('1月'!BL33:BM33,J$4)+COUNTIF('1月'!BQ33:BR33,J$4)+COUNTIF('1月'!BV33:BW33,J$4)+COUNTIF('1月'!CA33:CB33,J$4)+COUNTIF('1月'!CF33:CG33,J$4)+COUNTIF('1月'!CK33:CL33,J$4)+COUNTIF('1月'!CP33:CQ33,J$4)+COUNTIF('1月'!CU33:CV33,J$4)+COUNTIF('1月'!CZ33:DA33,J$4)+COUNTIF('1月'!DE33:DF33,J$4)+COUNTIF('1月'!DJ33:DK33,J$4)+COUNTIF('1月'!DO33:DP33,J$4)+COUNTIF('1月'!DT33:DU33,J$4)+COUNTIF('1月'!DY33:DZ33,J$4)+COUNTIF('1月'!ED33:EE33,J$4)+COUNTIF('1月'!EI33:EJ33,J$4)+COUNTIF('1月'!EN33:EO33,J$4)+COUNTIF('1月'!ES33:ET33,J$4)+COUNTIF('1月'!D33:E33,"六本木-夜勤")+COUNTIF('1月'!I33:J33,"六本木-夜勤")+COUNTIF('1月'!N33:O33,"六本木-夜勤")+COUNTIF('1月'!S33:T33,"六本木-夜勤")+COUNTIF('1月'!X33:Y33,"六本木-夜勤")+COUNTIF('1月'!AC33:AD33,"六本木-夜勤")+COUNTIF('1月'!AH33:AI33,"六本木-夜勤")+COUNTIF('1月'!AM33:AN33,"六本木-夜勤")+COUNTIF('1月'!AR33:AS33,"六本木-夜勤")+COUNTIF('1月'!AW33:AX33,"六本木-夜勤")+COUNTIF('1月'!BB33:BC33,"六本木-夜勤")+COUNTIF('1月'!BG33:BH33,"六本木-夜勤")+COUNTIF('1月'!BL33:BM33,"六本木-夜勤")+COUNTIF('1月'!BQ33:BR33,"六本木-夜勤")+COUNTIF('1月'!BV33:BW33,"六本木-夜勤")+COUNTIF('1月'!CA33:CB33,"六本木-夜勤")+COUNTIF('1月'!CF33:CG33,"六本木-夜勤")+COUNTIF('1月'!CK33:CL33,"六本木-夜勤")+COUNTIF('1月'!CP33:CQ33,"六本木-夜勤")+COUNTIF('1月'!CU33:CV33,"六本木-夜勤")+COUNTIF('1月'!CZ33:DA33,"六本木-夜勤")+COUNTIF('1月'!DE33:DF33,"六本木-夜勤")+COUNTIF('1月'!DJ33:DK33,"六本木-夜勤")+COUNTIF('1月'!DO33:DP33,"六本木-夜勤")+COUNTIF('1月'!DT33:DU33,"六本木-夜勤")+COUNTIF('1月'!DY33:DZ33,"六本木-夜勤")+COUNTIF('1月'!ED33:EE33,"六本木-夜勤")+COUNTIF('1月'!EI33:EJ33,"六本木-夜勤")+COUNTIF('1月'!EN33:EO33,"六本木-夜勤")+COUNTIF('1月'!ES33:ET33,"六本木-夜勤")+COUNTIF('1月'!D33:E33,"六本木ー夜勤")+COUNTIF('1月'!I33:J33,"六本木ー夜勤")+COUNTIF('1月'!N33:O33,"六本木ー夜勤")+COUNTIF('1月'!S33:T33,"六本木ー夜勤")+COUNTIF('1月'!X33:Y33,"六本木ー夜勤")+COUNTIF('1月'!AC33:AD33,"六本木ー夜勤")+COUNTIF('1月'!AH33:AI33,"六本木ー夜勤")+COUNTIF('1月'!AM33:AN33,"六本木ー夜勤")+COUNTIF('1月'!AR33:AS33,"六本木ー夜勤")+COUNTIF('1月'!AW33:AX33,"六本木ー夜勤")+COUNTIF('1月'!BB33:BC33,"六本木ー夜勤")+COUNTIF('1月'!BG33:BH33,"六本木ー夜勤")+COUNTIF('1月'!BL33:BM33,"六本木ー夜勤")+COUNTIF('1月'!BQ33:BR33,"六本木ー夜勤")+COUNTIF('1月'!BV33:BW33,"六本木ー夜勤")+COUNTIF('1月'!CA33:CB33,"六本木ー夜勤")+COUNTIF('1月'!CF33:CG33,"六本木ー夜勤")+COUNTIF('1月'!CK33:CL33,"六本木ー夜勤")+COUNTIF('1月'!CP33:CQ33,"六本木ー夜勤")+COUNTIF('1月'!CU33:CV33,"六本木ー夜勤")+COUNTIF('1月'!CZ33:DA33,"六本木ー夜勤")+COUNTIF('1月'!DE33:DF33,"六本木ー夜勤")+COUNTIF('1月'!DJ33:DK33,"六本木ー夜勤")+COUNTIF('1月'!DO33:DP33,"六本木ー夜勤")+COUNTIF('1月'!DT33:DU33,"六本木ー夜勤")+COUNTIF('1月'!DY33:DZ33,"六本木ー夜勤")+COUNTIF('1月'!ED33:EE33,"六本木ー夜勤")+COUNTIF('1月'!EI33:EJ33,"六本木ー夜勤")+COUNTIF('1月'!EN33:EO33,"六本木ー夜勤")+COUNTIF('1月'!ES33:ET33,"六本木ー夜勤")</f>
        <v>0</v>
      </c>
      <c r="K35" s="76">
        <f t="shared" si="4"/>
        <v>1</v>
      </c>
      <c r="L35" s="76">
        <f>COUNTIF('1月'!D33:E33,L$4)+COUNTIF('1月'!I33:J33,L$4)+COUNTIF('1月'!N33:O33,L$4)+COUNTIF('1月'!S33:T33,L$4)+COUNTIF('1月'!X33:Y33,L$4)+COUNTIF('1月'!AC33:AD33,L$4)+COUNTIF('1月'!AH33:AI33,L$4)+COUNTIF('1月'!AM33:AN33,L$4)+COUNTIF('1月'!AR33:AS33,L$4)+COUNTIF('1月'!AW33:AX33,L$4)+COUNTIF('1月'!BB33:BC33,L$4)+COUNTIF('1月'!BG33:BH33,L$4)+COUNTIF('1月'!BL33:BM33,L$4)+COUNTIF('1月'!BQ33:BR33,L$4)+COUNTIF('1月'!BV33:BW33,L$4)+COUNTIF('1月'!CA33:CB33,L$4)+COUNTIF('1月'!CF33:CG33,L$4)+COUNTIF('1月'!CK33:CL33,L$4)+COUNTIF('1月'!CP33:CQ33,L$4)+COUNTIF('1月'!CU33:CV33,L$4)+COUNTIF('1月'!CZ33:DA33,L$4)+COUNTIF('1月'!DE33:DF33,L$4)+COUNTIF('1月'!DJ33:DK33,L$4)+COUNTIF('1月'!DO33:DP33,L$4)+COUNTIF('1月'!DT33:DU33,L$4)+COUNTIF('1月'!DY33:DZ33,L$4)+COUNTIF('1月'!ED33:EE33,L$4)+COUNTIF('1月'!EI33:EJ33,L$4)+COUNTIF('1月'!EN33:EO33,L$4)+COUNTIF('1月'!ES33:ET33,L$4)</f>
        <v>0</v>
      </c>
      <c r="M35" s="76">
        <f t="shared" si="5"/>
        <v>0</v>
      </c>
      <c r="N35" s="76">
        <f>COUNTIF('1月'!D33:E33,N$4)+COUNTIF('1月'!I33:J33,N$4)+COUNTIF('1月'!N33:O33,N$4)+COUNTIF('1月'!S33:T33,N$4)+COUNTIF('1月'!X33:Y33,N$4)+COUNTIF('1月'!AC33:AD33,N$4)+COUNTIF('1月'!AH33:AI33,N$4)+COUNTIF('1月'!AM33:AN33,N$4)+COUNTIF('1月'!AR33:AS33,N$4)+COUNTIF('1月'!AW33:AX33,N$4)+COUNTIF('1月'!BB33:BC33,N$4)+COUNTIF('1月'!BG33:BH33,N$4)+COUNTIF('1月'!BL33:BM33,N$4)+COUNTIF('1月'!BQ33:BR33,N$4)+COUNTIF('1月'!BV33:BW33,N$4)+COUNTIF('1月'!CA33:CB33,N$4)+COUNTIF('1月'!CF33:CG33,N$4)+COUNTIF('1月'!CK33:CL33,N$4)+COUNTIF('1月'!CP33:CQ33,N$4)+COUNTIF('1月'!CU33:CV33,N$4)+COUNTIF('1月'!CZ33:DA33,N$4)+COUNTIF('1月'!DE33:DF33,N$4)+COUNTIF('1月'!DJ33:DK33,N$4)+COUNTIF('1月'!DO33:DP33,N$4)+COUNTIF('1月'!DT33:DU33,N$4)+COUNTIF('1月'!DY33:DZ33,N$4)+COUNTIF('1月'!ED33:EE33,N$4)+COUNTIF('1月'!EI33:EJ33,N$4)+COUNTIF('1月'!EN33:EO33,N$4)+COUNTIF('1月'!ES33:ET33,N$4)+COUNTIF('1月'!D33:E33,"三軒茶屋－夜勤")+COUNTIF('1月'!I33:J33,"三軒茶屋－夜勤")+COUNTIF('1月'!N33:O33,"三軒茶屋－夜勤")+COUNTIF('1月'!S33:T33,"三軒茶屋－夜勤")+COUNTIF('1月'!X33:Y33,"三軒茶屋－夜勤")+COUNTIF('1月'!AC33:AD33,"三軒茶屋－夜勤")+COUNTIF('1月'!AH33:AI33,"三軒茶屋－夜勤")+COUNTIF('1月'!AM33:AN33,"三軒茶屋－夜勤")+COUNTIF('1月'!AR33:AS33,"三軒茶屋－夜勤")+COUNTIF('1月'!AW33:AX33,"三軒茶屋－夜勤")+COUNTIF('1月'!BB33:BC33,"三軒茶屋－夜勤")+COUNTIF('1月'!BG33:BH33,"三軒茶屋－夜勤")+COUNTIF('1月'!BL33:BM33,"三軒茶屋－夜勤")+COUNTIF('1月'!BQ33:BR33,"三軒茶屋－夜勤")+COUNTIF('1月'!BV33:BW33,"三軒茶屋－夜勤")+COUNTIF('1月'!CA33:CB33,"三軒茶屋－夜勤")+COUNTIF('1月'!CF33:CG33,"三軒茶屋－夜勤")+COUNTIF('1月'!CK33:CL33,"三軒茶屋－夜勤")+COUNTIF('1月'!CP33:CQ33,"三軒茶屋－夜勤")+COUNTIF('1月'!CU33:CV33,"三軒茶屋－夜勤")+COUNTIF('1月'!CZ33:DA33,"三軒茶屋－夜勤")+COUNTIF('1月'!DE33:DF33,"三軒茶屋－夜勤")+COUNTIF('1月'!DJ33:DK33,"三軒茶屋－夜勤")+COUNTIF('1月'!DO33:DP33,"三軒茶屋－夜勤")+COUNTIF('1月'!DT33:DU33,"三軒茶屋－夜勤")+COUNTIF('1月'!DY33:DZ33,"三軒茶屋－夜勤")+COUNTIF('1月'!ED33:EE33,"三軒茶屋－夜勤")+COUNTIF('1月'!EI33:EJ33,"三軒茶屋－夜勤")+COUNTIF('1月'!EN33:EO33,"三軒茶屋－夜勤")+COUNTIF('1月'!ES33:ET33,"三軒茶屋－夜勤")</f>
        <v>0</v>
      </c>
      <c r="O35" s="76">
        <f t="shared" si="6"/>
        <v>0</v>
      </c>
      <c r="P35" s="76">
        <f>COUNTIF('1月'!D33:E33,P$4)+COUNTIF('1月'!I33:J33,P$4)+COUNTIF('1月'!N33:O33,P$4)+COUNTIF('1月'!S33:T33,P$4)+COUNTIF('1月'!X33:Y33,P$4)+COUNTIF('1月'!AC33:AD33,P$4)+COUNTIF('1月'!AH33:AI33,P$4)+COUNTIF('1月'!AM33:AN33,P$4)+COUNTIF('1月'!AR33:AS33,P$4)+COUNTIF('1月'!AW33:AX33,P$4)+COUNTIF('1月'!BB33:BC33,P$4)+COUNTIF('1月'!BG33:BH33,P$4)+COUNTIF('1月'!BL33:BM33,P$4)+COUNTIF('1月'!BQ33:BR33,P$4)+COUNTIF('1月'!BV33:BW33,P$4)+COUNTIF('1月'!CA33:CB33,P$4)+COUNTIF('1月'!CF33:CG33,P$4)+COUNTIF('1月'!CK33:CL33,P$4)+COUNTIF('1月'!CP33:CQ33,P$4)+COUNTIF('1月'!CU33:CV33,P$4)+COUNTIF('1月'!CZ33:DA33,P$4)+COUNTIF('1月'!DE33:DF33,P$4)+COUNTIF('1月'!DJ33:DK33,P$4)+COUNTIF('1月'!DO33:DP33,P$4)+COUNTIF('1月'!DT33:DU33,P$4)+COUNTIF('1月'!DY33:DZ33,P$4)+COUNTIF('1月'!ED33:EE33,P$4)+COUNTIF('1月'!EI33:EJ33,P$4)+COUNTIF('1月'!EN33:EO33,P$4)+COUNTIF('1月'!ES33:ET33,P$4)+COUNTIF('1月'!D33:E33,"荻窪ー夜勤")+COUNTIF('1月'!I33:J33,"荻窪ー夜勤")+COUNTIF('1月'!N33:O33,"荻窪ー夜勤")+COUNTIF('1月'!S33:T33,"荻窪ー夜勤")+COUNTIF('1月'!X33:Y33,"荻窪ー夜勤")+COUNTIF('1月'!AC33:AD33,"荻窪ー夜勤")+COUNTIF('1月'!AH33:AI33,"荻窪ー夜勤")+COUNTIF('1月'!AM33:AN33,"荻窪ー夜勤")+COUNTIF('1月'!AR33:AS33,"荻窪ー夜勤")+COUNTIF('1月'!AW33:AX33,"荻窪ー夜勤")+COUNTIF('1月'!BB33:BC33,"荻窪ー夜勤")+COUNTIF('1月'!BG33:BH33,"荻窪ー夜勤")+COUNTIF('1月'!BL33:BM33,"荻窪ー夜勤")+COUNTIF('1月'!BQ33:BR33,"荻窪ー夜勤")+COUNTIF('1月'!BV33:BW33,"荻窪ー夜勤")+COUNTIF('1月'!CA33:CB33,"荻窪ー夜勤")+COUNTIF('1月'!CF33:CG33,"荻窪ー夜勤")+COUNTIF('1月'!CK33:CL33,"荻窪ー夜勤")+COUNTIF('1月'!CP33:CQ33,"荻窪ー夜勤")+COUNTIF('1月'!CU33:CV33,"荻窪ー夜勤")+COUNTIF('1月'!CZ33:DA33,"荻窪ー夜勤")+COUNTIF('1月'!DE33:DF33,"荻窪ー夜勤")+COUNTIF('1月'!DJ33:DK33,"荻窪ー夜勤")+COUNTIF('1月'!DO33:DP33,"荻窪ー夜勤")+COUNTIF('1月'!DT33:DU33,"荻窪ー夜勤")+COUNTIF('1月'!DY33:DZ33,"荻窪ー夜勤")+COUNTIF('1月'!ED33:EE33,"荻窪ー夜勤")+COUNTIF('1月'!EI33:EJ33,"荻窪ー夜勤")+COUNTIF('1月'!EN33:EO33,"荻窪ー夜勤")+COUNTIF('1月'!ES33:ET33,"荻窪ー夜勤")</f>
        <v>0</v>
      </c>
      <c r="Q35" s="76">
        <f t="shared" si="7"/>
        <v>0</v>
      </c>
      <c r="R35" s="76">
        <f>COUNTIF('1月'!D33:E33,R$4)+COUNTIF('1月'!I33:J33,R$4)+COUNTIF('1月'!N33:O33,R$4)+COUNTIF('1月'!S33:T33,R$4)+COUNTIF('1月'!X33:Y33,R$4)+COUNTIF('1月'!AC33:AD33,R$4)+COUNTIF('1月'!AH33:AI33,R$4)+COUNTIF('1月'!AM33:AN33,R$4)+COUNTIF('1月'!AR33:AS33,R$4)+COUNTIF('1月'!AW33:AX33,R$4)+COUNTIF('1月'!BB33:BC33,R$4)+COUNTIF('1月'!BG33:BH33,R$4)+COUNTIF('1月'!BL33:BM33,R$4)+COUNTIF('1月'!BQ33:BR33,R$4)+COUNTIF('1月'!BV33:BW33,R$4)+COUNTIF('1月'!CA33:CB33,R$4)+COUNTIF('1月'!CF33:CG33,R$4)+COUNTIF('1月'!CK33:CL33,R$4)+COUNTIF('1月'!CP33:CQ33,R$4)+COUNTIF('1月'!CU33:CV33,R$4)+COUNTIF('1月'!CZ33:DA33,R$4)+COUNTIF('1月'!DE33:DF33,R$4)+COUNTIF('1月'!DJ33:DK33,R$4)+COUNTIF('1月'!DO33:DP33,R$4)+COUNTIF('1月'!DT33:DU33,R$4)+COUNTIF('1月'!DY33:DZ33,R$4)+COUNTIF('1月'!ED33:EE33,R$4)+COUNTIF('1月'!EI33:EJ33,R$4)+COUNTIF('1月'!EN33:EO33,R$4)+COUNTIF('1月'!ES33:ET33,R$4)</f>
        <v>0</v>
      </c>
      <c r="S35" s="76">
        <f t="shared" si="8"/>
        <v>0</v>
      </c>
      <c r="T35" s="76">
        <f>COUNTIF('1月'!D33:E33,T$4)+COUNTIF('1月'!I33:J33,T$4)+COUNTIF('1月'!N33:O33,T$4)+COUNTIF('1月'!S33:T33,T$4)+COUNTIF('1月'!X33:Y33,T$4)+COUNTIF('1月'!AC33:AD33,T$4)+COUNTIF('1月'!AH33:AI33,T$4)+COUNTIF('1月'!AM33:AN33,T$4)+COUNTIF('1月'!AR33:AS33,T$4)+COUNTIF('1月'!AW33:AX33,T$4)+COUNTIF('1月'!BB33:BC33,T$4)+COUNTIF('1月'!BG33:BH33,T$4)+COUNTIF('1月'!BL33:BM33,T$4)+COUNTIF('1月'!BQ33:BR33,T$4)+COUNTIF('1月'!BV33:BW33,T$4)+COUNTIF('1月'!CA33:CB33,T$4)+COUNTIF('1月'!CF33:CG33,T$4)+COUNTIF('1月'!CK33:CL33,T$4)+COUNTIF('1月'!CP33:CQ33,T$4)+COUNTIF('1月'!CU33:CV33,T$4)+COUNTIF('1月'!CZ33:DA33,T$4)+COUNTIF('1月'!DE33:DF33,T$4)+COUNTIF('1月'!DJ33:DK33,T$4)+COUNTIF('1月'!DO33:DP33,T$4)+COUNTIF('1月'!DT33:DU33,T$4)+COUNTIF('1月'!DY33:DZ33,T$4)+COUNTIF('1月'!ED33:EE33,T$4)+COUNTIF('1月'!EI33:EJ33,T$4)+COUNTIF('1月'!EN33:EO33,T$4)+COUNTIF('1月'!ES33:ET33,T$4)</f>
        <v>0</v>
      </c>
      <c r="U35" s="76">
        <f t="shared" si="9"/>
        <v>0</v>
      </c>
      <c r="V35" s="76">
        <f>COUNTIF('1月'!D33:E33,V$4)+COUNTIF('1月'!I33:J33,V$4)+COUNTIF('1月'!N33:O33,V$4)+COUNTIF('1月'!S33:T33,V$4)+COUNTIF('1月'!X33:Y33,V$4)+COUNTIF('1月'!AC33:AD33,V$4)+COUNTIF('1月'!AH33:AI33,V$4)+COUNTIF('1月'!AM33:AN33,V$4)+COUNTIF('1月'!AR33:AS33,V$4)+COUNTIF('1月'!AW33:AX33,V$4)+COUNTIF('1月'!BB33:BC33,V$4)+COUNTIF('1月'!BG33:BH33,V$4)+COUNTIF('1月'!BL33:BM33,V$4)+COUNTIF('1月'!BQ33:BR33,V$4)+COUNTIF('1月'!BV33:BW33,V$4)+COUNTIF('1月'!CA33:CB33,V$4)+COUNTIF('1月'!CF33:CG33,V$4)+COUNTIF('1月'!CK33:CL33,V$4)+COUNTIF('1月'!CP33:CQ33,V$4)+COUNTIF('1月'!CU33:CV33,V$4)+COUNTIF('1月'!CZ33:DA33,V$4)+COUNTIF('1月'!DE33:DF33,V$4)+COUNTIF('1月'!DJ33:DK33,V$4)+COUNTIF('1月'!DO33:DP33,V$4)+COUNTIF('1月'!DT33:DU33,V$4)+COUNTIF('1月'!DY33:DZ33,V$4)+COUNTIF('1月'!ED33:EE33,V$4)+COUNTIF('1月'!EI33:EJ33,V$4)+COUNTIF('1月'!EN33:EO33,V$4)+COUNTIF('1月'!ES33:ET33,V$4)</f>
        <v>0</v>
      </c>
      <c r="W35" s="76">
        <f t="shared" si="10"/>
        <v>0</v>
      </c>
      <c r="X35" s="76">
        <f>COUNTIF('1月'!D33:E33,X$4)+COUNTIF('1月'!I33:J33,X$4)+COUNTIF('1月'!N33:O33,X$4)+COUNTIF('1月'!S33:T33,X$4)+COUNTIF('1月'!X33:Y33,X$4)+COUNTIF('1月'!AC33:AD33,X$4)+COUNTIF('1月'!AH33:AI33,X$4)+COUNTIF('1月'!AM33:AN33,X$4)+COUNTIF('1月'!AR33:AS33,X$4)+COUNTIF('1月'!AW33:AX33,X$4)+COUNTIF('1月'!BB33:BC33,X$4)+COUNTIF('1月'!BG33:BH33,X$4)+COUNTIF('1月'!BL33:BM33,X$4)+COUNTIF('1月'!BQ33:BR33,X$4)+COUNTIF('1月'!BV33:BW33,X$4)+COUNTIF('1月'!CA33:CB33,X$4)+COUNTIF('1月'!CF33:CG33,X$4)+COUNTIF('1月'!CK33:CL33,X$4)+COUNTIF('1月'!CP33:CQ33,X$4)+COUNTIF('1月'!CU33:CV33,X$4)+COUNTIF('1月'!CZ33:DA33,X$4)+COUNTIF('1月'!DE33:DF33,X$4)+COUNTIF('1月'!DJ33:DK33,X$4)+COUNTIF('1月'!DO33:DP33,X$4)+COUNTIF('1月'!DT33:DU33,X$4)+COUNTIF('1月'!DY33:DZ33,X$4)+COUNTIF('1月'!ED33:EE33,X$4)+COUNTIF('1月'!EI33:EJ33,X$4)+COUNTIF('1月'!EN33:EO33,X$4)+COUNTIF('1月'!ES33:ET33,X$4)</f>
        <v>0</v>
      </c>
      <c r="Y35" s="76">
        <f t="shared" si="11"/>
        <v>0</v>
      </c>
    </row>
    <row r="36" spans="1:25" ht="18" customHeight="1">
      <c r="A36" s="76">
        <v>31</v>
      </c>
      <c r="B36" s="76">
        <f>COUNTIF('1月'!D34:E34,B$4)+COUNTIF('1月'!I34:J34,B$4)+COUNTIF('1月'!N34:O34,B$4)+COUNTIF('1月'!S34:T34,B$4)+COUNTIF('1月'!X34:Y34,B$4)+COUNTIF('1月'!AC34:AD34,B$4)+COUNTIF('1月'!AH34:AI34,B$4)+COUNTIF('1月'!AM34:AN34,B$4)+COUNTIF('1月'!AR34:AS34,B$4)+COUNTIF('1月'!AW34:AX34,B$4)+COUNTIF('1月'!BB34:BC34,B$4)+COUNTIF('1月'!BG34:BH34,B$4)+COUNTIF('1月'!BL34:BM34,B$4)+COUNTIF('1月'!BQ34:BR34,B$4)+COUNTIF('1月'!BV34:BW34,B$4)+COUNTIF('1月'!CA34:CB34,B$4)+COUNTIF('1月'!CF34:CG34,B$4)+COUNTIF('1月'!CK34:CL34,B$4)+COUNTIF('1月'!CP34:CQ34,B$4)+COUNTIF('1月'!CU34:CV34,B$4)+COUNTIF('1月'!CZ34:DA34,B$4)+COUNTIF('1月'!DE34:DF34,B$4)+COUNTIF('1月'!DJ34:DK34,B$4)+COUNTIF('1月'!DO34:DP34,B$4)+COUNTIF('1月'!DT34:DU34,B$4)+COUNTIF('1月'!DY34:DZ34,B$4)+COUNTIF('1月'!ED34:EE34,B$4)+COUNTIF('1月'!EI34:EJ34,B$4)+COUNTIF('1月'!EN34:EO34,B$4)+COUNTIF('1月'!ES34:ET34,B$4)</f>
        <v>4</v>
      </c>
      <c r="C36" s="76">
        <f t="shared" si="0"/>
        <v>48</v>
      </c>
      <c r="D36" s="76">
        <f>COUNTIF('1月'!D34:E34,D$4)+COUNTIF('1月'!I34:J34,D$4)+COUNTIF('1月'!N34:O34,D$4)+COUNTIF('1月'!S34:T34,D$4)+COUNTIF('1月'!X34:Y34,D$4)+COUNTIF('1月'!AC34:AD34,D$4)+COUNTIF('1月'!AH34:AI34,D$4)+COUNTIF('1月'!AM34:AN34,D$4)+COUNTIF('1月'!AR34:AS34,D$4)+COUNTIF('1月'!AW34:AX34,D$4)+COUNTIF('1月'!BB34:BC34,D$4)+COUNTIF('1月'!BG34:BH34,D$4)+COUNTIF('1月'!BL34:BM34,D$4)+COUNTIF('1月'!BQ34:BR34,D$4)+COUNTIF('1月'!BV34:BW34,D$4)+COUNTIF('1月'!CA34:CB34,D$4)+COUNTIF('1月'!CF34:CG34,D$4)+COUNTIF('1月'!CK34:CL34,D$4)+COUNTIF('1月'!CP34:CQ34,D$4)+COUNTIF('1月'!CU34:CV34,D$4)+COUNTIF('1月'!CZ34:DA34,D$4)+COUNTIF('1月'!DE34:DF34,D$4)+COUNTIF('1月'!DJ34:DK34,D$4)+COUNTIF('1月'!DO34:DP34,D$4)+COUNTIF('1月'!DT34:DU34,D$4)+COUNTIF('1月'!DY34:DZ34,D$4)+COUNTIF('1月'!ED34:EE34,D$4)+COUNTIF('1月'!EI34:EJ34,D$4)+COUNTIF('1月'!EN34:EO34,D$4)+COUNTIF('1月'!ES34:ET34,D$4)</f>
        <v>0</v>
      </c>
      <c r="E36" s="76">
        <f t="shared" si="1"/>
        <v>0</v>
      </c>
      <c r="F36" s="76">
        <f>COUNTIF('1月'!D34:E34,F$4)+COUNTIF('1月'!I34:J34,F$4)+COUNTIF('1月'!N34:O34,F$4)+COUNTIF('1月'!S34:T34,F$4)+COUNTIF('1月'!X34:Y34,F$4)+COUNTIF('1月'!AC34:AD34,F$4)+COUNTIF('1月'!AH34:AI34,F$4)+COUNTIF('1月'!AM34:AN34,F$4)+COUNTIF('1月'!AR34:AS34,F$4)+COUNTIF('1月'!AW34:AX34,F$4)+COUNTIF('1月'!BB34:BC34,F$4)+COUNTIF('1月'!BG34:BH34,F$4)+COUNTIF('1月'!BL34:BM34,F$4)+COUNTIF('1月'!BQ34:BR34,F$4)+COUNTIF('1月'!BV34:BW34,F$4)+COUNTIF('1月'!CA34:CB34,F$4)+COUNTIF('1月'!CF34:CG34,F$4)+COUNTIF('1月'!CK34:CL34,F$4)+COUNTIF('1月'!CP34:CQ34,F$4)+COUNTIF('1月'!CU34:CV34,F$4)+COUNTIF('1月'!CZ34:DA34,F$4)+COUNTIF('1月'!DE34:DF34,F$4)+COUNTIF('1月'!DJ34:DK34,F$4)+COUNTIF('1月'!DO34:DP34,F$4)+COUNTIF('1月'!DT34:DU34,F$4)+COUNTIF('1月'!DY34:DZ34,F$4)+COUNTIF('1月'!ED34:EE34,F$4)+COUNTIF('1月'!EI34:EJ34,F$4)+COUNTIF('1月'!EN34:EO34,F$4)+COUNTIF('1月'!ES34:ET34,F$4)</f>
        <v>0</v>
      </c>
      <c r="G36" s="76">
        <f t="shared" si="2"/>
        <v>0</v>
      </c>
      <c r="H36" s="76">
        <f>COUNTIF('1月'!D34:E34,H$4)+COUNTIF('1月'!I34:J34,H$4)+COUNTIF('1月'!N34:O34,H$4)+COUNTIF('1月'!S34:T34,H$4)+COUNTIF('1月'!X34:Y34,H$4)+COUNTIF('1月'!AC34:AD34,H$4)+COUNTIF('1月'!AH34:AI34,H$4)+COUNTIF('1月'!AM34:AN34,H$4)+COUNTIF('1月'!AR34:AS34,H$4)+COUNTIF('1月'!AW34:AX34,H$4)+COUNTIF('1月'!BB34:BC34,H$4)+COUNTIF('1月'!BG34:BH34,H$4)+COUNTIF('1月'!BL34:BM34,H$4)+COUNTIF('1月'!BQ34:BR34,H$4)+COUNTIF('1月'!BV34:BW34,H$4)+COUNTIF('1月'!CA34:CB34,H$4)+COUNTIF('1月'!CF34:CG34,H$4)+COUNTIF('1月'!CK34:CL34,H$4)+COUNTIF('1月'!CP34:CQ34,H$4)+COUNTIF('1月'!CU34:CV34,H$4)+COUNTIF('1月'!CZ34:DA34,H$4)+COUNTIF('1月'!DE34:DF34,H$4)+COUNTIF('1月'!DJ34:DK34,H$4)+COUNTIF('1月'!DO34:DP34,H$4)+COUNTIF('1月'!DT34:DU34,H$4)+COUNTIF('1月'!DY34:DZ34,H$4)+COUNTIF('1月'!ED34:EE34,H$4)+COUNTIF('1月'!EI34:EJ34,H$4)+COUNTIF('1月'!EN34:EO34,H$4)+COUNTIF('1月'!ES34:ET34,H$4)+COUNTIF('1月'!D34:E34,"渋谷-夜勤")+COUNTIF('1月'!I34:J34,"渋谷-夜勤")+COUNTIF('1月'!N34:O34,"渋谷-夜勤")+COUNTIF('1月'!S34:T34,"渋谷-夜勤")+COUNTIF('1月'!X34:Y34,"渋谷-夜勤")+COUNTIF('1月'!AC34:AD34,"渋谷-夜勤")+COUNTIF('1月'!AH34:AI34,"渋谷-夜勤")+COUNTIF('1月'!AM34:AN34,"渋谷-夜勤")+COUNTIF('1月'!AR34:AS34,"渋谷-夜勤")+COUNTIF('1月'!AW34:AX34,"渋谷-夜勤")+COUNTIF('1月'!BB34:BC34,"渋谷-夜勤")+COUNTIF('1月'!BG34:BH34,"渋谷-夜勤")+COUNTIF('1月'!BL34:BM34,"渋谷-夜勤")+COUNTIF('1月'!BQ34:BR34,"渋谷-夜勤")+COUNTIF('1月'!BV34:BW34,"渋谷-夜勤")+COUNTIF('1月'!CA34:CB34,"渋谷-夜勤")+COUNTIF('1月'!CF34:CG34,"渋谷-夜勤")+COUNTIF('1月'!CK34:CL34,"渋谷-夜勤")+COUNTIF('1月'!CP34:CQ34,"渋谷-夜勤")+COUNTIF('1月'!CU34:CV34,"渋谷-夜勤")+COUNTIF('1月'!CZ34:DA34,"渋谷-夜勤")+COUNTIF('1月'!DE34:DF34,"渋谷-夜勤")+COUNTIF('1月'!DJ34:DK34,"渋谷-夜勤")+COUNTIF('1月'!DO34:DP34,"渋谷-夜勤")+COUNTIF('1月'!DT34:DU34,"渋谷-夜勤")+COUNTIF('1月'!DY34:DZ34,"渋谷-夜勤")+COUNTIF('1月'!ED34:EE34,"渋谷-夜勤")+COUNTIF('1月'!EI34:EJ34,"渋谷-夜勤")+COUNTIF('1月'!EN34:EO34,"渋谷-夜勤")+COUNTIF('1月'!ES34:ET34,"渋谷-夜勤")</f>
        <v>0</v>
      </c>
      <c r="I36" s="76">
        <f t="shared" si="3"/>
        <v>0</v>
      </c>
      <c r="J36" s="76">
        <f>COUNTIF('1月'!D34:E34,J$4)+COUNTIF('1月'!I34:J34,J$4)+COUNTIF('1月'!N34:O34,J$4)+COUNTIF('1月'!S34:T34,J$4)+COUNTIF('1月'!X34:Y34,J$4)+COUNTIF('1月'!AC34:AD34,J$4)+COUNTIF('1月'!AH34:AI34,J$4)+COUNTIF('1月'!AM34:AN34,J$4)+COUNTIF('1月'!AR34:AS34,J$4)+COUNTIF('1月'!AW34:AX34,J$4)+COUNTIF('1月'!BB34:BC34,J$4)+COUNTIF('1月'!BG34:BH34,J$4)+COUNTIF('1月'!BL34:BM34,J$4)+COUNTIF('1月'!BQ34:BR34,J$4)+COUNTIF('1月'!BV34:BW34,J$4)+COUNTIF('1月'!CA34:CB34,J$4)+COUNTIF('1月'!CF34:CG34,J$4)+COUNTIF('1月'!CK34:CL34,J$4)+COUNTIF('1月'!CP34:CQ34,J$4)+COUNTIF('1月'!CU34:CV34,J$4)+COUNTIF('1月'!CZ34:DA34,J$4)+COUNTIF('1月'!DE34:DF34,J$4)+COUNTIF('1月'!DJ34:DK34,J$4)+COUNTIF('1月'!DO34:DP34,J$4)+COUNTIF('1月'!DT34:DU34,J$4)+COUNTIF('1月'!DY34:DZ34,J$4)+COUNTIF('1月'!ED34:EE34,J$4)+COUNTIF('1月'!EI34:EJ34,J$4)+COUNTIF('1月'!EN34:EO34,J$4)+COUNTIF('1月'!ES34:ET34,J$4)+COUNTIF('1月'!D34:E34,"六本木-夜勤")+COUNTIF('1月'!I34:J34,"六本木-夜勤")+COUNTIF('1月'!N34:O34,"六本木-夜勤")+COUNTIF('1月'!S34:T34,"六本木-夜勤")+COUNTIF('1月'!X34:Y34,"六本木-夜勤")+COUNTIF('1月'!AC34:AD34,"六本木-夜勤")+COUNTIF('1月'!AH34:AI34,"六本木-夜勤")+COUNTIF('1月'!AM34:AN34,"六本木-夜勤")+COUNTIF('1月'!AR34:AS34,"六本木-夜勤")+COUNTIF('1月'!AW34:AX34,"六本木-夜勤")+COUNTIF('1月'!BB34:BC34,"六本木-夜勤")+COUNTIF('1月'!BG34:BH34,"六本木-夜勤")+COUNTIF('1月'!BL34:BM34,"六本木-夜勤")+COUNTIF('1月'!BQ34:BR34,"六本木-夜勤")+COUNTIF('1月'!BV34:BW34,"六本木-夜勤")+COUNTIF('1月'!CA34:CB34,"六本木-夜勤")+COUNTIF('1月'!CF34:CG34,"六本木-夜勤")+COUNTIF('1月'!CK34:CL34,"六本木-夜勤")+COUNTIF('1月'!CP34:CQ34,"六本木-夜勤")+COUNTIF('1月'!CU34:CV34,"六本木-夜勤")+COUNTIF('1月'!CZ34:DA34,"六本木-夜勤")+COUNTIF('1月'!DE34:DF34,"六本木-夜勤")+COUNTIF('1月'!DJ34:DK34,"六本木-夜勤")+COUNTIF('1月'!DO34:DP34,"六本木-夜勤")+COUNTIF('1月'!DT34:DU34,"六本木-夜勤")+COUNTIF('1月'!DY34:DZ34,"六本木-夜勤")+COUNTIF('1月'!ED34:EE34,"六本木-夜勤")+COUNTIF('1月'!EI34:EJ34,"六本木-夜勤")+COUNTIF('1月'!EN34:EO34,"六本木-夜勤")+COUNTIF('1月'!ES34:ET34,"六本木-夜勤")+COUNTIF('1月'!D34:E34,"六本木ー夜勤")+COUNTIF('1月'!I34:J34,"六本木ー夜勤")+COUNTIF('1月'!N34:O34,"六本木ー夜勤")+COUNTIF('1月'!S34:T34,"六本木ー夜勤")+COUNTIF('1月'!X34:Y34,"六本木ー夜勤")+COUNTIF('1月'!AC34:AD34,"六本木ー夜勤")+COUNTIF('1月'!AH34:AI34,"六本木ー夜勤")+COUNTIF('1月'!AM34:AN34,"六本木ー夜勤")+COUNTIF('1月'!AR34:AS34,"六本木ー夜勤")+COUNTIF('1月'!AW34:AX34,"六本木ー夜勤")+COUNTIF('1月'!BB34:BC34,"六本木ー夜勤")+COUNTIF('1月'!BG34:BH34,"六本木ー夜勤")+COUNTIF('1月'!BL34:BM34,"六本木ー夜勤")+COUNTIF('1月'!BQ34:BR34,"六本木ー夜勤")+COUNTIF('1月'!BV34:BW34,"六本木ー夜勤")+COUNTIF('1月'!CA34:CB34,"六本木ー夜勤")+COUNTIF('1月'!CF34:CG34,"六本木ー夜勤")+COUNTIF('1月'!CK34:CL34,"六本木ー夜勤")+COUNTIF('1月'!CP34:CQ34,"六本木ー夜勤")+COUNTIF('1月'!CU34:CV34,"六本木ー夜勤")+COUNTIF('1月'!CZ34:DA34,"六本木ー夜勤")+COUNTIF('1月'!DE34:DF34,"六本木ー夜勤")+COUNTIF('1月'!DJ34:DK34,"六本木ー夜勤")+COUNTIF('1月'!DO34:DP34,"六本木ー夜勤")+COUNTIF('1月'!DT34:DU34,"六本木ー夜勤")+COUNTIF('1月'!DY34:DZ34,"六本木ー夜勤")+COUNTIF('1月'!ED34:EE34,"六本木ー夜勤")+COUNTIF('1月'!EI34:EJ34,"六本木ー夜勤")+COUNTIF('1月'!EN34:EO34,"六本木ー夜勤")+COUNTIF('1月'!ES34:ET34,"六本木ー夜勤")</f>
        <v>0</v>
      </c>
      <c r="K36" s="76">
        <f t="shared" si="4"/>
        <v>1</v>
      </c>
      <c r="L36" s="76">
        <f>COUNTIF('1月'!D34:E34,L$4)+COUNTIF('1月'!I34:J34,L$4)+COUNTIF('1月'!N34:O34,L$4)+COUNTIF('1月'!S34:T34,L$4)+COUNTIF('1月'!X34:Y34,L$4)+COUNTIF('1月'!AC34:AD34,L$4)+COUNTIF('1月'!AH34:AI34,L$4)+COUNTIF('1月'!AM34:AN34,L$4)+COUNTIF('1月'!AR34:AS34,L$4)+COUNTIF('1月'!AW34:AX34,L$4)+COUNTIF('1月'!BB34:BC34,L$4)+COUNTIF('1月'!BG34:BH34,L$4)+COUNTIF('1月'!BL34:BM34,L$4)+COUNTIF('1月'!BQ34:BR34,L$4)+COUNTIF('1月'!BV34:BW34,L$4)+COUNTIF('1月'!CA34:CB34,L$4)+COUNTIF('1月'!CF34:CG34,L$4)+COUNTIF('1月'!CK34:CL34,L$4)+COUNTIF('1月'!CP34:CQ34,L$4)+COUNTIF('1月'!CU34:CV34,L$4)+COUNTIF('1月'!CZ34:DA34,L$4)+COUNTIF('1月'!DE34:DF34,L$4)+COUNTIF('1月'!DJ34:DK34,L$4)+COUNTIF('1月'!DO34:DP34,L$4)+COUNTIF('1月'!DT34:DU34,L$4)+COUNTIF('1月'!DY34:DZ34,L$4)+COUNTIF('1月'!ED34:EE34,L$4)+COUNTIF('1月'!EI34:EJ34,L$4)+COUNTIF('1月'!EN34:EO34,L$4)+COUNTIF('1月'!ES34:ET34,L$4)</f>
        <v>0</v>
      </c>
      <c r="M36" s="76">
        <f t="shared" si="5"/>
        <v>0</v>
      </c>
      <c r="N36" s="76">
        <f>COUNTIF('1月'!D34:E34,N$4)+COUNTIF('1月'!I34:J34,N$4)+COUNTIF('1月'!N34:O34,N$4)+COUNTIF('1月'!S34:T34,N$4)+COUNTIF('1月'!X34:Y34,N$4)+COUNTIF('1月'!AC34:AD34,N$4)+COUNTIF('1月'!AH34:AI34,N$4)+COUNTIF('1月'!AM34:AN34,N$4)+COUNTIF('1月'!AR34:AS34,N$4)+COUNTIF('1月'!AW34:AX34,N$4)+COUNTIF('1月'!BB34:BC34,N$4)+COUNTIF('1月'!BG34:BH34,N$4)+COUNTIF('1月'!BL34:BM34,N$4)+COUNTIF('1月'!BQ34:BR34,N$4)+COUNTIF('1月'!BV34:BW34,N$4)+COUNTIF('1月'!CA34:CB34,N$4)+COUNTIF('1月'!CF34:CG34,N$4)+COUNTIF('1月'!CK34:CL34,N$4)+COUNTIF('1月'!CP34:CQ34,N$4)+COUNTIF('1月'!CU34:CV34,N$4)+COUNTIF('1月'!CZ34:DA34,N$4)+COUNTIF('1月'!DE34:DF34,N$4)+COUNTIF('1月'!DJ34:DK34,N$4)+COUNTIF('1月'!DO34:DP34,N$4)+COUNTIF('1月'!DT34:DU34,N$4)+COUNTIF('1月'!DY34:DZ34,N$4)+COUNTIF('1月'!ED34:EE34,N$4)+COUNTIF('1月'!EI34:EJ34,N$4)+COUNTIF('1月'!EN34:EO34,N$4)+COUNTIF('1月'!ES34:ET34,N$4)+COUNTIF('1月'!D34:E34,"三軒茶屋－夜勤")+COUNTIF('1月'!I34:J34,"三軒茶屋－夜勤")+COUNTIF('1月'!N34:O34,"三軒茶屋－夜勤")+COUNTIF('1月'!S34:T34,"三軒茶屋－夜勤")+COUNTIF('1月'!X34:Y34,"三軒茶屋－夜勤")+COUNTIF('1月'!AC34:AD34,"三軒茶屋－夜勤")+COUNTIF('1月'!AH34:AI34,"三軒茶屋－夜勤")+COUNTIF('1月'!AM34:AN34,"三軒茶屋－夜勤")+COUNTIF('1月'!AR34:AS34,"三軒茶屋－夜勤")+COUNTIF('1月'!AW34:AX34,"三軒茶屋－夜勤")+COUNTIF('1月'!BB34:BC34,"三軒茶屋－夜勤")+COUNTIF('1月'!BG34:BH34,"三軒茶屋－夜勤")+COUNTIF('1月'!BL34:BM34,"三軒茶屋－夜勤")+COUNTIF('1月'!BQ34:BR34,"三軒茶屋－夜勤")+COUNTIF('1月'!BV34:BW34,"三軒茶屋－夜勤")+COUNTIF('1月'!CA34:CB34,"三軒茶屋－夜勤")+COUNTIF('1月'!CF34:CG34,"三軒茶屋－夜勤")+COUNTIF('1月'!CK34:CL34,"三軒茶屋－夜勤")+COUNTIF('1月'!CP34:CQ34,"三軒茶屋－夜勤")+COUNTIF('1月'!CU34:CV34,"三軒茶屋－夜勤")+COUNTIF('1月'!CZ34:DA34,"三軒茶屋－夜勤")+COUNTIF('1月'!DE34:DF34,"三軒茶屋－夜勤")+COUNTIF('1月'!DJ34:DK34,"三軒茶屋－夜勤")+COUNTIF('1月'!DO34:DP34,"三軒茶屋－夜勤")+COUNTIF('1月'!DT34:DU34,"三軒茶屋－夜勤")+COUNTIF('1月'!DY34:DZ34,"三軒茶屋－夜勤")+COUNTIF('1月'!ED34:EE34,"三軒茶屋－夜勤")+COUNTIF('1月'!EI34:EJ34,"三軒茶屋－夜勤")+COUNTIF('1月'!EN34:EO34,"三軒茶屋－夜勤")+COUNTIF('1月'!ES34:ET34,"三軒茶屋－夜勤")</f>
        <v>0</v>
      </c>
      <c r="O36" s="76">
        <f t="shared" si="6"/>
        <v>0</v>
      </c>
      <c r="P36" s="76">
        <f>COUNTIF('1月'!D34:E34,P$4)+COUNTIF('1月'!I34:J34,P$4)+COUNTIF('1月'!N34:O34,P$4)+COUNTIF('1月'!S34:T34,P$4)+COUNTIF('1月'!X34:Y34,P$4)+COUNTIF('1月'!AC34:AD34,P$4)+COUNTIF('1月'!AH34:AI34,P$4)+COUNTIF('1月'!AM34:AN34,P$4)+COUNTIF('1月'!AR34:AS34,P$4)+COUNTIF('1月'!AW34:AX34,P$4)+COUNTIF('1月'!BB34:BC34,P$4)+COUNTIF('1月'!BG34:BH34,P$4)+COUNTIF('1月'!BL34:BM34,P$4)+COUNTIF('1月'!BQ34:BR34,P$4)+COUNTIF('1月'!BV34:BW34,P$4)+COUNTIF('1月'!CA34:CB34,P$4)+COUNTIF('1月'!CF34:CG34,P$4)+COUNTIF('1月'!CK34:CL34,P$4)+COUNTIF('1月'!CP34:CQ34,P$4)+COUNTIF('1月'!CU34:CV34,P$4)+COUNTIF('1月'!CZ34:DA34,P$4)+COUNTIF('1月'!DE34:DF34,P$4)+COUNTIF('1月'!DJ34:DK34,P$4)+COUNTIF('1月'!DO34:DP34,P$4)+COUNTIF('1月'!DT34:DU34,P$4)+COUNTIF('1月'!DY34:DZ34,P$4)+COUNTIF('1月'!ED34:EE34,P$4)+COUNTIF('1月'!EI34:EJ34,P$4)+COUNTIF('1月'!EN34:EO34,P$4)+COUNTIF('1月'!ES34:ET34,P$4)+COUNTIF('1月'!D34:E34,"荻窪ー夜勤")+COUNTIF('1月'!I34:J34,"荻窪ー夜勤")+COUNTIF('1月'!N34:O34,"荻窪ー夜勤")+COUNTIF('1月'!S34:T34,"荻窪ー夜勤")+COUNTIF('1月'!X34:Y34,"荻窪ー夜勤")+COUNTIF('1月'!AC34:AD34,"荻窪ー夜勤")+COUNTIF('1月'!AH34:AI34,"荻窪ー夜勤")+COUNTIF('1月'!AM34:AN34,"荻窪ー夜勤")+COUNTIF('1月'!AR34:AS34,"荻窪ー夜勤")+COUNTIF('1月'!AW34:AX34,"荻窪ー夜勤")+COUNTIF('1月'!BB34:BC34,"荻窪ー夜勤")+COUNTIF('1月'!BG34:BH34,"荻窪ー夜勤")+COUNTIF('1月'!BL34:BM34,"荻窪ー夜勤")+COUNTIF('1月'!BQ34:BR34,"荻窪ー夜勤")+COUNTIF('1月'!BV34:BW34,"荻窪ー夜勤")+COUNTIF('1月'!CA34:CB34,"荻窪ー夜勤")+COUNTIF('1月'!CF34:CG34,"荻窪ー夜勤")+COUNTIF('1月'!CK34:CL34,"荻窪ー夜勤")+COUNTIF('1月'!CP34:CQ34,"荻窪ー夜勤")+COUNTIF('1月'!CU34:CV34,"荻窪ー夜勤")+COUNTIF('1月'!CZ34:DA34,"荻窪ー夜勤")+COUNTIF('1月'!DE34:DF34,"荻窪ー夜勤")+COUNTIF('1月'!DJ34:DK34,"荻窪ー夜勤")+COUNTIF('1月'!DO34:DP34,"荻窪ー夜勤")+COUNTIF('1月'!DT34:DU34,"荻窪ー夜勤")+COUNTIF('1月'!DY34:DZ34,"荻窪ー夜勤")+COUNTIF('1月'!ED34:EE34,"荻窪ー夜勤")+COUNTIF('1月'!EI34:EJ34,"荻窪ー夜勤")+COUNTIF('1月'!EN34:EO34,"荻窪ー夜勤")+COUNTIF('1月'!ES34:ET34,"荻窪ー夜勤")</f>
        <v>0</v>
      </c>
      <c r="Q36" s="76">
        <f t="shared" si="7"/>
        <v>0</v>
      </c>
      <c r="R36" s="76">
        <f>COUNTIF('1月'!D34:E34,R$4)+COUNTIF('1月'!I34:J34,R$4)+COUNTIF('1月'!N34:O34,R$4)+COUNTIF('1月'!S34:T34,R$4)+COUNTIF('1月'!X34:Y34,R$4)+COUNTIF('1月'!AC34:AD34,R$4)+COUNTIF('1月'!AH34:AI34,R$4)+COUNTIF('1月'!AM34:AN34,R$4)+COUNTIF('1月'!AR34:AS34,R$4)+COUNTIF('1月'!AW34:AX34,R$4)+COUNTIF('1月'!BB34:BC34,R$4)+COUNTIF('1月'!BG34:BH34,R$4)+COUNTIF('1月'!BL34:BM34,R$4)+COUNTIF('1月'!BQ34:BR34,R$4)+COUNTIF('1月'!BV34:BW34,R$4)+COUNTIF('1月'!CA34:CB34,R$4)+COUNTIF('1月'!CF34:CG34,R$4)+COUNTIF('1月'!CK34:CL34,R$4)+COUNTIF('1月'!CP34:CQ34,R$4)+COUNTIF('1月'!CU34:CV34,R$4)+COUNTIF('1月'!CZ34:DA34,R$4)+COUNTIF('1月'!DE34:DF34,R$4)+COUNTIF('1月'!DJ34:DK34,R$4)+COUNTIF('1月'!DO34:DP34,R$4)+COUNTIF('1月'!DT34:DU34,R$4)+COUNTIF('1月'!DY34:DZ34,R$4)+COUNTIF('1月'!ED34:EE34,R$4)+COUNTIF('1月'!EI34:EJ34,R$4)+COUNTIF('1月'!EN34:EO34,R$4)+COUNTIF('1月'!ES34:ET34,R$4)</f>
        <v>0</v>
      </c>
      <c r="S36" s="76">
        <f t="shared" si="8"/>
        <v>0</v>
      </c>
      <c r="T36" s="76">
        <f>COUNTIF('1月'!D34:E34,T$4)+COUNTIF('1月'!I34:J34,T$4)+COUNTIF('1月'!N34:O34,T$4)+COUNTIF('1月'!S34:T34,T$4)+COUNTIF('1月'!X34:Y34,T$4)+COUNTIF('1月'!AC34:AD34,T$4)+COUNTIF('1月'!AH34:AI34,T$4)+COUNTIF('1月'!AM34:AN34,T$4)+COUNTIF('1月'!AR34:AS34,T$4)+COUNTIF('1月'!AW34:AX34,T$4)+COUNTIF('1月'!BB34:BC34,T$4)+COUNTIF('1月'!BG34:BH34,T$4)+COUNTIF('1月'!BL34:BM34,T$4)+COUNTIF('1月'!BQ34:BR34,T$4)+COUNTIF('1月'!BV34:BW34,T$4)+COUNTIF('1月'!CA34:CB34,T$4)+COUNTIF('1月'!CF34:CG34,T$4)+COUNTIF('1月'!CK34:CL34,T$4)+COUNTIF('1月'!CP34:CQ34,T$4)+COUNTIF('1月'!CU34:CV34,T$4)+COUNTIF('1月'!CZ34:DA34,T$4)+COUNTIF('1月'!DE34:DF34,T$4)+COUNTIF('1月'!DJ34:DK34,T$4)+COUNTIF('1月'!DO34:DP34,T$4)+COUNTIF('1月'!DT34:DU34,T$4)+COUNTIF('1月'!DY34:DZ34,T$4)+COUNTIF('1月'!ED34:EE34,T$4)+COUNTIF('1月'!EI34:EJ34,T$4)+COUNTIF('1月'!EN34:EO34,T$4)+COUNTIF('1月'!ES34:ET34,T$4)</f>
        <v>0</v>
      </c>
      <c r="U36" s="76">
        <f t="shared" si="9"/>
        <v>0</v>
      </c>
      <c r="V36" s="76">
        <f>COUNTIF('1月'!D34:E34,V$4)+COUNTIF('1月'!I34:J34,V$4)+COUNTIF('1月'!N34:O34,V$4)+COUNTIF('1月'!S34:T34,V$4)+COUNTIF('1月'!X34:Y34,V$4)+COUNTIF('1月'!AC34:AD34,V$4)+COUNTIF('1月'!AH34:AI34,V$4)+COUNTIF('1月'!AM34:AN34,V$4)+COUNTIF('1月'!AR34:AS34,V$4)+COUNTIF('1月'!AW34:AX34,V$4)+COUNTIF('1月'!BB34:BC34,V$4)+COUNTIF('1月'!BG34:BH34,V$4)+COUNTIF('1月'!BL34:BM34,V$4)+COUNTIF('1月'!BQ34:BR34,V$4)+COUNTIF('1月'!BV34:BW34,V$4)+COUNTIF('1月'!CA34:CB34,V$4)+COUNTIF('1月'!CF34:CG34,V$4)+COUNTIF('1月'!CK34:CL34,V$4)+COUNTIF('1月'!CP34:CQ34,V$4)+COUNTIF('1月'!CU34:CV34,V$4)+COUNTIF('1月'!CZ34:DA34,V$4)+COUNTIF('1月'!DE34:DF34,V$4)+COUNTIF('1月'!DJ34:DK34,V$4)+COUNTIF('1月'!DO34:DP34,V$4)+COUNTIF('1月'!DT34:DU34,V$4)+COUNTIF('1月'!DY34:DZ34,V$4)+COUNTIF('1月'!ED34:EE34,V$4)+COUNTIF('1月'!EI34:EJ34,V$4)+COUNTIF('1月'!EN34:EO34,V$4)+COUNTIF('1月'!ES34:ET34,V$4)</f>
        <v>0</v>
      </c>
      <c r="W36" s="76">
        <f t="shared" si="10"/>
        <v>0</v>
      </c>
      <c r="X36" s="76">
        <f>COUNTIF('1月'!D34:E34,X$4)+COUNTIF('1月'!I34:J34,X$4)+COUNTIF('1月'!N34:O34,X$4)+COUNTIF('1月'!S34:T34,X$4)+COUNTIF('1月'!X34:Y34,X$4)+COUNTIF('1月'!AC34:AD34,X$4)+COUNTIF('1月'!AH34:AI34,X$4)+COUNTIF('1月'!AM34:AN34,X$4)+COUNTIF('1月'!AR34:AS34,X$4)+COUNTIF('1月'!AW34:AX34,X$4)+COUNTIF('1月'!BB34:BC34,X$4)+COUNTIF('1月'!BG34:BH34,X$4)+COUNTIF('1月'!BL34:BM34,X$4)+COUNTIF('1月'!BQ34:BR34,X$4)+COUNTIF('1月'!BV34:BW34,X$4)+COUNTIF('1月'!CA34:CB34,X$4)+COUNTIF('1月'!CF34:CG34,X$4)+COUNTIF('1月'!CK34:CL34,X$4)+COUNTIF('1月'!CP34:CQ34,X$4)+COUNTIF('1月'!CU34:CV34,X$4)+COUNTIF('1月'!CZ34:DA34,X$4)+COUNTIF('1月'!DE34:DF34,X$4)+COUNTIF('1月'!DJ34:DK34,X$4)+COUNTIF('1月'!DO34:DP34,X$4)+COUNTIF('1月'!DT34:DU34,X$4)+COUNTIF('1月'!DY34:DZ34,X$4)+COUNTIF('1月'!ED34:EE34,X$4)+COUNTIF('1月'!EI34:EJ34,X$4)+COUNTIF('1月'!EN34:EO34,X$4)+COUNTIF('1月'!ES34:ET34,X$4)</f>
        <v>0</v>
      </c>
      <c r="Y36" s="76">
        <f t="shared" si="11"/>
        <v>0</v>
      </c>
    </row>
    <row r="37" spans="1:25" ht="21.95" customHeight="1">
      <c r="A37" s="65" t="s">
        <v>116</v>
      </c>
      <c r="B37" s="65">
        <f>SUM(B6:B36)</f>
        <v>48</v>
      </c>
      <c r="C37" s="65"/>
      <c r="D37" s="65">
        <f>SUM(D6:D36)</f>
        <v>0</v>
      </c>
      <c r="E37" s="65"/>
      <c r="F37" s="65">
        <f>SUM(F6:F36)</f>
        <v>0</v>
      </c>
      <c r="G37" s="65"/>
      <c r="H37" s="65">
        <f>SUM(H6:H36)</f>
        <v>0</v>
      </c>
      <c r="I37" s="65"/>
      <c r="J37" s="65">
        <f>SUM(J6:J36)</f>
        <v>1</v>
      </c>
      <c r="K37" s="65"/>
      <c r="L37" s="65">
        <f>SUM(L6:L36)</f>
        <v>0</v>
      </c>
      <c r="M37" s="65"/>
      <c r="N37" s="65">
        <f>SUM(N6:N36)</f>
        <v>0</v>
      </c>
      <c r="O37" s="65"/>
      <c r="P37" s="65">
        <f>SUM(P6:P36)</f>
        <v>0</v>
      </c>
      <c r="Q37" s="65"/>
      <c r="R37" s="65">
        <f>SUM(R6:R36)</f>
        <v>0</v>
      </c>
      <c r="S37" s="65"/>
      <c r="T37" s="65">
        <f>SUM(T6:T36)</f>
        <v>0</v>
      </c>
      <c r="U37" s="65"/>
      <c r="V37" s="65">
        <f>SUM(V6:V36)</f>
        <v>0</v>
      </c>
      <c r="W37" s="65"/>
      <c r="X37" s="65">
        <f>SUM(X6:X36)</f>
        <v>0</v>
      </c>
      <c r="Y37" s="65"/>
    </row>
    <row r="38" spans="1:25" ht="21.95" customHeight="1">
      <c r="A38" s="65" t="s">
        <v>117</v>
      </c>
      <c r="B38" s="65">
        <f>SUM('1月'!H4:H34)+SUM('1月'!M4:M34)+SUM('1月'!R4:R34)+SUM('1月'!W4:W34)+SUM('1月'!AB4:AB34)+SUM('1月'!AG4:AG34)+SUM('1月'!AL4:AL34)+SUM('1月'!AQ4:AQ34)+SUM('1月'!AV4:AV34)+SUM('1月'!BA4:BA34)+SUM('1月'!BF4:BF34)+SUM('1月'!BK4:BK34)+SUM('1月'!BP4:BP34)+SUM('1月'!BU4:BU34)+SUM('1月'!BZ4:BZ34)+SUM('1月'!CE4:CE34)+SUM('1月'!CJ4:CJ34)+SUM('1月'!CO4:CO34)+SUM('1月'!CT4:CT34)+SUM('1月'!CY4:CY34)+SUM('1月'!DD4:DD34)+SUM('1月'!DI4:DI34)+SUM('1月'!DN4:DN34)+SUM('1月'!DS4:DS34)+SUM('1月'!DX4:DX34)+SUM('1月'!EC4:EC34)+SUM('1月'!EH4:EH34)+SUM('1月'!EM4:EM34)+SUM('1月'!ER4:ER34)+SUM('1月'!EW4:EW34)</f>
        <v>0</v>
      </c>
      <c r="C38" s="127" t="s">
        <v>118</v>
      </c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</row>
    <row r="39" spans="1:25" ht="9.9499999999999993" customHeight="1"/>
    <row r="40" spans="1:25" ht="21.95" customHeight="1">
      <c r="A40" s="112" t="str">
        <f>対象年度&amp;"年 2月分  30日締め"</f>
        <v>2026年 2月分  30日締め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</row>
    <row r="41" spans="1:25" ht="21.95" customHeight="1">
      <c r="A41" s="60" t="s">
        <v>113</v>
      </c>
      <c r="B41" s="123" t="str">
        <f>IFERROR(現場マスタ!$C$4,"")</f>
        <v>新宿</v>
      </c>
      <c r="C41" s="123"/>
      <c r="D41" s="123" t="str">
        <f>IFERROR(現場マスタ!$C$5,"")</f>
        <v>赤坂</v>
      </c>
      <c r="E41" s="123"/>
      <c r="F41" s="123" t="str">
        <f>IFERROR(現場マスタ!$C$6,"")</f>
        <v>渋谷ヒカリエ</v>
      </c>
      <c r="G41" s="123"/>
      <c r="H41" s="123" t="str">
        <f>IFERROR(現場マスタ!$C$7,"")</f>
        <v>六本木ヒルズ</v>
      </c>
      <c r="I41" s="123"/>
      <c r="J41" s="123" t="str">
        <f>IFERROR(現場マスタ!$C$10,"")</f>
        <v>有給</v>
      </c>
      <c r="K41" s="123"/>
      <c r="L41" s="123">
        <f>IFERROR(現場マスタ!$C$12,"")</f>
        <v>0</v>
      </c>
      <c r="M41" s="123"/>
      <c r="N41" s="123">
        <f>IFERROR(現場マスタ!$C$16,"")</f>
        <v>0</v>
      </c>
      <c r="O41" s="123"/>
      <c r="P41" s="123">
        <f>IFERROR(現場マスタ!$C$17,"")</f>
        <v>0</v>
      </c>
      <c r="Q41" s="123"/>
      <c r="R41" s="123">
        <f>IFERROR(現場マスタ!$C$18,"")</f>
        <v>0</v>
      </c>
      <c r="S41" s="123"/>
      <c r="T41" s="123">
        <f>IFERROR(現場マスタ!$C$20,"")</f>
        <v>0</v>
      </c>
      <c r="U41" s="123"/>
      <c r="V41" s="123">
        <f>IFERROR(現場マスタ!$C$21,"")</f>
        <v>0</v>
      </c>
      <c r="W41" s="123"/>
      <c r="X41" s="123">
        <f>IFERROR(現場マスタ!$C$22,"")</f>
        <v>0</v>
      </c>
      <c r="Y41" s="123"/>
    </row>
    <row r="42" spans="1:25" ht="20.100000000000001" customHeight="1">
      <c r="A42" s="60" t="s">
        <v>4</v>
      </c>
      <c r="B42" s="65" t="s">
        <v>114</v>
      </c>
      <c r="C42" s="65" t="s">
        <v>115</v>
      </c>
      <c r="D42" s="65" t="s">
        <v>114</v>
      </c>
      <c r="E42" s="65" t="s">
        <v>115</v>
      </c>
      <c r="F42" s="65" t="s">
        <v>114</v>
      </c>
      <c r="G42" s="65" t="s">
        <v>115</v>
      </c>
      <c r="H42" s="65" t="s">
        <v>114</v>
      </c>
      <c r="I42" s="65" t="s">
        <v>115</v>
      </c>
      <c r="J42" s="65" t="s">
        <v>114</v>
      </c>
      <c r="K42" s="65" t="s">
        <v>115</v>
      </c>
      <c r="L42" s="65" t="s">
        <v>114</v>
      </c>
      <c r="M42" s="65" t="s">
        <v>115</v>
      </c>
      <c r="N42" s="65" t="s">
        <v>114</v>
      </c>
      <c r="O42" s="65" t="s">
        <v>115</v>
      </c>
      <c r="P42" s="65" t="s">
        <v>114</v>
      </c>
      <c r="Q42" s="65" t="s">
        <v>115</v>
      </c>
      <c r="R42" s="65" t="s">
        <v>114</v>
      </c>
      <c r="S42" s="65" t="s">
        <v>115</v>
      </c>
      <c r="T42" s="65" t="s">
        <v>114</v>
      </c>
      <c r="U42" s="65" t="s">
        <v>115</v>
      </c>
      <c r="V42" s="65" t="s">
        <v>114</v>
      </c>
      <c r="W42" s="65" t="s">
        <v>115</v>
      </c>
      <c r="X42" s="65" t="s">
        <v>114</v>
      </c>
      <c r="Y42" s="65" t="s">
        <v>115</v>
      </c>
    </row>
    <row r="43" spans="1:25" ht="18" customHeight="1">
      <c r="A43" s="76">
        <v>1</v>
      </c>
      <c r="B43" s="76">
        <f>COUNTIF('2月'!D4:E4,B$41)+COUNTIF('2月'!I4:J4,B$41)+COUNTIF('2月'!N4:O4,B$41)+COUNTIF('2月'!S4:T4,B$41)+COUNTIF('2月'!X4:Y4,B$41)+COUNTIF('2月'!AC4:AD4,B$41)+COUNTIF('2月'!AH4:AI4,B$41)+COUNTIF('2月'!AM4:AN4,B$41)+COUNTIF('2月'!AR4:AS4,B$41)+COUNTIF('2月'!AW4:AX4,B$41)+COUNTIF('2月'!BB4:BC4,B$41)+COUNTIF('2月'!BG4:BH4,B$41)+COUNTIF('2月'!BL4:BM4,B$41)+COUNTIF('2月'!BQ4:BR4,B$41)+COUNTIF('2月'!BV4:BW4,B$41)+COUNTIF('2月'!CA4:CB4,B$41)+COUNTIF('2月'!CF4:CG4,B$41)+COUNTIF('2月'!CK4:CL4,B$41)+COUNTIF('2月'!CP4:CQ4,B$41)+COUNTIF('2月'!CU4:CV4,B$41)+COUNTIF('2月'!CZ4:DA4,B$41)+COUNTIF('2月'!DE4:DF4,B$41)+COUNTIF('2月'!DJ4:DK4,B$41)+COUNTIF('2月'!DO4:DP4,B$41)+COUNTIF('2月'!DT4:DU4,B$41)+COUNTIF('2月'!DY4:DZ4,B$41)+COUNTIF('2月'!ED4:EE4,B$41)+COUNTIF('2月'!EI4:EJ4,B$41)+COUNTIF('2月'!EN4:EO4,B$41)+COUNTIF('2月'!ES4:ET4,B$41)</f>
        <v>0</v>
      </c>
      <c r="C43" s="76">
        <f>IF(B43=0,0,B43)</f>
        <v>0</v>
      </c>
      <c r="D43" s="76">
        <f>COUNTIF('2月'!D4:E4,D$41)+COUNTIF('2月'!I4:J4,D$41)+COUNTIF('2月'!N4:O4,D$41)+COUNTIF('2月'!S4:T4,D$41)+COUNTIF('2月'!X4:Y4,D$41)+COUNTIF('2月'!AC4:AD4,D$41)+COUNTIF('2月'!AH4:AI4,D$41)+COUNTIF('2月'!AM4:AN4,D$41)+COUNTIF('2月'!AR4:AS4,D$41)+COUNTIF('2月'!AW4:AX4,D$41)+COUNTIF('2月'!BB4:BC4,D$41)+COUNTIF('2月'!BG4:BH4,D$41)+COUNTIF('2月'!BL4:BM4,D$41)+COUNTIF('2月'!BQ4:BR4,D$41)+COUNTIF('2月'!BV4:BW4,D$41)+COUNTIF('2月'!CA4:CB4,D$41)+COUNTIF('2月'!CF4:CG4,D$41)+COUNTIF('2月'!CK4:CL4,D$41)+COUNTIF('2月'!CP4:CQ4,D$41)+COUNTIF('2月'!CU4:CV4,D$41)+COUNTIF('2月'!CZ4:DA4,D$41)+COUNTIF('2月'!DE4:DF4,D$41)+COUNTIF('2月'!DJ4:DK4,D$41)+COUNTIF('2月'!DO4:DP4,D$41)+COUNTIF('2月'!DT4:DU4,D$41)+COUNTIF('2月'!DY4:DZ4,D$41)+COUNTIF('2月'!ED4:EE4,D$41)+COUNTIF('2月'!EI4:EJ4,D$41)+COUNTIF('2月'!EN4:EO4,D$41)+COUNTIF('2月'!ES4:ET4,D$41)</f>
        <v>0</v>
      </c>
      <c r="E43" s="76">
        <f>IF(D43=0,0,D43)</f>
        <v>0</v>
      </c>
      <c r="F43" s="76">
        <f>COUNTIF('2月'!D4:E4,F$41)+COUNTIF('2月'!I4:J4,F$41)+COUNTIF('2月'!N4:O4,F$41)+COUNTIF('2月'!S4:T4,F$41)+COUNTIF('2月'!X4:Y4,F$41)+COUNTIF('2月'!AC4:AD4,F$41)+COUNTIF('2月'!AH4:AI4,F$41)+COUNTIF('2月'!AM4:AN4,F$41)+COUNTIF('2月'!AR4:AS4,F$41)+COUNTIF('2月'!AW4:AX4,F$41)+COUNTIF('2月'!BB4:BC4,F$41)+COUNTIF('2月'!BG4:BH4,F$41)+COUNTIF('2月'!BL4:BM4,F$41)+COUNTIF('2月'!BQ4:BR4,F$41)+COUNTIF('2月'!BV4:BW4,F$41)+COUNTIF('2月'!CA4:CB4,F$41)+COUNTIF('2月'!CF4:CG4,F$41)+COUNTIF('2月'!CK4:CL4,F$41)+COUNTIF('2月'!CP4:CQ4,F$41)+COUNTIF('2月'!CU4:CV4,F$41)+COUNTIF('2月'!CZ4:DA4,F$41)+COUNTIF('2月'!DE4:DF4,F$41)+COUNTIF('2月'!DJ4:DK4,F$41)+COUNTIF('2月'!DO4:DP4,F$41)+COUNTIF('2月'!DT4:DU4,F$41)+COUNTIF('2月'!DY4:DZ4,F$41)+COUNTIF('2月'!ED4:EE4,F$41)+COUNTIF('2月'!EI4:EJ4,F$41)+COUNTIF('2月'!EN4:EO4,F$41)+COUNTIF('2月'!ES4:ET4,F$41)</f>
        <v>0</v>
      </c>
      <c r="G43" s="76">
        <f>IF(F43=0,0,F43)</f>
        <v>0</v>
      </c>
      <c r="H43" s="76">
        <f>COUNTIF('2月'!D4:E4,H$41)+COUNTIF('2月'!I4:J4,H$41)+COUNTIF('2月'!N4:O4,H$41)+COUNTIF('2月'!S4:T4,H$41)+COUNTIF('2月'!X4:Y4,H$41)+COUNTIF('2月'!AC4:AD4,H$41)+COUNTIF('2月'!AH4:AI4,H$41)+COUNTIF('2月'!AM4:AN4,H$41)+COUNTIF('2月'!AR4:AS4,H$41)+COUNTIF('2月'!AW4:AX4,H$41)+COUNTIF('2月'!BB4:BC4,H$41)+COUNTIF('2月'!BG4:BH4,H$41)+COUNTIF('2月'!BL4:BM4,H$41)+COUNTIF('2月'!BQ4:BR4,H$41)+COUNTIF('2月'!BV4:BW4,H$41)+COUNTIF('2月'!CA4:CB4,H$41)+COUNTIF('2月'!CF4:CG4,H$41)+COUNTIF('2月'!CK4:CL4,H$41)+COUNTIF('2月'!CP4:CQ4,H$41)+COUNTIF('2月'!CU4:CV4,H$41)+COUNTIF('2月'!CZ4:DA4,H$41)+COUNTIF('2月'!DE4:DF4,H$41)+COUNTIF('2月'!DJ4:DK4,H$41)+COUNTIF('2月'!DO4:DP4,H$41)+COUNTIF('2月'!DT4:DU4,H$41)+COUNTIF('2月'!DY4:DZ4,H$41)+COUNTIF('2月'!ED4:EE4,H$41)+COUNTIF('2月'!EI4:EJ4,H$41)+COUNTIF('2月'!EN4:EO4,H$41)+COUNTIF('2月'!ES4:ET4,H$41)+COUNTIF('2月'!D4:E4,"渋谷-夜勤")+COUNTIF('2月'!I4:J4,"渋谷-夜勤")+COUNTIF('2月'!N4:O4,"渋谷-夜勤")+COUNTIF('2月'!S4:T4,"渋谷-夜勤")+COUNTIF('2月'!X4:Y4,"渋谷-夜勤")+COUNTIF('2月'!AC4:AD4,"渋谷-夜勤")+COUNTIF('2月'!AH4:AI4,"渋谷-夜勤")+COUNTIF('2月'!AM4:AN4,"渋谷-夜勤")+COUNTIF('2月'!AR4:AS4,"渋谷-夜勤")+COUNTIF('2月'!AW4:AX4,"渋谷-夜勤")+COUNTIF('2月'!BB4:BC4,"渋谷-夜勤")+COUNTIF('2月'!BG4:BH4,"渋谷-夜勤")+COUNTIF('2月'!BL4:BM4,"渋谷-夜勤")+COUNTIF('2月'!BQ4:BR4,"渋谷-夜勤")+COUNTIF('2月'!BV4:BW4,"渋谷-夜勤")+COUNTIF('2月'!CA4:CB4,"渋谷-夜勤")+COUNTIF('2月'!CF4:CG4,"渋谷-夜勤")+COUNTIF('2月'!CK4:CL4,"渋谷-夜勤")+COUNTIF('2月'!CP4:CQ4,"渋谷-夜勤")+COUNTIF('2月'!CU4:CV4,"渋谷-夜勤")+COUNTIF('2月'!CZ4:DA4,"渋谷-夜勤")+COUNTIF('2月'!DE4:DF4,"渋谷-夜勤")+COUNTIF('2月'!DJ4:DK4,"渋谷-夜勤")+COUNTIF('2月'!DO4:DP4,"渋谷-夜勤")+COUNTIF('2月'!DT4:DU4,"渋谷-夜勤")+COUNTIF('2月'!DY4:DZ4,"渋谷-夜勤")+COUNTIF('2月'!ED4:EE4,"渋谷-夜勤")+COUNTIF('2月'!EI4:EJ4,"渋谷-夜勤")+COUNTIF('2月'!EN4:EO4,"渋谷-夜勤")+COUNTIF('2月'!ES4:ET4,"渋谷-夜勤")</f>
        <v>0</v>
      </c>
      <c r="I43" s="76">
        <f>IF(H43=0,0,H43)</f>
        <v>0</v>
      </c>
      <c r="J43" s="76">
        <f>COUNTIF('2月'!D4:E4,J$41)+COUNTIF('2月'!I4:J4,J$41)+COUNTIF('2月'!N4:O4,J$41)+COUNTIF('2月'!S4:T4,J$41)+COUNTIF('2月'!X4:Y4,J$41)+COUNTIF('2月'!AC4:AD4,J$41)+COUNTIF('2月'!AH4:AI4,J$41)+COUNTIF('2月'!AM4:AN4,J$41)+COUNTIF('2月'!AR4:AS4,J$41)+COUNTIF('2月'!AW4:AX4,J$41)+COUNTIF('2月'!BB4:BC4,J$41)+COUNTIF('2月'!BG4:BH4,J$41)+COUNTIF('2月'!BL4:BM4,J$41)+COUNTIF('2月'!BQ4:BR4,J$41)+COUNTIF('2月'!BV4:BW4,J$41)+COUNTIF('2月'!CA4:CB4,J$41)+COUNTIF('2月'!CF4:CG4,J$41)+COUNTIF('2月'!CK4:CL4,J$41)+COUNTIF('2月'!CP4:CQ4,J$41)+COUNTIF('2月'!CU4:CV4,J$41)+COUNTIF('2月'!CZ4:DA4,J$41)+COUNTIF('2月'!DE4:DF4,J$41)+COUNTIF('2月'!DJ4:DK4,J$41)+COUNTIF('2月'!DO4:DP4,J$41)+COUNTIF('2月'!DT4:DU4,J$41)+COUNTIF('2月'!DY4:DZ4,J$41)+COUNTIF('2月'!ED4:EE4,J$41)+COUNTIF('2月'!EI4:EJ4,J$41)+COUNTIF('2月'!EN4:EO4,J$41)+COUNTIF('2月'!ES4:ET4,J$41)+COUNTIF('2月'!D4:E4,"六本木-夜勤")+COUNTIF('2月'!I4:J4,"六本木-夜勤")+COUNTIF('2月'!N4:O4,"六本木-夜勤")+COUNTIF('2月'!S4:T4,"六本木-夜勤")+COUNTIF('2月'!X4:Y4,"六本木-夜勤")+COUNTIF('2月'!AC4:AD4,"六本木-夜勤")+COUNTIF('2月'!AH4:AI4,"六本木-夜勤")+COUNTIF('2月'!AM4:AN4,"六本木-夜勤")+COUNTIF('2月'!AR4:AS4,"六本木-夜勤")+COUNTIF('2月'!AW4:AX4,"六本木-夜勤")+COUNTIF('2月'!BB4:BC4,"六本木-夜勤")+COUNTIF('2月'!BG4:BH4,"六本木-夜勤")+COUNTIF('2月'!BL4:BM4,"六本木-夜勤")+COUNTIF('2月'!BQ4:BR4,"六本木-夜勤")+COUNTIF('2月'!BV4:BW4,"六本木-夜勤")+COUNTIF('2月'!CA4:CB4,"六本木-夜勤")+COUNTIF('2月'!CF4:CG4,"六本木-夜勤")+COUNTIF('2月'!CK4:CL4,"六本木-夜勤")+COUNTIF('2月'!CP4:CQ4,"六本木-夜勤")+COUNTIF('2月'!CU4:CV4,"六本木-夜勤")+COUNTIF('2月'!CZ4:DA4,"六本木-夜勤")+COUNTIF('2月'!DE4:DF4,"六本木-夜勤")+COUNTIF('2月'!DJ4:DK4,"六本木-夜勤")+COUNTIF('2月'!DO4:DP4,"六本木-夜勤")+COUNTIF('2月'!DT4:DU4,"六本木-夜勤")+COUNTIF('2月'!DY4:DZ4,"六本木-夜勤")+COUNTIF('2月'!ED4:EE4,"六本木-夜勤")+COUNTIF('2月'!EI4:EJ4,"六本木-夜勤")+COUNTIF('2月'!EN4:EO4,"六本木-夜勤")+COUNTIF('2月'!ES4:ET4,"六本木-夜勤")+COUNTIF('2月'!D4:E4,"六本木ー夜勤")+COUNTIF('2月'!I4:J4,"六本木ー夜勤")+COUNTIF('2月'!N4:O4,"六本木ー夜勤")+COUNTIF('2月'!S4:T4,"六本木ー夜勤")+COUNTIF('2月'!X4:Y4,"六本木ー夜勤")+COUNTIF('2月'!AC4:AD4,"六本木ー夜勤")+COUNTIF('2月'!AH4:AI4,"六本木ー夜勤")+COUNTIF('2月'!AM4:AN4,"六本木ー夜勤")+COUNTIF('2月'!AR4:AS4,"六本木ー夜勤")+COUNTIF('2月'!AW4:AX4,"六本木ー夜勤")+COUNTIF('2月'!BB4:BC4,"六本木ー夜勤")+COUNTIF('2月'!BG4:BH4,"六本木ー夜勤")+COUNTIF('2月'!BL4:BM4,"六本木ー夜勤")+COUNTIF('2月'!BQ4:BR4,"六本木ー夜勤")+COUNTIF('2月'!BV4:BW4,"六本木ー夜勤")+COUNTIF('2月'!CA4:CB4,"六本木ー夜勤")+COUNTIF('2月'!CF4:CG4,"六本木ー夜勤")+COUNTIF('2月'!CK4:CL4,"六本木ー夜勤")+COUNTIF('2月'!CP4:CQ4,"六本木ー夜勤")+COUNTIF('2月'!CU4:CV4,"六本木ー夜勤")+COUNTIF('2月'!CZ4:DA4,"六本木ー夜勤")+COUNTIF('2月'!DE4:DF4,"六本木ー夜勤")+COUNTIF('2月'!DJ4:DK4,"六本木ー夜勤")+COUNTIF('2月'!DO4:DP4,"六本木ー夜勤")+COUNTIF('2月'!DT4:DU4,"六本木ー夜勤")+COUNTIF('2月'!DY4:DZ4,"六本木ー夜勤")+COUNTIF('2月'!ED4:EE4,"六本木ー夜勤")+COUNTIF('2月'!EI4:EJ4,"六本木ー夜勤")+COUNTIF('2月'!EN4:EO4,"六本木ー夜勤")+COUNTIF('2月'!ES4:ET4,"六本木ー夜勤")</f>
        <v>0</v>
      </c>
      <c r="K43" s="76">
        <f>IF(J43=0,0,J43)</f>
        <v>0</v>
      </c>
      <c r="L43" s="76">
        <f>COUNTIF('2月'!D4:E4,L$41)+COUNTIF('2月'!I4:J4,L$41)+COUNTIF('2月'!N4:O4,L$41)+COUNTIF('2月'!S4:T4,L$41)+COUNTIF('2月'!X4:Y4,L$41)+COUNTIF('2月'!AC4:AD4,L$41)+COUNTIF('2月'!AH4:AI4,L$41)+COUNTIF('2月'!AM4:AN4,L$41)+COUNTIF('2月'!AR4:AS4,L$41)+COUNTIF('2月'!AW4:AX4,L$41)+COUNTIF('2月'!BB4:BC4,L$41)+COUNTIF('2月'!BG4:BH4,L$41)+COUNTIF('2月'!BL4:BM4,L$41)+COUNTIF('2月'!BQ4:BR4,L$41)+COUNTIF('2月'!BV4:BW4,L$41)+COUNTIF('2月'!CA4:CB4,L$41)+COUNTIF('2月'!CF4:CG4,L$41)+COUNTIF('2月'!CK4:CL4,L$41)+COUNTIF('2月'!CP4:CQ4,L$41)+COUNTIF('2月'!CU4:CV4,L$41)+COUNTIF('2月'!CZ4:DA4,L$41)+COUNTIF('2月'!DE4:DF4,L$41)+COUNTIF('2月'!DJ4:DK4,L$41)+COUNTIF('2月'!DO4:DP4,L$41)+COUNTIF('2月'!DT4:DU4,L$41)+COUNTIF('2月'!DY4:DZ4,L$41)+COUNTIF('2月'!ED4:EE4,L$41)+COUNTIF('2月'!EI4:EJ4,L$41)+COUNTIF('2月'!EN4:EO4,L$41)+COUNTIF('2月'!ES4:ET4,L$41)</f>
        <v>0</v>
      </c>
      <c r="M43" s="76">
        <f>IF(L43=0,0,L43)</f>
        <v>0</v>
      </c>
      <c r="N43" s="76">
        <f>COUNTIF('2月'!D4:E4,N$41)+COUNTIF('2月'!I4:J4,N$41)+COUNTIF('2月'!N4:O4,N$41)+COUNTIF('2月'!S4:T4,N$41)+COUNTIF('2月'!X4:Y4,N$41)+COUNTIF('2月'!AC4:AD4,N$41)+COUNTIF('2月'!AH4:AI4,N$41)+COUNTIF('2月'!AM4:AN4,N$41)+COUNTIF('2月'!AR4:AS4,N$41)+COUNTIF('2月'!AW4:AX4,N$41)+COUNTIF('2月'!BB4:BC4,N$41)+COUNTIF('2月'!BG4:BH4,N$41)+COUNTIF('2月'!BL4:BM4,N$41)+COUNTIF('2月'!BQ4:BR4,N$41)+COUNTIF('2月'!BV4:BW4,N$41)+COUNTIF('2月'!CA4:CB4,N$41)+COUNTIF('2月'!CF4:CG4,N$41)+COUNTIF('2月'!CK4:CL4,N$41)+COUNTIF('2月'!CP4:CQ4,N$41)+COUNTIF('2月'!CU4:CV4,N$41)+COUNTIF('2月'!CZ4:DA4,N$41)+COUNTIF('2月'!DE4:DF4,N$41)+COUNTIF('2月'!DJ4:DK4,N$41)+COUNTIF('2月'!DO4:DP4,N$41)+COUNTIF('2月'!DT4:DU4,N$41)+COUNTIF('2月'!DY4:DZ4,N$41)+COUNTIF('2月'!ED4:EE4,N$41)+COUNTIF('2月'!EI4:EJ4,N$41)+COUNTIF('2月'!EN4:EO4,N$41)+COUNTIF('2月'!ES4:ET4,N$41)+COUNTIF('2月'!D4:E4,"三軒茶屋－夜勤")+COUNTIF('2月'!I4:J4,"三軒茶屋－夜勤")+COUNTIF('2月'!N4:O4,"三軒茶屋－夜勤")+COUNTIF('2月'!S4:T4,"三軒茶屋－夜勤")+COUNTIF('2月'!X4:Y4,"三軒茶屋－夜勤")+COUNTIF('2月'!AC4:AD4,"三軒茶屋－夜勤")+COUNTIF('2月'!AH4:AI4,"三軒茶屋－夜勤")+COUNTIF('2月'!AM4:AN4,"三軒茶屋－夜勤")+COUNTIF('2月'!AR4:AS4,"三軒茶屋－夜勤")+COUNTIF('2月'!AW4:AX4,"三軒茶屋－夜勤")+COUNTIF('2月'!BB4:BC4,"三軒茶屋－夜勤")+COUNTIF('2月'!BG4:BH4,"三軒茶屋－夜勤")+COUNTIF('2月'!BL4:BM4,"三軒茶屋－夜勤")+COUNTIF('2月'!BQ4:BR4,"三軒茶屋－夜勤")+COUNTIF('2月'!BV4:BW4,"三軒茶屋－夜勤")+COUNTIF('2月'!CA4:CB4,"三軒茶屋－夜勤")+COUNTIF('2月'!CF4:CG4,"三軒茶屋－夜勤")+COUNTIF('2月'!CK4:CL4,"三軒茶屋－夜勤")+COUNTIF('2月'!CP4:CQ4,"三軒茶屋－夜勤")+COUNTIF('2月'!CU4:CV4,"三軒茶屋－夜勤")+COUNTIF('2月'!CZ4:DA4,"三軒茶屋－夜勤")+COUNTIF('2月'!DE4:DF4,"三軒茶屋－夜勤")+COUNTIF('2月'!DJ4:DK4,"三軒茶屋－夜勤")+COUNTIF('2月'!DO4:DP4,"三軒茶屋－夜勤")+COUNTIF('2月'!DT4:DU4,"三軒茶屋－夜勤")+COUNTIF('2月'!DY4:DZ4,"三軒茶屋－夜勤")+COUNTIF('2月'!ED4:EE4,"三軒茶屋－夜勤")+COUNTIF('2月'!EI4:EJ4,"三軒茶屋－夜勤")+COUNTIF('2月'!EN4:EO4,"三軒茶屋－夜勤")+COUNTIF('2月'!ES4:ET4,"三軒茶屋－夜勤")</f>
        <v>0</v>
      </c>
      <c r="O43" s="76">
        <f>IF(N43=0,0,N43)</f>
        <v>0</v>
      </c>
      <c r="P43" s="76">
        <f>COUNTIF('2月'!D4:E4,P$41)+COUNTIF('2月'!I4:J4,P$41)+COUNTIF('2月'!N4:O4,P$41)+COUNTIF('2月'!S4:T4,P$41)+COUNTIF('2月'!X4:Y4,P$41)+COUNTIF('2月'!AC4:AD4,P$41)+COUNTIF('2月'!AH4:AI4,P$41)+COUNTIF('2月'!AM4:AN4,P$41)+COUNTIF('2月'!AR4:AS4,P$41)+COUNTIF('2月'!AW4:AX4,P$41)+COUNTIF('2月'!BB4:BC4,P$41)+COUNTIF('2月'!BG4:BH4,P$41)+COUNTIF('2月'!BL4:BM4,P$41)+COUNTIF('2月'!BQ4:BR4,P$41)+COUNTIF('2月'!BV4:BW4,P$41)+COUNTIF('2月'!CA4:CB4,P$41)+COUNTIF('2月'!CF4:CG4,P$41)+COUNTIF('2月'!CK4:CL4,P$41)+COUNTIF('2月'!CP4:CQ4,P$41)+COUNTIF('2月'!CU4:CV4,P$41)+COUNTIF('2月'!CZ4:DA4,P$41)+COUNTIF('2月'!DE4:DF4,P$41)+COUNTIF('2月'!DJ4:DK4,P$41)+COUNTIF('2月'!DO4:DP4,P$41)+COUNTIF('2月'!DT4:DU4,P$41)+COUNTIF('2月'!DY4:DZ4,P$41)+COUNTIF('2月'!ED4:EE4,P$41)+COUNTIF('2月'!EI4:EJ4,P$41)+COUNTIF('2月'!EN4:EO4,P$41)+COUNTIF('2月'!ES4:ET4,P$41)+COUNTIF('2月'!D4:E4,"荻窪ー夜勤")+COUNTIF('2月'!I4:J4,"荻窪ー夜勤")+COUNTIF('2月'!N4:O4,"荻窪ー夜勤")+COUNTIF('2月'!S4:T4,"荻窪ー夜勤")+COUNTIF('2月'!X4:Y4,"荻窪ー夜勤")+COUNTIF('2月'!AC4:AD4,"荻窪ー夜勤")+COUNTIF('2月'!AH4:AI4,"荻窪ー夜勤")+COUNTIF('2月'!AM4:AN4,"荻窪ー夜勤")+COUNTIF('2月'!AR4:AS4,"荻窪ー夜勤")+COUNTIF('2月'!AW4:AX4,"荻窪ー夜勤")+COUNTIF('2月'!BB4:BC4,"荻窪ー夜勤")+COUNTIF('2月'!BG4:BH4,"荻窪ー夜勤")+COUNTIF('2月'!BL4:BM4,"荻窪ー夜勤")+COUNTIF('2月'!BQ4:BR4,"荻窪ー夜勤")+COUNTIF('2月'!BV4:BW4,"荻窪ー夜勤")+COUNTIF('2月'!CA4:CB4,"荻窪ー夜勤")+COUNTIF('2月'!CF4:CG4,"荻窪ー夜勤")+COUNTIF('2月'!CK4:CL4,"荻窪ー夜勤")+COUNTIF('2月'!CP4:CQ4,"荻窪ー夜勤")+COUNTIF('2月'!CU4:CV4,"荻窪ー夜勤")+COUNTIF('2月'!CZ4:DA4,"荻窪ー夜勤")+COUNTIF('2月'!DE4:DF4,"荻窪ー夜勤")+COUNTIF('2月'!DJ4:DK4,"荻窪ー夜勤")+COUNTIF('2月'!DO4:DP4,"荻窪ー夜勤")+COUNTIF('2月'!DT4:DU4,"荻窪ー夜勤")+COUNTIF('2月'!DY4:DZ4,"荻窪ー夜勤")+COUNTIF('2月'!ED4:EE4,"荻窪ー夜勤")+COUNTIF('2月'!EI4:EJ4,"荻窪ー夜勤")+COUNTIF('2月'!EN4:EO4,"荻窪ー夜勤")+COUNTIF('2月'!ES4:ET4,"荻窪ー夜勤")</f>
        <v>0</v>
      </c>
      <c r="Q43" s="76">
        <f>IF(P43=0,0,P43)</f>
        <v>0</v>
      </c>
      <c r="R43" s="76">
        <f>COUNTIF('2月'!D4:E4,R$41)+COUNTIF('2月'!I4:J4,R$41)+COUNTIF('2月'!N4:O4,R$41)+COUNTIF('2月'!S4:T4,R$41)+COUNTIF('2月'!X4:Y4,R$41)+COUNTIF('2月'!AC4:AD4,R$41)+COUNTIF('2月'!AH4:AI4,R$41)+COUNTIF('2月'!AM4:AN4,R$41)+COUNTIF('2月'!AR4:AS4,R$41)+COUNTIF('2月'!AW4:AX4,R$41)+COUNTIF('2月'!BB4:BC4,R$41)+COUNTIF('2月'!BG4:BH4,R$41)+COUNTIF('2月'!BL4:BM4,R$41)+COUNTIF('2月'!BQ4:BR4,R$41)+COUNTIF('2月'!BV4:BW4,R$41)+COUNTIF('2月'!CA4:CB4,R$41)+COUNTIF('2月'!CF4:CG4,R$41)+COUNTIF('2月'!CK4:CL4,R$41)+COUNTIF('2月'!CP4:CQ4,R$41)+COUNTIF('2月'!CU4:CV4,R$41)+COUNTIF('2月'!CZ4:DA4,R$41)+COUNTIF('2月'!DE4:DF4,R$41)+COUNTIF('2月'!DJ4:DK4,R$41)+COUNTIF('2月'!DO4:DP4,R$41)+COUNTIF('2月'!DT4:DU4,R$41)+COUNTIF('2月'!DY4:DZ4,R$41)+COUNTIF('2月'!ED4:EE4,R$41)+COUNTIF('2月'!EI4:EJ4,R$41)+COUNTIF('2月'!EN4:EO4,R$41)+COUNTIF('2月'!ES4:ET4,R$41)</f>
        <v>0</v>
      </c>
      <c r="S43" s="76">
        <f>IF(R43=0,0,R43)</f>
        <v>0</v>
      </c>
      <c r="T43" s="76">
        <f>COUNTIF('2月'!D4:E4,T$41)+COUNTIF('2月'!I4:J4,T$41)+COUNTIF('2月'!N4:O4,T$41)+COUNTIF('2月'!S4:T4,T$41)+COUNTIF('2月'!X4:Y4,T$41)+COUNTIF('2月'!AC4:AD4,T$41)+COUNTIF('2月'!AH4:AI4,T$41)+COUNTIF('2月'!AM4:AN4,T$41)+COUNTIF('2月'!AR4:AS4,T$41)+COUNTIF('2月'!AW4:AX4,T$41)+COUNTIF('2月'!BB4:BC4,T$41)+COUNTIF('2月'!BG4:BH4,T$41)+COUNTIF('2月'!BL4:BM4,T$41)+COUNTIF('2月'!BQ4:BR4,T$41)+COUNTIF('2月'!BV4:BW4,T$41)+COUNTIF('2月'!CA4:CB4,T$41)+COUNTIF('2月'!CF4:CG4,T$41)+COUNTIF('2月'!CK4:CL4,T$41)+COUNTIF('2月'!CP4:CQ4,T$41)+COUNTIF('2月'!CU4:CV4,T$41)+COUNTIF('2月'!CZ4:DA4,T$41)+COUNTIF('2月'!DE4:DF4,T$41)+COUNTIF('2月'!DJ4:DK4,T$41)+COUNTIF('2月'!DO4:DP4,T$41)+COUNTIF('2月'!DT4:DU4,T$41)+COUNTIF('2月'!DY4:DZ4,T$41)+COUNTIF('2月'!ED4:EE4,T$41)+COUNTIF('2月'!EI4:EJ4,T$41)+COUNTIF('2月'!EN4:EO4,T$41)+COUNTIF('2月'!ES4:ET4,T$41)</f>
        <v>0</v>
      </c>
      <c r="U43" s="76">
        <f>IF(T43=0,0,T43)</f>
        <v>0</v>
      </c>
      <c r="V43" s="76">
        <f>COUNTIF('2月'!D4:E4,V$41)+COUNTIF('2月'!I4:J4,V$41)+COUNTIF('2月'!N4:O4,V$41)+COUNTIF('2月'!S4:T4,V$41)+COUNTIF('2月'!X4:Y4,V$41)+COUNTIF('2月'!AC4:AD4,V$41)+COUNTIF('2月'!AH4:AI4,V$41)+COUNTIF('2月'!AM4:AN4,V$41)+COUNTIF('2月'!AR4:AS4,V$41)+COUNTIF('2月'!AW4:AX4,V$41)+COUNTIF('2月'!BB4:BC4,V$41)+COUNTIF('2月'!BG4:BH4,V$41)+COUNTIF('2月'!BL4:BM4,V$41)+COUNTIF('2月'!BQ4:BR4,V$41)+COUNTIF('2月'!BV4:BW4,V$41)+COUNTIF('2月'!CA4:CB4,V$41)+COUNTIF('2月'!CF4:CG4,V$41)+COUNTIF('2月'!CK4:CL4,V$41)+COUNTIF('2月'!CP4:CQ4,V$41)+COUNTIF('2月'!CU4:CV4,V$41)+COUNTIF('2月'!CZ4:DA4,V$41)+COUNTIF('2月'!DE4:DF4,V$41)+COUNTIF('2月'!DJ4:DK4,V$41)+COUNTIF('2月'!DO4:DP4,V$41)+COUNTIF('2月'!DT4:DU4,V$41)+COUNTIF('2月'!DY4:DZ4,V$41)+COUNTIF('2月'!ED4:EE4,V$41)+COUNTIF('2月'!EI4:EJ4,V$41)+COUNTIF('2月'!EN4:EO4,V$41)+COUNTIF('2月'!ES4:ET4,V$41)</f>
        <v>0</v>
      </c>
      <c r="W43" s="76">
        <f>IF(V43=0,0,V43)</f>
        <v>0</v>
      </c>
      <c r="X43" s="76">
        <f>COUNTIF('2月'!D4:E4,X$41)+COUNTIF('2月'!I4:J4,X$41)+COUNTIF('2月'!N4:O4,X$41)+COUNTIF('2月'!S4:T4,X$41)+COUNTIF('2月'!X4:Y4,X$41)+COUNTIF('2月'!AC4:AD4,X$41)+COUNTIF('2月'!AH4:AI4,X$41)+COUNTIF('2月'!AM4:AN4,X$41)+COUNTIF('2月'!AR4:AS4,X$41)+COUNTIF('2月'!AW4:AX4,X$41)+COUNTIF('2月'!BB4:BC4,X$41)+COUNTIF('2月'!BG4:BH4,X$41)+COUNTIF('2月'!BL4:BM4,X$41)+COUNTIF('2月'!BQ4:BR4,X$41)+COUNTIF('2月'!BV4:BW4,X$41)+COUNTIF('2月'!CA4:CB4,X$41)+COUNTIF('2月'!CF4:CG4,X$41)+COUNTIF('2月'!CK4:CL4,X$41)+COUNTIF('2月'!CP4:CQ4,X$41)+COUNTIF('2月'!CU4:CV4,X$41)+COUNTIF('2月'!CZ4:DA4,X$41)+COUNTIF('2月'!DE4:DF4,X$41)+COUNTIF('2月'!DJ4:DK4,X$41)+COUNTIF('2月'!DO4:DP4,X$41)+COUNTIF('2月'!DT4:DU4,X$41)+COUNTIF('2月'!DY4:DZ4,X$41)+COUNTIF('2月'!ED4:EE4,X$41)+COUNTIF('2月'!EI4:EJ4,X$41)+COUNTIF('2月'!EN4:EO4,X$41)+COUNTIF('2月'!ES4:ET4,X$41)</f>
        <v>0</v>
      </c>
      <c r="Y43" s="76">
        <f>IF(X43=0,0,X43)</f>
        <v>0</v>
      </c>
    </row>
    <row r="44" spans="1:25" ht="18" customHeight="1">
      <c r="A44" s="76">
        <v>2</v>
      </c>
      <c r="B44" s="76">
        <f>COUNTIF('2月'!D5:E5,B$41)+COUNTIF('2月'!I5:J5,B$41)+COUNTIF('2月'!N5:O5,B$41)+COUNTIF('2月'!S5:T5,B$41)+COUNTIF('2月'!X5:Y5,B$41)+COUNTIF('2月'!AC5:AD5,B$41)+COUNTIF('2月'!AH5:AI5,B$41)+COUNTIF('2月'!AM5:AN5,B$41)+COUNTIF('2月'!AR5:AS5,B$41)+COUNTIF('2月'!AW5:AX5,B$41)+COUNTIF('2月'!BB5:BC5,B$41)+COUNTIF('2月'!BG5:BH5,B$41)+COUNTIF('2月'!BL5:BM5,B$41)+COUNTIF('2月'!BQ5:BR5,B$41)+COUNTIF('2月'!BV5:BW5,B$41)+COUNTIF('2月'!CA5:CB5,B$41)+COUNTIF('2月'!CF5:CG5,B$41)+COUNTIF('2月'!CK5:CL5,B$41)+COUNTIF('2月'!CP5:CQ5,B$41)+COUNTIF('2月'!CU5:CV5,B$41)+COUNTIF('2月'!CZ5:DA5,B$41)+COUNTIF('2月'!DE5:DF5,B$41)+COUNTIF('2月'!DJ5:DK5,B$41)+COUNTIF('2月'!DO5:DP5,B$41)+COUNTIF('2月'!DT5:DU5,B$41)+COUNTIF('2月'!DY5:DZ5,B$41)+COUNTIF('2月'!ED5:EE5,B$41)+COUNTIF('2月'!EI5:EJ5,B$41)+COUNTIF('2月'!EN5:EO5,B$41)+COUNTIF('2月'!ES5:ET5,B$41)</f>
        <v>0</v>
      </c>
      <c r="C44" s="76">
        <f t="shared" ref="C44:C73" si="12">IF(B44=0,C43,C43+B44)</f>
        <v>0</v>
      </c>
      <c r="D44" s="76">
        <f>COUNTIF('2月'!D5:E5,D$41)+COUNTIF('2月'!I5:J5,D$41)+COUNTIF('2月'!N5:O5,D$41)+COUNTIF('2月'!S5:T5,D$41)+COUNTIF('2月'!X5:Y5,D$41)+COUNTIF('2月'!AC5:AD5,D$41)+COUNTIF('2月'!AH5:AI5,D$41)+COUNTIF('2月'!AM5:AN5,D$41)+COUNTIF('2月'!AR5:AS5,D$41)+COUNTIF('2月'!AW5:AX5,D$41)+COUNTIF('2月'!BB5:BC5,D$41)+COUNTIF('2月'!BG5:BH5,D$41)+COUNTIF('2月'!BL5:BM5,D$41)+COUNTIF('2月'!BQ5:BR5,D$41)+COUNTIF('2月'!BV5:BW5,D$41)+COUNTIF('2月'!CA5:CB5,D$41)+COUNTIF('2月'!CF5:CG5,D$41)+COUNTIF('2月'!CK5:CL5,D$41)+COUNTIF('2月'!CP5:CQ5,D$41)+COUNTIF('2月'!CU5:CV5,D$41)+COUNTIF('2月'!CZ5:DA5,D$41)+COUNTIF('2月'!DE5:DF5,D$41)+COUNTIF('2月'!DJ5:DK5,D$41)+COUNTIF('2月'!DO5:DP5,D$41)+COUNTIF('2月'!DT5:DU5,D$41)+COUNTIF('2月'!DY5:DZ5,D$41)+COUNTIF('2月'!ED5:EE5,D$41)+COUNTIF('2月'!EI5:EJ5,D$41)+COUNTIF('2月'!EN5:EO5,D$41)+COUNTIF('2月'!ES5:ET5,D$41)</f>
        <v>0</v>
      </c>
      <c r="E44" s="76">
        <f t="shared" ref="E44:E73" si="13">IF(D44=0,E43,E43+D44)</f>
        <v>0</v>
      </c>
      <c r="F44" s="76">
        <f>COUNTIF('2月'!D5:E5,F$41)+COUNTIF('2月'!I5:J5,F$41)+COUNTIF('2月'!N5:O5,F$41)+COUNTIF('2月'!S5:T5,F$41)+COUNTIF('2月'!X5:Y5,F$41)+COUNTIF('2月'!AC5:AD5,F$41)+COUNTIF('2月'!AH5:AI5,F$41)+COUNTIF('2月'!AM5:AN5,F$41)+COUNTIF('2月'!AR5:AS5,F$41)+COUNTIF('2月'!AW5:AX5,F$41)+COUNTIF('2月'!BB5:BC5,F$41)+COUNTIF('2月'!BG5:BH5,F$41)+COUNTIF('2月'!BL5:BM5,F$41)+COUNTIF('2月'!BQ5:BR5,F$41)+COUNTIF('2月'!BV5:BW5,F$41)+COUNTIF('2月'!CA5:CB5,F$41)+COUNTIF('2月'!CF5:CG5,F$41)+COUNTIF('2月'!CK5:CL5,F$41)+COUNTIF('2月'!CP5:CQ5,F$41)+COUNTIF('2月'!CU5:CV5,F$41)+COUNTIF('2月'!CZ5:DA5,F$41)+COUNTIF('2月'!DE5:DF5,F$41)+COUNTIF('2月'!DJ5:DK5,F$41)+COUNTIF('2月'!DO5:DP5,F$41)+COUNTIF('2月'!DT5:DU5,F$41)+COUNTIF('2月'!DY5:DZ5,F$41)+COUNTIF('2月'!ED5:EE5,F$41)+COUNTIF('2月'!EI5:EJ5,F$41)+COUNTIF('2月'!EN5:EO5,F$41)+COUNTIF('2月'!ES5:ET5,F$41)</f>
        <v>0</v>
      </c>
      <c r="G44" s="76">
        <f t="shared" ref="G44:G73" si="14">IF(F44=0,G43,G43+F44)</f>
        <v>0</v>
      </c>
      <c r="H44" s="76">
        <f>COUNTIF('2月'!D5:E5,H$41)+COUNTIF('2月'!I5:J5,H$41)+COUNTIF('2月'!N5:O5,H$41)+COUNTIF('2月'!S5:T5,H$41)+COUNTIF('2月'!X5:Y5,H$41)+COUNTIF('2月'!AC5:AD5,H$41)+COUNTIF('2月'!AH5:AI5,H$41)+COUNTIF('2月'!AM5:AN5,H$41)+COUNTIF('2月'!AR5:AS5,H$41)+COUNTIF('2月'!AW5:AX5,H$41)+COUNTIF('2月'!BB5:BC5,H$41)+COUNTIF('2月'!BG5:BH5,H$41)+COUNTIF('2月'!BL5:BM5,H$41)+COUNTIF('2月'!BQ5:BR5,H$41)+COUNTIF('2月'!BV5:BW5,H$41)+COUNTIF('2月'!CA5:CB5,H$41)+COUNTIF('2月'!CF5:CG5,H$41)+COUNTIF('2月'!CK5:CL5,H$41)+COUNTIF('2月'!CP5:CQ5,H$41)+COUNTIF('2月'!CU5:CV5,H$41)+COUNTIF('2月'!CZ5:DA5,H$41)+COUNTIF('2月'!DE5:DF5,H$41)+COUNTIF('2月'!DJ5:DK5,H$41)+COUNTIF('2月'!DO5:DP5,H$41)+COUNTIF('2月'!DT5:DU5,H$41)+COUNTIF('2月'!DY5:DZ5,H$41)+COUNTIF('2月'!ED5:EE5,H$41)+COUNTIF('2月'!EI5:EJ5,H$41)+COUNTIF('2月'!EN5:EO5,H$41)+COUNTIF('2月'!ES5:ET5,H$41)+COUNTIF('2月'!D5:E5,"渋谷-夜勤")+COUNTIF('2月'!I5:J5,"渋谷-夜勤")+COUNTIF('2月'!N5:O5,"渋谷-夜勤")+COUNTIF('2月'!S5:T5,"渋谷-夜勤")+COUNTIF('2月'!X5:Y5,"渋谷-夜勤")+COUNTIF('2月'!AC5:AD5,"渋谷-夜勤")+COUNTIF('2月'!AH5:AI5,"渋谷-夜勤")+COUNTIF('2月'!AM5:AN5,"渋谷-夜勤")+COUNTIF('2月'!AR5:AS5,"渋谷-夜勤")+COUNTIF('2月'!AW5:AX5,"渋谷-夜勤")+COUNTIF('2月'!BB5:BC5,"渋谷-夜勤")+COUNTIF('2月'!BG5:BH5,"渋谷-夜勤")+COUNTIF('2月'!BL5:BM5,"渋谷-夜勤")+COUNTIF('2月'!BQ5:BR5,"渋谷-夜勤")+COUNTIF('2月'!BV5:BW5,"渋谷-夜勤")+COUNTIF('2月'!CA5:CB5,"渋谷-夜勤")+COUNTIF('2月'!CF5:CG5,"渋谷-夜勤")+COUNTIF('2月'!CK5:CL5,"渋谷-夜勤")+COUNTIF('2月'!CP5:CQ5,"渋谷-夜勤")+COUNTIF('2月'!CU5:CV5,"渋谷-夜勤")+COUNTIF('2月'!CZ5:DA5,"渋谷-夜勤")+COUNTIF('2月'!DE5:DF5,"渋谷-夜勤")+COUNTIF('2月'!DJ5:DK5,"渋谷-夜勤")+COUNTIF('2月'!DO5:DP5,"渋谷-夜勤")+COUNTIF('2月'!DT5:DU5,"渋谷-夜勤")+COUNTIF('2月'!DY5:DZ5,"渋谷-夜勤")+COUNTIF('2月'!ED5:EE5,"渋谷-夜勤")+COUNTIF('2月'!EI5:EJ5,"渋谷-夜勤")+COUNTIF('2月'!EN5:EO5,"渋谷-夜勤")+COUNTIF('2月'!ES5:ET5,"渋谷-夜勤")</f>
        <v>0</v>
      </c>
      <c r="I44" s="76">
        <f t="shared" ref="I44:I73" si="15">IF(H44=0,I43,I43+H44)</f>
        <v>0</v>
      </c>
      <c r="J44" s="76">
        <f>COUNTIF('2月'!D5:E5,J$41)+COUNTIF('2月'!I5:J5,J$41)+COUNTIF('2月'!N5:O5,J$41)+COUNTIF('2月'!S5:T5,J$41)+COUNTIF('2月'!X5:Y5,J$41)+COUNTIF('2月'!AC5:AD5,J$41)+COUNTIF('2月'!AH5:AI5,J$41)+COUNTIF('2月'!AM5:AN5,J$41)+COUNTIF('2月'!AR5:AS5,J$41)+COUNTIF('2月'!AW5:AX5,J$41)+COUNTIF('2月'!BB5:BC5,J$41)+COUNTIF('2月'!BG5:BH5,J$41)+COUNTIF('2月'!BL5:BM5,J$41)+COUNTIF('2月'!BQ5:BR5,J$41)+COUNTIF('2月'!BV5:BW5,J$41)+COUNTIF('2月'!CA5:CB5,J$41)+COUNTIF('2月'!CF5:CG5,J$41)+COUNTIF('2月'!CK5:CL5,J$41)+COUNTIF('2月'!CP5:CQ5,J$41)+COUNTIF('2月'!CU5:CV5,J$41)+COUNTIF('2月'!CZ5:DA5,J$41)+COUNTIF('2月'!DE5:DF5,J$41)+COUNTIF('2月'!DJ5:DK5,J$41)+COUNTIF('2月'!DO5:DP5,J$41)+COUNTIF('2月'!DT5:DU5,J$41)+COUNTIF('2月'!DY5:DZ5,J$41)+COUNTIF('2月'!ED5:EE5,J$41)+COUNTIF('2月'!EI5:EJ5,J$41)+COUNTIF('2月'!EN5:EO5,J$41)+COUNTIF('2月'!ES5:ET5,J$41)+COUNTIF('2月'!D5:E5,"六本木-夜勤")+COUNTIF('2月'!I5:J5,"六本木-夜勤")+COUNTIF('2月'!N5:O5,"六本木-夜勤")+COUNTIF('2月'!S5:T5,"六本木-夜勤")+COUNTIF('2月'!X5:Y5,"六本木-夜勤")+COUNTIF('2月'!AC5:AD5,"六本木-夜勤")+COUNTIF('2月'!AH5:AI5,"六本木-夜勤")+COUNTIF('2月'!AM5:AN5,"六本木-夜勤")+COUNTIF('2月'!AR5:AS5,"六本木-夜勤")+COUNTIF('2月'!AW5:AX5,"六本木-夜勤")+COUNTIF('2月'!BB5:BC5,"六本木-夜勤")+COUNTIF('2月'!BG5:BH5,"六本木-夜勤")+COUNTIF('2月'!BL5:BM5,"六本木-夜勤")+COUNTIF('2月'!BQ5:BR5,"六本木-夜勤")+COUNTIF('2月'!BV5:BW5,"六本木-夜勤")+COUNTIF('2月'!CA5:CB5,"六本木-夜勤")+COUNTIF('2月'!CF5:CG5,"六本木-夜勤")+COUNTIF('2月'!CK5:CL5,"六本木-夜勤")+COUNTIF('2月'!CP5:CQ5,"六本木-夜勤")+COUNTIF('2月'!CU5:CV5,"六本木-夜勤")+COUNTIF('2月'!CZ5:DA5,"六本木-夜勤")+COUNTIF('2月'!DE5:DF5,"六本木-夜勤")+COUNTIF('2月'!DJ5:DK5,"六本木-夜勤")+COUNTIF('2月'!DO5:DP5,"六本木-夜勤")+COUNTIF('2月'!DT5:DU5,"六本木-夜勤")+COUNTIF('2月'!DY5:DZ5,"六本木-夜勤")+COUNTIF('2月'!ED5:EE5,"六本木-夜勤")+COUNTIF('2月'!EI5:EJ5,"六本木-夜勤")+COUNTIF('2月'!EN5:EO5,"六本木-夜勤")+COUNTIF('2月'!ES5:ET5,"六本木-夜勤")+COUNTIF('2月'!D5:E5,"六本木ー夜勤")+COUNTIF('2月'!I5:J5,"六本木ー夜勤")+COUNTIF('2月'!N5:O5,"六本木ー夜勤")+COUNTIF('2月'!S5:T5,"六本木ー夜勤")+COUNTIF('2月'!X5:Y5,"六本木ー夜勤")+COUNTIF('2月'!AC5:AD5,"六本木ー夜勤")+COUNTIF('2月'!AH5:AI5,"六本木ー夜勤")+COUNTIF('2月'!AM5:AN5,"六本木ー夜勤")+COUNTIF('2月'!AR5:AS5,"六本木ー夜勤")+COUNTIF('2月'!AW5:AX5,"六本木ー夜勤")+COUNTIF('2月'!BB5:BC5,"六本木ー夜勤")+COUNTIF('2月'!BG5:BH5,"六本木ー夜勤")+COUNTIF('2月'!BL5:BM5,"六本木ー夜勤")+COUNTIF('2月'!BQ5:BR5,"六本木ー夜勤")+COUNTIF('2月'!BV5:BW5,"六本木ー夜勤")+COUNTIF('2月'!CA5:CB5,"六本木ー夜勤")+COUNTIF('2月'!CF5:CG5,"六本木ー夜勤")+COUNTIF('2月'!CK5:CL5,"六本木ー夜勤")+COUNTIF('2月'!CP5:CQ5,"六本木ー夜勤")+COUNTIF('2月'!CU5:CV5,"六本木ー夜勤")+COUNTIF('2月'!CZ5:DA5,"六本木ー夜勤")+COUNTIF('2月'!DE5:DF5,"六本木ー夜勤")+COUNTIF('2月'!DJ5:DK5,"六本木ー夜勤")+COUNTIF('2月'!DO5:DP5,"六本木ー夜勤")+COUNTIF('2月'!DT5:DU5,"六本木ー夜勤")+COUNTIF('2月'!DY5:DZ5,"六本木ー夜勤")+COUNTIF('2月'!ED5:EE5,"六本木ー夜勤")+COUNTIF('2月'!EI5:EJ5,"六本木ー夜勤")+COUNTIF('2月'!EN5:EO5,"六本木ー夜勤")+COUNTIF('2月'!ES5:ET5,"六本木ー夜勤")</f>
        <v>0</v>
      </c>
      <c r="K44" s="76">
        <f t="shared" ref="K44:K73" si="16">IF(J44=0,K43,K43+J44)</f>
        <v>0</v>
      </c>
      <c r="L44" s="76">
        <f>COUNTIF('2月'!D5:E5,L$41)+COUNTIF('2月'!I5:J5,L$41)+COUNTIF('2月'!N5:O5,L$41)+COUNTIF('2月'!S5:T5,L$41)+COUNTIF('2月'!X5:Y5,L$41)+COUNTIF('2月'!AC5:AD5,L$41)+COUNTIF('2月'!AH5:AI5,L$41)+COUNTIF('2月'!AM5:AN5,L$41)+COUNTIF('2月'!AR5:AS5,L$41)+COUNTIF('2月'!AW5:AX5,L$41)+COUNTIF('2月'!BB5:BC5,L$41)+COUNTIF('2月'!BG5:BH5,L$41)+COUNTIF('2月'!BL5:BM5,L$41)+COUNTIF('2月'!BQ5:BR5,L$41)+COUNTIF('2月'!BV5:BW5,L$41)+COUNTIF('2月'!CA5:CB5,L$41)+COUNTIF('2月'!CF5:CG5,L$41)+COUNTIF('2月'!CK5:CL5,L$41)+COUNTIF('2月'!CP5:CQ5,L$41)+COUNTIF('2月'!CU5:CV5,L$41)+COUNTIF('2月'!CZ5:DA5,L$41)+COUNTIF('2月'!DE5:DF5,L$41)+COUNTIF('2月'!DJ5:DK5,L$41)+COUNTIF('2月'!DO5:DP5,L$41)+COUNTIF('2月'!DT5:DU5,L$41)+COUNTIF('2月'!DY5:DZ5,L$41)+COUNTIF('2月'!ED5:EE5,L$41)+COUNTIF('2月'!EI5:EJ5,L$41)+COUNTIF('2月'!EN5:EO5,L$41)+COUNTIF('2月'!ES5:ET5,L$41)</f>
        <v>0</v>
      </c>
      <c r="M44" s="76">
        <f t="shared" ref="M44:M73" si="17">IF(L44=0,M43,M43+L44)</f>
        <v>0</v>
      </c>
      <c r="N44" s="76">
        <f>COUNTIF('2月'!D5:E5,N$41)+COUNTIF('2月'!I5:J5,N$41)+COUNTIF('2月'!N5:O5,N$41)+COUNTIF('2月'!S5:T5,N$41)+COUNTIF('2月'!X5:Y5,N$41)+COUNTIF('2月'!AC5:AD5,N$41)+COUNTIF('2月'!AH5:AI5,N$41)+COUNTIF('2月'!AM5:AN5,N$41)+COUNTIF('2月'!AR5:AS5,N$41)+COUNTIF('2月'!AW5:AX5,N$41)+COUNTIF('2月'!BB5:BC5,N$41)+COUNTIF('2月'!BG5:BH5,N$41)+COUNTIF('2月'!BL5:BM5,N$41)+COUNTIF('2月'!BQ5:BR5,N$41)+COUNTIF('2月'!BV5:BW5,N$41)+COUNTIF('2月'!CA5:CB5,N$41)+COUNTIF('2月'!CF5:CG5,N$41)+COUNTIF('2月'!CK5:CL5,N$41)+COUNTIF('2月'!CP5:CQ5,N$41)+COUNTIF('2月'!CU5:CV5,N$41)+COUNTIF('2月'!CZ5:DA5,N$41)+COUNTIF('2月'!DE5:DF5,N$41)+COUNTIF('2月'!DJ5:DK5,N$41)+COUNTIF('2月'!DO5:DP5,N$41)+COUNTIF('2月'!DT5:DU5,N$41)+COUNTIF('2月'!DY5:DZ5,N$41)+COUNTIF('2月'!ED5:EE5,N$41)+COUNTIF('2月'!EI5:EJ5,N$41)+COUNTIF('2月'!EN5:EO5,N$41)+COUNTIF('2月'!ES5:ET5,N$41)+COUNTIF('2月'!D5:E5,"三軒茶屋－夜勤")+COUNTIF('2月'!I5:J5,"三軒茶屋－夜勤")+COUNTIF('2月'!N5:O5,"三軒茶屋－夜勤")+COUNTIF('2月'!S5:T5,"三軒茶屋－夜勤")+COUNTIF('2月'!X5:Y5,"三軒茶屋－夜勤")+COUNTIF('2月'!AC5:AD5,"三軒茶屋－夜勤")+COUNTIF('2月'!AH5:AI5,"三軒茶屋－夜勤")+COUNTIF('2月'!AM5:AN5,"三軒茶屋－夜勤")+COUNTIF('2月'!AR5:AS5,"三軒茶屋－夜勤")+COUNTIF('2月'!AW5:AX5,"三軒茶屋－夜勤")+COUNTIF('2月'!BB5:BC5,"三軒茶屋－夜勤")+COUNTIF('2月'!BG5:BH5,"三軒茶屋－夜勤")+COUNTIF('2月'!BL5:BM5,"三軒茶屋－夜勤")+COUNTIF('2月'!BQ5:BR5,"三軒茶屋－夜勤")+COUNTIF('2月'!BV5:BW5,"三軒茶屋－夜勤")+COUNTIF('2月'!CA5:CB5,"三軒茶屋－夜勤")+COUNTIF('2月'!CF5:CG5,"三軒茶屋－夜勤")+COUNTIF('2月'!CK5:CL5,"三軒茶屋－夜勤")+COUNTIF('2月'!CP5:CQ5,"三軒茶屋－夜勤")+COUNTIF('2月'!CU5:CV5,"三軒茶屋－夜勤")+COUNTIF('2月'!CZ5:DA5,"三軒茶屋－夜勤")+COUNTIF('2月'!DE5:DF5,"三軒茶屋－夜勤")+COUNTIF('2月'!DJ5:DK5,"三軒茶屋－夜勤")+COUNTIF('2月'!DO5:DP5,"三軒茶屋－夜勤")+COUNTIF('2月'!DT5:DU5,"三軒茶屋－夜勤")+COUNTIF('2月'!DY5:DZ5,"三軒茶屋－夜勤")+COUNTIF('2月'!ED5:EE5,"三軒茶屋－夜勤")+COUNTIF('2月'!EI5:EJ5,"三軒茶屋－夜勤")+COUNTIF('2月'!EN5:EO5,"三軒茶屋－夜勤")+COUNTIF('2月'!ES5:ET5,"三軒茶屋－夜勤")</f>
        <v>0</v>
      </c>
      <c r="O44" s="76">
        <f t="shared" ref="O44:O73" si="18">IF(N44=0,O43,O43+N44)</f>
        <v>0</v>
      </c>
      <c r="P44" s="76">
        <f>COUNTIF('2月'!D5:E5,P$41)+COUNTIF('2月'!I5:J5,P$41)+COUNTIF('2月'!N5:O5,P$41)+COUNTIF('2月'!S5:T5,P$41)+COUNTIF('2月'!X5:Y5,P$41)+COUNTIF('2月'!AC5:AD5,P$41)+COUNTIF('2月'!AH5:AI5,P$41)+COUNTIF('2月'!AM5:AN5,P$41)+COUNTIF('2月'!AR5:AS5,P$41)+COUNTIF('2月'!AW5:AX5,P$41)+COUNTIF('2月'!BB5:BC5,P$41)+COUNTIF('2月'!BG5:BH5,P$41)+COUNTIF('2月'!BL5:BM5,P$41)+COUNTIF('2月'!BQ5:BR5,P$41)+COUNTIF('2月'!BV5:BW5,P$41)+COUNTIF('2月'!CA5:CB5,P$41)+COUNTIF('2月'!CF5:CG5,P$41)+COUNTIF('2月'!CK5:CL5,P$41)+COUNTIF('2月'!CP5:CQ5,P$41)+COUNTIF('2月'!CU5:CV5,P$41)+COUNTIF('2月'!CZ5:DA5,P$41)+COUNTIF('2月'!DE5:DF5,P$41)+COUNTIF('2月'!DJ5:DK5,P$41)+COUNTIF('2月'!DO5:DP5,P$41)+COUNTIF('2月'!DT5:DU5,P$41)+COUNTIF('2月'!DY5:DZ5,P$41)+COUNTIF('2月'!ED5:EE5,P$41)+COUNTIF('2月'!EI5:EJ5,P$41)+COUNTIF('2月'!EN5:EO5,P$41)+COUNTIF('2月'!ES5:ET5,P$41)+COUNTIF('2月'!D5:E5,"荻窪ー夜勤")+COUNTIF('2月'!I5:J5,"荻窪ー夜勤")+COUNTIF('2月'!N5:O5,"荻窪ー夜勤")+COUNTIF('2月'!S5:T5,"荻窪ー夜勤")+COUNTIF('2月'!X5:Y5,"荻窪ー夜勤")+COUNTIF('2月'!AC5:AD5,"荻窪ー夜勤")+COUNTIF('2月'!AH5:AI5,"荻窪ー夜勤")+COUNTIF('2月'!AM5:AN5,"荻窪ー夜勤")+COUNTIF('2月'!AR5:AS5,"荻窪ー夜勤")+COUNTIF('2月'!AW5:AX5,"荻窪ー夜勤")+COUNTIF('2月'!BB5:BC5,"荻窪ー夜勤")+COUNTIF('2月'!BG5:BH5,"荻窪ー夜勤")+COUNTIF('2月'!BL5:BM5,"荻窪ー夜勤")+COUNTIF('2月'!BQ5:BR5,"荻窪ー夜勤")+COUNTIF('2月'!BV5:BW5,"荻窪ー夜勤")+COUNTIF('2月'!CA5:CB5,"荻窪ー夜勤")+COUNTIF('2月'!CF5:CG5,"荻窪ー夜勤")+COUNTIF('2月'!CK5:CL5,"荻窪ー夜勤")+COUNTIF('2月'!CP5:CQ5,"荻窪ー夜勤")+COUNTIF('2月'!CU5:CV5,"荻窪ー夜勤")+COUNTIF('2月'!CZ5:DA5,"荻窪ー夜勤")+COUNTIF('2月'!DE5:DF5,"荻窪ー夜勤")+COUNTIF('2月'!DJ5:DK5,"荻窪ー夜勤")+COUNTIF('2月'!DO5:DP5,"荻窪ー夜勤")+COUNTIF('2月'!DT5:DU5,"荻窪ー夜勤")+COUNTIF('2月'!DY5:DZ5,"荻窪ー夜勤")+COUNTIF('2月'!ED5:EE5,"荻窪ー夜勤")+COUNTIF('2月'!EI5:EJ5,"荻窪ー夜勤")+COUNTIF('2月'!EN5:EO5,"荻窪ー夜勤")+COUNTIF('2月'!ES5:ET5,"荻窪ー夜勤")</f>
        <v>0</v>
      </c>
      <c r="Q44" s="76">
        <f t="shared" ref="Q44:Q73" si="19">IF(P44=0,Q43,Q43+P44)</f>
        <v>0</v>
      </c>
      <c r="R44" s="76">
        <f>COUNTIF('2月'!D5:E5,R$41)+COUNTIF('2月'!I5:J5,R$41)+COUNTIF('2月'!N5:O5,R$41)+COUNTIF('2月'!S5:T5,R$41)+COUNTIF('2月'!X5:Y5,R$41)+COUNTIF('2月'!AC5:AD5,R$41)+COUNTIF('2月'!AH5:AI5,R$41)+COUNTIF('2月'!AM5:AN5,R$41)+COUNTIF('2月'!AR5:AS5,R$41)+COUNTIF('2月'!AW5:AX5,R$41)+COUNTIF('2月'!BB5:BC5,R$41)+COUNTIF('2月'!BG5:BH5,R$41)+COUNTIF('2月'!BL5:BM5,R$41)+COUNTIF('2月'!BQ5:BR5,R$41)+COUNTIF('2月'!BV5:BW5,R$41)+COUNTIF('2月'!CA5:CB5,R$41)+COUNTIF('2月'!CF5:CG5,R$41)+COUNTIF('2月'!CK5:CL5,R$41)+COUNTIF('2月'!CP5:CQ5,R$41)+COUNTIF('2月'!CU5:CV5,R$41)+COUNTIF('2月'!CZ5:DA5,R$41)+COUNTIF('2月'!DE5:DF5,R$41)+COUNTIF('2月'!DJ5:DK5,R$41)+COUNTIF('2月'!DO5:DP5,R$41)+COUNTIF('2月'!DT5:DU5,R$41)+COUNTIF('2月'!DY5:DZ5,R$41)+COUNTIF('2月'!ED5:EE5,R$41)+COUNTIF('2月'!EI5:EJ5,R$41)+COUNTIF('2月'!EN5:EO5,R$41)+COUNTIF('2月'!ES5:ET5,R$41)</f>
        <v>0</v>
      </c>
      <c r="S44" s="76">
        <f t="shared" ref="S44:S73" si="20">IF(R44=0,S43,S43+R44)</f>
        <v>0</v>
      </c>
      <c r="T44" s="76">
        <f>COUNTIF('2月'!D5:E5,T$41)+COUNTIF('2月'!I5:J5,T$41)+COUNTIF('2月'!N5:O5,T$41)+COUNTIF('2月'!S5:T5,T$41)+COUNTIF('2月'!X5:Y5,T$41)+COUNTIF('2月'!AC5:AD5,T$41)+COUNTIF('2月'!AH5:AI5,T$41)+COUNTIF('2月'!AM5:AN5,T$41)+COUNTIF('2月'!AR5:AS5,T$41)+COUNTIF('2月'!AW5:AX5,T$41)+COUNTIF('2月'!BB5:BC5,T$41)+COUNTIF('2月'!BG5:BH5,T$41)+COUNTIF('2月'!BL5:BM5,T$41)+COUNTIF('2月'!BQ5:BR5,T$41)+COUNTIF('2月'!BV5:BW5,T$41)+COUNTIF('2月'!CA5:CB5,T$41)+COUNTIF('2月'!CF5:CG5,T$41)+COUNTIF('2月'!CK5:CL5,T$41)+COUNTIF('2月'!CP5:CQ5,T$41)+COUNTIF('2月'!CU5:CV5,T$41)+COUNTIF('2月'!CZ5:DA5,T$41)+COUNTIF('2月'!DE5:DF5,T$41)+COUNTIF('2月'!DJ5:DK5,T$41)+COUNTIF('2月'!DO5:DP5,T$41)+COUNTIF('2月'!DT5:DU5,T$41)+COUNTIF('2月'!DY5:DZ5,T$41)+COUNTIF('2月'!ED5:EE5,T$41)+COUNTIF('2月'!EI5:EJ5,T$41)+COUNTIF('2月'!EN5:EO5,T$41)+COUNTIF('2月'!ES5:ET5,T$41)</f>
        <v>0</v>
      </c>
      <c r="U44" s="76">
        <f t="shared" ref="U44:U73" si="21">IF(T44=0,U43,U43+T44)</f>
        <v>0</v>
      </c>
      <c r="V44" s="76">
        <f>COUNTIF('2月'!D5:E5,V$41)+COUNTIF('2月'!I5:J5,V$41)+COUNTIF('2月'!N5:O5,V$41)+COUNTIF('2月'!S5:T5,V$41)+COUNTIF('2月'!X5:Y5,V$41)+COUNTIF('2月'!AC5:AD5,V$41)+COUNTIF('2月'!AH5:AI5,V$41)+COUNTIF('2月'!AM5:AN5,V$41)+COUNTIF('2月'!AR5:AS5,V$41)+COUNTIF('2月'!AW5:AX5,V$41)+COUNTIF('2月'!BB5:BC5,V$41)+COUNTIF('2月'!BG5:BH5,V$41)+COUNTIF('2月'!BL5:BM5,V$41)+COUNTIF('2月'!BQ5:BR5,V$41)+COUNTIF('2月'!BV5:BW5,V$41)+COUNTIF('2月'!CA5:CB5,V$41)+COUNTIF('2月'!CF5:CG5,V$41)+COUNTIF('2月'!CK5:CL5,V$41)+COUNTIF('2月'!CP5:CQ5,V$41)+COUNTIF('2月'!CU5:CV5,V$41)+COUNTIF('2月'!CZ5:DA5,V$41)+COUNTIF('2月'!DE5:DF5,V$41)+COUNTIF('2月'!DJ5:DK5,V$41)+COUNTIF('2月'!DO5:DP5,V$41)+COUNTIF('2月'!DT5:DU5,V$41)+COUNTIF('2月'!DY5:DZ5,V$41)+COUNTIF('2月'!ED5:EE5,V$41)+COUNTIF('2月'!EI5:EJ5,V$41)+COUNTIF('2月'!EN5:EO5,V$41)+COUNTIF('2月'!ES5:ET5,V$41)</f>
        <v>0</v>
      </c>
      <c r="W44" s="76">
        <f t="shared" ref="W44:W73" si="22">IF(V44=0,W43,W43+V44)</f>
        <v>0</v>
      </c>
      <c r="X44" s="76">
        <f>COUNTIF('2月'!D5:E5,X$41)+COUNTIF('2月'!I5:J5,X$41)+COUNTIF('2月'!N5:O5,X$41)+COUNTIF('2月'!S5:T5,X$41)+COUNTIF('2月'!X5:Y5,X$41)+COUNTIF('2月'!AC5:AD5,X$41)+COUNTIF('2月'!AH5:AI5,X$41)+COUNTIF('2月'!AM5:AN5,X$41)+COUNTIF('2月'!AR5:AS5,X$41)+COUNTIF('2月'!AW5:AX5,X$41)+COUNTIF('2月'!BB5:BC5,X$41)+COUNTIF('2月'!BG5:BH5,X$41)+COUNTIF('2月'!BL5:BM5,X$41)+COUNTIF('2月'!BQ5:BR5,X$41)+COUNTIF('2月'!BV5:BW5,X$41)+COUNTIF('2月'!CA5:CB5,X$41)+COUNTIF('2月'!CF5:CG5,X$41)+COUNTIF('2月'!CK5:CL5,X$41)+COUNTIF('2月'!CP5:CQ5,X$41)+COUNTIF('2月'!CU5:CV5,X$41)+COUNTIF('2月'!CZ5:DA5,X$41)+COUNTIF('2月'!DE5:DF5,X$41)+COUNTIF('2月'!DJ5:DK5,X$41)+COUNTIF('2月'!DO5:DP5,X$41)+COUNTIF('2月'!DT5:DU5,X$41)+COUNTIF('2月'!DY5:DZ5,X$41)+COUNTIF('2月'!ED5:EE5,X$41)+COUNTIF('2月'!EI5:EJ5,X$41)+COUNTIF('2月'!EN5:EO5,X$41)+COUNTIF('2月'!ES5:ET5,X$41)</f>
        <v>0</v>
      </c>
      <c r="Y44" s="76">
        <f t="shared" ref="Y44:Y73" si="23">IF(X44=0,Y43,Y43+X44)</f>
        <v>0</v>
      </c>
    </row>
    <row r="45" spans="1:25" ht="18" customHeight="1">
      <c r="A45" s="76">
        <v>3</v>
      </c>
      <c r="B45" s="76">
        <f>COUNTIF('2月'!D6:E6,B$41)+COUNTIF('2月'!I6:J6,B$41)+COUNTIF('2月'!N6:O6,B$41)+COUNTIF('2月'!S6:T6,B$41)+COUNTIF('2月'!X6:Y6,B$41)+COUNTIF('2月'!AC6:AD6,B$41)+COUNTIF('2月'!AH6:AI6,B$41)+COUNTIF('2月'!AM6:AN6,B$41)+COUNTIF('2月'!AR6:AS6,B$41)+COUNTIF('2月'!AW6:AX6,B$41)+COUNTIF('2月'!BB6:BC6,B$41)+COUNTIF('2月'!BG6:BH6,B$41)+COUNTIF('2月'!BL6:BM6,B$41)+COUNTIF('2月'!BQ6:BR6,B$41)+COUNTIF('2月'!BV6:BW6,B$41)+COUNTIF('2月'!CA6:CB6,B$41)+COUNTIF('2月'!CF6:CG6,B$41)+COUNTIF('2月'!CK6:CL6,B$41)+COUNTIF('2月'!CP6:CQ6,B$41)+COUNTIF('2月'!CU6:CV6,B$41)+COUNTIF('2月'!CZ6:DA6,B$41)+COUNTIF('2月'!DE6:DF6,B$41)+COUNTIF('2月'!DJ6:DK6,B$41)+COUNTIF('2月'!DO6:DP6,B$41)+COUNTIF('2月'!DT6:DU6,B$41)+COUNTIF('2月'!DY6:DZ6,B$41)+COUNTIF('2月'!ED6:EE6,B$41)+COUNTIF('2月'!EI6:EJ6,B$41)+COUNTIF('2月'!EN6:EO6,B$41)+COUNTIF('2月'!ES6:ET6,B$41)</f>
        <v>0</v>
      </c>
      <c r="C45" s="76">
        <f t="shared" si="12"/>
        <v>0</v>
      </c>
      <c r="D45" s="76">
        <f>COUNTIF('2月'!D6:E6,D$41)+COUNTIF('2月'!I6:J6,D$41)+COUNTIF('2月'!N6:O6,D$41)+COUNTIF('2月'!S6:T6,D$41)+COUNTIF('2月'!X6:Y6,D$41)+COUNTIF('2月'!AC6:AD6,D$41)+COUNTIF('2月'!AH6:AI6,D$41)+COUNTIF('2月'!AM6:AN6,D$41)+COUNTIF('2月'!AR6:AS6,D$41)+COUNTIF('2月'!AW6:AX6,D$41)+COUNTIF('2月'!BB6:BC6,D$41)+COUNTIF('2月'!BG6:BH6,D$41)+COUNTIF('2月'!BL6:BM6,D$41)+COUNTIF('2月'!BQ6:BR6,D$41)+COUNTIF('2月'!BV6:BW6,D$41)+COUNTIF('2月'!CA6:CB6,D$41)+COUNTIF('2月'!CF6:CG6,D$41)+COUNTIF('2月'!CK6:CL6,D$41)+COUNTIF('2月'!CP6:CQ6,D$41)+COUNTIF('2月'!CU6:CV6,D$41)+COUNTIF('2月'!CZ6:DA6,D$41)+COUNTIF('2月'!DE6:DF6,D$41)+COUNTIF('2月'!DJ6:DK6,D$41)+COUNTIF('2月'!DO6:DP6,D$41)+COUNTIF('2月'!DT6:DU6,D$41)+COUNTIF('2月'!DY6:DZ6,D$41)+COUNTIF('2月'!ED6:EE6,D$41)+COUNTIF('2月'!EI6:EJ6,D$41)+COUNTIF('2月'!EN6:EO6,D$41)+COUNTIF('2月'!ES6:ET6,D$41)</f>
        <v>0</v>
      </c>
      <c r="E45" s="76">
        <f t="shared" si="13"/>
        <v>0</v>
      </c>
      <c r="F45" s="76">
        <f>COUNTIF('2月'!D6:E6,F$41)+COUNTIF('2月'!I6:J6,F$41)+COUNTIF('2月'!N6:O6,F$41)+COUNTIF('2月'!S6:T6,F$41)+COUNTIF('2月'!X6:Y6,F$41)+COUNTIF('2月'!AC6:AD6,F$41)+COUNTIF('2月'!AH6:AI6,F$41)+COUNTIF('2月'!AM6:AN6,F$41)+COUNTIF('2月'!AR6:AS6,F$41)+COUNTIF('2月'!AW6:AX6,F$41)+COUNTIF('2月'!BB6:BC6,F$41)+COUNTIF('2月'!BG6:BH6,F$41)+COUNTIF('2月'!BL6:BM6,F$41)+COUNTIF('2月'!BQ6:BR6,F$41)+COUNTIF('2月'!BV6:BW6,F$41)+COUNTIF('2月'!CA6:CB6,F$41)+COUNTIF('2月'!CF6:CG6,F$41)+COUNTIF('2月'!CK6:CL6,F$41)+COUNTIF('2月'!CP6:CQ6,F$41)+COUNTIF('2月'!CU6:CV6,F$41)+COUNTIF('2月'!CZ6:DA6,F$41)+COUNTIF('2月'!DE6:DF6,F$41)+COUNTIF('2月'!DJ6:DK6,F$41)+COUNTIF('2月'!DO6:DP6,F$41)+COUNTIF('2月'!DT6:DU6,F$41)+COUNTIF('2月'!DY6:DZ6,F$41)+COUNTIF('2月'!ED6:EE6,F$41)+COUNTIF('2月'!EI6:EJ6,F$41)+COUNTIF('2月'!EN6:EO6,F$41)+COUNTIF('2月'!ES6:ET6,F$41)</f>
        <v>0</v>
      </c>
      <c r="G45" s="76">
        <f t="shared" si="14"/>
        <v>0</v>
      </c>
      <c r="H45" s="76">
        <f>COUNTIF('2月'!D6:E6,H$41)+COUNTIF('2月'!I6:J6,H$41)+COUNTIF('2月'!N6:O6,H$41)+COUNTIF('2月'!S6:T6,H$41)+COUNTIF('2月'!X6:Y6,H$41)+COUNTIF('2月'!AC6:AD6,H$41)+COUNTIF('2月'!AH6:AI6,H$41)+COUNTIF('2月'!AM6:AN6,H$41)+COUNTIF('2月'!AR6:AS6,H$41)+COUNTIF('2月'!AW6:AX6,H$41)+COUNTIF('2月'!BB6:BC6,H$41)+COUNTIF('2月'!BG6:BH6,H$41)+COUNTIF('2月'!BL6:BM6,H$41)+COUNTIF('2月'!BQ6:BR6,H$41)+COUNTIF('2月'!BV6:BW6,H$41)+COUNTIF('2月'!CA6:CB6,H$41)+COUNTIF('2月'!CF6:CG6,H$41)+COUNTIF('2月'!CK6:CL6,H$41)+COUNTIF('2月'!CP6:CQ6,H$41)+COUNTIF('2月'!CU6:CV6,H$41)+COUNTIF('2月'!CZ6:DA6,H$41)+COUNTIF('2月'!DE6:DF6,H$41)+COUNTIF('2月'!DJ6:DK6,H$41)+COUNTIF('2月'!DO6:DP6,H$41)+COUNTIF('2月'!DT6:DU6,H$41)+COUNTIF('2月'!DY6:DZ6,H$41)+COUNTIF('2月'!ED6:EE6,H$41)+COUNTIF('2月'!EI6:EJ6,H$41)+COUNTIF('2月'!EN6:EO6,H$41)+COUNTIF('2月'!ES6:ET6,H$41)+COUNTIF('2月'!D6:E6,"渋谷-夜勤")+COUNTIF('2月'!I6:J6,"渋谷-夜勤")+COUNTIF('2月'!N6:O6,"渋谷-夜勤")+COUNTIF('2月'!S6:T6,"渋谷-夜勤")+COUNTIF('2月'!X6:Y6,"渋谷-夜勤")+COUNTIF('2月'!AC6:AD6,"渋谷-夜勤")+COUNTIF('2月'!AH6:AI6,"渋谷-夜勤")+COUNTIF('2月'!AM6:AN6,"渋谷-夜勤")+COUNTIF('2月'!AR6:AS6,"渋谷-夜勤")+COUNTIF('2月'!AW6:AX6,"渋谷-夜勤")+COUNTIF('2月'!BB6:BC6,"渋谷-夜勤")+COUNTIF('2月'!BG6:BH6,"渋谷-夜勤")+COUNTIF('2月'!BL6:BM6,"渋谷-夜勤")+COUNTIF('2月'!BQ6:BR6,"渋谷-夜勤")+COUNTIF('2月'!BV6:BW6,"渋谷-夜勤")+COUNTIF('2月'!CA6:CB6,"渋谷-夜勤")+COUNTIF('2月'!CF6:CG6,"渋谷-夜勤")+COUNTIF('2月'!CK6:CL6,"渋谷-夜勤")+COUNTIF('2月'!CP6:CQ6,"渋谷-夜勤")+COUNTIF('2月'!CU6:CV6,"渋谷-夜勤")+COUNTIF('2月'!CZ6:DA6,"渋谷-夜勤")+COUNTIF('2月'!DE6:DF6,"渋谷-夜勤")+COUNTIF('2月'!DJ6:DK6,"渋谷-夜勤")+COUNTIF('2月'!DO6:DP6,"渋谷-夜勤")+COUNTIF('2月'!DT6:DU6,"渋谷-夜勤")+COUNTIF('2月'!DY6:DZ6,"渋谷-夜勤")+COUNTIF('2月'!ED6:EE6,"渋谷-夜勤")+COUNTIF('2月'!EI6:EJ6,"渋谷-夜勤")+COUNTIF('2月'!EN6:EO6,"渋谷-夜勤")+COUNTIF('2月'!ES6:ET6,"渋谷-夜勤")</f>
        <v>0</v>
      </c>
      <c r="I45" s="76">
        <f t="shared" si="15"/>
        <v>0</v>
      </c>
      <c r="J45" s="76">
        <f>COUNTIF('2月'!D6:E6,J$41)+COUNTIF('2月'!I6:J6,J$41)+COUNTIF('2月'!N6:O6,J$41)+COUNTIF('2月'!S6:T6,J$41)+COUNTIF('2月'!X6:Y6,J$41)+COUNTIF('2月'!AC6:AD6,J$41)+COUNTIF('2月'!AH6:AI6,J$41)+COUNTIF('2月'!AM6:AN6,J$41)+COUNTIF('2月'!AR6:AS6,J$41)+COUNTIF('2月'!AW6:AX6,J$41)+COUNTIF('2月'!BB6:BC6,J$41)+COUNTIF('2月'!BG6:BH6,J$41)+COUNTIF('2月'!BL6:BM6,J$41)+COUNTIF('2月'!BQ6:BR6,J$41)+COUNTIF('2月'!BV6:BW6,J$41)+COUNTIF('2月'!CA6:CB6,J$41)+COUNTIF('2月'!CF6:CG6,J$41)+COUNTIF('2月'!CK6:CL6,J$41)+COUNTIF('2月'!CP6:CQ6,J$41)+COUNTIF('2月'!CU6:CV6,J$41)+COUNTIF('2月'!CZ6:DA6,J$41)+COUNTIF('2月'!DE6:DF6,J$41)+COUNTIF('2月'!DJ6:DK6,J$41)+COUNTIF('2月'!DO6:DP6,J$41)+COUNTIF('2月'!DT6:DU6,J$41)+COUNTIF('2月'!DY6:DZ6,J$41)+COUNTIF('2月'!ED6:EE6,J$41)+COUNTIF('2月'!EI6:EJ6,J$41)+COUNTIF('2月'!EN6:EO6,J$41)+COUNTIF('2月'!ES6:ET6,J$41)+COUNTIF('2月'!D6:E6,"六本木-夜勤")+COUNTIF('2月'!I6:J6,"六本木-夜勤")+COUNTIF('2月'!N6:O6,"六本木-夜勤")+COUNTIF('2月'!S6:T6,"六本木-夜勤")+COUNTIF('2月'!X6:Y6,"六本木-夜勤")+COUNTIF('2月'!AC6:AD6,"六本木-夜勤")+COUNTIF('2月'!AH6:AI6,"六本木-夜勤")+COUNTIF('2月'!AM6:AN6,"六本木-夜勤")+COUNTIF('2月'!AR6:AS6,"六本木-夜勤")+COUNTIF('2月'!AW6:AX6,"六本木-夜勤")+COUNTIF('2月'!BB6:BC6,"六本木-夜勤")+COUNTIF('2月'!BG6:BH6,"六本木-夜勤")+COUNTIF('2月'!BL6:BM6,"六本木-夜勤")+COUNTIF('2月'!BQ6:BR6,"六本木-夜勤")+COUNTIF('2月'!BV6:BW6,"六本木-夜勤")+COUNTIF('2月'!CA6:CB6,"六本木-夜勤")+COUNTIF('2月'!CF6:CG6,"六本木-夜勤")+COUNTIF('2月'!CK6:CL6,"六本木-夜勤")+COUNTIF('2月'!CP6:CQ6,"六本木-夜勤")+COUNTIF('2月'!CU6:CV6,"六本木-夜勤")+COUNTIF('2月'!CZ6:DA6,"六本木-夜勤")+COUNTIF('2月'!DE6:DF6,"六本木-夜勤")+COUNTIF('2月'!DJ6:DK6,"六本木-夜勤")+COUNTIF('2月'!DO6:DP6,"六本木-夜勤")+COUNTIF('2月'!DT6:DU6,"六本木-夜勤")+COUNTIF('2月'!DY6:DZ6,"六本木-夜勤")+COUNTIF('2月'!ED6:EE6,"六本木-夜勤")+COUNTIF('2月'!EI6:EJ6,"六本木-夜勤")+COUNTIF('2月'!EN6:EO6,"六本木-夜勤")+COUNTIF('2月'!ES6:ET6,"六本木-夜勤")+COUNTIF('2月'!D6:E6,"六本木ー夜勤")+COUNTIF('2月'!I6:J6,"六本木ー夜勤")+COUNTIF('2月'!N6:O6,"六本木ー夜勤")+COUNTIF('2月'!S6:T6,"六本木ー夜勤")+COUNTIF('2月'!X6:Y6,"六本木ー夜勤")+COUNTIF('2月'!AC6:AD6,"六本木ー夜勤")+COUNTIF('2月'!AH6:AI6,"六本木ー夜勤")+COUNTIF('2月'!AM6:AN6,"六本木ー夜勤")+COUNTIF('2月'!AR6:AS6,"六本木ー夜勤")+COUNTIF('2月'!AW6:AX6,"六本木ー夜勤")+COUNTIF('2月'!BB6:BC6,"六本木ー夜勤")+COUNTIF('2月'!BG6:BH6,"六本木ー夜勤")+COUNTIF('2月'!BL6:BM6,"六本木ー夜勤")+COUNTIF('2月'!BQ6:BR6,"六本木ー夜勤")+COUNTIF('2月'!BV6:BW6,"六本木ー夜勤")+COUNTIF('2月'!CA6:CB6,"六本木ー夜勤")+COUNTIF('2月'!CF6:CG6,"六本木ー夜勤")+COUNTIF('2月'!CK6:CL6,"六本木ー夜勤")+COUNTIF('2月'!CP6:CQ6,"六本木ー夜勤")+COUNTIF('2月'!CU6:CV6,"六本木ー夜勤")+COUNTIF('2月'!CZ6:DA6,"六本木ー夜勤")+COUNTIF('2月'!DE6:DF6,"六本木ー夜勤")+COUNTIF('2月'!DJ6:DK6,"六本木ー夜勤")+COUNTIF('2月'!DO6:DP6,"六本木ー夜勤")+COUNTIF('2月'!DT6:DU6,"六本木ー夜勤")+COUNTIF('2月'!DY6:DZ6,"六本木ー夜勤")+COUNTIF('2月'!ED6:EE6,"六本木ー夜勤")+COUNTIF('2月'!EI6:EJ6,"六本木ー夜勤")+COUNTIF('2月'!EN6:EO6,"六本木ー夜勤")+COUNTIF('2月'!ES6:ET6,"六本木ー夜勤")</f>
        <v>0</v>
      </c>
      <c r="K45" s="76">
        <f t="shared" si="16"/>
        <v>0</v>
      </c>
      <c r="L45" s="76">
        <f>COUNTIF('2月'!D6:E6,L$41)+COUNTIF('2月'!I6:J6,L$41)+COUNTIF('2月'!N6:O6,L$41)+COUNTIF('2月'!S6:T6,L$41)+COUNTIF('2月'!X6:Y6,L$41)+COUNTIF('2月'!AC6:AD6,L$41)+COUNTIF('2月'!AH6:AI6,L$41)+COUNTIF('2月'!AM6:AN6,L$41)+COUNTIF('2月'!AR6:AS6,L$41)+COUNTIF('2月'!AW6:AX6,L$41)+COUNTIF('2月'!BB6:BC6,L$41)+COUNTIF('2月'!BG6:BH6,L$41)+COUNTIF('2月'!BL6:BM6,L$41)+COUNTIF('2月'!BQ6:BR6,L$41)+COUNTIF('2月'!BV6:BW6,L$41)+COUNTIF('2月'!CA6:CB6,L$41)+COUNTIF('2月'!CF6:CG6,L$41)+COUNTIF('2月'!CK6:CL6,L$41)+COUNTIF('2月'!CP6:CQ6,L$41)+COUNTIF('2月'!CU6:CV6,L$41)+COUNTIF('2月'!CZ6:DA6,L$41)+COUNTIF('2月'!DE6:DF6,L$41)+COUNTIF('2月'!DJ6:DK6,L$41)+COUNTIF('2月'!DO6:DP6,L$41)+COUNTIF('2月'!DT6:DU6,L$41)+COUNTIF('2月'!DY6:DZ6,L$41)+COUNTIF('2月'!ED6:EE6,L$41)+COUNTIF('2月'!EI6:EJ6,L$41)+COUNTIF('2月'!EN6:EO6,L$41)+COUNTIF('2月'!ES6:ET6,L$41)</f>
        <v>0</v>
      </c>
      <c r="M45" s="76">
        <f t="shared" si="17"/>
        <v>0</v>
      </c>
      <c r="N45" s="76">
        <f>COUNTIF('2月'!D6:E6,N$41)+COUNTIF('2月'!I6:J6,N$41)+COUNTIF('2月'!N6:O6,N$41)+COUNTIF('2月'!S6:T6,N$41)+COUNTIF('2月'!X6:Y6,N$41)+COUNTIF('2月'!AC6:AD6,N$41)+COUNTIF('2月'!AH6:AI6,N$41)+COUNTIF('2月'!AM6:AN6,N$41)+COUNTIF('2月'!AR6:AS6,N$41)+COUNTIF('2月'!AW6:AX6,N$41)+COUNTIF('2月'!BB6:BC6,N$41)+COUNTIF('2月'!BG6:BH6,N$41)+COUNTIF('2月'!BL6:BM6,N$41)+COUNTIF('2月'!BQ6:BR6,N$41)+COUNTIF('2月'!BV6:BW6,N$41)+COUNTIF('2月'!CA6:CB6,N$41)+COUNTIF('2月'!CF6:CG6,N$41)+COUNTIF('2月'!CK6:CL6,N$41)+COUNTIF('2月'!CP6:CQ6,N$41)+COUNTIF('2月'!CU6:CV6,N$41)+COUNTIF('2月'!CZ6:DA6,N$41)+COUNTIF('2月'!DE6:DF6,N$41)+COUNTIF('2月'!DJ6:DK6,N$41)+COUNTIF('2月'!DO6:DP6,N$41)+COUNTIF('2月'!DT6:DU6,N$41)+COUNTIF('2月'!DY6:DZ6,N$41)+COUNTIF('2月'!ED6:EE6,N$41)+COUNTIF('2月'!EI6:EJ6,N$41)+COUNTIF('2月'!EN6:EO6,N$41)+COUNTIF('2月'!ES6:ET6,N$41)+COUNTIF('2月'!D6:E6,"三軒茶屋－夜勤")+COUNTIF('2月'!I6:J6,"三軒茶屋－夜勤")+COUNTIF('2月'!N6:O6,"三軒茶屋－夜勤")+COUNTIF('2月'!S6:T6,"三軒茶屋－夜勤")+COUNTIF('2月'!X6:Y6,"三軒茶屋－夜勤")+COUNTIF('2月'!AC6:AD6,"三軒茶屋－夜勤")+COUNTIF('2月'!AH6:AI6,"三軒茶屋－夜勤")+COUNTIF('2月'!AM6:AN6,"三軒茶屋－夜勤")+COUNTIF('2月'!AR6:AS6,"三軒茶屋－夜勤")+COUNTIF('2月'!AW6:AX6,"三軒茶屋－夜勤")+COUNTIF('2月'!BB6:BC6,"三軒茶屋－夜勤")+COUNTIF('2月'!BG6:BH6,"三軒茶屋－夜勤")+COUNTIF('2月'!BL6:BM6,"三軒茶屋－夜勤")+COUNTIF('2月'!BQ6:BR6,"三軒茶屋－夜勤")+COUNTIF('2月'!BV6:BW6,"三軒茶屋－夜勤")+COUNTIF('2月'!CA6:CB6,"三軒茶屋－夜勤")+COUNTIF('2月'!CF6:CG6,"三軒茶屋－夜勤")+COUNTIF('2月'!CK6:CL6,"三軒茶屋－夜勤")+COUNTIF('2月'!CP6:CQ6,"三軒茶屋－夜勤")+COUNTIF('2月'!CU6:CV6,"三軒茶屋－夜勤")+COUNTIF('2月'!CZ6:DA6,"三軒茶屋－夜勤")+COUNTIF('2月'!DE6:DF6,"三軒茶屋－夜勤")+COUNTIF('2月'!DJ6:DK6,"三軒茶屋－夜勤")+COUNTIF('2月'!DO6:DP6,"三軒茶屋－夜勤")+COUNTIF('2月'!DT6:DU6,"三軒茶屋－夜勤")+COUNTIF('2月'!DY6:DZ6,"三軒茶屋－夜勤")+COUNTIF('2月'!ED6:EE6,"三軒茶屋－夜勤")+COUNTIF('2月'!EI6:EJ6,"三軒茶屋－夜勤")+COUNTIF('2月'!EN6:EO6,"三軒茶屋－夜勤")+COUNTIF('2月'!ES6:ET6,"三軒茶屋－夜勤")</f>
        <v>0</v>
      </c>
      <c r="O45" s="76">
        <f t="shared" si="18"/>
        <v>0</v>
      </c>
      <c r="P45" s="76">
        <f>COUNTIF('2月'!D6:E6,P$41)+COUNTIF('2月'!I6:J6,P$41)+COUNTIF('2月'!N6:O6,P$41)+COUNTIF('2月'!S6:T6,P$41)+COUNTIF('2月'!X6:Y6,P$41)+COUNTIF('2月'!AC6:AD6,P$41)+COUNTIF('2月'!AH6:AI6,P$41)+COUNTIF('2月'!AM6:AN6,P$41)+COUNTIF('2月'!AR6:AS6,P$41)+COUNTIF('2月'!AW6:AX6,P$41)+COUNTIF('2月'!BB6:BC6,P$41)+COUNTIF('2月'!BG6:BH6,P$41)+COUNTIF('2月'!BL6:BM6,P$41)+COUNTIF('2月'!BQ6:BR6,P$41)+COUNTIF('2月'!BV6:BW6,P$41)+COUNTIF('2月'!CA6:CB6,P$41)+COUNTIF('2月'!CF6:CG6,P$41)+COUNTIF('2月'!CK6:CL6,P$41)+COUNTIF('2月'!CP6:CQ6,P$41)+COUNTIF('2月'!CU6:CV6,P$41)+COUNTIF('2月'!CZ6:DA6,P$41)+COUNTIF('2月'!DE6:DF6,P$41)+COUNTIF('2月'!DJ6:DK6,P$41)+COUNTIF('2月'!DO6:DP6,P$41)+COUNTIF('2月'!DT6:DU6,P$41)+COUNTIF('2月'!DY6:DZ6,P$41)+COUNTIF('2月'!ED6:EE6,P$41)+COUNTIF('2月'!EI6:EJ6,P$41)+COUNTIF('2月'!EN6:EO6,P$41)+COUNTIF('2月'!ES6:ET6,P$41)+COUNTIF('2月'!D6:E6,"荻窪ー夜勤")+COUNTIF('2月'!I6:J6,"荻窪ー夜勤")+COUNTIF('2月'!N6:O6,"荻窪ー夜勤")+COUNTIF('2月'!S6:T6,"荻窪ー夜勤")+COUNTIF('2月'!X6:Y6,"荻窪ー夜勤")+COUNTIF('2月'!AC6:AD6,"荻窪ー夜勤")+COUNTIF('2月'!AH6:AI6,"荻窪ー夜勤")+COUNTIF('2月'!AM6:AN6,"荻窪ー夜勤")+COUNTIF('2月'!AR6:AS6,"荻窪ー夜勤")+COUNTIF('2月'!AW6:AX6,"荻窪ー夜勤")+COUNTIF('2月'!BB6:BC6,"荻窪ー夜勤")+COUNTIF('2月'!BG6:BH6,"荻窪ー夜勤")+COUNTIF('2月'!BL6:BM6,"荻窪ー夜勤")+COUNTIF('2月'!BQ6:BR6,"荻窪ー夜勤")+COUNTIF('2月'!BV6:BW6,"荻窪ー夜勤")+COUNTIF('2月'!CA6:CB6,"荻窪ー夜勤")+COUNTIF('2月'!CF6:CG6,"荻窪ー夜勤")+COUNTIF('2月'!CK6:CL6,"荻窪ー夜勤")+COUNTIF('2月'!CP6:CQ6,"荻窪ー夜勤")+COUNTIF('2月'!CU6:CV6,"荻窪ー夜勤")+COUNTIF('2月'!CZ6:DA6,"荻窪ー夜勤")+COUNTIF('2月'!DE6:DF6,"荻窪ー夜勤")+COUNTIF('2月'!DJ6:DK6,"荻窪ー夜勤")+COUNTIF('2月'!DO6:DP6,"荻窪ー夜勤")+COUNTIF('2月'!DT6:DU6,"荻窪ー夜勤")+COUNTIF('2月'!DY6:DZ6,"荻窪ー夜勤")+COUNTIF('2月'!ED6:EE6,"荻窪ー夜勤")+COUNTIF('2月'!EI6:EJ6,"荻窪ー夜勤")+COUNTIF('2月'!EN6:EO6,"荻窪ー夜勤")+COUNTIF('2月'!ES6:ET6,"荻窪ー夜勤")</f>
        <v>0</v>
      </c>
      <c r="Q45" s="76">
        <f t="shared" si="19"/>
        <v>0</v>
      </c>
      <c r="R45" s="76">
        <f>COUNTIF('2月'!D6:E6,R$41)+COUNTIF('2月'!I6:J6,R$41)+COUNTIF('2月'!N6:O6,R$41)+COUNTIF('2月'!S6:T6,R$41)+COUNTIF('2月'!X6:Y6,R$41)+COUNTIF('2月'!AC6:AD6,R$41)+COUNTIF('2月'!AH6:AI6,R$41)+COUNTIF('2月'!AM6:AN6,R$41)+COUNTIF('2月'!AR6:AS6,R$41)+COUNTIF('2月'!AW6:AX6,R$41)+COUNTIF('2月'!BB6:BC6,R$41)+COUNTIF('2月'!BG6:BH6,R$41)+COUNTIF('2月'!BL6:BM6,R$41)+COUNTIF('2月'!BQ6:BR6,R$41)+COUNTIF('2月'!BV6:BW6,R$41)+COUNTIF('2月'!CA6:CB6,R$41)+COUNTIF('2月'!CF6:CG6,R$41)+COUNTIF('2月'!CK6:CL6,R$41)+COUNTIF('2月'!CP6:CQ6,R$41)+COUNTIF('2月'!CU6:CV6,R$41)+COUNTIF('2月'!CZ6:DA6,R$41)+COUNTIF('2月'!DE6:DF6,R$41)+COUNTIF('2月'!DJ6:DK6,R$41)+COUNTIF('2月'!DO6:DP6,R$41)+COUNTIF('2月'!DT6:DU6,R$41)+COUNTIF('2月'!DY6:DZ6,R$41)+COUNTIF('2月'!ED6:EE6,R$41)+COUNTIF('2月'!EI6:EJ6,R$41)+COUNTIF('2月'!EN6:EO6,R$41)+COUNTIF('2月'!ES6:ET6,R$41)</f>
        <v>0</v>
      </c>
      <c r="S45" s="76">
        <f t="shared" si="20"/>
        <v>0</v>
      </c>
      <c r="T45" s="76">
        <f>COUNTIF('2月'!D6:E6,T$41)+COUNTIF('2月'!I6:J6,T$41)+COUNTIF('2月'!N6:O6,T$41)+COUNTIF('2月'!S6:T6,T$41)+COUNTIF('2月'!X6:Y6,T$41)+COUNTIF('2月'!AC6:AD6,T$41)+COUNTIF('2月'!AH6:AI6,T$41)+COUNTIF('2月'!AM6:AN6,T$41)+COUNTIF('2月'!AR6:AS6,T$41)+COUNTIF('2月'!AW6:AX6,T$41)+COUNTIF('2月'!BB6:BC6,T$41)+COUNTIF('2月'!BG6:BH6,T$41)+COUNTIF('2月'!BL6:BM6,T$41)+COUNTIF('2月'!BQ6:BR6,T$41)+COUNTIF('2月'!BV6:BW6,T$41)+COUNTIF('2月'!CA6:CB6,T$41)+COUNTIF('2月'!CF6:CG6,T$41)+COUNTIF('2月'!CK6:CL6,T$41)+COUNTIF('2月'!CP6:CQ6,T$41)+COUNTIF('2月'!CU6:CV6,T$41)+COUNTIF('2月'!CZ6:DA6,T$41)+COUNTIF('2月'!DE6:DF6,T$41)+COUNTIF('2月'!DJ6:DK6,T$41)+COUNTIF('2月'!DO6:DP6,T$41)+COUNTIF('2月'!DT6:DU6,T$41)+COUNTIF('2月'!DY6:DZ6,T$41)+COUNTIF('2月'!ED6:EE6,T$41)+COUNTIF('2月'!EI6:EJ6,T$41)+COUNTIF('2月'!EN6:EO6,T$41)+COUNTIF('2月'!ES6:ET6,T$41)</f>
        <v>0</v>
      </c>
      <c r="U45" s="76">
        <f t="shared" si="21"/>
        <v>0</v>
      </c>
      <c r="V45" s="76">
        <f>COUNTIF('2月'!D6:E6,V$41)+COUNTIF('2月'!I6:J6,V$41)+COUNTIF('2月'!N6:O6,V$41)+COUNTIF('2月'!S6:T6,V$41)+COUNTIF('2月'!X6:Y6,V$41)+COUNTIF('2月'!AC6:AD6,V$41)+COUNTIF('2月'!AH6:AI6,V$41)+COUNTIF('2月'!AM6:AN6,V$41)+COUNTIF('2月'!AR6:AS6,V$41)+COUNTIF('2月'!AW6:AX6,V$41)+COUNTIF('2月'!BB6:BC6,V$41)+COUNTIF('2月'!BG6:BH6,V$41)+COUNTIF('2月'!BL6:BM6,V$41)+COUNTIF('2月'!BQ6:BR6,V$41)+COUNTIF('2月'!BV6:BW6,V$41)+COUNTIF('2月'!CA6:CB6,V$41)+COUNTIF('2月'!CF6:CG6,V$41)+COUNTIF('2月'!CK6:CL6,V$41)+COUNTIF('2月'!CP6:CQ6,V$41)+COUNTIF('2月'!CU6:CV6,V$41)+COUNTIF('2月'!CZ6:DA6,V$41)+COUNTIF('2月'!DE6:DF6,V$41)+COUNTIF('2月'!DJ6:DK6,V$41)+COUNTIF('2月'!DO6:DP6,V$41)+COUNTIF('2月'!DT6:DU6,V$41)+COUNTIF('2月'!DY6:DZ6,V$41)+COUNTIF('2月'!ED6:EE6,V$41)+COUNTIF('2月'!EI6:EJ6,V$41)+COUNTIF('2月'!EN6:EO6,V$41)+COUNTIF('2月'!ES6:ET6,V$41)</f>
        <v>0</v>
      </c>
      <c r="W45" s="76">
        <f t="shared" si="22"/>
        <v>0</v>
      </c>
      <c r="X45" s="76">
        <f>COUNTIF('2月'!D6:E6,X$41)+COUNTIF('2月'!I6:J6,X$41)+COUNTIF('2月'!N6:O6,X$41)+COUNTIF('2月'!S6:T6,X$41)+COUNTIF('2月'!X6:Y6,X$41)+COUNTIF('2月'!AC6:AD6,X$41)+COUNTIF('2月'!AH6:AI6,X$41)+COUNTIF('2月'!AM6:AN6,X$41)+COUNTIF('2月'!AR6:AS6,X$41)+COUNTIF('2月'!AW6:AX6,X$41)+COUNTIF('2月'!BB6:BC6,X$41)+COUNTIF('2月'!BG6:BH6,X$41)+COUNTIF('2月'!BL6:BM6,X$41)+COUNTIF('2月'!BQ6:BR6,X$41)+COUNTIF('2月'!BV6:BW6,X$41)+COUNTIF('2月'!CA6:CB6,X$41)+COUNTIF('2月'!CF6:CG6,X$41)+COUNTIF('2月'!CK6:CL6,X$41)+COUNTIF('2月'!CP6:CQ6,X$41)+COUNTIF('2月'!CU6:CV6,X$41)+COUNTIF('2月'!CZ6:DA6,X$41)+COUNTIF('2月'!DE6:DF6,X$41)+COUNTIF('2月'!DJ6:DK6,X$41)+COUNTIF('2月'!DO6:DP6,X$41)+COUNTIF('2月'!DT6:DU6,X$41)+COUNTIF('2月'!DY6:DZ6,X$41)+COUNTIF('2月'!ED6:EE6,X$41)+COUNTIF('2月'!EI6:EJ6,X$41)+COUNTIF('2月'!EN6:EO6,X$41)+COUNTIF('2月'!ES6:ET6,X$41)</f>
        <v>0</v>
      </c>
      <c r="Y45" s="76">
        <f t="shared" si="23"/>
        <v>0</v>
      </c>
    </row>
    <row r="46" spans="1:25" ht="18" customHeight="1">
      <c r="A46" s="76">
        <v>4</v>
      </c>
      <c r="B46" s="76">
        <f>COUNTIF('2月'!D7:E7,B$41)+COUNTIF('2月'!I7:J7,B$41)+COUNTIF('2月'!N7:O7,B$41)+COUNTIF('2月'!S7:T7,B$41)+COUNTIF('2月'!X7:Y7,B$41)+COUNTIF('2月'!AC7:AD7,B$41)+COUNTIF('2月'!AH7:AI7,B$41)+COUNTIF('2月'!AM7:AN7,B$41)+COUNTIF('2月'!AR7:AS7,B$41)+COUNTIF('2月'!AW7:AX7,B$41)+COUNTIF('2月'!BB7:BC7,B$41)+COUNTIF('2月'!BG7:BH7,B$41)+COUNTIF('2月'!BL7:BM7,B$41)+COUNTIF('2月'!BQ7:BR7,B$41)+COUNTIF('2月'!BV7:BW7,B$41)+COUNTIF('2月'!CA7:CB7,B$41)+COUNTIF('2月'!CF7:CG7,B$41)+COUNTIF('2月'!CK7:CL7,B$41)+COUNTIF('2月'!CP7:CQ7,B$41)+COUNTIF('2月'!CU7:CV7,B$41)+COUNTIF('2月'!CZ7:DA7,B$41)+COUNTIF('2月'!DE7:DF7,B$41)+COUNTIF('2月'!DJ7:DK7,B$41)+COUNTIF('2月'!DO7:DP7,B$41)+COUNTIF('2月'!DT7:DU7,B$41)+COUNTIF('2月'!DY7:DZ7,B$41)+COUNTIF('2月'!ED7:EE7,B$41)+COUNTIF('2月'!EI7:EJ7,B$41)+COUNTIF('2月'!EN7:EO7,B$41)+COUNTIF('2月'!ES7:ET7,B$41)</f>
        <v>0</v>
      </c>
      <c r="C46" s="76">
        <f t="shared" si="12"/>
        <v>0</v>
      </c>
      <c r="D46" s="76">
        <f>COUNTIF('2月'!D7:E7,D$41)+COUNTIF('2月'!I7:J7,D$41)+COUNTIF('2月'!N7:O7,D$41)+COUNTIF('2月'!S7:T7,D$41)+COUNTIF('2月'!X7:Y7,D$41)+COUNTIF('2月'!AC7:AD7,D$41)+COUNTIF('2月'!AH7:AI7,D$41)+COUNTIF('2月'!AM7:AN7,D$41)+COUNTIF('2月'!AR7:AS7,D$41)+COUNTIF('2月'!AW7:AX7,D$41)+COUNTIF('2月'!BB7:BC7,D$41)+COUNTIF('2月'!BG7:BH7,D$41)+COUNTIF('2月'!BL7:BM7,D$41)+COUNTIF('2月'!BQ7:BR7,D$41)+COUNTIF('2月'!BV7:BW7,D$41)+COUNTIF('2月'!CA7:CB7,D$41)+COUNTIF('2月'!CF7:CG7,D$41)+COUNTIF('2月'!CK7:CL7,D$41)+COUNTIF('2月'!CP7:CQ7,D$41)+COUNTIF('2月'!CU7:CV7,D$41)+COUNTIF('2月'!CZ7:DA7,D$41)+COUNTIF('2月'!DE7:DF7,D$41)+COUNTIF('2月'!DJ7:DK7,D$41)+COUNTIF('2月'!DO7:DP7,D$41)+COUNTIF('2月'!DT7:DU7,D$41)+COUNTIF('2月'!DY7:DZ7,D$41)+COUNTIF('2月'!ED7:EE7,D$41)+COUNTIF('2月'!EI7:EJ7,D$41)+COUNTIF('2月'!EN7:EO7,D$41)+COUNTIF('2月'!ES7:ET7,D$41)</f>
        <v>0</v>
      </c>
      <c r="E46" s="76">
        <f t="shared" si="13"/>
        <v>0</v>
      </c>
      <c r="F46" s="76">
        <f>COUNTIF('2月'!D7:E7,F$41)+COUNTIF('2月'!I7:J7,F$41)+COUNTIF('2月'!N7:O7,F$41)+COUNTIF('2月'!S7:T7,F$41)+COUNTIF('2月'!X7:Y7,F$41)+COUNTIF('2月'!AC7:AD7,F$41)+COUNTIF('2月'!AH7:AI7,F$41)+COUNTIF('2月'!AM7:AN7,F$41)+COUNTIF('2月'!AR7:AS7,F$41)+COUNTIF('2月'!AW7:AX7,F$41)+COUNTIF('2月'!BB7:BC7,F$41)+COUNTIF('2月'!BG7:BH7,F$41)+COUNTIF('2月'!BL7:BM7,F$41)+COUNTIF('2月'!BQ7:BR7,F$41)+COUNTIF('2月'!BV7:BW7,F$41)+COUNTIF('2月'!CA7:CB7,F$41)+COUNTIF('2月'!CF7:CG7,F$41)+COUNTIF('2月'!CK7:CL7,F$41)+COUNTIF('2月'!CP7:CQ7,F$41)+COUNTIF('2月'!CU7:CV7,F$41)+COUNTIF('2月'!CZ7:DA7,F$41)+COUNTIF('2月'!DE7:DF7,F$41)+COUNTIF('2月'!DJ7:DK7,F$41)+COUNTIF('2月'!DO7:DP7,F$41)+COUNTIF('2月'!DT7:DU7,F$41)+COUNTIF('2月'!DY7:DZ7,F$41)+COUNTIF('2月'!ED7:EE7,F$41)+COUNTIF('2月'!EI7:EJ7,F$41)+COUNTIF('2月'!EN7:EO7,F$41)+COUNTIF('2月'!ES7:ET7,F$41)</f>
        <v>0</v>
      </c>
      <c r="G46" s="76">
        <f t="shared" si="14"/>
        <v>0</v>
      </c>
      <c r="H46" s="76">
        <f>COUNTIF('2月'!D7:E7,H$41)+COUNTIF('2月'!I7:J7,H$41)+COUNTIF('2月'!N7:O7,H$41)+COUNTIF('2月'!S7:T7,H$41)+COUNTIF('2月'!X7:Y7,H$41)+COUNTIF('2月'!AC7:AD7,H$41)+COUNTIF('2月'!AH7:AI7,H$41)+COUNTIF('2月'!AM7:AN7,H$41)+COUNTIF('2月'!AR7:AS7,H$41)+COUNTIF('2月'!AW7:AX7,H$41)+COUNTIF('2月'!BB7:BC7,H$41)+COUNTIF('2月'!BG7:BH7,H$41)+COUNTIF('2月'!BL7:BM7,H$41)+COUNTIF('2月'!BQ7:BR7,H$41)+COUNTIF('2月'!BV7:BW7,H$41)+COUNTIF('2月'!CA7:CB7,H$41)+COUNTIF('2月'!CF7:CG7,H$41)+COUNTIF('2月'!CK7:CL7,H$41)+COUNTIF('2月'!CP7:CQ7,H$41)+COUNTIF('2月'!CU7:CV7,H$41)+COUNTIF('2月'!CZ7:DA7,H$41)+COUNTIF('2月'!DE7:DF7,H$41)+COUNTIF('2月'!DJ7:DK7,H$41)+COUNTIF('2月'!DO7:DP7,H$41)+COUNTIF('2月'!DT7:DU7,H$41)+COUNTIF('2月'!DY7:DZ7,H$41)+COUNTIF('2月'!ED7:EE7,H$41)+COUNTIF('2月'!EI7:EJ7,H$41)+COUNTIF('2月'!EN7:EO7,H$41)+COUNTIF('2月'!ES7:ET7,H$41)+COUNTIF('2月'!D7:E7,"渋谷-夜勤")+COUNTIF('2月'!I7:J7,"渋谷-夜勤")+COUNTIF('2月'!N7:O7,"渋谷-夜勤")+COUNTIF('2月'!S7:T7,"渋谷-夜勤")+COUNTIF('2月'!X7:Y7,"渋谷-夜勤")+COUNTIF('2月'!AC7:AD7,"渋谷-夜勤")+COUNTIF('2月'!AH7:AI7,"渋谷-夜勤")+COUNTIF('2月'!AM7:AN7,"渋谷-夜勤")+COUNTIF('2月'!AR7:AS7,"渋谷-夜勤")+COUNTIF('2月'!AW7:AX7,"渋谷-夜勤")+COUNTIF('2月'!BB7:BC7,"渋谷-夜勤")+COUNTIF('2月'!BG7:BH7,"渋谷-夜勤")+COUNTIF('2月'!BL7:BM7,"渋谷-夜勤")+COUNTIF('2月'!BQ7:BR7,"渋谷-夜勤")+COUNTIF('2月'!BV7:BW7,"渋谷-夜勤")+COUNTIF('2月'!CA7:CB7,"渋谷-夜勤")+COUNTIF('2月'!CF7:CG7,"渋谷-夜勤")+COUNTIF('2月'!CK7:CL7,"渋谷-夜勤")+COUNTIF('2月'!CP7:CQ7,"渋谷-夜勤")+COUNTIF('2月'!CU7:CV7,"渋谷-夜勤")+COUNTIF('2月'!CZ7:DA7,"渋谷-夜勤")+COUNTIF('2月'!DE7:DF7,"渋谷-夜勤")+COUNTIF('2月'!DJ7:DK7,"渋谷-夜勤")+COUNTIF('2月'!DO7:DP7,"渋谷-夜勤")+COUNTIF('2月'!DT7:DU7,"渋谷-夜勤")+COUNTIF('2月'!DY7:DZ7,"渋谷-夜勤")+COUNTIF('2月'!ED7:EE7,"渋谷-夜勤")+COUNTIF('2月'!EI7:EJ7,"渋谷-夜勤")+COUNTIF('2月'!EN7:EO7,"渋谷-夜勤")+COUNTIF('2月'!ES7:ET7,"渋谷-夜勤")</f>
        <v>0</v>
      </c>
      <c r="I46" s="76">
        <f t="shared" si="15"/>
        <v>0</v>
      </c>
      <c r="J46" s="76">
        <f>COUNTIF('2月'!D7:E7,J$41)+COUNTIF('2月'!I7:J7,J$41)+COUNTIF('2月'!N7:O7,J$41)+COUNTIF('2月'!S7:T7,J$41)+COUNTIF('2月'!X7:Y7,J$41)+COUNTIF('2月'!AC7:AD7,J$41)+COUNTIF('2月'!AH7:AI7,J$41)+COUNTIF('2月'!AM7:AN7,J$41)+COUNTIF('2月'!AR7:AS7,J$41)+COUNTIF('2月'!AW7:AX7,J$41)+COUNTIF('2月'!BB7:BC7,J$41)+COUNTIF('2月'!BG7:BH7,J$41)+COUNTIF('2月'!BL7:BM7,J$41)+COUNTIF('2月'!BQ7:BR7,J$41)+COUNTIF('2月'!BV7:BW7,J$41)+COUNTIF('2月'!CA7:CB7,J$41)+COUNTIF('2月'!CF7:CG7,J$41)+COUNTIF('2月'!CK7:CL7,J$41)+COUNTIF('2月'!CP7:CQ7,J$41)+COUNTIF('2月'!CU7:CV7,J$41)+COUNTIF('2月'!CZ7:DA7,J$41)+COUNTIF('2月'!DE7:DF7,J$41)+COUNTIF('2月'!DJ7:DK7,J$41)+COUNTIF('2月'!DO7:DP7,J$41)+COUNTIF('2月'!DT7:DU7,J$41)+COUNTIF('2月'!DY7:DZ7,J$41)+COUNTIF('2月'!ED7:EE7,J$41)+COUNTIF('2月'!EI7:EJ7,J$41)+COUNTIF('2月'!EN7:EO7,J$41)+COUNTIF('2月'!ES7:ET7,J$41)+COUNTIF('2月'!D7:E7,"六本木-夜勤")+COUNTIF('2月'!I7:J7,"六本木-夜勤")+COUNTIF('2月'!N7:O7,"六本木-夜勤")+COUNTIF('2月'!S7:T7,"六本木-夜勤")+COUNTIF('2月'!X7:Y7,"六本木-夜勤")+COUNTIF('2月'!AC7:AD7,"六本木-夜勤")+COUNTIF('2月'!AH7:AI7,"六本木-夜勤")+COUNTIF('2月'!AM7:AN7,"六本木-夜勤")+COUNTIF('2月'!AR7:AS7,"六本木-夜勤")+COUNTIF('2月'!AW7:AX7,"六本木-夜勤")+COUNTIF('2月'!BB7:BC7,"六本木-夜勤")+COUNTIF('2月'!BG7:BH7,"六本木-夜勤")+COUNTIF('2月'!BL7:BM7,"六本木-夜勤")+COUNTIF('2月'!BQ7:BR7,"六本木-夜勤")+COUNTIF('2月'!BV7:BW7,"六本木-夜勤")+COUNTIF('2月'!CA7:CB7,"六本木-夜勤")+COUNTIF('2月'!CF7:CG7,"六本木-夜勤")+COUNTIF('2月'!CK7:CL7,"六本木-夜勤")+COUNTIF('2月'!CP7:CQ7,"六本木-夜勤")+COUNTIF('2月'!CU7:CV7,"六本木-夜勤")+COUNTIF('2月'!CZ7:DA7,"六本木-夜勤")+COUNTIF('2月'!DE7:DF7,"六本木-夜勤")+COUNTIF('2月'!DJ7:DK7,"六本木-夜勤")+COUNTIF('2月'!DO7:DP7,"六本木-夜勤")+COUNTIF('2月'!DT7:DU7,"六本木-夜勤")+COUNTIF('2月'!DY7:DZ7,"六本木-夜勤")+COUNTIF('2月'!ED7:EE7,"六本木-夜勤")+COUNTIF('2月'!EI7:EJ7,"六本木-夜勤")+COUNTIF('2月'!EN7:EO7,"六本木-夜勤")+COUNTIF('2月'!ES7:ET7,"六本木-夜勤")+COUNTIF('2月'!D7:E7,"六本木ー夜勤")+COUNTIF('2月'!I7:J7,"六本木ー夜勤")+COUNTIF('2月'!N7:O7,"六本木ー夜勤")+COUNTIF('2月'!S7:T7,"六本木ー夜勤")+COUNTIF('2月'!X7:Y7,"六本木ー夜勤")+COUNTIF('2月'!AC7:AD7,"六本木ー夜勤")+COUNTIF('2月'!AH7:AI7,"六本木ー夜勤")+COUNTIF('2月'!AM7:AN7,"六本木ー夜勤")+COUNTIF('2月'!AR7:AS7,"六本木ー夜勤")+COUNTIF('2月'!AW7:AX7,"六本木ー夜勤")+COUNTIF('2月'!BB7:BC7,"六本木ー夜勤")+COUNTIF('2月'!BG7:BH7,"六本木ー夜勤")+COUNTIF('2月'!BL7:BM7,"六本木ー夜勤")+COUNTIF('2月'!BQ7:BR7,"六本木ー夜勤")+COUNTIF('2月'!BV7:BW7,"六本木ー夜勤")+COUNTIF('2月'!CA7:CB7,"六本木ー夜勤")+COUNTIF('2月'!CF7:CG7,"六本木ー夜勤")+COUNTIF('2月'!CK7:CL7,"六本木ー夜勤")+COUNTIF('2月'!CP7:CQ7,"六本木ー夜勤")+COUNTIF('2月'!CU7:CV7,"六本木ー夜勤")+COUNTIF('2月'!CZ7:DA7,"六本木ー夜勤")+COUNTIF('2月'!DE7:DF7,"六本木ー夜勤")+COUNTIF('2月'!DJ7:DK7,"六本木ー夜勤")+COUNTIF('2月'!DO7:DP7,"六本木ー夜勤")+COUNTIF('2月'!DT7:DU7,"六本木ー夜勤")+COUNTIF('2月'!DY7:DZ7,"六本木ー夜勤")+COUNTIF('2月'!ED7:EE7,"六本木ー夜勤")+COUNTIF('2月'!EI7:EJ7,"六本木ー夜勤")+COUNTIF('2月'!EN7:EO7,"六本木ー夜勤")+COUNTIF('2月'!ES7:ET7,"六本木ー夜勤")</f>
        <v>0</v>
      </c>
      <c r="K46" s="76">
        <f t="shared" si="16"/>
        <v>0</v>
      </c>
      <c r="L46" s="76">
        <f>COUNTIF('2月'!D7:E7,L$41)+COUNTIF('2月'!I7:J7,L$41)+COUNTIF('2月'!N7:O7,L$41)+COUNTIF('2月'!S7:T7,L$41)+COUNTIF('2月'!X7:Y7,L$41)+COUNTIF('2月'!AC7:AD7,L$41)+COUNTIF('2月'!AH7:AI7,L$41)+COUNTIF('2月'!AM7:AN7,L$41)+COUNTIF('2月'!AR7:AS7,L$41)+COUNTIF('2月'!AW7:AX7,L$41)+COUNTIF('2月'!BB7:BC7,L$41)+COUNTIF('2月'!BG7:BH7,L$41)+COUNTIF('2月'!BL7:BM7,L$41)+COUNTIF('2月'!BQ7:BR7,L$41)+COUNTIF('2月'!BV7:BW7,L$41)+COUNTIF('2月'!CA7:CB7,L$41)+COUNTIF('2月'!CF7:CG7,L$41)+COUNTIF('2月'!CK7:CL7,L$41)+COUNTIF('2月'!CP7:CQ7,L$41)+COUNTIF('2月'!CU7:CV7,L$41)+COUNTIF('2月'!CZ7:DA7,L$41)+COUNTIF('2月'!DE7:DF7,L$41)+COUNTIF('2月'!DJ7:DK7,L$41)+COUNTIF('2月'!DO7:DP7,L$41)+COUNTIF('2月'!DT7:DU7,L$41)+COUNTIF('2月'!DY7:DZ7,L$41)+COUNTIF('2月'!ED7:EE7,L$41)+COUNTIF('2月'!EI7:EJ7,L$41)+COUNTIF('2月'!EN7:EO7,L$41)+COUNTIF('2月'!ES7:ET7,L$41)</f>
        <v>0</v>
      </c>
      <c r="M46" s="76">
        <f t="shared" si="17"/>
        <v>0</v>
      </c>
      <c r="N46" s="76">
        <f>COUNTIF('2月'!D7:E7,N$41)+COUNTIF('2月'!I7:J7,N$41)+COUNTIF('2月'!N7:O7,N$41)+COUNTIF('2月'!S7:T7,N$41)+COUNTIF('2月'!X7:Y7,N$41)+COUNTIF('2月'!AC7:AD7,N$41)+COUNTIF('2月'!AH7:AI7,N$41)+COUNTIF('2月'!AM7:AN7,N$41)+COUNTIF('2月'!AR7:AS7,N$41)+COUNTIF('2月'!AW7:AX7,N$41)+COUNTIF('2月'!BB7:BC7,N$41)+COUNTIF('2月'!BG7:BH7,N$41)+COUNTIF('2月'!BL7:BM7,N$41)+COUNTIF('2月'!BQ7:BR7,N$41)+COUNTIF('2月'!BV7:BW7,N$41)+COUNTIF('2月'!CA7:CB7,N$41)+COUNTIF('2月'!CF7:CG7,N$41)+COUNTIF('2月'!CK7:CL7,N$41)+COUNTIF('2月'!CP7:CQ7,N$41)+COUNTIF('2月'!CU7:CV7,N$41)+COUNTIF('2月'!CZ7:DA7,N$41)+COUNTIF('2月'!DE7:DF7,N$41)+COUNTIF('2月'!DJ7:DK7,N$41)+COUNTIF('2月'!DO7:DP7,N$41)+COUNTIF('2月'!DT7:DU7,N$41)+COUNTIF('2月'!DY7:DZ7,N$41)+COUNTIF('2月'!ED7:EE7,N$41)+COUNTIF('2月'!EI7:EJ7,N$41)+COUNTIF('2月'!EN7:EO7,N$41)+COUNTIF('2月'!ES7:ET7,N$41)+COUNTIF('2月'!D7:E7,"三軒茶屋－夜勤")+COUNTIF('2月'!I7:J7,"三軒茶屋－夜勤")+COUNTIF('2月'!N7:O7,"三軒茶屋－夜勤")+COUNTIF('2月'!S7:T7,"三軒茶屋－夜勤")+COUNTIF('2月'!X7:Y7,"三軒茶屋－夜勤")+COUNTIF('2月'!AC7:AD7,"三軒茶屋－夜勤")+COUNTIF('2月'!AH7:AI7,"三軒茶屋－夜勤")+COUNTIF('2月'!AM7:AN7,"三軒茶屋－夜勤")+COUNTIF('2月'!AR7:AS7,"三軒茶屋－夜勤")+COUNTIF('2月'!AW7:AX7,"三軒茶屋－夜勤")+COUNTIF('2月'!BB7:BC7,"三軒茶屋－夜勤")+COUNTIF('2月'!BG7:BH7,"三軒茶屋－夜勤")+COUNTIF('2月'!BL7:BM7,"三軒茶屋－夜勤")+COUNTIF('2月'!BQ7:BR7,"三軒茶屋－夜勤")+COUNTIF('2月'!BV7:BW7,"三軒茶屋－夜勤")+COUNTIF('2月'!CA7:CB7,"三軒茶屋－夜勤")+COUNTIF('2月'!CF7:CG7,"三軒茶屋－夜勤")+COUNTIF('2月'!CK7:CL7,"三軒茶屋－夜勤")+COUNTIF('2月'!CP7:CQ7,"三軒茶屋－夜勤")+COUNTIF('2月'!CU7:CV7,"三軒茶屋－夜勤")+COUNTIF('2月'!CZ7:DA7,"三軒茶屋－夜勤")+COUNTIF('2月'!DE7:DF7,"三軒茶屋－夜勤")+COUNTIF('2月'!DJ7:DK7,"三軒茶屋－夜勤")+COUNTIF('2月'!DO7:DP7,"三軒茶屋－夜勤")+COUNTIF('2月'!DT7:DU7,"三軒茶屋－夜勤")+COUNTIF('2月'!DY7:DZ7,"三軒茶屋－夜勤")+COUNTIF('2月'!ED7:EE7,"三軒茶屋－夜勤")+COUNTIF('2月'!EI7:EJ7,"三軒茶屋－夜勤")+COUNTIF('2月'!EN7:EO7,"三軒茶屋－夜勤")+COUNTIF('2月'!ES7:ET7,"三軒茶屋－夜勤")</f>
        <v>0</v>
      </c>
      <c r="O46" s="76">
        <f t="shared" si="18"/>
        <v>0</v>
      </c>
      <c r="P46" s="76">
        <f>COUNTIF('2月'!D7:E7,P$41)+COUNTIF('2月'!I7:J7,P$41)+COUNTIF('2月'!N7:O7,P$41)+COUNTIF('2月'!S7:T7,P$41)+COUNTIF('2月'!X7:Y7,P$41)+COUNTIF('2月'!AC7:AD7,P$41)+COUNTIF('2月'!AH7:AI7,P$41)+COUNTIF('2月'!AM7:AN7,P$41)+COUNTIF('2月'!AR7:AS7,P$41)+COUNTIF('2月'!AW7:AX7,P$41)+COUNTIF('2月'!BB7:BC7,P$41)+COUNTIF('2月'!BG7:BH7,P$41)+COUNTIF('2月'!BL7:BM7,P$41)+COUNTIF('2月'!BQ7:BR7,P$41)+COUNTIF('2月'!BV7:BW7,P$41)+COUNTIF('2月'!CA7:CB7,P$41)+COUNTIF('2月'!CF7:CG7,P$41)+COUNTIF('2月'!CK7:CL7,P$41)+COUNTIF('2月'!CP7:CQ7,P$41)+COUNTIF('2月'!CU7:CV7,P$41)+COUNTIF('2月'!CZ7:DA7,P$41)+COUNTIF('2月'!DE7:DF7,P$41)+COUNTIF('2月'!DJ7:DK7,P$41)+COUNTIF('2月'!DO7:DP7,P$41)+COUNTIF('2月'!DT7:DU7,P$41)+COUNTIF('2月'!DY7:DZ7,P$41)+COUNTIF('2月'!ED7:EE7,P$41)+COUNTIF('2月'!EI7:EJ7,P$41)+COUNTIF('2月'!EN7:EO7,P$41)+COUNTIF('2月'!ES7:ET7,P$41)+COUNTIF('2月'!D7:E7,"荻窪ー夜勤")+COUNTIF('2月'!I7:J7,"荻窪ー夜勤")+COUNTIF('2月'!N7:O7,"荻窪ー夜勤")+COUNTIF('2月'!S7:T7,"荻窪ー夜勤")+COUNTIF('2月'!X7:Y7,"荻窪ー夜勤")+COUNTIF('2月'!AC7:AD7,"荻窪ー夜勤")+COUNTIF('2月'!AH7:AI7,"荻窪ー夜勤")+COUNTIF('2月'!AM7:AN7,"荻窪ー夜勤")+COUNTIF('2月'!AR7:AS7,"荻窪ー夜勤")+COUNTIF('2月'!AW7:AX7,"荻窪ー夜勤")+COUNTIF('2月'!BB7:BC7,"荻窪ー夜勤")+COUNTIF('2月'!BG7:BH7,"荻窪ー夜勤")+COUNTIF('2月'!BL7:BM7,"荻窪ー夜勤")+COUNTIF('2月'!BQ7:BR7,"荻窪ー夜勤")+COUNTIF('2月'!BV7:BW7,"荻窪ー夜勤")+COUNTIF('2月'!CA7:CB7,"荻窪ー夜勤")+COUNTIF('2月'!CF7:CG7,"荻窪ー夜勤")+COUNTIF('2月'!CK7:CL7,"荻窪ー夜勤")+COUNTIF('2月'!CP7:CQ7,"荻窪ー夜勤")+COUNTIF('2月'!CU7:CV7,"荻窪ー夜勤")+COUNTIF('2月'!CZ7:DA7,"荻窪ー夜勤")+COUNTIF('2月'!DE7:DF7,"荻窪ー夜勤")+COUNTIF('2月'!DJ7:DK7,"荻窪ー夜勤")+COUNTIF('2月'!DO7:DP7,"荻窪ー夜勤")+COUNTIF('2月'!DT7:DU7,"荻窪ー夜勤")+COUNTIF('2月'!DY7:DZ7,"荻窪ー夜勤")+COUNTIF('2月'!ED7:EE7,"荻窪ー夜勤")+COUNTIF('2月'!EI7:EJ7,"荻窪ー夜勤")+COUNTIF('2月'!EN7:EO7,"荻窪ー夜勤")+COUNTIF('2月'!ES7:ET7,"荻窪ー夜勤")</f>
        <v>0</v>
      </c>
      <c r="Q46" s="76">
        <f t="shared" si="19"/>
        <v>0</v>
      </c>
      <c r="R46" s="76">
        <f>COUNTIF('2月'!D7:E7,R$41)+COUNTIF('2月'!I7:J7,R$41)+COUNTIF('2月'!N7:O7,R$41)+COUNTIF('2月'!S7:T7,R$41)+COUNTIF('2月'!X7:Y7,R$41)+COUNTIF('2月'!AC7:AD7,R$41)+COUNTIF('2月'!AH7:AI7,R$41)+COUNTIF('2月'!AM7:AN7,R$41)+COUNTIF('2月'!AR7:AS7,R$41)+COUNTIF('2月'!AW7:AX7,R$41)+COUNTIF('2月'!BB7:BC7,R$41)+COUNTIF('2月'!BG7:BH7,R$41)+COUNTIF('2月'!BL7:BM7,R$41)+COUNTIF('2月'!BQ7:BR7,R$41)+COUNTIF('2月'!BV7:BW7,R$41)+COUNTIF('2月'!CA7:CB7,R$41)+COUNTIF('2月'!CF7:CG7,R$41)+COUNTIF('2月'!CK7:CL7,R$41)+COUNTIF('2月'!CP7:CQ7,R$41)+COUNTIF('2月'!CU7:CV7,R$41)+COUNTIF('2月'!CZ7:DA7,R$41)+COUNTIF('2月'!DE7:DF7,R$41)+COUNTIF('2月'!DJ7:DK7,R$41)+COUNTIF('2月'!DO7:DP7,R$41)+COUNTIF('2月'!DT7:DU7,R$41)+COUNTIF('2月'!DY7:DZ7,R$41)+COUNTIF('2月'!ED7:EE7,R$41)+COUNTIF('2月'!EI7:EJ7,R$41)+COUNTIF('2月'!EN7:EO7,R$41)+COUNTIF('2月'!ES7:ET7,R$41)</f>
        <v>0</v>
      </c>
      <c r="S46" s="76">
        <f t="shared" si="20"/>
        <v>0</v>
      </c>
      <c r="T46" s="76">
        <f>COUNTIF('2月'!D7:E7,T$41)+COUNTIF('2月'!I7:J7,T$41)+COUNTIF('2月'!N7:O7,T$41)+COUNTIF('2月'!S7:T7,T$41)+COUNTIF('2月'!X7:Y7,T$41)+COUNTIF('2月'!AC7:AD7,T$41)+COUNTIF('2月'!AH7:AI7,T$41)+COUNTIF('2月'!AM7:AN7,T$41)+COUNTIF('2月'!AR7:AS7,T$41)+COUNTIF('2月'!AW7:AX7,T$41)+COUNTIF('2月'!BB7:BC7,T$41)+COUNTIF('2月'!BG7:BH7,T$41)+COUNTIF('2月'!BL7:BM7,T$41)+COUNTIF('2月'!BQ7:BR7,T$41)+COUNTIF('2月'!BV7:BW7,T$41)+COUNTIF('2月'!CA7:CB7,T$41)+COUNTIF('2月'!CF7:CG7,T$41)+COUNTIF('2月'!CK7:CL7,T$41)+COUNTIF('2月'!CP7:CQ7,T$41)+COUNTIF('2月'!CU7:CV7,T$41)+COUNTIF('2月'!CZ7:DA7,T$41)+COUNTIF('2月'!DE7:DF7,T$41)+COUNTIF('2月'!DJ7:DK7,T$41)+COUNTIF('2月'!DO7:DP7,T$41)+COUNTIF('2月'!DT7:DU7,T$41)+COUNTIF('2月'!DY7:DZ7,T$41)+COUNTIF('2月'!ED7:EE7,T$41)+COUNTIF('2月'!EI7:EJ7,T$41)+COUNTIF('2月'!EN7:EO7,T$41)+COUNTIF('2月'!ES7:ET7,T$41)</f>
        <v>0</v>
      </c>
      <c r="U46" s="76">
        <f t="shared" si="21"/>
        <v>0</v>
      </c>
      <c r="V46" s="76">
        <f>COUNTIF('2月'!D7:E7,V$41)+COUNTIF('2月'!I7:J7,V$41)+COUNTIF('2月'!N7:O7,V$41)+COUNTIF('2月'!S7:T7,V$41)+COUNTIF('2月'!X7:Y7,V$41)+COUNTIF('2月'!AC7:AD7,V$41)+COUNTIF('2月'!AH7:AI7,V$41)+COUNTIF('2月'!AM7:AN7,V$41)+COUNTIF('2月'!AR7:AS7,V$41)+COUNTIF('2月'!AW7:AX7,V$41)+COUNTIF('2月'!BB7:BC7,V$41)+COUNTIF('2月'!BG7:BH7,V$41)+COUNTIF('2月'!BL7:BM7,V$41)+COUNTIF('2月'!BQ7:BR7,V$41)+COUNTIF('2月'!BV7:BW7,V$41)+COUNTIF('2月'!CA7:CB7,V$41)+COUNTIF('2月'!CF7:CG7,V$41)+COUNTIF('2月'!CK7:CL7,V$41)+COUNTIF('2月'!CP7:CQ7,V$41)+COUNTIF('2月'!CU7:CV7,V$41)+COUNTIF('2月'!CZ7:DA7,V$41)+COUNTIF('2月'!DE7:DF7,V$41)+COUNTIF('2月'!DJ7:DK7,V$41)+COUNTIF('2月'!DO7:DP7,V$41)+COUNTIF('2月'!DT7:DU7,V$41)+COUNTIF('2月'!DY7:DZ7,V$41)+COUNTIF('2月'!ED7:EE7,V$41)+COUNTIF('2月'!EI7:EJ7,V$41)+COUNTIF('2月'!EN7:EO7,V$41)+COUNTIF('2月'!ES7:ET7,V$41)</f>
        <v>0</v>
      </c>
      <c r="W46" s="76">
        <f t="shared" si="22"/>
        <v>0</v>
      </c>
      <c r="X46" s="76">
        <f>COUNTIF('2月'!D7:E7,X$41)+COUNTIF('2月'!I7:J7,X$41)+COUNTIF('2月'!N7:O7,X$41)+COUNTIF('2月'!S7:T7,X$41)+COUNTIF('2月'!X7:Y7,X$41)+COUNTIF('2月'!AC7:AD7,X$41)+COUNTIF('2月'!AH7:AI7,X$41)+COUNTIF('2月'!AM7:AN7,X$41)+COUNTIF('2月'!AR7:AS7,X$41)+COUNTIF('2月'!AW7:AX7,X$41)+COUNTIF('2月'!BB7:BC7,X$41)+COUNTIF('2月'!BG7:BH7,X$41)+COUNTIF('2月'!BL7:BM7,X$41)+COUNTIF('2月'!BQ7:BR7,X$41)+COUNTIF('2月'!BV7:BW7,X$41)+COUNTIF('2月'!CA7:CB7,X$41)+COUNTIF('2月'!CF7:CG7,X$41)+COUNTIF('2月'!CK7:CL7,X$41)+COUNTIF('2月'!CP7:CQ7,X$41)+COUNTIF('2月'!CU7:CV7,X$41)+COUNTIF('2月'!CZ7:DA7,X$41)+COUNTIF('2月'!DE7:DF7,X$41)+COUNTIF('2月'!DJ7:DK7,X$41)+COUNTIF('2月'!DO7:DP7,X$41)+COUNTIF('2月'!DT7:DU7,X$41)+COUNTIF('2月'!DY7:DZ7,X$41)+COUNTIF('2月'!ED7:EE7,X$41)+COUNTIF('2月'!EI7:EJ7,X$41)+COUNTIF('2月'!EN7:EO7,X$41)+COUNTIF('2月'!ES7:ET7,X$41)</f>
        <v>0</v>
      </c>
      <c r="Y46" s="76">
        <f t="shared" si="23"/>
        <v>0</v>
      </c>
    </row>
    <row r="47" spans="1:25" ht="18" customHeight="1">
      <c r="A47" s="76">
        <v>5</v>
      </c>
      <c r="B47" s="76">
        <f>COUNTIF('2月'!D8:E8,B$41)+COUNTIF('2月'!I8:J8,B$41)+COUNTIF('2月'!N8:O8,B$41)+COUNTIF('2月'!S8:T8,B$41)+COUNTIF('2月'!X8:Y8,B$41)+COUNTIF('2月'!AC8:AD8,B$41)+COUNTIF('2月'!AH8:AI8,B$41)+COUNTIF('2月'!AM8:AN8,B$41)+COUNTIF('2月'!AR8:AS8,B$41)+COUNTIF('2月'!AW8:AX8,B$41)+COUNTIF('2月'!BB8:BC8,B$41)+COUNTIF('2月'!BG8:BH8,B$41)+COUNTIF('2月'!BL8:BM8,B$41)+COUNTIF('2月'!BQ8:BR8,B$41)+COUNTIF('2月'!BV8:BW8,B$41)+COUNTIF('2月'!CA8:CB8,B$41)+COUNTIF('2月'!CF8:CG8,B$41)+COUNTIF('2月'!CK8:CL8,B$41)+COUNTIF('2月'!CP8:CQ8,B$41)+COUNTIF('2月'!CU8:CV8,B$41)+COUNTIF('2月'!CZ8:DA8,B$41)+COUNTIF('2月'!DE8:DF8,B$41)+COUNTIF('2月'!DJ8:DK8,B$41)+COUNTIF('2月'!DO8:DP8,B$41)+COUNTIF('2月'!DT8:DU8,B$41)+COUNTIF('2月'!DY8:DZ8,B$41)+COUNTIF('2月'!ED8:EE8,B$41)+COUNTIF('2月'!EI8:EJ8,B$41)+COUNTIF('2月'!EN8:EO8,B$41)+COUNTIF('2月'!ES8:ET8,B$41)</f>
        <v>0</v>
      </c>
      <c r="C47" s="76">
        <f t="shared" si="12"/>
        <v>0</v>
      </c>
      <c r="D47" s="76">
        <f>COUNTIF('2月'!D8:E8,D$41)+COUNTIF('2月'!I8:J8,D$41)+COUNTIF('2月'!N8:O8,D$41)+COUNTIF('2月'!S8:T8,D$41)+COUNTIF('2月'!X8:Y8,D$41)+COUNTIF('2月'!AC8:AD8,D$41)+COUNTIF('2月'!AH8:AI8,D$41)+COUNTIF('2月'!AM8:AN8,D$41)+COUNTIF('2月'!AR8:AS8,D$41)+COUNTIF('2月'!AW8:AX8,D$41)+COUNTIF('2月'!BB8:BC8,D$41)+COUNTIF('2月'!BG8:BH8,D$41)+COUNTIF('2月'!BL8:BM8,D$41)+COUNTIF('2月'!BQ8:BR8,D$41)+COUNTIF('2月'!BV8:BW8,D$41)+COUNTIF('2月'!CA8:CB8,D$41)+COUNTIF('2月'!CF8:CG8,D$41)+COUNTIF('2月'!CK8:CL8,D$41)+COUNTIF('2月'!CP8:CQ8,D$41)+COUNTIF('2月'!CU8:CV8,D$41)+COUNTIF('2月'!CZ8:DA8,D$41)+COUNTIF('2月'!DE8:DF8,D$41)+COUNTIF('2月'!DJ8:DK8,D$41)+COUNTIF('2月'!DO8:DP8,D$41)+COUNTIF('2月'!DT8:DU8,D$41)+COUNTIF('2月'!DY8:DZ8,D$41)+COUNTIF('2月'!ED8:EE8,D$41)+COUNTIF('2月'!EI8:EJ8,D$41)+COUNTIF('2月'!EN8:EO8,D$41)+COUNTIF('2月'!ES8:ET8,D$41)</f>
        <v>0</v>
      </c>
      <c r="E47" s="76">
        <f t="shared" si="13"/>
        <v>0</v>
      </c>
      <c r="F47" s="76">
        <f>COUNTIF('2月'!D8:E8,F$41)+COUNTIF('2月'!I8:J8,F$41)+COUNTIF('2月'!N8:O8,F$41)+COUNTIF('2月'!S8:T8,F$41)+COUNTIF('2月'!X8:Y8,F$41)+COUNTIF('2月'!AC8:AD8,F$41)+COUNTIF('2月'!AH8:AI8,F$41)+COUNTIF('2月'!AM8:AN8,F$41)+COUNTIF('2月'!AR8:AS8,F$41)+COUNTIF('2月'!AW8:AX8,F$41)+COUNTIF('2月'!BB8:BC8,F$41)+COUNTIF('2月'!BG8:BH8,F$41)+COUNTIF('2月'!BL8:BM8,F$41)+COUNTIF('2月'!BQ8:BR8,F$41)+COUNTIF('2月'!BV8:BW8,F$41)+COUNTIF('2月'!CA8:CB8,F$41)+COUNTIF('2月'!CF8:CG8,F$41)+COUNTIF('2月'!CK8:CL8,F$41)+COUNTIF('2月'!CP8:CQ8,F$41)+COUNTIF('2月'!CU8:CV8,F$41)+COUNTIF('2月'!CZ8:DA8,F$41)+COUNTIF('2月'!DE8:DF8,F$41)+COUNTIF('2月'!DJ8:DK8,F$41)+COUNTIF('2月'!DO8:DP8,F$41)+COUNTIF('2月'!DT8:DU8,F$41)+COUNTIF('2月'!DY8:DZ8,F$41)+COUNTIF('2月'!ED8:EE8,F$41)+COUNTIF('2月'!EI8:EJ8,F$41)+COUNTIF('2月'!EN8:EO8,F$41)+COUNTIF('2月'!ES8:ET8,F$41)</f>
        <v>0</v>
      </c>
      <c r="G47" s="76">
        <f t="shared" si="14"/>
        <v>0</v>
      </c>
      <c r="H47" s="76">
        <f>COUNTIF('2月'!D8:E8,H$41)+COUNTIF('2月'!I8:J8,H$41)+COUNTIF('2月'!N8:O8,H$41)+COUNTIF('2月'!S8:T8,H$41)+COUNTIF('2月'!X8:Y8,H$41)+COUNTIF('2月'!AC8:AD8,H$41)+COUNTIF('2月'!AH8:AI8,H$41)+COUNTIF('2月'!AM8:AN8,H$41)+COUNTIF('2月'!AR8:AS8,H$41)+COUNTIF('2月'!AW8:AX8,H$41)+COUNTIF('2月'!BB8:BC8,H$41)+COUNTIF('2月'!BG8:BH8,H$41)+COUNTIF('2月'!BL8:BM8,H$41)+COUNTIF('2月'!BQ8:BR8,H$41)+COUNTIF('2月'!BV8:BW8,H$41)+COUNTIF('2月'!CA8:CB8,H$41)+COUNTIF('2月'!CF8:CG8,H$41)+COUNTIF('2月'!CK8:CL8,H$41)+COUNTIF('2月'!CP8:CQ8,H$41)+COUNTIF('2月'!CU8:CV8,H$41)+COUNTIF('2月'!CZ8:DA8,H$41)+COUNTIF('2月'!DE8:DF8,H$41)+COUNTIF('2月'!DJ8:DK8,H$41)+COUNTIF('2月'!DO8:DP8,H$41)+COUNTIF('2月'!DT8:DU8,H$41)+COUNTIF('2月'!DY8:DZ8,H$41)+COUNTIF('2月'!ED8:EE8,H$41)+COUNTIF('2月'!EI8:EJ8,H$41)+COUNTIF('2月'!EN8:EO8,H$41)+COUNTIF('2月'!ES8:ET8,H$41)+COUNTIF('2月'!D8:E8,"渋谷-夜勤")+COUNTIF('2月'!I8:J8,"渋谷-夜勤")+COUNTIF('2月'!N8:O8,"渋谷-夜勤")+COUNTIF('2月'!S8:T8,"渋谷-夜勤")+COUNTIF('2月'!X8:Y8,"渋谷-夜勤")+COUNTIF('2月'!AC8:AD8,"渋谷-夜勤")+COUNTIF('2月'!AH8:AI8,"渋谷-夜勤")+COUNTIF('2月'!AM8:AN8,"渋谷-夜勤")+COUNTIF('2月'!AR8:AS8,"渋谷-夜勤")+COUNTIF('2月'!AW8:AX8,"渋谷-夜勤")+COUNTIF('2月'!BB8:BC8,"渋谷-夜勤")+COUNTIF('2月'!BG8:BH8,"渋谷-夜勤")+COUNTIF('2月'!BL8:BM8,"渋谷-夜勤")+COUNTIF('2月'!BQ8:BR8,"渋谷-夜勤")+COUNTIF('2月'!BV8:BW8,"渋谷-夜勤")+COUNTIF('2月'!CA8:CB8,"渋谷-夜勤")+COUNTIF('2月'!CF8:CG8,"渋谷-夜勤")+COUNTIF('2月'!CK8:CL8,"渋谷-夜勤")+COUNTIF('2月'!CP8:CQ8,"渋谷-夜勤")+COUNTIF('2月'!CU8:CV8,"渋谷-夜勤")+COUNTIF('2月'!CZ8:DA8,"渋谷-夜勤")+COUNTIF('2月'!DE8:DF8,"渋谷-夜勤")+COUNTIF('2月'!DJ8:DK8,"渋谷-夜勤")+COUNTIF('2月'!DO8:DP8,"渋谷-夜勤")+COUNTIF('2月'!DT8:DU8,"渋谷-夜勤")+COUNTIF('2月'!DY8:DZ8,"渋谷-夜勤")+COUNTIF('2月'!ED8:EE8,"渋谷-夜勤")+COUNTIF('2月'!EI8:EJ8,"渋谷-夜勤")+COUNTIF('2月'!EN8:EO8,"渋谷-夜勤")+COUNTIF('2月'!ES8:ET8,"渋谷-夜勤")</f>
        <v>0</v>
      </c>
      <c r="I47" s="76">
        <f t="shared" si="15"/>
        <v>0</v>
      </c>
      <c r="J47" s="76">
        <f>COUNTIF('2月'!D8:E8,J$41)+COUNTIF('2月'!I8:J8,J$41)+COUNTIF('2月'!N8:O8,J$41)+COUNTIF('2月'!S8:T8,J$41)+COUNTIF('2月'!X8:Y8,J$41)+COUNTIF('2月'!AC8:AD8,J$41)+COUNTIF('2月'!AH8:AI8,J$41)+COUNTIF('2月'!AM8:AN8,J$41)+COUNTIF('2月'!AR8:AS8,J$41)+COUNTIF('2月'!AW8:AX8,J$41)+COUNTIF('2月'!BB8:BC8,J$41)+COUNTIF('2月'!BG8:BH8,J$41)+COUNTIF('2月'!BL8:BM8,J$41)+COUNTIF('2月'!BQ8:BR8,J$41)+COUNTIF('2月'!BV8:BW8,J$41)+COUNTIF('2月'!CA8:CB8,J$41)+COUNTIF('2月'!CF8:CG8,J$41)+COUNTIF('2月'!CK8:CL8,J$41)+COUNTIF('2月'!CP8:CQ8,J$41)+COUNTIF('2月'!CU8:CV8,J$41)+COUNTIF('2月'!CZ8:DA8,J$41)+COUNTIF('2月'!DE8:DF8,J$41)+COUNTIF('2月'!DJ8:DK8,J$41)+COUNTIF('2月'!DO8:DP8,J$41)+COUNTIF('2月'!DT8:DU8,J$41)+COUNTIF('2月'!DY8:DZ8,J$41)+COUNTIF('2月'!ED8:EE8,J$41)+COUNTIF('2月'!EI8:EJ8,J$41)+COUNTIF('2月'!EN8:EO8,J$41)+COUNTIF('2月'!ES8:ET8,J$41)+COUNTIF('2月'!D8:E8,"六本木-夜勤")+COUNTIF('2月'!I8:J8,"六本木-夜勤")+COUNTIF('2月'!N8:O8,"六本木-夜勤")+COUNTIF('2月'!S8:T8,"六本木-夜勤")+COUNTIF('2月'!X8:Y8,"六本木-夜勤")+COUNTIF('2月'!AC8:AD8,"六本木-夜勤")+COUNTIF('2月'!AH8:AI8,"六本木-夜勤")+COUNTIF('2月'!AM8:AN8,"六本木-夜勤")+COUNTIF('2月'!AR8:AS8,"六本木-夜勤")+COUNTIF('2月'!AW8:AX8,"六本木-夜勤")+COUNTIF('2月'!BB8:BC8,"六本木-夜勤")+COUNTIF('2月'!BG8:BH8,"六本木-夜勤")+COUNTIF('2月'!BL8:BM8,"六本木-夜勤")+COUNTIF('2月'!BQ8:BR8,"六本木-夜勤")+COUNTIF('2月'!BV8:BW8,"六本木-夜勤")+COUNTIF('2月'!CA8:CB8,"六本木-夜勤")+COUNTIF('2月'!CF8:CG8,"六本木-夜勤")+COUNTIF('2月'!CK8:CL8,"六本木-夜勤")+COUNTIF('2月'!CP8:CQ8,"六本木-夜勤")+COUNTIF('2月'!CU8:CV8,"六本木-夜勤")+COUNTIF('2月'!CZ8:DA8,"六本木-夜勤")+COUNTIF('2月'!DE8:DF8,"六本木-夜勤")+COUNTIF('2月'!DJ8:DK8,"六本木-夜勤")+COUNTIF('2月'!DO8:DP8,"六本木-夜勤")+COUNTIF('2月'!DT8:DU8,"六本木-夜勤")+COUNTIF('2月'!DY8:DZ8,"六本木-夜勤")+COUNTIF('2月'!ED8:EE8,"六本木-夜勤")+COUNTIF('2月'!EI8:EJ8,"六本木-夜勤")+COUNTIF('2月'!EN8:EO8,"六本木-夜勤")+COUNTIF('2月'!ES8:ET8,"六本木-夜勤")+COUNTIF('2月'!D8:E8,"六本木ー夜勤")+COUNTIF('2月'!I8:J8,"六本木ー夜勤")+COUNTIF('2月'!N8:O8,"六本木ー夜勤")+COUNTIF('2月'!S8:T8,"六本木ー夜勤")+COUNTIF('2月'!X8:Y8,"六本木ー夜勤")+COUNTIF('2月'!AC8:AD8,"六本木ー夜勤")+COUNTIF('2月'!AH8:AI8,"六本木ー夜勤")+COUNTIF('2月'!AM8:AN8,"六本木ー夜勤")+COUNTIF('2月'!AR8:AS8,"六本木ー夜勤")+COUNTIF('2月'!AW8:AX8,"六本木ー夜勤")+COUNTIF('2月'!BB8:BC8,"六本木ー夜勤")+COUNTIF('2月'!BG8:BH8,"六本木ー夜勤")+COUNTIF('2月'!BL8:BM8,"六本木ー夜勤")+COUNTIF('2月'!BQ8:BR8,"六本木ー夜勤")+COUNTIF('2月'!BV8:BW8,"六本木ー夜勤")+COUNTIF('2月'!CA8:CB8,"六本木ー夜勤")+COUNTIF('2月'!CF8:CG8,"六本木ー夜勤")+COUNTIF('2月'!CK8:CL8,"六本木ー夜勤")+COUNTIF('2月'!CP8:CQ8,"六本木ー夜勤")+COUNTIF('2月'!CU8:CV8,"六本木ー夜勤")+COUNTIF('2月'!CZ8:DA8,"六本木ー夜勤")+COUNTIF('2月'!DE8:DF8,"六本木ー夜勤")+COUNTIF('2月'!DJ8:DK8,"六本木ー夜勤")+COUNTIF('2月'!DO8:DP8,"六本木ー夜勤")+COUNTIF('2月'!DT8:DU8,"六本木ー夜勤")+COUNTIF('2月'!DY8:DZ8,"六本木ー夜勤")+COUNTIF('2月'!ED8:EE8,"六本木ー夜勤")+COUNTIF('2月'!EI8:EJ8,"六本木ー夜勤")+COUNTIF('2月'!EN8:EO8,"六本木ー夜勤")+COUNTIF('2月'!ES8:ET8,"六本木ー夜勤")</f>
        <v>0</v>
      </c>
      <c r="K47" s="76">
        <f t="shared" si="16"/>
        <v>0</v>
      </c>
      <c r="L47" s="76">
        <f>COUNTIF('2月'!D8:E8,L$41)+COUNTIF('2月'!I8:J8,L$41)+COUNTIF('2月'!N8:O8,L$41)+COUNTIF('2月'!S8:T8,L$41)+COUNTIF('2月'!X8:Y8,L$41)+COUNTIF('2月'!AC8:AD8,L$41)+COUNTIF('2月'!AH8:AI8,L$41)+COUNTIF('2月'!AM8:AN8,L$41)+COUNTIF('2月'!AR8:AS8,L$41)+COUNTIF('2月'!AW8:AX8,L$41)+COUNTIF('2月'!BB8:BC8,L$41)+COUNTIF('2月'!BG8:BH8,L$41)+COUNTIF('2月'!BL8:BM8,L$41)+COUNTIF('2月'!BQ8:BR8,L$41)+COUNTIF('2月'!BV8:BW8,L$41)+COUNTIF('2月'!CA8:CB8,L$41)+COUNTIF('2月'!CF8:CG8,L$41)+COUNTIF('2月'!CK8:CL8,L$41)+COUNTIF('2月'!CP8:CQ8,L$41)+COUNTIF('2月'!CU8:CV8,L$41)+COUNTIF('2月'!CZ8:DA8,L$41)+COUNTIF('2月'!DE8:DF8,L$41)+COUNTIF('2月'!DJ8:DK8,L$41)+COUNTIF('2月'!DO8:DP8,L$41)+COUNTIF('2月'!DT8:DU8,L$41)+COUNTIF('2月'!DY8:DZ8,L$41)+COUNTIF('2月'!ED8:EE8,L$41)+COUNTIF('2月'!EI8:EJ8,L$41)+COUNTIF('2月'!EN8:EO8,L$41)+COUNTIF('2月'!ES8:ET8,L$41)</f>
        <v>0</v>
      </c>
      <c r="M47" s="76">
        <f t="shared" si="17"/>
        <v>0</v>
      </c>
      <c r="N47" s="76">
        <f>COUNTIF('2月'!D8:E8,N$41)+COUNTIF('2月'!I8:J8,N$41)+COUNTIF('2月'!N8:O8,N$41)+COUNTIF('2月'!S8:T8,N$41)+COUNTIF('2月'!X8:Y8,N$41)+COUNTIF('2月'!AC8:AD8,N$41)+COUNTIF('2月'!AH8:AI8,N$41)+COUNTIF('2月'!AM8:AN8,N$41)+COUNTIF('2月'!AR8:AS8,N$41)+COUNTIF('2月'!AW8:AX8,N$41)+COUNTIF('2月'!BB8:BC8,N$41)+COUNTIF('2月'!BG8:BH8,N$41)+COUNTIF('2月'!BL8:BM8,N$41)+COUNTIF('2月'!BQ8:BR8,N$41)+COUNTIF('2月'!BV8:BW8,N$41)+COUNTIF('2月'!CA8:CB8,N$41)+COUNTIF('2月'!CF8:CG8,N$41)+COUNTIF('2月'!CK8:CL8,N$41)+COUNTIF('2月'!CP8:CQ8,N$41)+COUNTIF('2月'!CU8:CV8,N$41)+COUNTIF('2月'!CZ8:DA8,N$41)+COUNTIF('2月'!DE8:DF8,N$41)+COUNTIF('2月'!DJ8:DK8,N$41)+COUNTIF('2月'!DO8:DP8,N$41)+COUNTIF('2月'!DT8:DU8,N$41)+COUNTIF('2月'!DY8:DZ8,N$41)+COUNTIF('2月'!ED8:EE8,N$41)+COUNTIF('2月'!EI8:EJ8,N$41)+COUNTIF('2月'!EN8:EO8,N$41)+COUNTIF('2月'!ES8:ET8,N$41)+COUNTIF('2月'!D8:E8,"三軒茶屋－夜勤")+COUNTIF('2月'!I8:J8,"三軒茶屋－夜勤")+COUNTIF('2月'!N8:O8,"三軒茶屋－夜勤")+COUNTIF('2月'!S8:T8,"三軒茶屋－夜勤")+COUNTIF('2月'!X8:Y8,"三軒茶屋－夜勤")+COUNTIF('2月'!AC8:AD8,"三軒茶屋－夜勤")+COUNTIF('2月'!AH8:AI8,"三軒茶屋－夜勤")+COUNTIF('2月'!AM8:AN8,"三軒茶屋－夜勤")+COUNTIF('2月'!AR8:AS8,"三軒茶屋－夜勤")+COUNTIF('2月'!AW8:AX8,"三軒茶屋－夜勤")+COUNTIF('2月'!BB8:BC8,"三軒茶屋－夜勤")+COUNTIF('2月'!BG8:BH8,"三軒茶屋－夜勤")+COUNTIF('2月'!BL8:BM8,"三軒茶屋－夜勤")+COUNTIF('2月'!BQ8:BR8,"三軒茶屋－夜勤")+COUNTIF('2月'!BV8:BW8,"三軒茶屋－夜勤")+COUNTIF('2月'!CA8:CB8,"三軒茶屋－夜勤")+COUNTIF('2月'!CF8:CG8,"三軒茶屋－夜勤")+COUNTIF('2月'!CK8:CL8,"三軒茶屋－夜勤")+COUNTIF('2月'!CP8:CQ8,"三軒茶屋－夜勤")+COUNTIF('2月'!CU8:CV8,"三軒茶屋－夜勤")+COUNTIF('2月'!CZ8:DA8,"三軒茶屋－夜勤")+COUNTIF('2月'!DE8:DF8,"三軒茶屋－夜勤")+COUNTIF('2月'!DJ8:DK8,"三軒茶屋－夜勤")+COUNTIF('2月'!DO8:DP8,"三軒茶屋－夜勤")+COUNTIF('2月'!DT8:DU8,"三軒茶屋－夜勤")+COUNTIF('2月'!DY8:DZ8,"三軒茶屋－夜勤")+COUNTIF('2月'!ED8:EE8,"三軒茶屋－夜勤")+COUNTIF('2月'!EI8:EJ8,"三軒茶屋－夜勤")+COUNTIF('2月'!EN8:EO8,"三軒茶屋－夜勤")+COUNTIF('2月'!ES8:ET8,"三軒茶屋－夜勤")</f>
        <v>0</v>
      </c>
      <c r="O47" s="76">
        <f t="shared" si="18"/>
        <v>0</v>
      </c>
      <c r="P47" s="76">
        <f>COUNTIF('2月'!D8:E8,P$41)+COUNTIF('2月'!I8:J8,P$41)+COUNTIF('2月'!N8:O8,P$41)+COUNTIF('2月'!S8:T8,P$41)+COUNTIF('2月'!X8:Y8,P$41)+COUNTIF('2月'!AC8:AD8,P$41)+COUNTIF('2月'!AH8:AI8,P$41)+COUNTIF('2月'!AM8:AN8,P$41)+COUNTIF('2月'!AR8:AS8,P$41)+COUNTIF('2月'!AW8:AX8,P$41)+COUNTIF('2月'!BB8:BC8,P$41)+COUNTIF('2月'!BG8:BH8,P$41)+COUNTIF('2月'!BL8:BM8,P$41)+COUNTIF('2月'!BQ8:BR8,P$41)+COUNTIF('2月'!BV8:BW8,P$41)+COUNTIF('2月'!CA8:CB8,P$41)+COUNTIF('2月'!CF8:CG8,P$41)+COUNTIF('2月'!CK8:CL8,P$41)+COUNTIF('2月'!CP8:CQ8,P$41)+COUNTIF('2月'!CU8:CV8,P$41)+COUNTIF('2月'!CZ8:DA8,P$41)+COUNTIF('2月'!DE8:DF8,P$41)+COUNTIF('2月'!DJ8:DK8,P$41)+COUNTIF('2月'!DO8:DP8,P$41)+COUNTIF('2月'!DT8:DU8,P$41)+COUNTIF('2月'!DY8:DZ8,P$41)+COUNTIF('2月'!ED8:EE8,P$41)+COUNTIF('2月'!EI8:EJ8,P$41)+COUNTIF('2月'!EN8:EO8,P$41)+COUNTIF('2月'!ES8:ET8,P$41)+COUNTIF('2月'!D8:E8,"荻窪ー夜勤")+COUNTIF('2月'!I8:J8,"荻窪ー夜勤")+COUNTIF('2月'!N8:O8,"荻窪ー夜勤")+COUNTIF('2月'!S8:T8,"荻窪ー夜勤")+COUNTIF('2月'!X8:Y8,"荻窪ー夜勤")+COUNTIF('2月'!AC8:AD8,"荻窪ー夜勤")+COUNTIF('2月'!AH8:AI8,"荻窪ー夜勤")+COUNTIF('2月'!AM8:AN8,"荻窪ー夜勤")+COUNTIF('2月'!AR8:AS8,"荻窪ー夜勤")+COUNTIF('2月'!AW8:AX8,"荻窪ー夜勤")+COUNTIF('2月'!BB8:BC8,"荻窪ー夜勤")+COUNTIF('2月'!BG8:BH8,"荻窪ー夜勤")+COUNTIF('2月'!BL8:BM8,"荻窪ー夜勤")+COUNTIF('2月'!BQ8:BR8,"荻窪ー夜勤")+COUNTIF('2月'!BV8:BW8,"荻窪ー夜勤")+COUNTIF('2月'!CA8:CB8,"荻窪ー夜勤")+COUNTIF('2月'!CF8:CG8,"荻窪ー夜勤")+COUNTIF('2月'!CK8:CL8,"荻窪ー夜勤")+COUNTIF('2月'!CP8:CQ8,"荻窪ー夜勤")+COUNTIF('2月'!CU8:CV8,"荻窪ー夜勤")+COUNTIF('2月'!CZ8:DA8,"荻窪ー夜勤")+COUNTIF('2月'!DE8:DF8,"荻窪ー夜勤")+COUNTIF('2月'!DJ8:DK8,"荻窪ー夜勤")+COUNTIF('2月'!DO8:DP8,"荻窪ー夜勤")+COUNTIF('2月'!DT8:DU8,"荻窪ー夜勤")+COUNTIF('2月'!DY8:DZ8,"荻窪ー夜勤")+COUNTIF('2月'!ED8:EE8,"荻窪ー夜勤")+COUNTIF('2月'!EI8:EJ8,"荻窪ー夜勤")+COUNTIF('2月'!EN8:EO8,"荻窪ー夜勤")+COUNTIF('2月'!ES8:ET8,"荻窪ー夜勤")</f>
        <v>0</v>
      </c>
      <c r="Q47" s="76">
        <f t="shared" si="19"/>
        <v>0</v>
      </c>
      <c r="R47" s="76">
        <f>COUNTIF('2月'!D8:E8,R$41)+COUNTIF('2月'!I8:J8,R$41)+COUNTIF('2月'!N8:O8,R$41)+COUNTIF('2月'!S8:T8,R$41)+COUNTIF('2月'!X8:Y8,R$41)+COUNTIF('2月'!AC8:AD8,R$41)+COUNTIF('2月'!AH8:AI8,R$41)+COUNTIF('2月'!AM8:AN8,R$41)+COUNTIF('2月'!AR8:AS8,R$41)+COUNTIF('2月'!AW8:AX8,R$41)+COUNTIF('2月'!BB8:BC8,R$41)+COUNTIF('2月'!BG8:BH8,R$41)+COUNTIF('2月'!BL8:BM8,R$41)+COUNTIF('2月'!BQ8:BR8,R$41)+COUNTIF('2月'!BV8:BW8,R$41)+COUNTIF('2月'!CA8:CB8,R$41)+COUNTIF('2月'!CF8:CG8,R$41)+COUNTIF('2月'!CK8:CL8,R$41)+COUNTIF('2月'!CP8:CQ8,R$41)+COUNTIF('2月'!CU8:CV8,R$41)+COUNTIF('2月'!CZ8:DA8,R$41)+COUNTIF('2月'!DE8:DF8,R$41)+COUNTIF('2月'!DJ8:DK8,R$41)+COUNTIF('2月'!DO8:DP8,R$41)+COUNTIF('2月'!DT8:DU8,R$41)+COUNTIF('2月'!DY8:DZ8,R$41)+COUNTIF('2月'!ED8:EE8,R$41)+COUNTIF('2月'!EI8:EJ8,R$41)+COUNTIF('2月'!EN8:EO8,R$41)+COUNTIF('2月'!ES8:ET8,R$41)</f>
        <v>0</v>
      </c>
      <c r="S47" s="76">
        <f t="shared" si="20"/>
        <v>0</v>
      </c>
      <c r="T47" s="76">
        <f>COUNTIF('2月'!D8:E8,T$41)+COUNTIF('2月'!I8:J8,T$41)+COUNTIF('2月'!N8:O8,T$41)+COUNTIF('2月'!S8:T8,T$41)+COUNTIF('2月'!X8:Y8,T$41)+COUNTIF('2月'!AC8:AD8,T$41)+COUNTIF('2月'!AH8:AI8,T$41)+COUNTIF('2月'!AM8:AN8,T$41)+COUNTIF('2月'!AR8:AS8,T$41)+COUNTIF('2月'!AW8:AX8,T$41)+COUNTIF('2月'!BB8:BC8,T$41)+COUNTIF('2月'!BG8:BH8,T$41)+COUNTIF('2月'!BL8:BM8,T$41)+COUNTIF('2月'!BQ8:BR8,T$41)+COUNTIF('2月'!BV8:BW8,T$41)+COUNTIF('2月'!CA8:CB8,T$41)+COUNTIF('2月'!CF8:CG8,T$41)+COUNTIF('2月'!CK8:CL8,T$41)+COUNTIF('2月'!CP8:CQ8,T$41)+COUNTIF('2月'!CU8:CV8,T$41)+COUNTIF('2月'!CZ8:DA8,T$41)+COUNTIF('2月'!DE8:DF8,T$41)+COUNTIF('2月'!DJ8:DK8,T$41)+COUNTIF('2月'!DO8:DP8,T$41)+COUNTIF('2月'!DT8:DU8,T$41)+COUNTIF('2月'!DY8:DZ8,T$41)+COUNTIF('2月'!ED8:EE8,T$41)+COUNTIF('2月'!EI8:EJ8,T$41)+COUNTIF('2月'!EN8:EO8,T$41)+COUNTIF('2月'!ES8:ET8,T$41)</f>
        <v>0</v>
      </c>
      <c r="U47" s="76">
        <f t="shared" si="21"/>
        <v>0</v>
      </c>
      <c r="V47" s="76">
        <f>COUNTIF('2月'!D8:E8,V$41)+COUNTIF('2月'!I8:J8,V$41)+COUNTIF('2月'!N8:O8,V$41)+COUNTIF('2月'!S8:T8,V$41)+COUNTIF('2月'!X8:Y8,V$41)+COUNTIF('2月'!AC8:AD8,V$41)+COUNTIF('2月'!AH8:AI8,V$41)+COUNTIF('2月'!AM8:AN8,V$41)+COUNTIF('2月'!AR8:AS8,V$41)+COUNTIF('2月'!AW8:AX8,V$41)+COUNTIF('2月'!BB8:BC8,V$41)+COUNTIF('2月'!BG8:BH8,V$41)+COUNTIF('2月'!BL8:BM8,V$41)+COUNTIF('2月'!BQ8:BR8,V$41)+COUNTIF('2月'!BV8:BW8,V$41)+COUNTIF('2月'!CA8:CB8,V$41)+COUNTIF('2月'!CF8:CG8,V$41)+COUNTIF('2月'!CK8:CL8,V$41)+COUNTIF('2月'!CP8:CQ8,V$41)+COUNTIF('2月'!CU8:CV8,V$41)+COUNTIF('2月'!CZ8:DA8,V$41)+COUNTIF('2月'!DE8:DF8,V$41)+COUNTIF('2月'!DJ8:DK8,V$41)+COUNTIF('2月'!DO8:DP8,V$41)+COUNTIF('2月'!DT8:DU8,V$41)+COUNTIF('2月'!DY8:DZ8,V$41)+COUNTIF('2月'!ED8:EE8,V$41)+COUNTIF('2月'!EI8:EJ8,V$41)+COUNTIF('2月'!EN8:EO8,V$41)+COUNTIF('2月'!ES8:ET8,V$41)</f>
        <v>0</v>
      </c>
      <c r="W47" s="76">
        <f t="shared" si="22"/>
        <v>0</v>
      </c>
      <c r="X47" s="76">
        <f>COUNTIF('2月'!D8:E8,X$41)+COUNTIF('2月'!I8:J8,X$41)+COUNTIF('2月'!N8:O8,X$41)+COUNTIF('2月'!S8:T8,X$41)+COUNTIF('2月'!X8:Y8,X$41)+COUNTIF('2月'!AC8:AD8,X$41)+COUNTIF('2月'!AH8:AI8,X$41)+COUNTIF('2月'!AM8:AN8,X$41)+COUNTIF('2月'!AR8:AS8,X$41)+COUNTIF('2月'!AW8:AX8,X$41)+COUNTIF('2月'!BB8:BC8,X$41)+COUNTIF('2月'!BG8:BH8,X$41)+COUNTIF('2月'!BL8:BM8,X$41)+COUNTIF('2月'!BQ8:BR8,X$41)+COUNTIF('2月'!BV8:BW8,X$41)+COUNTIF('2月'!CA8:CB8,X$41)+COUNTIF('2月'!CF8:CG8,X$41)+COUNTIF('2月'!CK8:CL8,X$41)+COUNTIF('2月'!CP8:CQ8,X$41)+COUNTIF('2月'!CU8:CV8,X$41)+COUNTIF('2月'!CZ8:DA8,X$41)+COUNTIF('2月'!DE8:DF8,X$41)+COUNTIF('2月'!DJ8:DK8,X$41)+COUNTIF('2月'!DO8:DP8,X$41)+COUNTIF('2月'!DT8:DU8,X$41)+COUNTIF('2月'!DY8:DZ8,X$41)+COUNTIF('2月'!ED8:EE8,X$41)+COUNTIF('2月'!EI8:EJ8,X$41)+COUNTIF('2月'!EN8:EO8,X$41)+COUNTIF('2月'!ES8:ET8,X$41)</f>
        <v>0</v>
      </c>
      <c r="Y47" s="76">
        <f t="shared" si="23"/>
        <v>0</v>
      </c>
    </row>
    <row r="48" spans="1:25" ht="18" customHeight="1">
      <c r="A48" s="76">
        <v>6</v>
      </c>
      <c r="B48" s="76">
        <f>COUNTIF('2月'!D9:E9,B$41)+COUNTIF('2月'!I9:J9,B$41)+COUNTIF('2月'!N9:O9,B$41)+COUNTIF('2月'!S9:T9,B$41)+COUNTIF('2月'!X9:Y9,B$41)+COUNTIF('2月'!AC9:AD9,B$41)+COUNTIF('2月'!AH9:AI9,B$41)+COUNTIF('2月'!AM9:AN9,B$41)+COUNTIF('2月'!AR9:AS9,B$41)+COUNTIF('2月'!AW9:AX9,B$41)+COUNTIF('2月'!BB9:BC9,B$41)+COUNTIF('2月'!BG9:BH9,B$41)+COUNTIF('2月'!BL9:BM9,B$41)+COUNTIF('2月'!BQ9:BR9,B$41)+COUNTIF('2月'!BV9:BW9,B$41)+COUNTIF('2月'!CA9:CB9,B$41)+COUNTIF('2月'!CF9:CG9,B$41)+COUNTIF('2月'!CK9:CL9,B$41)+COUNTIF('2月'!CP9:CQ9,B$41)+COUNTIF('2月'!CU9:CV9,B$41)+COUNTIF('2月'!CZ9:DA9,B$41)+COUNTIF('2月'!DE9:DF9,B$41)+COUNTIF('2月'!DJ9:DK9,B$41)+COUNTIF('2月'!DO9:DP9,B$41)+COUNTIF('2月'!DT9:DU9,B$41)+COUNTIF('2月'!DY9:DZ9,B$41)+COUNTIF('2月'!ED9:EE9,B$41)+COUNTIF('2月'!EI9:EJ9,B$41)+COUNTIF('2月'!EN9:EO9,B$41)+COUNTIF('2月'!ES9:ET9,B$41)</f>
        <v>0</v>
      </c>
      <c r="C48" s="76">
        <f t="shared" si="12"/>
        <v>0</v>
      </c>
      <c r="D48" s="76">
        <f>COUNTIF('2月'!D9:E9,D$41)+COUNTIF('2月'!I9:J9,D$41)+COUNTIF('2月'!N9:O9,D$41)+COUNTIF('2月'!S9:T9,D$41)+COUNTIF('2月'!X9:Y9,D$41)+COUNTIF('2月'!AC9:AD9,D$41)+COUNTIF('2月'!AH9:AI9,D$41)+COUNTIF('2月'!AM9:AN9,D$41)+COUNTIF('2月'!AR9:AS9,D$41)+COUNTIF('2月'!AW9:AX9,D$41)+COUNTIF('2月'!BB9:BC9,D$41)+COUNTIF('2月'!BG9:BH9,D$41)+COUNTIF('2月'!BL9:BM9,D$41)+COUNTIF('2月'!BQ9:BR9,D$41)+COUNTIF('2月'!BV9:BW9,D$41)+COUNTIF('2月'!CA9:CB9,D$41)+COUNTIF('2月'!CF9:CG9,D$41)+COUNTIF('2月'!CK9:CL9,D$41)+COUNTIF('2月'!CP9:CQ9,D$41)+COUNTIF('2月'!CU9:CV9,D$41)+COUNTIF('2月'!CZ9:DA9,D$41)+COUNTIF('2月'!DE9:DF9,D$41)+COUNTIF('2月'!DJ9:DK9,D$41)+COUNTIF('2月'!DO9:DP9,D$41)+COUNTIF('2月'!DT9:DU9,D$41)+COUNTIF('2月'!DY9:DZ9,D$41)+COUNTIF('2月'!ED9:EE9,D$41)+COUNTIF('2月'!EI9:EJ9,D$41)+COUNTIF('2月'!EN9:EO9,D$41)+COUNTIF('2月'!ES9:ET9,D$41)</f>
        <v>0</v>
      </c>
      <c r="E48" s="76">
        <f t="shared" si="13"/>
        <v>0</v>
      </c>
      <c r="F48" s="76">
        <f>COUNTIF('2月'!D9:E9,F$41)+COUNTIF('2月'!I9:J9,F$41)+COUNTIF('2月'!N9:O9,F$41)+COUNTIF('2月'!S9:T9,F$41)+COUNTIF('2月'!X9:Y9,F$41)+COUNTIF('2月'!AC9:AD9,F$41)+COUNTIF('2月'!AH9:AI9,F$41)+COUNTIF('2月'!AM9:AN9,F$41)+COUNTIF('2月'!AR9:AS9,F$41)+COUNTIF('2月'!AW9:AX9,F$41)+COUNTIF('2月'!BB9:BC9,F$41)+COUNTIF('2月'!BG9:BH9,F$41)+COUNTIF('2月'!BL9:BM9,F$41)+COUNTIF('2月'!BQ9:BR9,F$41)+COUNTIF('2月'!BV9:BW9,F$41)+COUNTIF('2月'!CA9:CB9,F$41)+COUNTIF('2月'!CF9:CG9,F$41)+COUNTIF('2月'!CK9:CL9,F$41)+COUNTIF('2月'!CP9:CQ9,F$41)+COUNTIF('2月'!CU9:CV9,F$41)+COUNTIF('2月'!CZ9:DA9,F$41)+COUNTIF('2月'!DE9:DF9,F$41)+COUNTIF('2月'!DJ9:DK9,F$41)+COUNTIF('2月'!DO9:DP9,F$41)+COUNTIF('2月'!DT9:DU9,F$41)+COUNTIF('2月'!DY9:DZ9,F$41)+COUNTIF('2月'!ED9:EE9,F$41)+COUNTIF('2月'!EI9:EJ9,F$41)+COUNTIF('2月'!EN9:EO9,F$41)+COUNTIF('2月'!ES9:ET9,F$41)</f>
        <v>0</v>
      </c>
      <c r="G48" s="76">
        <f t="shared" si="14"/>
        <v>0</v>
      </c>
      <c r="H48" s="76">
        <f>COUNTIF('2月'!D9:E9,H$41)+COUNTIF('2月'!I9:J9,H$41)+COUNTIF('2月'!N9:O9,H$41)+COUNTIF('2月'!S9:T9,H$41)+COUNTIF('2月'!X9:Y9,H$41)+COUNTIF('2月'!AC9:AD9,H$41)+COUNTIF('2月'!AH9:AI9,H$41)+COUNTIF('2月'!AM9:AN9,H$41)+COUNTIF('2月'!AR9:AS9,H$41)+COUNTIF('2月'!AW9:AX9,H$41)+COUNTIF('2月'!BB9:BC9,H$41)+COUNTIF('2月'!BG9:BH9,H$41)+COUNTIF('2月'!BL9:BM9,H$41)+COUNTIF('2月'!BQ9:BR9,H$41)+COUNTIF('2月'!BV9:BW9,H$41)+COUNTIF('2月'!CA9:CB9,H$41)+COUNTIF('2月'!CF9:CG9,H$41)+COUNTIF('2月'!CK9:CL9,H$41)+COUNTIF('2月'!CP9:CQ9,H$41)+COUNTIF('2月'!CU9:CV9,H$41)+COUNTIF('2月'!CZ9:DA9,H$41)+COUNTIF('2月'!DE9:DF9,H$41)+COUNTIF('2月'!DJ9:DK9,H$41)+COUNTIF('2月'!DO9:DP9,H$41)+COUNTIF('2月'!DT9:DU9,H$41)+COUNTIF('2月'!DY9:DZ9,H$41)+COUNTIF('2月'!ED9:EE9,H$41)+COUNTIF('2月'!EI9:EJ9,H$41)+COUNTIF('2月'!EN9:EO9,H$41)+COUNTIF('2月'!ES9:ET9,H$41)+COUNTIF('2月'!D9:E9,"渋谷-夜勤")+COUNTIF('2月'!I9:J9,"渋谷-夜勤")+COUNTIF('2月'!N9:O9,"渋谷-夜勤")+COUNTIF('2月'!S9:T9,"渋谷-夜勤")+COUNTIF('2月'!X9:Y9,"渋谷-夜勤")+COUNTIF('2月'!AC9:AD9,"渋谷-夜勤")+COUNTIF('2月'!AH9:AI9,"渋谷-夜勤")+COUNTIF('2月'!AM9:AN9,"渋谷-夜勤")+COUNTIF('2月'!AR9:AS9,"渋谷-夜勤")+COUNTIF('2月'!AW9:AX9,"渋谷-夜勤")+COUNTIF('2月'!BB9:BC9,"渋谷-夜勤")+COUNTIF('2月'!BG9:BH9,"渋谷-夜勤")+COUNTIF('2月'!BL9:BM9,"渋谷-夜勤")+COUNTIF('2月'!BQ9:BR9,"渋谷-夜勤")+COUNTIF('2月'!BV9:BW9,"渋谷-夜勤")+COUNTIF('2月'!CA9:CB9,"渋谷-夜勤")+COUNTIF('2月'!CF9:CG9,"渋谷-夜勤")+COUNTIF('2月'!CK9:CL9,"渋谷-夜勤")+COUNTIF('2月'!CP9:CQ9,"渋谷-夜勤")+COUNTIF('2月'!CU9:CV9,"渋谷-夜勤")+COUNTIF('2月'!CZ9:DA9,"渋谷-夜勤")+COUNTIF('2月'!DE9:DF9,"渋谷-夜勤")+COUNTIF('2月'!DJ9:DK9,"渋谷-夜勤")+COUNTIF('2月'!DO9:DP9,"渋谷-夜勤")+COUNTIF('2月'!DT9:DU9,"渋谷-夜勤")+COUNTIF('2月'!DY9:DZ9,"渋谷-夜勤")+COUNTIF('2月'!ED9:EE9,"渋谷-夜勤")+COUNTIF('2月'!EI9:EJ9,"渋谷-夜勤")+COUNTIF('2月'!EN9:EO9,"渋谷-夜勤")+COUNTIF('2月'!ES9:ET9,"渋谷-夜勤")</f>
        <v>0</v>
      </c>
      <c r="I48" s="76">
        <f t="shared" si="15"/>
        <v>0</v>
      </c>
      <c r="J48" s="76">
        <f>COUNTIF('2月'!D9:E9,J$41)+COUNTIF('2月'!I9:J9,J$41)+COUNTIF('2月'!N9:O9,J$41)+COUNTIF('2月'!S9:T9,J$41)+COUNTIF('2月'!X9:Y9,J$41)+COUNTIF('2月'!AC9:AD9,J$41)+COUNTIF('2月'!AH9:AI9,J$41)+COUNTIF('2月'!AM9:AN9,J$41)+COUNTIF('2月'!AR9:AS9,J$41)+COUNTIF('2月'!AW9:AX9,J$41)+COUNTIF('2月'!BB9:BC9,J$41)+COUNTIF('2月'!BG9:BH9,J$41)+COUNTIF('2月'!BL9:BM9,J$41)+COUNTIF('2月'!BQ9:BR9,J$41)+COUNTIF('2月'!BV9:BW9,J$41)+COUNTIF('2月'!CA9:CB9,J$41)+COUNTIF('2月'!CF9:CG9,J$41)+COUNTIF('2月'!CK9:CL9,J$41)+COUNTIF('2月'!CP9:CQ9,J$41)+COUNTIF('2月'!CU9:CV9,J$41)+COUNTIF('2月'!CZ9:DA9,J$41)+COUNTIF('2月'!DE9:DF9,J$41)+COUNTIF('2月'!DJ9:DK9,J$41)+COUNTIF('2月'!DO9:DP9,J$41)+COUNTIF('2月'!DT9:DU9,J$41)+COUNTIF('2月'!DY9:DZ9,J$41)+COUNTIF('2月'!ED9:EE9,J$41)+COUNTIF('2月'!EI9:EJ9,J$41)+COUNTIF('2月'!EN9:EO9,J$41)+COUNTIF('2月'!ES9:ET9,J$41)+COUNTIF('2月'!D9:E9,"六本木-夜勤")+COUNTIF('2月'!I9:J9,"六本木-夜勤")+COUNTIF('2月'!N9:O9,"六本木-夜勤")+COUNTIF('2月'!S9:T9,"六本木-夜勤")+COUNTIF('2月'!X9:Y9,"六本木-夜勤")+COUNTIF('2月'!AC9:AD9,"六本木-夜勤")+COUNTIF('2月'!AH9:AI9,"六本木-夜勤")+COUNTIF('2月'!AM9:AN9,"六本木-夜勤")+COUNTIF('2月'!AR9:AS9,"六本木-夜勤")+COUNTIF('2月'!AW9:AX9,"六本木-夜勤")+COUNTIF('2月'!BB9:BC9,"六本木-夜勤")+COUNTIF('2月'!BG9:BH9,"六本木-夜勤")+COUNTIF('2月'!BL9:BM9,"六本木-夜勤")+COUNTIF('2月'!BQ9:BR9,"六本木-夜勤")+COUNTIF('2月'!BV9:BW9,"六本木-夜勤")+COUNTIF('2月'!CA9:CB9,"六本木-夜勤")+COUNTIF('2月'!CF9:CG9,"六本木-夜勤")+COUNTIF('2月'!CK9:CL9,"六本木-夜勤")+COUNTIF('2月'!CP9:CQ9,"六本木-夜勤")+COUNTIF('2月'!CU9:CV9,"六本木-夜勤")+COUNTIF('2月'!CZ9:DA9,"六本木-夜勤")+COUNTIF('2月'!DE9:DF9,"六本木-夜勤")+COUNTIF('2月'!DJ9:DK9,"六本木-夜勤")+COUNTIF('2月'!DO9:DP9,"六本木-夜勤")+COUNTIF('2月'!DT9:DU9,"六本木-夜勤")+COUNTIF('2月'!DY9:DZ9,"六本木-夜勤")+COUNTIF('2月'!ED9:EE9,"六本木-夜勤")+COUNTIF('2月'!EI9:EJ9,"六本木-夜勤")+COUNTIF('2月'!EN9:EO9,"六本木-夜勤")+COUNTIF('2月'!ES9:ET9,"六本木-夜勤")+COUNTIF('2月'!D9:E9,"六本木ー夜勤")+COUNTIF('2月'!I9:J9,"六本木ー夜勤")+COUNTIF('2月'!N9:O9,"六本木ー夜勤")+COUNTIF('2月'!S9:T9,"六本木ー夜勤")+COUNTIF('2月'!X9:Y9,"六本木ー夜勤")+COUNTIF('2月'!AC9:AD9,"六本木ー夜勤")+COUNTIF('2月'!AH9:AI9,"六本木ー夜勤")+COUNTIF('2月'!AM9:AN9,"六本木ー夜勤")+COUNTIF('2月'!AR9:AS9,"六本木ー夜勤")+COUNTIF('2月'!AW9:AX9,"六本木ー夜勤")+COUNTIF('2月'!BB9:BC9,"六本木ー夜勤")+COUNTIF('2月'!BG9:BH9,"六本木ー夜勤")+COUNTIF('2月'!BL9:BM9,"六本木ー夜勤")+COUNTIF('2月'!BQ9:BR9,"六本木ー夜勤")+COUNTIF('2月'!BV9:BW9,"六本木ー夜勤")+COUNTIF('2月'!CA9:CB9,"六本木ー夜勤")+COUNTIF('2月'!CF9:CG9,"六本木ー夜勤")+COUNTIF('2月'!CK9:CL9,"六本木ー夜勤")+COUNTIF('2月'!CP9:CQ9,"六本木ー夜勤")+COUNTIF('2月'!CU9:CV9,"六本木ー夜勤")+COUNTIF('2月'!CZ9:DA9,"六本木ー夜勤")+COUNTIF('2月'!DE9:DF9,"六本木ー夜勤")+COUNTIF('2月'!DJ9:DK9,"六本木ー夜勤")+COUNTIF('2月'!DO9:DP9,"六本木ー夜勤")+COUNTIF('2月'!DT9:DU9,"六本木ー夜勤")+COUNTIF('2月'!DY9:DZ9,"六本木ー夜勤")+COUNTIF('2月'!ED9:EE9,"六本木ー夜勤")+COUNTIF('2月'!EI9:EJ9,"六本木ー夜勤")+COUNTIF('2月'!EN9:EO9,"六本木ー夜勤")+COUNTIF('2月'!ES9:ET9,"六本木ー夜勤")</f>
        <v>0</v>
      </c>
      <c r="K48" s="76">
        <f t="shared" si="16"/>
        <v>0</v>
      </c>
      <c r="L48" s="76">
        <f>COUNTIF('2月'!D9:E9,L$41)+COUNTIF('2月'!I9:J9,L$41)+COUNTIF('2月'!N9:O9,L$41)+COUNTIF('2月'!S9:T9,L$41)+COUNTIF('2月'!X9:Y9,L$41)+COUNTIF('2月'!AC9:AD9,L$41)+COUNTIF('2月'!AH9:AI9,L$41)+COUNTIF('2月'!AM9:AN9,L$41)+COUNTIF('2月'!AR9:AS9,L$41)+COUNTIF('2月'!AW9:AX9,L$41)+COUNTIF('2月'!BB9:BC9,L$41)+COUNTIF('2月'!BG9:BH9,L$41)+COUNTIF('2月'!BL9:BM9,L$41)+COUNTIF('2月'!BQ9:BR9,L$41)+COUNTIF('2月'!BV9:BW9,L$41)+COUNTIF('2月'!CA9:CB9,L$41)+COUNTIF('2月'!CF9:CG9,L$41)+COUNTIF('2月'!CK9:CL9,L$41)+COUNTIF('2月'!CP9:CQ9,L$41)+COUNTIF('2月'!CU9:CV9,L$41)+COUNTIF('2月'!CZ9:DA9,L$41)+COUNTIF('2月'!DE9:DF9,L$41)+COUNTIF('2月'!DJ9:DK9,L$41)+COUNTIF('2月'!DO9:DP9,L$41)+COUNTIF('2月'!DT9:DU9,L$41)+COUNTIF('2月'!DY9:DZ9,L$41)+COUNTIF('2月'!ED9:EE9,L$41)+COUNTIF('2月'!EI9:EJ9,L$41)+COUNTIF('2月'!EN9:EO9,L$41)+COUNTIF('2月'!ES9:ET9,L$41)</f>
        <v>0</v>
      </c>
      <c r="M48" s="76">
        <f t="shared" si="17"/>
        <v>0</v>
      </c>
      <c r="N48" s="76">
        <f>COUNTIF('2月'!D9:E9,N$41)+COUNTIF('2月'!I9:J9,N$41)+COUNTIF('2月'!N9:O9,N$41)+COUNTIF('2月'!S9:T9,N$41)+COUNTIF('2月'!X9:Y9,N$41)+COUNTIF('2月'!AC9:AD9,N$41)+COUNTIF('2月'!AH9:AI9,N$41)+COUNTIF('2月'!AM9:AN9,N$41)+COUNTIF('2月'!AR9:AS9,N$41)+COUNTIF('2月'!AW9:AX9,N$41)+COUNTIF('2月'!BB9:BC9,N$41)+COUNTIF('2月'!BG9:BH9,N$41)+COUNTIF('2月'!BL9:BM9,N$41)+COUNTIF('2月'!BQ9:BR9,N$41)+COUNTIF('2月'!BV9:BW9,N$41)+COUNTIF('2月'!CA9:CB9,N$41)+COUNTIF('2月'!CF9:CG9,N$41)+COUNTIF('2月'!CK9:CL9,N$41)+COUNTIF('2月'!CP9:CQ9,N$41)+COUNTIF('2月'!CU9:CV9,N$41)+COUNTIF('2月'!CZ9:DA9,N$41)+COUNTIF('2月'!DE9:DF9,N$41)+COUNTIF('2月'!DJ9:DK9,N$41)+COUNTIF('2月'!DO9:DP9,N$41)+COUNTIF('2月'!DT9:DU9,N$41)+COUNTIF('2月'!DY9:DZ9,N$41)+COUNTIF('2月'!ED9:EE9,N$41)+COUNTIF('2月'!EI9:EJ9,N$41)+COUNTIF('2月'!EN9:EO9,N$41)+COUNTIF('2月'!ES9:ET9,N$41)+COUNTIF('2月'!D9:E9,"三軒茶屋－夜勤")+COUNTIF('2月'!I9:J9,"三軒茶屋－夜勤")+COUNTIF('2月'!N9:O9,"三軒茶屋－夜勤")+COUNTIF('2月'!S9:T9,"三軒茶屋－夜勤")+COUNTIF('2月'!X9:Y9,"三軒茶屋－夜勤")+COUNTIF('2月'!AC9:AD9,"三軒茶屋－夜勤")+COUNTIF('2月'!AH9:AI9,"三軒茶屋－夜勤")+COUNTIF('2月'!AM9:AN9,"三軒茶屋－夜勤")+COUNTIF('2月'!AR9:AS9,"三軒茶屋－夜勤")+COUNTIF('2月'!AW9:AX9,"三軒茶屋－夜勤")+COUNTIF('2月'!BB9:BC9,"三軒茶屋－夜勤")+COUNTIF('2月'!BG9:BH9,"三軒茶屋－夜勤")+COUNTIF('2月'!BL9:BM9,"三軒茶屋－夜勤")+COUNTIF('2月'!BQ9:BR9,"三軒茶屋－夜勤")+COUNTIF('2月'!BV9:BW9,"三軒茶屋－夜勤")+COUNTIF('2月'!CA9:CB9,"三軒茶屋－夜勤")+COUNTIF('2月'!CF9:CG9,"三軒茶屋－夜勤")+COUNTIF('2月'!CK9:CL9,"三軒茶屋－夜勤")+COUNTIF('2月'!CP9:CQ9,"三軒茶屋－夜勤")+COUNTIF('2月'!CU9:CV9,"三軒茶屋－夜勤")+COUNTIF('2月'!CZ9:DA9,"三軒茶屋－夜勤")+COUNTIF('2月'!DE9:DF9,"三軒茶屋－夜勤")+COUNTIF('2月'!DJ9:DK9,"三軒茶屋－夜勤")+COUNTIF('2月'!DO9:DP9,"三軒茶屋－夜勤")+COUNTIF('2月'!DT9:DU9,"三軒茶屋－夜勤")+COUNTIF('2月'!DY9:DZ9,"三軒茶屋－夜勤")+COUNTIF('2月'!ED9:EE9,"三軒茶屋－夜勤")+COUNTIF('2月'!EI9:EJ9,"三軒茶屋－夜勤")+COUNTIF('2月'!EN9:EO9,"三軒茶屋－夜勤")+COUNTIF('2月'!ES9:ET9,"三軒茶屋－夜勤")</f>
        <v>0</v>
      </c>
      <c r="O48" s="76">
        <f t="shared" si="18"/>
        <v>0</v>
      </c>
      <c r="P48" s="76">
        <f>COUNTIF('2月'!D9:E9,P$41)+COUNTIF('2月'!I9:J9,P$41)+COUNTIF('2月'!N9:O9,P$41)+COUNTIF('2月'!S9:T9,P$41)+COUNTIF('2月'!X9:Y9,P$41)+COUNTIF('2月'!AC9:AD9,P$41)+COUNTIF('2月'!AH9:AI9,P$41)+COUNTIF('2月'!AM9:AN9,P$41)+COUNTIF('2月'!AR9:AS9,P$41)+COUNTIF('2月'!AW9:AX9,P$41)+COUNTIF('2月'!BB9:BC9,P$41)+COUNTIF('2月'!BG9:BH9,P$41)+COUNTIF('2月'!BL9:BM9,P$41)+COUNTIF('2月'!BQ9:BR9,P$41)+COUNTIF('2月'!BV9:BW9,P$41)+COUNTIF('2月'!CA9:CB9,P$41)+COUNTIF('2月'!CF9:CG9,P$41)+COUNTIF('2月'!CK9:CL9,P$41)+COUNTIF('2月'!CP9:CQ9,P$41)+COUNTIF('2月'!CU9:CV9,P$41)+COUNTIF('2月'!CZ9:DA9,P$41)+COUNTIF('2月'!DE9:DF9,P$41)+COUNTIF('2月'!DJ9:DK9,P$41)+COUNTIF('2月'!DO9:DP9,P$41)+COUNTIF('2月'!DT9:DU9,P$41)+COUNTIF('2月'!DY9:DZ9,P$41)+COUNTIF('2月'!ED9:EE9,P$41)+COUNTIF('2月'!EI9:EJ9,P$41)+COUNTIF('2月'!EN9:EO9,P$41)+COUNTIF('2月'!ES9:ET9,P$41)+COUNTIF('2月'!D9:E9,"荻窪ー夜勤")+COUNTIF('2月'!I9:J9,"荻窪ー夜勤")+COUNTIF('2月'!N9:O9,"荻窪ー夜勤")+COUNTIF('2月'!S9:T9,"荻窪ー夜勤")+COUNTIF('2月'!X9:Y9,"荻窪ー夜勤")+COUNTIF('2月'!AC9:AD9,"荻窪ー夜勤")+COUNTIF('2月'!AH9:AI9,"荻窪ー夜勤")+COUNTIF('2月'!AM9:AN9,"荻窪ー夜勤")+COUNTIF('2月'!AR9:AS9,"荻窪ー夜勤")+COUNTIF('2月'!AW9:AX9,"荻窪ー夜勤")+COUNTIF('2月'!BB9:BC9,"荻窪ー夜勤")+COUNTIF('2月'!BG9:BH9,"荻窪ー夜勤")+COUNTIF('2月'!BL9:BM9,"荻窪ー夜勤")+COUNTIF('2月'!BQ9:BR9,"荻窪ー夜勤")+COUNTIF('2月'!BV9:BW9,"荻窪ー夜勤")+COUNTIF('2月'!CA9:CB9,"荻窪ー夜勤")+COUNTIF('2月'!CF9:CG9,"荻窪ー夜勤")+COUNTIF('2月'!CK9:CL9,"荻窪ー夜勤")+COUNTIF('2月'!CP9:CQ9,"荻窪ー夜勤")+COUNTIF('2月'!CU9:CV9,"荻窪ー夜勤")+COUNTIF('2月'!CZ9:DA9,"荻窪ー夜勤")+COUNTIF('2月'!DE9:DF9,"荻窪ー夜勤")+COUNTIF('2月'!DJ9:DK9,"荻窪ー夜勤")+COUNTIF('2月'!DO9:DP9,"荻窪ー夜勤")+COUNTIF('2月'!DT9:DU9,"荻窪ー夜勤")+COUNTIF('2月'!DY9:DZ9,"荻窪ー夜勤")+COUNTIF('2月'!ED9:EE9,"荻窪ー夜勤")+COUNTIF('2月'!EI9:EJ9,"荻窪ー夜勤")+COUNTIF('2月'!EN9:EO9,"荻窪ー夜勤")+COUNTIF('2月'!ES9:ET9,"荻窪ー夜勤")</f>
        <v>0</v>
      </c>
      <c r="Q48" s="76">
        <f t="shared" si="19"/>
        <v>0</v>
      </c>
      <c r="R48" s="76">
        <f>COUNTIF('2月'!D9:E9,R$41)+COUNTIF('2月'!I9:J9,R$41)+COUNTIF('2月'!N9:O9,R$41)+COUNTIF('2月'!S9:T9,R$41)+COUNTIF('2月'!X9:Y9,R$41)+COUNTIF('2月'!AC9:AD9,R$41)+COUNTIF('2月'!AH9:AI9,R$41)+COUNTIF('2月'!AM9:AN9,R$41)+COUNTIF('2月'!AR9:AS9,R$41)+COUNTIF('2月'!AW9:AX9,R$41)+COUNTIF('2月'!BB9:BC9,R$41)+COUNTIF('2月'!BG9:BH9,R$41)+COUNTIF('2月'!BL9:BM9,R$41)+COUNTIF('2月'!BQ9:BR9,R$41)+COUNTIF('2月'!BV9:BW9,R$41)+COUNTIF('2月'!CA9:CB9,R$41)+COUNTIF('2月'!CF9:CG9,R$41)+COUNTIF('2月'!CK9:CL9,R$41)+COUNTIF('2月'!CP9:CQ9,R$41)+COUNTIF('2月'!CU9:CV9,R$41)+COUNTIF('2月'!CZ9:DA9,R$41)+COUNTIF('2月'!DE9:DF9,R$41)+COUNTIF('2月'!DJ9:DK9,R$41)+COUNTIF('2月'!DO9:DP9,R$41)+COUNTIF('2月'!DT9:DU9,R$41)+COUNTIF('2月'!DY9:DZ9,R$41)+COUNTIF('2月'!ED9:EE9,R$41)+COUNTIF('2月'!EI9:EJ9,R$41)+COUNTIF('2月'!EN9:EO9,R$41)+COUNTIF('2月'!ES9:ET9,R$41)</f>
        <v>0</v>
      </c>
      <c r="S48" s="76">
        <f t="shared" si="20"/>
        <v>0</v>
      </c>
      <c r="T48" s="76">
        <f>COUNTIF('2月'!D9:E9,T$41)+COUNTIF('2月'!I9:J9,T$41)+COUNTIF('2月'!N9:O9,T$41)+COUNTIF('2月'!S9:T9,T$41)+COUNTIF('2月'!X9:Y9,T$41)+COUNTIF('2月'!AC9:AD9,T$41)+COUNTIF('2月'!AH9:AI9,T$41)+COUNTIF('2月'!AM9:AN9,T$41)+COUNTIF('2月'!AR9:AS9,T$41)+COUNTIF('2月'!AW9:AX9,T$41)+COUNTIF('2月'!BB9:BC9,T$41)+COUNTIF('2月'!BG9:BH9,T$41)+COUNTIF('2月'!BL9:BM9,T$41)+COUNTIF('2月'!BQ9:BR9,T$41)+COUNTIF('2月'!BV9:BW9,T$41)+COUNTIF('2月'!CA9:CB9,T$41)+COUNTIF('2月'!CF9:CG9,T$41)+COUNTIF('2月'!CK9:CL9,T$41)+COUNTIF('2月'!CP9:CQ9,T$41)+COUNTIF('2月'!CU9:CV9,T$41)+COUNTIF('2月'!CZ9:DA9,T$41)+COUNTIF('2月'!DE9:DF9,T$41)+COUNTIF('2月'!DJ9:DK9,T$41)+COUNTIF('2月'!DO9:DP9,T$41)+COUNTIF('2月'!DT9:DU9,T$41)+COUNTIF('2月'!DY9:DZ9,T$41)+COUNTIF('2月'!ED9:EE9,T$41)+COUNTIF('2月'!EI9:EJ9,T$41)+COUNTIF('2月'!EN9:EO9,T$41)+COUNTIF('2月'!ES9:ET9,T$41)</f>
        <v>0</v>
      </c>
      <c r="U48" s="76">
        <f t="shared" si="21"/>
        <v>0</v>
      </c>
      <c r="V48" s="76">
        <f>COUNTIF('2月'!D9:E9,V$41)+COUNTIF('2月'!I9:J9,V$41)+COUNTIF('2月'!N9:O9,V$41)+COUNTIF('2月'!S9:T9,V$41)+COUNTIF('2月'!X9:Y9,V$41)+COUNTIF('2月'!AC9:AD9,V$41)+COUNTIF('2月'!AH9:AI9,V$41)+COUNTIF('2月'!AM9:AN9,V$41)+COUNTIF('2月'!AR9:AS9,V$41)+COUNTIF('2月'!AW9:AX9,V$41)+COUNTIF('2月'!BB9:BC9,V$41)+COUNTIF('2月'!BG9:BH9,V$41)+COUNTIF('2月'!BL9:BM9,V$41)+COUNTIF('2月'!BQ9:BR9,V$41)+COUNTIF('2月'!BV9:BW9,V$41)+COUNTIF('2月'!CA9:CB9,V$41)+COUNTIF('2月'!CF9:CG9,V$41)+COUNTIF('2月'!CK9:CL9,V$41)+COUNTIF('2月'!CP9:CQ9,V$41)+COUNTIF('2月'!CU9:CV9,V$41)+COUNTIF('2月'!CZ9:DA9,V$41)+COUNTIF('2月'!DE9:DF9,V$41)+COUNTIF('2月'!DJ9:DK9,V$41)+COUNTIF('2月'!DO9:DP9,V$41)+COUNTIF('2月'!DT9:DU9,V$41)+COUNTIF('2月'!DY9:DZ9,V$41)+COUNTIF('2月'!ED9:EE9,V$41)+COUNTIF('2月'!EI9:EJ9,V$41)+COUNTIF('2月'!EN9:EO9,V$41)+COUNTIF('2月'!ES9:ET9,V$41)</f>
        <v>0</v>
      </c>
      <c r="W48" s="76">
        <f t="shared" si="22"/>
        <v>0</v>
      </c>
      <c r="X48" s="76">
        <f>COUNTIF('2月'!D9:E9,X$41)+COUNTIF('2月'!I9:J9,X$41)+COUNTIF('2月'!N9:O9,X$41)+COUNTIF('2月'!S9:T9,X$41)+COUNTIF('2月'!X9:Y9,X$41)+COUNTIF('2月'!AC9:AD9,X$41)+COUNTIF('2月'!AH9:AI9,X$41)+COUNTIF('2月'!AM9:AN9,X$41)+COUNTIF('2月'!AR9:AS9,X$41)+COUNTIF('2月'!AW9:AX9,X$41)+COUNTIF('2月'!BB9:BC9,X$41)+COUNTIF('2月'!BG9:BH9,X$41)+COUNTIF('2月'!BL9:BM9,X$41)+COUNTIF('2月'!BQ9:BR9,X$41)+COUNTIF('2月'!BV9:BW9,X$41)+COUNTIF('2月'!CA9:CB9,X$41)+COUNTIF('2月'!CF9:CG9,X$41)+COUNTIF('2月'!CK9:CL9,X$41)+COUNTIF('2月'!CP9:CQ9,X$41)+COUNTIF('2月'!CU9:CV9,X$41)+COUNTIF('2月'!CZ9:DA9,X$41)+COUNTIF('2月'!DE9:DF9,X$41)+COUNTIF('2月'!DJ9:DK9,X$41)+COUNTIF('2月'!DO9:DP9,X$41)+COUNTIF('2月'!DT9:DU9,X$41)+COUNTIF('2月'!DY9:DZ9,X$41)+COUNTIF('2月'!ED9:EE9,X$41)+COUNTIF('2月'!EI9:EJ9,X$41)+COUNTIF('2月'!EN9:EO9,X$41)+COUNTIF('2月'!ES9:ET9,X$41)</f>
        <v>0</v>
      </c>
      <c r="Y48" s="76">
        <f t="shared" si="23"/>
        <v>0</v>
      </c>
    </row>
    <row r="49" spans="1:25" ht="18" customHeight="1">
      <c r="A49" s="76">
        <v>7</v>
      </c>
      <c r="B49" s="76">
        <f>COUNTIF('2月'!D10:E10,B$41)+COUNTIF('2月'!I10:J10,B$41)+COUNTIF('2月'!N10:O10,B$41)+COUNTIF('2月'!S10:T10,B$41)+COUNTIF('2月'!X10:Y10,B$41)+COUNTIF('2月'!AC10:AD10,B$41)+COUNTIF('2月'!AH10:AI10,B$41)+COUNTIF('2月'!AM10:AN10,B$41)+COUNTIF('2月'!AR10:AS10,B$41)+COUNTIF('2月'!AW10:AX10,B$41)+COUNTIF('2月'!BB10:BC10,B$41)+COUNTIF('2月'!BG10:BH10,B$41)+COUNTIF('2月'!BL10:BM10,B$41)+COUNTIF('2月'!BQ10:BR10,B$41)+COUNTIF('2月'!BV10:BW10,B$41)+COUNTIF('2月'!CA10:CB10,B$41)+COUNTIF('2月'!CF10:CG10,B$41)+COUNTIF('2月'!CK10:CL10,B$41)+COUNTIF('2月'!CP10:CQ10,B$41)+COUNTIF('2月'!CU10:CV10,B$41)+COUNTIF('2月'!CZ10:DA10,B$41)+COUNTIF('2月'!DE10:DF10,B$41)+COUNTIF('2月'!DJ10:DK10,B$41)+COUNTIF('2月'!DO10:DP10,B$41)+COUNTIF('2月'!DT10:DU10,B$41)+COUNTIF('2月'!DY10:DZ10,B$41)+COUNTIF('2月'!ED10:EE10,B$41)+COUNTIF('2月'!EI10:EJ10,B$41)+COUNTIF('2月'!EN10:EO10,B$41)+COUNTIF('2月'!ES10:ET10,B$41)</f>
        <v>0</v>
      </c>
      <c r="C49" s="76">
        <f t="shared" si="12"/>
        <v>0</v>
      </c>
      <c r="D49" s="76">
        <f>COUNTIF('2月'!D10:E10,D$41)+COUNTIF('2月'!I10:J10,D$41)+COUNTIF('2月'!N10:O10,D$41)+COUNTIF('2月'!S10:T10,D$41)+COUNTIF('2月'!X10:Y10,D$41)+COUNTIF('2月'!AC10:AD10,D$41)+COUNTIF('2月'!AH10:AI10,D$41)+COUNTIF('2月'!AM10:AN10,D$41)+COUNTIF('2月'!AR10:AS10,D$41)+COUNTIF('2月'!AW10:AX10,D$41)+COUNTIF('2月'!BB10:BC10,D$41)+COUNTIF('2月'!BG10:BH10,D$41)+COUNTIF('2月'!BL10:BM10,D$41)+COUNTIF('2月'!BQ10:BR10,D$41)+COUNTIF('2月'!BV10:BW10,D$41)+COUNTIF('2月'!CA10:CB10,D$41)+COUNTIF('2月'!CF10:CG10,D$41)+COUNTIF('2月'!CK10:CL10,D$41)+COUNTIF('2月'!CP10:CQ10,D$41)+COUNTIF('2月'!CU10:CV10,D$41)+COUNTIF('2月'!CZ10:DA10,D$41)+COUNTIF('2月'!DE10:DF10,D$41)+COUNTIF('2月'!DJ10:DK10,D$41)+COUNTIF('2月'!DO10:DP10,D$41)+COUNTIF('2月'!DT10:DU10,D$41)+COUNTIF('2月'!DY10:DZ10,D$41)+COUNTIF('2月'!ED10:EE10,D$41)+COUNTIF('2月'!EI10:EJ10,D$41)+COUNTIF('2月'!EN10:EO10,D$41)+COUNTIF('2月'!ES10:ET10,D$41)</f>
        <v>0</v>
      </c>
      <c r="E49" s="76">
        <f t="shared" si="13"/>
        <v>0</v>
      </c>
      <c r="F49" s="76">
        <f>COUNTIF('2月'!D10:E10,F$41)+COUNTIF('2月'!I10:J10,F$41)+COUNTIF('2月'!N10:O10,F$41)+COUNTIF('2月'!S10:T10,F$41)+COUNTIF('2月'!X10:Y10,F$41)+COUNTIF('2月'!AC10:AD10,F$41)+COUNTIF('2月'!AH10:AI10,F$41)+COUNTIF('2月'!AM10:AN10,F$41)+COUNTIF('2月'!AR10:AS10,F$41)+COUNTIF('2月'!AW10:AX10,F$41)+COUNTIF('2月'!BB10:BC10,F$41)+COUNTIF('2月'!BG10:BH10,F$41)+COUNTIF('2月'!BL10:BM10,F$41)+COUNTIF('2月'!BQ10:BR10,F$41)+COUNTIF('2月'!BV10:BW10,F$41)+COUNTIF('2月'!CA10:CB10,F$41)+COUNTIF('2月'!CF10:CG10,F$41)+COUNTIF('2月'!CK10:CL10,F$41)+COUNTIF('2月'!CP10:CQ10,F$41)+COUNTIF('2月'!CU10:CV10,F$41)+COUNTIF('2月'!CZ10:DA10,F$41)+COUNTIF('2月'!DE10:DF10,F$41)+COUNTIF('2月'!DJ10:DK10,F$41)+COUNTIF('2月'!DO10:DP10,F$41)+COUNTIF('2月'!DT10:DU10,F$41)+COUNTIF('2月'!DY10:DZ10,F$41)+COUNTIF('2月'!ED10:EE10,F$41)+COUNTIF('2月'!EI10:EJ10,F$41)+COUNTIF('2月'!EN10:EO10,F$41)+COUNTIF('2月'!ES10:ET10,F$41)</f>
        <v>0</v>
      </c>
      <c r="G49" s="76">
        <f t="shared" si="14"/>
        <v>0</v>
      </c>
      <c r="H49" s="76">
        <f>COUNTIF('2月'!D10:E10,H$41)+COUNTIF('2月'!I10:J10,H$41)+COUNTIF('2月'!N10:O10,H$41)+COUNTIF('2月'!S10:T10,H$41)+COUNTIF('2月'!X10:Y10,H$41)+COUNTIF('2月'!AC10:AD10,H$41)+COUNTIF('2月'!AH10:AI10,H$41)+COUNTIF('2月'!AM10:AN10,H$41)+COUNTIF('2月'!AR10:AS10,H$41)+COUNTIF('2月'!AW10:AX10,H$41)+COUNTIF('2月'!BB10:BC10,H$41)+COUNTIF('2月'!BG10:BH10,H$41)+COUNTIF('2月'!BL10:BM10,H$41)+COUNTIF('2月'!BQ10:BR10,H$41)+COUNTIF('2月'!BV10:BW10,H$41)+COUNTIF('2月'!CA10:CB10,H$41)+COUNTIF('2月'!CF10:CG10,H$41)+COUNTIF('2月'!CK10:CL10,H$41)+COUNTIF('2月'!CP10:CQ10,H$41)+COUNTIF('2月'!CU10:CV10,H$41)+COUNTIF('2月'!CZ10:DA10,H$41)+COUNTIF('2月'!DE10:DF10,H$41)+COUNTIF('2月'!DJ10:DK10,H$41)+COUNTIF('2月'!DO10:DP10,H$41)+COUNTIF('2月'!DT10:DU10,H$41)+COUNTIF('2月'!DY10:DZ10,H$41)+COUNTIF('2月'!ED10:EE10,H$41)+COUNTIF('2月'!EI10:EJ10,H$41)+COUNTIF('2月'!EN10:EO10,H$41)+COUNTIF('2月'!ES10:ET10,H$41)+COUNTIF('2月'!D10:E10,"渋谷-夜勤")+COUNTIF('2月'!I10:J10,"渋谷-夜勤")+COUNTIF('2月'!N10:O10,"渋谷-夜勤")+COUNTIF('2月'!S10:T10,"渋谷-夜勤")+COUNTIF('2月'!X10:Y10,"渋谷-夜勤")+COUNTIF('2月'!AC10:AD10,"渋谷-夜勤")+COUNTIF('2月'!AH10:AI10,"渋谷-夜勤")+COUNTIF('2月'!AM10:AN10,"渋谷-夜勤")+COUNTIF('2月'!AR10:AS10,"渋谷-夜勤")+COUNTIF('2月'!AW10:AX10,"渋谷-夜勤")+COUNTIF('2月'!BB10:BC10,"渋谷-夜勤")+COUNTIF('2月'!BG10:BH10,"渋谷-夜勤")+COUNTIF('2月'!BL10:BM10,"渋谷-夜勤")+COUNTIF('2月'!BQ10:BR10,"渋谷-夜勤")+COUNTIF('2月'!BV10:BW10,"渋谷-夜勤")+COUNTIF('2月'!CA10:CB10,"渋谷-夜勤")+COUNTIF('2月'!CF10:CG10,"渋谷-夜勤")+COUNTIF('2月'!CK10:CL10,"渋谷-夜勤")+COUNTIF('2月'!CP10:CQ10,"渋谷-夜勤")+COUNTIF('2月'!CU10:CV10,"渋谷-夜勤")+COUNTIF('2月'!CZ10:DA10,"渋谷-夜勤")+COUNTIF('2月'!DE10:DF10,"渋谷-夜勤")+COUNTIF('2月'!DJ10:DK10,"渋谷-夜勤")+COUNTIF('2月'!DO10:DP10,"渋谷-夜勤")+COUNTIF('2月'!DT10:DU10,"渋谷-夜勤")+COUNTIF('2月'!DY10:DZ10,"渋谷-夜勤")+COUNTIF('2月'!ED10:EE10,"渋谷-夜勤")+COUNTIF('2月'!EI10:EJ10,"渋谷-夜勤")+COUNTIF('2月'!EN10:EO10,"渋谷-夜勤")+COUNTIF('2月'!ES10:ET10,"渋谷-夜勤")</f>
        <v>0</v>
      </c>
      <c r="I49" s="76">
        <f t="shared" si="15"/>
        <v>0</v>
      </c>
      <c r="J49" s="76">
        <f>COUNTIF('2月'!D10:E10,J$41)+COUNTIF('2月'!I10:J10,J$41)+COUNTIF('2月'!N10:O10,J$41)+COUNTIF('2月'!S10:T10,J$41)+COUNTIF('2月'!X10:Y10,J$41)+COUNTIF('2月'!AC10:AD10,J$41)+COUNTIF('2月'!AH10:AI10,J$41)+COUNTIF('2月'!AM10:AN10,J$41)+COUNTIF('2月'!AR10:AS10,J$41)+COUNTIF('2月'!AW10:AX10,J$41)+COUNTIF('2月'!BB10:BC10,J$41)+COUNTIF('2月'!BG10:BH10,J$41)+COUNTIF('2月'!BL10:BM10,J$41)+COUNTIF('2月'!BQ10:BR10,J$41)+COUNTIF('2月'!BV10:BW10,J$41)+COUNTIF('2月'!CA10:CB10,J$41)+COUNTIF('2月'!CF10:CG10,J$41)+COUNTIF('2月'!CK10:CL10,J$41)+COUNTIF('2月'!CP10:CQ10,J$41)+COUNTIF('2月'!CU10:CV10,J$41)+COUNTIF('2月'!CZ10:DA10,J$41)+COUNTIF('2月'!DE10:DF10,J$41)+COUNTIF('2月'!DJ10:DK10,J$41)+COUNTIF('2月'!DO10:DP10,J$41)+COUNTIF('2月'!DT10:DU10,J$41)+COUNTIF('2月'!DY10:DZ10,J$41)+COUNTIF('2月'!ED10:EE10,J$41)+COUNTIF('2月'!EI10:EJ10,J$41)+COUNTIF('2月'!EN10:EO10,J$41)+COUNTIF('2月'!ES10:ET10,J$41)+COUNTIF('2月'!D10:E10,"六本木-夜勤")+COUNTIF('2月'!I10:J10,"六本木-夜勤")+COUNTIF('2月'!N10:O10,"六本木-夜勤")+COUNTIF('2月'!S10:T10,"六本木-夜勤")+COUNTIF('2月'!X10:Y10,"六本木-夜勤")+COUNTIF('2月'!AC10:AD10,"六本木-夜勤")+COUNTIF('2月'!AH10:AI10,"六本木-夜勤")+COUNTIF('2月'!AM10:AN10,"六本木-夜勤")+COUNTIF('2月'!AR10:AS10,"六本木-夜勤")+COUNTIF('2月'!AW10:AX10,"六本木-夜勤")+COUNTIF('2月'!BB10:BC10,"六本木-夜勤")+COUNTIF('2月'!BG10:BH10,"六本木-夜勤")+COUNTIF('2月'!BL10:BM10,"六本木-夜勤")+COUNTIF('2月'!BQ10:BR10,"六本木-夜勤")+COUNTIF('2月'!BV10:BW10,"六本木-夜勤")+COUNTIF('2月'!CA10:CB10,"六本木-夜勤")+COUNTIF('2月'!CF10:CG10,"六本木-夜勤")+COUNTIF('2月'!CK10:CL10,"六本木-夜勤")+COUNTIF('2月'!CP10:CQ10,"六本木-夜勤")+COUNTIF('2月'!CU10:CV10,"六本木-夜勤")+COUNTIF('2月'!CZ10:DA10,"六本木-夜勤")+COUNTIF('2月'!DE10:DF10,"六本木-夜勤")+COUNTIF('2月'!DJ10:DK10,"六本木-夜勤")+COUNTIF('2月'!DO10:DP10,"六本木-夜勤")+COUNTIF('2月'!DT10:DU10,"六本木-夜勤")+COUNTIF('2月'!DY10:DZ10,"六本木-夜勤")+COUNTIF('2月'!ED10:EE10,"六本木-夜勤")+COUNTIF('2月'!EI10:EJ10,"六本木-夜勤")+COUNTIF('2月'!EN10:EO10,"六本木-夜勤")+COUNTIF('2月'!ES10:ET10,"六本木-夜勤")+COUNTIF('2月'!D10:E10,"六本木ー夜勤")+COUNTIF('2月'!I10:J10,"六本木ー夜勤")+COUNTIF('2月'!N10:O10,"六本木ー夜勤")+COUNTIF('2月'!S10:T10,"六本木ー夜勤")+COUNTIF('2月'!X10:Y10,"六本木ー夜勤")+COUNTIF('2月'!AC10:AD10,"六本木ー夜勤")+COUNTIF('2月'!AH10:AI10,"六本木ー夜勤")+COUNTIF('2月'!AM10:AN10,"六本木ー夜勤")+COUNTIF('2月'!AR10:AS10,"六本木ー夜勤")+COUNTIF('2月'!AW10:AX10,"六本木ー夜勤")+COUNTIF('2月'!BB10:BC10,"六本木ー夜勤")+COUNTIF('2月'!BG10:BH10,"六本木ー夜勤")+COUNTIF('2月'!BL10:BM10,"六本木ー夜勤")+COUNTIF('2月'!BQ10:BR10,"六本木ー夜勤")+COUNTIF('2月'!BV10:BW10,"六本木ー夜勤")+COUNTIF('2月'!CA10:CB10,"六本木ー夜勤")+COUNTIF('2月'!CF10:CG10,"六本木ー夜勤")+COUNTIF('2月'!CK10:CL10,"六本木ー夜勤")+COUNTIF('2月'!CP10:CQ10,"六本木ー夜勤")+COUNTIF('2月'!CU10:CV10,"六本木ー夜勤")+COUNTIF('2月'!CZ10:DA10,"六本木ー夜勤")+COUNTIF('2月'!DE10:DF10,"六本木ー夜勤")+COUNTIF('2月'!DJ10:DK10,"六本木ー夜勤")+COUNTIF('2月'!DO10:DP10,"六本木ー夜勤")+COUNTIF('2月'!DT10:DU10,"六本木ー夜勤")+COUNTIF('2月'!DY10:DZ10,"六本木ー夜勤")+COUNTIF('2月'!ED10:EE10,"六本木ー夜勤")+COUNTIF('2月'!EI10:EJ10,"六本木ー夜勤")+COUNTIF('2月'!EN10:EO10,"六本木ー夜勤")+COUNTIF('2月'!ES10:ET10,"六本木ー夜勤")</f>
        <v>0</v>
      </c>
      <c r="K49" s="76">
        <f t="shared" si="16"/>
        <v>0</v>
      </c>
      <c r="L49" s="76">
        <f>COUNTIF('2月'!D10:E10,L$41)+COUNTIF('2月'!I10:J10,L$41)+COUNTIF('2月'!N10:O10,L$41)+COUNTIF('2月'!S10:T10,L$41)+COUNTIF('2月'!X10:Y10,L$41)+COUNTIF('2月'!AC10:AD10,L$41)+COUNTIF('2月'!AH10:AI10,L$41)+COUNTIF('2月'!AM10:AN10,L$41)+COUNTIF('2月'!AR10:AS10,L$41)+COUNTIF('2月'!AW10:AX10,L$41)+COUNTIF('2月'!BB10:BC10,L$41)+COUNTIF('2月'!BG10:BH10,L$41)+COUNTIF('2月'!BL10:BM10,L$41)+COUNTIF('2月'!BQ10:BR10,L$41)+COUNTIF('2月'!BV10:BW10,L$41)+COUNTIF('2月'!CA10:CB10,L$41)+COUNTIF('2月'!CF10:CG10,L$41)+COUNTIF('2月'!CK10:CL10,L$41)+COUNTIF('2月'!CP10:CQ10,L$41)+COUNTIF('2月'!CU10:CV10,L$41)+COUNTIF('2月'!CZ10:DA10,L$41)+COUNTIF('2月'!DE10:DF10,L$41)+COUNTIF('2月'!DJ10:DK10,L$41)+COUNTIF('2月'!DO10:DP10,L$41)+COUNTIF('2月'!DT10:DU10,L$41)+COUNTIF('2月'!DY10:DZ10,L$41)+COUNTIF('2月'!ED10:EE10,L$41)+COUNTIF('2月'!EI10:EJ10,L$41)+COUNTIF('2月'!EN10:EO10,L$41)+COUNTIF('2月'!ES10:ET10,L$41)</f>
        <v>0</v>
      </c>
      <c r="M49" s="76">
        <f t="shared" si="17"/>
        <v>0</v>
      </c>
      <c r="N49" s="76">
        <f>COUNTIF('2月'!D10:E10,N$41)+COUNTIF('2月'!I10:J10,N$41)+COUNTIF('2月'!N10:O10,N$41)+COUNTIF('2月'!S10:T10,N$41)+COUNTIF('2月'!X10:Y10,N$41)+COUNTIF('2月'!AC10:AD10,N$41)+COUNTIF('2月'!AH10:AI10,N$41)+COUNTIF('2月'!AM10:AN10,N$41)+COUNTIF('2月'!AR10:AS10,N$41)+COUNTIF('2月'!AW10:AX10,N$41)+COUNTIF('2月'!BB10:BC10,N$41)+COUNTIF('2月'!BG10:BH10,N$41)+COUNTIF('2月'!BL10:BM10,N$41)+COUNTIF('2月'!BQ10:BR10,N$41)+COUNTIF('2月'!BV10:BW10,N$41)+COUNTIF('2月'!CA10:CB10,N$41)+COUNTIF('2月'!CF10:CG10,N$41)+COUNTIF('2月'!CK10:CL10,N$41)+COUNTIF('2月'!CP10:CQ10,N$41)+COUNTIF('2月'!CU10:CV10,N$41)+COUNTIF('2月'!CZ10:DA10,N$41)+COUNTIF('2月'!DE10:DF10,N$41)+COUNTIF('2月'!DJ10:DK10,N$41)+COUNTIF('2月'!DO10:DP10,N$41)+COUNTIF('2月'!DT10:DU10,N$41)+COUNTIF('2月'!DY10:DZ10,N$41)+COUNTIF('2月'!ED10:EE10,N$41)+COUNTIF('2月'!EI10:EJ10,N$41)+COUNTIF('2月'!EN10:EO10,N$41)+COUNTIF('2月'!ES10:ET10,N$41)+COUNTIF('2月'!D10:E10,"三軒茶屋－夜勤")+COUNTIF('2月'!I10:J10,"三軒茶屋－夜勤")+COUNTIF('2月'!N10:O10,"三軒茶屋－夜勤")+COUNTIF('2月'!S10:T10,"三軒茶屋－夜勤")+COUNTIF('2月'!X10:Y10,"三軒茶屋－夜勤")+COUNTIF('2月'!AC10:AD10,"三軒茶屋－夜勤")+COUNTIF('2月'!AH10:AI10,"三軒茶屋－夜勤")+COUNTIF('2月'!AM10:AN10,"三軒茶屋－夜勤")+COUNTIF('2月'!AR10:AS10,"三軒茶屋－夜勤")+COUNTIF('2月'!AW10:AX10,"三軒茶屋－夜勤")+COUNTIF('2月'!BB10:BC10,"三軒茶屋－夜勤")+COUNTIF('2月'!BG10:BH10,"三軒茶屋－夜勤")+COUNTIF('2月'!BL10:BM10,"三軒茶屋－夜勤")+COUNTIF('2月'!BQ10:BR10,"三軒茶屋－夜勤")+COUNTIF('2月'!BV10:BW10,"三軒茶屋－夜勤")+COUNTIF('2月'!CA10:CB10,"三軒茶屋－夜勤")+COUNTIF('2月'!CF10:CG10,"三軒茶屋－夜勤")+COUNTIF('2月'!CK10:CL10,"三軒茶屋－夜勤")+COUNTIF('2月'!CP10:CQ10,"三軒茶屋－夜勤")+COUNTIF('2月'!CU10:CV10,"三軒茶屋－夜勤")+COUNTIF('2月'!CZ10:DA10,"三軒茶屋－夜勤")+COUNTIF('2月'!DE10:DF10,"三軒茶屋－夜勤")+COUNTIF('2月'!DJ10:DK10,"三軒茶屋－夜勤")+COUNTIF('2月'!DO10:DP10,"三軒茶屋－夜勤")+COUNTIF('2月'!DT10:DU10,"三軒茶屋－夜勤")+COUNTIF('2月'!DY10:DZ10,"三軒茶屋－夜勤")+COUNTIF('2月'!ED10:EE10,"三軒茶屋－夜勤")+COUNTIF('2月'!EI10:EJ10,"三軒茶屋－夜勤")+COUNTIF('2月'!EN10:EO10,"三軒茶屋－夜勤")+COUNTIF('2月'!ES10:ET10,"三軒茶屋－夜勤")</f>
        <v>0</v>
      </c>
      <c r="O49" s="76">
        <f t="shared" si="18"/>
        <v>0</v>
      </c>
      <c r="P49" s="76">
        <f>COUNTIF('2月'!D10:E10,P$41)+COUNTIF('2月'!I10:J10,P$41)+COUNTIF('2月'!N10:O10,P$41)+COUNTIF('2月'!S10:T10,P$41)+COUNTIF('2月'!X10:Y10,P$41)+COUNTIF('2月'!AC10:AD10,P$41)+COUNTIF('2月'!AH10:AI10,P$41)+COUNTIF('2月'!AM10:AN10,P$41)+COUNTIF('2月'!AR10:AS10,P$41)+COUNTIF('2月'!AW10:AX10,P$41)+COUNTIF('2月'!BB10:BC10,P$41)+COUNTIF('2月'!BG10:BH10,P$41)+COUNTIF('2月'!BL10:BM10,P$41)+COUNTIF('2月'!BQ10:BR10,P$41)+COUNTIF('2月'!BV10:BW10,P$41)+COUNTIF('2月'!CA10:CB10,P$41)+COUNTIF('2月'!CF10:CG10,P$41)+COUNTIF('2月'!CK10:CL10,P$41)+COUNTIF('2月'!CP10:CQ10,P$41)+COUNTIF('2月'!CU10:CV10,P$41)+COUNTIF('2月'!CZ10:DA10,P$41)+COUNTIF('2月'!DE10:DF10,P$41)+COUNTIF('2月'!DJ10:DK10,P$41)+COUNTIF('2月'!DO10:DP10,P$41)+COUNTIF('2月'!DT10:DU10,P$41)+COUNTIF('2月'!DY10:DZ10,P$41)+COUNTIF('2月'!ED10:EE10,P$41)+COUNTIF('2月'!EI10:EJ10,P$41)+COUNTIF('2月'!EN10:EO10,P$41)+COUNTIF('2月'!ES10:ET10,P$41)+COUNTIF('2月'!D10:E10,"荻窪ー夜勤")+COUNTIF('2月'!I10:J10,"荻窪ー夜勤")+COUNTIF('2月'!N10:O10,"荻窪ー夜勤")+COUNTIF('2月'!S10:T10,"荻窪ー夜勤")+COUNTIF('2月'!X10:Y10,"荻窪ー夜勤")+COUNTIF('2月'!AC10:AD10,"荻窪ー夜勤")+COUNTIF('2月'!AH10:AI10,"荻窪ー夜勤")+COUNTIF('2月'!AM10:AN10,"荻窪ー夜勤")+COUNTIF('2月'!AR10:AS10,"荻窪ー夜勤")+COUNTIF('2月'!AW10:AX10,"荻窪ー夜勤")+COUNTIF('2月'!BB10:BC10,"荻窪ー夜勤")+COUNTIF('2月'!BG10:BH10,"荻窪ー夜勤")+COUNTIF('2月'!BL10:BM10,"荻窪ー夜勤")+COUNTIF('2月'!BQ10:BR10,"荻窪ー夜勤")+COUNTIF('2月'!BV10:BW10,"荻窪ー夜勤")+COUNTIF('2月'!CA10:CB10,"荻窪ー夜勤")+COUNTIF('2月'!CF10:CG10,"荻窪ー夜勤")+COUNTIF('2月'!CK10:CL10,"荻窪ー夜勤")+COUNTIF('2月'!CP10:CQ10,"荻窪ー夜勤")+COUNTIF('2月'!CU10:CV10,"荻窪ー夜勤")+COUNTIF('2月'!CZ10:DA10,"荻窪ー夜勤")+COUNTIF('2月'!DE10:DF10,"荻窪ー夜勤")+COUNTIF('2月'!DJ10:DK10,"荻窪ー夜勤")+COUNTIF('2月'!DO10:DP10,"荻窪ー夜勤")+COUNTIF('2月'!DT10:DU10,"荻窪ー夜勤")+COUNTIF('2月'!DY10:DZ10,"荻窪ー夜勤")+COUNTIF('2月'!ED10:EE10,"荻窪ー夜勤")+COUNTIF('2月'!EI10:EJ10,"荻窪ー夜勤")+COUNTIF('2月'!EN10:EO10,"荻窪ー夜勤")+COUNTIF('2月'!ES10:ET10,"荻窪ー夜勤")</f>
        <v>0</v>
      </c>
      <c r="Q49" s="76">
        <f t="shared" si="19"/>
        <v>0</v>
      </c>
      <c r="R49" s="76">
        <f>COUNTIF('2月'!D10:E10,R$41)+COUNTIF('2月'!I10:J10,R$41)+COUNTIF('2月'!N10:O10,R$41)+COUNTIF('2月'!S10:T10,R$41)+COUNTIF('2月'!X10:Y10,R$41)+COUNTIF('2月'!AC10:AD10,R$41)+COUNTIF('2月'!AH10:AI10,R$41)+COUNTIF('2月'!AM10:AN10,R$41)+COUNTIF('2月'!AR10:AS10,R$41)+COUNTIF('2月'!AW10:AX10,R$41)+COUNTIF('2月'!BB10:BC10,R$41)+COUNTIF('2月'!BG10:BH10,R$41)+COUNTIF('2月'!BL10:BM10,R$41)+COUNTIF('2月'!BQ10:BR10,R$41)+COUNTIF('2月'!BV10:BW10,R$41)+COUNTIF('2月'!CA10:CB10,R$41)+COUNTIF('2月'!CF10:CG10,R$41)+COUNTIF('2月'!CK10:CL10,R$41)+COUNTIF('2月'!CP10:CQ10,R$41)+COUNTIF('2月'!CU10:CV10,R$41)+COUNTIF('2月'!CZ10:DA10,R$41)+COUNTIF('2月'!DE10:DF10,R$41)+COUNTIF('2月'!DJ10:DK10,R$41)+COUNTIF('2月'!DO10:DP10,R$41)+COUNTIF('2月'!DT10:DU10,R$41)+COUNTIF('2月'!DY10:DZ10,R$41)+COUNTIF('2月'!ED10:EE10,R$41)+COUNTIF('2月'!EI10:EJ10,R$41)+COUNTIF('2月'!EN10:EO10,R$41)+COUNTIF('2月'!ES10:ET10,R$41)</f>
        <v>0</v>
      </c>
      <c r="S49" s="76">
        <f t="shared" si="20"/>
        <v>0</v>
      </c>
      <c r="T49" s="76">
        <f>COUNTIF('2月'!D10:E10,T$41)+COUNTIF('2月'!I10:J10,T$41)+COUNTIF('2月'!N10:O10,T$41)+COUNTIF('2月'!S10:T10,T$41)+COUNTIF('2月'!X10:Y10,T$41)+COUNTIF('2月'!AC10:AD10,T$41)+COUNTIF('2月'!AH10:AI10,T$41)+COUNTIF('2月'!AM10:AN10,T$41)+COUNTIF('2月'!AR10:AS10,T$41)+COUNTIF('2月'!AW10:AX10,T$41)+COUNTIF('2月'!BB10:BC10,T$41)+COUNTIF('2月'!BG10:BH10,T$41)+COUNTIF('2月'!BL10:BM10,T$41)+COUNTIF('2月'!BQ10:BR10,T$41)+COUNTIF('2月'!BV10:BW10,T$41)+COUNTIF('2月'!CA10:CB10,T$41)+COUNTIF('2月'!CF10:CG10,T$41)+COUNTIF('2月'!CK10:CL10,T$41)+COUNTIF('2月'!CP10:CQ10,T$41)+COUNTIF('2月'!CU10:CV10,T$41)+COUNTIF('2月'!CZ10:DA10,T$41)+COUNTIF('2月'!DE10:DF10,T$41)+COUNTIF('2月'!DJ10:DK10,T$41)+COUNTIF('2月'!DO10:DP10,T$41)+COUNTIF('2月'!DT10:DU10,T$41)+COUNTIF('2月'!DY10:DZ10,T$41)+COUNTIF('2月'!ED10:EE10,T$41)+COUNTIF('2月'!EI10:EJ10,T$41)+COUNTIF('2月'!EN10:EO10,T$41)+COUNTIF('2月'!ES10:ET10,T$41)</f>
        <v>0</v>
      </c>
      <c r="U49" s="76">
        <f t="shared" si="21"/>
        <v>0</v>
      </c>
      <c r="V49" s="76">
        <f>COUNTIF('2月'!D10:E10,V$41)+COUNTIF('2月'!I10:J10,V$41)+COUNTIF('2月'!N10:O10,V$41)+COUNTIF('2月'!S10:T10,V$41)+COUNTIF('2月'!X10:Y10,V$41)+COUNTIF('2月'!AC10:AD10,V$41)+COUNTIF('2月'!AH10:AI10,V$41)+COUNTIF('2月'!AM10:AN10,V$41)+COUNTIF('2月'!AR10:AS10,V$41)+COUNTIF('2月'!AW10:AX10,V$41)+COUNTIF('2月'!BB10:BC10,V$41)+COUNTIF('2月'!BG10:BH10,V$41)+COUNTIF('2月'!BL10:BM10,V$41)+COUNTIF('2月'!BQ10:BR10,V$41)+COUNTIF('2月'!BV10:BW10,V$41)+COUNTIF('2月'!CA10:CB10,V$41)+COUNTIF('2月'!CF10:CG10,V$41)+COUNTIF('2月'!CK10:CL10,V$41)+COUNTIF('2月'!CP10:CQ10,V$41)+COUNTIF('2月'!CU10:CV10,V$41)+COUNTIF('2月'!CZ10:DA10,V$41)+COUNTIF('2月'!DE10:DF10,V$41)+COUNTIF('2月'!DJ10:DK10,V$41)+COUNTIF('2月'!DO10:DP10,V$41)+COUNTIF('2月'!DT10:DU10,V$41)+COUNTIF('2月'!DY10:DZ10,V$41)+COUNTIF('2月'!ED10:EE10,V$41)+COUNTIF('2月'!EI10:EJ10,V$41)+COUNTIF('2月'!EN10:EO10,V$41)+COUNTIF('2月'!ES10:ET10,V$41)</f>
        <v>0</v>
      </c>
      <c r="W49" s="76">
        <f t="shared" si="22"/>
        <v>0</v>
      </c>
      <c r="X49" s="76">
        <f>COUNTIF('2月'!D10:E10,X$41)+COUNTIF('2月'!I10:J10,X$41)+COUNTIF('2月'!N10:O10,X$41)+COUNTIF('2月'!S10:T10,X$41)+COUNTIF('2月'!X10:Y10,X$41)+COUNTIF('2月'!AC10:AD10,X$41)+COUNTIF('2月'!AH10:AI10,X$41)+COUNTIF('2月'!AM10:AN10,X$41)+COUNTIF('2月'!AR10:AS10,X$41)+COUNTIF('2月'!AW10:AX10,X$41)+COUNTIF('2月'!BB10:BC10,X$41)+COUNTIF('2月'!BG10:BH10,X$41)+COUNTIF('2月'!BL10:BM10,X$41)+COUNTIF('2月'!BQ10:BR10,X$41)+COUNTIF('2月'!BV10:BW10,X$41)+COUNTIF('2月'!CA10:CB10,X$41)+COUNTIF('2月'!CF10:CG10,X$41)+COUNTIF('2月'!CK10:CL10,X$41)+COUNTIF('2月'!CP10:CQ10,X$41)+COUNTIF('2月'!CU10:CV10,X$41)+COUNTIF('2月'!CZ10:DA10,X$41)+COUNTIF('2月'!DE10:DF10,X$41)+COUNTIF('2月'!DJ10:DK10,X$41)+COUNTIF('2月'!DO10:DP10,X$41)+COUNTIF('2月'!DT10:DU10,X$41)+COUNTIF('2月'!DY10:DZ10,X$41)+COUNTIF('2月'!ED10:EE10,X$41)+COUNTIF('2月'!EI10:EJ10,X$41)+COUNTIF('2月'!EN10:EO10,X$41)+COUNTIF('2月'!ES10:ET10,X$41)</f>
        <v>0</v>
      </c>
      <c r="Y49" s="76">
        <f t="shared" si="23"/>
        <v>0</v>
      </c>
    </row>
    <row r="50" spans="1:25" ht="18" customHeight="1">
      <c r="A50" s="76">
        <v>8</v>
      </c>
      <c r="B50" s="76">
        <f>COUNTIF('2月'!D11:E11,B$41)+COUNTIF('2月'!I11:J11,B$41)+COUNTIF('2月'!N11:O11,B$41)+COUNTIF('2月'!S11:T11,B$41)+COUNTIF('2月'!X11:Y11,B$41)+COUNTIF('2月'!AC11:AD11,B$41)+COUNTIF('2月'!AH11:AI11,B$41)+COUNTIF('2月'!AM11:AN11,B$41)+COUNTIF('2月'!AR11:AS11,B$41)+COUNTIF('2月'!AW11:AX11,B$41)+COUNTIF('2月'!BB11:BC11,B$41)+COUNTIF('2月'!BG11:BH11,B$41)+COUNTIF('2月'!BL11:BM11,B$41)+COUNTIF('2月'!BQ11:BR11,B$41)+COUNTIF('2月'!BV11:BW11,B$41)+COUNTIF('2月'!CA11:CB11,B$41)+COUNTIF('2月'!CF11:CG11,B$41)+COUNTIF('2月'!CK11:CL11,B$41)+COUNTIF('2月'!CP11:CQ11,B$41)+COUNTIF('2月'!CU11:CV11,B$41)+COUNTIF('2月'!CZ11:DA11,B$41)+COUNTIF('2月'!DE11:DF11,B$41)+COUNTIF('2月'!DJ11:DK11,B$41)+COUNTIF('2月'!DO11:DP11,B$41)+COUNTIF('2月'!DT11:DU11,B$41)+COUNTIF('2月'!DY11:DZ11,B$41)+COUNTIF('2月'!ED11:EE11,B$41)+COUNTIF('2月'!EI11:EJ11,B$41)+COUNTIF('2月'!EN11:EO11,B$41)+COUNTIF('2月'!ES11:ET11,B$41)</f>
        <v>0</v>
      </c>
      <c r="C50" s="76">
        <f t="shared" si="12"/>
        <v>0</v>
      </c>
      <c r="D50" s="76">
        <f>COUNTIF('2月'!D11:E11,D$41)+COUNTIF('2月'!I11:J11,D$41)+COUNTIF('2月'!N11:O11,D$41)+COUNTIF('2月'!S11:T11,D$41)+COUNTIF('2月'!X11:Y11,D$41)+COUNTIF('2月'!AC11:AD11,D$41)+COUNTIF('2月'!AH11:AI11,D$41)+COUNTIF('2月'!AM11:AN11,D$41)+COUNTIF('2月'!AR11:AS11,D$41)+COUNTIF('2月'!AW11:AX11,D$41)+COUNTIF('2月'!BB11:BC11,D$41)+COUNTIF('2月'!BG11:BH11,D$41)+COUNTIF('2月'!BL11:BM11,D$41)+COUNTIF('2月'!BQ11:BR11,D$41)+COUNTIF('2月'!BV11:BW11,D$41)+COUNTIF('2月'!CA11:CB11,D$41)+COUNTIF('2月'!CF11:CG11,D$41)+COUNTIF('2月'!CK11:CL11,D$41)+COUNTIF('2月'!CP11:CQ11,D$41)+COUNTIF('2月'!CU11:CV11,D$41)+COUNTIF('2月'!CZ11:DA11,D$41)+COUNTIF('2月'!DE11:DF11,D$41)+COUNTIF('2月'!DJ11:DK11,D$41)+COUNTIF('2月'!DO11:DP11,D$41)+COUNTIF('2月'!DT11:DU11,D$41)+COUNTIF('2月'!DY11:DZ11,D$41)+COUNTIF('2月'!ED11:EE11,D$41)+COUNTIF('2月'!EI11:EJ11,D$41)+COUNTIF('2月'!EN11:EO11,D$41)+COUNTIF('2月'!ES11:ET11,D$41)</f>
        <v>0</v>
      </c>
      <c r="E50" s="76">
        <f t="shared" si="13"/>
        <v>0</v>
      </c>
      <c r="F50" s="76">
        <f>COUNTIF('2月'!D11:E11,F$41)+COUNTIF('2月'!I11:J11,F$41)+COUNTIF('2月'!N11:O11,F$41)+COUNTIF('2月'!S11:T11,F$41)+COUNTIF('2月'!X11:Y11,F$41)+COUNTIF('2月'!AC11:AD11,F$41)+COUNTIF('2月'!AH11:AI11,F$41)+COUNTIF('2月'!AM11:AN11,F$41)+COUNTIF('2月'!AR11:AS11,F$41)+COUNTIF('2月'!AW11:AX11,F$41)+COUNTIF('2月'!BB11:BC11,F$41)+COUNTIF('2月'!BG11:BH11,F$41)+COUNTIF('2月'!BL11:BM11,F$41)+COUNTIF('2月'!BQ11:BR11,F$41)+COUNTIF('2月'!BV11:BW11,F$41)+COUNTIF('2月'!CA11:CB11,F$41)+COUNTIF('2月'!CF11:CG11,F$41)+COUNTIF('2月'!CK11:CL11,F$41)+COUNTIF('2月'!CP11:CQ11,F$41)+COUNTIF('2月'!CU11:CV11,F$41)+COUNTIF('2月'!CZ11:DA11,F$41)+COUNTIF('2月'!DE11:DF11,F$41)+COUNTIF('2月'!DJ11:DK11,F$41)+COUNTIF('2月'!DO11:DP11,F$41)+COUNTIF('2月'!DT11:DU11,F$41)+COUNTIF('2月'!DY11:DZ11,F$41)+COUNTIF('2月'!ED11:EE11,F$41)+COUNTIF('2月'!EI11:EJ11,F$41)+COUNTIF('2月'!EN11:EO11,F$41)+COUNTIF('2月'!ES11:ET11,F$41)</f>
        <v>0</v>
      </c>
      <c r="G50" s="76">
        <f t="shared" si="14"/>
        <v>0</v>
      </c>
      <c r="H50" s="76">
        <f>COUNTIF('2月'!D11:E11,H$41)+COUNTIF('2月'!I11:J11,H$41)+COUNTIF('2月'!N11:O11,H$41)+COUNTIF('2月'!S11:T11,H$41)+COUNTIF('2月'!X11:Y11,H$41)+COUNTIF('2月'!AC11:AD11,H$41)+COUNTIF('2月'!AH11:AI11,H$41)+COUNTIF('2月'!AM11:AN11,H$41)+COUNTIF('2月'!AR11:AS11,H$41)+COUNTIF('2月'!AW11:AX11,H$41)+COUNTIF('2月'!BB11:BC11,H$41)+COUNTIF('2月'!BG11:BH11,H$41)+COUNTIF('2月'!BL11:BM11,H$41)+COUNTIF('2月'!BQ11:BR11,H$41)+COUNTIF('2月'!BV11:BW11,H$41)+COUNTIF('2月'!CA11:CB11,H$41)+COUNTIF('2月'!CF11:CG11,H$41)+COUNTIF('2月'!CK11:CL11,H$41)+COUNTIF('2月'!CP11:CQ11,H$41)+COUNTIF('2月'!CU11:CV11,H$41)+COUNTIF('2月'!CZ11:DA11,H$41)+COUNTIF('2月'!DE11:DF11,H$41)+COUNTIF('2月'!DJ11:DK11,H$41)+COUNTIF('2月'!DO11:DP11,H$41)+COUNTIF('2月'!DT11:DU11,H$41)+COUNTIF('2月'!DY11:DZ11,H$41)+COUNTIF('2月'!ED11:EE11,H$41)+COUNTIF('2月'!EI11:EJ11,H$41)+COUNTIF('2月'!EN11:EO11,H$41)+COUNTIF('2月'!ES11:ET11,H$41)+COUNTIF('2月'!D11:E11,"渋谷-夜勤")+COUNTIF('2月'!I11:J11,"渋谷-夜勤")+COUNTIF('2月'!N11:O11,"渋谷-夜勤")+COUNTIF('2月'!S11:T11,"渋谷-夜勤")+COUNTIF('2月'!X11:Y11,"渋谷-夜勤")+COUNTIF('2月'!AC11:AD11,"渋谷-夜勤")+COUNTIF('2月'!AH11:AI11,"渋谷-夜勤")+COUNTIF('2月'!AM11:AN11,"渋谷-夜勤")+COUNTIF('2月'!AR11:AS11,"渋谷-夜勤")+COUNTIF('2月'!AW11:AX11,"渋谷-夜勤")+COUNTIF('2月'!BB11:BC11,"渋谷-夜勤")+COUNTIF('2月'!BG11:BH11,"渋谷-夜勤")+COUNTIF('2月'!BL11:BM11,"渋谷-夜勤")+COUNTIF('2月'!BQ11:BR11,"渋谷-夜勤")+COUNTIF('2月'!BV11:BW11,"渋谷-夜勤")+COUNTIF('2月'!CA11:CB11,"渋谷-夜勤")+COUNTIF('2月'!CF11:CG11,"渋谷-夜勤")+COUNTIF('2月'!CK11:CL11,"渋谷-夜勤")+COUNTIF('2月'!CP11:CQ11,"渋谷-夜勤")+COUNTIF('2月'!CU11:CV11,"渋谷-夜勤")+COUNTIF('2月'!CZ11:DA11,"渋谷-夜勤")+COUNTIF('2月'!DE11:DF11,"渋谷-夜勤")+COUNTIF('2月'!DJ11:DK11,"渋谷-夜勤")+COUNTIF('2月'!DO11:DP11,"渋谷-夜勤")+COUNTIF('2月'!DT11:DU11,"渋谷-夜勤")+COUNTIF('2月'!DY11:DZ11,"渋谷-夜勤")+COUNTIF('2月'!ED11:EE11,"渋谷-夜勤")+COUNTIF('2月'!EI11:EJ11,"渋谷-夜勤")+COUNTIF('2月'!EN11:EO11,"渋谷-夜勤")+COUNTIF('2月'!ES11:ET11,"渋谷-夜勤")</f>
        <v>0</v>
      </c>
      <c r="I50" s="76">
        <f t="shared" si="15"/>
        <v>0</v>
      </c>
      <c r="J50" s="76">
        <f>COUNTIF('2月'!D11:E11,J$41)+COUNTIF('2月'!I11:J11,J$41)+COUNTIF('2月'!N11:O11,J$41)+COUNTIF('2月'!S11:T11,J$41)+COUNTIF('2月'!X11:Y11,J$41)+COUNTIF('2月'!AC11:AD11,J$41)+COUNTIF('2月'!AH11:AI11,J$41)+COUNTIF('2月'!AM11:AN11,J$41)+COUNTIF('2月'!AR11:AS11,J$41)+COUNTIF('2月'!AW11:AX11,J$41)+COUNTIF('2月'!BB11:BC11,J$41)+COUNTIF('2月'!BG11:BH11,J$41)+COUNTIF('2月'!BL11:BM11,J$41)+COUNTIF('2月'!BQ11:BR11,J$41)+COUNTIF('2月'!BV11:BW11,J$41)+COUNTIF('2月'!CA11:CB11,J$41)+COUNTIF('2月'!CF11:CG11,J$41)+COUNTIF('2月'!CK11:CL11,J$41)+COUNTIF('2月'!CP11:CQ11,J$41)+COUNTIF('2月'!CU11:CV11,J$41)+COUNTIF('2月'!CZ11:DA11,J$41)+COUNTIF('2月'!DE11:DF11,J$41)+COUNTIF('2月'!DJ11:DK11,J$41)+COUNTIF('2月'!DO11:DP11,J$41)+COUNTIF('2月'!DT11:DU11,J$41)+COUNTIF('2月'!DY11:DZ11,J$41)+COUNTIF('2月'!ED11:EE11,J$41)+COUNTIF('2月'!EI11:EJ11,J$41)+COUNTIF('2月'!EN11:EO11,J$41)+COUNTIF('2月'!ES11:ET11,J$41)+COUNTIF('2月'!D11:E11,"六本木-夜勤")+COUNTIF('2月'!I11:J11,"六本木-夜勤")+COUNTIF('2月'!N11:O11,"六本木-夜勤")+COUNTIF('2月'!S11:T11,"六本木-夜勤")+COUNTIF('2月'!X11:Y11,"六本木-夜勤")+COUNTIF('2月'!AC11:AD11,"六本木-夜勤")+COUNTIF('2月'!AH11:AI11,"六本木-夜勤")+COUNTIF('2月'!AM11:AN11,"六本木-夜勤")+COUNTIF('2月'!AR11:AS11,"六本木-夜勤")+COUNTIF('2月'!AW11:AX11,"六本木-夜勤")+COUNTIF('2月'!BB11:BC11,"六本木-夜勤")+COUNTIF('2月'!BG11:BH11,"六本木-夜勤")+COUNTIF('2月'!BL11:BM11,"六本木-夜勤")+COUNTIF('2月'!BQ11:BR11,"六本木-夜勤")+COUNTIF('2月'!BV11:BW11,"六本木-夜勤")+COUNTIF('2月'!CA11:CB11,"六本木-夜勤")+COUNTIF('2月'!CF11:CG11,"六本木-夜勤")+COUNTIF('2月'!CK11:CL11,"六本木-夜勤")+COUNTIF('2月'!CP11:CQ11,"六本木-夜勤")+COUNTIF('2月'!CU11:CV11,"六本木-夜勤")+COUNTIF('2月'!CZ11:DA11,"六本木-夜勤")+COUNTIF('2月'!DE11:DF11,"六本木-夜勤")+COUNTIF('2月'!DJ11:DK11,"六本木-夜勤")+COUNTIF('2月'!DO11:DP11,"六本木-夜勤")+COUNTIF('2月'!DT11:DU11,"六本木-夜勤")+COUNTIF('2月'!DY11:DZ11,"六本木-夜勤")+COUNTIF('2月'!ED11:EE11,"六本木-夜勤")+COUNTIF('2月'!EI11:EJ11,"六本木-夜勤")+COUNTIF('2月'!EN11:EO11,"六本木-夜勤")+COUNTIF('2月'!ES11:ET11,"六本木-夜勤")+COUNTIF('2月'!D11:E11,"六本木ー夜勤")+COUNTIF('2月'!I11:J11,"六本木ー夜勤")+COUNTIF('2月'!N11:O11,"六本木ー夜勤")+COUNTIF('2月'!S11:T11,"六本木ー夜勤")+COUNTIF('2月'!X11:Y11,"六本木ー夜勤")+COUNTIF('2月'!AC11:AD11,"六本木ー夜勤")+COUNTIF('2月'!AH11:AI11,"六本木ー夜勤")+COUNTIF('2月'!AM11:AN11,"六本木ー夜勤")+COUNTIF('2月'!AR11:AS11,"六本木ー夜勤")+COUNTIF('2月'!AW11:AX11,"六本木ー夜勤")+COUNTIF('2月'!BB11:BC11,"六本木ー夜勤")+COUNTIF('2月'!BG11:BH11,"六本木ー夜勤")+COUNTIF('2月'!BL11:BM11,"六本木ー夜勤")+COUNTIF('2月'!BQ11:BR11,"六本木ー夜勤")+COUNTIF('2月'!BV11:BW11,"六本木ー夜勤")+COUNTIF('2月'!CA11:CB11,"六本木ー夜勤")+COUNTIF('2月'!CF11:CG11,"六本木ー夜勤")+COUNTIF('2月'!CK11:CL11,"六本木ー夜勤")+COUNTIF('2月'!CP11:CQ11,"六本木ー夜勤")+COUNTIF('2月'!CU11:CV11,"六本木ー夜勤")+COUNTIF('2月'!CZ11:DA11,"六本木ー夜勤")+COUNTIF('2月'!DE11:DF11,"六本木ー夜勤")+COUNTIF('2月'!DJ11:DK11,"六本木ー夜勤")+COUNTIF('2月'!DO11:DP11,"六本木ー夜勤")+COUNTIF('2月'!DT11:DU11,"六本木ー夜勤")+COUNTIF('2月'!DY11:DZ11,"六本木ー夜勤")+COUNTIF('2月'!ED11:EE11,"六本木ー夜勤")+COUNTIF('2月'!EI11:EJ11,"六本木ー夜勤")+COUNTIF('2月'!EN11:EO11,"六本木ー夜勤")+COUNTIF('2月'!ES11:ET11,"六本木ー夜勤")</f>
        <v>0</v>
      </c>
      <c r="K50" s="76">
        <f t="shared" si="16"/>
        <v>0</v>
      </c>
      <c r="L50" s="76">
        <f>COUNTIF('2月'!D11:E11,L$41)+COUNTIF('2月'!I11:J11,L$41)+COUNTIF('2月'!N11:O11,L$41)+COUNTIF('2月'!S11:T11,L$41)+COUNTIF('2月'!X11:Y11,L$41)+COUNTIF('2月'!AC11:AD11,L$41)+COUNTIF('2月'!AH11:AI11,L$41)+COUNTIF('2月'!AM11:AN11,L$41)+COUNTIF('2月'!AR11:AS11,L$41)+COUNTIF('2月'!AW11:AX11,L$41)+COUNTIF('2月'!BB11:BC11,L$41)+COUNTIF('2月'!BG11:BH11,L$41)+COUNTIF('2月'!BL11:BM11,L$41)+COUNTIF('2月'!BQ11:BR11,L$41)+COUNTIF('2月'!BV11:BW11,L$41)+COUNTIF('2月'!CA11:CB11,L$41)+COUNTIF('2月'!CF11:CG11,L$41)+COUNTIF('2月'!CK11:CL11,L$41)+COUNTIF('2月'!CP11:CQ11,L$41)+COUNTIF('2月'!CU11:CV11,L$41)+COUNTIF('2月'!CZ11:DA11,L$41)+COUNTIF('2月'!DE11:DF11,L$41)+COUNTIF('2月'!DJ11:DK11,L$41)+COUNTIF('2月'!DO11:DP11,L$41)+COUNTIF('2月'!DT11:DU11,L$41)+COUNTIF('2月'!DY11:DZ11,L$41)+COUNTIF('2月'!ED11:EE11,L$41)+COUNTIF('2月'!EI11:EJ11,L$41)+COUNTIF('2月'!EN11:EO11,L$41)+COUNTIF('2月'!ES11:ET11,L$41)</f>
        <v>0</v>
      </c>
      <c r="M50" s="76">
        <f t="shared" si="17"/>
        <v>0</v>
      </c>
      <c r="N50" s="76">
        <f>COUNTIF('2月'!D11:E11,N$41)+COUNTIF('2月'!I11:J11,N$41)+COUNTIF('2月'!N11:O11,N$41)+COUNTIF('2月'!S11:T11,N$41)+COUNTIF('2月'!X11:Y11,N$41)+COUNTIF('2月'!AC11:AD11,N$41)+COUNTIF('2月'!AH11:AI11,N$41)+COUNTIF('2月'!AM11:AN11,N$41)+COUNTIF('2月'!AR11:AS11,N$41)+COUNTIF('2月'!AW11:AX11,N$41)+COUNTIF('2月'!BB11:BC11,N$41)+COUNTIF('2月'!BG11:BH11,N$41)+COUNTIF('2月'!BL11:BM11,N$41)+COUNTIF('2月'!BQ11:BR11,N$41)+COUNTIF('2月'!BV11:BW11,N$41)+COUNTIF('2月'!CA11:CB11,N$41)+COUNTIF('2月'!CF11:CG11,N$41)+COUNTIF('2月'!CK11:CL11,N$41)+COUNTIF('2月'!CP11:CQ11,N$41)+COUNTIF('2月'!CU11:CV11,N$41)+COUNTIF('2月'!CZ11:DA11,N$41)+COUNTIF('2月'!DE11:DF11,N$41)+COUNTIF('2月'!DJ11:DK11,N$41)+COUNTIF('2月'!DO11:DP11,N$41)+COUNTIF('2月'!DT11:DU11,N$41)+COUNTIF('2月'!DY11:DZ11,N$41)+COUNTIF('2月'!ED11:EE11,N$41)+COUNTIF('2月'!EI11:EJ11,N$41)+COUNTIF('2月'!EN11:EO11,N$41)+COUNTIF('2月'!ES11:ET11,N$41)+COUNTIF('2月'!D11:E11,"三軒茶屋－夜勤")+COUNTIF('2月'!I11:J11,"三軒茶屋－夜勤")+COUNTIF('2月'!N11:O11,"三軒茶屋－夜勤")+COUNTIF('2月'!S11:T11,"三軒茶屋－夜勤")+COUNTIF('2月'!X11:Y11,"三軒茶屋－夜勤")+COUNTIF('2月'!AC11:AD11,"三軒茶屋－夜勤")+COUNTIF('2月'!AH11:AI11,"三軒茶屋－夜勤")+COUNTIF('2月'!AM11:AN11,"三軒茶屋－夜勤")+COUNTIF('2月'!AR11:AS11,"三軒茶屋－夜勤")+COUNTIF('2月'!AW11:AX11,"三軒茶屋－夜勤")+COUNTIF('2月'!BB11:BC11,"三軒茶屋－夜勤")+COUNTIF('2月'!BG11:BH11,"三軒茶屋－夜勤")+COUNTIF('2月'!BL11:BM11,"三軒茶屋－夜勤")+COUNTIF('2月'!BQ11:BR11,"三軒茶屋－夜勤")+COUNTIF('2月'!BV11:BW11,"三軒茶屋－夜勤")+COUNTIF('2月'!CA11:CB11,"三軒茶屋－夜勤")+COUNTIF('2月'!CF11:CG11,"三軒茶屋－夜勤")+COUNTIF('2月'!CK11:CL11,"三軒茶屋－夜勤")+COUNTIF('2月'!CP11:CQ11,"三軒茶屋－夜勤")+COUNTIF('2月'!CU11:CV11,"三軒茶屋－夜勤")+COUNTIF('2月'!CZ11:DA11,"三軒茶屋－夜勤")+COUNTIF('2月'!DE11:DF11,"三軒茶屋－夜勤")+COUNTIF('2月'!DJ11:DK11,"三軒茶屋－夜勤")+COUNTIF('2月'!DO11:DP11,"三軒茶屋－夜勤")+COUNTIF('2月'!DT11:DU11,"三軒茶屋－夜勤")+COUNTIF('2月'!DY11:DZ11,"三軒茶屋－夜勤")+COUNTIF('2月'!ED11:EE11,"三軒茶屋－夜勤")+COUNTIF('2月'!EI11:EJ11,"三軒茶屋－夜勤")+COUNTIF('2月'!EN11:EO11,"三軒茶屋－夜勤")+COUNTIF('2月'!ES11:ET11,"三軒茶屋－夜勤")</f>
        <v>0</v>
      </c>
      <c r="O50" s="76">
        <f t="shared" si="18"/>
        <v>0</v>
      </c>
      <c r="P50" s="76">
        <f>COUNTIF('2月'!D11:E11,P$41)+COUNTIF('2月'!I11:J11,P$41)+COUNTIF('2月'!N11:O11,P$41)+COUNTIF('2月'!S11:T11,P$41)+COUNTIF('2月'!X11:Y11,P$41)+COUNTIF('2月'!AC11:AD11,P$41)+COUNTIF('2月'!AH11:AI11,P$41)+COUNTIF('2月'!AM11:AN11,P$41)+COUNTIF('2月'!AR11:AS11,P$41)+COUNTIF('2月'!AW11:AX11,P$41)+COUNTIF('2月'!BB11:BC11,P$41)+COUNTIF('2月'!BG11:BH11,P$41)+COUNTIF('2月'!BL11:BM11,P$41)+COUNTIF('2月'!BQ11:BR11,P$41)+COUNTIF('2月'!BV11:BW11,P$41)+COUNTIF('2月'!CA11:CB11,P$41)+COUNTIF('2月'!CF11:CG11,P$41)+COUNTIF('2月'!CK11:CL11,P$41)+COUNTIF('2月'!CP11:CQ11,P$41)+COUNTIF('2月'!CU11:CV11,P$41)+COUNTIF('2月'!CZ11:DA11,P$41)+COUNTIF('2月'!DE11:DF11,P$41)+COUNTIF('2月'!DJ11:DK11,P$41)+COUNTIF('2月'!DO11:DP11,P$41)+COUNTIF('2月'!DT11:DU11,P$41)+COUNTIF('2月'!DY11:DZ11,P$41)+COUNTIF('2月'!ED11:EE11,P$41)+COUNTIF('2月'!EI11:EJ11,P$41)+COUNTIF('2月'!EN11:EO11,P$41)+COUNTIF('2月'!ES11:ET11,P$41)+COUNTIF('2月'!D11:E11,"荻窪ー夜勤")+COUNTIF('2月'!I11:J11,"荻窪ー夜勤")+COUNTIF('2月'!N11:O11,"荻窪ー夜勤")+COUNTIF('2月'!S11:T11,"荻窪ー夜勤")+COUNTIF('2月'!X11:Y11,"荻窪ー夜勤")+COUNTIF('2月'!AC11:AD11,"荻窪ー夜勤")+COUNTIF('2月'!AH11:AI11,"荻窪ー夜勤")+COUNTIF('2月'!AM11:AN11,"荻窪ー夜勤")+COUNTIF('2月'!AR11:AS11,"荻窪ー夜勤")+COUNTIF('2月'!AW11:AX11,"荻窪ー夜勤")+COUNTIF('2月'!BB11:BC11,"荻窪ー夜勤")+COUNTIF('2月'!BG11:BH11,"荻窪ー夜勤")+COUNTIF('2月'!BL11:BM11,"荻窪ー夜勤")+COUNTIF('2月'!BQ11:BR11,"荻窪ー夜勤")+COUNTIF('2月'!BV11:BW11,"荻窪ー夜勤")+COUNTIF('2月'!CA11:CB11,"荻窪ー夜勤")+COUNTIF('2月'!CF11:CG11,"荻窪ー夜勤")+COUNTIF('2月'!CK11:CL11,"荻窪ー夜勤")+COUNTIF('2月'!CP11:CQ11,"荻窪ー夜勤")+COUNTIF('2月'!CU11:CV11,"荻窪ー夜勤")+COUNTIF('2月'!CZ11:DA11,"荻窪ー夜勤")+COUNTIF('2月'!DE11:DF11,"荻窪ー夜勤")+COUNTIF('2月'!DJ11:DK11,"荻窪ー夜勤")+COUNTIF('2月'!DO11:DP11,"荻窪ー夜勤")+COUNTIF('2月'!DT11:DU11,"荻窪ー夜勤")+COUNTIF('2月'!DY11:DZ11,"荻窪ー夜勤")+COUNTIF('2月'!ED11:EE11,"荻窪ー夜勤")+COUNTIF('2月'!EI11:EJ11,"荻窪ー夜勤")+COUNTIF('2月'!EN11:EO11,"荻窪ー夜勤")+COUNTIF('2月'!ES11:ET11,"荻窪ー夜勤")</f>
        <v>0</v>
      </c>
      <c r="Q50" s="76">
        <f t="shared" si="19"/>
        <v>0</v>
      </c>
      <c r="R50" s="76">
        <f>COUNTIF('2月'!D11:E11,R$41)+COUNTIF('2月'!I11:J11,R$41)+COUNTIF('2月'!N11:O11,R$41)+COUNTIF('2月'!S11:T11,R$41)+COUNTIF('2月'!X11:Y11,R$41)+COUNTIF('2月'!AC11:AD11,R$41)+COUNTIF('2月'!AH11:AI11,R$41)+COUNTIF('2月'!AM11:AN11,R$41)+COUNTIF('2月'!AR11:AS11,R$41)+COUNTIF('2月'!AW11:AX11,R$41)+COUNTIF('2月'!BB11:BC11,R$41)+COUNTIF('2月'!BG11:BH11,R$41)+COUNTIF('2月'!BL11:BM11,R$41)+COUNTIF('2月'!BQ11:BR11,R$41)+COUNTIF('2月'!BV11:BW11,R$41)+COUNTIF('2月'!CA11:CB11,R$41)+COUNTIF('2月'!CF11:CG11,R$41)+COUNTIF('2月'!CK11:CL11,R$41)+COUNTIF('2月'!CP11:CQ11,R$41)+COUNTIF('2月'!CU11:CV11,R$41)+COUNTIF('2月'!CZ11:DA11,R$41)+COUNTIF('2月'!DE11:DF11,R$41)+COUNTIF('2月'!DJ11:DK11,R$41)+COUNTIF('2月'!DO11:DP11,R$41)+COUNTIF('2月'!DT11:DU11,R$41)+COUNTIF('2月'!DY11:DZ11,R$41)+COUNTIF('2月'!ED11:EE11,R$41)+COUNTIF('2月'!EI11:EJ11,R$41)+COUNTIF('2月'!EN11:EO11,R$41)+COUNTIF('2月'!ES11:ET11,R$41)</f>
        <v>0</v>
      </c>
      <c r="S50" s="76">
        <f t="shared" si="20"/>
        <v>0</v>
      </c>
      <c r="T50" s="76">
        <f>COUNTIF('2月'!D11:E11,T$41)+COUNTIF('2月'!I11:J11,T$41)+COUNTIF('2月'!N11:O11,T$41)+COUNTIF('2月'!S11:T11,T$41)+COUNTIF('2月'!X11:Y11,T$41)+COUNTIF('2月'!AC11:AD11,T$41)+COUNTIF('2月'!AH11:AI11,T$41)+COUNTIF('2月'!AM11:AN11,T$41)+COUNTIF('2月'!AR11:AS11,T$41)+COUNTIF('2月'!AW11:AX11,T$41)+COUNTIF('2月'!BB11:BC11,T$41)+COUNTIF('2月'!BG11:BH11,T$41)+COUNTIF('2月'!BL11:BM11,T$41)+COUNTIF('2月'!BQ11:BR11,T$41)+COUNTIF('2月'!BV11:BW11,T$41)+COUNTIF('2月'!CA11:CB11,T$41)+COUNTIF('2月'!CF11:CG11,T$41)+COUNTIF('2月'!CK11:CL11,T$41)+COUNTIF('2月'!CP11:CQ11,T$41)+COUNTIF('2月'!CU11:CV11,T$41)+COUNTIF('2月'!CZ11:DA11,T$41)+COUNTIF('2月'!DE11:DF11,T$41)+COUNTIF('2月'!DJ11:DK11,T$41)+COUNTIF('2月'!DO11:DP11,T$41)+COUNTIF('2月'!DT11:DU11,T$41)+COUNTIF('2月'!DY11:DZ11,T$41)+COUNTIF('2月'!ED11:EE11,T$41)+COUNTIF('2月'!EI11:EJ11,T$41)+COUNTIF('2月'!EN11:EO11,T$41)+COUNTIF('2月'!ES11:ET11,T$41)</f>
        <v>0</v>
      </c>
      <c r="U50" s="76">
        <f t="shared" si="21"/>
        <v>0</v>
      </c>
      <c r="V50" s="76">
        <f>COUNTIF('2月'!D11:E11,V$41)+COUNTIF('2月'!I11:J11,V$41)+COUNTIF('2月'!N11:O11,V$41)+COUNTIF('2月'!S11:T11,V$41)+COUNTIF('2月'!X11:Y11,V$41)+COUNTIF('2月'!AC11:AD11,V$41)+COUNTIF('2月'!AH11:AI11,V$41)+COUNTIF('2月'!AM11:AN11,V$41)+COUNTIF('2月'!AR11:AS11,V$41)+COUNTIF('2月'!AW11:AX11,V$41)+COUNTIF('2月'!BB11:BC11,V$41)+COUNTIF('2月'!BG11:BH11,V$41)+COUNTIF('2月'!BL11:BM11,V$41)+COUNTIF('2月'!BQ11:BR11,V$41)+COUNTIF('2月'!BV11:BW11,V$41)+COUNTIF('2月'!CA11:CB11,V$41)+COUNTIF('2月'!CF11:CG11,V$41)+COUNTIF('2月'!CK11:CL11,V$41)+COUNTIF('2月'!CP11:CQ11,V$41)+COUNTIF('2月'!CU11:CV11,V$41)+COUNTIF('2月'!CZ11:DA11,V$41)+COUNTIF('2月'!DE11:DF11,V$41)+COUNTIF('2月'!DJ11:DK11,V$41)+COUNTIF('2月'!DO11:DP11,V$41)+COUNTIF('2月'!DT11:DU11,V$41)+COUNTIF('2月'!DY11:DZ11,V$41)+COUNTIF('2月'!ED11:EE11,V$41)+COUNTIF('2月'!EI11:EJ11,V$41)+COUNTIF('2月'!EN11:EO11,V$41)+COUNTIF('2月'!ES11:ET11,V$41)</f>
        <v>0</v>
      </c>
      <c r="W50" s="76">
        <f t="shared" si="22"/>
        <v>0</v>
      </c>
      <c r="X50" s="76">
        <f>COUNTIF('2月'!D11:E11,X$41)+COUNTIF('2月'!I11:J11,X$41)+COUNTIF('2月'!N11:O11,X$41)+COUNTIF('2月'!S11:T11,X$41)+COUNTIF('2月'!X11:Y11,X$41)+COUNTIF('2月'!AC11:AD11,X$41)+COUNTIF('2月'!AH11:AI11,X$41)+COUNTIF('2月'!AM11:AN11,X$41)+COUNTIF('2月'!AR11:AS11,X$41)+COUNTIF('2月'!AW11:AX11,X$41)+COUNTIF('2月'!BB11:BC11,X$41)+COUNTIF('2月'!BG11:BH11,X$41)+COUNTIF('2月'!BL11:BM11,X$41)+COUNTIF('2月'!BQ11:BR11,X$41)+COUNTIF('2月'!BV11:BW11,X$41)+COUNTIF('2月'!CA11:CB11,X$41)+COUNTIF('2月'!CF11:CG11,X$41)+COUNTIF('2月'!CK11:CL11,X$41)+COUNTIF('2月'!CP11:CQ11,X$41)+COUNTIF('2月'!CU11:CV11,X$41)+COUNTIF('2月'!CZ11:DA11,X$41)+COUNTIF('2月'!DE11:DF11,X$41)+COUNTIF('2月'!DJ11:DK11,X$41)+COUNTIF('2月'!DO11:DP11,X$41)+COUNTIF('2月'!DT11:DU11,X$41)+COUNTIF('2月'!DY11:DZ11,X$41)+COUNTIF('2月'!ED11:EE11,X$41)+COUNTIF('2月'!EI11:EJ11,X$41)+COUNTIF('2月'!EN11:EO11,X$41)+COUNTIF('2月'!ES11:ET11,X$41)</f>
        <v>0</v>
      </c>
      <c r="Y50" s="76">
        <f t="shared" si="23"/>
        <v>0</v>
      </c>
    </row>
    <row r="51" spans="1:25" ht="18" customHeight="1">
      <c r="A51" s="76">
        <v>9</v>
      </c>
      <c r="B51" s="76">
        <f>COUNTIF('2月'!D12:E12,B$41)+COUNTIF('2月'!I12:J12,B$41)+COUNTIF('2月'!N12:O12,B$41)+COUNTIF('2月'!S12:T12,B$41)+COUNTIF('2月'!X12:Y12,B$41)+COUNTIF('2月'!AC12:AD12,B$41)+COUNTIF('2月'!AH12:AI12,B$41)+COUNTIF('2月'!AM12:AN12,B$41)+COUNTIF('2月'!AR12:AS12,B$41)+COUNTIF('2月'!AW12:AX12,B$41)+COUNTIF('2月'!BB12:BC12,B$41)+COUNTIF('2月'!BG12:BH12,B$41)+COUNTIF('2月'!BL12:BM12,B$41)+COUNTIF('2月'!BQ12:BR12,B$41)+COUNTIF('2月'!BV12:BW12,B$41)+COUNTIF('2月'!CA12:CB12,B$41)+COUNTIF('2月'!CF12:CG12,B$41)+COUNTIF('2月'!CK12:CL12,B$41)+COUNTIF('2月'!CP12:CQ12,B$41)+COUNTIF('2月'!CU12:CV12,B$41)+COUNTIF('2月'!CZ12:DA12,B$41)+COUNTIF('2月'!DE12:DF12,B$41)+COUNTIF('2月'!DJ12:DK12,B$41)+COUNTIF('2月'!DO12:DP12,B$41)+COUNTIF('2月'!DT12:DU12,B$41)+COUNTIF('2月'!DY12:DZ12,B$41)+COUNTIF('2月'!ED12:EE12,B$41)+COUNTIF('2月'!EI12:EJ12,B$41)+COUNTIF('2月'!EN12:EO12,B$41)+COUNTIF('2月'!ES12:ET12,B$41)</f>
        <v>0</v>
      </c>
      <c r="C51" s="76">
        <f t="shared" si="12"/>
        <v>0</v>
      </c>
      <c r="D51" s="76">
        <f>COUNTIF('2月'!D12:E12,D$41)+COUNTIF('2月'!I12:J12,D$41)+COUNTIF('2月'!N12:O12,D$41)+COUNTIF('2月'!S12:T12,D$41)+COUNTIF('2月'!X12:Y12,D$41)+COUNTIF('2月'!AC12:AD12,D$41)+COUNTIF('2月'!AH12:AI12,D$41)+COUNTIF('2月'!AM12:AN12,D$41)+COUNTIF('2月'!AR12:AS12,D$41)+COUNTIF('2月'!AW12:AX12,D$41)+COUNTIF('2月'!BB12:BC12,D$41)+COUNTIF('2月'!BG12:BH12,D$41)+COUNTIF('2月'!BL12:BM12,D$41)+COUNTIF('2月'!BQ12:BR12,D$41)+COUNTIF('2月'!BV12:BW12,D$41)+COUNTIF('2月'!CA12:CB12,D$41)+COUNTIF('2月'!CF12:CG12,D$41)+COUNTIF('2月'!CK12:CL12,D$41)+COUNTIF('2月'!CP12:CQ12,D$41)+COUNTIF('2月'!CU12:CV12,D$41)+COUNTIF('2月'!CZ12:DA12,D$41)+COUNTIF('2月'!DE12:DF12,D$41)+COUNTIF('2月'!DJ12:DK12,D$41)+COUNTIF('2月'!DO12:DP12,D$41)+COUNTIF('2月'!DT12:DU12,D$41)+COUNTIF('2月'!DY12:DZ12,D$41)+COUNTIF('2月'!ED12:EE12,D$41)+COUNTIF('2月'!EI12:EJ12,D$41)+COUNTIF('2月'!EN12:EO12,D$41)+COUNTIF('2月'!ES12:ET12,D$41)</f>
        <v>0</v>
      </c>
      <c r="E51" s="76">
        <f t="shared" si="13"/>
        <v>0</v>
      </c>
      <c r="F51" s="76">
        <f>COUNTIF('2月'!D12:E12,F$41)+COUNTIF('2月'!I12:J12,F$41)+COUNTIF('2月'!N12:O12,F$41)+COUNTIF('2月'!S12:T12,F$41)+COUNTIF('2月'!X12:Y12,F$41)+COUNTIF('2月'!AC12:AD12,F$41)+COUNTIF('2月'!AH12:AI12,F$41)+COUNTIF('2月'!AM12:AN12,F$41)+COUNTIF('2月'!AR12:AS12,F$41)+COUNTIF('2月'!AW12:AX12,F$41)+COUNTIF('2月'!BB12:BC12,F$41)+COUNTIF('2月'!BG12:BH12,F$41)+COUNTIF('2月'!BL12:BM12,F$41)+COUNTIF('2月'!BQ12:BR12,F$41)+COUNTIF('2月'!BV12:BW12,F$41)+COUNTIF('2月'!CA12:CB12,F$41)+COUNTIF('2月'!CF12:CG12,F$41)+COUNTIF('2月'!CK12:CL12,F$41)+COUNTIF('2月'!CP12:CQ12,F$41)+COUNTIF('2月'!CU12:CV12,F$41)+COUNTIF('2月'!CZ12:DA12,F$41)+COUNTIF('2月'!DE12:DF12,F$41)+COUNTIF('2月'!DJ12:DK12,F$41)+COUNTIF('2月'!DO12:DP12,F$41)+COUNTIF('2月'!DT12:DU12,F$41)+COUNTIF('2月'!DY12:DZ12,F$41)+COUNTIF('2月'!ED12:EE12,F$41)+COUNTIF('2月'!EI12:EJ12,F$41)+COUNTIF('2月'!EN12:EO12,F$41)+COUNTIF('2月'!ES12:ET12,F$41)</f>
        <v>0</v>
      </c>
      <c r="G51" s="76">
        <f t="shared" si="14"/>
        <v>0</v>
      </c>
      <c r="H51" s="76">
        <f>COUNTIF('2月'!D12:E12,H$41)+COUNTIF('2月'!I12:J12,H$41)+COUNTIF('2月'!N12:O12,H$41)+COUNTIF('2月'!S12:T12,H$41)+COUNTIF('2月'!X12:Y12,H$41)+COUNTIF('2月'!AC12:AD12,H$41)+COUNTIF('2月'!AH12:AI12,H$41)+COUNTIF('2月'!AM12:AN12,H$41)+COUNTIF('2月'!AR12:AS12,H$41)+COUNTIF('2月'!AW12:AX12,H$41)+COUNTIF('2月'!BB12:BC12,H$41)+COUNTIF('2月'!BG12:BH12,H$41)+COUNTIF('2月'!BL12:BM12,H$41)+COUNTIF('2月'!BQ12:BR12,H$41)+COUNTIF('2月'!BV12:BW12,H$41)+COUNTIF('2月'!CA12:CB12,H$41)+COUNTIF('2月'!CF12:CG12,H$41)+COUNTIF('2月'!CK12:CL12,H$41)+COUNTIF('2月'!CP12:CQ12,H$41)+COUNTIF('2月'!CU12:CV12,H$41)+COUNTIF('2月'!CZ12:DA12,H$41)+COUNTIF('2月'!DE12:DF12,H$41)+COUNTIF('2月'!DJ12:DK12,H$41)+COUNTIF('2月'!DO12:DP12,H$41)+COUNTIF('2月'!DT12:DU12,H$41)+COUNTIF('2月'!DY12:DZ12,H$41)+COUNTIF('2月'!ED12:EE12,H$41)+COUNTIF('2月'!EI12:EJ12,H$41)+COUNTIF('2月'!EN12:EO12,H$41)+COUNTIF('2月'!ES12:ET12,H$41)+COUNTIF('2月'!D12:E12,"渋谷-夜勤")+COUNTIF('2月'!I12:J12,"渋谷-夜勤")+COUNTIF('2月'!N12:O12,"渋谷-夜勤")+COUNTIF('2月'!S12:T12,"渋谷-夜勤")+COUNTIF('2月'!X12:Y12,"渋谷-夜勤")+COUNTIF('2月'!AC12:AD12,"渋谷-夜勤")+COUNTIF('2月'!AH12:AI12,"渋谷-夜勤")+COUNTIF('2月'!AM12:AN12,"渋谷-夜勤")+COUNTIF('2月'!AR12:AS12,"渋谷-夜勤")+COUNTIF('2月'!AW12:AX12,"渋谷-夜勤")+COUNTIF('2月'!BB12:BC12,"渋谷-夜勤")+COUNTIF('2月'!BG12:BH12,"渋谷-夜勤")+COUNTIF('2月'!BL12:BM12,"渋谷-夜勤")+COUNTIF('2月'!BQ12:BR12,"渋谷-夜勤")+COUNTIF('2月'!BV12:BW12,"渋谷-夜勤")+COUNTIF('2月'!CA12:CB12,"渋谷-夜勤")+COUNTIF('2月'!CF12:CG12,"渋谷-夜勤")+COUNTIF('2月'!CK12:CL12,"渋谷-夜勤")+COUNTIF('2月'!CP12:CQ12,"渋谷-夜勤")+COUNTIF('2月'!CU12:CV12,"渋谷-夜勤")+COUNTIF('2月'!CZ12:DA12,"渋谷-夜勤")+COUNTIF('2月'!DE12:DF12,"渋谷-夜勤")+COUNTIF('2月'!DJ12:DK12,"渋谷-夜勤")+COUNTIF('2月'!DO12:DP12,"渋谷-夜勤")+COUNTIF('2月'!DT12:DU12,"渋谷-夜勤")+COUNTIF('2月'!DY12:DZ12,"渋谷-夜勤")+COUNTIF('2月'!ED12:EE12,"渋谷-夜勤")+COUNTIF('2月'!EI12:EJ12,"渋谷-夜勤")+COUNTIF('2月'!EN12:EO12,"渋谷-夜勤")+COUNTIF('2月'!ES12:ET12,"渋谷-夜勤")</f>
        <v>0</v>
      </c>
      <c r="I51" s="76">
        <f t="shared" si="15"/>
        <v>0</v>
      </c>
      <c r="J51" s="76">
        <f>COUNTIF('2月'!D12:E12,J$41)+COUNTIF('2月'!I12:J12,J$41)+COUNTIF('2月'!N12:O12,J$41)+COUNTIF('2月'!S12:T12,J$41)+COUNTIF('2月'!X12:Y12,J$41)+COUNTIF('2月'!AC12:AD12,J$41)+COUNTIF('2月'!AH12:AI12,J$41)+COUNTIF('2月'!AM12:AN12,J$41)+COUNTIF('2月'!AR12:AS12,J$41)+COUNTIF('2月'!AW12:AX12,J$41)+COUNTIF('2月'!BB12:BC12,J$41)+COUNTIF('2月'!BG12:BH12,J$41)+COUNTIF('2月'!BL12:BM12,J$41)+COUNTIF('2月'!BQ12:BR12,J$41)+COUNTIF('2月'!BV12:BW12,J$41)+COUNTIF('2月'!CA12:CB12,J$41)+COUNTIF('2月'!CF12:CG12,J$41)+COUNTIF('2月'!CK12:CL12,J$41)+COUNTIF('2月'!CP12:CQ12,J$41)+COUNTIF('2月'!CU12:CV12,J$41)+COUNTIF('2月'!CZ12:DA12,J$41)+COUNTIF('2月'!DE12:DF12,J$41)+COUNTIF('2月'!DJ12:DK12,J$41)+COUNTIF('2月'!DO12:DP12,J$41)+COUNTIF('2月'!DT12:DU12,J$41)+COUNTIF('2月'!DY12:DZ12,J$41)+COUNTIF('2月'!ED12:EE12,J$41)+COUNTIF('2月'!EI12:EJ12,J$41)+COUNTIF('2月'!EN12:EO12,J$41)+COUNTIF('2月'!ES12:ET12,J$41)+COUNTIF('2月'!D12:E12,"六本木-夜勤")+COUNTIF('2月'!I12:J12,"六本木-夜勤")+COUNTIF('2月'!N12:O12,"六本木-夜勤")+COUNTIF('2月'!S12:T12,"六本木-夜勤")+COUNTIF('2月'!X12:Y12,"六本木-夜勤")+COUNTIF('2月'!AC12:AD12,"六本木-夜勤")+COUNTIF('2月'!AH12:AI12,"六本木-夜勤")+COUNTIF('2月'!AM12:AN12,"六本木-夜勤")+COUNTIF('2月'!AR12:AS12,"六本木-夜勤")+COUNTIF('2月'!AW12:AX12,"六本木-夜勤")+COUNTIF('2月'!BB12:BC12,"六本木-夜勤")+COUNTIF('2月'!BG12:BH12,"六本木-夜勤")+COUNTIF('2月'!BL12:BM12,"六本木-夜勤")+COUNTIF('2月'!BQ12:BR12,"六本木-夜勤")+COUNTIF('2月'!BV12:BW12,"六本木-夜勤")+COUNTIF('2月'!CA12:CB12,"六本木-夜勤")+COUNTIF('2月'!CF12:CG12,"六本木-夜勤")+COUNTIF('2月'!CK12:CL12,"六本木-夜勤")+COUNTIF('2月'!CP12:CQ12,"六本木-夜勤")+COUNTIF('2月'!CU12:CV12,"六本木-夜勤")+COUNTIF('2月'!CZ12:DA12,"六本木-夜勤")+COUNTIF('2月'!DE12:DF12,"六本木-夜勤")+COUNTIF('2月'!DJ12:DK12,"六本木-夜勤")+COUNTIF('2月'!DO12:DP12,"六本木-夜勤")+COUNTIF('2月'!DT12:DU12,"六本木-夜勤")+COUNTIF('2月'!DY12:DZ12,"六本木-夜勤")+COUNTIF('2月'!ED12:EE12,"六本木-夜勤")+COUNTIF('2月'!EI12:EJ12,"六本木-夜勤")+COUNTIF('2月'!EN12:EO12,"六本木-夜勤")+COUNTIF('2月'!ES12:ET12,"六本木-夜勤")+COUNTIF('2月'!D12:E12,"六本木ー夜勤")+COUNTIF('2月'!I12:J12,"六本木ー夜勤")+COUNTIF('2月'!N12:O12,"六本木ー夜勤")+COUNTIF('2月'!S12:T12,"六本木ー夜勤")+COUNTIF('2月'!X12:Y12,"六本木ー夜勤")+COUNTIF('2月'!AC12:AD12,"六本木ー夜勤")+COUNTIF('2月'!AH12:AI12,"六本木ー夜勤")+COUNTIF('2月'!AM12:AN12,"六本木ー夜勤")+COUNTIF('2月'!AR12:AS12,"六本木ー夜勤")+COUNTIF('2月'!AW12:AX12,"六本木ー夜勤")+COUNTIF('2月'!BB12:BC12,"六本木ー夜勤")+COUNTIF('2月'!BG12:BH12,"六本木ー夜勤")+COUNTIF('2月'!BL12:BM12,"六本木ー夜勤")+COUNTIF('2月'!BQ12:BR12,"六本木ー夜勤")+COUNTIF('2月'!BV12:BW12,"六本木ー夜勤")+COUNTIF('2月'!CA12:CB12,"六本木ー夜勤")+COUNTIF('2月'!CF12:CG12,"六本木ー夜勤")+COUNTIF('2月'!CK12:CL12,"六本木ー夜勤")+COUNTIF('2月'!CP12:CQ12,"六本木ー夜勤")+COUNTIF('2月'!CU12:CV12,"六本木ー夜勤")+COUNTIF('2月'!CZ12:DA12,"六本木ー夜勤")+COUNTIF('2月'!DE12:DF12,"六本木ー夜勤")+COUNTIF('2月'!DJ12:DK12,"六本木ー夜勤")+COUNTIF('2月'!DO12:DP12,"六本木ー夜勤")+COUNTIF('2月'!DT12:DU12,"六本木ー夜勤")+COUNTIF('2月'!DY12:DZ12,"六本木ー夜勤")+COUNTIF('2月'!ED12:EE12,"六本木ー夜勤")+COUNTIF('2月'!EI12:EJ12,"六本木ー夜勤")+COUNTIF('2月'!EN12:EO12,"六本木ー夜勤")+COUNTIF('2月'!ES12:ET12,"六本木ー夜勤")</f>
        <v>0</v>
      </c>
      <c r="K51" s="76">
        <f t="shared" si="16"/>
        <v>0</v>
      </c>
      <c r="L51" s="76">
        <f>COUNTIF('2月'!D12:E12,L$41)+COUNTIF('2月'!I12:J12,L$41)+COUNTIF('2月'!N12:O12,L$41)+COUNTIF('2月'!S12:T12,L$41)+COUNTIF('2月'!X12:Y12,L$41)+COUNTIF('2月'!AC12:AD12,L$41)+COUNTIF('2月'!AH12:AI12,L$41)+COUNTIF('2月'!AM12:AN12,L$41)+COUNTIF('2月'!AR12:AS12,L$41)+COUNTIF('2月'!AW12:AX12,L$41)+COUNTIF('2月'!BB12:BC12,L$41)+COUNTIF('2月'!BG12:BH12,L$41)+COUNTIF('2月'!BL12:BM12,L$41)+COUNTIF('2月'!BQ12:BR12,L$41)+COUNTIF('2月'!BV12:BW12,L$41)+COUNTIF('2月'!CA12:CB12,L$41)+COUNTIF('2月'!CF12:CG12,L$41)+COUNTIF('2月'!CK12:CL12,L$41)+COUNTIF('2月'!CP12:CQ12,L$41)+COUNTIF('2月'!CU12:CV12,L$41)+COUNTIF('2月'!CZ12:DA12,L$41)+COUNTIF('2月'!DE12:DF12,L$41)+COUNTIF('2月'!DJ12:DK12,L$41)+COUNTIF('2月'!DO12:DP12,L$41)+COUNTIF('2月'!DT12:DU12,L$41)+COUNTIF('2月'!DY12:DZ12,L$41)+COUNTIF('2月'!ED12:EE12,L$41)+COUNTIF('2月'!EI12:EJ12,L$41)+COUNTIF('2月'!EN12:EO12,L$41)+COUNTIF('2月'!ES12:ET12,L$41)</f>
        <v>0</v>
      </c>
      <c r="M51" s="76">
        <f t="shared" si="17"/>
        <v>0</v>
      </c>
      <c r="N51" s="76">
        <f>COUNTIF('2月'!D12:E12,N$41)+COUNTIF('2月'!I12:J12,N$41)+COUNTIF('2月'!N12:O12,N$41)+COUNTIF('2月'!S12:T12,N$41)+COUNTIF('2月'!X12:Y12,N$41)+COUNTIF('2月'!AC12:AD12,N$41)+COUNTIF('2月'!AH12:AI12,N$41)+COUNTIF('2月'!AM12:AN12,N$41)+COUNTIF('2月'!AR12:AS12,N$41)+COUNTIF('2月'!AW12:AX12,N$41)+COUNTIF('2月'!BB12:BC12,N$41)+COUNTIF('2月'!BG12:BH12,N$41)+COUNTIF('2月'!BL12:BM12,N$41)+COUNTIF('2月'!BQ12:BR12,N$41)+COUNTIF('2月'!BV12:BW12,N$41)+COUNTIF('2月'!CA12:CB12,N$41)+COUNTIF('2月'!CF12:CG12,N$41)+COUNTIF('2月'!CK12:CL12,N$41)+COUNTIF('2月'!CP12:CQ12,N$41)+COUNTIF('2月'!CU12:CV12,N$41)+COUNTIF('2月'!CZ12:DA12,N$41)+COUNTIF('2月'!DE12:DF12,N$41)+COUNTIF('2月'!DJ12:DK12,N$41)+COUNTIF('2月'!DO12:DP12,N$41)+COUNTIF('2月'!DT12:DU12,N$41)+COUNTIF('2月'!DY12:DZ12,N$41)+COUNTIF('2月'!ED12:EE12,N$41)+COUNTIF('2月'!EI12:EJ12,N$41)+COUNTIF('2月'!EN12:EO12,N$41)+COUNTIF('2月'!ES12:ET12,N$41)+COUNTIF('2月'!D12:E12,"三軒茶屋－夜勤")+COUNTIF('2月'!I12:J12,"三軒茶屋－夜勤")+COUNTIF('2月'!N12:O12,"三軒茶屋－夜勤")+COUNTIF('2月'!S12:T12,"三軒茶屋－夜勤")+COUNTIF('2月'!X12:Y12,"三軒茶屋－夜勤")+COUNTIF('2月'!AC12:AD12,"三軒茶屋－夜勤")+COUNTIF('2月'!AH12:AI12,"三軒茶屋－夜勤")+COUNTIF('2月'!AM12:AN12,"三軒茶屋－夜勤")+COUNTIF('2月'!AR12:AS12,"三軒茶屋－夜勤")+COUNTIF('2月'!AW12:AX12,"三軒茶屋－夜勤")+COUNTIF('2月'!BB12:BC12,"三軒茶屋－夜勤")+COUNTIF('2月'!BG12:BH12,"三軒茶屋－夜勤")+COUNTIF('2月'!BL12:BM12,"三軒茶屋－夜勤")+COUNTIF('2月'!BQ12:BR12,"三軒茶屋－夜勤")+COUNTIF('2月'!BV12:BW12,"三軒茶屋－夜勤")+COUNTIF('2月'!CA12:CB12,"三軒茶屋－夜勤")+COUNTIF('2月'!CF12:CG12,"三軒茶屋－夜勤")+COUNTIF('2月'!CK12:CL12,"三軒茶屋－夜勤")+COUNTIF('2月'!CP12:CQ12,"三軒茶屋－夜勤")+COUNTIF('2月'!CU12:CV12,"三軒茶屋－夜勤")+COUNTIF('2月'!CZ12:DA12,"三軒茶屋－夜勤")+COUNTIF('2月'!DE12:DF12,"三軒茶屋－夜勤")+COUNTIF('2月'!DJ12:DK12,"三軒茶屋－夜勤")+COUNTIF('2月'!DO12:DP12,"三軒茶屋－夜勤")+COUNTIF('2月'!DT12:DU12,"三軒茶屋－夜勤")+COUNTIF('2月'!DY12:DZ12,"三軒茶屋－夜勤")+COUNTIF('2月'!ED12:EE12,"三軒茶屋－夜勤")+COUNTIF('2月'!EI12:EJ12,"三軒茶屋－夜勤")+COUNTIF('2月'!EN12:EO12,"三軒茶屋－夜勤")+COUNTIF('2月'!ES12:ET12,"三軒茶屋－夜勤")</f>
        <v>0</v>
      </c>
      <c r="O51" s="76">
        <f t="shared" si="18"/>
        <v>0</v>
      </c>
      <c r="P51" s="76">
        <f>COUNTIF('2月'!D12:E12,P$41)+COUNTIF('2月'!I12:J12,P$41)+COUNTIF('2月'!N12:O12,P$41)+COUNTIF('2月'!S12:T12,P$41)+COUNTIF('2月'!X12:Y12,P$41)+COUNTIF('2月'!AC12:AD12,P$41)+COUNTIF('2月'!AH12:AI12,P$41)+COUNTIF('2月'!AM12:AN12,P$41)+COUNTIF('2月'!AR12:AS12,P$41)+COUNTIF('2月'!AW12:AX12,P$41)+COUNTIF('2月'!BB12:BC12,P$41)+COUNTIF('2月'!BG12:BH12,P$41)+COUNTIF('2月'!BL12:BM12,P$41)+COUNTIF('2月'!BQ12:BR12,P$41)+COUNTIF('2月'!BV12:BW12,P$41)+COUNTIF('2月'!CA12:CB12,P$41)+COUNTIF('2月'!CF12:CG12,P$41)+COUNTIF('2月'!CK12:CL12,P$41)+COUNTIF('2月'!CP12:CQ12,P$41)+COUNTIF('2月'!CU12:CV12,P$41)+COUNTIF('2月'!CZ12:DA12,P$41)+COUNTIF('2月'!DE12:DF12,P$41)+COUNTIF('2月'!DJ12:DK12,P$41)+COUNTIF('2月'!DO12:DP12,P$41)+COUNTIF('2月'!DT12:DU12,P$41)+COUNTIF('2月'!DY12:DZ12,P$41)+COUNTIF('2月'!ED12:EE12,P$41)+COUNTIF('2月'!EI12:EJ12,P$41)+COUNTIF('2月'!EN12:EO12,P$41)+COUNTIF('2月'!ES12:ET12,P$41)+COUNTIF('2月'!D12:E12,"荻窪ー夜勤")+COUNTIF('2月'!I12:J12,"荻窪ー夜勤")+COUNTIF('2月'!N12:O12,"荻窪ー夜勤")+COUNTIF('2月'!S12:T12,"荻窪ー夜勤")+COUNTIF('2月'!X12:Y12,"荻窪ー夜勤")+COUNTIF('2月'!AC12:AD12,"荻窪ー夜勤")+COUNTIF('2月'!AH12:AI12,"荻窪ー夜勤")+COUNTIF('2月'!AM12:AN12,"荻窪ー夜勤")+COUNTIF('2月'!AR12:AS12,"荻窪ー夜勤")+COUNTIF('2月'!AW12:AX12,"荻窪ー夜勤")+COUNTIF('2月'!BB12:BC12,"荻窪ー夜勤")+COUNTIF('2月'!BG12:BH12,"荻窪ー夜勤")+COUNTIF('2月'!BL12:BM12,"荻窪ー夜勤")+COUNTIF('2月'!BQ12:BR12,"荻窪ー夜勤")+COUNTIF('2月'!BV12:BW12,"荻窪ー夜勤")+COUNTIF('2月'!CA12:CB12,"荻窪ー夜勤")+COUNTIF('2月'!CF12:CG12,"荻窪ー夜勤")+COUNTIF('2月'!CK12:CL12,"荻窪ー夜勤")+COUNTIF('2月'!CP12:CQ12,"荻窪ー夜勤")+COUNTIF('2月'!CU12:CV12,"荻窪ー夜勤")+COUNTIF('2月'!CZ12:DA12,"荻窪ー夜勤")+COUNTIF('2月'!DE12:DF12,"荻窪ー夜勤")+COUNTIF('2月'!DJ12:DK12,"荻窪ー夜勤")+COUNTIF('2月'!DO12:DP12,"荻窪ー夜勤")+COUNTIF('2月'!DT12:DU12,"荻窪ー夜勤")+COUNTIF('2月'!DY12:DZ12,"荻窪ー夜勤")+COUNTIF('2月'!ED12:EE12,"荻窪ー夜勤")+COUNTIF('2月'!EI12:EJ12,"荻窪ー夜勤")+COUNTIF('2月'!EN12:EO12,"荻窪ー夜勤")+COUNTIF('2月'!ES12:ET12,"荻窪ー夜勤")</f>
        <v>0</v>
      </c>
      <c r="Q51" s="76">
        <f t="shared" si="19"/>
        <v>0</v>
      </c>
      <c r="R51" s="76">
        <f>COUNTIF('2月'!D12:E12,R$41)+COUNTIF('2月'!I12:J12,R$41)+COUNTIF('2月'!N12:O12,R$41)+COUNTIF('2月'!S12:T12,R$41)+COUNTIF('2月'!X12:Y12,R$41)+COUNTIF('2月'!AC12:AD12,R$41)+COUNTIF('2月'!AH12:AI12,R$41)+COUNTIF('2月'!AM12:AN12,R$41)+COUNTIF('2月'!AR12:AS12,R$41)+COUNTIF('2月'!AW12:AX12,R$41)+COUNTIF('2月'!BB12:BC12,R$41)+COUNTIF('2月'!BG12:BH12,R$41)+COUNTIF('2月'!BL12:BM12,R$41)+COUNTIF('2月'!BQ12:BR12,R$41)+COUNTIF('2月'!BV12:BW12,R$41)+COUNTIF('2月'!CA12:CB12,R$41)+COUNTIF('2月'!CF12:CG12,R$41)+COUNTIF('2月'!CK12:CL12,R$41)+COUNTIF('2月'!CP12:CQ12,R$41)+COUNTIF('2月'!CU12:CV12,R$41)+COUNTIF('2月'!CZ12:DA12,R$41)+COUNTIF('2月'!DE12:DF12,R$41)+COUNTIF('2月'!DJ12:DK12,R$41)+COUNTIF('2月'!DO12:DP12,R$41)+COUNTIF('2月'!DT12:DU12,R$41)+COUNTIF('2月'!DY12:DZ12,R$41)+COUNTIF('2月'!ED12:EE12,R$41)+COUNTIF('2月'!EI12:EJ12,R$41)+COUNTIF('2月'!EN12:EO12,R$41)+COUNTIF('2月'!ES12:ET12,R$41)</f>
        <v>0</v>
      </c>
      <c r="S51" s="76">
        <f t="shared" si="20"/>
        <v>0</v>
      </c>
      <c r="T51" s="76">
        <f>COUNTIF('2月'!D12:E12,T$41)+COUNTIF('2月'!I12:J12,T$41)+COUNTIF('2月'!N12:O12,T$41)+COUNTIF('2月'!S12:T12,T$41)+COUNTIF('2月'!X12:Y12,T$41)+COUNTIF('2月'!AC12:AD12,T$41)+COUNTIF('2月'!AH12:AI12,T$41)+COUNTIF('2月'!AM12:AN12,T$41)+COUNTIF('2月'!AR12:AS12,T$41)+COUNTIF('2月'!AW12:AX12,T$41)+COUNTIF('2月'!BB12:BC12,T$41)+COUNTIF('2月'!BG12:BH12,T$41)+COUNTIF('2月'!BL12:BM12,T$41)+COUNTIF('2月'!BQ12:BR12,T$41)+COUNTIF('2月'!BV12:BW12,T$41)+COUNTIF('2月'!CA12:CB12,T$41)+COUNTIF('2月'!CF12:CG12,T$41)+COUNTIF('2月'!CK12:CL12,T$41)+COUNTIF('2月'!CP12:CQ12,T$41)+COUNTIF('2月'!CU12:CV12,T$41)+COUNTIF('2月'!CZ12:DA12,T$41)+COUNTIF('2月'!DE12:DF12,T$41)+COUNTIF('2月'!DJ12:DK12,T$41)+COUNTIF('2月'!DO12:DP12,T$41)+COUNTIF('2月'!DT12:DU12,T$41)+COUNTIF('2月'!DY12:DZ12,T$41)+COUNTIF('2月'!ED12:EE12,T$41)+COUNTIF('2月'!EI12:EJ12,T$41)+COUNTIF('2月'!EN12:EO12,T$41)+COUNTIF('2月'!ES12:ET12,T$41)</f>
        <v>0</v>
      </c>
      <c r="U51" s="76">
        <f t="shared" si="21"/>
        <v>0</v>
      </c>
      <c r="V51" s="76">
        <f>COUNTIF('2月'!D12:E12,V$41)+COUNTIF('2月'!I12:J12,V$41)+COUNTIF('2月'!N12:O12,V$41)+COUNTIF('2月'!S12:T12,V$41)+COUNTIF('2月'!X12:Y12,V$41)+COUNTIF('2月'!AC12:AD12,V$41)+COUNTIF('2月'!AH12:AI12,V$41)+COUNTIF('2月'!AM12:AN12,V$41)+COUNTIF('2月'!AR12:AS12,V$41)+COUNTIF('2月'!AW12:AX12,V$41)+COUNTIF('2月'!BB12:BC12,V$41)+COUNTIF('2月'!BG12:BH12,V$41)+COUNTIF('2月'!BL12:BM12,V$41)+COUNTIF('2月'!BQ12:BR12,V$41)+COUNTIF('2月'!BV12:BW12,V$41)+COUNTIF('2月'!CA12:CB12,V$41)+COUNTIF('2月'!CF12:CG12,V$41)+COUNTIF('2月'!CK12:CL12,V$41)+COUNTIF('2月'!CP12:CQ12,V$41)+COUNTIF('2月'!CU12:CV12,V$41)+COUNTIF('2月'!CZ12:DA12,V$41)+COUNTIF('2月'!DE12:DF12,V$41)+COUNTIF('2月'!DJ12:DK12,V$41)+COUNTIF('2月'!DO12:DP12,V$41)+COUNTIF('2月'!DT12:DU12,V$41)+COUNTIF('2月'!DY12:DZ12,V$41)+COUNTIF('2月'!ED12:EE12,V$41)+COUNTIF('2月'!EI12:EJ12,V$41)+COUNTIF('2月'!EN12:EO12,V$41)+COUNTIF('2月'!ES12:ET12,V$41)</f>
        <v>0</v>
      </c>
      <c r="W51" s="76">
        <f t="shared" si="22"/>
        <v>0</v>
      </c>
      <c r="X51" s="76">
        <f>COUNTIF('2月'!D12:E12,X$41)+COUNTIF('2月'!I12:J12,X$41)+COUNTIF('2月'!N12:O12,X$41)+COUNTIF('2月'!S12:T12,X$41)+COUNTIF('2月'!X12:Y12,X$41)+COUNTIF('2月'!AC12:AD12,X$41)+COUNTIF('2月'!AH12:AI12,X$41)+COUNTIF('2月'!AM12:AN12,X$41)+COUNTIF('2月'!AR12:AS12,X$41)+COUNTIF('2月'!AW12:AX12,X$41)+COUNTIF('2月'!BB12:BC12,X$41)+COUNTIF('2月'!BG12:BH12,X$41)+COUNTIF('2月'!BL12:BM12,X$41)+COUNTIF('2月'!BQ12:BR12,X$41)+COUNTIF('2月'!BV12:BW12,X$41)+COUNTIF('2月'!CA12:CB12,X$41)+COUNTIF('2月'!CF12:CG12,X$41)+COUNTIF('2月'!CK12:CL12,X$41)+COUNTIF('2月'!CP12:CQ12,X$41)+COUNTIF('2月'!CU12:CV12,X$41)+COUNTIF('2月'!CZ12:DA12,X$41)+COUNTIF('2月'!DE12:DF12,X$41)+COUNTIF('2月'!DJ12:DK12,X$41)+COUNTIF('2月'!DO12:DP12,X$41)+COUNTIF('2月'!DT12:DU12,X$41)+COUNTIF('2月'!DY12:DZ12,X$41)+COUNTIF('2月'!ED12:EE12,X$41)+COUNTIF('2月'!EI12:EJ12,X$41)+COUNTIF('2月'!EN12:EO12,X$41)+COUNTIF('2月'!ES12:ET12,X$41)</f>
        <v>0</v>
      </c>
      <c r="Y51" s="76">
        <f t="shared" si="23"/>
        <v>0</v>
      </c>
    </row>
    <row r="52" spans="1:25" ht="18" customHeight="1">
      <c r="A52" s="76">
        <v>10</v>
      </c>
      <c r="B52" s="76">
        <f>COUNTIF('2月'!D13:E13,B$41)+COUNTIF('2月'!I13:J13,B$41)+COUNTIF('2月'!N13:O13,B$41)+COUNTIF('2月'!S13:T13,B$41)+COUNTIF('2月'!X13:Y13,B$41)+COUNTIF('2月'!AC13:AD13,B$41)+COUNTIF('2月'!AH13:AI13,B$41)+COUNTIF('2月'!AM13:AN13,B$41)+COUNTIF('2月'!AR13:AS13,B$41)+COUNTIF('2月'!AW13:AX13,B$41)+COUNTIF('2月'!BB13:BC13,B$41)+COUNTIF('2月'!BG13:BH13,B$41)+COUNTIF('2月'!BL13:BM13,B$41)+COUNTIF('2月'!BQ13:BR13,B$41)+COUNTIF('2月'!BV13:BW13,B$41)+COUNTIF('2月'!CA13:CB13,B$41)+COUNTIF('2月'!CF13:CG13,B$41)+COUNTIF('2月'!CK13:CL13,B$41)+COUNTIF('2月'!CP13:CQ13,B$41)+COUNTIF('2月'!CU13:CV13,B$41)+COUNTIF('2月'!CZ13:DA13,B$41)+COUNTIF('2月'!DE13:DF13,B$41)+COUNTIF('2月'!DJ13:DK13,B$41)+COUNTIF('2月'!DO13:DP13,B$41)+COUNTIF('2月'!DT13:DU13,B$41)+COUNTIF('2月'!DY13:DZ13,B$41)+COUNTIF('2月'!ED13:EE13,B$41)+COUNTIF('2月'!EI13:EJ13,B$41)+COUNTIF('2月'!EN13:EO13,B$41)+COUNTIF('2月'!ES13:ET13,B$41)</f>
        <v>0</v>
      </c>
      <c r="C52" s="76">
        <f t="shared" si="12"/>
        <v>0</v>
      </c>
      <c r="D52" s="76">
        <f>COUNTIF('2月'!D13:E13,D$41)+COUNTIF('2月'!I13:J13,D$41)+COUNTIF('2月'!N13:O13,D$41)+COUNTIF('2月'!S13:T13,D$41)+COUNTIF('2月'!X13:Y13,D$41)+COUNTIF('2月'!AC13:AD13,D$41)+COUNTIF('2月'!AH13:AI13,D$41)+COUNTIF('2月'!AM13:AN13,D$41)+COUNTIF('2月'!AR13:AS13,D$41)+COUNTIF('2月'!AW13:AX13,D$41)+COUNTIF('2月'!BB13:BC13,D$41)+COUNTIF('2月'!BG13:BH13,D$41)+COUNTIF('2月'!BL13:BM13,D$41)+COUNTIF('2月'!BQ13:BR13,D$41)+COUNTIF('2月'!BV13:BW13,D$41)+COUNTIF('2月'!CA13:CB13,D$41)+COUNTIF('2月'!CF13:CG13,D$41)+COUNTIF('2月'!CK13:CL13,D$41)+COUNTIF('2月'!CP13:CQ13,D$41)+COUNTIF('2月'!CU13:CV13,D$41)+COUNTIF('2月'!CZ13:DA13,D$41)+COUNTIF('2月'!DE13:DF13,D$41)+COUNTIF('2月'!DJ13:DK13,D$41)+COUNTIF('2月'!DO13:DP13,D$41)+COUNTIF('2月'!DT13:DU13,D$41)+COUNTIF('2月'!DY13:DZ13,D$41)+COUNTIF('2月'!ED13:EE13,D$41)+COUNTIF('2月'!EI13:EJ13,D$41)+COUNTIF('2月'!EN13:EO13,D$41)+COUNTIF('2月'!ES13:ET13,D$41)</f>
        <v>0</v>
      </c>
      <c r="E52" s="76">
        <f t="shared" si="13"/>
        <v>0</v>
      </c>
      <c r="F52" s="76">
        <f>COUNTIF('2月'!D13:E13,F$41)+COUNTIF('2月'!I13:J13,F$41)+COUNTIF('2月'!N13:O13,F$41)+COUNTIF('2月'!S13:T13,F$41)+COUNTIF('2月'!X13:Y13,F$41)+COUNTIF('2月'!AC13:AD13,F$41)+COUNTIF('2月'!AH13:AI13,F$41)+COUNTIF('2月'!AM13:AN13,F$41)+COUNTIF('2月'!AR13:AS13,F$41)+COUNTIF('2月'!AW13:AX13,F$41)+COUNTIF('2月'!BB13:BC13,F$41)+COUNTIF('2月'!BG13:BH13,F$41)+COUNTIF('2月'!BL13:BM13,F$41)+COUNTIF('2月'!BQ13:BR13,F$41)+COUNTIF('2月'!BV13:BW13,F$41)+COUNTIF('2月'!CA13:CB13,F$41)+COUNTIF('2月'!CF13:CG13,F$41)+COUNTIF('2月'!CK13:CL13,F$41)+COUNTIF('2月'!CP13:CQ13,F$41)+COUNTIF('2月'!CU13:CV13,F$41)+COUNTIF('2月'!CZ13:DA13,F$41)+COUNTIF('2月'!DE13:DF13,F$41)+COUNTIF('2月'!DJ13:DK13,F$41)+COUNTIF('2月'!DO13:DP13,F$41)+COUNTIF('2月'!DT13:DU13,F$41)+COUNTIF('2月'!DY13:DZ13,F$41)+COUNTIF('2月'!ED13:EE13,F$41)+COUNTIF('2月'!EI13:EJ13,F$41)+COUNTIF('2月'!EN13:EO13,F$41)+COUNTIF('2月'!ES13:ET13,F$41)</f>
        <v>0</v>
      </c>
      <c r="G52" s="76">
        <f t="shared" si="14"/>
        <v>0</v>
      </c>
      <c r="H52" s="76">
        <f>COUNTIF('2月'!D13:E13,H$41)+COUNTIF('2月'!I13:J13,H$41)+COUNTIF('2月'!N13:O13,H$41)+COUNTIF('2月'!S13:T13,H$41)+COUNTIF('2月'!X13:Y13,H$41)+COUNTIF('2月'!AC13:AD13,H$41)+COUNTIF('2月'!AH13:AI13,H$41)+COUNTIF('2月'!AM13:AN13,H$41)+COUNTIF('2月'!AR13:AS13,H$41)+COUNTIF('2月'!AW13:AX13,H$41)+COUNTIF('2月'!BB13:BC13,H$41)+COUNTIF('2月'!BG13:BH13,H$41)+COUNTIF('2月'!BL13:BM13,H$41)+COUNTIF('2月'!BQ13:BR13,H$41)+COUNTIF('2月'!BV13:BW13,H$41)+COUNTIF('2月'!CA13:CB13,H$41)+COUNTIF('2月'!CF13:CG13,H$41)+COUNTIF('2月'!CK13:CL13,H$41)+COUNTIF('2月'!CP13:CQ13,H$41)+COUNTIF('2月'!CU13:CV13,H$41)+COUNTIF('2月'!CZ13:DA13,H$41)+COUNTIF('2月'!DE13:DF13,H$41)+COUNTIF('2月'!DJ13:DK13,H$41)+COUNTIF('2月'!DO13:DP13,H$41)+COUNTIF('2月'!DT13:DU13,H$41)+COUNTIF('2月'!DY13:DZ13,H$41)+COUNTIF('2月'!ED13:EE13,H$41)+COUNTIF('2月'!EI13:EJ13,H$41)+COUNTIF('2月'!EN13:EO13,H$41)+COUNTIF('2月'!ES13:ET13,H$41)+COUNTIF('2月'!D13:E13,"渋谷-夜勤")+COUNTIF('2月'!I13:J13,"渋谷-夜勤")+COUNTIF('2月'!N13:O13,"渋谷-夜勤")+COUNTIF('2月'!S13:T13,"渋谷-夜勤")+COUNTIF('2月'!X13:Y13,"渋谷-夜勤")+COUNTIF('2月'!AC13:AD13,"渋谷-夜勤")+COUNTIF('2月'!AH13:AI13,"渋谷-夜勤")+COUNTIF('2月'!AM13:AN13,"渋谷-夜勤")+COUNTIF('2月'!AR13:AS13,"渋谷-夜勤")+COUNTIF('2月'!AW13:AX13,"渋谷-夜勤")+COUNTIF('2月'!BB13:BC13,"渋谷-夜勤")+COUNTIF('2月'!BG13:BH13,"渋谷-夜勤")+COUNTIF('2月'!BL13:BM13,"渋谷-夜勤")+COUNTIF('2月'!BQ13:BR13,"渋谷-夜勤")+COUNTIF('2月'!BV13:BW13,"渋谷-夜勤")+COUNTIF('2月'!CA13:CB13,"渋谷-夜勤")+COUNTIF('2月'!CF13:CG13,"渋谷-夜勤")+COUNTIF('2月'!CK13:CL13,"渋谷-夜勤")+COUNTIF('2月'!CP13:CQ13,"渋谷-夜勤")+COUNTIF('2月'!CU13:CV13,"渋谷-夜勤")+COUNTIF('2月'!CZ13:DA13,"渋谷-夜勤")+COUNTIF('2月'!DE13:DF13,"渋谷-夜勤")+COUNTIF('2月'!DJ13:DK13,"渋谷-夜勤")+COUNTIF('2月'!DO13:DP13,"渋谷-夜勤")+COUNTIF('2月'!DT13:DU13,"渋谷-夜勤")+COUNTIF('2月'!DY13:DZ13,"渋谷-夜勤")+COUNTIF('2月'!ED13:EE13,"渋谷-夜勤")+COUNTIF('2月'!EI13:EJ13,"渋谷-夜勤")+COUNTIF('2月'!EN13:EO13,"渋谷-夜勤")+COUNTIF('2月'!ES13:ET13,"渋谷-夜勤")</f>
        <v>0</v>
      </c>
      <c r="I52" s="76">
        <f t="shared" si="15"/>
        <v>0</v>
      </c>
      <c r="J52" s="76">
        <f>COUNTIF('2月'!D13:E13,J$41)+COUNTIF('2月'!I13:J13,J$41)+COUNTIF('2月'!N13:O13,J$41)+COUNTIF('2月'!S13:T13,J$41)+COUNTIF('2月'!X13:Y13,J$41)+COUNTIF('2月'!AC13:AD13,J$41)+COUNTIF('2月'!AH13:AI13,J$41)+COUNTIF('2月'!AM13:AN13,J$41)+COUNTIF('2月'!AR13:AS13,J$41)+COUNTIF('2月'!AW13:AX13,J$41)+COUNTIF('2月'!BB13:BC13,J$41)+COUNTIF('2月'!BG13:BH13,J$41)+COUNTIF('2月'!BL13:BM13,J$41)+COUNTIF('2月'!BQ13:BR13,J$41)+COUNTIF('2月'!BV13:BW13,J$41)+COUNTIF('2月'!CA13:CB13,J$41)+COUNTIF('2月'!CF13:CG13,J$41)+COUNTIF('2月'!CK13:CL13,J$41)+COUNTIF('2月'!CP13:CQ13,J$41)+COUNTIF('2月'!CU13:CV13,J$41)+COUNTIF('2月'!CZ13:DA13,J$41)+COUNTIF('2月'!DE13:DF13,J$41)+COUNTIF('2月'!DJ13:DK13,J$41)+COUNTIF('2月'!DO13:DP13,J$41)+COUNTIF('2月'!DT13:DU13,J$41)+COUNTIF('2月'!DY13:DZ13,J$41)+COUNTIF('2月'!ED13:EE13,J$41)+COUNTIF('2月'!EI13:EJ13,J$41)+COUNTIF('2月'!EN13:EO13,J$41)+COUNTIF('2月'!ES13:ET13,J$41)+COUNTIF('2月'!D13:E13,"六本木-夜勤")+COUNTIF('2月'!I13:J13,"六本木-夜勤")+COUNTIF('2月'!N13:O13,"六本木-夜勤")+COUNTIF('2月'!S13:T13,"六本木-夜勤")+COUNTIF('2月'!X13:Y13,"六本木-夜勤")+COUNTIF('2月'!AC13:AD13,"六本木-夜勤")+COUNTIF('2月'!AH13:AI13,"六本木-夜勤")+COUNTIF('2月'!AM13:AN13,"六本木-夜勤")+COUNTIF('2月'!AR13:AS13,"六本木-夜勤")+COUNTIF('2月'!AW13:AX13,"六本木-夜勤")+COUNTIF('2月'!BB13:BC13,"六本木-夜勤")+COUNTIF('2月'!BG13:BH13,"六本木-夜勤")+COUNTIF('2月'!BL13:BM13,"六本木-夜勤")+COUNTIF('2月'!BQ13:BR13,"六本木-夜勤")+COUNTIF('2月'!BV13:BW13,"六本木-夜勤")+COUNTIF('2月'!CA13:CB13,"六本木-夜勤")+COUNTIF('2月'!CF13:CG13,"六本木-夜勤")+COUNTIF('2月'!CK13:CL13,"六本木-夜勤")+COUNTIF('2月'!CP13:CQ13,"六本木-夜勤")+COUNTIF('2月'!CU13:CV13,"六本木-夜勤")+COUNTIF('2月'!CZ13:DA13,"六本木-夜勤")+COUNTIF('2月'!DE13:DF13,"六本木-夜勤")+COUNTIF('2月'!DJ13:DK13,"六本木-夜勤")+COUNTIF('2月'!DO13:DP13,"六本木-夜勤")+COUNTIF('2月'!DT13:DU13,"六本木-夜勤")+COUNTIF('2月'!DY13:DZ13,"六本木-夜勤")+COUNTIF('2月'!ED13:EE13,"六本木-夜勤")+COUNTIF('2月'!EI13:EJ13,"六本木-夜勤")+COUNTIF('2月'!EN13:EO13,"六本木-夜勤")+COUNTIF('2月'!ES13:ET13,"六本木-夜勤")+COUNTIF('2月'!D13:E13,"六本木ー夜勤")+COUNTIF('2月'!I13:J13,"六本木ー夜勤")+COUNTIF('2月'!N13:O13,"六本木ー夜勤")+COUNTIF('2月'!S13:T13,"六本木ー夜勤")+COUNTIF('2月'!X13:Y13,"六本木ー夜勤")+COUNTIF('2月'!AC13:AD13,"六本木ー夜勤")+COUNTIF('2月'!AH13:AI13,"六本木ー夜勤")+COUNTIF('2月'!AM13:AN13,"六本木ー夜勤")+COUNTIF('2月'!AR13:AS13,"六本木ー夜勤")+COUNTIF('2月'!AW13:AX13,"六本木ー夜勤")+COUNTIF('2月'!BB13:BC13,"六本木ー夜勤")+COUNTIF('2月'!BG13:BH13,"六本木ー夜勤")+COUNTIF('2月'!BL13:BM13,"六本木ー夜勤")+COUNTIF('2月'!BQ13:BR13,"六本木ー夜勤")+COUNTIF('2月'!BV13:BW13,"六本木ー夜勤")+COUNTIF('2月'!CA13:CB13,"六本木ー夜勤")+COUNTIF('2月'!CF13:CG13,"六本木ー夜勤")+COUNTIF('2月'!CK13:CL13,"六本木ー夜勤")+COUNTIF('2月'!CP13:CQ13,"六本木ー夜勤")+COUNTIF('2月'!CU13:CV13,"六本木ー夜勤")+COUNTIF('2月'!CZ13:DA13,"六本木ー夜勤")+COUNTIF('2月'!DE13:DF13,"六本木ー夜勤")+COUNTIF('2月'!DJ13:DK13,"六本木ー夜勤")+COUNTIF('2月'!DO13:DP13,"六本木ー夜勤")+COUNTIF('2月'!DT13:DU13,"六本木ー夜勤")+COUNTIF('2月'!DY13:DZ13,"六本木ー夜勤")+COUNTIF('2月'!ED13:EE13,"六本木ー夜勤")+COUNTIF('2月'!EI13:EJ13,"六本木ー夜勤")+COUNTIF('2月'!EN13:EO13,"六本木ー夜勤")+COUNTIF('2月'!ES13:ET13,"六本木ー夜勤")</f>
        <v>0</v>
      </c>
      <c r="K52" s="76">
        <f t="shared" si="16"/>
        <v>0</v>
      </c>
      <c r="L52" s="76">
        <f>COUNTIF('2月'!D13:E13,L$41)+COUNTIF('2月'!I13:J13,L$41)+COUNTIF('2月'!N13:O13,L$41)+COUNTIF('2月'!S13:T13,L$41)+COUNTIF('2月'!X13:Y13,L$41)+COUNTIF('2月'!AC13:AD13,L$41)+COUNTIF('2月'!AH13:AI13,L$41)+COUNTIF('2月'!AM13:AN13,L$41)+COUNTIF('2月'!AR13:AS13,L$41)+COUNTIF('2月'!AW13:AX13,L$41)+COUNTIF('2月'!BB13:BC13,L$41)+COUNTIF('2月'!BG13:BH13,L$41)+COUNTIF('2月'!BL13:BM13,L$41)+COUNTIF('2月'!BQ13:BR13,L$41)+COUNTIF('2月'!BV13:BW13,L$41)+COUNTIF('2月'!CA13:CB13,L$41)+COUNTIF('2月'!CF13:CG13,L$41)+COUNTIF('2月'!CK13:CL13,L$41)+COUNTIF('2月'!CP13:CQ13,L$41)+COUNTIF('2月'!CU13:CV13,L$41)+COUNTIF('2月'!CZ13:DA13,L$41)+COUNTIF('2月'!DE13:DF13,L$41)+COUNTIF('2月'!DJ13:DK13,L$41)+COUNTIF('2月'!DO13:DP13,L$41)+COUNTIF('2月'!DT13:DU13,L$41)+COUNTIF('2月'!DY13:DZ13,L$41)+COUNTIF('2月'!ED13:EE13,L$41)+COUNTIF('2月'!EI13:EJ13,L$41)+COUNTIF('2月'!EN13:EO13,L$41)+COUNTIF('2月'!ES13:ET13,L$41)</f>
        <v>0</v>
      </c>
      <c r="M52" s="76">
        <f t="shared" si="17"/>
        <v>0</v>
      </c>
      <c r="N52" s="76">
        <f>COUNTIF('2月'!D13:E13,N$41)+COUNTIF('2月'!I13:J13,N$41)+COUNTIF('2月'!N13:O13,N$41)+COUNTIF('2月'!S13:T13,N$41)+COUNTIF('2月'!X13:Y13,N$41)+COUNTIF('2月'!AC13:AD13,N$41)+COUNTIF('2月'!AH13:AI13,N$41)+COUNTIF('2月'!AM13:AN13,N$41)+COUNTIF('2月'!AR13:AS13,N$41)+COUNTIF('2月'!AW13:AX13,N$41)+COUNTIF('2月'!BB13:BC13,N$41)+COUNTIF('2月'!BG13:BH13,N$41)+COUNTIF('2月'!BL13:BM13,N$41)+COUNTIF('2月'!BQ13:BR13,N$41)+COUNTIF('2月'!BV13:BW13,N$41)+COUNTIF('2月'!CA13:CB13,N$41)+COUNTIF('2月'!CF13:CG13,N$41)+COUNTIF('2月'!CK13:CL13,N$41)+COUNTIF('2月'!CP13:CQ13,N$41)+COUNTIF('2月'!CU13:CV13,N$41)+COUNTIF('2月'!CZ13:DA13,N$41)+COUNTIF('2月'!DE13:DF13,N$41)+COUNTIF('2月'!DJ13:DK13,N$41)+COUNTIF('2月'!DO13:DP13,N$41)+COUNTIF('2月'!DT13:DU13,N$41)+COUNTIF('2月'!DY13:DZ13,N$41)+COUNTIF('2月'!ED13:EE13,N$41)+COUNTIF('2月'!EI13:EJ13,N$41)+COUNTIF('2月'!EN13:EO13,N$41)+COUNTIF('2月'!ES13:ET13,N$41)+COUNTIF('2月'!D13:E13,"三軒茶屋－夜勤")+COUNTIF('2月'!I13:J13,"三軒茶屋－夜勤")+COUNTIF('2月'!N13:O13,"三軒茶屋－夜勤")+COUNTIF('2月'!S13:T13,"三軒茶屋－夜勤")+COUNTIF('2月'!X13:Y13,"三軒茶屋－夜勤")+COUNTIF('2月'!AC13:AD13,"三軒茶屋－夜勤")+COUNTIF('2月'!AH13:AI13,"三軒茶屋－夜勤")+COUNTIF('2月'!AM13:AN13,"三軒茶屋－夜勤")+COUNTIF('2月'!AR13:AS13,"三軒茶屋－夜勤")+COUNTIF('2月'!AW13:AX13,"三軒茶屋－夜勤")+COUNTIF('2月'!BB13:BC13,"三軒茶屋－夜勤")+COUNTIF('2月'!BG13:BH13,"三軒茶屋－夜勤")+COUNTIF('2月'!BL13:BM13,"三軒茶屋－夜勤")+COUNTIF('2月'!BQ13:BR13,"三軒茶屋－夜勤")+COUNTIF('2月'!BV13:BW13,"三軒茶屋－夜勤")+COUNTIF('2月'!CA13:CB13,"三軒茶屋－夜勤")+COUNTIF('2月'!CF13:CG13,"三軒茶屋－夜勤")+COUNTIF('2月'!CK13:CL13,"三軒茶屋－夜勤")+COUNTIF('2月'!CP13:CQ13,"三軒茶屋－夜勤")+COUNTIF('2月'!CU13:CV13,"三軒茶屋－夜勤")+COUNTIF('2月'!CZ13:DA13,"三軒茶屋－夜勤")+COUNTIF('2月'!DE13:DF13,"三軒茶屋－夜勤")+COUNTIF('2月'!DJ13:DK13,"三軒茶屋－夜勤")+COUNTIF('2月'!DO13:DP13,"三軒茶屋－夜勤")+COUNTIF('2月'!DT13:DU13,"三軒茶屋－夜勤")+COUNTIF('2月'!DY13:DZ13,"三軒茶屋－夜勤")+COUNTIF('2月'!ED13:EE13,"三軒茶屋－夜勤")+COUNTIF('2月'!EI13:EJ13,"三軒茶屋－夜勤")+COUNTIF('2月'!EN13:EO13,"三軒茶屋－夜勤")+COUNTIF('2月'!ES13:ET13,"三軒茶屋－夜勤")</f>
        <v>0</v>
      </c>
      <c r="O52" s="76">
        <f t="shared" si="18"/>
        <v>0</v>
      </c>
      <c r="P52" s="76">
        <f>COUNTIF('2月'!D13:E13,P$41)+COUNTIF('2月'!I13:J13,P$41)+COUNTIF('2月'!N13:O13,P$41)+COUNTIF('2月'!S13:T13,P$41)+COUNTIF('2月'!X13:Y13,P$41)+COUNTIF('2月'!AC13:AD13,P$41)+COUNTIF('2月'!AH13:AI13,P$41)+COUNTIF('2月'!AM13:AN13,P$41)+COUNTIF('2月'!AR13:AS13,P$41)+COUNTIF('2月'!AW13:AX13,P$41)+COUNTIF('2月'!BB13:BC13,P$41)+COUNTIF('2月'!BG13:BH13,P$41)+COUNTIF('2月'!BL13:BM13,P$41)+COUNTIF('2月'!BQ13:BR13,P$41)+COUNTIF('2月'!BV13:BW13,P$41)+COUNTIF('2月'!CA13:CB13,P$41)+COUNTIF('2月'!CF13:CG13,P$41)+COUNTIF('2月'!CK13:CL13,P$41)+COUNTIF('2月'!CP13:CQ13,P$41)+COUNTIF('2月'!CU13:CV13,P$41)+COUNTIF('2月'!CZ13:DA13,P$41)+COUNTIF('2月'!DE13:DF13,P$41)+COUNTIF('2月'!DJ13:DK13,P$41)+COUNTIF('2月'!DO13:DP13,P$41)+COUNTIF('2月'!DT13:DU13,P$41)+COUNTIF('2月'!DY13:DZ13,P$41)+COUNTIF('2月'!ED13:EE13,P$41)+COUNTIF('2月'!EI13:EJ13,P$41)+COUNTIF('2月'!EN13:EO13,P$41)+COUNTIF('2月'!ES13:ET13,P$41)+COUNTIF('2月'!D13:E13,"荻窪ー夜勤")+COUNTIF('2月'!I13:J13,"荻窪ー夜勤")+COUNTIF('2月'!N13:O13,"荻窪ー夜勤")+COUNTIF('2月'!S13:T13,"荻窪ー夜勤")+COUNTIF('2月'!X13:Y13,"荻窪ー夜勤")+COUNTIF('2月'!AC13:AD13,"荻窪ー夜勤")+COUNTIF('2月'!AH13:AI13,"荻窪ー夜勤")+COUNTIF('2月'!AM13:AN13,"荻窪ー夜勤")+COUNTIF('2月'!AR13:AS13,"荻窪ー夜勤")+COUNTIF('2月'!AW13:AX13,"荻窪ー夜勤")+COUNTIF('2月'!BB13:BC13,"荻窪ー夜勤")+COUNTIF('2月'!BG13:BH13,"荻窪ー夜勤")+COUNTIF('2月'!BL13:BM13,"荻窪ー夜勤")+COUNTIF('2月'!BQ13:BR13,"荻窪ー夜勤")+COUNTIF('2月'!BV13:BW13,"荻窪ー夜勤")+COUNTIF('2月'!CA13:CB13,"荻窪ー夜勤")+COUNTIF('2月'!CF13:CG13,"荻窪ー夜勤")+COUNTIF('2月'!CK13:CL13,"荻窪ー夜勤")+COUNTIF('2月'!CP13:CQ13,"荻窪ー夜勤")+COUNTIF('2月'!CU13:CV13,"荻窪ー夜勤")+COUNTIF('2月'!CZ13:DA13,"荻窪ー夜勤")+COUNTIF('2月'!DE13:DF13,"荻窪ー夜勤")+COUNTIF('2月'!DJ13:DK13,"荻窪ー夜勤")+COUNTIF('2月'!DO13:DP13,"荻窪ー夜勤")+COUNTIF('2月'!DT13:DU13,"荻窪ー夜勤")+COUNTIF('2月'!DY13:DZ13,"荻窪ー夜勤")+COUNTIF('2月'!ED13:EE13,"荻窪ー夜勤")+COUNTIF('2月'!EI13:EJ13,"荻窪ー夜勤")+COUNTIF('2月'!EN13:EO13,"荻窪ー夜勤")+COUNTIF('2月'!ES13:ET13,"荻窪ー夜勤")</f>
        <v>0</v>
      </c>
      <c r="Q52" s="76">
        <f t="shared" si="19"/>
        <v>0</v>
      </c>
      <c r="R52" s="76">
        <f>COUNTIF('2月'!D13:E13,R$41)+COUNTIF('2月'!I13:J13,R$41)+COUNTIF('2月'!N13:O13,R$41)+COUNTIF('2月'!S13:T13,R$41)+COUNTIF('2月'!X13:Y13,R$41)+COUNTIF('2月'!AC13:AD13,R$41)+COUNTIF('2月'!AH13:AI13,R$41)+COUNTIF('2月'!AM13:AN13,R$41)+COUNTIF('2月'!AR13:AS13,R$41)+COUNTIF('2月'!AW13:AX13,R$41)+COUNTIF('2月'!BB13:BC13,R$41)+COUNTIF('2月'!BG13:BH13,R$41)+COUNTIF('2月'!BL13:BM13,R$41)+COUNTIF('2月'!BQ13:BR13,R$41)+COUNTIF('2月'!BV13:BW13,R$41)+COUNTIF('2月'!CA13:CB13,R$41)+COUNTIF('2月'!CF13:CG13,R$41)+COUNTIF('2月'!CK13:CL13,R$41)+COUNTIF('2月'!CP13:CQ13,R$41)+COUNTIF('2月'!CU13:CV13,R$41)+COUNTIF('2月'!CZ13:DA13,R$41)+COUNTIF('2月'!DE13:DF13,R$41)+COUNTIF('2月'!DJ13:DK13,R$41)+COUNTIF('2月'!DO13:DP13,R$41)+COUNTIF('2月'!DT13:DU13,R$41)+COUNTIF('2月'!DY13:DZ13,R$41)+COUNTIF('2月'!ED13:EE13,R$41)+COUNTIF('2月'!EI13:EJ13,R$41)+COUNTIF('2月'!EN13:EO13,R$41)+COUNTIF('2月'!ES13:ET13,R$41)</f>
        <v>0</v>
      </c>
      <c r="S52" s="76">
        <f t="shared" si="20"/>
        <v>0</v>
      </c>
      <c r="T52" s="76">
        <f>COUNTIF('2月'!D13:E13,T$41)+COUNTIF('2月'!I13:J13,T$41)+COUNTIF('2月'!N13:O13,T$41)+COUNTIF('2月'!S13:T13,T$41)+COUNTIF('2月'!X13:Y13,T$41)+COUNTIF('2月'!AC13:AD13,T$41)+COUNTIF('2月'!AH13:AI13,T$41)+COUNTIF('2月'!AM13:AN13,T$41)+COUNTIF('2月'!AR13:AS13,T$41)+COUNTIF('2月'!AW13:AX13,T$41)+COUNTIF('2月'!BB13:BC13,T$41)+COUNTIF('2月'!BG13:BH13,T$41)+COUNTIF('2月'!BL13:BM13,T$41)+COUNTIF('2月'!BQ13:BR13,T$41)+COUNTIF('2月'!BV13:BW13,T$41)+COUNTIF('2月'!CA13:CB13,T$41)+COUNTIF('2月'!CF13:CG13,T$41)+COUNTIF('2月'!CK13:CL13,T$41)+COUNTIF('2月'!CP13:CQ13,T$41)+COUNTIF('2月'!CU13:CV13,T$41)+COUNTIF('2月'!CZ13:DA13,T$41)+COUNTIF('2月'!DE13:DF13,T$41)+COUNTIF('2月'!DJ13:DK13,T$41)+COUNTIF('2月'!DO13:DP13,T$41)+COUNTIF('2月'!DT13:DU13,T$41)+COUNTIF('2月'!DY13:DZ13,T$41)+COUNTIF('2月'!ED13:EE13,T$41)+COUNTIF('2月'!EI13:EJ13,T$41)+COUNTIF('2月'!EN13:EO13,T$41)+COUNTIF('2月'!ES13:ET13,T$41)</f>
        <v>0</v>
      </c>
      <c r="U52" s="76">
        <f t="shared" si="21"/>
        <v>0</v>
      </c>
      <c r="V52" s="76">
        <f>COUNTIF('2月'!D13:E13,V$41)+COUNTIF('2月'!I13:J13,V$41)+COUNTIF('2月'!N13:O13,V$41)+COUNTIF('2月'!S13:T13,V$41)+COUNTIF('2月'!X13:Y13,V$41)+COUNTIF('2月'!AC13:AD13,V$41)+COUNTIF('2月'!AH13:AI13,V$41)+COUNTIF('2月'!AM13:AN13,V$41)+COUNTIF('2月'!AR13:AS13,V$41)+COUNTIF('2月'!AW13:AX13,V$41)+COUNTIF('2月'!BB13:BC13,V$41)+COUNTIF('2月'!BG13:BH13,V$41)+COUNTIF('2月'!BL13:BM13,V$41)+COUNTIF('2月'!BQ13:BR13,V$41)+COUNTIF('2月'!BV13:BW13,V$41)+COUNTIF('2月'!CA13:CB13,V$41)+COUNTIF('2月'!CF13:CG13,V$41)+COUNTIF('2月'!CK13:CL13,V$41)+COUNTIF('2月'!CP13:CQ13,V$41)+COUNTIF('2月'!CU13:CV13,V$41)+COUNTIF('2月'!CZ13:DA13,V$41)+COUNTIF('2月'!DE13:DF13,V$41)+COUNTIF('2月'!DJ13:DK13,V$41)+COUNTIF('2月'!DO13:DP13,V$41)+COUNTIF('2月'!DT13:DU13,V$41)+COUNTIF('2月'!DY13:DZ13,V$41)+COUNTIF('2月'!ED13:EE13,V$41)+COUNTIF('2月'!EI13:EJ13,V$41)+COUNTIF('2月'!EN13:EO13,V$41)+COUNTIF('2月'!ES13:ET13,V$41)</f>
        <v>0</v>
      </c>
      <c r="W52" s="76">
        <f t="shared" si="22"/>
        <v>0</v>
      </c>
      <c r="X52" s="76">
        <f>COUNTIF('2月'!D13:E13,X$41)+COUNTIF('2月'!I13:J13,X$41)+COUNTIF('2月'!N13:O13,X$41)+COUNTIF('2月'!S13:T13,X$41)+COUNTIF('2月'!X13:Y13,X$41)+COUNTIF('2月'!AC13:AD13,X$41)+COUNTIF('2月'!AH13:AI13,X$41)+COUNTIF('2月'!AM13:AN13,X$41)+COUNTIF('2月'!AR13:AS13,X$41)+COUNTIF('2月'!AW13:AX13,X$41)+COUNTIF('2月'!BB13:BC13,X$41)+COUNTIF('2月'!BG13:BH13,X$41)+COUNTIF('2月'!BL13:BM13,X$41)+COUNTIF('2月'!BQ13:BR13,X$41)+COUNTIF('2月'!BV13:BW13,X$41)+COUNTIF('2月'!CA13:CB13,X$41)+COUNTIF('2月'!CF13:CG13,X$41)+COUNTIF('2月'!CK13:CL13,X$41)+COUNTIF('2月'!CP13:CQ13,X$41)+COUNTIF('2月'!CU13:CV13,X$41)+COUNTIF('2月'!CZ13:DA13,X$41)+COUNTIF('2月'!DE13:DF13,X$41)+COUNTIF('2月'!DJ13:DK13,X$41)+COUNTIF('2月'!DO13:DP13,X$41)+COUNTIF('2月'!DT13:DU13,X$41)+COUNTIF('2月'!DY13:DZ13,X$41)+COUNTIF('2月'!ED13:EE13,X$41)+COUNTIF('2月'!EI13:EJ13,X$41)+COUNTIF('2月'!EN13:EO13,X$41)+COUNTIF('2月'!ES13:ET13,X$41)</f>
        <v>0</v>
      </c>
      <c r="Y52" s="76">
        <f t="shared" si="23"/>
        <v>0</v>
      </c>
    </row>
    <row r="53" spans="1:25" ht="18" customHeight="1">
      <c r="A53" s="76">
        <v>11</v>
      </c>
      <c r="B53" s="76">
        <f>COUNTIF('2月'!D14:E14,B$41)+COUNTIF('2月'!I14:J14,B$41)+COUNTIF('2月'!N14:O14,B$41)+COUNTIF('2月'!S14:T14,B$41)+COUNTIF('2月'!X14:Y14,B$41)+COUNTIF('2月'!AC14:AD14,B$41)+COUNTIF('2月'!AH14:AI14,B$41)+COUNTIF('2月'!AM14:AN14,B$41)+COUNTIF('2月'!AR14:AS14,B$41)+COUNTIF('2月'!AW14:AX14,B$41)+COUNTIF('2月'!BB14:BC14,B$41)+COUNTIF('2月'!BG14:BH14,B$41)+COUNTIF('2月'!BL14:BM14,B$41)+COUNTIF('2月'!BQ14:BR14,B$41)+COUNTIF('2月'!BV14:BW14,B$41)+COUNTIF('2月'!CA14:CB14,B$41)+COUNTIF('2月'!CF14:CG14,B$41)+COUNTIF('2月'!CK14:CL14,B$41)+COUNTIF('2月'!CP14:CQ14,B$41)+COUNTIF('2月'!CU14:CV14,B$41)+COUNTIF('2月'!CZ14:DA14,B$41)+COUNTIF('2月'!DE14:DF14,B$41)+COUNTIF('2月'!DJ14:DK14,B$41)+COUNTIF('2月'!DO14:DP14,B$41)+COUNTIF('2月'!DT14:DU14,B$41)+COUNTIF('2月'!DY14:DZ14,B$41)+COUNTIF('2月'!ED14:EE14,B$41)+COUNTIF('2月'!EI14:EJ14,B$41)+COUNTIF('2月'!EN14:EO14,B$41)+COUNTIF('2月'!ES14:ET14,B$41)</f>
        <v>0</v>
      </c>
      <c r="C53" s="76">
        <f t="shared" si="12"/>
        <v>0</v>
      </c>
      <c r="D53" s="76">
        <f>COUNTIF('2月'!D14:E14,D$41)+COUNTIF('2月'!I14:J14,D$41)+COUNTIF('2月'!N14:O14,D$41)+COUNTIF('2月'!S14:T14,D$41)+COUNTIF('2月'!X14:Y14,D$41)+COUNTIF('2月'!AC14:AD14,D$41)+COUNTIF('2月'!AH14:AI14,D$41)+COUNTIF('2月'!AM14:AN14,D$41)+COUNTIF('2月'!AR14:AS14,D$41)+COUNTIF('2月'!AW14:AX14,D$41)+COUNTIF('2月'!BB14:BC14,D$41)+COUNTIF('2月'!BG14:BH14,D$41)+COUNTIF('2月'!BL14:BM14,D$41)+COUNTIF('2月'!BQ14:BR14,D$41)+COUNTIF('2月'!BV14:BW14,D$41)+COUNTIF('2月'!CA14:CB14,D$41)+COUNTIF('2月'!CF14:CG14,D$41)+COUNTIF('2月'!CK14:CL14,D$41)+COUNTIF('2月'!CP14:CQ14,D$41)+COUNTIF('2月'!CU14:CV14,D$41)+COUNTIF('2月'!CZ14:DA14,D$41)+COUNTIF('2月'!DE14:DF14,D$41)+COUNTIF('2月'!DJ14:DK14,D$41)+COUNTIF('2月'!DO14:DP14,D$41)+COUNTIF('2月'!DT14:DU14,D$41)+COUNTIF('2月'!DY14:DZ14,D$41)+COUNTIF('2月'!ED14:EE14,D$41)+COUNTIF('2月'!EI14:EJ14,D$41)+COUNTIF('2月'!EN14:EO14,D$41)+COUNTIF('2月'!ES14:ET14,D$41)</f>
        <v>0</v>
      </c>
      <c r="E53" s="76">
        <f t="shared" si="13"/>
        <v>0</v>
      </c>
      <c r="F53" s="76">
        <f>COUNTIF('2月'!D14:E14,F$41)+COUNTIF('2月'!I14:J14,F$41)+COUNTIF('2月'!N14:O14,F$41)+COUNTIF('2月'!S14:T14,F$41)+COUNTIF('2月'!X14:Y14,F$41)+COUNTIF('2月'!AC14:AD14,F$41)+COUNTIF('2月'!AH14:AI14,F$41)+COUNTIF('2月'!AM14:AN14,F$41)+COUNTIF('2月'!AR14:AS14,F$41)+COUNTIF('2月'!AW14:AX14,F$41)+COUNTIF('2月'!BB14:BC14,F$41)+COUNTIF('2月'!BG14:BH14,F$41)+COUNTIF('2月'!BL14:BM14,F$41)+COUNTIF('2月'!BQ14:BR14,F$41)+COUNTIF('2月'!BV14:BW14,F$41)+COUNTIF('2月'!CA14:CB14,F$41)+COUNTIF('2月'!CF14:CG14,F$41)+COUNTIF('2月'!CK14:CL14,F$41)+COUNTIF('2月'!CP14:CQ14,F$41)+COUNTIF('2月'!CU14:CV14,F$41)+COUNTIF('2月'!CZ14:DA14,F$41)+COUNTIF('2月'!DE14:DF14,F$41)+COUNTIF('2月'!DJ14:DK14,F$41)+COUNTIF('2月'!DO14:DP14,F$41)+COUNTIF('2月'!DT14:DU14,F$41)+COUNTIF('2月'!DY14:DZ14,F$41)+COUNTIF('2月'!ED14:EE14,F$41)+COUNTIF('2月'!EI14:EJ14,F$41)+COUNTIF('2月'!EN14:EO14,F$41)+COUNTIF('2月'!ES14:ET14,F$41)</f>
        <v>0</v>
      </c>
      <c r="G53" s="76">
        <f t="shared" si="14"/>
        <v>0</v>
      </c>
      <c r="H53" s="76">
        <f>COUNTIF('2月'!D14:E14,H$41)+COUNTIF('2月'!I14:J14,H$41)+COUNTIF('2月'!N14:O14,H$41)+COUNTIF('2月'!S14:T14,H$41)+COUNTIF('2月'!X14:Y14,H$41)+COUNTIF('2月'!AC14:AD14,H$41)+COUNTIF('2月'!AH14:AI14,H$41)+COUNTIF('2月'!AM14:AN14,H$41)+COUNTIF('2月'!AR14:AS14,H$41)+COUNTIF('2月'!AW14:AX14,H$41)+COUNTIF('2月'!BB14:BC14,H$41)+COUNTIF('2月'!BG14:BH14,H$41)+COUNTIF('2月'!BL14:BM14,H$41)+COUNTIF('2月'!BQ14:BR14,H$41)+COUNTIF('2月'!BV14:BW14,H$41)+COUNTIF('2月'!CA14:CB14,H$41)+COUNTIF('2月'!CF14:CG14,H$41)+COUNTIF('2月'!CK14:CL14,H$41)+COUNTIF('2月'!CP14:CQ14,H$41)+COUNTIF('2月'!CU14:CV14,H$41)+COUNTIF('2月'!CZ14:DA14,H$41)+COUNTIF('2月'!DE14:DF14,H$41)+COUNTIF('2月'!DJ14:DK14,H$41)+COUNTIF('2月'!DO14:DP14,H$41)+COUNTIF('2月'!DT14:DU14,H$41)+COUNTIF('2月'!DY14:DZ14,H$41)+COUNTIF('2月'!ED14:EE14,H$41)+COUNTIF('2月'!EI14:EJ14,H$41)+COUNTIF('2月'!EN14:EO14,H$41)+COUNTIF('2月'!ES14:ET14,H$41)+COUNTIF('2月'!D14:E14,"渋谷-夜勤")+COUNTIF('2月'!I14:J14,"渋谷-夜勤")+COUNTIF('2月'!N14:O14,"渋谷-夜勤")+COUNTIF('2月'!S14:T14,"渋谷-夜勤")+COUNTIF('2月'!X14:Y14,"渋谷-夜勤")+COUNTIF('2月'!AC14:AD14,"渋谷-夜勤")+COUNTIF('2月'!AH14:AI14,"渋谷-夜勤")+COUNTIF('2月'!AM14:AN14,"渋谷-夜勤")+COUNTIF('2月'!AR14:AS14,"渋谷-夜勤")+COUNTIF('2月'!AW14:AX14,"渋谷-夜勤")+COUNTIF('2月'!BB14:BC14,"渋谷-夜勤")+COUNTIF('2月'!BG14:BH14,"渋谷-夜勤")+COUNTIF('2月'!BL14:BM14,"渋谷-夜勤")+COUNTIF('2月'!BQ14:BR14,"渋谷-夜勤")+COUNTIF('2月'!BV14:BW14,"渋谷-夜勤")+COUNTIF('2月'!CA14:CB14,"渋谷-夜勤")+COUNTIF('2月'!CF14:CG14,"渋谷-夜勤")+COUNTIF('2月'!CK14:CL14,"渋谷-夜勤")+COUNTIF('2月'!CP14:CQ14,"渋谷-夜勤")+COUNTIF('2月'!CU14:CV14,"渋谷-夜勤")+COUNTIF('2月'!CZ14:DA14,"渋谷-夜勤")+COUNTIF('2月'!DE14:DF14,"渋谷-夜勤")+COUNTIF('2月'!DJ14:DK14,"渋谷-夜勤")+COUNTIF('2月'!DO14:DP14,"渋谷-夜勤")+COUNTIF('2月'!DT14:DU14,"渋谷-夜勤")+COUNTIF('2月'!DY14:DZ14,"渋谷-夜勤")+COUNTIF('2月'!ED14:EE14,"渋谷-夜勤")+COUNTIF('2月'!EI14:EJ14,"渋谷-夜勤")+COUNTIF('2月'!EN14:EO14,"渋谷-夜勤")+COUNTIF('2月'!ES14:ET14,"渋谷-夜勤")</f>
        <v>0</v>
      </c>
      <c r="I53" s="76">
        <f t="shared" si="15"/>
        <v>0</v>
      </c>
      <c r="J53" s="76">
        <f>COUNTIF('2月'!D14:E14,J$41)+COUNTIF('2月'!I14:J14,J$41)+COUNTIF('2月'!N14:O14,J$41)+COUNTIF('2月'!S14:T14,J$41)+COUNTIF('2月'!X14:Y14,J$41)+COUNTIF('2月'!AC14:AD14,J$41)+COUNTIF('2月'!AH14:AI14,J$41)+COUNTIF('2月'!AM14:AN14,J$41)+COUNTIF('2月'!AR14:AS14,J$41)+COUNTIF('2月'!AW14:AX14,J$41)+COUNTIF('2月'!BB14:BC14,J$41)+COUNTIF('2月'!BG14:BH14,J$41)+COUNTIF('2月'!BL14:BM14,J$41)+COUNTIF('2月'!BQ14:BR14,J$41)+COUNTIF('2月'!BV14:BW14,J$41)+COUNTIF('2月'!CA14:CB14,J$41)+COUNTIF('2月'!CF14:CG14,J$41)+COUNTIF('2月'!CK14:CL14,J$41)+COUNTIF('2月'!CP14:CQ14,J$41)+COUNTIF('2月'!CU14:CV14,J$41)+COUNTIF('2月'!CZ14:DA14,J$41)+COUNTIF('2月'!DE14:DF14,J$41)+COUNTIF('2月'!DJ14:DK14,J$41)+COUNTIF('2月'!DO14:DP14,J$41)+COUNTIF('2月'!DT14:DU14,J$41)+COUNTIF('2月'!DY14:DZ14,J$41)+COUNTIF('2月'!ED14:EE14,J$41)+COUNTIF('2月'!EI14:EJ14,J$41)+COUNTIF('2月'!EN14:EO14,J$41)+COUNTIF('2月'!ES14:ET14,J$41)+COUNTIF('2月'!D14:E14,"六本木-夜勤")+COUNTIF('2月'!I14:J14,"六本木-夜勤")+COUNTIF('2月'!N14:O14,"六本木-夜勤")+COUNTIF('2月'!S14:T14,"六本木-夜勤")+COUNTIF('2月'!X14:Y14,"六本木-夜勤")+COUNTIF('2月'!AC14:AD14,"六本木-夜勤")+COUNTIF('2月'!AH14:AI14,"六本木-夜勤")+COUNTIF('2月'!AM14:AN14,"六本木-夜勤")+COUNTIF('2月'!AR14:AS14,"六本木-夜勤")+COUNTIF('2月'!AW14:AX14,"六本木-夜勤")+COUNTIF('2月'!BB14:BC14,"六本木-夜勤")+COUNTIF('2月'!BG14:BH14,"六本木-夜勤")+COUNTIF('2月'!BL14:BM14,"六本木-夜勤")+COUNTIF('2月'!BQ14:BR14,"六本木-夜勤")+COUNTIF('2月'!BV14:BW14,"六本木-夜勤")+COUNTIF('2月'!CA14:CB14,"六本木-夜勤")+COUNTIF('2月'!CF14:CG14,"六本木-夜勤")+COUNTIF('2月'!CK14:CL14,"六本木-夜勤")+COUNTIF('2月'!CP14:CQ14,"六本木-夜勤")+COUNTIF('2月'!CU14:CV14,"六本木-夜勤")+COUNTIF('2月'!CZ14:DA14,"六本木-夜勤")+COUNTIF('2月'!DE14:DF14,"六本木-夜勤")+COUNTIF('2月'!DJ14:DK14,"六本木-夜勤")+COUNTIF('2月'!DO14:DP14,"六本木-夜勤")+COUNTIF('2月'!DT14:DU14,"六本木-夜勤")+COUNTIF('2月'!DY14:DZ14,"六本木-夜勤")+COUNTIF('2月'!ED14:EE14,"六本木-夜勤")+COUNTIF('2月'!EI14:EJ14,"六本木-夜勤")+COUNTIF('2月'!EN14:EO14,"六本木-夜勤")+COUNTIF('2月'!ES14:ET14,"六本木-夜勤")+COUNTIF('2月'!D14:E14,"六本木ー夜勤")+COUNTIF('2月'!I14:J14,"六本木ー夜勤")+COUNTIF('2月'!N14:O14,"六本木ー夜勤")+COUNTIF('2月'!S14:T14,"六本木ー夜勤")+COUNTIF('2月'!X14:Y14,"六本木ー夜勤")+COUNTIF('2月'!AC14:AD14,"六本木ー夜勤")+COUNTIF('2月'!AH14:AI14,"六本木ー夜勤")+COUNTIF('2月'!AM14:AN14,"六本木ー夜勤")+COUNTIF('2月'!AR14:AS14,"六本木ー夜勤")+COUNTIF('2月'!AW14:AX14,"六本木ー夜勤")+COUNTIF('2月'!BB14:BC14,"六本木ー夜勤")+COUNTIF('2月'!BG14:BH14,"六本木ー夜勤")+COUNTIF('2月'!BL14:BM14,"六本木ー夜勤")+COUNTIF('2月'!BQ14:BR14,"六本木ー夜勤")+COUNTIF('2月'!BV14:BW14,"六本木ー夜勤")+COUNTIF('2月'!CA14:CB14,"六本木ー夜勤")+COUNTIF('2月'!CF14:CG14,"六本木ー夜勤")+COUNTIF('2月'!CK14:CL14,"六本木ー夜勤")+COUNTIF('2月'!CP14:CQ14,"六本木ー夜勤")+COUNTIF('2月'!CU14:CV14,"六本木ー夜勤")+COUNTIF('2月'!CZ14:DA14,"六本木ー夜勤")+COUNTIF('2月'!DE14:DF14,"六本木ー夜勤")+COUNTIF('2月'!DJ14:DK14,"六本木ー夜勤")+COUNTIF('2月'!DO14:DP14,"六本木ー夜勤")+COUNTIF('2月'!DT14:DU14,"六本木ー夜勤")+COUNTIF('2月'!DY14:DZ14,"六本木ー夜勤")+COUNTIF('2月'!ED14:EE14,"六本木ー夜勤")+COUNTIF('2月'!EI14:EJ14,"六本木ー夜勤")+COUNTIF('2月'!EN14:EO14,"六本木ー夜勤")+COUNTIF('2月'!ES14:ET14,"六本木ー夜勤")</f>
        <v>0</v>
      </c>
      <c r="K53" s="76">
        <f t="shared" si="16"/>
        <v>0</v>
      </c>
      <c r="L53" s="76">
        <f>COUNTIF('2月'!D14:E14,L$41)+COUNTIF('2月'!I14:J14,L$41)+COUNTIF('2月'!N14:O14,L$41)+COUNTIF('2月'!S14:T14,L$41)+COUNTIF('2月'!X14:Y14,L$41)+COUNTIF('2月'!AC14:AD14,L$41)+COUNTIF('2月'!AH14:AI14,L$41)+COUNTIF('2月'!AM14:AN14,L$41)+COUNTIF('2月'!AR14:AS14,L$41)+COUNTIF('2月'!AW14:AX14,L$41)+COUNTIF('2月'!BB14:BC14,L$41)+COUNTIF('2月'!BG14:BH14,L$41)+COUNTIF('2月'!BL14:BM14,L$41)+COUNTIF('2月'!BQ14:BR14,L$41)+COUNTIF('2月'!BV14:BW14,L$41)+COUNTIF('2月'!CA14:CB14,L$41)+COUNTIF('2月'!CF14:CG14,L$41)+COUNTIF('2月'!CK14:CL14,L$41)+COUNTIF('2月'!CP14:CQ14,L$41)+COUNTIF('2月'!CU14:CV14,L$41)+COUNTIF('2月'!CZ14:DA14,L$41)+COUNTIF('2月'!DE14:DF14,L$41)+COUNTIF('2月'!DJ14:DK14,L$41)+COUNTIF('2月'!DO14:DP14,L$41)+COUNTIF('2月'!DT14:DU14,L$41)+COUNTIF('2月'!DY14:DZ14,L$41)+COUNTIF('2月'!ED14:EE14,L$41)+COUNTIF('2月'!EI14:EJ14,L$41)+COUNTIF('2月'!EN14:EO14,L$41)+COUNTIF('2月'!ES14:ET14,L$41)</f>
        <v>0</v>
      </c>
      <c r="M53" s="76">
        <f t="shared" si="17"/>
        <v>0</v>
      </c>
      <c r="N53" s="76">
        <f>COUNTIF('2月'!D14:E14,N$41)+COUNTIF('2月'!I14:J14,N$41)+COUNTIF('2月'!N14:O14,N$41)+COUNTIF('2月'!S14:T14,N$41)+COUNTIF('2月'!X14:Y14,N$41)+COUNTIF('2月'!AC14:AD14,N$41)+COUNTIF('2月'!AH14:AI14,N$41)+COUNTIF('2月'!AM14:AN14,N$41)+COUNTIF('2月'!AR14:AS14,N$41)+COUNTIF('2月'!AW14:AX14,N$41)+COUNTIF('2月'!BB14:BC14,N$41)+COUNTIF('2月'!BG14:BH14,N$41)+COUNTIF('2月'!BL14:BM14,N$41)+COUNTIF('2月'!BQ14:BR14,N$41)+COUNTIF('2月'!BV14:BW14,N$41)+COUNTIF('2月'!CA14:CB14,N$41)+COUNTIF('2月'!CF14:CG14,N$41)+COUNTIF('2月'!CK14:CL14,N$41)+COUNTIF('2月'!CP14:CQ14,N$41)+COUNTIF('2月'!CU14:CV14,N$41)+COUNTIF('2月'!CZ14:DA14,N$41)+COUNTIF('2月'!DE14:DF14,N$41)+COUNTIF('2月'!DJ14:DK14,N$41)+COUNTIF('2月'!DO14:DP14,N$41)+COUNTIF('2月'!DT14:DU14,N$41)+COUNTIF('2月'!DY14:DZ14,N$41)+COUNTIF('2月'!ED14:EE14,N$41)+COUNTIF('2月'!EI14:EJ14,N$41)+COUNTIF('2月'!EN14:EO14,N$41)+COUNTIF('2月'!ES14:ET14,N$41)+COUNTIF('2月'!D14:E14,"三軒茶屋－夜勤")+COUNTIF('2月'!I14:J14,"三軒茶屋－夜勤")+COUNTIF('2月'!N14:O14,"三軒茶屋－夜勤")+COUNTIF('2月'!S14:T14,"三軒茶屋－夜勤")+COUNTIF('2月'!X14:Y14,"三軒茶屋－夜勤")+COUNTIF('2月'!AC14:AD14,"三軒茶屋－夜勤")+COUNTIF('2月'!AH14:AI14,"三軒茶屋－夜勤")+COUNTIF('2月'!AM14:AN14,"三軒茶屋－夜勤")+COUNTIF('2月'!AR14:AS14,"三軒茶屋－夜勤")+COUNTIF('2月'!AW14:AX14,"三軒茶屋－夜勤")+COUNTIF('2月'!BB14:BC14,"三軒茶屋－夜勤")+COUNTIF('2月'!BG14:BH14,"三軒茶屋－夜勤")+COUNTIF('2月'!BL14:BM14,"三軒茶屋－夜勤")+COUNTIF('2月'!BQ14:BR14,"三軒茶屋－夜勤")+COUNTIF('2月'!BV14:BW14,"三軒茶屋－夜勤")+COUNTIF('2月'!CA14:CB14,"三軒茶屋－夜勤")+COUNTIF('2月'!CF14:CG14,"三軒茶屋－夜勤")+COUNTIF('2月'!CK14:CL14,"三軒茶屋－夜勤")+COUNTIF('2月'!CP14:CQ14,"三軒茶屋－夜勤")+COUNTIF('2月'!CU14:CV14,"三軒茶屋－夜勤")+COUNTIF('2月'!CZ14:DA14,"三軒茶屋－夜勤")+COUNTIF('2月'!DE14:DF14,"三軒茶屋－夜勤")+COUNTIF('2月'!DJ14:DK14,"三軒茶屋－夜勤")+COUNTIF('2月'!DO14:DP14,"三軒茶屋－夜勤")+COUNTIF('2月'!DT14:DU14,"三軒茶屋－夜勤")+COUNTIF('2月'!DY14:DZ14,"三軒茶屋－夜勤")+COUNTIF('2月'!ED14:EE14,"三軒茶屋－夜勤")+COUNTIF('2月'!EI14:EJ14,"三軒茶屋－夜勤")+COUNTIF('2月'!EN14:EO14,"三軒茶屋－夜勤")+COUNTIF('2月'!ES14:ET14,"三軒茶屋－夜勤")</f>
        <v>0</v>
      </c>
      <c r="O53" s="76">
        <f t="shared" si="18"/>
        <v>0</v>
      </c>
      <c r="P53" s="76">
        <f>COUNTIF('2月'!D14:E14,P$41)+COUNTIF('2月'!I14:J14,P$41)+COUNTIF('2月'!N14:O14,P$41)+COUNTIF('2月'!S14:T14,P$41)+COUNTIF('2月'!X14:Y14,P$41)+COUNTIF('2月'!AC14:AD14,P$41)+COUNTIF('2月'!AH14:AI14,P$41)+COUNTIF('2月'!AM14:AN14,P$41)+COUNTIF('2月'!AR14:AS14,P$41)+COUNTIF('2月'!AW14:AX14,P$41)+COUNTIF('2月'!BB14:BC14,P$41)+COUNTIF('2月'!BG14:BH14,P$41)+COUNTIF('2月'!BL14:BM14,P$41)+COUNTIF('2月'!BQ14:BR14,P$41)+COUNTIF('2月'!BV14:BW14,P$41)+COUNTIF('2月'!CA14:CB14,P$41)+COUNTIF('2月'!CF14:CG14,P$41)+COUNTIF('2月'!CK14:CL14,P$41)+COUNTIF('2月'!CP14:CQ14,P$41)+COUNTIF('2月'!CU14:CV14,P$41)+COUNTIF('2月'!CZ14:DA14,P$41)+COUNTIF('2月'!DE14:DF14,P$41)+COUNTIF('2月'!DJ14:DK14,P$41)+COUNTIF('2月'!DO14:DP14,P$41)+COUNTIF('2月'!DT14:DU14,P$41)+COUNTIF('2月'!DY14:DZ14,P$41)+COUNTIF('2月'!ED14:EE14,P$41)+COUNTIF('2月'!EI14:EJ14,P$41)+COUNTIF('2月'!EN14:EO14,P$41)+COUNTIF('2月'!ES14:ET14,P$41)+COUNTIF('2月'!D14:E14,"荻窪ー夜勤")+COUNTIF('2月'!I14:J14,"荻窪ー夜勤")+COUNTIF('2月'!N14:O14,"荻窪ー夜勤")+COUNTIF('2月'!S14:T14,"荻窪ー夜勤")+COUNTIF('2月'!X14:Y14,"荻窪ー夜勤")+COUNTIF('2月'!AC14:AD14,"荻窪ー夜勤")+COUNTIF('2月'!AH14:AI14,"荻窪ー夜勤")+COUNTIF('2月'!AM14:AN14,"荻窪ー夜勤")+COUNTIF('2月'!AR14:AS14,"荻窪ー夜勤")+COUNTIF('2月'!AW14:AX14,"荻窪ー夜勤")+COUNTIF('2月'!BB14:BC14,"荻窪ー夜勤")+COUNTIF('2月'!BG14:BH14,"荻窪ー夜勤")+COUNTIF('2月'!BL14:BM14,"荻窪ー夜勤")+COUNTIF('2月'!BQ14:BR14,"荻窪ー夜勤")+COUNTIF('2月'!BV14:BW14,"荻窪ー夜勤")+COUNTIF('2月'!CA14:CB14,"荻窪ー夜勤")+COUNTIF('2月'!CF14:CG14,"荻窪ー夜勤")+COUNTIF('2月'!CK14:CL14,"荻窪ー夜勤")+COUNTIF('2月'!CP14:CQ14,"荻窪ー夜勤")+COUNTIF('2月'!CU14:CV14,"荻窪ー夜勤")+COUNTIF('2月'!CZ14:DA14,"荻窪ー夜勤")+COUNTIF('2月'!DE14:DF14,"荻窪ー夜勤")+COUNTIF('2月'!DJ14:DK14,"荻窪ー夜勤")+COUNTIF('2月'!DO14:DP14,"荻窪ー夜勤")+COUNTIF('2月'!DT14:DU14,"荻窪ー夜勤")+COUNTIF('2月'!DY14:DZ14,"荻窪ー夜勤")+COUNTIF('2月'!ED14:EE14,"荻窪ー夜勤")+COUNTIF('2月'!EI14:EJ14,"荻窪ー夜勤")+COUNTIF('2月'!EN14:EO14,"荻窪ー夜勤")+COUNTIF('2月'!ES14:ET14,"荻窪ー夜勤")</f>
        <v>0</v>
      </c>
      <c r="Q53" s="76">
        <f t="shared" si="19"/>
        <v>0</v>
      </c>
      <c r="R53" s="76">
        <f>COUNTIF('2月'!D14:E14,R$41)+COUNTIF('2月'!I14:J14,R$41)+COUNTIF('2月'!N14:O14,R$41)+COUNTIF('2月'!S14:T14,R$41)+COUNTIF('2月'!X14:Y14,R$41)+COUNTIF('2月'!AC14:AD14,R$41)+COUNTIF('2月'!AH14:AI14,R$41)+COUNTIF('2月'!AM14:AN14,R$41)+COUNTIF('2月'!AR14:AS14,R$41)+COUNTIF('2月'!AW14:AX14,R$41)+COUNTIF('2月'!BB14:BC14,R$41)+COUNTIF('2月'!BG14:BH14,R$41)+COUNTIF('2月'!BL14:BM14,R$41)+COUNTIF('2月'!BQ14:BR14,R$41)+COUNTIF('2月'!BV14:BW14,R$41)+COUNTIF('2月'!CA14:CB14,R$41)+COUNTIF('2月'!CF14:CG14,R$41)+COUNTIF('2月'!CK14:CL14,R$41)+COUNTIF('2月'!CP14:CQ14,R$41)+COUNTIF('2月'!CU14:CV14,R$41)+COUNTIF('2月'!CZ14:DA14,R$41)+COUNTIF('2月'!DE14:DF14,R$41)+COUNTIF('2月'!DJ14:DK14,R$41)+COUNTIF('2月'!DO14:DP14,R$41)+COUNTIF('2月'!DT14:DU14,R$41)+COUNTIF('2月'!DY14:DZ14,R$41)+COUNTIF('2月'!ED14:EE14,R$41)+COUNTIF('2月'!EI14:EJ14,R$41)+COUNTIF('2月'!EN14:EO14,R$41)+COUNTIF('2月'!ES14:ET14,R$41)</f>
        <v>0</v>
      </c>
      <c r="S53" s="76">
        <f t="shared" si="20"/>
        <v>0</v>
      </c>
      <c r="T53" s="76">
        <f>COUNTIF('2月'!D14:E14,T$41)+COUNTIF('2月'!I14:J14,T$41)+COUNTIF('2月'!N14:O14,T$41)+COUNTIF('2月'!S14:T14,T$41)+COUNTIF('2月'!X14:Y14,T$41)+COUNTIF('2月'!AC14:AD14,T$41)+COUNTIF('2月'!AH14:AI14,T$41)+COUNTIF('2月'!AM14:AN14,T$41)+COUNTIF('2月'!AR14:AS14,T$41)+COUNTIF('2月'!AW14:AX14,T$41)+COUNTIF('2月'!BB14:BC14,T$41)+COUNTIF('2月'!BG14:BH14,T$41)+COUNTIF('2月'!BL14:BM14,T$41)+COUNTIF('2月'!BQ14:BR14,T$41)+COUNTIF('2月'!BV14:BW14,T$41)+COUNTIF('2月'!CA14:CB14,T$41)+COUNTIF('2月'!CF14:CG14,T$41)+COUNTIF('2月'!CK14:CL14,T$41)+COUNTIF('2月'!CP14:CQ14,T$41)+COUNTIF('2月'!CU14:CV14,T$41)+COUNTIF('2月'!CZ14:DA14,T$41)+COUNTIF('2月'!DE14:DF14,T$41)+COUNTIF('2月'!DJ14:DK14,T$41)+COUNTIF('2月'!DO14:DP14,T$41)+COUNTIF('2月'!DT14:DU14,T$41)+COUNTIF('2月'!DY14:DZ14,T$41)+COUNTIF('2月'!ED14:EE14,T$41)+COUNTIF('2月'!EI14:EJ14,T$41)+COUNTIF('2月'!EN14:EO14,T$41)+COUNTIF('2月'!ES14:ET14,T$41)</f>
        <v>0</v>
      </c>
      <c r="U53" s="76">
        <f t="shared" si="21"/>
        <v>0</v>
      </c>
      <c r="V53" s="76">
        <f>COUNTIF('2月'!D14:E14,V$41)+COUNTIF('2月'!I14:J14,V$41)+COUNTIF('2月'!N14:O14,V$41)+COUNTIF('2月'!S14:T14,V$41)+COUNTIF('2月'!X14:Y14,V$41)+COUNTIF('2月'!AC14:AD14,V$41)+COUNTIF('2月'!AH14:AI14,V$41)+COUNTIF('2月'!AM14:AN14,V$41)+COUNTIF('2月'!AR14:AS14,V$41)+COUNTIF('2月'!AW14:AX14,V$41)+COUNTIF('2月'!BB14:BC14,V$41)+COUNTIF('2月'!BG14:BH14,V$41)+COUNTIF('2月'!BL14:BM14,V$41)+COUNTIF('2月'!BQ14:BR14,V$41)+COUNTIF('2月'!BV14:BW14,V$41)+COUNTIF('2月'!CA14:CB14,V$41)+COUNTIF('2月'!CF14:CG14,V$41)+COUNTIF('2月'!CK14:CL14,V$41)+COUNTIF('2月'!CP14:CQ14,V$41)+COUNTIF('2月'!CU14:CV14,V$41)+COUNTIF('2月'!CZ14:DA14,V$41)+COUNTIF('2月'!DE14:DF14,V$41)+COUNTIF('2月'!DJ14:DK14,V$41)+COUNTIF('2月'!DO14:DP14,V$41)+COUNTIF('2月'!DT14:DU14,V$41)+COUNTIF('2月'!DY14:DZ14,V$41)+COUNTIF('2月'!ED14:EE14,V$41)+COUNTIF('2月'!EI14:EJ14,V$41)+COUNTIF('2月'!EN14:EO14,V$41)+COUNTIF('2月'!ES14:ET14,V$41)</f>
        <v>0</v>
      </c>
      <c r="W53" s="76">
        <f t="shared" si="22"/>
        <v>0</v>
      </c>
      <c r="X53" s="76">
        <f>COUNTIF('2月'!D14:E14,X$41)+COUNTIF('2月'!I14:J14,X$41)+COUNTIF('2月'!N14:O14,X$41)+COUNTIF('2月'!S14:T14,X$41)+COUNTIF('2月'!X14:Y14,X$41)+COUNTIF('2月'!AC14:AD14,X$41)+COUNTIF('2月'!AH14:AI14,X$41)+COUNTIF('2月'!AM14:AN14,X$41)+COUNTIF('2月'!AR14:AS14,X$41)+COUNTIF('2月'!AW14:AX14,X$41)+COUNTIF('2月'!BB14:BC14,X$41)+COUNTIF('2月'!BG14:BH14,X$41)+COUNTIF('2月'!BL14:BM14,X$41)+COUNTIF('2月'!BQ14:BR14,X$41)+COUNTIF('2月'!BV14:BW14,X$41)+COUNTIF('2月'!CA14:CB14,X$41)+COUNTIF('2月'!CF14:CG14,X$41)+COUNTIF('2月'!CK14:CL14,X$41)+COUNTIF('2月'!CP14:CQ14,X$41)+COUNTIF('2月'!CU14:CV14,X$41)+COUNTIF('2月'!CZ14:DA14,X$41)+COUNTIF('2月'!DE14:DF14,X$41)+COUNTIF('2月'!DJ14:DK14,X$41)+COUNTIF('2月'!DO14:DP14,X$41)+COUNTIF('2月'!DT14:DU14,X$41)+COUNTIF('2月'!DY14:DZ14,X$41)+COUNTIF('2月'!ED14:EE14,X$41)+COUNTIF('2月'!EI14:EJ14,X$41)+COUNTIF('2月'!EN14:EO14,X$41)+COUNTIF('2月'!ES14:ET14,X$41)</f>
        <v>0</v>
      </c>
      <c r="Y53" s="76">
        <f t="shared" si="23"/>
        <v>0</v>
      </c>
    </row>
    <row r="54" spans="1:25" ht="18" customHeight="1">
      <c r="A54" s="76">
        <v>12</v>
      </c>
      <c r="B54" s="76">
        <f>COUNTIF('2月'!D15:E15,B$41)+COUNTIF('2月'!I15:J15,B$41)+COUNTIF('2月'!N15:O15,B$41)+COUNTIF('2月'!S15:T15,B$41)+COUNTIF('2月'!X15:Y15,B$41)+COUNTIF('2月'!AC15:AD15,B$41)+COUNTIF('2月'!AH15:AI15,B$41)+COUNTIF('2月'!AM15:AN15,B$41)+COUNTIF('2月'!AR15:AS15,B$41)+COUNTIF('2月'!AW15:AX15,B$41)+COUNTIF('2月'!BB15:BC15,B$41)+COUNTIF('2月'!BG15:BH15,B$41)+COUNTIF('2月'!BL15:BM15,B$41)+COUNTIF('2月'!BQ15:BR15,B$41)+COUNTIF('2月'!BV15:BW15,B$41)+COUNTIF('2月'!CA15:CB15,B$41)+COUNTIF('2月'!CF15:CG15,B$41)+COUNTIF('2月'!CK15:CL15,B$41)+COUNTIF('2月'!CP15:CQ15,B$41)+COUNTIF('2月'!CU15:CV15,B$41)+COUNTIF('2月'!CZ15:DA15,B$41)+COUNTIF('2月'!DE15:DF15,B$41)+COUNTIF('2月'!DJ15:DK15,B$41)+COUNTIF('2月'!DO15:DP15,B$41)+COUNTIF('2月'!DT15:DU15,B$41)+COUNTIF('2月'!DY15:DZ15,B$41)+COUNTIF('2月'!ED15:EE15,B$41)+COUNTIF('2月'!EI15:EJ15,B$41)+COUNTIF('2月'!EN15:EO15,B$41)+COUNTIF('2月'!ES15:ET15,B$41)</f>
        <v>0</v>
      </c>
      <c r="C54" s="76">
        <f t="shared" si="12"/>
        <v>0</v>
      </c>
      <c r="D54" s="76">
        <f>COUNTIF('2月'!D15:E15,D$41)+COUNTIF('2月'!I15:J15,D$41)+COUNTIF('2月'!N15:O15,D$41)+COUNTIF('2月'!S15:T15,D$41)+COUNTIF('2月'!X15:Y15,D$41)+COUNTIF('2月'!AC15:AD15,D$41)+COUNTIF('2月'!AH15:AI15,D$41)+COUNTIF('2月'!AM15:AN15,D$41)+COUNTIF('2月'!AR15:AS15,D$41)+COUNTIF('2月'!AW15:AX15,D$41)+COUNTIF('2月'!BB15:BC15,D$41)+COUNTIF('2月'!BG15:BH15,D$41)+COUNTIF('2月'!BL15:BM15,D$41)+COUNTIF('2月'!BQ15:BR15,D$41)+COUNTIF('2月'!BV15:BW15,D$41)+COUNTIF('2月'!CA15:CB15,D$41)+COUNTIF('2月'!CF15:CG15,D$41)+COUNTIF('2月'!CK15:CL15,D$41)+COUNTIF('2月'!CP15:CQ15,D$41)+COUNTIF('2月'!CU15:CV15,D$41)+COUNTIF('2月'!CZ15:DA15,D$41)+COUNTIF('2月'!DE15:DF15,D$41)+COUNTIF('2月'!DJ15:DK15,D$41)+COUNTIF('2月'!DO15:DP15,D$41)+COUNTIF('2月'!DT15:DU15,D$41)+COUNTIF('2月'!DY15:DZ15,D$41)+COUNTIF('2月'!ED15:EE15,D$41)+COUNTIF('2月'!EI15:EJ15,D$41)+COUNTIF('2月'!EN15:EO15,D$41)+COUNTIF('2月'!ES15:ET15,D$41)</f>
        <v>0</v>
      </c>
      <c r="E54" s="76">
        <f t="shared" si="13"/>
        <v>0</v>
      </c>
      <c r="F54" s="76">
        <f>COUNTIF('2月'!D15:E15,F$41)+COUNTIF('2月'!I15:J15,F$41)+COUNTIF('2月'!N15:O15,F$41)+COUNTIF('2月'!S15:T15,F$41)+COUNTIF('2月'!X15:Y15,F$41)+COUNTIF('2月'!AC15:AD15,F$41)+COUNTIF('2月'!AH15:AI15,F$41)+COUNTIF('2月'!AM15:AN15,F$41)+COUNTIF('2月'!AR15:AS15,F$41)+COUNTIF('2月'!AW15:AX15,F$41)+COUNTIF('2月'!BB15:BC15,F$41)+COUNTIF('2月'!BG15:BH15,F$41)+COUNTIF('2月'!BL15:BM15,F$41)+COUNTIF('2月'!BQ15:BR15,F$41)+COUNTIF('2月'!BV15:BW15,F$41)+COUNTIF('2月'!CA15:CB15,F$41)+COUNTIF('2月'!CF15:CG15,F$41)+COUNTIF('2月'!CK15:CL15,F$41)+COUNTIF('2月'!CP15:CQ15,F$41)+COUNTIF('2月'!CU15:CV15,F$41)+COUNTIF('2月'!CZ15:DA15,F$41)+COUNTIF('2月'!DE15:DF15,F$41)+COUNTIF('2月'!DJ15:DK15,F$41)+COUNTIF('2月'!DO15:DP15,F$41)+COUNTIF('2月'!DT15:DU15,F$41)+COUNTIF('2月'!DY15:DZ15,F$41)+COUNTIF('2月'!ED15:EE15,F$41)+COUNTIF('2月'!EI15:EJ15,F$41)+COUNTIF('2月'!EN15:EO15,F$41)+COUNTIF('2月'!ES15:ET15,F$41)</f>
        <v>0</v>
      </c>
      <c r="G54" s="76">
        <f t="shared" si="14"/>
        <v>0</v>
      </c>
      <c r="H54" s="76">
        <f>COUNTIF('2月'!D15:E15,H$41)+COUNTIF('2月'!I15:J15,H$41)+COUNTIF('2月'!N15:O15,H$41)+COUNTIF('2月'!S15:T15,H$41)+COUNTIF('2月'!X15:Y15,H$41)+COUNTIF('2月'!AC15:AD15,H$41)+COUNTIF('2月'!AH15:AI15,H$41)+COUNTIF('2月'!AM15:AN15,H$41)+COUNTIF('2月'!AR15:AS15,H$41)+COUNTIF('2月'!AW15:AX15,H$41)+COUNTIF('2月'!BB15:BC15,H$41)+COUNTIF('2月'!BG15:BH15,H$41)+COUNTIF('2月'!BL15:BM15,H$41)+COUNTIF('2月'!BQ15:BR15,H$41)+COUNTIF('2月'!BV15:BW15,H$41)+COUNTIF('2月'!CA15:CB15,H$41)+COUNTIF('2月'!CF15:CG15,H$41)+COUNTIF('2月'!CK15:CL15,H$41)+COUNTIF('2月'!CP15:CQ15,H$41)+COUNTIF('2月'!CU15:CV15,H$41)+COUNTIF('2月'!CZ15:DA15,H$41)+COUNTIF('2月'!DE15:DF15,H$41)+COUNTIF('2月'!DJ15:DK15,H$41)+COUNTIF('2月'!DO15:DP15,H$41)+COUNTIF('2月'!DT15:DU15,H$41)+COUNTIF('2月'!DY15:DZ15,H$41)+COUNTIF('2月'!ED15:EE15,H$41)+COUNTIF('2月'!EI15:EJ15,H$41)+COUNTIF('2月'!EN15:EO15,H$41)+COUNTIF('2月'!ES15:ET15,H$41)+COUNTIF('2月'!D15:E15,"渋谷-夜勤")+COUNTIF('2月'!I15:J15,"渋谷-夜勤")+COUNTIF('2月'!N15:O15,"渋谷-夜勤")+COUNTIF('2月'!S15:T15,"渋谷-夜勤")+COUNTIF('2月'!X15:Y15,"渋谷-夜勤")+COUNTIF('2月'!AC15:AD15,"渋谷-夜勤")+COUNTIF('2月'!AH15:AI15,"渋谷-夜勤")+COUNTIF('2月'!AM15:AN15,"渋谷-夜勤")+COUNTIF('2月'!AR15:AS15,"渋谷-夜勤")+COUNTIF('2月'!AW15:AX15,"渋谷-夜勤")+COUNTIF('2月'!BB15:BC15,"渋谷-夜勤")+COUNTIF('2月'!BG15:BH15,"渋谷-夜勤")+COUNTIF('2月'!BL15:BM15,"渋谷-夜勤")+COUNTIF('2月'!BQ15:BR15,"渋谷-夜勤")+COUNTIF('2月'!BV15:BW15,"渋谷-夜勤")+COUNTIF('2月'!CA15:CB15,"渋谷-夜勤")+COUNTIF('2月'!CF15:CG15,"渋谷-夜勤")+COUNTIF('2月'!CK15:CL15,"渋谷-夜勤")+COUNTIF('2月'!CP15:CQ15,"渋谷-夜勤")+COUNTIF('2月'!CU15:CV15,"渋谷-夜勤")+COUNTIF('2月'!CZ15:DA15,"渋谷-夜勤")+COUNTIF('2月'!DE15:DF15,"渋谷-夜勤")+COUNTIF('2月'!DJ15:DK15,"渋谷-夜勤")+COUNTIF('2月'!DO15:DP15,"渋谷-夜勤")+COUNTIF('2月'!DT15:DU15,"渋谷-夜勤")+COUNTIF('2月'!DY15:DZ15,"渋谷-夜勤")+COUNTIF('2月'!ED15:EE15,"渋谷-夜勤")+COUNTIF('2月'!EI15:EJ15,"渋谷-夜勤")+COUNTIF('2月'!EN15:EO15,"渋谷-夜勤")+COUNTIF('2月'!ES15:ET15,"渋谷-夜勤")</f>
        <v>0</v>
      </c>
      <c r="I54" s="76">
        <f t="shared" si="15"/>
        <v>0</v>
      </c>
      <c r="J54" s="76">
        <f>COUNTIF('2月'!D15:E15,J$41)+COUNTIF('2月'!I15:J15,J$41)+COUNTIF('2月'!N15:O15,J$41)+COUNTIF('2月'!S15:T15,J$41)+COUNTIF('2月'!X15:Y15,J$41)+COUNTIF('2月'!AC15:AD15,J$41)+COUNTIF('2月'!AH15:AI15,J$41)+COUNTIF('2月'!AM15:AN15,J$41)+COUNTIF('2月'!AR15:AS15,J$41)+COUNTIF('2月'!AW15:AX15,J$41)+COUNTIF('2月'!BB15:BC15,J$41)+COUNTIF('2月'!BG15:BH15,J$41)+COUNTIF('2月'!BL15:BM15,J$41)+COUNTIF('2月'!BQ15:BR15,J$41)+COUNTIF('2月'!BV15:BW15,J$41)+COUNTIF('2月'!CA15:CB15,J$41)+COUNTIF('2月'!CF15:CG15,J$41)+COUNTIF('2月'!CK15:CL15,J$41)+COUNTIF('2月'!CP15:CQ15,J$41)+COUNTIF('2月'!CU15:CV15,J$41)+COUNTIF('2月'!CZ15:DA15,J$41)+COUNTIF('2月'!DE15:DF15,J$41)+COUNTIF('2月'!DJ15:DK15,J$41)+COUNTIF('2月'!DO15:DP15,J$41)+COUNTIF('2月'!DT15:DU15,J$41)+COUNTIF('2月'!DY15:DZ15,J$41)+COUNTIF('2月'!ED15:EE15,J$41)+COUNTIF('2月'!EI15:EJ15,J$41)+COUNTIF('2月'!EN15:EO15,J$41)+COUNTIF('2月'!ES15:ET15,J$41)+COUNTIF('2月'!D15:E15,"六本木-夜勤")+COUNTIF('2月'!I15:J15,"六本木-夜勤")+COUNTIF('2月'!N15:O15,"六本木-夜勤")+COUNTIF('2月'!S15:T15,"六本木-夜勤")+COUNTIF('2月'!X15:Y15,"六本木-夜勤")+COUNTIF('2月'!AC15:AD15,"六本木-夜勤")+COUNTIF('2月'!AH15:AI15,"六本木-夜勤")+COUNTIF('2月'!AM15:AN15,"六本木-夜勤")+COUNTIF('2月'!AR15:AS15,"六本木-夜勤")+COUNTIF('2月'!AW15:AX15,"六本木-夜勤")+COUNTIF('2月'!BB15:BC15,"六本木-夜勤")+COUNTIF('2月'!BG15:BH15,"六本木-夜勤")+COUNTIF('2月'!BL15:BM15,"六本木-夜勤")+COUNTIF('2月'!BQ15:BR15,"六本木-夜勤")+COUNTIF('2月'!BV15:BW15,"六本木-夜勤")+COUNTIF('2月'!CA15:CB15,"六本木-夜勤")+COUNTIF('2月'!CF15:CG15,"六本木-夜勤")+COUNTIF('2月'!CK15:CL15,"六本木-夜勤")+COUNTIF('2月'!CP15:CQ15,"六本木-夜勤")+COUNTIF('2月'!CU15:CV15,"六本木-夜勤")+COUNTIF('2月'!CZ15:DA15,"六本木-夜勤")+COUNTIF('2月'!DE15:DF15,"六本木-夜勤")+COUNTIF('2月'!DJ15:DK15,"六本木-夜勤")+COUNTIF('2月'!DO15:DP15,"六本木-夜勤")+COUNTIF('2月'!DT15:DU15,"六本木-夜勤")+COUNTIF('2月'!DY15:DZ15,"六本木-夜勤")+COUNTIF('2月'!ED15:EE15,"六本木-夜勤")+COUNTIF('2月'!EI15:EJ15,"六本木-夜勤")+COUNTIF('2月'!EN15:EO15,"六本木-夜勤")+COUNTIF('2月'!ES15:ET15,"六本木-夜勤")+COUNTIF('2月'!D15:E15,"六本木ー夜勤")+COUNTIF('2月'!I15:J15,"六本木ー夜勤")+COUNTIF('2月'!N15:O15,"六本木ー夜勤")+COUNTIF('2月'!S15:T15,"六本木ー夜勤")+COUNTIF('2月'!X15:Y15,"六本木ー夜勤")+COUNTIF('2月'!AC15:AD15,"六本木ー夜勤")+COUNTIF('2月'!AH15:AI15,"六本木ー夜勤")+COUNTIF('2月'!AM15:AN15,"六本木ー夜勤")+COUNTIF('2月'!AR15:AS15,"六本木ー夜勤")+COUNTIF('2月'!AW15:AX15,"六本木ー夜勤")+COUNTIF('2月'!BB15:BC15,"六本木ー夜勤")+COUNTIF('2月'!BG15:BH15,"六本木ー夜勤")+COUNTIF('2月'!BL15:BM15,"六本木ー夜勤")+COUNTIF('2月'!BQ15:BR15,"六本木ー夜勤")+COUNTIF('2月'!BV15:BW15,"六本木ー夜勤")+COUNTIF('2月'!CA15:CB15,"六本木ー夜勤")+COUNTIF('2月'!CF15:CG15,"六本木ー夜勤")+COUNTIF('2月'!CK15:CL15,"六本木ー夜勤")+COUNTIF('2月'!CP15:CQ15,"六本木ー夜勤")+COUNTIF('2月'!CU15:CV15,"六本木ー夜勤")+COUNTIF('2月'!CZ15:DA15,"六本木ー夜勤")+COUNTIF('2月'!DE15:DF15,"六本木ー夜勤")+COUNTIF('2月'!DJ15:DK15,"六本木ー夜勤")+COUNTIF('2月'!DO15:DP15,"六本木ー夜勤")+COUNTIF('2月'!DT15:DU15,"六本木ー夜勤")+COUNTIF('2月'!DY15:DZ15,"六本木ー夜勤")+COUNTIF('2月'!ED15:EE15,"六本木ー夜勤")+COUNTIF('2月'!EI15:EJ15,"六本木ー夜勤")+COUNTIF('2月'!EN15:EO15,"六本木ー夜勤")+COUNTIF('2月'!ES15:ET15,"六本木ー夜勤")</f>
        <v>0</v>
      </c>
      <c r="K54" s="76">
        <f t="shared" si="16"/>
        <v>0</v>
      </c>
      <c r="L54" s="76">
        <f>COUNTIF('2月'!D15:E15,L$41)+COUNTIF('2月'!I15:J15,L$41)+COUNTIF('2月'!N15:O15,L$41)+COUNTIF('2月'!S15:T15,L$41)+COUNTIF('2月'!X15:Y15,L$41)+COUNTIF('2月'!AC15:AD15,L$41)+COUNTIF('2月'!AH15:AI15,L$41)+COUNTIF('2月'!AM15:AN15,L$41)+COUNTIF('2月'!AR15:AS15,L$41)+COUNTIF('2月'!AW15:AX15,L$41)+COUNTIF('2月'!BB15:BC15,L$41)+COUNTIF('2月'!BG15:BH15,L$41)+COUNTIF('2月'!BL15:BM15,L$41)+COUNTIF('2月'!BQ15:BR15,L$41)+COUNTIF('2月'!BV15:BW15,L$41)+COUNTIF('2月'!CA15:CB15,L$41)+COUNTIF('2月'!CF15:CG15,L$41)+COUNTIF('2月'!CK15:CL15,L$41)+COUNTIF('2月'!CP15:CQ15,L$41)+COUNTIF('2月'!CU15:CV15,L$41)+COUNTIF('2月'!CZ15:DA15,L$41)+COUNTIF('2月'!DE15:DF15,L$41)+COUNTIF('2月'!DJ15:DK15,L$41)+COUNTIF('2月'!DO15:DP15,L$41)+COUNTIF('2月'!DT15:DU15,L$41)+COUNTIF('2月'!DY15:DZ15,L$41)+COUNTIF('2月'!ED15:EE15,L$41)+COUNTIF('2月'!EI15:EJ15,L$41)+COUNTIF('2月'!EN15:EO15,L$41)+COUNTIF('2月'!ES15:ET15,L$41)</f>
        <v>0</v>
      </c>
      <c r="M54" s="76">
        <f t="shared" si="17"/>
        <v>0</v>
      </c>
      <c r="N54" s="76">
        <f>COUNTIF('2月'!D15:E15,N$41)+COUNTIF('2月'!I15:J15,N$41)+COUNTIF('2月'!N15:O15,N$41)+COUNTIF('2月'!S15:T15,N$41)+COUNTIF('2月'!X15:Y15,N$41)+COUNTIF('2月'!AC15:AD15,N$41)+COUNTIF('2月'!AH15:AI15,N$41)+COUNTIF('2月'!AM15:AN15,N$41)+COUNTIF('2月'!AR15:AS15,N$41)+COUNTIF('2月'!AW15:AX15,N$41)+COUNTIF('2月'!BB15:BC15,N$41)+COUNTIF('2月'!BG15:BH15,N$41)+COUNTIF('2月'!BL15:BM15,N$41)+COUNTIF('2月'!BQ15:BR15,N$41)+COUNTIF('2月'!BV15:BW15,N$41)+COUNTIF('2月'!CA15:CB15,N$41)+COUNTIF('2月'!CF15:CG15,N$41)+COUNTIF('2月'!CK15:CL15,N$41)+COUNTIF('2月'!CP15:CQ15,N$41)+COUNTIF('2月'!CU15:CV15,N$41)+COUNTIF('2月'!CZ15:DA15,N$41)+COUNTIF('2月'!DE15:DF15,N$41)+COUNTIF('2月'!DJ15:DK15,N$41)+COUNTIF('2月'!DO15:DP15,N$41)+COUNTIF('2月'!DT15:DU15,N$41)+COUNTIF('2月'!DY15:DZ15,N$41)+COUNTIF('2月'!ED15:EE15,N$41)+COUNTIF('2月'!EI15:EJ15,N$41)+COUNTIF('2月'!EN15:EO15,N$41)+COUNTIF('2月'!ES15:ET15,N$41)+COUNTIF('2月'!D15:E15,"三軒茶屋－夜勤")+COUNTIF('2月'!I15:J15,"三軒茶屋－夜勤")+COUNTIF('2月'!N15:O15,"三軒茶屋－夜勤")+COUNTIF('2月'!S15:T15,"三軒茶屋－夜勤")+COUNTIF('2月'!X15:Y15,"三軒茶屋－夜勤")+COUNTIF('2月'!AC15:AD15,"三軒茶屋－夜勤")+COUNTIF('2月'!AH15:AI15,"三軒茶屋－夜勤")+COUNTIF('2月'!AM15:AN15,"三軒茶屋－夜勤")+COUNTIF('2月'!AR15:AS15,"三軒茶屋－夜勤")+COUNTIF('2月'!AW15:AX15,"三軒茶屋－夜勤")+COUNTIF('2月'!BB15:BC15,"三軒茶屋－夜勤")+COUNTIF('2月'!BG15:BH15,"三軒茶屋－夜勤")+COUNTIF('2月'!BL15:BM15,"三軒茶屋－夜勤")+COUNTIF('2月'!BQ15:BR15,"三軒茶屋－夜勤")+COUNTIF('2月'!BV15:BW15,"三軒茶屋－夜勤")+COUNTIF('2月'!CA15:CB15,"三軒茶屋－夜勤")+COUNTIF('2月'!CF15:CG15,"三軒茶屋－夜勤")+COUNTIF('2月'!CK15:CL15,"三軒茶屋－夜勤")+COUNTIF('2月'!CP15:CQ15,"三軒茶屋－夜勤")+COUNTIF('2月'!CU15:CV15,"三軒茶屋－夜勤")+COUNTIF('2月'!CZ15:DA15,"三軒茶屋－夜勤")+COUNTIF('2月'!DE15:DF15,"三軒茶屋－夜勤")+COUNTIF('2月'!DJ15:DK15,"三軒茶屋－夜勤")+COUNTIF('2月'!DO15:DP15,"三軒茶屋－夜勤")+COUNTIF('2月'!DT15:DU15,"三軒茶屋－夜勤")+COUNTIF('2月'!DY15:DZ15,"三軒茶屋－夜勤")+COUNTIF('2月'!ED15:EE15,"三軒茶屋－夜勤")+COUNTIF('2月'!EI15:EJ15,"三軒茶屋－夜勤")+COUNTIF('2月'!EN15:EO15,"三軒茶屋－夜勤")+COUNTIF('2月'!ES15:ET15,"三軒茶屋－夜勤")</f>
        <v>0</v>
      </c>
      <c r="O54" s="76">
        <f t="shared" si="18"/>
        <v>0</v>
      </c>
      <c r="P54" s="76">
        <f>COUNTIF('2月'!D15:E15,P$41)+COUNTIF('2月'!I15:J15,P$41)+COUNTIF('2月'!N15:O15,P$41)+COUNTIF('2月'!S15:T15,P$41)+COUNTIF('2月'!X15:Y15,P$41)+COUNTIF('2月'!AC15:AD15,P$41)+COUNTIF('2月'!AH15:AI15,P$41)+COUNTIF('2月'!AM15:AN15,P$41)+COUNTIF('2月'!AR15:AS15,P$41)+COUNTIF('2月'!AW15:AX15,P$41)+COUNTIF('2月'!BB15:BC15,P$41)+COUNTIF('2月'!BG15:BH15,P$41)+COUNTIF('2月'!BL15:BM15,P$41)+COUNTIF('2月'!BQ15:BR15,P$41)+COUNTIF('2月'!BV15:BW15,P$41)+COUNTIF('2月'!CA15:CB15,P$41)+COUNTIF('2月'!CF15:CG15,P$41)+COUNTIF('2月'!CK15:CL15,P$41)+COUNTIF('2月'!CP15:CQ15,P$41)+COUNTIF('2月'!CU15:CV15,P$41)+COUNTIF('2月'!CZ15:DA15,P$41)+COUNTIF('2月'!DE15:DF15,P$41)+COUNTIF('2月'!DJ15:DK15,P$41)+COUNTIF('2月'!DO15:DP15,P$41)+COUNTIF('2月'!DT15:DU15,P$41)+COUNTIF('2月'!DY15:DZ15,P$41)+COUNTIF('2月'!ED15:EE15,P$41)+COUNTIF('2月'!EI15:EJ15,P$41)+COUNTIF('2月'!EN15:EO15,P$41)+COUNTIF('2月'!ES15:ET15,P$41)+COUNTIF('2月'!D15:E15,"荻窪ー夜勤")+COUNTIF('2月'!I15:J15,"荻窪ー夜勤")+COUNTIF('2月'!N15:O15,"荻窪ー夜勤")+COUNTIF('2月'!S15:T15,"荻窪ー夜勤")+COUNTIF('2月'!X15:Y15,"荻窪ー夜勤")+COUNTIF('2月'!AC15:AD15,"荻窪ー夜勤")+COUNTIF('2月'!AH15:AI15,"荻窪ー夜勤")+COUNTIF('2月'!AM15:AN15,"荻窪ー夜勤")+COUNTIF('2月'!AR15:AS15,"荻窪ー夜勤")+COUNTIF('2月'!AW15:AX15,"荻窪ー夜勤")+COUNTIF('2月'!BB15:BC15,"荻窪ー夜勤")+COUNTIF('2月'!BG15:BH15,"荻窪ー夜勤")+COUNTIF('2月'!BL15:BM15,"荻窪ー夜勤")+COUNTIF('2月'!BQ15:BR15,"荻窪ー夜勤")+COUNTIF('2月'!BV15:BW15,"荻窪ー夜勤")+COUNTIF('2月'!CA15:CB15,"荻窪ー夜勤")+COUNTIF('2月'!CF15:CG15,"荻窪ー夜勤")+COUNTIF('2月'!CK15:CL15,"荻窪ー夜勤")+COUNTIF('2月'!CP15:CQ15,"荻窪ー夜勤")+COUNTIF('2月'!CU15:CV15,"荻窪ー夜勤")+COUNTIF('2月'!CZ15:DA15,"荻窪ー夜勤")+COUNTIF('2月'!DE15:DF15,"荻窪ー夜勤")+COUNTIF('2月'!DJ15:DK15,"荻窪ー夜勤")+COUNTIF('2月'!DO15:DP15,"荻窪ー夜勤")+COUNTIF('2月'!DT15:DU15,"荻窪ー夜勤")+COUNTIF('2月'!DY15:DZ15,"荻窪ー夜勤")+COUNTIF('2月'!ED15:EE15,"荻窪ー夜勤")+COUNTIF('2月'!EI15:EJ15,"荻窪ー夜勤")+COUNTIF('2月'!EN15:EO15,"荻窪ー夜勤")+COUNTIF('2月'!ES15:ET15,"荻窪ー夜勤")</f>
        <v>0</v>
      </c>
      <c r="Q54" s="76">
        <f t="shared" si="19"/>
        <v>0</v>
      </c>
      <c r="R54" s="76">
        <f>COUNTIF('2月'!D15:E15,R$41)+COUNTIF('2月'!I15:J15,R$41)+COUNTIF('2月'!N15:O15,R$41)+COUNTIF('2月'!S15:T15,R$41)+COUNTIF('2月'!X15:Y15,R$41)+COUNTIF('2月'!AC15:AD15,R$41)+COUNTIF('2月'!AH15:AI15,R$41)+COUNTIF('2月'!AM15:AN15,R$41)+COUNTIF('2月'!AR15:AS15,R$41)+COUNTIF('2月'!AW15:AX15,R$41)+COUNTIF('2月'!BB15:BC15,R$41)+COUNTIF('2月'!BG15:BH15,R$41)+COUNTIF('2月'!BL15:BM15,R$41)+COUNTIF('2月'!BQ15:BR15,R$41)+COUNTIF('2月'!BV15:BW15,R$41)+COUNTIF('2月'!CA15:CB15,R$41)+COUNTIF('2月'!CF15:CG15,R$41)+COUNTIF('2月'!CK15:CL15,R$41)+COUNTIF('2月'!CP15:CQ15,R$41)+COUNTIF('2月'!CU15:CV15,R$41)+COUNTIF('2月'!CZ15:DA15,R$41)+COUNTIF('2月'!DE15:DF15,R$41)+COUNTIF('2月'!DJ15:DK15,R$41)+COUNTIF('2月'!DO15:DP15,R$41)+COUNTIF('2月'!DT15:DU15,R$41)+COUNTIF('2月'!DY15:DZ15,R$41)+COUNTIF('2月'!ED15:EE15,R$41)+COUNTIF('2月'!EI15:EJ15,R$41)+COUNTIF('2月'!EN15:EO15,R$41)+COUNTIF('2月'!ES15:ET15,R$41)</f>
        <v>0</v>
      </c>
      <c r="S54" s="76">
        <f t="shared" si="20"/>
        <v>0</v>
      </c>
      <c r="T54" s="76">
        <f>COUNTIF('2月'!D15:E15,T$41)+COUNTIF('2月'!I15:J15,T$41)+COUNTIF('2月'!N15:O15,T$41)+COUNTIF('2月'!S15:T15,T$41)+COUNTIF('2月'!X15:Y15,T$41)+COUNTIF('2月'!AC15:AD15,T$41)+COUNTIF('2月'!AH15:AI15,T$41)+COUNTIF('2月'!AM15:AN15,T$41)+COUNTIF('2月'!AR15:AS15,T$41)+COUNTIF('2月'!AW15:AX15,T$41)+COUNTIF('2月'!BB15:BC15,T$41)+COUNTIF('2月'!BG15:BH15,T$41)+COUNTIF('2月'!BL15:BM15,T$41)+COUNTIF('2月'!BQ15:BR15,T$41)+COUNTIF('2月'!BV15:BW15,T$41)+COUNTIF('2月'!CA15:CB15,T$41)+COUNTIF('2月'!CF15:CG15,T$41)+COUNTIF('2月'!CK15:CL15,T$41)+COUNTIF('2月'!CP15:CQ15,T$41)+COUNTIF('2月'!CU15:CV15,T$41)+COUNTIF('2月'!CZ15:DA15,T$41)+COUNTIF('2月'!DE15:DF15,T$41)+COUNTIF('2月'!DJ15:DK15,T$41)+COUNTIF('2月'!DO15:DP15,T$41)+COUNTIF('2月'!DT15:DU15,T$41)+COUNTIF('2月'!DY15:DZ15,T$41)+COUNTIF('2月'!ED15:EE15,T$41)+COUNTIF('2月'!EI15:EJ15,T$41)+COUNTIF('2月'!EN15:EO15,T$41)+COUNTIF('2月'!ES15:ET15,T$41)</f>
        <v>0</v>
      </c>
      <c r="U54" s="76">
        <f t="shared" si="21"/>
        <v>0</v>
      </c>
      <c r="V54" s="76">
        <f>COUNTIF('2月'!D15:E15,V$41)+COUNTIF('2月'!I15:J15,V$41)+COUNTIF('2月'!N15:O15,V$41)+COUNTIF('2月'!S15:T15,V$41)+COUNTIF('2月'!X15:Y15,V$41)+COUNTIF('2月'!AC15:AD15,V$41)+COUNTIF('2月'!AH15:AI15,V$41)+COUNTIF('2月'!AM15:AN15,V$41)+COUNTIF('2月'!AR15:AS15,V$41)+COUNTIF('2月'!AW15:AX15,V$41)+COUNTIF('2月'!BB15:BC15,V$41)+COUNTIF('2月'!BG15:BH15,V$41)+COUNTIF('2月'!BL15:BM15,V$41)+COUNTIF('2月'!BQ15:BR15,V$41)+COUNTIF('2月'!BV15:BW15,V$41)+COUNTIF('2月'!CA15:CB15,V$41)+COUNTIF('2月'!CF15:CG15,V$41)+COUNTIF('2月'!CK15:CL15,V$41)+COUNTIF('2月'!CP15:CQ15,V$41)+COUNTIF('2月'!CU15:CV15,V$41)+COUNTIF('2月'!CZ15:DA15,V$41)+COUNTIF('2月'!DE15:DF15,V$41)+COUNTIF('2月'!DJ15:DK15,V$41)+COUNTIF('2月'!DO15:DP15,V$41)+COUNTIF('2月'!DT15:DU15,V$41)+COUNTIF('2月'!DY15:DZ15,V$41)+COUNTIF('2月'!ED15:EE15,V$41)+COUNTIF('2月'!EI15:EJ15,V$41)+COUNTIF('2月'!EN15:EO15,V$41)+COUNTIF('2月'!ES15:ET15,V$41)</f>
        <v>0</v>
      </c>
      <c r="W54" s="76">
        <f t="shared" si="22"/>
        <v>0</v>
      </c>
      <c r="X54" s="76">
        <f>COUNTIF('2月'!D15:E15,X$41)+COUNTIF('2月'!I15:J15,X$41)+COUNTIF('2月'!N15:O15,X$41)+COUNTIF('2月'!S15:T15,X$41)+COUNTIF('2月'!X15:Y15,X$41)+COUNTIF('2月'!AC15:AD15,X$41)+COUNTIF('2月'!AH15:AI15,X$41)+COUNTIF('2月'!AM15:AN15,X$41)+COUNTIF('2月'!AR15:AS15,X$41)+COUNTIF('2月'!AW15:AX15,X$41)+COUNTIF('2月'!BB15:BC15,X$41)+COUNTIF('2月'!BG15:BH15,X$41)+COUNTIF('2月'!BL15:BM15,X$41)+COUNTIF('2月'!BQ15:BR15,X$41)+COUNTIF('2月'!BV15:BW15,X$41)+COUNTIF('2月'!CA15:CB15,X$41)+COUNTIF('2月'!CF15:CG15,X$41)+COUNTIF('2月'!CK15:CL15,X$41)+COUNTIF('2月'!CP15:CQ15,X$41)+COUNTIF('2月'!CU15:CV15,X$41)+COUNTIF('2月'!CZ15:DA15,X$41)+COUNTIF('2月'!DE15:DF15,X$41)+COUNTIF('2月'!DJ15:DK15,X$41)+COUNTIF('2月'!DO15:DP15,X$41)+COUNTIF('2月'!DT15:DU15,X$41)+COUNTIF('2月'!DY15:DZ15,X$41)+COUNTIF('2月'!ED15:EE15,X$41)+COUNTIF('2月'!EI15:EJ15,X$41)+COUNTIF('2月'!EN15:EO15,X$41)+COUNTIF('2月'!ES15:ET15,X$41)</f>
        <v>0</v>
      </c>
      <c r="Y54" s="76">
        <f t="shared" si="23"/>
        <v>0</v>
      </c>
    </row>
    <row r="55" spans="1:25" ht="18" customHeight="1">
      <c r="A55" s="76">
        <v>13</v>
      </c>
      <c r="B55" s="76">
        <f>COUNTIF('2月'!D16:E16,B$41)+COUNTIF('2月'!I16:J16,B$41)+COUNTIF('2月'!N16:O16,B$41)+COUNTIF('2月'!S16:T16,B$41)+COUNTIF('2月'!X16:Y16,B$41)+COUNTIF('2月'!AC16:AD16,B$41)+COUNTIF('2月'!AH16:AI16,B$41)+COUNTIF('2月'!AM16:AN16,B$41)+COUNTIF('2月'!AR16:AS16,B$41)+COUNTIF('2月'!AW16:AX16,B$41)+COUNTIF('2月'!BB16:BC16,B$41)+COUNTIF('2月'!BG16:BH16,B$41)+COUNTIF('2月'!BL16:BM16,B$41)+COUNTIF('2月'!BQ16:BR16,B$41)+COUNTIF('2月'!BV16:BW16,B$41)+COUNTIF('2月'!CA16:CB16,B$41)+COUNTIF('2月'!CF16:CG16,B$41)+COUNTIF('2月'!CK16:CL16,B$41)+COUNTIF('2月'!CP16:CQ16,B$41)+COUNTIF('2月'!CU16:CV16,B$41)+COUNTIF('2月'!CZ16:DA16,B$41)+COUNTIF('2月'!DE16:DF16,B$41)+COUNTIF('2月'!DJ16:DK16,B$41)+COUNTIF('2月'!DO16:DP16,B$41)+COUNTIF('2月'!DT16:DU16,B$41)+COUNTIF('2月'!DY16:DZ16,B$41)+COUNTIF('2月'!ED16:EE16,B$41)+COUNTIF('2月'!EI16:EJ16,B$41)+COUNTIF('2月'!EN16:EO16,B$41)+COUNTIF('2月'!ES16:ET16,B$41)</f>
        <v>0</v>
      </c>
      <c r="C55" s="76">
        <f t="shared" si="12"/>
        <v>0</v>
      </c>
      <c r="D55" s="76">
        <f>COUNTIF('2月'!D16:E16,D$41)+COUNTIF('2月'!I16:J16,D$41)+COUNTIF('2月'!N16:O16,D$41)+COUNTIF('2月'!S16:T16,D$41)+COUNTIF('2月'!X16:Y16,D$41)+COUNTIF('2月'!AC16:AD16,D$41)+COUNTIF('2月'!AH16:AI16,D$41)+COUNTIF('2月'!AM16:AN16,D$41)+COUNTIF('2月'!AR16:AS16,D$41)+COUNTIF('2月'!AW16:AX16,D$41)+COUNTIF('2月'!BB16:BC16,D$41)+COUNTIF('2月'!BG16:BH16,D$41)+COUNTIF('2月'!BL16:BM16,D$41)+COUNTIF('2月'!BQ16:BR16,D$41)+COUNTIF('2月'!BV16:BW16,D$41)+COUNTIF('2月'!CA16:CB16,D$41)+COUNTIF('2月'!CF16:CG16,D$41)+COUNTIF('2月'!CK16:CL16,D$41)+COUNTIF('2月'!CP16:CQ16,D$41)+COUNTIF('2月'!CU16:CV16,D$41)+COUNTIF('2月'!CZ16:DA16,D$41)+COUNTIF('2月'!DE16:DF16,D$41)+COUNTIF('2月'!DJ16:DK16,D$41)+COUNTIF('2月'!DO16:DP16,D$41)+COUNTIF('2月'!DT16:DU16,D$41)+COUNTIF('2月'!DY16:DZ16,D$41)+COUNTIF('2月'!ED16:EE16,D$41)+COUNTIF('2月'!EI16:EJ16,D$41)+COUNTIF('2月'!EN16:EO16,D$41)+COUNTIF('2月'!ES16:ET16,D$41)</f>
        <v>0</v>
      </c>
      <c r="E55" s="76">
        <f t="shared" si="13"/>
        <v>0</v>
      </c>
      <c r="F55" s="76">
        <f>COUNTIF('2月'!D16:E16,F$41)+COUNTIF('2月'!I16:J16,F$41)+COUNTIF('2月'!N16:O16,F$41)+COUNTIF('2月'!S16:T16,F$41)+COUNTIF('2月'!X16:Y16,F$41)+COUNTIF('2月'!AC16:AD16,F$41)+COUNTIF('2月'!AH16:AI16,F$41)+COUNTIF('2月'!AM16:AN16,F$41)+COUNTIF('2月'!AR16:AS16,F$41)+COUNTIF('2月'!AW16:AX16,F$41)+COUNTIF('2月'!BB16:BC16,F$41)+COUNTIF('2月'!BG16:BH16,F$41)+COUNTIF('2月'!BL16:BM16,F$41)+COUNTIF('2月'!BQ16:BR16,F$41)+COUNTIF('2月'!BV16:BW16,F$41)+COUNTIF('2月'!CA16:CB16,F$41)+COUNTIF('2月'!CF16:CG16,F$41)+COUNTIF('2月'!CK16:CL16,F$41)+COUNTIF('2月'!CP16:CQ16,F$41)+COUNTIF('2月'!CU16:CV16,F$41)+COUNTIF('2月'!CZ16:DA16,F$41)+COUNTIF('2月'!DE16:DF16,F$41)+COUNTIF('2月'!DJ16:DK16,F$41)+COUNTIF('2月'!DO16:DP16,F$41)+COUNTIF('2月'!DT16:DU16,F$41)+COUNTIF('2月'!DY16:DZ16,F$41)+COUNTIF('2月'!ED16:EE16,F$41)+COUNTIF('2月'!EI16:EJ16,F$41)+COUNTIF('2月'!EN16:EO16,F$41)+COUNTIF('2月'!ES16:ET16,F$41)</f>
        <v>0</v>
      </c>
      <c r="G55" s="76">
        <f t="shared" si="14"/>
        <v>0</v>
      </c>
      <c r="H55" s="76">
        <f>COUNTIF('2月'!D16:E16,H$41)+COUNTIF('2月'!I16:J16,H$41)+COUNTIF('2月'!N16:O16,H$41)+COUNTIF('2月'!S16:T16,H$41)+COUNTIF('2月'!X16:Y16,H$41)+COUNTIF('2月'!AC16:AD16,H$41)+COUNTIF('2月'!AH16:AI16,H$41)+COUNTIF('2月'!AM16:AN16,H$41)+COUNTIF('2月'!AR16:AS16,H$41)+COUNTIF('2月'!AW16:AX16,H$41)+COUNTIF('2月'!BB16:BC16,H$41)+COUNTIF('2月'!BG16:BH16,H$41)+COUNTIF('2月'!BL16:BM16,H$41)+COUNTIF('2月'!BQ16:BR16,H$41)+COUNTIF('2月'!BV16:BW16,H$41)+COUNTIF('2月'!CA16:CB16,H$41)+COUNTIF('2月'!CF16:CG16,H$41)+COUNTIF('2月'!CK16:CL16,H$41)+COUNTIF('2月'!CP16:CQ16,H$41)+COUNTIF('2月'!CU16:CV16,H$41)+COUNTIF('2月'!CZ16:DA16,H$41)+COUNTIF('2月'!DE16:DF16,H$41)+COUNTIF('2月'!DJ16:DK16,H$41)+COUNTIF('2月'!DO16:DP16,H$41)+COUNTIF('2月'!DT16:DU16,H$41)+COUNTIF('2月'!DY16:DZ16,H$41)+COUNTIF('2月'!ED16:EE16,H$41)+COUNTIF('2月'!EI16:EJ16,H$41)+COUNTIF('2月'!EN16:EO16,H$41)+COUNTIF('2月'!ES16:ET16,H$41)+COUNTIF('2月'!D16:E16,"渋谷-夜勤")+COUNTIF('2月'!I16:J16,"渋谷-夜勤")+COUNTIF('2月'!N16:O16,"渋谷-夜勤")+COUNTIF('2月'!S16:T16,"渋谷-夜勤")+COUNTIF('2月'!X16:Y16,"渋谷-夜勤")+COUNTIF('2月'!AC16:AD16,"渋谷-夜勤")+COUNTIF('2月'!AH16:AI16,"渋谷-夜勤")+COUNTIF('2月'!AM16:AN16,"渋谷-夜勤")+COUNTIF('2月'!AR16:AS16,"渋谷-夜勤")+COUNTIF('2月'!AW16:AX16,"渋谷-夜勤")+COUNTIF('2月'!BB16:BC16,"渋谷-夜勤")+COUNTIF('2月'!BG16:BH16,"渋谷-夜勤")+COUNTIF('2月'!BL16:BM16,"渋谷-夜勤")+COUNTIF('2月'!BQ16:BR16,"渋谷-夜勤")+COUNTIF('2月'!BV16:BW16,"渋谷-夜勤")+COUNTIF('2月'!CA16:CB16,"渋谷-夜勤")+COUNTIF('2月'!CF16:CG16,"渋谷-夜勤")+COUNTIF('2月'!CK16:CL16,"渋谷-夜勤")+COUNTIF('2月'!CP16:CQ16,"渋谷-夜勤")+COUNTIF('2月'!CU16:CV16,"渋谷-夜勤")+COUNTIF('2月'!CZ16:DA16,"渋谷-夜勤")+COUNTIF('2月'!DE16:DF16,"渋谷-夜勤")+COUNTIF('2月'!DJ16:DK16,"渋谷-夜勤")+COUNTIF('2月'!DO16:DP16,"渋谷-夜勤")+COUNTIF('2月'!DT16:DU16,"渋谷-夜勤")+COUNTIF('2月'!DY16:DZ16,"渋谷-夜勤")+COUNTIF('2月'!ED16:EE16,"渋谷-夜勤")+COUNTIF('2月'!EI16:EJ16,"渋谷-夜勤")+COUNTIF('2月'!EN16:EO16,"渋谷-夜勤")+COUNTIF('2月'!ES16:ET16,"渋谷-夜勤")</f>
        <v>0</v>
      </c>
      <c r="I55" s="76">
        <f t="shared" si="15"/>
        <v>0</v>
      </c>
      <c r="J55" s="76">
        <f>COUNTIF('2月'!D16:E16,J$41)+COUNTIF('2月'!I16:J16,J$41)+COUNTIF('2月'!N16:O16,J$41)+COUNTIF('2月'!S16:T16,J$41)+COUNTIF('2月'!X16:Y16,J$41)+COUNTIF('2月'!AC16:AD16,J$41)+COUNTIF('2月'!AH16:AI16,J$41)+COUNTIF('2月'!AM16:AN16,J$41)+COUNTIF('2月'!AR16:AS16,J$41)+COUNTIF('2月'!AW16:AX16,J$41)+COUNTIF('2月'!BB16:BC16,J$41)+COUNTIF('2月'!BG16:BH16,J$41)+COUNTIF('2月'!BL16:BM16,J$41)+COUNTIF('2月'!BQ16:BR16,J$41)+COUNTIF('2月'!BV16:BW16,J$41)+COUNTIF('2月'!CA16:CB16,J$41)+COUNTIF('2月'!CF16:CG16,J$41)+COUNTIF('2月'!CK16:CL16,J$41)+COUNTIF('2月'!CP16:CQ16,J$41)+COUNTIF('2月'!CU16:CV16,J$41)+COUNTIF('2月'!CZ16:DA16,J$41)+COUNTIF('2月'!DE16:DF16,J$41)+COUNTIF('2月'!DJ16:DK16,J$41)+COUNTIF('2月'!DO16:DP16,J$41)+COUNTIF('2月'!DT16:DU16,J$41)+COUNTIF('2月'!DY16:DZ16,J$41)+COUNTIF('2月'!ED16:EE16,J$41)+COUNTIF('2月'!EI16:EJ16,J$41)+COUNTIF('2月'!EN16:EO16,J$41)+COUNTIF('2月'!ES16:ET16,J$41)+COUNTIF('2月'!D16:E16,"六本木-夜勤")+COUNTIF('2月'!I16:J16,"六本木-夜勤")+COUNTIF('2月'!N16:O16,"六本木-夜勤")+COUNTIF('2月'!S16:T16,"六本木-夜勤")+COUNTIF('2月'!X16:Y16,"六本木-夜勤")+COUNTIF('2月'!AC16:AD16,"六本木-夜勤")+COUNTIF('2月'!AH16:AI16,"六本木-夜勤")+COUNTIF('2月'!AM16:AN16,"六本木-夜勤")+COUNTIF('2月'!AR16:AS16,"六本木-夜勤")+COUNTIF('2月'!AW16:AX16,"六本木-夜勤")+COUNTIF('2月'!BB16:BC16,"六本木-夜勤")+COUNTIF('2月'!BG16:BH16,"六本木-夜勤")+COUNTIF('2月'!BL16:BM16,"六本木-夜勤")+COUNTIF('2月'!BQ16:BR16,"六本木-夜勤")+COUNTIF('2月'!BV16:BW16,"六本木-夜勤")+COUNTIF('2月'!CA16:CB16,"六本木-夜勤")+COUNTIF('2月'!CF16:CG16,"六本木-夜勤")+COUNTIF('2月'!CK16:CL16,"六本木-夜勤")+COUNTIF('2月'!CP16:CQ16,"六本木-夜勤")+COUNTIF('2月'!CU16:CV16,"六本木-夜勤")+COUNTIF('2月'!CZ16:DA16,"六本木-夜勤")+COUNTIF('2月'!DE16:DF16,"六本木-夜勤")+COUNTIF('2月'!DJ16:DK16,"六本木-夜勤")+COUNTIF('2月'!DO16:DP16,"六本木-夜勤")+COUNTIF('2月'!DT16:DU16,"六本木-夜勤")+COUNTIF('2月'!DY16:DZ16,"六本木-夜勤")+COUNTIF('2月'!ED16:EE16,"六本木-夜勤")+COUNTIF('2月'!EI16:EJ16,"六本木-夜勤")+COUNTIF('2月'!EN16:EO16,"六本木-夜勤")+COUNTIF('2月'!ES16:ET16,"六本木-夜勤")+COUNTIF('2月'!D16:E16,"六本木ー夜勤")+COUNTIF('2月'!I16:J16,"六本木ー夜勤")+COUNTIF('2月'!N16:O16,"六本木ー夜勤")+COUNTIF('2月'!S16:T16,"六本木ー夜勤")+COUNTIF('2月'!X16:Y16,"六本木ー夜勤")+COUNTIF('2月'!AC16:AD16,"六本木ー夜勤")+COUNTIF('2月'!AH16:AI16,"六本木ー夜勤")+COUNTIF('2月'!AM16:AN16,"六本木ー夜勤")+COUNTIF('2月'!AR16:AS16,"六本木ー夜勤")+COUNTIF('2月'!AW16:AX16,"六本木ー夜勤")+COUNTIF('2月'!BB16:BC16,"六本木ー夜勤")+COUNTIF('2月'!BG16:BH16,"六本木ー夜勤")+COUNTIF('2月'!BL16:BM16,"六本木ー夜勤")+COUNTIF('2月'!BQ16:BR16,"六本木ー夜勤")+COUNTIF('2月'!BV16:BW16,"六本木ー夜勤")+COUNTIF('2月'!CA16:CB16,"六本木ー夜勤")+COUNTIF('2月'!CF16:CG16,"六本木ー夜勤")+COUNTIF('2月'!CK16:CL16,"六本木ー夜勤")+COUNTIF('2月'!CP16:CQ16,"六本木ー夜勤")+COUNTIF('2月'!CU16:CV16,"六本木ー夜勤")+COUNTIF('2月'!CZ16:DA16,"六本木ー夜勤")+COUNTIF('2月'!DE16:DF16,"六本木ー夜勤")+COUNTIF('2月'!DJ16:DK16,"六本木ー夜勤")+COUNTIF('2月'!DO16:DP16,"六本木ー夜勤")+COUNTIF('2月'!DT16:DU16,"六本木ー夜勤")+COUNTIF('2月'!DY16:DZ16,"六本木ー夜勤")+COUNTIF('2月'!ED16:EE16,"六本木ー夜勤")+COUNTIF('2月'!EI16:EJ16,"六本木ー夜勤")+COUNTIF('2月'!EN16:EO16,"六本木ー夜勤")+COUNTIF('2月'!ES16:ET16,"六本木ー夜勤")</f>
        <v>0</v>
      </c>
      <c r="K55" s="76">
        <f t="shared" si="16"/>
        <v>0</v>
      </c>
      <c r="L55" s="76">
        <f>COUNTIF('2月'!D16:E16,L$41)+COUNTIF('2月'!I16:J16,L$41)+COUNTIF('2月'!N16:O16,L$41)+COUNTIF('2月'!S16:T16,L$41)+COUNTIF('2月'!X16:Y16,L$41)+COUNTIF('2月'!AC16:AD16,L$41)+COUNTIF('2月'!AH16:AI16,L$41)+COUNTIF('2月'!AM16:AN16,L$41)+COUNTIF('2月'!AR16:AS16,L$41)+COUNTIF('2月'!AW16:AX16,L$41)+COUNTIF('2月'!BB16:BC16,L$41)+COUNTIF('2月'!BG16:BH16,L$41)+COUNTIF('2月'!BL16:BM16,L$41)+COUNTIF('2月'!BQ16:BR16,L$41)+COUNTIF('2月'!BV16:BW16,L$41)+COUNTIF('2月'!CA16:CB16,L$41)+COUNTIF('2月'!CF16:CG16,L$41)+COUNTIF('2月'!CK16:CL16,L$41)+COUNTIF('2月'!CP16:CQ16,L$41)+COUNTIF('2月'!CU16:CV16,L$41)+COUNTIF('2月'!CZ16:DA16,L$41)+COUNTIF('2月'!DE16:DF16,L$41)+COUNTIF('2月'!DJ16:DK16,L$41)+COUNTIF('2月'!DO16:DP16,L$41)+COUNTIF('2月'!DT16:DU16,L$41)+COUNTIF('2月'!DY16:DZ16,L$41)+COUNTIF('2月'!ED16:EE16,L$41)+COUNTIF('2月'!EI16:EJ16,L$41)+COUNTIF('2月'!EN16:EO16,L$41)+COUNTIF('2月'!ES16:ET16,L$41)</f>
        <v>0</v>
      </c>
      <c r="M55" s="76">
        <f t="shared" si="17"/>
        <v>0</v>
      </c>
      <c r="N55" s="76">
        <f>COUNTIF('2月'!D16:E16,N$41)+COUNTIF('2月'!I16:J16,N$41)+COUNTIF('2月'!N16:O16,N$41)+COUNTIF('2月'!S16:T16,N$41)+COUNTIF('2月'!X16:Y16,N$41)+COUNTIF('2月'!AC16:AD16,N$41)+COUNTIF('2月'!AH16:AI16,N$41)+COUNTIF('2月'!AM16:AN16,N$41)+COUNTIF('2月'!AR16:AS16,N$41)+COUNTIF('2月'!AW16:AX16,N$41)+COUNTIF('2月'!BB16:BC16,N$41)+COUNTIF('2月'!BG16:BH16,N$41)+COUNTIF('2月'!BL16:BM16,N$41)+COUNTIF('2月'!BQ16:BR16,N$41)+COUNTIF('2月'!BV16:BW16,N$41)+COUNTIF('2月'!CA16:CB16,N$41)+COUNTIF('2月'!CF16:CG16,N$41)+COUNTIF('2月'!CK16:CL16,N$41)+COUNTIF('2月'!CP16:CQ16,N$41)+COUNTIF('2月'!CU16:CV16,N$41)+COUNTIF('2月'!CZ16:DA16,N$41)+COUNTIF('2月'!DE16:DF16,N$41)+COUNTIF('2月'!DJ16:DK16,N$41)+COUNTIF('2月'!DO16:DP16,N$41)+COUNTIF('2月'!DT16:DU16,N$41)+COUNTIF('2月'!DY16:DZ16,N$41)+COUNTIF('2月'!ED16:EE16,N$41)+COUNTIF('2月'!EI16:EJ16,N$41)+COUNTIF('2月'!EN16:EO16,N$41)+COUNTIF('2月'!ES16:ET16,N$41)+COUNTIF('2月'!D16:E16,"三軒茶屋－夜勤")+COUNTIF('2月'!I16:J16,"三軒茶屋－夜勤")+COUNTIF('2月'!N16:O16,"三軒茶屋－夜勤")+COUNTIF('2月'!S16:T16,"三軒茶屋－夜勤")+COUNTIF('2月'!X16:Y16,"三軒茶屋－夜勤")+COUNTIF('2月'!AC16:AD16,"三軒茶屋－夜勤")+COUNTIF('2月'!AH16:AI16,"三軒茶屋－夜勤")+COUNTIF('2月'!AM16:AN16,"三軒茶屋－夜勤")+COUNTIF('2月'!AR16:AS16,"三軒茶屋－夜勤")+COUNTIF('2月'!AW16:AX16,"三軒茶屋－夜勤")+COUNTIF('2月'!BB16:BC16,"三軒茶屋－夜勤")+COUNTIF('2月'!BG16:BH16,"三軒茶屋－夜勤")+COUNTIF('2月'!BL16:BM16,"三軒茶屋－夜勤")+COUNTIF('2月'!BQ16:BR16,"三軒茶屋－夜勤")+COUNTIF('2月'!BV16:BW16,"三軒茶屋－夜勤")+COUNTIF('2月'!CA16:CB16,"三軒茶屋－夜勤")+COUNTIF('2月'!CF16:CG16,"三軒茶屋－夜勤")+COUNTIF('2月'!CK16:CL16,"三軒茶屋－夜勤")+COUNTIF('2月'!CP16:CQ16,"三軒茶屋－夜勤")+COUNTIF('2月'!CU16:CV16,"三軒茶屋－夜勤")+COUNTIF('2月'!CZ16:DA16,"三軒茶屋－夜勤")+COUNTIF('2月'!DE16:DF16,"三軒茶屋－夜勤")+COUNTIF('2月'!DJ16:DK16,"三軒茶屋－夜勤")+COUNTIF('2月'!DO16:DP16,"三軒茶屋－夜勤")+COUNTIF('2月'!DT16:DU16,"三軒茶屋－夜勤")+COUNTIF('2月'!DY16:DZ16,"三軒茶屋－夜勤")+COUNTIF('2月'!ED16:EE16,"三軒茶屋－夜勤")+COUNTIF('2月'!EI16:EJ16,"三軒茶屋－夜勤")+COUNTIF('2月'!EN16:EO16,"三軒茶屋－夜勤")+COUNTIF('2月'!ES16:ET16,"三軒茶屋－夜勤")</f>
        <v>0</v>
      </c>
      <c r="O55" s="76">
        <f t="shared" si="18"/>
        <v>0</v>
      </c>
      <c r="P55" s="76">
        <f>COUNTIF('2月'!D16:E16,P$41)+COUNTIF('2月'!I16:J16,P$41)+COUNTIF('2月'!N16:O16,P$41)+COUNTIF('2月'!S16:T16,P$41)+COUNTIF('2月'!X16:Y16,P$41)+COUNTIF('2月'!AC16:AD16,P$41)+COUNTIF('2月'!AH16:AI16,P$41)+COUNTIF('2月'!AM16:AN16,P$41)+COUNTIF('2月'!AR16:AS16,P$41)+COUNTIF('2月'!AW16:AX16,P$41)+COUNTIF('2月'!BB16:BC16,P$41)+COUNTIF('2月'!BG16:BH16,P$41)+COUNTIF('2月'!BL16:BM16,P$41)+COUNTIF('2月'!BQ16:BR16,P$41)+COUNTIF('2月'!BV16:BW16,P$41)+COUNTIF('2月'!CA16:CB16,P$41)+COUNTIF('2月'!CF16:CG16,P$41)+COUNTIF('2月'!CK16:CL16,P$41)+COUNTIF('2月'!CP16:CQ16,P$41)+COUNTIF('2月'!CU16:CV16,P$41)+COUNTIF('2月'!CZ16:DA16,P$41)+COUNTIF('2月'!DE16:DF16,P$41)+COUNTIF('2月'!DJ16:DK16,P$41)+COUNTIF('2月'!DO16:DP16,P$41)+COUNTIF('2月'!DT16:DU16,P$41)+COUNTIF('2月'!DY16:DZ16,P$41)+COUNTIF('2月'!ED16:EE16,P$41)+COUNTIF('2月'!EI16:EJ16,P$41)+COUNTIF('2月'!EN16:EO16,P$41)+COUNTIF('2月'!ES16:ET16,P$41)+COUNTIF('2月'!D16:E16,"荻窪ー夜勤")+COUNTIF('2月'!I16:J16,"荻窪ー夜勤")+COUNTIF('2月'!N16:O16,"荻窪ー夜勤")+COUNTIF('2月'!S16:T16,"荻窪ー夜勤")+COUNTIF('2月'!X16:Y16,"荻窪ー夜勤")+COUNTIF('2月'!AC16:AD16,"荻窪ー夜勤")+COUNTIF('2月'!AH16:AI16,"荻窪ー夜勤")+COUNTIF('2月'!AM16:AN16,"荻窪ー夜勤")+COUNTIF('2月'!AR16:AS16,"荻窪ー夜勤")+COUNTIF('2月'!AW16:AX16,"荻窪ー夜勤")+COUNTIF('2月'!BB16:BC16,"荻窪ー夜勤")+COUNTIF('2月'!BG16:BH16,"荻窪ー夜勤")+COUNTIF('2月'!BL16:BM16,"荻窪ー夜勤")+COUNTIF('2月'!BQ16:BR16,"荻窪ー夜勤")+COUNTIF('2月'!BV16:BW16,"荻窪ー夜勤")+COUNTIF('2月'!CA16:CB16,"荻窪ー夜勤")+COUNTIF('2月'!CF16:CG16,"荻窪ー夜勤")+COUNTIF('2月'!CK16:CL16,"荻窪ー夜勤")+COUNTIF('2月'!CP16:CQ16,"荻窪ー夜勤")+COUNTIF('2月'!CU16:CV16,"荻窪ー夜勤")+COUNTIF('2月'!CZ16:DA16,"荻窪ー夜勤")+COUNTIF('2月'!DE16:DF16,"荻窪ー夜勤")+COUNTIF('2月'!DJ16:DK16,"荻窪ー夜勤")+COUNTIF('2月'!DO16:DP16,"荻窪ー夜勤")+COUNTIF('2月'!DT16:DU16,"荻窪ー夜勤")+COUNTIF('2月'!DY16:DZ16,"荻窪ー夜勤")+COUNTIF('2月'!ED16:EE16,"荻窪ー夜勤")+COUNTIF('2月'!EI16:EJ16,"荻窪ー夜勤")+COUNTIF('2月'!EN16:EO16,"荻窪ー夜勤")+COUNTIF('2月'!ES16:ET16,"荻窪ー夜勤")</f>
        <v>0</v>
      </c>
      <c r="Q55" s="76">
        <f t="shared" si="19"/>
        <v>0</v>
      </c>
      <c r="R55" s="76">
        <f>COUNTIF('2月'!D16:E16,R$41)+COUNTIF('2月'!I16:J16,R$41)+COUNTIF('2月'!N16:O16,R$41)+COUNTIF('2月'!S16:T16,R$41)+COUNTIF('2月'!X16:Y16,R$41)+COUNTIF('2月'!AC16:AD16,R$41)+COUNTIF('2月'!AH16:AI16,R$41)+COUNTIF('2月'!AM16:AN16,R$41)+COUNTIF('2月'!AR16:AS16,R$41)+COUNTIF('2月'!AW16:AX16,R$41)+COUNTIF('2月'!BB16:BC16,R$41)+COUNTIF('2月'!BG16:BH16,R$41)+COUNTIF('2月'!BL16:BM16,R$41)+COUNTIF('2月'!BQ16:BR16,R$41)+COUNTIF('2月'!BV16:BW16,R$41)+COUNTIF('2月'!CA16:CB16,R$41)+COUNTIF('2月'!CF16:CG16,R$41)+COUNTIF('2月'!CK16:CL16,R$41)+COUNTIF('2月'!CP16:CQ16,R$41)+COUNTIF('2月'!CU16:CV16,R$41)+COUNTIF('2月'!CZ16:DA16,R$41)+COUNTIF('2月'!DE16:DF16,R$41)+COUNTIF('2月'!DJ16:DK16,R$41)+COUNTIF('2月'!DO16:DP16,R$41)+COUNTIF('2月'!DT16:DU16,R$41)+COUNTIF('2月'!DY16:DZ16,R$41)+COUNTIF('2月'!ED16:EE16,R$41)+COUNTIF('2月'!EI16:EJ16,R$41)+COUNTIF('2月'!EN16:EO16,R$41)+COUNTIF('2月'!ES16:ET16,R$41)</f>
        <v>0</v>
      </c>
      <c r="S55" s="76">
        <f t="shared" si="20"/>
        <v>0</v>
      </c>
      <c r="T55" s="76">
        <f>COUNTIF('2月'!D16:E16,T$41)+COUNTIF('2月'!I16:J16,T$41)+COUNTIF('2月'!N16:O16,T$41)+COUNTIF('2月'!S16:T16,T$41)+COUNTIF('2月'!X16:Y16,T$41)+COUNTIF('2月'!AC16:AD16,T$41)+COUNTIF('2月'!AH16:AI16,T$41)+COUNTIF('2月'!AM16:AN16,T$41)+COUNTIF('2月'!AR16:AS16,T$41)+COUNTIF('2月'!AW16:AX16,T$41)+COUNTIF('2月'!BB16:BC16,T$41)+COUNTIF('2月'!BG16:BH16,T$41)+COUNTIF('2月'!BL16:BM16,T$41)+COUNTIF('2月'!BQ16:BR16,T$41)+COUNTIF('2月'!BV16:BW16,T$41)+COUNTIF('2月'!CA16:CB16,T$41)+COUNTIF('2月'!CF16:CG16,T$41)+COUNTIF('2月'!CK16:CL16,T$41)+COUNTIF('2月'!CP16:CQ16,T$41)+COUNTIF('2月'!CU16:CV16,T$41)+COUNTIF('2月'!CZ16:DA16,T$41)+COUNTIF('2月'!DE16:DF16,T$41)+COUNTIF('2月'!DJ16:DK16,T$41)+COUNTIF('2月'!DO16:DP16,T$41)+COUNTIF('2月'!DT16:DU16,T$41)+COUNTIF('2月'!DY16:DZ16,T$41)+COUNTIF('2月'!ED16:EE16,T$41)+COUNTIF('2月'!EI16:EJ16,T$41)+COUNTIF('2月'!EN16:EO16,T$41)+COUNTIF('2月'!ES16:ET16,T$41)</f>
        <v>0</v>
      </c>
      <c r="U55" s="76">
        <f t="shared" si="21"/>
        <v>0</v>
      </c>
      <c r="V55" s="76">
        <f>COUNTIF('2月'!D16:E16,V$41)+COUNTIF('2月'!I16:J16,V$41)+COUNTIF('2月'!N16:O16,V$41)+COUNTIF('2月'!S16:T16,V$41)+COUNTIF('2月'!X16:Y16,V$41)+COUNTIF('2月'!AC16:AD16,V$41)+COUNTIF('2月'!AH16:AI16,V$41)+COUNTIF('2月'!AM16:AN16,V$41)+COUNTIF('2月'!AR16:AS16,V$41)+COUNTIF('2月'!AW16:AX16,V$41)+COUNTIF('2月'!BB16:BC16,V$41)+COUNTIF('2月'!BG16:BH16,V$41)+COUNTIF('2月'!BL16:BM16,V$41)+COUNTIF('2月'!BQ16:BR16,V$41)+COUNTIF('2月'!BV16:BW16,V$41)+COUNTIF('2月'!CA16:CB16,V$41)+COUNTIF('2月'!CF16:CG16,V$41)+COUNTIF('2月'!CK16:CL16,V$41)+COUNTIF('2月'!CP16:CQ16,V$41)+COUNTIF('2月'!CU16:CV16,V$41)+COUNTIF('2月'!CZ16:DA16,V$41)+COUNTIF('2月'!DE16:DF16,V$41)+COUNTIF('2月'!DJ16:DK16,V$41)+COUNTIF('2月'!DO16:DP16,V$41)+COUNTIF('2月'!DT16:DU16,V$41)+COUNTIF('2月'!DY16:DZ16,V$41)+COUNTIF('2月'!ED16:EE16,V$41)+COUNTIF('2月'!EI16:EJ16,V$41)+COUNTIF('2月'!EN16:EO16,V$41)+COUNTIF('2月'!ES16:ET16,V$41)</f>
        <v>0</v>
      </c>
      <c r="W55" s="76">
        <f t="shared" si="22"/>
        <v>0</v>
      </c>
      <c r="X55" s="76">
        <f>COUNTIF('2月'!D16:E16,X$41)+COUNTIF('2月'!I16:J16,X$41)+COUNTIF('2月'!N16:O16,X$41)+COUNTIF('2月'!S16:T16,X$41)+COUNTIF('2月'!X16:Y16,X$41)+COUNTIF('2月'!AC16:AD16,X$41)+COUNTIF('2月'!AH16:AI16,X$41)+COUNTIF('2月'!AM16:AN16,X$41)+COUNTIF('2月'!AR16:AS16,X$41)+COUNTIF('2月'!AW16:AX16,X$41)+COUNTIF('2月'!BB16:BC16,X$41)+COUNTIF('2月'!BG16:BH16,X$41)+COUNTIF('2月'!BL16:BM16,X$41)+COUNTIF('2月'!BQ16:BR16,X$41)+COUNTIF('2月'!BV16:BW16,X$41)+COUNTIF('2月'!CA16:CB16,X$41)+COUNTIF('2月'!CF16:CG16,X$41)+COUNTIF('2月'!CK16:CL16,X$41)+COUNTIF('2月'!CP16:CQ16,X$41)+COUNTIF('2月'!CU16:CV16,X$41)+COUNTIF('2月'!CZ16:DA16,X$41)+COUNTIF('2月'!DE16:DF16,X$41)+COUNTIF('2月'!DJ16:DK16,X$41)+COUNTIF('2月'!DO16:DP16,X$41)+COUNTIF('2月'!DT16:DU16,X$41)+COUNTIF('2月'!DY16:DZ16,X$41)+COUNTIF('2月'!ED16:EE16,X$41)+COUNTIF('2月'!EI16:EJ16,X$41)+COUNTIF('2月'!EN16:EO16,X$41)+COUNTIF('2月'!ES16:ET16,X$41)</f>
        <v>0</v>
      </c>
      <c r="Y55" s="76">
        <f t="shared" si="23"/>
        <v>0</v>
      </c>
    </row>
    <row r="56" spans="1:25" ht="18" customHeight="1">
      <c r="A56" s="76">
        <v>14</v>
      </c>
      <c r="B56" s="76">
        <f>COUNTIF('2月'!D17:E17,B$41)+COUNTIF('2月'!I17:J17,B$41)+COUNTIF('2月'!N17:O17,B$41)+COUNTIF('2月'!S17:T17,B$41)+COUNTIF('2月'!X17:Y17,B$41)+COUNTIF('2月'!AC17:AD17,B$41)+COUNTIF('2月'!AH17:AI17,B$41)+COUNTIF('2月'!AM17:AN17,B$41)+COUNTIF('2月'!AR17:AS17,B$41)+COUNTIF('2月'!AW17:AX17,B$41)+COUNTIF('2月'!BB17:BC17,B$41)+COUNTIF('2月'!BG17:BH17,B$41)+COUNTIF('2月'!BL17:BM17,B$41)+COUNTIF('2月'!BQ17:BR17,B$41)+COUNTIF('2月'!BV17:BW17,B$41)+COUNTIF('2月'!CA17:CB17,B$41)+COUNTIF('2月'!CF17:CG17,B$41)+COUNTIF('2月'!CK17:CL17,B$41)+COUNTIF('2月'!CP17:CQ17,B$41)+COUNTIF('2月'!CU17:CV17,B$41)+COUNTIF('2月'!CZ17:DA17,B$41)+COUNTIF('2月'!DE17:DF17,B$41)+COUNTIF('2月'!DJ17:DK17,B$41)+COUNTIF('2月'!DO17:DP17,B$41)+COUNTIF('2月'!DT17:DU17,B$41)+COUNTIF('2月'!DY17:DZ17,B$41)+COUNTIF('2月'!ED17:EE17,B$41)+COUNTIF('2月'!EI17:EJ17,B$41)+COUNTIF('2月'!EN17:EO17,B$41)+COUNTIF('2月'!ES17:ET17,B$41)</f>
        <v>0</v>
      </c>
      <c r="C56" s="76">
        <f t="shared" si="12"/>
        <v>0</v>
      </c>
      <c r="D56" s="76">
        <f>COUNTIF('2月'!D17:E17,D$41)+COUNTIF('2月'!I17:J17,D$41)+COUNTIF('2月'!N17:O17,D$41)+COUNTIF('2月'!S17:T17,D$41)+COUNTIF('2月'!X17:Y17,D$41)+COUNTIF('2月'!AC17:AD17,D$41)+COUNTIF('2月'!AH17:AI17,D$41)+COUNTIF('2月'!AM17:AN17,D$41)+COUNTIF('2月'!AR17:AS17,D$41)+COUNTIF('2月'!AW17:AX17,D$41)+COUNTIF('2月'!BB17:BC17,D$41)+COUNTIF('2月'!BG17:BH17,D$41)+COUNTIF('2月'!BL17:BM17,D$41)+COUNTIF('2月'!BQ17:BR17,D$41)+COUNTIF('2月'!BV17:BW17,D$41)+COUNTIF('2月'!CA17:CB17,D$41)+COUNTIF('2月'!CF17:CG17,D$41)+COUNTIF('2月'!CK17:CL17,D$41)+COUNTIF('2月'!CP17:CQ17,D$41)+COUNTIF('2月'!CU17:CV17,D$41)+COUNTIF('2月'!CZ17:DA17,D$41)+COUNTIF('2月'!DE17:DF17,D$41)+COUNTIF('2月'!DJ17:DK17,D$41)+COUNTIF('2月'!DO17:DP17,D$41)+COUNTIF('2月'!DT17:DU17,D$41)+COUNTIF('2月'!DY17:DZ17,D$41)+COUNTIF('2月'!ED17:EE17,D$41)+COUNTIF('2月'!EI17:EJ17,D$41)+COUNTIF('2月'!EN17:EO17,D$41)+COUNTIF('2月'!ES17:ET17,D$41)</f>
        <v>0</v>
      </c>
      <c r="E56" s="76">
        <f t="shared" si="13"/>
        <v>0</v>
      </c>
      <c r="F56" s="76">
        <f>COUNTIF('2月'!D17:E17,F$41)+COUNTIF('2月'!I17:J17,F$41)+COUNTIF('2月'!N17:O17,F$41)+COUNTIF('2月'!S17:T17,F$41)+COUNTIF('2月'!X17:Y17,F$41)+COUNTIF('2月'!AC17:AD17,F$41)+COUNTIF('2月'!AH17:AI17,F$41)+COUNTIF('2月'!AM17:AN17,F$41)+COUNTIF('2月'!AR17:AS17,F$41)+COUNTIF('2月'!AW17:AX17,F$41)+COUNTIF('2月'!BB17:BC17,F$41)+COUNTIF('2月'!BG17:BH17,F$41)+COUNTIF('2月'!BL17:BM17,F$41)+COUNTIF('2月'!BQ17:BR17,F$41)+COUNTIF('2月'!BV17:BW17,F$41)+COUNTIF('2月'!CA17:CB17,F$41)+COUNTIF('2月'!CF17:CG17,F$41)+COUNTIF('2月'!CK17:CL17,F$41)+COUNTIF('2月'!CP17:CQ17,F$41)+COUNTIF('2月'!CU17:CV17,F$41)+COUNTIF('2月'!CZ17:DA17,F$41)+COUNTIF('2月'!DE17:DF17,F$41)+COUNTIF('2月'!DJ17:DK17,F$41)+COUNTIF('2月'!DO17:DP17,F$41)+COUNTIF('2月'!DT17:DU17,F$41)+COUNTIF('2月'!DY17:DZ17,F$41)+COUNTIF('2月'!ED17:EE17,F$41)+COUNTIF('2月'!EI17:EJ17,F$41)+COUNTIF('2月'!EN17:EO17,F$41)+COUNTIF('2月'!ES17:ET17,F$41)</f>
        <v>0</v>
      </c>
      <c r="G56" s="76">
        <f t="shared" si="14"/>
        <v>0</v>
      </c>
      <c r="H56" s="76">
        <f>COUNTIF('2月'!D17:E17,H$41)+COUNTIF('2月'!I17:J17,H$41)+COUNTIF('2月'!N17:O17,H$41)+COUNTIF('2月'!S17:T17,H$41)+COUNTIF('2月'!X17:Y17,H$41)+COUNTIF('2月'!AC17:AD17,H$41)+COUNTIF('2月'!AH17:AI17,H$41)+COUNTIF('2月'!AM17:AN17,H$41)+COUNTIF('2月'!AR17:AS17,H$41)+COUNTIF('2月'!AW17:AX17,H$41)+COUNTIF('2月'!BB17:BC17,H$41)+COUNTIF('2月'!BG17:BH17,H$41)+COUNTIF('2月'!BL17:BM17,H$41)+COUNTIF('2月'!BQ17:BR17,H$41)+COUNTIF('2月'!BV17:BW17,H$41)+COUNTIF('2月'!CA17:CB17,H$41)+COUNTIF('2月'!CF17:CG17,H$41)+COUNTIF('2月'!CK17:CL17,H$41)+COUNTIF('2月'!CP17:CQ17,H$41)+COUNTIF('2月'!CU17:CV17,H$41)+COUNTIF('2月'!CZ17:DA17,H$41)+COUNTIF('2月'!DE17:DF17,H$41)+COUNTIF('2月'!DJ17:DK17,H$41)+COUNTIF('2月'!DO17:DP17,H$41)+COUNTIF('2月'!DT17:DU17,H$41)+COUNTIF('2月'!DY17:DZ17,H$41)+COUNTIF('2月'!ED17:EE17,H$41)+COUNTIF('2月'!EI17:EJ17,H$41)+COUNTIF('2月'!EN17:EO17,H$41)+COUNTIF('2月'!ES17:ET17,H$41)+COUNTIF('2月'!D17:E17,"渋谷-夜勤")+COUNTIF('2月'!I17:J17,"渋谷-夜勤")+COUNTIF('2月'!N17:O17,"渋谷-夜勤")+COUNTIF('2月'!S17:T17,"渋谷-夜勤")+COUNTIF('2月'!X17:Y17,"渋谷-夜勤")+COUNTIF('2月'!AC17:AD17,"渋谷-夜勤")+COUNTIF('2月'!AH17:AI17,"渋谷-夜勤")+COUNTIF('2月'!AM17:AN17,"渋谷-夜勤")+COUNTIF('2月'!AR17:AS17,"渋谷-夜勤")+COUNTIF('2月'!AW17:AX17,"渋谷-夜勤")+COUNTIF('2月'!BB17:BC17,"渋谷-夜勤")+COUNTIF('2月'!BG17:BH17,"渋谷-夜勤")+COUNTIF('2月'!BL17:BM17,"渋谷-夜勤")+COUNTIF('2月'!BQ17:BR17,"渋谷-夜勤")+COUNTIF('2月'!BV17:BW17,"渋谷-夜勤")+COUNTIF('2月'!CA17:CB17,"渋谷-夜勤")+COUNTIF('2月'!CF17:CG17,"渋谷-夜勤")+COUNTIF('2月'!CK17:CL17,"渋谷-夜勤")+COUNTIF('2月'!CP17:CQ17,"渋谷-夜勤")+COUNTIF('2月'!CU17:CV17,"渋谷-夜勤")+COUNTIF('2月'!CZ17:DA17,"渋谷-夜勤")+COUNTIF('2月'!DE17:DF17,"渋谷-夜勤")+COUNTIF('2月'!DJ17:DK17,"渋谷-夜勤")+COUNTIF('2月'!DO17:DP17,"渋谷-夜勤")+COUNTIF('2月'!DT17:DU17,"渋谷-夜勤")+COUNTIF('2月'!DY17:DZ17,"渋谷-夜勤")+COUNTIF('2月'!ED17:EE17,"渋谷-夜勤")+COUNTIF('2月'!EI17:EJ17,"渋谷-夜勤")+COUNTIF('2月'!EN17:EO17,"渋谷-夜勤")+COUNTIF('2月'!ES17:ET17,"渋谷-夜勤")</f>
        <v>0</v>
      </c>
      <c r="I56" s="76">
        <f t="shared" si="15"/>
        <v>0</v>
      </c>
      <c r="J56" s="76">
        <f>COUNTIF('2月'!D17:E17,J$41)+COUNTIF('2月'!I17:J17,J$41)+COUNTIF('2月'!N17:O17,J$41)+COUNTIF('2月'!S17:T17,J$41)+COUNTIF('2月'!X17:Y17,J$41)+COUNTIF('2月'!AC17:AD17,J$41)+COUNTIF('2月'!AH17:AI17,J$41)+COUNTIF('2月'!AM17:AN17,J$41)+COUNTIF('2月'!AR17:AS17,J$41)+COUNTIF('2月'!AW17:AX17,J$41)+COUNTIF('2月'!BB17:BC17,J$41)+COUNTIF('2月'!BG17:BH17,J$41)+COUNTIF('2月'!BL17:BM17,J$41)+COUNTIF('2月'!BQ17:BR17,J$41)+COUNTIF('2月'!BV17:BW17,J$41)+COUNTIF('2月'!CA17:CB17,J$41)+COUNTIF('2月'!CF17:CG17,J$41)+COUNTIF('2月'!CK17:CL17,J$41)+COUNTIF('2月'!CP17:CQ17,J$41)+COUNTIF('2月'!CU17:CV17,J$41)+COUNTIF('2月'!CZ17:DA17,J$41)+COUNTIF('2月'!DE17:DF17,J$41)+COUNTIF('2月'!DJ17:DK17,J$41)+COUNTIF('2月'!DO17:DP17,J$41)+COUNTIF('2月'!DT17:DU17,J$41)+COUNTIF('2月'!DY17:DZ17,J$41)+COUNTIF('2月'!ED17:EE17,J$41)+COUNTIF('2月'!EI17:EJ17,J$41)+COUNTIF('2月'!EN17:EO17,J$41)+COUNTIF('2月'!ES17:ET17,J$41)+COUNTIF('2月'!D17:E17,"六本木-夜勤")+COUNTIF('2月'!I17:J17,"六本木-夜勤")+COUNTIF('2月'!N17:O17,"六本木-夜勤")+COUNTIF('2月'!S17:T17,"六本木-夜勤")+COUNTIF('2月'!X17:Y17,"六本木-夜勤")+COUNTIF('2月'!AC17:AD17,"六本木-夜勤")+COUNTIF('2月'!AH17:AI17,"六本木-夜勤")+COUNTIF('2月'!AM17:AN17,"六本木-夜勤")+COUNTIF('2月'!AR17:AS17,"六本木-夜勤")+COUNTIF('2月'!AW17:AX17,"六本木-夜勤")+COUNTIF('2月'!BB17:BC17,"六本木-夜勤")+COUNTIF('2月'!BG17:BH17,"六本木-夜勤")+COUNTIF('2月'!BL17:BM17,"六本木-夜勤")+COUNTIF('2月'!BQ17:BR17,"六本木-夜勤")+COUNTIF('2月'!BV17:BW17,"六本木-夜勤")+COUNTIF('2月'!CA17:CB17,"六本木-夜勤")+COUNTIF('2月'!CF17:CG17,"六本木-夜勤")+COUNTIF('2月'!CK17:CL17,"六本木-夜勤")+COUNTIF('2月'!CP17:CQ17,"六本木-夜勤")+COUNTIF('2月'!CU17:CV17,"六本木-夜勤")+COUNTIF('2月'!CZ17:DA17,"六本木-夜勤")+COUNTIF('2月'!DE17:DF17,"六本木-夜勤")+COUNTIF('2月'!DJ17:DK17,"六本木-夜勤")+COUNTIF('2月'!DO17:DP17,"六本木-夜勤")+COUNTIF('2月'!DT17:DU17,"六本木-夜勤")+COUNTIF('2月'!DY17:DZ17,"六本木-夜勤")+COUNTIF('2月'!ED17:EE17,"六本木-夜勤")+COUNTIF('2月'!EI17:EJ17,"六本木-夜勤")+COUNTIF('2月'!EN17:EO17,"六本木-夜勤")+COUNTIF('2月'!ES17:ET17,"六本木-夜勤")+COUNTIF('2月'!D17:E17,"六本木ー夜勤")+COUNTIF('2月'!I17:J17,"六本木ー夜勤")+COUNTIF('2月'!N17:O17,"六本木ー夜勤")+COUNTIF('2月'!S17:T17,"六本木ー夜勤")+COUNTIF('2月'!X17:Y17,"六本木ー夜勤")+COUNTIF('2月'!AC17:AD17,"六本木ー夜勤")+COUNTIF('2月'!AH17:AI17,"六本木ー夜勤")+COUNTIF('2月'!AM17:AN17,"六本木ー夜勤")+COUNTIF('2月'!AR17:AS17,"六本木ー夜勤")+COUNTIF('2月'!AW17:AX17,"六本木ー夜勤")+COUNTIF('2月'!BB17:BC17,"六本木ー夜勤")+COUNTIF('2月'!BG17:BH17,"六本木ー夜勤")+COUNTIF('2月'!BL17:BM17,"六本木ー夜勤")+COUNTIF('2月'!BQ17:BR17,"六本木ー夜勤")+COUNTIF('2月'!BV17:BW17,"六本木ー夜勤")+COUNTIF('2月'!CA17:CB17,"六本木ー夜勤")+COUNTIF('2月'!CF17:CG17,"六本木ー夜勤")+COUNTIF('2月'!CK17:CL17,"六本木ー夜勤")+COUNTIF('2月'!CP17:CQ17,"六本木ー夜勤")+COUNTIF('2月'!CU17:CV17,"六本木ー夜勤")+COUNTIF('2月'!CZ17:DA17,"六本木ー夜勤")+COUNTIF('2月'!DE17:DF17,"六本木ー夜勤")+COUNTIF('2月'!DJ17:DK17,"六本木ー夜勤")+COUNTIF('2月'!DO17:DP17,"六本木ー夜勤")+COUNTIF('2月'!DT17:DU17,"六本木ー夜勤")+COUNTIF('2月'!DY17:DZ17,"六本木ー夜勤")+COUNTIF('2月'!ED17:EE17,"六本木ー夜勤")+COUNTIF('2月'!EI17:EJ17,"六本木ー夜勤")+COUNTIF('2月'!EN17:EO17,"六本木ー夜勤")+COUNTIF('2月'!ES17:ET17,"六本木ー夜勤")</f>
        <v>0</v>
      </c>
      <c r="K56" s="76">
        <f t="shared" si="16"/>
        <v>0</v>
      </c>
      <c r="L56" s="76">
        <f>COUNTIF('2月'!D17:E17,L$41)+COUNTIF('2月'!I17:J17,L$41)+COUNTIF('2月'!N17:O17,L$41)+COUNTIF('2月'!S17:T17,L$41)+COUNTIF('2月'!X17:Y17,L$41)+COUNTIF('2月'!AC17:AD17,L$41)+COUNTIF('2月'!AH17:AI17,L$41)+COUNTIF('2月'!AM17:AN17,L$41)+COUNTIF('2月'!AR17:AS17,L$41)+COUNTIF('2月'!AW17:AX17,L$41)+COUNTIF('2月'!BB17:BC17,L$41)+COUNTIF('2月'!BG17:BH17,L$41)+COUNTIF('2月'!BL17:BM17,L$41)+COUNTIF('2月'!BQ17:BR17,L$41)+COUNTIF('2月'!BV17:BW17,L$41)+COUNTIF('2月'!CA17:CB17,L$41)+COUNTIF('2月'!CF17:CG17,L$41)+COUNTIF('2月'!CK17:CL17,L$41)+COUNTIF('2月'!CP17:CQ17,L$41)+COUNTIF('2月'!CU17:CV17,L$41)+COUNTIF('2月'!CZ17:DA17,L$41)+COUNTIF('2月'!DE17:DF17,L$41)+COUNTIF('2月'!DJ17:DK17,L$41)+COUNTIF('2月'!DO17:DP17,L$41)+COUNTIF('2月'!DT17:DU17,L$41)+COUNTIF('2月'!DY17:DZ17,L$41)+COUNTIF('2月'!ED17:EE17,L$41)+COUNTIF('2月'!EI17:EJ17,L$41)+COUNTIF('2月'!EN17:EO17,L$41)+COUNTIF('2月'!ES17:ET17,L$41)</f>
        <v>0</v>
      </c>
      <c r="M56" s="76">
        <f t="shared" si="17"/>
        <v>0</v>
      </c>
      <c r="N56" s="76">
        <f>COUNTIF('2月'!D17:E17,N$41)+COUNTIF('2月'!I17:J17,N$41)+COUNTIF('2月'!N17:O17,N$41)+COUNTIF('2月'!S17:T17,N$41)+COUNTIF('2月'!X17:Y17,N$41)+COUNTIF('2月'!AC17:AD17,N$41)+COUNTIF('2月'!AH17:AI17,N$41)+COUNTIF('2月'!AM17:AN17,N$41)+COUNTIF('2月'!AR17:AS17,N$41)+COUNTIF('2月'!AW17:AX17,N$41)+COUNTIF('2月'!BB17:BC17,N$41)+COUNTIF('2月'!BG17:BH17,N$41)+COUNTIF('2月'!BL17:BM17,N$41)+COUNTIF('2月'!BQ17:BR17,N$41)+COUNTIF('2月'!BV17:BW17,N$41)+COUNTIF('2月'!CA17:CB17,N$41)+COUNTIF('2月'!CF17:CG17,N$41)+COUNTIF('2月'!CK17:CL17,N$41)+COUNTIF('2月'!CP17:CQ17,N$41)+COUNTIF('2月'!CU17:CV17,N$41)+COUNTIF('2月'!CZ17:DA17,N$41)+COUNTIF('2月'!DE17:DF17,N$41)+COUNTIF('2月'!DJ17:DK17,N$41)+COUNTIF('2月'!DO17:DP17,N$41)+COUNTIF('2月'!DT17:DU17,N$41)+COUNTIF('2月'!DY17:DZ17,N$41)+COUNTIF('2月'!ED17:EE17,N$41)+COUNTIF('2月'!EI17:EJ17,N$41)+COUNTIF('2月'!EN17:EO17,N$41)+COUNTIF('2月'!ES17:ET17,N$41)+COUNTIF('2月'!D17:E17,"三軒茶屋－夜勤")+COUNTIF('2月'!I17:J17,"三軒茶屋－夜勤")+COUNTIF('2月'!N17:O17,"三軒茶屋－夜勤")+COUNTIF('2月'!S17:T17,"三軒茶屋－夜勤")+COUNTIF('2月'!X17:Y17,"三軒茶屋－夜勤")+COUNTIF('2月'!AC17:AD17,"三軒茶屋－夜勤")+COUNTIF('2月'!AH17:AI17,"三軒茶屋－夜勤")+COUNTIF('2月'!AM17:AN17,"三軒茶屋－夜勤")+COUNTIF('2月'!AR17:AS17,"三軒茶屋－夜勤")+COUNTIF('2月'!AW17:AX17,"三軒茶屋－夜勤")+COUNTIF('2月'!BB17:BC17,"三軒茶屋－夜勤")+COUNTIF('2月'!BG17:BH17,"三軒茶屋－夜勤")+COUNTIF('2月'!BL17:BM17,"三軒茶屋－夜勤")+COUNTIF('2月'!BQ17:BR17,"三軒茶屋－夜勤")+COUNTIF('2月'!BV17:BW17,"三軒茶屋－夜勤")+COUNTIF('2月'!CA17:CB17,"三軒茶屋－夜勤")+COUNTIF('2月'!CF17:CG17,"三軒茶屋－夜勤")+COUNTIF('2月'!CK17:CL17,"三軒茶屋－夜勤")+COUNTIF('2月'!CP17:CQ17,"三軒茶屋－夜勤")+COUNTIF('2月'!CU17:CV17,"三軒茶屋－夜勤")+COUNTIF('2月'!CZ17:DA17,"三軒茶屋－夜勤")+COUNTIF('2月'!DE17:DF17,"三軒茶屋－夜勤")+COUNTIF('2月'!DJ17:DK17,"三軒茶屋－夜勤")+COUNTIF('2月'!DO17:DP17,"三軒茶屋－夜勤")+COUNTIF('2月'!DT17:DU17,"三軒茶屋－夜勤")+COUNTIF('2月'!DY17:DZ17,"三軒茶屋－夜勤")+COUNTIF('2月'!ED17:EE17,"三軒茶屋－夜勤")+COUNTIF('2月'!EI17:EJ17,"三軒茶屋－夜勤")+COUNTIF('2月'!EN17:EO17,"三軒茶屋－夜勤")+COUNTIF('2月'!ES17:ET17,"三軒茶屋－夜勤")</f>
        <v>0</v>
      </c>
      <c r="O56" s="76">
        <f t="shared" si="18"/>
        <v>0</v>
      </c>
      <c r="P56" s="76">
        <f>COUNTIF('2月'!D17:E17,P$41)+COUNTIF('2月'!I17:J17,P$41)+COUNTIF('2月'!N17:O17,P$41)+COUNTIF('2月'!S17:T17,P$41)+COUNTIF('2月'!X17:Y17,P$41)+COUNTIF('2月'!AC17:AD17,P$41)+COUNTIF('2月'!AH17:AI17,P$41)+COUNTIF('2月'!AM17:AN17,P$41)+COUNTIF('2月'!AR17:AS17,P$41)+COUNTIF('2月'!AW17:AX17,P$41)+COUNTIF('2月'!BB17:BC17,P$41)+COUNTIF('2月'!BG17:BH17,P$41)+COUNTIF('2月'!BL17:BM17,P$41)+COUNTIF('2月'!BQ17:BR17,P$41)+COUNTIF('2月'!BV17:BW17,P$41)+COUNTIF('2月'!CA17:CB17,P$41)+COUNTIF('2月'!CF17:CG17,P$41)+COUNTIF('2月'!CK17:CL17,P$41)+COUNTIF('2月'!CP17:CQ17,P$41)+COUNTIF('2月'!CU17:CV17,P$41)+COUNTIF('2月'!CZ17:DA17,P$41)+COUNTIF('2月'!DE17:DF17,P$41)+COUNTIF('2月'!DJ17:DK17,P$41)+COUNTIF('2月'!DO17:DP17,P$41)+COUNTIF('2月'!DT17:DU17,P$41)+COUNTIF('2月'!DY17:DZ17,P$41)+COUNTIF('2月'!ED17:EE17,P$41)+COUNTIF('2月'!EI17:EJ17,P$41)+COUNTIF('2月'!EN17:EO17,P$41)+COUNTIF('2月'!ES17:ET17,P$41)+COUNTIF('2月'!D17:E17,"荻窪ー夜勤")+COUNTIF('2月'!I17:J17,"荻窪ー夜勤")+COUNTIF('2月'!N17:O17,"荻窪ー夜勤")+COUNTIF('2月'!S17:T17,"荻窪ー夜勤")+COUNTIF('2月'!X17:Y17,"荻窪ー夜勤")+COUNTIF('2月'!AC17:AD17,"荻窪ー夜勤")+COUNTIF('2月'!AH17:AI17,"荻窪ー夜勤")+COUNTIF('2月'!AM17:AN17,"荻窪ー夜勤")+COUNTIF('2月'!AR17:AS17,"荻窪ー夜勤")+COUNTIF('2月'!AW17:AX17,"荻窪ー夜勤")+COUNTIF('2月'!BB17:BC17,"荻窪ー夜勤")+COUNTIF('2月'!BG17:BH17,"荻窪ー夜勤")+COUNTIF('2月'!BL17:BM17,"荻窪ー夜勤")+COUNTIF('2月'!BQ17:BR17,"荻窪ー夜勤")+COUNTIF('2月'!BV17:BW17,"荻窪ー夜勤")+COUNTIF('2月'!CA17:CB17,"荻窪ー夜勤")+COUNTIF('2月'!CF17:CG17,"荻窪ー夜勤")+COUNTIF('2月'!CK17:CL17,"荻窪ー夜勤")+COUNTIF('2月'!CP17:CQ17,"荻窪ー夜勤")+COUNTIF('2月'!CU17:CV17,"荻窪ー夜勤")+COUNTIF('2月'!CZ17:DA17,"荻窪ー夜勤")+COUNTIF('2月'!DE17:DF17,"荻窪ー夜勤")+COUNTIF('2月'!DJ17:DK17,"荻窪ー夜勤")+COUNTIF('2月'!DO17:DP17,"荻窪ー夜勤")+COUNTIF('2月'!DT17:DU17,"荻窪ー夜勤")+COUNTIF('2月'!DY17:DZ17,"荻窪ー夜勤")+COUNTIF('2月'!ED17:EE17,"荻窪ー夜勤")+COUNTIF('2月'!EI17:EJ17,"荻窪ー夜勤")+COUNTIF('2月'!EN17:EO17,"荻窪ー夜勤")+COUNTIF('2月'!ES17:ET17,"荻窪ー夜勤")</f>
        <v>0</v>
      </c>
      <c r="Q56" s="76">
        <f t="shared" si="19"/>
        <v>0</v>
      </c>
      <c r="R56" s="76">
        <f>COUNTIF('2月'!D17:E17,R$41)+COUNTIF('2月'!I17:J17,R$41)+COUNTIF('2月'!N17:O17,R$41)+COUNTIF('2月'!S17:T17,R$41)+COUNTIF('2月'!X17:Y17,R$41)+COUNTIF('2月'!AC17:AD17,R$41)+COUNTIF('2月'!AH17:AI17,R$41)+COUNTIF('2月'!AM17:AN17,R$41)+COUNTIF('2月'!AR17:AS17,R$41)+COUNTIF('2月'!AW17:AX17,R$41)+COUNTIF('2月'!BB17:BC17,R$41)+COUNTIF('2月'!BG17:BH17,R$41)+COUNTIF('2月'!BL17:BM17,R$41)+COUNTIF('2月'!BQ17:BR17,R$41)+COUNTIF('2月'!BV17:BW17,R$41)+COUNTIF('2月'!CA17:CB17,R$41)+COUNTIF('2月'!CF17:CG17,R$41)+COUNTIF('2月'!CK17:CL17,R$41)+COUNTIF('2月'!CP17:CQ17,R$41)+COUNTIF('2月'!CU17:CV17,R$41)+COUNTIF('2月'!CZ17:DA17,R$41)+COUNTIF('2月'!DE17:DF17,R$41)+COUNTIF('2月'!DJ17:DK17,R$41)+COUNTIF('2月'!DO17:DP17,R$41)+COUNTIF('2月'!DT17:DU17,R$41)+COUNTIF('2月'!DY17:DZ17,R$41)+COUNTIF('2月'!ED17:EE17,R$41)+COUNTIF('2月'!EI17:EJ17,R$41)+COUNTIF('2月'!EN17:EO17,R$41)+COUNTIF('2月'!ES17:ET17,R$41)</f>
        <v>0</v>
      </c>
      <c r="S56" s="76">
        <f t="shared" si="20"/>
        <v>0</v>
      </c>
      <c r="T56" s="76">
        <f>COUNTIF('2月'!D17:E17,T$41)+COUNTIF('2月'!I17:J17,T$41)+COUNTIF('2月'!N17:O17,T$41)+COUNTIF('2月'!S17:T17,T$41)+COUNTIF('2月'!X17:Y17,T$41)+COUNTIF('2月'!AC17:AD17,T$41)+COUNTIF('2月'!AH17:AI17,T$41)+COUNTIF('2月'!AM17:AN17,T$41)+COUNTIF('2月'!AR17:AS17,T$41)+COUNTIF('2月'!AW17:AX17,T$41)+COUNTIF('2月'!BB17:BC17,T$41)+COUNTIF('2月'!BG17:BH17,T$41)+COUNTIF('2月'!BL17:BM17,T$41)+COUNTIF('2月'!BQ17:BR17,T$41)+COUNTIF('2月'!BV17:BW17,T$41)+COUNTIF('2月'!CA17:CB17,T$41)+COUNTIF('2月'!CF17:CG17,T$41)+COUNTIF('2月'!CK17:CL17,T$41)+COUNTIF('2月'!CP17:CQ17,T$41)+COUNTIF('2月'!CU17:CV17,T$41)+COUNTIF('2月'!CZ17:DA17,T$41)+COUNTIF('2月'!DE17:DF17,T$41)+COUNTIF('2月'!DJ17:DK17,T$41)+COUNTIF('2月'!DO17:DP17,T$41)+COUNTIF('2月'!DT17:DU17,T$41)+COUNTIF('2月'!DY17:DZ17,T$41)+COUNTIF('2月'!ED17:EE17,T$41)+COUNTIF('2月'!EI17:EJ17,T$41)+COUNTIF('2月'!EN17:EO17,T$41)+COUNTIF('2月'!ES17:ET17,T$41)</f>
        <v>0</v>
      </c>
      <c r="U56" s="76">
        <f t="shared" si="21"/>
        <v>0</v>
      </c>
      <c r="V56" s="76">
        <f>COUNTIF('2月'!D17:E17,V$41)+COUNTIF('2月'!I17:J17,V$41)+COUNTIF('2月'!N17:O17,V$41)+COUNTIF('2月'!S17:T17,V$41)+COUNTIF('2月'!X17:Y17,V$41)+COUNTIF('2月'!AC17:AD17,V$41)+COUNTIF('2月'!AH17:AI17,V$41)+COUNTIF('2月'!AM17:AN17,V$41)+COUNTIF('2月'!AR17:AS17,V$41)+COUNTIF('2月'!AW17:AX17,V$41)+COUNTIF('2月'!BB17:BC17,V$41)+COUNTIF('2月'!BG17:BH17,V$41)+COUNTIF('2月'!BL17:BM17,V$41)+COUNTIF('2月'!BQ17:BR17,V$41)+COUNTIF('2月'!BV17:BW17,V$41)+COUNTIF('2月'!CA17:CB17,V$41)+COUNTIF('2月'!CF17:CG17,V$41)+COUNTIF('2月'!CK17:CL17,V$41)+COUNTIF('2月'!CP17:CQ17,V$41)+COUNTIF('2月'!CU17:CV17,V$41)+COUNTIF('2月'!CZ17:DA17,V$41)+COUNTIF('2月'!DE17:DF17,V$41)+COUNTIF('2月'!DJ17:DK17,V$41)+COUNTIF('2月'!DO17:DP17,V$41)+COUNTIF('2月'!DT17:DU17,V$41)+COUNTIF('2月'!DY17:DZ17,V$41)+COUNTIF('2月'!ED17:EE17,V$41)+COUNTIF('2月'!EI17:EJ17,V$41)+COUNTIF('2月'!EN17:EO17,V$41)+COUNTIF('2月'!ES17:ET17,V$41)</f>
        <v>0</v>
      </c>
      <c r="W56" s="76">
        <f t="shared" si="22"/>
        <v>0</v>
      </c>
      <c r="X56" s="76">
        <f>COUNTIF('2月'!D17:E17,X$41)+COUNTIF('2月'!I17:J17,X$41)+COUNTIF('2月'!N17:O17,X$41)+COUNTIF('2月'!S17:T17,X$41)+COUNTIF('2月'!X17:Y17,X$41)+COUNTIF('2月'!AC17:AD17,X$41)+COUNTIF('2月'!AH17:AI17,X$41)+COUNTIF('2月'!AM17:AN17,X$41)+COUNTIF('2月'!AR17:AS17,X$41)+COUNTIF('2月'!AW17:AX17,X$41)+COUNTIF('2月'!BB17:BC17,X$41)+COUNTIF('2月'!BG17:BH17,X$41)+COUNTIF('2月'!BL17:BM17,X$41)+COUNTIF('2月'!BQ17:BR17,X$41)+COUNTIF('2月'!BV17:BW17,X$41)+COUNTIF('2月'!CA17:CB17,X$41)+COUNTIF('2月'!CF17:CG17,X$41)+COUNTIF('2月'!CK17:CL17,X$41)+COUNTIF('2月'!CP17:CQ17,X$41)+COUNTIF('2月'!CU17:CV17,X$41)+COUNTIF('2月'!CZ17:DA17,X$41)+COUNTIF('2月'!DE17:DF17,X$41)+COUNTIF('2月'!DJ17:DK17,X$41)+COUNTIF('2月'!DO17:DP17,X$41)+COUNTIF('2月'!DT17:DU17,X$41)+COUNTIF('2月'!DY17:DZ17,X$41)+COUNTIF('2月'!ED17:EE17,X$41)+COUNTIF('2月'!EI17:EJ17,X$41)+COUNTIF('2月'!EN17:EO17,X$41)+COUNTIF('2月'!ES17:ET17,X$41)</f>
        <v>0</v>
      </c>
      <c r="Y56" s="76">
        <f t="shared" si="23"/>
        <v>0</v>
      </c>
    </row>
    <row r="57" spans="1:25" ht="18" customHeight="1">
      <c r="A57" s="76">
        <v>15</v>
      </c>
      <c r="B57" s="76">
        <f>COUNTIF('2月'!D18:E18,B$41)+COUNTIF('2月'!I18:J18,B$41)+COUNTIF('2月'!N18:O18,B$41)+COUNTIF('2月'!S18:T18,B$41)+COUNTIF('2月'!X18:Y18,B$41)+COUNTIF('2月'!AC18:AD18,B$41)+COUNTIF('2月'!AH18:AI18,B$41)+COUNTIF('2月'!AM18:AN18,B$41)+COUNTIF('2月'!AR18:AS18,B$41)+COUNTIF('2月'!AW18:AX18,B$41)+COUNTIF('2月'!BB18:BC18,B$41)+COUNTIF('2月'!BG18:BH18,B$41)+COUNTIF('2月'!BL18:BM18,B$41)+COUNTIF('2月'!BQ18:BR18,B$41)+COUNTIF('2月'!BV18:BW18,B$41)+COUNTIF('2月'!CA18:CB18,B$41)+COUNTIF('2月'!CF18:CG18,B$41)+COUNTIF('2月'!CK18:CL18,B$41)+COUNTIF('2月'!CP18:CQ18,B$41)+COUNTIF('2月'!CU18:CV18,B$41)+COUNTIF('2月'!CZ18:DA18,B$41)+COUNTIF('2月'!DE18:DF18,B$41)+COUNTIF('2月'!DJ18:DK18,B$41)+COUNTIF('2月'!DO18:DP18,B$41)+COUNTIF('2月'!DT18:DU18,B$41)+COUNTIF('2月'!DY18:DZ18,B$41)+COUNTIF('2月'!ED18:EE18,B$41)+COUNTIF('2月'!EI18:EJ18,B$41)+COUNTIF('2月'!EN18:EO18,B$41)+COUNTIF('2月'!ES18:ET18,B$41)</f>
        <v>0</v>
      </c>
      <c r="C57" s="76">
        <f t="shared" si="12"/>
        <v>0</v>
      </c>
      <c r="D57" s="76">
        <f>COUNTIF('2月'!D18:E18,D$41)+COUNTIF('2月'!I18:J18,D$41)+COUNTIF('2月'!N18:O18,D$41)+COUNTIF('2月'!S18:T18,D$41)+COUNTIF('2月'!X18:Y18,D$41)+COUNTIF('2月'!AC18:AD18,D$41)+COUNTIF('2月'!AH18:AI18,D$41)+COUNTIF('2月'!AM18:AN18,D$41)+COUNTIF('2月'!AR18:AS18,D$41)+COUNTIF('2月'!AW18:AX18,D$41)+COUNTIF('2月'!BB18:BC18,D$41)+COUNTIF('2月'!BG18:BH18,D$41)+COUNTIF('2月'!BL18:BM18,D$41)+COUNTIF('2月'!BQ18:BR18,D$41)+COUNTIF('2月'!BV18:BW18,D$41)+COUNTIF('2月'!CA18:CB18,D$41)+COUNTIF('2月'!CF18:CG18,D$41)+COUNTIF('2月'!CK18:CL18,D$41)+COUNTIF('2月'!CP18:CQ18,D$41)+COUNTIF('2月'!CU18:CV18,D$41)+COUNTIF('2月'!CZ18:DA18,D$41)+COUNTIF('2月'!DE18:DF18,D$41)+COUNTIF('2月'!DJ18:DK18,D$41)+COUNTIF('2月'!DO18:DP18,D$41)+COUNTIF('2月'!DT18:DU18,D$41)+COUNTIF('2月'!DY18:DZ18,D$41)+COUNTIF('2月'!ED18:EE18,D$41)+COUNTIF('2月'!EI18:EJ18,D$41)+COUNTIF('2月'!EN18:EO18,D$41)+COUNTIF('2月'!ES18:ET18,D$41)</f>
        <v>0</v>
      </c>
      <c r="E57" s="76">
        <f t="shared" si="13"/>
        <v>0</v>
      </c>
      <c r="F57" s="76">
        <f>COUNTIF('2月'!D18:E18,F$41)+COUNTIF('2月'!I18:J18,F$41)+COUNTIF('2月'!N18:O18,F$41)+COUNTIF('2月'!S18:T18,F$41)+COUNTIF('2月'!X18:Y18,F$41)+COUNTIF('2月'!AC18:AD18,F$41)+COUNTIF('2月'!AH18:AI18,F$41)+COUNTIF('2月'!AM18:AN18,F$41)+COUNTIF('2月'!AR18:AS18,F$41)+COUNTIF('2月'!AW18:AX18,F$41)+COUNTIF('2月'!BB18:BC18,F$41)+COUNTIF('2月'!BG18:BH18,F$41)+COUNTIF('2月'!BL18:BM18,F$41)+COUNTIF('2月'!BQ18:BR18,F$41)+COUNTIF('2月'!BV18:BW18,F$41)+COUNTIF('2月'!CA18:CB18,F$41)+COUNTIF('2月'!CF18:CG18,F$41)+COUNTIF('2月'!CK18:CL18,F$41)+COUNTIF('2月'!CP18:CQ18,F$41)+COUNTIF('2月'!CU18:CV18,F$41)+COUNTIF('2月'!CZ18:DA18,F$41)+COUNTIF('2月'!DE18:DF18,F$41)+COUNTIF('2月'!DJ18:DK18,F$41)+COUNTIF('2月'!DO18:DP18,F$41)+COUNTIF('2月'!DT18:DU18,F$41)+COUNTIF('2月'!DY18:DZ18,F$41)+COUNTIF('2月'!ED18:EE18,F$41)+COUNTIF('2月'!EI18:EJ18,F$41)+COUNTIF('2月'!EN18:EO18,F$41)+COUNTIF('2月'!ES18:ET18,F$41)</f>
        <v>0</v>
      </c>
      <c r="G57" s="76">
        <f t="shared" si="14"/>
        <v>0</v>
      </c>
      <c r="H57" s="76">
        <f>COUNTIF('2月'!D18:E18,H$41)+COUNTIF('2月'!I18:J18,H$41)+COUNTIF('2月'!N18:O18,H$41)+COUNTIF('2月'!S18:T18,H$41)+COUNTIF('2月'!X18:Y18,H$41)+COUNTIF('2月'!AC18:AD18,H$41)+COUNTIF('2月'!AH18:AI18,H$41)+COUNTIF('2月'!AM18:AN18,H$41)+COUNTIF('2月'!AR18:AS18,H$41)+COUNTIF('2月'!AW18:AX18,H$41)+COUNTIF('2月'!BB18:BC18,H$41)+COUNTIF('2月'!BG18:BH18,H$41)+COUNTIF('2月'!BL18:BM18,H$41)+COUNTIF('2月'!BQ18:BR18,H$41)+COUNTIF('2月'!BV18:BW18,H$41)+COUNTIF('2月'!CA18:CB18,H$41)+COUNTIF('2月'!CF18:CG18,H$41)+COUNTIF('2月'!CK18:CL18,H$41)+COUNTIF('2月'!CP18:CQ18,H$41)+COUNTIF('2月'!CU18:CV18,H$41)+COUNTIF('2月'!CZ18:DA18,H$41)+COUNTIF('2月'!DE18:DF18,H$41)+COUNTIF('2月'!DJ18:DK18,H$41)+COUNTIF('2月'!DO18:DP18,H$41)+COUNTIF('2月'!DT18:DU18,H$41)+COUNTIF('2月'!DY18:DZ18,H$41)+COUNTIF('2月'!ED18:EE18,H$41)+COUNTIF('2月'!EI18:EJ18,H$41)+COUNTIF('2月'!EN18:EO18,H$41)+COUNTIF('2月'!ES18:ET18,H$41)+COUNTIF('2月'!D18:E18,"渋谷-夜勤")+COUNTIF('2月'!I18:J18,"渋谷-夜勤")+COUNTIF('2月'!N18:O18,"渋谷-夜勤")+COUNTIF('2月'!S18:T18,"渋谷-夜勤")+COUNTIF('2月'!X18:Y18,"渋谷-夜勤")+COUNTIF('2月'!AC18:AD18,"渋谷-夜勤")+COUNTIF('2月'!AH18:AI18,"渋谷-夜勤")+COUNTIF('2月'!AM18:AN18,"渋谷-夜勤")+COUNTIF('2月'!AR18:AS18,"渋谷-夜勤")+COUNTIF('2月'!AW18:AX18,"渋谷-夜勤")+COUNTIF('2月'!BB18:BC18,"渋谷-夜勤")+COUNTIF('2月'!BG18:BH18,"渋谷-夜勤")+COUNTIF('2月'!BL18:BM18,"渋谷-夜勤")+COUNTIF('2月'!BQ18:BR18,"渋谷-夜勤")+COUNTIF('2月'!BV18:BW18,"渋谷-夜勤")+COUNTIF('2月'!CA18:CB18,"渋谷-夜勤")+COUNTIF('2月'!CF18:CG18,"渋谷-夜勤")+COUNTIF('2月'!CK18:CL18,"渋谷-夜勤")+COUNTIF('2月'!CP18:CQ18,"渋谷-夜勤")+COUNTIF('2月'!CU18:CV18,"渋谷-夜勤")+COUNTIF('2月'!CZ18:DA18,"渋谷-夜勤")+COUNTIF('2月'!DE18:DF18,"渋谷-夜勤")+COUNTIF('2月'!DJ18:DK18,"渋谷-夜勤")+COUNTIF('2月'!DO18:DP18,"渋谷-夜勤")+COUNTIF('2月'!DT18:DU18,"渋谷-夜勤")+COUNTIF('2月'!DY18:DZ18,"渋谷-夜勤")+COUNTIF('2月'!ED18:EE18,"渋谷-夜勤")+COUNTIF('2月'!EI18:EJ18,"渋谷-夜勤")+COUNTIF('2月'!EN18:EO18,"渋谷-夜勤")+COUNTIF('2月'!ES18:ET18,"渋谷-夜勤")</f>
        <v>0</v>
      </c>
      <c r="I57" s="76">
        <f t="shared" si="15"/>
        <v>0</v>
      </c>
      <c r="J57" s="76">
        <f>COUNTIF('2月'!D18:E18,J$41)+COUNTIF('2月'!I18:J18,J$41)+COUNTIF('2月'!N18:O18,J$41)+COUNTIF('2月'!S18:T18,J$41)+COUNTIF('2月'!X18:Y18,J$41)+COUNTIF('2月'!AC18:AD18,J$41)+COUNTIF('2月'!AH18:AI18,J$41)+COUNTIF('2月'!AM18:AN18,J$41)+COUNTIF('2月'!AR18:AS18,J$41)+COUNTIF('2月'!AW18:AX18,J$41)+COUNTIF('2月'!BB18:BC18,J$41)+COUNTIF('2月'!BG18:BH18,J$41)+COUNTIF('2月'!BL18:BM18,J$41)+COUNTIF('2月'!BQ18:BR18,J$41)+COUNTIF('2月'!BV18:BW18,J$41)+COUNTIF('2月'!CA18:CB18,J$41)+COUNTIF('2月'!CF18:CG18,J$41)+COUNTIF('2月'!CK18:CL18,J$41)+COUNTIF('2月'!CP18:CQ18,J$41)+COUNTIF('2月'!CU18:CV18,J$41)+COUNTIF('2月'!CZ18:DA18,J$41)+COUNTIF('2月'!DE18:DF18,J$41)+COUNTIF('2月'!DJ18:DK18,J$41)+COUNTIF('2月'!DO18:DP18,J$41)+COUNTIF('2月'!DT18:DU18,J$41)+COUNTIF('2月'!DY18:DZ18,J$41)+COUNTIF('2月'!ED18:EE18,J$41)+COUNTIF('2月'!EI18:EJ18,J$41)+COUNTIF('2月'!EN18:EO18,J$41)+COUNTIF('2月'!ES18:ET18,J$41)+COUNTIF('2月'!D18:E18,"六本木-夜勤")+COUNTIF('2月'!I18:J18,"六本木-夜勤")+COUNTIF('2月'!N18:O18,"六本木-夜勤")+COUNTIF('2月'!S18:T18,"六本木-夜勤")+COUNTIF('2月'!X18:Y18,"六本木-夜勤")+COUNTIF('2月'!AC18:AD18,"六本木-夜勤")+COUNTIF('2月'!AH18:AI18,"六本木-夜勤")+COUNTIF('2月'!AM18:AN18,"六本木-夜勤")+COUNTIF('2月'!AR18:AS18,"六本木-夜勤")+COUNTIF('2月'!AW18:AX18,"六本木-夜勤")+COUNTIF('2月'!BB18:BC18,"六本木-夜勤")+COUNTIF('2月'!BG18:BH18,"六本木-夜勤")+COUNTIF('2月'!BL18:BM18,"六本木-夜勤")+COUNTIF('2月'!BQ18:BR18,"六本木-夜勤")+COUNTIF('2月'!BV18:BW18,"六本木-夜勤")+COUNTIF('2月'!CA18:CB18,"六本木-夜勤")+COUNTIF('2月'!CF18:CG18,"六本木-夜勤")+COUNTIF('2月'!CK18:CL18,"六本木-夜勤")+COUNTIF('2月'!CP18:CQ18,"六本木-夜勤")+COUNTIF('2月'!CU18:CV18,"六本木-夜勤")+COUNTIF('2月'!CZ18:DA18,"六本木-夜勤")+COUNTIF('2月'!DE18:DF18,"六本木-夜勤")+COUNTIF('2月'!DJ18:DK18,"六本木-夜勤")+COUNTIF('2月'!DO18:DP18,"六本木-夜勤")+COUNTIF('2月'!DT18:DU18,"六本木-夜勤")+COUNTIF('2月'!DY18:DZ18,"六本木-夜勤")+COUNTIF('2月'!ED18:EE18,"六本木-夜勤")+COUNTIF('2月'!EI18:EJ18,"六本木-夜勤")+COUNTIF('2月'!EN18:EO18,"六本木-夜勤")+COUNTIF('2月'!ES18:ET18,"六本木-夜勤")+COUNTIF('2月'!D18:E18,"六本木ー夜勤")+COUNTIF('2月'!I18:J18,"六本木ー夜勤")+COUNTIF('2月'!N18:O18,"六本木ー夜勤")+COUNTIF('2月'!S18:T18,"六本木ー夜勤")+COUNTIF('2月'!X18:Y18,"六本木ー夜勤")+COUNTIF('2月'!AC18:AD18,"六本木ー夜勤")+COUNTIF('2月'!AH18:AI18,"六本木ー夜勤")+COUNTIF('2月'!AM18:AN18,"六本木ー夜勤")+COUNTIF('2月'!AR18:AS18,"六本木ー夜勤")+COUNTIF('2月'!AW18:AX18,"六本木ー夜勤")+COUNTIF('2月'!BB18:BC18,"六本木ー夜勤")+COUNTIF('2月'!BG18:BH18,"六本木ー夜勤")+COUNTIF('2月'!BL18:BM18,"六本木ー夜勤")+COUNTIF('2月'!BQ18:BR18,"六本木ー夜勤")+COUNTIF('2月'!BV18:BW18,"六本木ー夜勤")+COUNTIF('2月'!CA18:CB18,"六本木ー夜勤")+COUNTIF('2月'!CF18:CG18,"六本木ー夜勤")+COUNTIF('2月'!CK18:CL18,"六本木ー夜勤")+COUNTIF('2月'!CP18:CQ18,"六本木ー夜勤")+COUNTIF('2月'!CU18:CV18,"六本木ー夜勤")+COUNTIF('2月'!CZ18:DA18,"六本木ー夜勤")+COUNTIF('2月'!DE18:DF18,"六本木ー夜勤")+COUNTIF('2月'!DJ18:DK18,"六本木ー夜勤")+COUNTIF('2月'!DO18:DP18,"六本木ー夜勤")+COUNTIF('2月'!DT18:DU18,"六本木ー夜勤")+COUNTIF('2月'!DY18:DZ18,"六本木ー夜勤")+COUNTIF('2月'!ED18:EE18,"六本木ー夜勤")+COUNTIF('2月'!EI18:EJ18,"六本木ー夜勤")+COUNTIF('2月'!EN18:EO18,"六本木ー夜勤")+COUNTIF('2月'!ES18:ET18,"六本木ー夜勤")</f>
        <v>0</v>
      </c>
      <c r="K57" s="76">
        <f t="shared" si="16"/>
        <v>0</v>
      </c>
      <c r="L57" s="76">
        <f>COUNTIF('2月'!D18:E18,L$41)+COUNTIF('2月'!I18:J18,L$41)+COUNTIF('2月'!N18:O18,L$41)+COUNTIF('2月'!S18:T18,L$41)+COUNTIF('2月'!X18:Y18,L$41)+COUNTIF('2月'!AC18:AD18,L$41)+COUNTIF('2月'!AH18:AI18,L$41)+COUNTIF('2月'!AM18:AN18,L$41)+COUNTIF('2月'!AR18:AS18,L$41)+COUNTIF('2月'!AW18:AX18,L$41)+COUNTIF('2月'!BB18:BC18,L$41)+COUNTIF('2月'!BG18:BH18,L$41)+COUNTIF('2月'!BL18:BM18,L$41)+COUNTIF('2月'!BQ18:BR18,L$41)+COUNTIF('2月'!BV18:BW18,L$41)+COUNTIF('2月'!CA18:CB18,L$41)+COUNTIF('2月'!CF18:CG18,L$41)+COUNTIF('2月'!CK18:CL18,L$41)+COUNTIF('2月'!CP18:CQ18,L$41)+COUNTIF('2月'!CU18:CV18,L$41)+COUNTIF('2月'!CZ18:DA18,L$41)+COUNTIF('2月'!DE18:DF18,L$41)+COUNTIF('2月'!DJ18:DK18,L$41)+COUNTIF('2月'!DO18:DP18,L$41)+COUNTIF('2月'!DT18:DU18,L$41)+COUNTIF('2月'!DY18:DZ18,L$41)+COUNTIF('2月'!ED18:EE18,L$41)+COUNTIF('2月'!EI18:EJ18,L$41)+COUNTIF('2月'!EN18:EO18,L$41)+COUNTIF('2月'!ES18:ET18,L$41)</f>
        <v>0</v>
      </c>
      <c r="M57" s="76">
        <f t="shared" si="17"/>
        <v>0</v>
      </c>
      <c r="N57" s="76">
        <f>COUNTIF('2月'!D18:E18,N$41)+COUNTIF('2月'!I18:J18,N$41)+COUNTIF('2月'!N18:O18,N$41)+COUNTIF('2月'!S18:T18,N$41)+COUNTIF('2月'!X18:Y18,N$41)+COUNTIF('2月'!AC18:AD18,N$41)+COUNTIF('2月'!AH18:AI18,N$41)+COUNTIF('2月'!AM18:AN18,N$41)+COUNTIF('2月'!AR18:AS18,N$41)+COUNTIF('2月'!AW18:AX18,N$41)+COUNTIF('2月'!BB18:BC18,N$41)+COUNTIF('2月'!BG18:BH18,N$41)+COUNTIF('2月'!BL18:BM18,N$41)+COUNTIF('2月'!BQ18:BR18,N$41)+COUNTIF('2月'!BV18:BW18,N$41)+COUNTIF('2月'!CA18:CB18,N$41)+COUNTIF('2月'!CF18:CG18,N$41)+COUNTIF('2月'!CK18:CL18,N$41)+COUNTIF('2月'!CP18:CQ18,N$41)+COUNTIF('2月'!CU18:CV18,N$41)+COUNTIF('2月'!CZ18:DA18,N$41)+COUNTIF('2月'!DE18:DF18,N$41)+COUNTIF('2月'!DJ18:DK18,N$41)+COUNTIF('2月'!DO18:DP18,N$41)+COUNTIF('2月'!DT18:DU18,N$41)+COUNTIF('2月'!DY18:DZ18,N$41)+COUNTIF('2月'!ED18:EE18,N$41)+COUNTIF('2月'!EI18:EJ18,N$41)+COUNTIF('2月'!EN18:EO18,N$41)+COUNTIF('2月'!ES18:ET18,N$41)+COUNTIF('2月'!D18:E18,"三軒茶屋－夜勤")+COUNTIF('2月'!I18:J18,"三軒茶屋－夜勤")+COUNTIF('2月'!N18:O18,"三軒茶屋－夜勤")+COUNTIF('2月'!S18:T18,"三軒茶屋－夜勤")+COUNTIF('2月'!X18:Y18,"三軒茶屋－夜勤")+COUNTIF('2月'!AC18:AD18,"三軒茶屋－夜勤")+COUNTIF('2月'!AH18:AI18,"三軒茶屋－夜勤")+COUNTIF('2月'!AM18:AN18,"三軒茶屋－夜勤")+COUNTIF('2月'!AR18:AS18,"三軒茶屋－夜勤")+COUNTIF('2月'!AW18:AX18,"三軒茶屋－夜勤")+COUNTIF('2月'!BB18:BC18,"三軒茶屋－夜勤")+COUNTIF('2月'!BG18:BH18,"三軒茶屋－夜勤")+COUNTIF('2月'!BL18:BM18,"三軒茶屋－夜勤")+COUNTIF('2月'!BQ18:BR18,"三軒茶屋－夜勤")+COUNTIF('2月'!BV18:BW18,"三軒茶屋－夜勤")+COUNTIF('2月'!CA18:CB18,"三軒茶屋－夜勤")+COUNTIF('2月'!CF18:CG18,"三軒茶屋－夜勤")+COUNTIF('2月'!CK18:CL18,"三軒茶屋－夜勤")+COUNTIF('2月'!CP18:CQ18,"三軒茶屋－夜勤")+COUNTIF('2月'!CU18:CV18,"三軒茶屋－夜勤")+COUNTIF('2月'!CZ18:DA18,"三軒茶屋－夜勤")+COUNTIF('2月'!DE18:DF18,"三軒茶屋－夜勤")+COUNTIF('2月'!DJ18:DK18,"三軒茶屋－夜勤")+COUNTIF('2月'!DO18:DP18,"三軒茶屋－夜勤")+COUNTIF('2月'!DT18:DU18,"三軒茶屋－夜勤")+COUNTIF('2月'!DY18:DZ18,"三軒茶屋－夜勤")+COUNTIF('2月'!ED18:EE18,"三軒茶屋－夜勤")+COUNTIF('2月'!EI18:EJ18,"三軒茶屋－夜勤")+COUNTIF('2月'!EN18:EO18,"三軒茶屋－夜勤")+COUNTIF('2月'!ES18:ET18,"三軒茶屋－夜勤")</f>
        <v>0</v>
      </c>
      <c r="O57" s="76">
        <f t="shared" si="18"/>
        <v>0</v>
      </c>
      <c r="P57" s="76">
        <f>COUNTIF('2月'!D18:E18,P$41)+COUNTIF('2月'!I18:J18,P$41)+COUNTIF('2月'!N18:O18,P$41)+COUNTIF('2月'!S18:T18,P$41)+COUNTIF('2月'!X18:Y18,P$41)+COUNTIF('2月'!AC18:AD18,P$41)+COUNTIF('2月'!AH18:AI18,P$41)+COUNTIF('2月'!AM18:AN18,P$41)+COUNTIF('2月'!AR18:AS18,P$41)+COUNTIF('2月'!AW18:AX18,P$41)+COUNTIF('2月'!BB18:BC18,P$41)+COUNTIF('2月'!BG18:BH18,P$41)+COUNTIF('2月'!BL18:BM18,P$41)+COUNTIF('2月'!BQ18:BR18,P$41)+COUNTIF('2月'!BV18:BW18,P$41)+COUNTIF('2月'!CA18:CB18,P$41)+COUNTIF('2月'!CF18:CG18,P$41)+COUNTIF('2月'!CK18:CL18,P$41)+COUNTIF('2月'!CP18:CQ18,P$41)+COUNTIF('2月'!CU18:CV18,P$41)+COUNTIF('2月'!CZ18:DA18,P$41)+COUNTIF('2月'!DE18:DF18,P$41)+COUNTIF('2月'!DJ18:DK18,P$41)+COUNTIF('2月'!DO18:DP18,P$41)+COUNTIF('2月'!DT18:DU18,P$41)+COUNTIF('2月'!DY18:DZ18,P$41)+COUNTIF('2月'!ED18:EE18,P$41)+COUNTIF('2月'!EI18:EJ18,P$41)+COUNTIF('2月'!EN18:EO18,P$41)+COUNTIF('2月'!ES18:ET18,P$41)+COUNTIF('2月'!D18:E18,"荻窪ー夜勤")+COUNTIF('2月'!I18:J18,"荻窪ー夜勤")+COUNTIF('2月'!N18:O18,"荻窪ー夜勤")+COUNTIF('2月'!S18:T18,"荻窪ー夜勤")+COUNTIF('2月'!X18:Y18,"荻窪ー夜勤")+COUNTIF('2月'!AC18:AD18,"荻窪ー夜勤")+COUNTIF('2月'!AH18:AI18,"荻窪ー夜勤")+COUNTIF('2月'!AM18:AN18,"荻窪ー夜勤")+COUNTIF('2月'!AR18:AS18,"荻窪ー夜勤")+COUNTIF('2月'!AW18:AX18,"荻窪ー夜勤")+COUNTIF('2月'!BB18:BC18,"荻窪ー夜勤")+COUNTIF('2月'!BG18:BH18,"荻窪ー夜勤")+COUNTIF('2月'!BL18:BM18,"荻窪ー夜勤")+COUNTIF('2月'!BQ18:BR18,"荻窪ー夜勤")+COUNTIF('2月'!BV18:BW18,"荻窪ー夜勤")+COUNTIF('2月'!CA18:CB18,"荻窪ー夜勤")+COUNTIF('2月'!CF18:CG18,"荻窪ー夜勤")+COUNTIF('2月'!CK18:CL18,"荻窪ー夜勤")+COUNTIF('2月'!CP18:CQ18,"荻窪ー夜勤")+COUNTIF('2月'!CU18:CV18,"荻窪ー夜勤")+COUNTIF('2月'!CZ18:DA18,"荻窪ー夜勤")+COUNTIF('2月'!DE18:DF18,"荻窪ー夜勤")+COUNTIF('2月'!DJ18:DK18,"荻窪ー夜勤")+COUNTIF('2月'!DO18:DP18,"荻窪ー夜勤")+COUNTIF('2月'!DT18:DU18,"荻窪ー夜勤")+COUNTIF('2月'!DY18:DZ18,"荻窪ー夜勤")+COUNTIF('2月'!ED18:EE18,"荻窪ー夜勤")+COUNTIF('2月'!EI18:EJ18,"荻窪ー夜勤")+COUNTIF('2月'!EN18:EO18,"荻窪ー夜勤")+COUNTIF('2月'!ES18:ET18,"荻窪ー夜勤")</f>
        <v>0</v>
      </c>
      <c r="Q57" s="76">
        <f t="shared" si="19"/>
        <v>0</v>
      </c>
      <c r="R57" s="76">
        <f>COUNTIF('2月'!D18:E18,R$41)+COUNTIF('2月'!I18:J18,R$41)+COUNTIF('2月'!N18:O18,R$41)+COUNTIF('2月'!S18:T18,R$41)+COUNTIF('2月'!X18:Y18,R$41)+COUNTIF('2月'!AC18:AD18,R$41)+COUNTIF('2月'!AH18:AI18,R$41)+COUNTIF('2月'!AM18:AN18,R$41)+COUNTIF('2月'!AR18:AS18,R$41)+COUNTIF('2月'!AW18:AX18,R$41)+COUNTIF('2月'!BB18:BC18,R$41)+COUNTIF('2月'!BG18:BH18,R$41)+COUNTIF('2月'!BL18:BM18,R$41)+COUNTIF('2月'!BQ18:BR18,R$41)+COUNTIF('2月'!BV18:BW18,R$41)+COUNTIF('2月'!CA18:CB18,R$41)+COUNTIF('2月'!CF18:CG18,R$41)+COUNTIF('2月'!CK18:CL18,R$41)+COUNTIF('2月'!CP18:CQ18,R$41)+COUNTIF('2月'!CU18:CV18,R$41)+COUNTIF('2月'!CZ18:DA18,R$41)+COUNTIF('2月'!DE18:DF18,R$41)+COUNTIF('2月'!DJ18:DK18,R$41)+COUNTIF('2月'!DO18:DP18,R$41)+COUNTIF('2月'!DT18:DU18,R$41)+COUNTIF('2月'!DY18:DZ18,R$41)+COUNTIF('2月'!ED18:EE18,R$41)+COUNTIF('2月'!EI18:EJ18,R$41)+COUNTIF('2月'!EN18:EO18,R$41)+COUNTIF('2月'!ES18:ET18,R$41)</f>
        <v>0</v>
      </c>
      <c r="S57" s="76">
        <f t="shared" si="20"/>
        <v>0</v>
      </c>
      <c r="T57" s="76">
        <f>COUNTIF('2月'!D18:E18,T$41)+COUNTIF('2月'!I18:J18,T$41)+COUNTIF('2月'!N18:O18,T$41)+COUNTIF('2月'!S18:T18,T$41)+COUNTIF('2月'!X18:Y18,T$41)+COUNTIF('2月'!AC18:AD18,T$41)+COUNTIF('2月'!AH18:AI18,T$41)+COUNTIF('2月'!AM18:AN18,T$41)+COUNTIF('2月'!AR18:AS18,T$41)+COUNTIF('2月'!AW18:AX18,T$41)+COUNTIF('2月'!BB18:BC18,T$41)+COUNTIF('2月'!BG18:BH18,T$41)+COUNTIF('2月'!BL18:BM18,T$41)+COUNTIF('2月'!BQ18:BR18,T$41)+COUNTIF('2月'!BV18:BW18,T$41)+COUNTIF('2月'!CA18:CB18,T$41)+COUNTIF('2月'!CF18:CG18,T$41)+COUNTIF('2月'!CK18:CL18,T$41)+COUNTIF('2月'!CP18:CQ18,T$41)+COUNTIF('2月'!CU18:CV18,T$41)+COUNTIF('2月'!CZ18:DA18,T$41)+COUNTIF('2月'!DE18:DF18,T$41)+COUNTIF('2月'!DJ18:DK18,T$41)+COUNTIF('2月'!DO18:DP18,T$41)+COUNTIF('2月'!DT18:DU18,T$41)+COUNTIF('2月'!DY18:DZ18,T$41)+COUNTIF('2月'!ED18:EE18,T$41)+COUNTIF('2月'!EI18:EJ18,T$41)+COUNTIF('2月'!EN18:EO18,T$41)+COUNTIF('2月'!ES18:ET18,T$41)</f>
        <v>0</v>
      </c>
      <c r="U57" s="76">
        <f t="shared" si="21"/>
        <v>0</v>
      </c>
      <c r="V57" s="76">
        <f>COUNTIF('2月'!D18:E18,V$41)+COUNTIF('2月'!I18:J18,V$41)+COUNTIF('2月'!N18:O18,V$41)+COUNTIF('2月'!S18:T18,V$41)+COUNTIF('2月'!X18:Y18,V$41)+COUNTIF('2月'!AC18:AD18,V$41)+COUNTIF('2月'!AH18:AI18,V$41)+COUNTIF('2月'!AM18:AN18,V$41)+COUNTIF('2月'!AR18:AS18,V$41)+COUNTIF('2月'!AW18:AX18,V$41)+COUNTIF('2月'!BB18:BC18,V$41)+COUNTIF('2月'!BG18:BH18,V$41)+COUNTIF('2月'!BL18:BM18,V$41)+COUNTIF('2月'!BQ18:BR18,V$41)+COUNTIF('2月'!BV18:BW18,V$41)+COUNTIF('2月'!CA18:CB18,V$41)+COUNTIF('2月'!CF18:CG18,V$41)+COUNTIF('2月'!CK18:CL18,V$41)+COUNTIF('2月'!CP18:CQ18,V$41)+COUNTIF('2月'!CU18:CV18,V$41)+COUNTIF('2月'!CZ18:DA18,V$41)+COUNTIF('2月'!DE18:DF18,V$41)+COUNTIF('2月'!DJ18:DK18,V$41)+COUNTIF('2月'!DO18:DP18,V$41)+COUNTIF('2月'!DT18:DU18,V$41)+COUNTIF('2月'!DY18:DZ18,V$41)+COUNTIF('2月'!ED18:EE18,V$41)+COUNTIF('2月'!EI18:EJ18,V$41)+COUNTIF('2月'!EN18:EO18,V$41)+COUNTIF('2月'!ES18:ET18,V$41)</f>
        <v>0</v>
      </c>
      <c r="W57" s="76">
        <f t="shared" si="22"/>
        <v>0</v>
      </c>
      <c r="X57" s="76">
        <f>COUNTIF('2月'!D18:E18,X$41)+COUNTIF('2月'!I18:J18,X$41)+COUNTIF('2月'!N18:O18,X$41)+COUNTIF('2月'!S18:T18,X$41)+COUNTIF('2月'!X18:Y18,X$41)+COUNTIF('2月'!AC18:AD18,X$41)+COUNTIF('2月'!AH18:AI18,X$41)+COUNTIF('2月'!AM18:AN18,X$41)+COUNTIF('2月'!AR18:AS18,X$41)+COUNTIF('2月'!AW18:AX18,X$41)+COUNTIF('2月'!BB18:BC18,X$41)+COUNTIF('2月'!BG18:BH18,X$41)+COUNTIF('2月'!BL18:BM18,X$41)+COUNTIF('2月'!BQ18:BR18,X$41)+COUNTIF('2月'!BV18:BW18,X$41)+COUNTIF('2月'!CA18:CB18,X$41)+COUNTIF('2月'!CF18:CG18,X$41)+COUNTIF('2月'!CK18:CL18,X$41)+COUNTIF('2月'!CP18:CQ18,X$41)+COUNTIF('2月'!CU18:CV18,X$41)+COUNTIF('2月'!CZ18:DA18,X$41)+COUNTIF('2月'!DE18:DF18,X$41)+COUNTIF('2月'!DJ18:DK18,X$41)+COUNTIF('2月'!DO18:DP18,X$41)+COUNTIF('2月'!DT18:DU18,X$41)+COUNTIF('2月'!DY18:DZ18,X$41)+COUNTIF('2月'!ED18:EE18,X$41)+COUNTIF('2月'!EI18:EJ18,X$41)+COUNTIF('2月'!EN18:EO18,X$41)+COUNTIF('2月'!ES18:ET18,X$41)</f>
        <v>0</v>
      </c>
      <c r="Y57" s="76">
        <f t="shared" si="23"/>
        <v>0</v>
      </c>
    </row>
    <row r="58" spans="1:25" ht="18" customHeight="1">
      <c r="A58" s="76">
        <v>16</v>
      </c>
      <c r="B58" s="76">
        <f>COUNTIF('2月'!D19:E19,B$41)+COUNTIF('2月'!I19:J19,B$41)+COUNTIF('2月'!N19:O19,B$41)+COUNTIF('2月'!S19:T19,B$41)+COUNTIF('2月'!X19:Y19,B$41)+COUNTIF('2月'!AC19:AD19,B$41)+COUNTIF('2月'!AH19:AI19,B$41)+COUNTIF('2月'!AM19:AN19,B$41)+COUNTIF('2月'!AR19:AS19,B$41)+COUNTIF('2月'!AW19:AX19,B$41)+COUNTIF('2月'!BB19:BC19,B$41)+COUNTIF('2月'!BG19:BH19,B$41)+COUNTIF('2月'!BL19:BM19,B$41)+COUNTIF('2月'!BQ19:BR19,B$41)+COUNTIF('2月'!BV19:BW19,B$41)+COUNTIF('2月'!CA19:CB19,B$41)+COUNTIF('2月'!CF19:CG19,B$41)+COUNTIF('2月'!CK19:CL19,B$41)+COUNTIF('2月'!CP19:CQ19,B$41)+COUNTIF('2月'!CU19:CV19,B$41)+COUNTIF('2月'!CZ19:DA19,B$41)+COUNTIF('2月'!DE19:DF19,B$41)+COUNTIF('2月'!DJ19:DK19,B$41)+COUNTIF('2月'!DO19:DP19,B$41)+COUNTIF('2月'!DT19:DU19,B$41)+COUNTIF('2月'!DY19:DZ19,B$41)+COUNTIF('2月'!ED19:EE19,B$41)+COUNTIF('2月'!EI19:EJ19,B$41)+COUNTIF('2月'!EN19:EO19,B$41)+COUNTIF('2月'!ES19:ET19,B$41)</f>
        <v>0</v>
      </c>
      <c r="C58" s="76">
        <f t="shared" si="12"/>
        <v>0</v>
      </c>
      <c r="D58" s="76">
        <f>COUNTIF('2月'!D19:E19,D$41)+COUNTIF('2月'!I19:J19,D$41)+COUNTIF('2月'!N19:O19,D$41)+COUNTIF('2月'!S19:T19,D$41)+COUNTIF('2月'!X19:Y19,D$41)+COUNTIF('2月'!AC19:AD19,D$41)+COUNTIF('2月'!AH19:AI19,D$41)+COUNTIF('2月'!AM19:AN19,D$41)+COUNTIF('2月'!AR19:AS19,D$41)+COUNTIF('2月'!AW19:AX19,D$41)+COUNTIF('2月'!BB19:BC19,D$41)+COUNTIF('2月'!BG19:BH19,D$41)+COUNTIF('2月'!BL19:BM19,D$41)+COUNTIF('2月'!BQ19:BR19,D$41)+COUNTIF('2月'!BV19:BW19,D$41)+COUNTIF('2月'!CA19:CB19,D$41)+COUNTIF('2月'!CF19:CG19,D$41)+COUNTIF('2月'!CK19:CL19,D$41)+COUNTIF('2月'!CP19:CQ19,D$41)+COUNTIF('2月'!CU19:CV19,D$41)+COUNTIF('2月'!CZ19:DA19,D$41)+COUNTIF('2月'!DE19:DF19,D$41)+COUNTIF('2月'!DJ19:DK19,D$41)+COUNTIF('2月'!DO19:DP19,D$41)+COUNTIF('2月'!DT19:DU19,D$41)+COUNTIF('2月'!DY19:DZ19,D$41)+COUNTIF('2月'!ED19:EE19,D$41)+COUNTIF('2月'!EI19:EJ19,D$41)+COUNTIF('2月'!EN19:EO19,D$41)+COUNTIF('2月'!ES19:ET19,D$41)</f>
        <v>0</v>
      </c>
      <c r="E58" s="76">
        <f t="shared" si="13"/>
        <v>0</v>
      </c>
      <c r="F58" s="76">
        <f>COUNTIF('2月'!D19:E19,F$41)+COUNTIF('2月'!I19:J19,F$41)+COUNTIF('2月'!N19:O19,F$41)+COUNTIF('2月'!S19:T19,F$41)+COUNTIF('2月'!X19:Y19,F$41)+COUNTIF('2月'!AC19:AD19,F$41)+COUNTIF('2月'!AH19:AI19,F$41)+COUNTIF('2月'!AM19:AN19,F$41)+COUNTIF('2月'!AR19:AS19,F$41)+COUNTIF('2月'!AW19:AX19,F$41)+COUNTIF('2月'!BB19:BC19,F$41)+COUNTIF('2月'!BG19:BH19,F$41)+COUNTIF('2月'!BL19:BM19,F$41)+COUNTIF('2月'!BQ19:BR19,F$41)+COUNTIF('2月'!BV19:BW19,F$41)+COUNTIF('2月'!CA19:CB19,F$41)+COUNTIF('2月'!CF19:CG19,F$41)+COUNTIF('2月'!CK19:CL19,F$41)+COUNTIF('2月'!CP19:CQ19,F$41)+COUNTIF('2月'!CU19:CV19,F$41)+COUNTIF('2月'!CZ19:DA19,F$41)+COUNTIF('2月'!DE19:DF19,F$41)+COUNTIF('2月'!DJ19:DK19,F$41)+COUNTIF('2月'!DO19:DP19,F$41)+COUNTIF('2月'!DT19:DU19,F$41)+COUNTIF('2月'!DY19:DZ19,F$41)+COUNTIF('2月'!ED19:EE19,F$41)+COUNTIF('2月'!EI19:EJ19,F$41)+COUNTIF('2月'!EN19:EO19,F$41)+COUNTIF('2月'!ES19:ET19,F$41)</f>
        <v>0</v>
      </c>
      <c r="G58" s="76">
        <f t="shared" si="14"/>
        <v>0</v>
      </c>
      <c r="H58" s="76">
        <f>COUNTIF('2月'!D19:E19,H$41)+COUNTIF('2月'!I19:J19,H$41)+COUNTIF('2月'!N19:O19,H$41)+COUNTIF('2月'!S19:T19,H$41)+COUNTIF('2月'!X19:Y19,H$41)+COUNTIF('2月'!AC19:AD19,H$41)+COUNTIF('2月'!AH19:AI19,H$41)+COUNTIF('2月'!AM19:AN19,H$41)+COUNTIF('2月'!AR19:AS19,H$41)+COUNTIF('2月'!AW19:AX19,H$41)+COUNTIF('2月'!BB19:BC19,H$41)+COUNTIF('2月'!BG19:BH19,H$41)+COUNTIF('2月'!BL19:BM19,H$41)+COUNTIF('2月'!BQ19:BR19,H$41)+COUNTIF('2月'!BV19:BW19,H$41)+COUNTIF('2月'!CA19:CB19,H$41)+COUNTIF('2月'!CF19:CG19,H$41)+COUNTIF('2月'!CK19:CL19,H$41)+COUNTIF('2月'!CP19:CQ19,H$41)+COUNTIF('2月'!CU19:CV19,H$41)+COUNTIF('2月'!CZ19:DA19,H$41)+COUNTIF('2月'!DE19:DF19,H$41)+COUNTIF('2月'!DJ19:DK19,H$41)+COUNTIF('2月'!DO19:DP19,H$41)+COUNTIF('2月'!DT19:DU19,H$41)+COUNTIF('2月'!DY19:DZ19,H$41)+COUNTIF('2月'!ED19:EE19,H$41)+COUNTIF('2月'!EI19:EJ19,H$41)+COUNTIF('2月'!EN19:EO19,H$41)+COUNTIF('2月'!ES19:ET19,H$41)+COUNTIF('2月'!D19:E19,"渋谷-夜勤")+COUNTIF('2月'!I19:J19,"渋谷-夜勤")+COUNTIF('2月'!N19:O19,"渋谷-夜勤")+COUNTIF('2月'!S19:T19,"渋谷-夜勤")+COUNTIF('2月'!X19:Y19,"渋谷-夜勤")+COUNTIF('2月'!AC19:AD19,"渋谷-夜勤")+COUNTIF('2月'!AH19:AI19,"渋谷-夜勤")+COUNTIF('2月'!AM19:AN19,"渋谷-夜勤")+COUNTIF('2月'!AR19:AS19,"渋谷-夜勤")+COUNTIF('2月'!AW19:AX19,"渋谷-夜勤")+COUNTIF('2月'!BB19:BC19,"渋谷-夜勤")+COUNTIF('2月'!BG19:BH19,"渋谷-夜勤")+COUNTIF('2月'!BL19:BM19,"渋谷-夜勤")+COUNTIF('2月'!BQ19:BR19,"渋谷-夜勤")+COUNTIF('2月'!BV19:BW19,"渋谷-夜勤")+COUNTIF('2月'!CA19:CB19,"渋谷-夜勤")+COUNTIF('2月'!CF19:CG19,"渋谷-夜勤")+COUNTIF('2月'!CK19:CL19,"渋谷-夜勤")+COUNTIF('2月'!CP19:CQ19,"渋谷-夜勤")+COUNTIF('2月'!CU19:CV19,"渋谷-夜勤")+COUNTIF('2月'!CZ19:DA19,"渋谷-夜勤")+COUNTIF('2月'!DE19:DF19,"渋谷-夜勤")+COUNTIF('2月'!DJ19:DK19,"渋谷-夜勤")+COUNTIF('2月'!DO19:DP19,"渋谷-夜勤")+COUNTIF('2月'!DT19:DU19,"渋谷-夜勤")+COUNTIF('2月'!DY19:DZ19,"渋谷-夜勤")+COUNTIF('2月'!ED19:EE19,"渋谷-夜勤")+COUNTIF('2月'!EI19:EJ19,"渋谷-夜勤")+COUNTIF('2月'!EN19:EO19,"渋谷-夜勤")+COUNTIF('2月'!ES19:ET19,"渋谷-夜勤")</f>
        <v>0</v>
      </c>
      <c r="I58" s="76">
        <f t="shared" si="15"/>
        <v>0</v>
      </c>
      <c r="J58" s="76">
        <f>COUNTIF('2月'!D19:E19,J$41)+COUNTIF('2月'!I19:J19,J$41)+COUNTIF('2月'!N19:O19,J$41)+COUNTIF('2月'!S19:T19,J$41)+COUNTIF('2月'!X19:Y19,J$41)+COUNTIF('2月'!AC19:AD19,J$41)+COUNTIF('2月'!AH19:AI19,J$41)+COUNTIF('2月'!AM19:AN19,J$41)+COUNTIF('2月'!AR19:AS19,J$41)+COUNTIF('2月'!AW19:AX19,J$41)+COUNTIF('2月'!BB19:BC19,J$41)+COUNTIF('2月'!BG19:BH19,J$41)+COUNTIF('2月'!BL19:BM19,J$41)+COUNTIF('2月'!BQ19:BR19,J$41)+COUNTIF('2月'!BV19:BW19,J$41)+COUNTIF('2月'!CA19:CB19,J$41)+COUNTIF('2月'!CF19:CG19,J$41)+COUNTIF('2月'!CK19:CL19,J$41)+COUNTIF('2月'!CP19:CQ19,J$41)+COUNTIF('2月'!CU19:CV19,J$41)+COUNTIF('2月'!CZ19:DA19,J$41)+COUNTIF('2月'!DE19:DF19,J$41)+COUNTIF('2月'!DJ19:DK19,J$41)+COUNTIF('2月'!DO19:DP19,J$41)+COUNTIF('2月'!DT19:DU19,J$41)+COUNTIF('2月'!DY19:DZ19,J$41)+COUNTIF('2月'!ED19:EE19,J$41)+COUNTIF('2月'!EI19:EJ19,J$41)+COUNTIF('2月'!EN19:EO19,J$41)+COUNTIF('2月'!ES19:ET19,J$41)+COUNTIF('2月'!D19:E19,"六本木-夜勤")+COUNTIF('2月'!I19:J19,"六本木-夜勤")+COUNTIF('2月'!N19:O19,"六本木-夜勤")+COUNTIF('2月'!S19:T19,"六本木-夜勤")+COUNTIF('2月'!X19:Y19,"六本木-夜勤")+COUNTIF('2月'!AC19:AD19,"六本木-夜勤")+COUNTIF('2月'!AH19:AI19,"六本木-夜勤")+COUNTIF('2月'!AM19:AN19,"六本木-夜勤")+COUNTIF('2月'!AR19:AS19,"六本木-夜勤")+COUNTIF('2月'!AW19:AX19,"六本木-夜勤")+COUNTIF('2月'!BB19:BC19,"六本木-夜勤")+COUNTIF('2月'!BG19:BH19,"六本木-夜勤")+COUNTIF('2月'!BL19:BM19,"六本木-夜勤")+COUNTIF('2月'!BQ19:BR19,"六本木-夜勤")+COUNTIF('2月'!BV19:BW19,"六本木-夜勤")+COUNTIF('2月'!CA19:CB19,"六本木-夜勤")+COUNTIF('2月'!CF19:CG19,"六本木-夜勤")+COUNTIF('2月'!CK19:CL19,"六本木-夜勤")+COUNTIF('2月'!CP19:CQ19,"六本木-夜勤")+COUNTIF('2月'!CU19:CV19,"六本木-夜勤")+COUNTIF('2月'!CZ19:DA19,"六本木-夜勤")+COUNTIF('2月'!DE19:DF19,"六本木-夜勤")+COUNTIF('2月'!DJ19:DK19,"六本木-夜勤")+COUNTIF('2月'!DO19:DP19,"六本木-夜勤")+COUNTIF('2月'!DT19:DU19,"六本木-夜勤")+COUNTIF('2月'!DY19:DZ19,"六本木-夜勤")+COUNTIF('2月'!ED19:EE19,"六本木-夜勤")+COUNTIF('2月'!EI19:EJ19,"六本木-夜勤")+COUNTIF('2月'!EN19:EO19,"六本木-夜勤")+COUNTIF('2月'!ES19:ET19,"六本木-夜勤")+COUNTIF('2月'!D19:E19,"六本木ー夜勤")+COUNTIF('2月'!I19:J19,"六本木ー夜勤")+COUNTIF('2月'!N19:O19,"六本木ー夜勤")+COUNTIF('2月'!S19:T19,"六本木ー夜勤")+COUNTIF('2月'!X19:Y19,"六本木ー夜勤")+COUNTIF('2月'!AC19:AD19,"六本木ー夜勤")+COUNTIF('2月'!AH19:AI19,"六本木ー夜勤")+COUNTIF('2月'!AM19:AN19,"六本木ー夜勤")+COUNTIF('2月'!AR19:AS19,"六本木ー夜勤")+COUNTIF('2月'!AW19:AX19,"六本木ー夜勤")+COUNTIF('2月'!BB19:BC19,"六本木ー夜勤")+COUNTIF('2月'!BG19:BH19,"六本木ー夜勤")+COUNTIF('2月'!BL19:BM19,"六本木ー夜勤")+COUNTIF('2月'!BQ19:BR19,"六本木ー夜勤")+COUNTIF('2月'!BV19:BW19,"六本木ー夜勤")+COUNTIF('2月'!CA19:CB19,"六本木ー夜勤")+COUNTIF('2月'!CF19:CG19,"六本木ー夜勤")+COUNTIF('2月'!CK19:CL19,"六本木ー夜勤")+COUNTIF('2月'!CP19:CQ19,"六本木ー夜勤")+COUNTIF('2月'!CU19:CV19,"六本木ー夜勤")+COUNTIF('2月'!CZ19:DA19,"六本木ー夜勤")+COUNTIF('2月'!DE19:DF19,"六本木ー夜勤")+COUNTIF('2月'!DJ19:DK19,"六本木ー夜勤")+COUNTIF('2月'!DO19:DP19,"六本木ー夜勤")+COUNTIF('2月'!DT19:DU19,"六本木ー夜勤")+COUNTIF('2月'!DY19:DZ19,"六本木ー夜勤")+COUNTIF('2月'!ED19:EE19,"六本木ー夜勤")+COUNTIF('2月'!EI19:EJ19,"六本木ー夜勤")+COUNTIF('2月'!EN19:EO19,"六本木ー夜勤")+COUNTIF('2月'!ES19:ET19,"六本木ー夜勤")</f>
        <v>0</v>
      </c>
      <c r="K58" s="76">
        <f t="shared" si="16"/>
        <v>0</v>
      </c>
      <c r="L58" s="76">
        <f>COUNTIF('2月'!D19:E19,L$41)+COUNTIF('2月'!I19:J19,L$41)+COUNTIF('2月'!N19:O19,L$41)+COUNTIF('2月'!S19:T19,L$41)+COUNTIF('2月'!X19:Y19,L$41)+COUNTIF('2月'!AC19:AD19,L$41)+COUNTIF('2月'!AH19:AI19,L$41)+COUNTIF('2月'!AM19:AN19,L$41)+COUNTIF('2月'!AR19:AS19,L$41)+COUNTIF('2月'!AW19:AX19,L$41)+COUNTIF('2月'!BB19:BC19,L$41)+COUNTIF('2月'!BG19:BH19,L$41)+COUNTIF('2月'!BL19:BM19,L$41)+COUNTIF('2月'!BQ19:BR19,L$41)+COUNTIF('2月'!BV19:BW19,L$41)+COUNTIF('2月'!CA19:CB19,L$41)+COUNTIF('2月'!CF19:CG19,L$41)+COUNTIF('2月'!CK19:CL19,L$41)+COUNTIF('2月'!CP19:CQ19,L$41)+COUNTIF('2月'!CU19:CV19,L$41)+COUNTIF('2月'!CZ19:DA19,L$41)+COUNTIF('2月'!DE19:DF19,L$41)+COUNTIF('2月'!DJ19:DK19,L$41)+COUNTIF('2月'!DO19:DP19,L$41)+COUNTIF('2月'!DT19:DU19,L$41)+COUNTIF('2月'!DY19:DZ19,L$41)+COUNTIF('2月'!ED19:EE19,L$41)+COUNTIF('2月'!EI19:EJ19,L$41)+COUNTIF('2月'!EN19:EO19,L$41)+COUNTIF('2月'!ES19:ET19,L$41)</f>
        <v>0</v>
      </c>
      <c r="M58" s="76">
        <f t="shared" si="17"/>
        <v>0</v>
      </c>
      <c r="N58" s="76">
        <f>COUNTIF('2月'!D19:E19,N$41)+COUNTIF('2月'!I19:J19,N$41)+COUNTIF('2月'!N19:O19,N$41)+COUNTIF('2月'!S19:T19,N$41)+COUNTIF('2月'!X19:Y19,N$41)+COUNTIF('2月'!AC19:AD19,N$41)+COUNTIF('2月'!AH19:AI19,N$41)+COUNTIF('2月'!AM19:AN19,N$41)+COUNTIF('2月'!AR19:AS19,N$41)+COUNTIF('2月'!AW19:AX19,N$41)+COUNTIF('2月'!BB19:BC19,N$41)+COUNTIF('2月'!BG19:BH19,N$41)+COUNTIF('2月'!BL19:BM19,N$41)+COUNTIF('2月'!BQ19:BR19,N$41)+COUNTIF('2月'!BV19:BW19,N$41)+COUNTIF('2月'!CA19:CB19,N$41)+COUNTIF('2月'!CF19:CG19,N$41)+COUNTIF('2月'!CK19:CL19,N$41)+COUNTIF('2月'!CP19:CQ19,N$41)+COUNTIF('2月'!CU19:CV19,N$41)+COUNTIF('2月'!CZ19:DA19,N$41)+COUNTIF('2月'!DE19:DF19,N$41)+COUNTIF('2月'!DJ19:DK19,N$41)+COUNTIF('2月'!DO19:DP19,N$41)+COUNTIF('2月'!DT19:DU19,N$41)+COUNTIF('2月'!DY19:DZ19,N$41)+COUNTIF('2月'!ED19:EE19,N$41)+COUNTIF('2月'!EI19:EJ19,N$41)+COUNTIF('2月'!EN19:EO19,N$41)+COUNTIF('2月'!ES19:ET19,N$41)+COUNTIF('2月'!D19:E19,"三軒茶屋－夜勤")+COUNTIF('2月'!I19:J19,"三軒茶屋－夜勤")+COUNTIF('2月'!N19:O19,"三軒茶屋－夜勤")+COUNTIF('2月'!S19:T19,"三軒茶屋－夜勤")+COUNTIF('2月'!X19:Y19,"三軒茶屋－夜勤")+COUNTIF('2月'!AC19:AD19,"三軒茶屋－夜勤")+COUNTIF('2月'!AH19:AI19,"三軒茶屋－夜勤")+COUNTIF('2月'!AM19:AN19,"三軒茶屋－夜勤")+COUNTIF('2月'!AR19:AS19,"三軒茶屋－夜勤")+COUNTIF('2月'!AW19:AX19,"三軒茶屋－夜勤")+COUNTIF('2月'!BB19:BC19,"三軒茶屋－夜勤")+COUNTIF('2月'!BG19:BH19,"三軒茶屋－夜勤")+COUNTIF('2月'!BL19:BM19,"三軒茶屋－夜勤")+COUNTIF('2月'!BQ19:BR19,"三軒茶屋－夜勤")+COUNTIF('2月'!BV19:BW19,"三軒茶屋－夜勤")+COUNTIF('2月'!CA19:CB19,"三軒茶屋－夜勤")+COUNTIF('2月'!CF19:CG19,"三軒茶屋－夜勤")+COUNTIF('2月'!CK19:CL19,"三軒茶屋－夜勤")+COUNTIF('2月'!CP19:CQ19,"三軒茶屋－夜勤")+COUNTIF('2月'!CU19:CV19,"三軒茶屋－夜勤")+COUNTIF('2月'!CZ19:DA19,"三軒茶屋－夜勤")+COUNTIF('2月'!DE19:DF19,"三軒茶屋－夜勤")+COUNTIF('2月'!DJ19:DK19,"三軒茶屋－夜勤")+COUNTIF('2月'!DO19:DP19,"三軒茶屋－夜勤")+COUNTIF('2月'!DT19:DU19,"三軒茶屋－夜勤")+COUNTIF('2月'!DY19:DZ19,"三軒茶屋－夜勤")+COUNTIF('2月'!ED19:EE19,"三軒茶屋－夜勤")+COUNTIF('2月'!EI19:EJ19,"三軒茶屋－夜勤")+COUNTIF('2月'!EN19:EO19,"三軒茶屋－夜勤")+COUNTIF('2月'!ES19:ET19,"三軒茶屋－夜勤")</f>
        <v>0</v>
      </c>
      <c r="O58" s="76">
        <f t="shared" si="18"/>
        <v>0</v>
      </c>
      <c r="P58" s="76">
        <f>COUNTIF('2月'!D19:E19,P$41)+COUNTIF('2月'!I19:J19,P$41)+COUNTIF('2月'!N19:O19,P$41)+COUNTIF('2月'!S19:T19,P$41)+COUNTIF('2月'!X19:Y19,P$41)+COUNTIF('2月'!AC19:AD19,P$41)+COUNTIF('2月'!AH19:AI19,P$41)+COUNTIF('2月'!AM19:AN19,P$41)+COUNTIF('2月'!AR19:AS19,P$41)+COUNTIF('2月'!AW19:AX19,P$41)+COUNTIF('2月'!BB19:BC19,P$41)+COUNTIF('2月'!BG19:BH19,P$41)+COUNTIF('2月'!BL19:BM19,P$41)+COUNTIF('2月'!BQ19:BR19,P$41)+COUNTIF('2月'!BV19:BW19,P$41)+COUNTIF('2月'!CA19:CB19,P$41)+COUNTIF('2月'!CF19:CG19,P$41)+COUNTIF('2月'!CK19:CL19,P$41)+COUNTIF('2月'!CP19:CQ19,P$41)+COUNTIF('2月'!CU19:CV19,P$41)+COUNTIF('2月'!CZ19:DA19,P$41)+COUNTIF('2月'!DE19:DF19,P$41)+COUNTIF('2月'!DJ19:DK19,P$41)+COUNTIF('2月'!DO19:DP19,P$41)+COUNTIF('2月'!DT19:DU19,P$41)+COUNTIF('2月'!DY19:DZ19,P$41)+COUNTIF('2月'!ED19:EE19,P$41)+COUNTIF('2月'!EI19:EJ19,P$41)+COUNTIF('2月'!EN19:EO19,P$41)+COUNTIF('2月'!ES19:ET19,P$41)+COUNTIF('2月'!D19:E19,"荻窪ー夜勤")+COUNTIF('2月'!I19:J19,"荻窪ー夜勤")+COUNTIF('2月'!N19:O19,"荻窪ー夜勤")+COUNTIF('2月'!S19:T19,"荻窪ー夜勤")+COUNTIF('2月'!X19:Y19,"荻窪ー夜勤")+COUNTIF('2月'!AC19:AD19,"荻窪ー夜勤")+COUNTIF('2月'!AH19:AI19,"荻窪ー夜勤")+COUNTIF('2月'!AM19:AN19,"荻窪ー夜勤")+COUNTIF('2月'!AR19:AS19,"荻窪ー夜勤")+COUNTIF('2月'!AW19:AX19,"荻窪ー夜勤")+COUNTIF('2月'!BB19:BC19,"荻窪ー夜勤")+COUNTIF('2月'!BG19:BH19,"荻窪ー夜勤")+COUNTIF('2月'!BL19:BM19,"荻窪ー夜勤")+COUNTIF('2月'!BQ19:BR19,"荻窪ー夜勤")+COUNTIF('2月'!BV19:BW19,"荻窪ー夜勤")+COUNTIF('2月'!CA19:CB19,"荻窪ー夜勤")+COUNTIF('2月'!CF19:CG19,"荻窪ー夜勤")+COUNTIF('2月'!CK19:CL19,"荻窪ー夜勤")+COUNTIF('2月'!CP19:CQ19,"荻窪ー夜勤")+COUNTIF('2月'!CU19:CV19,"荻窪ー夜勤")+COUNTIF('2月'!CZ19:DA19,"荻窪ー夜勤")+COUNTIF('2月'!DE19:DF19,"荻窪ー夜勤")+COUNTIF('2月'!DJ19:DK19,"荻窪ー夜勤")+COUNTIF('2月'!DO19:DP19,"荻窪ー夜勤")+COUNTIF('2月'!DT19:DU19,"荻窪ー夜勤")+COUNTIF('2月'!DY19:DZ19,"荻窪ー夜勤")+COUNTIF('2月'!ED19:EE19,"荻窪ー夜勤")+COUNTIF('2月'!EI19:EJ19,"荻窪ー夜勤")+COUNTIF('2月'!EN19:EO19,"荻窪ー夜勤")+COUNTIF('2月'!ES19:ET19,"荻窪ー夜勤")</f>
        <v>0</v>
      </c>
      <c r="Q58" s="76">
        <f t="shared" si="19"/>
        <v>0</v>
      </c>
      <c r="R58" s="76">
        <f>COUNTIF('2月'!D19:E19,R$41)+COUNTIF('2月'!I19:J19,R$41)+COUNTIF('2月'!N19:O19,R$41)+COUNTIF('2月'!S19:T19,R$41)+COUNTIF('2月'!X19:Y19,R$41)+COUNTIF('2月'!AC19:AD19,R$41)+COUNTIF('2月'!AH19:AI19,R$41)+COUNTIF('2月'!AM19:AN19,R$41)+COUNTIF('2月'!AR19:AS19,R$41)+COUNTIF('2月'!AW19:AX19,R$41)+COUNTIF('2月'!BB19:BC19,R$41)+COUNTIF('2月'!BG19:BH19,R$41)+COUNTIF('2月'!BL19:BM19,R$41)+COUNTIF('2月'!BQ19:BR19,R$41)+COUNTIF('2月'!BV19:BW19,R$41)+COUNTIF('2月'!CA19:CB19,R$41)+COUNTIF('2月'!CF19:CG19,R$41)+COUNTIF('2月'!CK19:CL19,R$41)+COUNTIF('2月'!CP19:CQ19,R$41)+COUNTIF('2月'!CU19:CV19,R$41)+COUNTIF('2月'!CZ19:DA19,R$41)+COUNTIF('2月'!DE19:DF19,R$41)+COUNTIF('2月'!DJ19:DK19,R$41)+COUNTIF('2月'!DO19:DP19,R$41)+COUNTIF('2月'!DT19:DU19,R$41)+COUNTIF('2月'!DY19:DZ19,R$41)+COUNTIF('2月'!ED19:EE19,R$41)+COUNTIF('2月'!EI19:EJ19,R$41)+COUNTIF('2月'!EN19:EO19,R$41)+COUNTIF('2月'!ES19:ET19,R$41)</f>
        <v>0</v>
      </c>
      <c r="S58" s="76">
        <f t="shared" si="20"/>
        <v>0</v>
      </c>
      <c r="T58" s="76">
        <f>COUNTIF('2月'!D19:E19,T$41)+COUNTIF('2月'!I19:J19,T$41)+COUNTIF('2月'!N19:O19,T$41)+COUNTIF('2月'!S19:T19,T$41)+COUNTIF('2月'!X19:Y19,T$41)+COUNTIF('2月'!AC19:AD19,T$41)+COUNTIF('2月'!AH19:AI19,T$41)+COUNTIF('2月'!AM19:AN19,T$41)+COUNTIF('2月'!AR19:AS19,T$41)+COUNTIF('2月'!AW19:AX19,T$41)+COUNTIF('2月'!BB19:BC19,T$41)+COUNTIF('2月'!BG19:BH19,T$41)+COUNTIF('2月'!BL19:BM19,T$41)+COUNTIF('2月'!BQ19:BR19,T$41)+COUNTIF('2月'!BV19:BW19,T$41)+COUNTIF('2月'!CA19:CB19,T$41)+COUNTIF('2月'!CF19:CG19,T$41)+COUNTIF('2月'!CK19:CL19,T$41)+COUNTIF('2月'!CP19:CQ19,T$41)+COUNTIF('2月'!CU19:CV19,T$41)+COUNTIF('2月'!CZ19:DA19,T$41)+COUNTIF('2月'!DE19:DF19,T$41)+COUNTIF('2月'!DJ19:DK19,T$41)+COUNTIF('2月'!DO19:DP19,T$41)+COUNTIF('2月'!DT19:DU19,T$41)+COUNTIF('2月'!DY19:DZ19,T$41)+COUNTIF('2月'!ED19:EE19,T$41)+COUNTIF('2月'!EI19:EJ19,T$41)+COUNTIF('2月'!EN19:EO19,T$41)+COUNTIF('2月'!ES19:ET19,T$41)</f>
        <v>0</v>
      </c>
      <c r="U58" s="76">
        <f t="shared" si="21"/>
        <v>0</v>
      </c>
      <c r="V58" s="76">
        <f>COUNTIF('2月'!D19:E19,V$41)+COUNTIF('2月'!I19:J19,V$41)+COUNTIF('2月'!N19:O19,V$41)+COUNTIF('2月'!S19:T19,V$41)+COUNTIF('2月'!X19:Y19,V$41)+COUNTIF('2月'!AC19:AD19,V$41)+COUNTIF('2月'!AH19:AI19,V$41)+COUNTIF('2月'!AM19:AN19,V$41)+COUNTIF('2月'!AR19:AS19,V$41)+COUNTIF('2月'!AW19:AX19,V$41)+COUNTIF('2月'!BB19:BC19,V$41)+COUNTIF('2月'!BG19:BH19,V$41)+COUNTIF('2月'!BL19:BM19,V$41)+COUNTIF('2月'!BQ19:BR19,V$41)+COUNTIF('2月'!BV19:BW19,V$41)+COUNTIF('2月'!CA19:CB19,V$41)+COUNTIF('2月'!CF19:CG19,V$41)+COUNTIF('2月'!CK19:CL19,V$41)+COUNTIF('2月'!CP19:CQ19,V$41)+COUNTIF('2月'!CU19:CV19,V$41)+COUNTIF('2月'!CZ19:DA19,V$41)+COUNTIF('2月'!DE19:DF19,V$41)+COUNTIF('2月'!DJ19:DK19,V$41)+COUNTIF('2月'!DO19:DP19,V$41)+COUNTIF('2月'!DT19:DU19,V$41)+COUNTIF('2月'!DY19:DZ19,V$41)+COUNTIF('2月'!ED19:EE19,V$41)+COUNTIF('2月'!EI19:EJ19,V$41)+COUNTIF('2月'!EN19:EO19,V$41)+COUNTIF('2月'!ES19:ET19,V$41)</f>
        <v>0</v>
      </c>
      <c r="W58" s="76">
        <f t="shared" si="22"/>
        <v>0</v>
      </c>
      <c r="X58" s="76">
        <f>COUNTIF('2月'!D19:E19,X$41)+COUNTIF('2月'!I19:J19,X$41)+COUNTIF('2月'!N19:O19,X$41)+COUNTIF('2月'!S19:T19,X$41)+COUNTIF('2月'!X19:Y19,X$41)+COUNTIF('2月'!AC19:AD19,X$41)+COUNTIF('2月'!AH19:AI19,X$41)+COUNTIF('2月'!AM19:AN19,X$41)+COUNTIF('2月'!AR19:AS19,X$41)+COUNTIF('2月'!AW19:AX19,X$41)+COUNTIF('2月'!BB19:BC19,X$41)+COUNTIF('2月'!BG19:BH19,X$41)+COUNTIF('2月'!BL19:BM19,X$41)+COUNTIF('2月'!BQ19:BR19,X$41)+COUNTIF('2月'!BV19:BW19,X$41)+COUNTIF('2月'!CA19:CB19,X$41)+COUNTIF('2月'!CF19:CG19,X$41)+COUNTIF('2月'!CK19:CL19,X$41)+COUNTIF('2月'!CP19:CQ19,X$41)+COUNTIF('2月'!CU19:CV19,X$41)+COUNTIF('2月'!CZ19:DA19,X$41)+COUNTIF('2月'!DE19:DF19,X$41)+COUNTIF('2月'!DJ19:DK19,X$41)+COUNTIF('2月'!DO19:DP19,X$41)+COUNTIF('2月'!DT19:DU19,X$41)+COUNTIF('2月'!DY19:DZ19,X$41)+COUNTIF('2月'!ED19:EE19,X$41)+COUNTIF('2月'!EI19:EJ19,X$41)+COUNTIF('2月'!EN19:EO19,X$41)+COUNTIF('2月'!ES19:ET19,X$41)</f>
        <v>0</v>
      </c>
      <c r="Y58" s="76">
        <f t="shared" si="23"/>
        <v>0</v>
      </c>
    </row>
    <row r="59" spans="1:25" ht="18" customHeight="1">
      <c r="A59" s="76">
        <v>17</v>
      </c>
      <c r="B59" s="76">
        <f>COUNTIF('2月'!D20:E20,B$41)+COUNTIF('2月'!I20:J20,B$41)+COUNTIF('2月'!N20:O20,B$41)+COUNTIF('2月'!S20:T20,B$41)+COUNTIF('2月'!X20:Y20,B$41)+COUNTIF('2月'!AC20:AD20,B$41)+COUNTIF('2月'!AH20:AI20,B$41)+COUNTIF('2月'!AM20:AN20,B$41)+COUNTIF('2月'!AR20:AS20,B$41)+COUNTIF('2月'!AW20:AX20,B$41)+COUNTIF('2月'!BB20:BC20,B$41)+COUNTIF('2月'!BG20:BH20,B$41)+COUNTIF('2月'!BL20:BM20,B$41)+COUNTIF('2月'!BQ20:BR20,B$41)+COUNTIF('2月'!BV20:BW20,B$41)+COUNTIF('2月'!CA20:CB20,B$41)+COUNTIF('2月'!CF20:CG20,B$41)+COUNTIF('2月'!CK20:CL20,B$41)+COUNTIF('2月'!CP20:CQ20,B$41)+COUNTIF('2月'!CU20:CV20,B$41)+COUNTIF('2月'!CZ20:DA20,B$41)+COUNTIF('2月'!DE20:DF20,B$41)+COUNTIF('2月'!DJ20:DK20,B$41)+COUNTIF('2月'!DO20:DP20,B$41)+COUNTIF('2月'!DT20:DU20,B$41)+COUNTIF('2月'!DY20:DZ20,B$41)+COUNTIF('2月'!ED20:EE20,B$41)+COUNTIF('2月'!EI20:EJ20,B$41)+COUNTIF('2月'!EN20:EO20,B$41)+COUNTIF('2月'!ES20:ET20,B$41)</f>
        <v>0</v>
      </c>
      <c r="C59" s="76">
        <f t="shared" si="12"/>
        <v>0</v>
      </c>
      <c r="D59" s="76">
        <f>COUNTIF('2月'!D20:E20,D$41)+COUNTIF('2月'!I20:J20,D$41)+COUNTIF('2月'!N20:O20,D$41)+COUNTIF('2月'!S20:T20,D$41)+COUNTIF('2月'!X20:Y20,D$41)+COUNTIF('2月'!AC20:AD20,D$41)+COUNTIF('2月'!AH20:AI20,D$41)+COUNTIF('2月'!AM20:AN20,D$41)+COUNTIF('2月'!AR20:AS20,D$41)+COUNTIF('2月'!AW20:AX20,D$41)+COUNTIF('2月'!BB20:BC20,D$41)+COUNTIF('2月'!BG20:BH20,D$41)+COUNTIF('2月'!BL20:BM20,D$41)+COUNTIF('2月'!BQ20:BR20,D$41)+COUNTIF('2月'!BV20:BW20,D$41)+COUNTIF('2月'!CA20:CB20,D$41)+COUNTIF('2月'!CF20:CG20,D$41)+COUNTIF('2月'!CK20:CL20,D$41)+COUNTIF('2月'!CP20:CQ20,D$41)+COUNTIF('2月'!CU20:CV20,D$41)+COUNTIF('2月'!CZ20:DA20,D$41)+COUNTIF('2月'!DE20:DF20,D$41)+COUNTIF('2月'!DJ20:DK20,D$41)+COUNTIF('2月'!DO20:DP20,D$41)+COUNTIF('2月'!DT20:DU20,D$41)+COUNTIF('2月'!DY20:DZ20,D$41)+COUNTIF('2月'!ED20:EE20,D$41)+COUNTIF('2月'!EI20:EJ20,D$41)+COUNTIF('2月'!EN20:EO20,D$41)+COUNTIF('2月'!ES20:ET20,D$41)</f>
        <v>0</v>
      </c>
      <c r="E59" s="76">
        <f t="shared" si="13"/>
        <v>0</v>
      </c>
      <c r="F59" s="76">
        <f>COUNTIF('2月'!D20:E20,F$41)+COUNTIF('2月'!I20:J20,F$41)+COUNTIF('2月'!N20:O20,F$41)+COUNTIF('2月'!S20:T20,F$41)+COUNTIF('2月'!X20:Y20,F$41)+COUNTIF('2月'!AC20:AD20,F$41)+COUNTIF('2月'!AH20:AI20,F$41)+COUNTIF('2月'!AM20:AN20,F$41)+COUNTIF('2月'!AR20:AS20,F$41)+COUNTIF('2月'!AW20:AX20,F$41)+COUNTIF('2月'!BB20:BC20,F$41)+COUNTIF('2月'!BG20:BH20,F$41)+COUNTIF('2月'!BL20:BM20,F$41)+COUNTIF('2月'!BQ20:BR20,F$41)+COUNTIF('2月'!BV20:BW20,F$41)+COUNTIF('2月'!CA20:CB20,F$41)+COUNTIF('2月'!CF20:CG20,F$41)+COUNTIF('2月'!CK20:CL20,F$41)+COUNTIF('2月'!CP20:CQ20,F$41)+COUNTIF('2月'!CU20:CV20,F$41)+COUNTIF('2月'!CZ20:DA20,F$41)+COUNTIF('2月'!DE20:DF20,F$41)+COUNTIF('2月'!DJ20:DK20,F$41)+COUNTIF('2月'!DO20:DP20,F$41)+COUNTIF('2月'!DT20:DU20,F$41)+COUNTIF('2月'!DY20:DZ20,F$41)+COUNTIF('2月'!ED20:EE20,F$41)+COUNTIF('2月'!EI20:EJ20,F$41)+COUNTIF('2月'!EN20:EO20,F$41)+COUNTIF('2月'!ES20:ET20,F$41)</f>
        <v>0</v>
      </c>
      <c r="G59" s="76">
        <f t="shared" si="14"/>
        <v>0</v>
      </c>
      <c r="H59" s="76">
        <f>COUNTIF('2月'!D20:E20,H$41)+COUNTIF('2月'!I20:J20,H$41)+COUNTIF('2月'!N20:O20,H$41)+COUNTIF('2月'!S20:T20,H$41)+COUNTIF('2月'!X20:Y20,H$41)+COUNTIF('2月'!AC20:AD20,H$41)+COUNTIF('2月'!AH20:AI20,H$41)+COUNTIF('2月'!AM20:AN20,H$41)+COUNTIF('2月'!AR20:AS20,H$41)+COUNTIF('2月'!AW20:AX20,H$41)+COUNTIF('2月'!BB20:BC20,H$41)+COUNTIF('2月'!BG20:BH20,H$41)+COUNTIF('2月'!BL20:BM20,H$41)+COUNTIF('2月'!BQ20:BR20,H$41)+COUNTIF('2月'!BV20:BW20,H$41)+COUNTIF('2月'!CA20:CB20,H$41)+COUNTIF('2月'!CF20:CG20,H$41)+COUNTIF('2月'!CK20:CL20,H$41)+COUNTIF('2月'!CP20:CQ20,H$41)+COUNTIF('2月'!CU20:CV20,H$41)+COUNTIF('2月'!CZ20:DA20,H$41)+COUNTIF('2月'!DE20:DF20,H$41)+COUNTIF('2月'!DJ20:DK20,H$41)+COUNTIF('2月'!DO20:DP20,H$41)+COUNTIF('2月'!DT20:DU20,H$41)+COUNTIF('2月'!DY20:DZ20,H$41)+COUNTIF('2月'!ED20:EE20,H$41)+COUNTIF('2月'!EI20:EJ20,H$41)+COUNTIF('2月'!EN20:EO20,H$41)+COUNTIF('2月'!ES20:ET20,H$41)+COUNTIF('2月'!D20:E20,"渋谷-夜勤")+COUNTIF('2月'!I20:J20,"渋谷-夜勤")+COUNTIF('2月'!N20:O20,"渋谷-夜勤")+COUNTIF('2月'!S20:T20,"渋谷-夜勤")+COUNTIF('2月'!X20:Y20,"渋谷-夜勤")+COUNTIF('2月'!AC20:AD20,"渋谷-夜勤")+COUNTIF('2月'!AH20:AI20,"渋谷-夜勤")+COUNTIF('2月'!AM20:AN20,"渋谷-夜勤")+COUNTIF('2月'!AR20:AS20,"渋谷-夜勤")+COUNTIF('2月'!AW20:AX20,"渋谷-夜勤")+COUNTIF('2月'!BB20:BC20,"渋谷-夜勤")+COUNTIF('2月'!BG20:BH20,"渋谷-夜勤")+COUNTIF('2月'!BL20:BM20,"渋谷-夜勤")+COUNTIF('2月'!BQ20:BR20,"渋谷-夜勤")+COUNTIF('2月'!BV20:BW20,"渋谷-夜勤")+COUNTIF('2月'!CA20:CB20,"渋谷-夜勤")+COUNTIF('2月'!CF20:CG20,"渋谷-夜勤")+COUNTIF('2月'!CK20:CL20,"渋谷-夜勤")+COUNTIF('2月'!CP20:CQ20,"渋谷-夜勤")+COUNTIF('2月'!CU20:CV20,"渋谷-夜勤")+COUNTIF('2月'!CZ20:DA20,"渋谷-夜勤")+COUNTIF('2月'!DE20:DF20,"渋谷-夜勤")+COUNTIF('2月'!DJ20:DK20,"渋谷-夜勤")+COUNTIF('2月'!DO20:DP20,"渋谷-夜勤")+COUNTIF('2月'!DT20:DU20,"渋谷-夜勤")+COUNTIF('2月'!DY20:DZ20,"渋谷-夜勤")+COUNTIF('2月'!ED20:EE20,"渋谷-夜勤")+COUNTIF('2月'!EI20:EJ20,"渋谷-夜勤")+COUNTIF('2月'!EN20:EO20,"渋谷-夜勤")+COUNTIF('2月'!ES20:ET20,"渋谷-夜勤")</f>
        <v>0</v>
      </c>
      <c r="I59" s="76">
        <f t="shared" si="15"/>
        <v>0</v>
      </c>
      <c r="J59" s="76">
        <f>COUNTIF('2月'!D20:E20,J$41)+COUNTIF('2月'!I20:J20,J$41)+COUNTIF('2月'!N20:O20,J$41)+COUNTIF('2月'!S20:T20,J$41)+COUNTIF('2月'!X20:Y20,J$41)+COUNTIF('2月'!AC20:AD20,J$41)+COUNTIF('2月'!AH20:AI20,J$41)+COUNTIF('2月'!AM20:AN20,J$41)+COUNTIF('2月'!AR20:AS20,J$41)+COUNTIF('2月'!AW20:AX20,J$41)+COUNTIF('2月'!BB20:BC20,J$41)+COUNTIF('2月'!BG20:BH20,J$41)+COUNTIF('2月'!BL20:BM20,J$41)+COUNTIF('2月'!BQ20:BR20,J$41)+COUNTIF('2月'!BV20:BW20,J$41)+COUNTIF('2月'!CA20:CB20,J$41)+COUNTIF('2月'!CF20:CG20,J$41)+COUNTIF('2月'!CK20:CL20,J$41)+COUNTIF('2月'!CP20:CQ20,J$41)+COUNTIF('2月'!CU20:CV20,J$41)+COUNTIF('2月'!CZ20:DA20,J$41)+COUNTIF('2月'!DE20:DF20,J$41)+COUNTIF('2月'!DJ20:DK20,J$41)+COUNTIF('2月'!DO20:DP20,J$41)+COUNTIF('2月'!DT20:DU20,J$41)+COUNTIF('2月'!DY20:DZ20,J$41)+COUNTIF('2月'!ED20:EE20,J$41)+COUNTIF('2月'!EI20:EJ20,J$41)+COUNTIF('2月'!EN20:EO20,J$41)+COUNTIF('2月'!ES20:ET20,J$41)+COUNTIF('2月'!D20:E20,"六本木-夜勤")+COUNTIF('2月'!I20:J20,"六本木-夜勤")+COUNTIF('2月'!N20:O20,"六本木-夜勤")+COUNTIF('2月'!S20:T20,"六本木-夜勤")+COUNTIF('2月'!X20:Y20,"六本木-夜勤")+COUNTIF('2月'!AC20:AD20,"六本木-夜勤")+COUNTIF('2月'!AH20:AI20,"六本木-夜勤")+COUNTIF('2月'!AM20:AN20,"六本木-夜勤")+COUNTIF('2月'!AR20:AS20,"六本木-夜勤")+COUNTIF('2月'!AW20:AX20,"六本木-夜勤")+COUNTIF('2月'!BB20:BC20,"六本木-夜勤")+COUNTIF('2月'!BG20:BH20,"六本木-夜勤")+COUNTIF('2月'!BL20:BM20,"六本木-夜勤")+COUNTIF('2月'!BQ20:BR20,"六本木-夜勤")+COUNTIF('2月'!BV20:BW20,"六本木-夜勤")+COUNTIF('2月'!CA20:CB20,"六本木-夜勤")+COUNTIF('2月'!CF20:CG20,"六本木-夜勤")+COUNTIF('2月'!CK20:CL20,"六本木-夜勤")+COUNTIF('2月'!CP20:CQ20,"六本木-夜勤")+COUNTIF('2月'!CU20:CV20,"六本木-夜勤")+COUNTIF('2月'!CZ20:DA20,"六本木-夜勤")+COUNTIF('2月'!DE20:DF20,"六本木-夜勤")+COUNTIF('2月'!DJ20:DK20,"六本木-夜勤")+COUNTIF('2月'!DO20:DP20,"六本木-夜勤")+COUNTIF('2月'!DT20:DU20,"六本木-夜勤")+COUNTIF('2月'!DY20:DZ20,"六本木-夜勤")+COUNTIF('2月'!ED20:EE20,"六本木-夜勤")+COUNTIF('2月'!EI20:EJ20,"六本木-夜勤")+COUNTIF('2月'!EN20:EO20,"六本木-夜勤")+COUNTIF('2月'!ES20:ET20,"六本木-夜勤")+COUNTIF('2月'!D20:E20,"六本木ー夜勤")+COUNTIF('2月'!I20:J20,"六本木ー夜勤")+COUNTIF('2月'!N20:O20,"六本木ー夜勤")+COUNTIF('2月'!S20:T20,"六本木ー夜勤")+COUNTIF('2月'!X20:Y20,"六本木ー夜勤")+COUNTIF('2月'!AC20:AD20,"六本木ー夜勤")+COUNTIF('2月'!AH20:AI20,"六本木ー夜勤")+COUNTIF('2月'!AM20:AN20,"六本木ー夜勤")+COUNTIF('2月'!AR20:AS20,"六本木ー夜勤")+COUNTIF('2月'!AW20:AX20,"六本木ー夜勤")+COUNTIF('2月'!BB20:BC20,"六本木ー夜勤")+COUNTIF('2月'!BG20:BH20,"六本木ー夜勤")+COUNTIF('2月'!BL20:BM20,"六本木ー夜勤")+COUNTIF('2月'!BQ20:BR20,"六本木ー夜勤")+COUNTIF('2月'!BV20:BW20,"六本木ー夜勤")+COUNTIF('2月'!CA20:CB20,"六本木ー夜勤")+COUNTIF('2月'!CF20:CG20,"六本木ー夜勤")+COUNTIF('2月'!CK20:CL20,"六本木ー夜勤")+COUNTIF('2月'!CP20:CQ20,"六本木ー夜勤")+COUNTIF('2月'!CU20:CV20,"六本木ー夜勤")+COUNTIF('2月'!CZ20:DA20,"六本木ー夜勤")+COUNTIF('2月'!DE20:DF20,"六本木ー夜勤")+COUNTIF('2月'!DJ20:DK20,"六本木ー夜勤")+COUNTIF('2月'!DO20:DP20,"六本木ー夜勤")+COUNTIF('2月'!DT20:DU20,"六本木ー夜勤")+COUNTIF('2月'!DY20:DZ20,"六本木ー夜勤")+COUNTIF('2月'!ED20:EE20,"六本木ー夜勤")+COUNTIF('2月'!EI20:EJ20,"六本木ー夜勤")+COUNTIF('2月'!EN20:EO20,"六本木ー夜勤")+COUNTIF('2月'!ES20:ET20,"六本木ー夜勤")</f>
        <v>0</v>
      </c>
      <c r="K59" s="76">
        <f t="shared" si="16"/>
        <v>0</v>
      </c>
      <c r="L59" s="76">
        <f>COUNTIF('2月'!D20:E20,L$41)+COUNTIF('2月'!I20:J20,L$41)+COUNTIF('2月'!N20:O20,L$41)+COUNTIF('2月'!S20:T20,L$41)+COUNTIF('2月'!X20:Y20,L$41)+COUNTIF('2月'!AC20:AD20,L$41)+COUNTIF('2月'!AH20:AI20,L$41)+COUNTIF('2月'!AM20:AN20,L$41)+COUNTIF('2月'!AR20:AS20,L$41)+COUNTIF('2月'!AW20:AX20,L$41)+COUNTIF('2月'!BB20:BC20,L$41)+COUNTIF('2月'!BG20:BH20,L$41)+COUNTIF('2月'!BL20:BM20,L$41)+COUNTIF('2月'!BQ20:BR20,L$41)+COUNTIF('2月'!BV20:BW20,L$41)+COUNTIF('2月'!CA20:CB20,L$41)+COUNTIF('2月'!CF20:CG20,L$41)+COUNTIF('2月'!CK20:CL20,L$41)+COUNTIF('2月'!CP20:CQ20,L$41)+COUNTIF('2月'!CU20:CV20,L$41)+COUNTIF('2月'!CZ20:DA20,L$41)+COUNTIF('2月'!DE20:DF20,L$41)+COUNTIF('2月'!DJ20:DK20,L$41)+COUNTIF('2月'!DO20:DP20,L$41)+COUNTIF('2月'!DT20:DU20,L$41)+COUNTIF('2月'!DY20:DZ20,L$41)+COUNTIF('2月'!ED20:EE20,L$41)+COUNTIF('2月'!EI20:EJ20,L$41)+COUNTIF('2月'!EN20:EO20,L$41)+COUNTIF('2月'!ES20:ET20,L$41)</f>
        <v>0</v>
      </c>
      <c r="M59" s="76">
        <f t="shared" si="17"/>
        <v>0</v>
      </c>
      <c r="N59" s="76">
        <f>COUNTIF('2月'!D20:E20,N$41)+COUNTIF('2月'!I20:J20,N$41)+COUNTIF('2月'!N20:O20,N$41)+COUNTIF('2月'!S20:T20,N$41)+COUNTIF('2月'!X20:Y20,N$41)+COUNTIF('2月'!AC20:AD20,N$41)+COUNTIF('2月'!AH20:AI20,N$41)+COUNTIF('2月'!AM20:AN20,N$41)+COUNTIF('2月'!AR20:AS20,N$41)+COUNTIF('2月'!AW20:AX20,N$41)+COUNTIF('2月'!BB20:BC20,N$41)+COUNTIF('2月'!BG20:BH20,N$41)+COUNTIF('2月'!BL20:BM20,N$41)+COUNTIF('2月'!BQ20:BR20,N$41)+COUNTIF('2月'!BV20:BW20,N$41)+COUNTIF('2月'!CA20:CB20,N$41)+COUNTIF('2月'!CF20:CG20,N$41)+COUNTIF('2月'!CK20:CL20,N$41)+COUNTIF('2月'!CP20:CQ20,N$41)+COUNTIF('2月'!CU20:CV20,N$41)+COUNTIF('2月'!CZ20:DA20,N$41)+COUNTIF('2月'!DE20:DF20,N$41)+COUNTIF('2月'!DJ20:DK20,N$41)+COUNTIF('2月'!DO20:DP20,N$41)+COUNTIF('2月'!DT20:DU20,N$41)+COUNTIF('2月'!DY20:DZ20,N$41)+COUNTIF('2月'!ED20:EE20,N$41)+COUNTIF('2月'!EI20:EJ20,N$41)+COUNTIF('2月'!EN20:EO20,N$41)+COUNTIF('2月'!ES20:ET20,N$41)+COUNTIF('2月'!D20:E20,"三軒茶屋－夜勤")+COUNTIF('2月'!I20:J20,"三軒茶屋－夜勤")+COUNTIF('2月'!N20:O20,"三軒茶屋－夜勤")+COUNTIF('2月'!S20:T20,"三軒茶屋－夜勤")+COUNTIF('2月'!X20:Y20,"三軒茶屋－夜勤")+COUNTIF('2月'!AC20:AD20,"三軒茶屋－夜勤")+COUNTIF('2月'!AH20:AI20,"三軒茶屋－夜勤")+COUNTIF('2月'!AM20:AN20,"三軒茶屋－夜勤")+COUNTIF('2月'!AR20:AS20,"三軒茶屋－夜勤")+COUNTIF('2月'!AW20:AX20,"三軒茶屋－夜勤")+COUNTIF('2月'!BB20:BC20,"三軒茶屋－夜勤")+COUNTIF('2月'!BG20:BH20,"三軒茶屋－夜勤")+COUNTIF('2月'!BL20:BM20,"三軒茶屋－夜勤")+COUNTIF('2月'!BQ20:BR20,"三軒茶屋－夜勤")+COUNTIF('2月'!BV20:BW20,"三軒茶屋－夜勤")+COUNTIF('2月'!CA20:CB20,"三軒茶屋－夜勤")+COUNTIF('2月'!CF20:CG20,"三軒茶屋－夜勤")+COUNTIF('2月'!CK20:CL20,"三軒茶屋－夜勤")+COUNTIF('2月'!CP20:CQ20,"三軒茶屋－夜勤")+COUNTIF('2月'!CU20:CV20,"三軒茶屋－夜勤")+COUNTIF('2月'!CZ20:DA20,"三軒茶屋－夜勤")+COUNTIF('2月'!DE20:DF20,"三軒茶屋－夜勤")+COUNTIF('2月'!DJ20:DK20,"三軒茶屋－夜勤")+COUNTIF('2月'!DO20:DP20,"三軒茶屋－夜勤")+COUNTIF('2月'!DT20:DU20,"三軒茶屋－夜勤")+COUNTIF('2月'!DY20:DZ20,"三軒茶屋－夜勤")+COUNTIF('2月'!ED20:EE20,"三軒茶屋－夜勤")+COUNTIF('2月'!EI20:EJ20,"三軒茶屋－夜勤")+COUNTIF('2月'!EN20:EO20,"三軒茶屋－夜勤")+COUNTIF('2月'!ES20:ET20,"三軒茶屋－夜勤")</f>
        <v>0</v>
      </c>
      <c r="O59" s="76">
        <f t="shared" si="18"/>
        <v>0</v>
      </c>
      <c r="P59" s="76">
        <f>COUNTIF('2月'!D20:E20,P$41)+COUNTIF('2月'!I20:J20,P$41)+COUNTIF('2月'!N20:O20,P$41)+COUNTIF('2月'!S20:T20,P$41)+COUNTIF('2月'!X20:Y20,P$41)+COUNTIF('2月'!AC20:AD20,P$41)+COUNTIF('2月'!AH20:AI20,P$41)+COUNTIF('2月'!AM20:AN20,P$41)+COUNTIF('2月'!AR20:AS20,P$41)+COUNTIF('2月'!AW20:AX20,P$41)+COUNTIF('2月'!BB20:BC20,P$41)+COUNTIF('2月'!BG20:BH20,P$41)+COUNTIF('2月'!BL20:BM20,P$41)+COUNTIF('2月'!BQ20:BR20,P$41)+COUNTIF('2月'!BV20:BW20,P$41)+COUNTIF('2月'!CA20:CB20,P$41)+COUNTIF('2月'!CF20:CG20,P$41)+COUNTIF('2月'!CK20:CL20,P$41)+COUNTIF('2月'!CP20:CQ20,P$41)+COUNTIF('2月'!CU20:CV20,P$41)+COUNTIF('2月'!CZ20:DA20,P$41)+COUNTIF('2月'!DE20:DF20,P$41)+COUNTIF('2月'!DJ20:DK20,P$41)+COUNTIF('2月'!DO20:DP20,P$41)+COUNTIF('2月'!DT20:DU20,P$41)+COUNTIF('2月'!DY20:DZ20,P$41)+COUNTIF('2月'!ED20:EE20,P$41)+COUNTIF('2月'!EI20:EJ20,P$41)+COUNTIF('2月'!EN20:EO20,P$41)+COUNTIF('2月'!ES20:ET20,P$41)+COUNTIF('2月'!D20:E20,"荻窪ー夜勤")+COUNTIF('2月'!I20:J20,"荻窪ー夜勤")+COUNTIF('2月'!N20:O20,"荻窪ー夜勤")+COUNTIF('2月'!S20:T20,"荻窪ー夜勤")+COUNTIF('2月'!X20:Y20,"荻窪ー夜勤")+COUNTIF('2月'!AC20:AD20,"荻窪ー夜勤")+COUNTIF('2月'!AH20:AI20,"荻窪ー夜勤")+COUNTIF('2月'!AM20:AN20,"荻窪ー夜勤")+COUNTIF('2月'!AR20:AS20,"荻窪ー夜勤")+COUNTIF('2月'!AW20:AX20,"荻窪ー夜勤")+COUNTIF('2月'!BB20:BC20,"荻窪ー夜勤")+COUNTIF('2月'!BG20:BH20,"荻窪ー夜勤")+COUNTIF('2月'!BL20:BM20,"荻窪ー夜勤")+COUNTIF('2月'!BQ20:BR20,"荻窪ー夜勤")+COUNTIF('2月'!BV20:BW20,"荻窪ー夜勤")+COUNTIF('2月'!CA20:CB20,"荻窪ー夜勤")+COUNTIF('2月'!CF20:CG20,"荻窪ー夜勤")+COUNTIF('2月'!CK20:CL20,"荻窪ー夜勤")+COUNTIF('2月'!CP20:CQ20,"荻窪ー夜勤")+COUNTIF('2月'!CU20:CV20,"荻窪ー夜勤")+COUNTIF('2月'!CZ20:DA20,"荻窪ー夜勤")+COUNTIF('2月'!DE20:DF20,"荻窪ー夜勤")+COUNTIF('2月'!DJ20:DK20,"荻窪ー夜勤")+COUNTIF('2月'!DO20:DP20,"荻窪ー夜勤")+COUNTIF('2月'!DT20:DU20,"荻窪ー夜勤")+COUNTIF('2月'!DY20:DZ20,"荻窪ー夜勤")+COUNTIF('2月'!ED20:EE20,"荻窪ー夜勤")+COUNTIF('2月'!EI20:EJ20,"荻窪ー夜勤")+COUNTIF('2月'!EN20:EO20,"荻窪ー夜勤")+COUNTIF('2月'!ES20:ET20,"荻窪ー夜勤")</f>
        <v>0</v>
      </c>
      <c r="Q59" s="76">
        <f t="shared" si="19"/>
        <v>0</v>
      </c>
      <c r="R59" s="76">
        <f>COUNTIF('2月'!D20:E20,R$41)+COUNTIF('2月'!I20:J20,R$41)+COUNTIF('2月'!N20:O20,R$41)+COUNTIF('2月'!S20:T20,R$41)+COUNTIF('2月'!X20:Y20,R$41)+COUNTIF('2月'!AC20:AD20,R$41)+COUNTIF('2月'!AH20:AI20,R$41)+COUNTIF('2月'!AM20:AN20,R$41)+COUNTIF('2月'!AR20:AS20,R$41)+COUNTIF('2月'!AW20:AX20,R$41)+COUNTIF('2月'!BB20:BC20,R$41)+COUNTIF('2月'!BG20:BH20,R$41)+COUNTIF('2月'!BL20:BM20,R$41)+COUNTIF('2月'!BQ20:BR20,R$41)+COUNTIF('2月'!BV20:BW20,R$41)+COUNTIF('2月'!CA20:CB20,R$41)+COUNTIF('2月'!CF20:CG20,R$41)+COUNTIF('2月'!CK20:CL20,R$41)+COUNTIF('2月'!CP20:CQ20,R$41)+COUNTIF('2月'!CU20:CV20,R$41)+COUNTIF('2月'!CZ20:DA20,R$41)+COUNTIF('2月'!DE20:DF20,R$41)+COUNTIF('2月'!DJ20:DK20,R$41)+COUNTIF('2月'!DO20:DP20,R$41)+COUNTIF('2月'!DT20:DU20,R$41)+COUNTIF('2月'!DY20:DZ20,R$41)+COUNTIF('2月'!ED20:EE20,R$41)+COUNTIF('2月'!EI20:EJ20,R$41)+COUNTIF('2月'!EN20:EO20,R$41)+COUNTIF('2月'!ES20:ET20,R$41)</f>
        <v>0</v>
      </c>
      <c r="S59" s="76">
        <f t="shared" si="20"/>
        <v>0</v>
      </c>
      <c r="T59" s="76">
        <f>COUNTIF('2月'!D20:E20,T$41)+COUNTIF('2月'!I20:J20,T$41)+COUNTIF('2月'!N20:O20,T$41)+COUNTIF('2月'!S20:T20,T$41)+COUNTIF('2月'!X20:Y20,T$41)+COUNTIF('2月'!AC20:AD20,T$41)+COUNTIF('2月'!AH20:AI20,T$41)+COUNTIF('2月'!AM20:AN20,T$41)+COUNTIF('2月'!AR20:AS20,T$41)+COUNTIF('2月'!AW20:AX20,T$41)+COUNTIF('2月'!BB20:BC20,T$41)+COUNTIF('2月'!BG20:BH20,T$41)+COUNTIF('2月'!BL20:BM20,T$41)+COUNTIF('2月'!BQ20:BR20,T$41)+COUNTIF('2月'!BV20:BW20,T$41)+COUNTIF('2月'!CA20:CB20,T$41)+COUNTIF('2月'!CF20:CG20,T$41)+COUNTIF('2月'!CK20:CL20,T$41)+COUNTIF('2月'!CP20:CQ20,T$41)+COUNTIF('2月'!CU20:CV20,T$41)+COUNTIF('2月'!CZ20:DA20,T$41)+COUNTIF('2月'!DE20:DF20,T$41)+COUNTIF('2月'!DJ20:DK20,T$41)+COUNTIF('2月'!DO20:DP20,T$41)+COUNTIF('2月'!DT20:DU20,T$41)+COUNTIF('2月'!DY20:DZ20,T$41)+COUNTIF('2月'!ED20:EE20,T$41)+COUNTIF('2月'!EI20:EJ20,T$41)+COUNTIF('2月'!EN20:EO20,T$41)+COUNTIF('2月'!ES20:ET20,T$41)</f>
        <v>0</v>
      </c>
      <c r="U59" s="76">
        <f t="shared" si="21"/>
        <v>0</v>
      </c>
      <c r="V59" s="76">
        <f>COUNTIF('2月'!D20:E20,V$41)+COUNTIF('2月'!I20:J20,V$41)+COUNTIF('2月'!N20:O20,V$41)+COUNTIF('2月'!S20:T20,V$41)+COUNTIF('2月'!X20:Y20,V$41)+COUNTIF('2月'!AC20:AD20,V$41)+COUNTIF('2月'!AH20:AI20,V$41)+COUNTIF('2月'!AM20:AN20,V$41)+COUNTIF('2月'!AR20:AS20,V$41)+COUNTIF('2月'!AW20:AX20,V$41)+COUNTIF('2月'!BB20:BC20,V$41)+COUNTIF('2月'!BG20:BH20,V$41)+COUNTIF('2月'!BL20:BM20,V$41)+COUNTIF('2月'!BQ20:BR20,V$41)+COUNTIF('2月'!BV20:BW20,V$41)+COUNTIF('2月'!CA20:CB20,V$41)+COUNTIF('2月'!CF20:CG20,V$41)+COUNTIF('2月'!CK20:CL20,V$41)+COUNTIF('2月'!CP20:CQ20,V$41)+COUNTIF('2月'!CU20:CV20,V$41)+COUNTIF('2月'!CZ20:DA20,V$41)+COUNTIF('2月'!DE20:DF20,V$41)+COUNTIF('2月'!DJ20:DK20,V$41)+COUNTIF('2月'!DO20:DP20,V$41)+COUNTIF('2月'!DT20:DU20,V$41)+COUNTIF('2月'!DY20:DZ20,V$41)+COUNTIF('2月'!ED20:EE20,V$41)+COUNTIF('2月'!EI20:EJ20,V$41)+COUNTIF('2月'!EN20:EO20,V$41)+COUNTIF('2月'!ES20:ET20,V$41)</f>
        <v>0</v>
      </c>
      <c r="W59" s="76">
        <f t="shared" si="22"/>
        <v>0</v>
      </c>
      <c r="X59" s="76">
        <f>COUNTIF('2月'!D20:E20,X$41)+COUNTIF('2月'!I20:J20,X$41)+COUNTIF('2月'!N20:O20,X$41)+COUNTIF('2月'!S20:T20,X$41)+COUNTIF('2月'!X20:Y20,X$41)+COUNTIF('2月'!AC20:AD20,X$41)+COUNTIF('2月'!AH20:AI20,X$41)+COUNTIF('2月'!AM20:AN20,X$41)+COUNTIF('2月'!AR20:AS20,X$41)+COUNTIF('2月'!AW20:AX20,X$41)+COUNTIF('2月'!BB20:BC20,X$41)+COUNTIF('2月'!BG20:BH20,X$41)+COUNTIF('2月'!BL20:BM20,X$41)+COUNTIF('2月'!BQ20:BR20,X$41)+COUNTIF('2月'!BV20:BW20,X$41)+COUNTIF('2月'!CA20:CB20,X$41)+COUNTIF('2月'!CF20:CG20,X$41)+COUNTIF('2月'!CK20:CL20,X$41)+COUNTIF('2月'!CP20:CQ20,X$41)+COUNTIF('2月'!CU20:CV20,X$41)+COUNTIF('2月'!CZ20:DA20,X$41)+COUNTIF('2月'!DE20:DF20,X$41)+COUNTIF('2月'!DJ20:DK20,X$41)+COUNTIF('2月'!DO20:DP20,X$41)+COUNTIF('2月'!DT20:DU20,X$41)+COUNTIF('2月'!DY20:DZ20,X$41)+COUNTIF('2月'!ED20:EE20,X$41)+COUNTIF('2月'!EI20:EJ20,X$41)+COUNTIF('2月'!EN20:EO20,X$41)+COUNTIF('2月'!ES20:ET20,X$41)</f>
        <v>0</v>
      </c>
      <c r="Y59" s="76">
        <f t="shared" si="23"/>
        <v>0</v>
      </c>
    </row>
    <row r="60" spans="1:25" ht="18" customHeight="1">
      <c r="A60" s="76">
        <v>18</v>
      </c>
      <c r="B60" s="76">
        <f>COUNTIF('2月'!D21:E21,B$41)+COUNTIF('2月'!I21:J21,B$41)+COUNTIF('2月'!N21:O21,B$41)+COUNTIF('2月'!S21:T21,B$41)+COUNTIF('2月'!X21:Y21,B$41)+COUNTIF('2月'!AC21:AD21,B$41)+COUNTIF('2月'!AH21:AI21,B$41)+COUNTIF('2月'!AM21:AN21,B$41)+COUNTIF('2月'!AR21:AS21,B$41)+COUNTIF('2月'!AW21:AX21,B$41)+COUNTIF('2月'!BB21:BC21,B$41)+COUNTIF('2月'!BG21:BH21,B$41)+COUNTIF('2月'!BL21:BM21,B$41)+COUNTIF('2月'!BQ21:BR21,B$41)+COUNTIF('2月'!BV21:BW21,B$41)+COUNTIF('2月'!CA21:CB21,B$41)+COUNTIF('2月'!CF21:CG21,B$41)+COUNTIF('2月'!CK21:CL21,B$41)+COUNTIF('2月'!CP21:CQ21,B$41)+COUNTIF('2月'!CU21:CV21,B$41)+COUNTIF('2月'!CZ21:DA21,B$41)+COUNTIF('2月'!DE21:DF21,B$41)+COUNTIF('2月'!DJ21:DK21,B$41)+COUNTIF('2月'!DO21:DP21,B$41)+COUNTIF('2月'!DT21:DU21,B$41)+COUNTIF('2月'!DY21:DZ21,B$41)+COUNTIF('2月'!ED21:EE21,B$41)+COUNTIF('2月'!EI21:EJ21,B$41)+COUNTIF('2月'!EN21:EO21,B$41)+COUNTIF('2月'!ES21:ET21,B$41)</f>
        <v>0</v>
      </c>
      <c r="C60" s="76">
        <f t="shared" si="12"/>
        <v>0</v>
      </c>
      <c r="D60" s="76">
        <f>COUNTIF('2月'!D21:E21,D$41)+COUNTIF('2月'!I21:J21,D$41)+COUNTIF('2月'!N21:O21,D$41)+COUNTIF('2月'!S21:T21,D$41)+COUNTIF('2月'!X21:Y21,D$41)+COUNTIF('2月'!AC21:AD21,D$41)+COUNTIF('2月'!AH21:AI21,D$41)+COUNTIF('2月'!AM21:AN21,D$41)+COUNTIF('2月'!AR21:AS21,D$41)+COUNTIF('2月'!AW21:AX21,D$41)+COUNTIF('2月'!BB21:BC21,D$41)+COUNTIF('2月'!BG21:BH21,D$41)+COUNTIF('2月'!BL21:BM21,D$41)+COUNTIF('2月'!BQ21:BR21,D$41)+COUNTIF('2月'!BV21:BW21,D$41)+COUNTIF('2月'!CA21:CB21,D$41)+COUNTIF('2月'!CF21:CG21,D$41)+COUNTIF('2月'!CK21:CL21,D$41)+COUNTIF('2月'!CP21:CQ21,D$41)+COUNTIF('2月'!CU21:CV21,D$41)+COUNTIF('2月'!CZ21:DA21,D$41)+COUNTIF('2月'!DE21:DF21,D$41)+COUNTIF('2月'!DJ21:DK21,D$41)+COUNTIF('2月'!DO21:DP21,D$41)+COUNTIF('2月'!DT21:DU21,D$41)+COUNTIF('2月'!DY21:DZ21,D$41)+COUNTIF('2月'!ED21:EE21,D$41)+COUNTIF('2月'!EI21:EJ21,D$41)+COUNTIF('2月'!EN21:EO21,D$41)+COUNTIF('2月'!ES21:ET21,D$41)</f>
        <v>0</v>
      </c>
      <c r="E60" s="76">
        <f t="shared" si="13"/>
        <v>0</v>
      </c>
      <c r="F60" s="76">
        <f>COUNTIF('2月'!D21:E21,F$41)+COUNTIF('2月'!I21:J21,F$41)+COUNTIF('2月'!N21:O21,F$41)+COUNTIF('2月'!S21:T21,F$41)+COUNTIF('2月'!X21:Y21,F$41)+COUNTIF('2月'!AC21:AD21,F$41)+COUNTIF('2月'!AH21:AI21,F$41)+COUNTIF('2月'!AM21:AN21,F$41)+COUNTIF('2月'!AR21:AS21,F$41)+COUNTIF('2月'!AW21:AX21,F$41)+COUNTIF('2月'!BB21:BC21,F$41)+COUNTIF('2月'!BG21:BH21,F$41)+COUNTIF('2月'!BL21:BM21,F$41)+COUNTIF('2月'!BQ21:BR21,F$41)+COUNTIF('2月'!BV21:BW21,F$41)+COUNTIF('2月'!CA21:CB21,F$41)+COUNTIF('2月'!CF21:CG21,F$41)+COUNTIF('2月'!CK21:CL21,F$41)+COUNTIF('2月'!CP21:CQ21,F$41)+COUNTIF('2月'!CU21:CV21,F$41)+COUNTIF('2月'!CZ21:DA21,F$41)+COUNTIF('2月'!DE21:DF21,F$41)+COUNTIF('2月'!DJ21:DK21,F$41)+COUNTIF('2月'!DO21:DP21,F$41)+COUNTIF('2月'!DT21:DU21,F$41)+COUNTIF('2月'!DY21:DZ21,F$41)+COUNTIF('2月'!ED21:EE21,F$41)+COUNTIF('2月'!EI21:EJ21,F$41)+COUNTIF('2月'!EN21:EO21,F$41)+COUNTIF('2月'!ES21:ET21,F$41)</f>
        <v>0</v>
      </c>
      <c r="G60" s="76">
        <f t="shared" si="14"/>
        <v>0</v>
      </c>
      <c r="H60" s="76">
        <f>COUNTIF('2月'!D21:E21,H$41)+COUNTIF('2月'!I21:J21,H$41)+COUNTIF('2月'!N21:O21,H$41)+COUNTIF('2月'!S21:T21,H$41)+COUNTIF('2月'!X21:Y21,H$41)+COUNTIF('2月'!AC21:AD21,H$41)+COUNTIF('2月'!AH21:AI21,H$41)+COUNTIF('2月'!AM21:AN21,H$41)+COUNTIF('2月'!AR21:AS21,H$41)+COUNTIF('2月'!AW21:AX21,H$41)+COUNTIF('2月'!BB21:BC21,H$41)+COUNTIF('2月'!BG21:BH21,H$41)+COUNTIF('2月'!BL21:BM21,H$41)+COUNTIF('2月'!BQ21:BR21,H$41)+COUNTIF('2月'!BV21:BW21,H$41)+COUNTIF('2月'!CA21:CB21,H$41)+COUNTIF('2月'!CF21:CG21,H$41)+COUNTIF('2月'!CK21:CL21,H$41)+COUNTIF('2月'!CP21:CQ21,H$41)+COUNTIF('2月'!CU21:CV21,H$41)+COUNTIF('2月'!CZ21:DA21,H$41)+COUNTIF('2月'!DE21:DF21,H$41)+COUNTIF('2月'!DJ21:DK21,H$41)+COUNTIF('2月'!DO21:DP21,H$41)+COUNTIF('2月'!DT21:DU21,H$41)+COUNTIF('2月'!DY21:DZ21,H$41)+COUNTIF('2月'!ED21:EE21,H$41)+COUNTIF('2月'!EI21:EJ21,H$41)+COUNTIF('2月'!EN21:EO21,H$41)+COUNTIF('2月'!ES21:ET21,H$41)+COUNTIF('2月'!D21:E21,"渋谷-夜勤")+COUNTIF('2月'!I21:J21,"渋谷-夜勤")+COUNTIF('2月'!N21:O21,"渋谷-夜勤")+COUNTIF('2月'!S21:T21,"渋谷-夜勤")+COUNTIF('2月'!X21:Y21,"渋谷-夜勤")+COUNTIF('2月'!AC21:AD21,"渋谷-夜勤")+COUNTIF('2月'!AH21:AI21,"渋谷-夜勤")+COUNTIF('2月'!AM21:AN21,"渋谷-夜勤")+COUNTIF('2月'!AR21:AS21,"渋谷-夜勤")+COUNTIF('2月'!AW21:AX21,"渋谷-夜勤")+COUNTIF('2月'!BB21:BC21,"渋谷-夜勤")+COUNTIF('2月'!BG21:BH21,"渋谷-夜勤")+COUNTIF('2月'!BL21:BM21,"渋谷-夜勤")+COUNTIF('2月'!BQ21:BR21,"渋谷-夜勤")+COUNTIF('2月'!BV21:BW21,"渋谷-夜勤")+COUNTIF('2月'!CA21:CB21,"渋谷-夜勤")+COUNTIF('2月'!CF21:CG21,"渋谷-夜勤")+COUNTIF('2月'!CK21:CL21,"渋谷-夜勤")+COUNTIF('2月'!CP21:CQ21,"渋谷-夜勤")+COUNTIF('2月'!CU21:CV21,"渋谷-夜勤")+COUNTIF('2月'!CZ21:DA21,"渋谷-夜勤")+COUNTIF('2月'!DE21:DF21,"渋谷-夜勤")+COUNTIF('2月'!DJ21:DK21,"渋谷-夜勤")+COUNTIF('2月'!DO21:DP21,"渋谷-夜勤")+COUNTIF('2月'!DT21:DU21,"渋谷-夜勤")+COUNTIF('2月'!DY21:DZ21,"渋谷-夜勤")+COUNTIF('2月'!ED21:EE21,"渋谷-夜勤")+COUNTIF('2月'!EI21:EJ21,"渋谷-夜勤")+COUNTIF('2月'!EN21:EO21,"渋谷-夜勤")+COUNTIF('2月'!ES21:ET21,"渋谷-夜勤")</f>
        <v>0</v>
      </c>
      <c r="I60" s="76">
        <f t="shared" si="15"/>
        <v>0</v>
      </c>
      <c r="J60" s="76">
        <f>COUNTIF('2月'!D21:E21,J$41)+COUNTIF('2月'!I21:J21,J$41)+COUNTIF('2月'!N21:O21,J$41)+COUNTIF('2月'!S21:T21,J$41)+COUNTIF('2月'!X21:Y21,J$41)+COUNTIF('2月'!AC21:AD21,J$41)+COUNTIF('2月'!AH21:AI21,J$41)+COUNTIF('2月'!AM21:AN21,J$41)+COUNTIF('2月'!AR21:AS21,J$41)+COUNTIF('2月'!AW21:AX21,J$41)+COUNTIF('2月'!BB21:BC21,J$41)+COUNTIF('2月'!BG21:BH21,J$41)+COUNTIF('2月'!BL21:BM21,J$41)+COUNTIF('2月'!BQ21:BR21,J$41)+COUNTIF('2月'!BV21:BW21,J$41)+COUNTIF('2月'!CA21:CB21,J$41)+COUNTIF('2月'!CF21:CG21,J$41)+COUNTIF('2月'!CK21:CL21,J$41)+COUNTIF('2月'!CP21:CQ21,J$41)+COUNTIF('2月'!CU21:CV21,J$41)+COUNTIF('2月'!CZ21:DA21,J$41)+COUNTIF('2月'!DE21:DF21,J$41)+COUNTIF('2月'!DJ21:DK21,J$41)+COUNTIF('2月'!DO21:DP21,J$41)+COUNTIF('2月'!DT21:DU21,J$41)+COUNTIF('2月'!DY21:DZ21,J$41)+COUNTIF('2月'!ED21:EE21,J$41)+COUNTIF('2月'!EI21:EJ21,J$41)+COUNTIF('2月'!EN21:EO21,J$41)+COUNTIF('2月'!ES21:ET21,J$41)+COUNTIF('2月'!D21:E21,"六本木-夜勤")+COUNTIF('2月'!I21:J21,"六本木-夜勤")+COUNTIF('2月'!N21:O21,"六本木-夜勤")+COUNTIF('2月'!S21:T21,"六本木-夜勤")+COUNTIF('2月'!X21:Y21,"六本木-夜勤")+COUNTIF('2月'!AC21:AD21,"六本木-夜勤")+COUNTIF('2月'!AH21:AI21,"六本木-夜勤")+COUNTIF('2月'!AM21:AN21,"六本木-夜勤")+COUNTIF('2月'!AR21:AS21,"六本木-夜勤")+COUNTIF('2月'!AW21:AX21,"六本木-夜勤")+COUNTIF('2月'!BB21:BC21,"六本木-夜勤")+COUNTIF('2月'!BG21:BH21,"六本木-夜勤")+COUNTIF('2月'!BL21:BM21,"六本木-夜勤")+COUNTIF('2月'!BQ21:BR21,"六本木-夜勤")+COUNTIF('2月'!BV21:BW21,"六本木-夜勤")+COUNTIF('2月'!CA21:CB21,"六本木-夜勤")+COUNTIF('2月'!CF21:CG21,"六本木-夜勤")+COUNTIF('2月'!CK21:CL21,"六本木-夜勤")+COUNTIF('2月'!CP21:CQ21,"六本木-夜勤")+COUNTIF('2月'!CU21:CV21,"六本木-夜勤")+COUNTIF('2月'!CZ21:DA21,"六本木-夜勤")+COUNTIF('2月'!DE21:DF21,"六本木-夜勤")+COUNTIF('2月'!DJ21:DK21,"六本木-夜勤")+COUNTIF('2月'!DO21:DP21,"六本木-夜勤")+COUNTIF('2月'!DT21:DU21,"六本木-夜勤")+COUNTIF('2月'!DY21:DZ21,"六本木-夜勤")+COUNTIF('2月'!ED21:EE21,"六本木-夜勤")+COUNTIF('2月'!EI21:EJ21,"六本木-夜勤")+COUNTIF('2月'!EN21:EO21,"六本木-夜勤")+COUNTIF('2月'!ES21:ET21,"六本木-夜勤")+COUNTIF('2月'!D21:E21,"六本木ー夜勤")+COUNTIF('2月'!I21:J21,"六本木ー夜勤")+COUNTIF('2月'!N21:O21,"六本木ー夜勤")+COUNTIF('2月'!S21:T21,"六本木ー夜勤")+COUNTIF('2月'!X21:Y21,"六本木ー夜勤")+COUNTIF('2月'!AC21:AD21,"六本木ー夜勤")+COUNTIF('2月'!AH21:AI21,"六本木ー夜勤")+COUNTIF('2月'!AM21:AN21,"六本木ー夜勤")+COUNTIF('2月'!AR21:AS21,"六本木ー夜勤")+COUNTIF('2月'!AW21:AX21,"六本木ー夜勤")+COUNTIF('2月'!BB21:BC21,"六本木ー夜勤")+COUNTIF('2月'!BG21:BH21,"六本木ー夜勤")+COUNTIF('2月'!BL21:BM21,"六本木ー夜勤")+COUNTIF('2月'!BQ21:BR21,"六本木ー夜勤")+COUNTIF('2月'!BV21:BW21,"六本木ー夜勤")+COUNTIF('2月'!CA21:CB21,"六本木ー夜勤")+COUNTIF('2月'!CF21:CG21,"六本木ー夜勤")+COUNTIF('2月'!CK21:CL21,"六本木ー夜勤")+COUNTIF('2月'!CP21:CQ21,"六本木ー夜勤")+COUNTIF('2月'!CU21:CV21,"六本木ー夜勤")+COUNTIF('2月'!CZ21:DA21,"六本木ー夜勤")+COUNTIF('2月'!DE21:DF21,"六本木ー夜勤")+COUNTIF('2月'!DJ21:DK21,"六本木ー夜勤")+COUNTIF('2月'!DO21:DP21,"六本木ー夜勤")+COUNTIF('2月'!DT21:DU21,"六本木ー夜勤")+COUNTIF('2月'!DY21:DZ21,"六本木ー夜勤")+COUNTIF('2月'!ED21:EE21,"六本木ー夜勤")+COUNTIF('2月'!EI21:EJ21,"六本木ー夜勤")+COUNTIF('2月'!EN21:EO21,"六本木ー夜勤")+COUNTIF('2月'!ES21:ET21,"六本木ー夜勤")</f>
        <v>0</v>
      </c>
      <c r="K60" s="76">
        <f t="shared" si="16"/>
        <v>0</v>
      </c>
      <c r="L60" s="76">
        <f>COUNTIF('2月'!D21:E21,L$41)+COUNTIF('2月'!I21:J21,L$41)+COUNTIF('2月'!N21:O21,L$41)+COUNTIF('2月'!S21:T21,L$41)+COUNTIF('2月'!X21:Y21,L$41)+COUNTIF('2月'!AC21:AD21,L$41)+COUNTIF('2月'!AH21:AI21,L$41)+COUNTIF('2月'!AM21:AN21,L$41)+COUNTIF('2月'!AR21:AS21,L$41)+COUNTIF('2月'!AW21:AX21,L$41)+COUNTIF('2月'!BB21:BC21,L$41)+COUNTIF('2月'!BG21:BH21,L$41)+COUNTIF('2月'!BL21:BM21,L$41)+COUNTIF('2月'!BQ21:BR21,L$41)+COUNTIF('2月'!BV21:BW21,L$41)+COUNTIF('2月'!CA21:CB21,L$41)+COUNTIF('2月'!CF21:CG21,L$41)+COUNTIF('2月'!CK21:CL21,L$41)+COUNTIF('2月'!CP21:CQ21,L$41)+COUNTIF('2月'!CU21:CV21,L$41)+COUNTIF('2月'!CZ21:DA21,L$41)+COUNTIF('2月'!DE21:DF21,L$41)+COUNTIF('2月'!DJ21:DK21,L$41)+COUNTIF('2月'!DO21:DP21,L$41)+COUNTIF('2月'!DT21:DU21,L$41)+COUNTIF('2月'!DY21:DZ21,L$41)+COUNTIF('2月'!ED21:EE21,L$41)+COUNTIF('2月'!EI21:EJ21,L$41)+COUNTIF('2月'!EN21:EO21,L$41)+COUNTIF('2月'!ES21:ET21,L$41)</f>
        <v>0</v>
      </c>
      <c r="M60" s="76">
        <f t="shared" si="17"/>
        <v>0</v>
      </c>
      <c r="N60" s="76">
        <f>COUNTIF('2月'!D21:E21,N$41)+COUNTIF('2月'!I21:J21,N$41)+COUNTIF('2月'!N21:O21,N$41)+COUNTIF('2月'!S21:T21,N$41)+COUNTIF('2月'!X21:Y21,N$41)+COUNTIF('2月'!AC21:AD21,N$41)+COUNTIF('2月'!AH21:AI21,N$41)+COUNTIF('2月'!AM21:AN21,N$41)+COUNTIF('2月'!AR21:AS21,N$41)+COUNTIF('2月'!AW21:AX21,N$41)+COUNTIF('2月'!BB21:BC21,N$41)+COUNTIF('2月'!BG21:BH21,N$41)+COUNTIF('2月'!BL21:BM21,N$41)+COUNTIF('2月'!BQ21:BR21,N$41)+COUNTIF('2月'!BV21:BW21,N$41)+COUNTIF('2月'!CA21:CB21,N$41)+COUNTIF('2月'!CF21:CG21,N$41)+COUNTIF('2月'!CK21:CL21,N$41)+COUNTIF('2月'!CP21:CQ21,N$41)+COUNTIF('2月'!CU21:CV21,N$41)+COUNTIF('2月'!CZ21:DA21,N$41)+COUNTIF('2月'!DE21:DF21,N$41)+COUNTIF('2月'!DJ21:DK21,N$41)+COUNTIF('2月'!DO21:DP21,N$41)+COUNTIF('2月'!DT21:DU21,N$41)+COUNTIF('2月'!DY21:DZ21,N$41)+COUNTIF('2月'!ED21:EE21,N$41)+COUNTIF('2月'!EI21:EJ21,N$41)+COUNTIF('2月'!EN21:EO21,N$41)+COUNTIF('2月'!ES21:ET21,N$41)+COUNTIF('2月'!D21:E21,"三軒茶屋－夜勤")+COUNTIF('2月'!I21:J21,"三軒茶屋－夜勤")+COUNTIF('2月'!N21:O21,"三軒茶屋－夜勤")+COUNTIF('2月'!S21:T21,"三軒茶屋－夜勤")+COUNTIF('2月'!X21:Y21,"三軒茶屋－夜勤")+COUNTIF('2月'!AC21:AD21,"三軒茶屋－夜勤")+COUNTIF('2月'!AH21:AI21,"三軒茶屋－夜勤")+COUNTIF('2月'!AM21:AN21,"三軒茶屋－夜勤")+COUNTIF('2月'!AR21:AS21,"三軒茶屋－夜勤")+COUNTIF('2月'!AW21:AX21,"三軒茶屋－夜勤")+COUNTIF('2月'!BB21:BC21,"三軒茶屋－夜勤")+COUNTIF('2月'!BG21:BH21,"三軒茶屋－夜勤")+COUNTIF('2月'!BL21:BM21,"三軒茶屋－夜勤")+COUNTIF('2月'!BQ21:BR21,"三軒茶屋－夜勤")+COUNTIF('2月'!BV21:BW21,"三軒茶屋－夜勤")+COUNTIF('2月'!CA21:CB21,"三軒茶屋－夜勤")+COUNTIF('2月'!CF21:CG21,"三軒茶屋－夜勤")+COUNTIF('2月'!CK21:CL21,"三軒茶屋－夜勤")+COUNTIF('2月'!CP21:CQ21,"三軒茶屋－夜勤")+COUNTIF('2月'!CU21:CV21,"三軒茶屋－夜勤")+COUNTIF('2月'!CZ21:DA21,"三軒茶屋－夜勤")+COUNTIF('2月'!DE21:DF21,"三軒茶屋－夜勤")+COUNTIF('2月'!DJ21:DK21,"三軒茶屋－夜勤")+COUNTIF('2月'!DO21:DP21,"三軒茶屋－夜勤")+COUNTIF('2月'!DT21:DU21,"三軒茶屋－夜勤")+COUNTIF('2月'!DY21:DZ21,"三軒茶屋－夜勤")+COUNTIF('2月'!ED21:EE21,"三軒茶屋－夜勤")+COUNTIF('2月'!EI21:EJ21,"三軒茶屋－夜勤")+COUNTIF('2月'!EN21:EO21,"三軒茶屋－夜勤")+COUNTIF('2月'!ES21:ET21,"三軒茶屋－夜勤")</f>
        <v>0</v>
      </c>
      <c r="O60" s="76">
        <f t="shared" si="18"/>
        <v>0</v>
      </c>
      <c r="P60" s="76">
        <f>COUNTIF('2月'!D21:E21,P$41)+COUNTIF('2月'!I21:J21,P$41)+COUNTIF('2月'!N21:O21,P$41)+COUNTIF('2月'!S21:T21,P$41)+COUNTIF('2月'!X21:Y21,P$41)+COUNTIF('2月'!AC21:AD21,P$41)+COUNTIF('2月'!AH21:AI21,P$41)+COUNTIF('2月'!AM21:AN21,P$41)+COUNTIF('2月'!AR21:AS21,P$41)+COUNTIF('2月'!AW21:AX21,P$41)+COUNTIF('2月'!BB21:BC21,P$41)+COUNTIF('2月'!BG21:BH21,P$41)+COUNTIF('2月'!BL21:BM21,P$41)+COUNTIF('2月'!BQ21:BR21,P$41)+COUNTIF('2月'!BV21:BW21,P$41)+COUNTIF('2月'!CA21:CB21,P$41)+COUNTIF('2月'!CF21:CG21,P$41)+COUNTIF('2月'!CK21:CL21,P$41)+COUNTIF('2月'!CP21:CQ21,P$41)+COUNTIF('2月'!CU21:CV21,P$41)+COUNTIF('2月'!CZ21:DA21,P$41)+COUNTIF('2月'!DE21:DF21,P$41)+COUNTIF('2月'!DJ21:DK21,P$41)+COUNTIF('2月'!DO21:DP21,P$41)+COUNTIF('2月'!DT21:DU21,P$41)+COUNTIF('2月'!DY21:DZ21,P$41)+COUNTIF('2月'!ED21:EE21,P$41)+COUNTIF('2月'!EI21:EJ21,P$41)+COUNTIF('2月'!EN21:EO21,P$41)+COUNTIF('2月'!ES21:ET21,P$41)+COUNTIF('2月'!D21:E21,"荻窪ー夜勤")+COUNTIF('2月'!I21:J21,"荻窪ー夜勤")+COUNTIF('2月'!N21:O21,"荻窪ー夜勤")+COUNTIF('2月'!S21:T21,"荻窪ー夜勤")+COUNTIF('2月'!X21:Y21,"荻窪ー夜勤")+COUNTIF('2月'!AC21:AD21,"荻窪ー夜勤")+COUNTIF('2月'!AH21:AI21,"荻窪ー夜勤")+COUNTIF('2月'!AM21:AN21,"荻窪ー夜勤")+COUNTIF('2月'!AR21:AS21,"荻窪ー夜勤")+COUNTIF('2月'!AW21:AX21,"荻窪ー夜勤")+COUNTIF('2月'!BB21:BC21,"荻窪ー夜勤")+COUNTIF('2月'!BG21:BH21,"荻窪ー夜勤")+COUNTIF('2月'!BL21:BM21,"荻窪ー夜勤")+COUNTIF('2月'!BQ21:BR21,"荻窪ー夜勤")+COUNTIF('2月'!BV21:BW21,"荻窪ー夜勤")+COUNTIF('2月'!CA21:CB21,"荻窪ー夜勤")+COUNTIF('2月'!CF21:CG21,"荻窪ー夜勤")+COUNTIF('2月'!CK21:CL21,"荻窪ー夜勤")+COUNTIF('2月'!CP21:CQ21,"荻窪ー夜勤")+COUNTIF('2月'!CU21:CV21,"荻窪ー夜勤")+COUNTIF('2月'!CZ21:DA21,"荻窪ー夜勤")+COUNTIF('2月'!DE21:DF21,"荻窪ー夜勤")+COUNTIF('2月'!DJ21:DK21,"荻窪ー夜勤")+COUNTIF('2月'!DO21:DP21,"荻窪ー夜勤")+COUNTIF('2月'!DT21:DU21,"荻窪ー夜勤")+COUNTIF('2月'!DY21:DZ21,"荻窪ー夜勤")+COUNTIF('2月'!ED21:EE21,"荻窪ー夜勤")+COUNTIF('2月'!EI21:EJ21,"荻窪ー夜勤")+COUNTIF('2月'!EN21:EO21,"荻窪ー夜勤")+COUNTIF('2月'!ES21:ET21,"荻窪ー夜勤")</f>
        <v>0</v>
      </c>
      <c r="Q60" s="76">
        <f t="shared" si="19"/>
        <v>0</v>
      </c>
      <c r="R60" s="76">
        <f>COUNTIF('2月'!D21:E21,R$41)+COUNTIF('2月'!I21:J21,R$41)+COUNTIF('2月'!N21:O21,R$41)+COUNTIF('2月'!S21:T21,R$41)+COUNTIF('2月'!X21:Y21,R$41)+COUNTIF('2月'!AC21:AD21,R$41)+COUNTIF('2月'!AH21:AI21,R$41)+COUNTIF('2月'!AM21:AN21,R$41)+COUNTIF('2月'!AR21:AS21,R$41)+COUNTIF('2月'!AW21:AX21,R$41)+COUNTIF('2月'!BB21:BC21,R$41)+COUNTIF('2月'!BG21:BH21,R$41)+COUNTIF('2月'!BL21:BM21,R$41)+COUNTIF('2月'!BQ21:BR21,R$41)+COUNTIF('2月'!BV21:BW21,R$41)+COUNTIF('2月'!CA21:CB21,R$41)+COUNTIF('2月'!CF21:CG21,R$41)+COUNTIF('2月'!CK21:CL21,R$41)+COUNTIF('2月'!CP21:CQ21,R$41)+COUNTIF('2月'!CU21:CV21,R$41)+COUNTIF('2月'!CZ21:DA21,R$41)+COUNTIF('2月'!DE21:DF21,R$41)+COUNTIF('2月'!DJ21:DK21,R$41)+COUNTIF('2月'!DO21:DP21,R$41)+COUNTIF('2月'!DT21:DU21,R$41)+COUNTIF('2月'!DY21:DZ21,R$41)+COUNTIF('2月'!ED21:EE21,R$41)+COUNTIF('2月'!EI21:EJ21,R$41)+COUNTIF('2月'!EN21:EO21,R$41)+COUNTIF('2月'!ES21:ET21,R$41)</f>
        <v>0</v>
      </c>
      <c r="S60" s="76">
        <f t="shared" si="20"/>
        <v>0</v>
      </c>
      <c r="T60" s="76">
        <f>COUNTIF('2月'!D21:E21,T$41)+COUNTIF('2月'!I21:J21,T$41)+COUNTIF('2月'!N21:O21,T$41)+COUNTIF('2月'!S21:T21,T$41)+COUNTIF('2月'!X21:Y21,T$41)+COUNTIF('2月'!AC21:AD21,T$41)+COUNTIF('2月'!AH21:AI21,T$41)+COUNTIF('2月'!AM21:AN21,T$41)+COUNTIF('2月'!AR21:AS21,T$41)+COUNTIF('2月'!AW21:AX21,T$41)+COUNTIF('2月'!BB21:BC21,T$41)+COUNTIF('2月'!BG21:BH21,T$41)+COUNTIF('2月'!BL21:BM21,T$41)+COUNTIF('2月'!BQ21:BR21,T$41)+COUNTIF('2月'!BV21:BW21,T$41)+COUNTIF('2月'!CA21:CB21,T$41)+COUNTIF('2月'!CF21:CG21,T$41)+COUNTIF('2月'!CK21:CL21,T$41)+COUNTIF('2月'!CP21:CQ21,T$41)+COUNTIF('2月'!CU21:CV21,T$41)+COUNTIF('2月'!CZ21:DA21,T$41)+COUNTIF('2月'!DE21:DF21,T$41)+COUNTIF('2月'!DJ21:DK21,T$41)+COUNTIF('2月'!DO21:DP21,T$41)+COUNTIF('2月'!DT21:DU21,T$41)+COUNTIF('2月'!DY21:DZ21,T$41)+COUNTIF('2月'!ED21:EE21,T$41)+COUNTIF('2月'!EI21:EJ21,T$41)+COUNTIF('2月'!EN21:EO21,T$41)+COUNTIF('2月'!ES21:ET21,T$41)</f>
        <v>0</v>
      </c>
      <c r="U60" s="76">
        <f t="shared" si="21"/>
        <v>0</v>
      </c>
      <c r="V60" s="76">
        <f>COUNTIF('2月'!D21:E21,V$41)+COUNTIF('2月'!I21:J21,V$41)+COUNTIF('2月'!N21:O21,V$41)+COUNTIF('2月'!S21:T21,V$41)+COUNTIF('2月'!X21:Y21,V$41)+COUNTIF('2月'!AC21:AD21,V$41)+COUNTIF('2月'!AH21:AI21,V$41)+COUNTIF('2月'!AM21:AN21,V$41)+COUNTIF('2月'!AR21:AS21,V$41)+COUNTIF('2月'!AW21:AX21,V$41)+COUNTIF('2月'!BB21:BC21,V$41)+COUNTIF('2月'!BG21:BH21,V$41)+COUNTIF('2月'!BL21:BM21,V$41)+COUNTIF('2月'!BQ21:BR21,V$41)+COUNTIF('2月'!BV21:BW21,V$41)+COUNTIF('2月'!CA21:CB21,V$41)+COUNTIF('2月'!CF21:CG21,V$41)+COUNTIF('2月'!CK21:CL21,V$41)+COUNTIF('2月'!CP21:CQ21,V$41)+COUNTIF('2月'!CU21:CV21,V$41)+COUNTIF('2月'!CZ21:DA21,V$41)+COUNTIF('2月'!DE21:DF21,V$41)+COUNTIF('2月'!DJ21:DK21,V$41)+COUNTIF('2月'!DO21:DP21,V$41)+COUNTIF('2月'!DT21:DU21,V$41)+COUNTIF('2月'!DY21:DZ21,V$41)+COUNTIF('2月'!ED21:EE21,V$41)+COUNTIF('2月'!EI21:EJ21,V$41)+COUNTIF('2月'!EN21:EO21,V$41)+COUNTIF('2月'!ES21:ET21,V$41)</f>
        <v>0</v>
      </c>
      <c r="W60" s="76">
        <f t="shared" si="22"/>
        <v>0</v>
      </c>
      <c r="X60" s="76">
        <f>COUNTIF('2月'!D21:E21,X$41)+COUNTIF('2月'!I21:J21,X$41)+COUNTIF('2月'!N21:O21,X$41)+COUNTIF('2月'!S21:T21,X$41)+COUNTIF('2月'!X21:Y21,X$41)+COUNTIF('2月'!AC21:AD21,X$41)+COUNTIF('2月'!AH21:AI21,X$41)+COUNTIF('2月'!AM21:AN21,X$41)+COUNTIF('2月'!AR21:AS21,X$41)+COUNTIF('2月'!AW21:AX21,X$41)+COUNTIF('2月'!BB21:BC21,X$41)+COUNTIF('2月'!BG21:BH21,X$41)+COUNTIF('2月'!BL21:BM21,X$41)+COUNTIF('2月'!BQ21:BR21,X$41)+COUNTIF('2月'!BV21:BW21,X$41)+COUNTIF('2月'!CA21:CB21,X$41)+COUNTIF('2月'!CF21:CG21,X$41)+COUNTIF('2月'!CK21:CL21,X$41)+COUNTIF('2月'!CP21:CQ21,X$41)+COUNTIF('2月'!CU21:CV21,X$41)+COUNTIF('2月'!CZ21:DA21,X$41)+COUNTIF('2月'!DE21:DF21,X$41)+COUNTIF('2月'!DJ21:DK21,X$41)+COUNTIF('2月'!DO21:DP21,X$41)+COUNTIF('2月'!DT21:DU21,X$41)+COUNTIF('2月'!DY21:DZ21,X$41)+COUNTIF('2月'!ED21:EE21,X$41)+COUNTIF('2月'!EI21:EJ21,X$41)+COUNTIF('2月'!EN21:EO21,X$41)+COUNTIF('2月'!ES21:ET21,X$41)</f>
        <v>0</v>
      </c>
      <c r="Y60" s="76">
        <f t="shared" si="23"/>
        <v>0</v>
      </c>
    </row>
    <row r="61" spans="1:25" ht="18" customHeight="1">
      <c r="A61" s="76">
        <v>19</v>
      </c>
      <c r="B61" s="76">
        <f>COUNTIF('2月'!D22:E22,B$41)+COUNTIF('2月'!I22:J22,B$41)+COUNTIF('2月'!N22:O22,B$41)+COUNTIF('2月'!S22:T22,B$41)+COUNTIF('2月'!X22:Y22,B$41)+COUNTIF('2月'!AC22:AD22,B$41)+COUNTIF('2月'!AH22:AI22,B$41)+COUNTIF('2月'!AM22:AN22,B$41)+COUNTIF('2月'!AR22:AS22,B$41)+COUNTIF('2月'!AW22:AX22,B$41)+COUNTIF('2月'!BB22:BC22,B$41)+COUNTIF('2月'!BG22:BH22,B$41)+COUNTIF('2月'!BL22:BM22,B$41)+COUNTIF('2月'!BQ22:BR22,B$41)+COUNTIF('2月'!BV22:BW22,B$41)+COUNTIF('2月'!CA22:CB22,B$41)+COUNTIF('2月'!CF22:CG22,B$41)+COUNTIF('2月'!CK22:CL22,B$41)+COUNTIF('2月'!CP22:CQ22,B$41)+COUNTIF('2月'!CU22:CV22,B$41)+COUNTIF('2月'!CZ22:DA22,B$41)+COUNTIF('2月'!DE22:DF22,B$41)+COUNTIF('2月'!DJ22:DK22,B$41)+COUNTIF('2月'!DO22:DP22,B$41)+COUNTIF('2月'!DT22:DU22,B$41)+COUNTIF('2月'!DY22:DZ22,B$41)+COUNTIF('2月'!ED22:EE22,B$41)+COUNTIF('2月'!EI22:EJ22,B$41)+COUNTIF('2月'!EN22:EO22,B$41)+COUNTIF('2月'!ES22:ET22,B$41)</f>
        <v>0</v>
      </c>
      <c r="C61" s="76">
        <f t="shared" si="12"/>
        <v>0</v>
      </c>
      <c r="D61" s="76">
        <f>COUNTIF('2月'!D22:E22,D$41)+COUNTIF('2月'!I22:J22,D$41)+COUNTIF('2月'!N22:O22,D$41)+COUNTIF('2月'!S22:T22,D$41)+COUNTIF('2月'!X22:Y22,D$41)+COUNTIF('2月'!AC22:AD22,D$41)+COUNTIF('2月'!AH22:AI22,D$41)+COUNTIF('2月'!AM22:AN22,D$41)+COUNTIF('2月'!AR22:AS22,D$41)+COUNTIF('2月'!AW22:AX22,D$41)+COUNTIF('2月'!BB22:BC22,D$41)+COUNTIF('2月'!BG22:BH22,D$41)+COUNTIF('2月'!BL22:BM22,D$41)+COUNTIF('2月'!BQ22:BR22,D$41)+COUNTIF('2月'!BV22:BW22,D$41)+COUNTIF('2月'!CA22:CB22,D$41)+COUNTIF('2月'!CF22:CG22,D$41)+COUNTIF('2月'!CK22:CL22,D$41)+COUNTIF('2月'!CP22:CQ22,D$41)+COUNTIF('2月'!CU22:CV22,D$41)+COUNTIF('2月'!CZ22:DA22,D$41)+COUNTIF('2月'!DE22:DF22,D$41)+COUNTIF('2月'!DJ22:DK22,D$41)+COUNTIF('2月'!DO22:DP22,D$41)+COUNTIF('2月'!DT22:DU22,D$41)+COUNTIF('2月'!DY22:DZ22,D$41)+COUNTIF('2月'!ED22:EE22,D$41)+COUNTIF('2月'!EI22:EJ22,D$41)+COUNTIF('2月'!EN22:EO22,D$41)+COUNTIF('2月'!ES22:ET22,D$41)</f>
        <v>0</v>
      </c>
      <c r="E61" s="76">
        <f t="shared" si="13"/>
        <v>0</v>
      </c>
      <c r="F61" s="76">
        <f>COUNTIF('2月'!D22:E22,F$41)+COUNTIF('2月'!I22:J22,F$41)+COUNTIF('2月'!N22:O22,F$41)+COUNTIF('2月'!S22:T22,F$41)+COUNTIF('2月'!X22:Y22,F$41)+COUNTIF('2月'!AC22:AD22,F$41)+COUNTIF('2月'!AH22:AI22,F$41)+COUNTIF('2月'!AM22:AN22,F$41)+COUNTIF('2月'!AR22:AS22,F$41)+COUNTIF('2月'!AW22:AX22,F$41)+COUNTIF('2月'!BB22:BC22,F$41)+COUNTIF('2月'!BG22:BH22,F$41)+COUNTIF('2月'!BL22:BM22,F$41)+COUNTIF('2月'!BQ22:BR22,F$41)+COUNTIF('2月'!BV22:BW22,F$41)+COUNTIF('2月'!CA22:CB22,F$41)+COUNTIF('2月'!CF22:CG22,F$41)+COUNTIF('2月'!CK22:CL22,F$41)+COUNTIF('2月'!CP22:CQ22,F$41)+COUNTIF('2月'!CU22:CV22,F$41)+COUNTIF('2月'!CZ22:DA22,F$41)+COUNTIF('2月'!DE22:DF22,F$41)+COUNTIF('2月'!DJ22:DK22,F$41)+COUNTIF('2月'!DO22:DP22,F$41)+COUNTIF('2月'!DT22:DU22,F$41)+COUNTIF('2月'!DY22:DZ22,F$41)+COUNTIF('2月'!ED22:EE22,F$41)+COUNTIF('2月'!EI22:EJ22,F$41)+COUNTIF('2月'!EN22:EO22,F$41)+COUNTIF('2月'!ES22:ET22,F$41)</f>
        <v>0</v>
      </c>
      <c r="G61" s="76">
        <f t="shared" si="14"/>
        <v>0</v>
      </c>
      <c r="H61" s="76">
        <f>COUNTIF('2月'!D22:E22,H$41)+COUNTIF('2月'!I22:J22,H$41)+COUNTIF('2月'!N22:O22,H$41)+COUNTIF('2月'!S22:T22,H$41)+COUNTIF('2月'!X22:Y22,H$41)+COUNTIF('2月'!AC22:AD22,H$41)+COUNTIF('2月'!AH22:AI22,H$41)+COUNTIF('2月'!AM22:AN22,H$41)+COUNTIF('2月'!AR22:AS22,H$41)+COUNTIF('2月'!AW22:AX22,H$41)+COUNTIF('2月'!BB22:BC22,H$41)+COUNTIF('2月'!BG22:BH22,H$41)+COUNTIF('2月'!BL22:BM22,H$41)+COUNTIF('2月'!BQ22:BR22,H$41)+COUNTIF('2月'!BV22:BW22,H$41)+COUNTIF('2月'!CA22:CB22,H$41)+COUNTIF('2月'!CF22:CG22,H$41)+COUNTIF('2月'!CK22:CL22,H$41)+COUNTIF('2月'!CP22:CQ22,H$41)+COUNTIF('2月'!CU22:CV22,H$41)+COUNTIF('2月'!CZ22:DA22,H$41)+COUNTIF('2月'!DE22:DF22,H$41)+COUNTIF('2月'!DJ22:DK22,H$41)+COUNTIF('2月'!DO22:DP22,H$41)+COUNTIF('2月'!DT22:DU22,H$41)+COUNTIF('2月'!DY22:DZ22,H$41)+COUNTIF('2月'!ED22:EE22,H$41)+COUNTIF('2月'!EI22:EJ22,H$41)+COUNTIF('2月'!EN22:EO22,H$41)+COUNTIF('2月'!ES22:ET22,H$41)+COUNTIF('2月'!D22:E22,"渋谷-夜勤")+COUNTIF('2月'!I22:J22,"渋谷-夜勤")+COUNTIF('2月'!N22:O22,"渋谷-夜勤")+COUNTIF('2月'!S22:T22,"渋谷-夜勤")+COUNTIF('2月'!X22:Y22,"渋谷-夜勤")+COUNTIF('2月'!AC22:AD22,"渋谷-夜勤")+COUNTIF('2月'!AH22:AI22,"渋谷-夜勤")+COUNTIF('2月'!AM22:AN22,"渋谷-夜勤")+COUNTIF('2月'!AR22:AS22,"渋谷-夜勤")+COUNTIF('2月'!AW22:AX22,"渋谷-夜勤")+COUNTIF('2月'!BB22:BC22,"渋谷-夜勤")+COUNTIF('2月'!BG22:BH22,"渋谷-夜勤")+COUNTIF('2月'!BL22:BM22,"渋谷-夜勤")+COUNTIF('2月'!BQ22:BR22,"渋谷-夜勤")+COUNTIF('2月'!BV22:BW22,"渋谷-夜勤")+COUNTIF('2月'!CA22:CB22,"渋谷-夜勤")+COUNTIF('2月'!CF22:CG22,"渋谷-夜勤")+COUNTIF('2月'!CK22:CL22,"渋谷-夜勤")+COUNTIF('2月'!CP22:CQ22,"渋谷-夜勤")+COUNTIF('2月'!CU22:CV22,"渋谷-夜勤")+COUNTIF('2月'!CZ22:DA22,"渋谷-夜勤")+COUNTIF('2月'!DE22:DF22,"渋谷-夜勤")+COUNTIF('2月'!DJ22:DK22,"渋谷-夜勤")+COUNTIF('2月'!DO22:DP22,"渋谷-夜勤")+COUNTIF('2月'!DT22:DU22,"渋谷-夜勤")+COUNTIF('2月'!DY22:DZ22,"渋谷-夜勤")+COUNTIF('2月'!ED22:EE22,"渋谷-夜勤")+COUNTIF('2月'!EI22:EJ22,"渋谷-夜勤")+COUNTIF('2月'!EN22:EO22,"渋谷-夜勤")+COUNTIF('2月'!ES22:ET22,"渋谷-夜勤")</f>
        <v>0</v>
      </c>
      <c r="I61" s="76">
        <f t="shared" si="15"/>
        <v>0</v>
      </c>
      <c r="J61" s="76">
        <f>COUNTIF('2月'!D22:E22,J$41)+COUNTIF('2月'!I22:J22,J$41)+COUNTIF('2月'!N22:O22,J$41)+COUNTIF('2月'!S22:T22,J$41)+COUNTIF('2月'!X22:Y22,J$41)+COUNTIF('2月'!AC22:AD22,J$41)+COUNTIF('2月'!AH22:AI22,J$41)+COUNTIF('2月'!AM22:AN22,J$41)+COUNTIF('2月'!AR22:AS22,J$41)+COUNTIF('2月'!AW22:AX22,J$41)+COUNTIF('2月'!BB22:BC22,J$41)+COUNTIF('2月'!BG22:BH22,J$41)+COUNTIF('2月'!BL22:BM22,J$41)+COUNTIF('2月'!BQ22:BR22,J$41)+COUNTIF('2月'!BV22:BW22,J$41)+COUNTIF('2月'!CA22:CB22,J$41)+COUNTIF('2月'!CF22:CG22,J$41)+COUNTIF('2月'!CK22:CL22,J$41)+COUNTIF('2月'!CP22:CQ22,J$41)+COUNTIF('2月'!CU22:CV22,J$41)+COUNTIF('2月'!CZ22:DA22,J$41)+COUNTIF('2月'!DE22:DF22,J$41)+COUNTIF('2月'!DJ22:DK22,J$41)+COUNTIF('2月'!DO22:DP22,J$41)+COUNTIF('2月'!DT22:DU22,J$41)+COUNTIF('2月'!DY22:DZ22,J$41)+COUNTIF('2月'!ED22:EE22,J$41)+COUNTIF('2月'!EI22:EJ22,J$41)+COUNTIF('2月'!EN22:EO22,J$41)+COUNTIF('2月'!ES22:ET22,J$41)+COUNTIF('2月'!D22:E22,"六本木-夜勤")+COUNTIF('2月'!I22:J22,"六本木-夜勤")+COUNTIF('2月'!N22:O22,"六本木-夜勤")+COUNTIF('2月'!S22:T22,"六本木-夜勤")+COUNTIF('2月'!X22:Y22,"六本木-夜勤")+COUNTIF('2月'!AC22:AD22,"六本木-夜勤")+COUNTIF('2月'!AH22:AI22,"六本木-夜勤")+COUNTIF('2月'!AM22:AN22,"六本木-夜勤")+COUNTIF('2月'!AR22:AS22,"六本木-夜勤")+COUNTIF('2月'!AW22:AX22,"六本木-夜勤")+COUNTIF('2月'!BB22:BC22,"六本木-夜勤")+COUNTIF('2月'!BG22:BH22,"六本木-夜勤")+COUNTIF('2月'!BL22:BM22,"六本木-夜勤")+COUNTIF('2月'!BQ22:BR22,"六本木-夜勤")+COUNTIF('2月'!BV22:BW22,"六本木-夜勤")+COUNTIF('2月'!CA22:CB22,"六本木-夜勤")+COUNTIF('2月'!CF22:CG22,"六本木-夜勤")+COUNTIF('2月'!CK22:CL22,"六本木-夜勤")+COUNTIF('2月'!CP22:CQ22,"六本木-夜勤")+COUNTIF('2月'!CU22:CV22,"六本木-夜勤")+COUNTIF('2月'!CZ22:DA22,"六本木-夜勤")+COUNTIF('2月'!DE22:DF22,"六本木-夜勤")+COUNTIF('2月'!DJ22:DK22,"六本木-夜勤")+COUNTIF('2月'!DO22:DP22,"六本木-夜勤")+COUNTIF('2月'!DT22:DU22,"六本木-夜勤")+COUNTIF('2月'!DY22:DZ22,"六本木-夜勤")+COUNTIF('2月'!ED22:EE22,"六本木-夜勤")+COUNTIF('2月'!EI22:EJ22,"六本木-夜勤")+COUNTIF('2月'!EN22:EO22,"六本木-夜勤")+COUNTIF('2月'!ES22:ET22,"六本木-夜勤")+COUNTIF('2月'!D22:E22,"六本木ー夜勤")+COUNTIF('2月'!I22:J22,"六本木ー夜勤")+COUNTIF('2月'!N22:O22,"六本木ー夜勤")+COUNTIF('2月'!S22:T22,"六本木ー夜勤")+COUNTIF('2月'!X22:Y22,"六本木ー夜勤")+COUNTIF('2月'!AC22:AD22,"六本木ー夜勤")+COUNTIF('2月'!AH22:AI22,"六本木ー夜勤")+COUNTIF('2月'!AM22:AN22,"六本木ー夜勤")+COUNTIF('2月'!AR22:AS22,"六本木ー夜勤")+COUNTIF('2月'!AW22:AX22,"六本木ー夜勤")+COUNTIF('2月'!BB22:BC22,"六本木ー夜勤")+COUNTIF('2月'!BG22:BH22,"六本木ー夜勤")+COUNTIF('2月'!BL22:BM22,"六本木ー夜勤")+COUNTIF('2月'!BQ22:BR22,"六本木ー夜勤")+COUNTIF('2月'!BV22:BW22,"六本木ー夜勤")+COUNTIF('2月'!CA22:CB22,"六本木ー夜勤")+COUNTIF('2月'!CF22:CG22,"六本木ー夜勤")+COUNTIF('2月'!CK22:CL22,"六本木ー夜勤")+COUNTIF('2月'!CP22:CQ22,"六本木ー夜勤")+COUNTIF('2月'!CU22:CV22,"六本木ー夜勤")+COUNTIF('2月'!CZ22:DA22,"六本木ー夜勤")+COUNTIF('2月'!DE22:DF22,"六本木ー夜勤")+COUNTIF('2月'!DJ22:DK22,"六本木ー夜勤")+COUNTIF('2月'!DO22:DP22,"六本木ー夜勤")+COUNTIF('2月'!DT22:DU22,"六本木ー夜勤")+COUNTIF('2月'!DY22:DZ22,"六本木ー夜勤")+COUNTIF('2月'!ED22:EE22,"六本木ー夜勤")+COUNTIF('2月'!EI22:EJ22,"六本木ー夜勤")+COUNTIF('2月'!EN22:EO22,"六本木ー夜勤")+COUNTIF('2月'!ES22:ET22,"六本木ー夜勤")</f>
        <v>0</v>
      </c>
      <c r="K61" s="76">
        <f t="shared" si="16"/>
        <v>0</v>
      </c>
      <c r="L61" s="76">
        <f>COUNTIF('2月'!D22:E22,L$41)+COUNTIF('2月'!I22:J22,L$41)+COUNTIF('2月'!N22:O22,L$41)+COUNTIF('2月'!S22:T22,L$41)+COUNTIF('2月'!X22:Y22,L$41)+COUNTIF('2月'!AC22:AD22,L$41)+COUNTIF('2月'!AH22:AI22,L$41)+COUNTIF('2月'!AM22:AN22,L$41)+COUNTIF('2月'!AR22:AS22,L$41)+COUNTIF('2月'!AW22:AX22,L$41)+COUNTIF('2月'!BB22:BC22,L$41)+COUNTIF('2月'!BG22:BH22,L$41)+COUNTIF('2月'!BL22:BM22,L$41)+COUNTIF('2月'!BQ22:BR22,L$41)+COUNTIF('2月'!BV22:BW22,L$41)+COUNTIF('2月'!CA22:CB22,L$41)+COUNTIF('2月'!CF22:CG22,L$41)+COUNTIF('2月'!CK22:CL22,L$41)+COUNTIF('2月'!CP22:CQ22,L$41)+COUNTIF('2月'!CU22:CV22,L$41)+COUNTIF('2月'!CZ22:DA22,L$41)+COUNTIF('2月'!DE22:DF22,L$41)+COUNTIF('2月'!DJ22:DK22,L$41)+COUNTIF('2月'!DO22:DP22,L$41)+COUNTIF('2月'!DT22:DU22,L$41)+COUNTIF('2月'!DY22:DZ22,L$41)+COUNTIF('2月'!ED22:EE22,L$41)+COUNTIF('2月'!EI22:EJ22,L$41)+COUNTIF('2月'!EN22:EO22,L$41)+COUNTIF('2月'!ES22:ET22,L$41)</f>
        <v>0</v>
      </c>
      <c r="M61" s="76">
        <f t="shared" si="17"/>
        <v>0</v>
      </c>
      <c r="N61" s="76">
        <f>COUNTIF('2月'!D22:E22,N$41)+COUNTIF('2月'!I22:J22,N$41)+COUNTIF('2月'!N22:O22,N$41)+COUNTIF('2月'!S22:T22,N$41)+COUNTIF('2月'!X22:Y22,N$41)+COUNTIF('2月'!AC22:AD22,N$41)+COUNTIF('2月'!AH22:AI22,N$41)+COUNTIF('2月'!AM22:AN22,N$41)+COUNTIF('2月'!AR22:AS22,N$41)+COUNTIF('2月'!AW22:AX22,N$41)+COUNTIF('2月'!BB22:BC22,N$41)+COUNTIF('2月'!BG22:BH22,N$41)+COUNTIF('2月'!BL22:BM22,N$41)+COUNTIF('2月'!BQ22:BR22,N$41)+COUNTIF('2月'!BV22:BW22,N$41)+COUNTIF('2月'!CA22:CB22,N$41)+COUNTIF('2月'!CF22:CG22,N$41)+COUNTIF('2月'!CK22:CL22,N$41)+COUNTIF('2月'!CP22:CQ22,N$41)+COUNTIF('2月'!CU22:CV22,N$41)+COUNTIF('2月'!CZ22:DA22,N$41)+COUNTIF('2月'!DE22:DF22,N$41)+COUNTIF('2月'!DJ22:DK22,N$41)+COUNTIF('2月'!DO22:DP22,N$41)+COUNTIF('2月'!DT22:DU22,N$41)+COUNTIF('2月'!DY22:DZ22,N$41)+COUNTIF('2月'!ED22:EE22,N$41)+COUNTIF('2月'!EI22:EJ22,N$41)+COUNTIF('2月'!EN22:EO22,N$41)+COUNTIF('2月'!ES22:ET22,N$41)+COUNTIF('2月'!D22:E22,"三軒茶屋－夜勤")+COUNTIF('2月'!I22:J22,"三軒茶屋－夜勤")+COUNTIF('2月'!N22:O22,"三軒茶屋－夜勤")+COUNTIF('2月'!S22:T22,"三軒茶屋－夜勤")+COUNTIF('2月'!X22:Y22,"三軒茶屋－夜勤")+COUNTIF('2月'!AC22:AD22,"三軒茶屋－夜勤")+COUNTIF('2月'!AH22:AI22,"三軒茶屋－夜勤")+COUNTIF('2月'!AM22:AN22,"三軒茶屋－夜勤")+COUNTIF('2月'!AR22:AS22,"三軒茶屋－夜勤")+COUNTIF('2月'!AW22:AX22,"三軒茶屋－夜勤")+COUNTIF('2月'!BB22:BC22,"三軒茶屋－夜勤")+COUNTIF('2月'!BG22:BH22,"三軒茶屋－夜勤")+COUNTIF('2月'!BL22:BM22,"三軒茶屋－夜勤")+COUNTIF('2月'!BQ22:BR22,"三軒茶屋－夜勤")+COUNTIF('2月'!BV22:BW22,"三軒茶屋－夜勤")+COUNTIF('2月'!CA22:CB22,"三軒茶屋－夜勤")+COUNTIF('2月'!CF22:CG22,"三軒茶屋－夜勤")+COUNTIF('2月'!CK22:CL22,"三軒茶屋－夜勤")+COUNTIF('2月'!CP22:CQ22,"三軒茶屋－夜勤")+COUNTIF('2月'!CU22:CV22,"三軒茶屋－夜勤")+COUNTIF('2月'!CZ22:DA22,"三軒茶屋－夜勤")+COUNTIF('2月'!DE22:DF22,"三軒茶屋－夜勤")+COUNTIF('2月'!DJ22:DK22,"三軒茶屋－夜勤")+COUNTIF('2月'!DO22:DP22,"三軒茶屋－夜勤")+COUNTIF('2月'!DT22:DU22,"三軒茶屋－夜勤")+COUNTIF('2月'!DY22:DZ22,"三軒茶屋－夜勤")+COUNTIF('2月'!ED22:EE22,"三軒茶屋－夜勤")+COUNTIF('2月'!EI22:EJ22,"三軒茶屋－夜勤")+COUNTIF('2月'!EN22:EO22,"三軒茶屋－夜勤")+COUNTIF('2月'!ES22:ET22,"三軒茶屋－夜勤")</f>
        <v>0</v>
      </c>
      <c r="O61" s="76">
        <f t="shared" si="18"/>
        <v>0</v>
      </c>
      <c r="P61" s="76">
        <f>COUNTIF('2月'!D22:E22,P$41)+COUNTIF('2月'!I22:J22,P$41)+COUNTIF('2月'!N22:O22,P$41)+COUNTIF('2月'!S22:T22,P$41)+COUNTIF('2月'!X22:Y22,P$41)+COUNTIF('2月'!AC22:AD22,P$41)+COUNTIF('2月'!AH22:AI22,P$41)+COUNTIF('2月'!AM22:AN22,P$41)+COUNTIF('2月'!AR22:AS22,P$41)+COUNTIF('2月'!AW22:AX22,P$41)+COUNTIF('2月'!BB22:BC22,P$41)+COUNTIF('2月'!BG22:BH22,P$41)+COUNTIF('2月'!BL22:BM22,P$41)+COUNTIF('2月'!BQ22:BR22,P$41)+COUNTIF('2月'!BV22:BW22,P$41)+COUNTIF('2月'!CA22:CB22,P$41)+COUNTIF('2月'!CF22:CG22,P$41)+COUNTIF('2月'!CK22:CL22,P$41)+COUNTIF('2月'!CP22:CQ22,P$41)+COUNTIF('2月'!CU22:CV22,P$41)+COUNTIF('2月'!CZ22:DA22,P$41)+COUNTIF('2月'!DE22:DF22,P$41)+COUNTIF('2月'!DJ22:DK22,P$41)+COUNTIF('2月'!DO22:DP22,P$41)+COUNTIF('2月'!DT22:DU22,P$41)+COUNTIF('2月'!DY22:DZ22,P$41)+COUNTIF('2月'!ED22:EE22,P$41)+COUNTIF('2月'!EI22:EJ22,P$41)+COUNTIF('2月'!EN22:EO22,P$41)+COUNTIF('2月'!ES22:ET22,P$41)+COUNTIF('2月'!D22:E22,"荻窪ー夜勤")+COUNTIF('2月'!I22:J22,"荻窪ー夜勤")+COUNTIF('2月'!N22:O22,"荻窪ー夜勤")+COUNTIF('2月'!S22:T22,"荻窪ー夜勤")+COUNTIF('2月'!X22:Y22,"荻窪ー夜勤")+COUNTIF('2月'!AC22:AD22,"荻窪ー夜勤")+COUNTIF('2月'!AH22:AI22,"荻窪ー夜勤")+COUNTIF('2月'!AM22:AN22,"荻窪ー夜勤")+COUNTIF('2月'!AR22:AS22,"荻窪ー夜勤")+COUNTIF('2月'!AW22:AX22,"荻窪ー夜勤")+COUNTIF('2月'!BB22:BC22,"荻窪ー夜勤")+COUNTIF('2月'!BG22:BH22,"荻窪ー夜勤")+COUNTIF('2月'!BL22:BM22,"荻窪ー夜勤")+COUNTIF('2月'!BQ22:BR22,"荻窪ー夜勤")+COUNTIF('2月'!BV22:BW22,"荻窪ー夜勤")+COUNTIF('2月'!CA22:CB22,"荻窪ー夜勤")+COUNTIF('2月'!CF22:CG22,"荻窪ー夜勤")+COUNTIF('2月'!CK22:CL22,"荻窪ー夜勤")+COUNTIF('2月'!CP22:CQ22,"荻窪ー夜勤")+COUNTIF('2月'!CU22:CV22,"荻窪ー夜勤")+COUNTIF('2月'!CZ22:DA22,"荻窪ー夜勤")+COUNTIF('2月'!DE22:DF22,"荻窪ー夜勤")+COUNTIF('2月'!DJ22:DK22,"荻窪ー夜勤")+COUNTIF('2月'!DO22:DP22,"荻窪ー夜勤")+COUNTIF('2月'!DT22:DU22,"荻窪ー夜勤")+COUNTIF('2月'!DY22:DZ22,"荻窪ー夜勤")+COUNTIF('2月'!ED22:EE22,"荻窪ー夜勤")+COUNTIF('2月'!EI22:EJ22,"荻窪ー夜勤")+COUNTIF('2月'!EN22:EO22,"荻窪ー夜勤")+COUNTIF('2月'!ES22:ET22,"荻窪ー夜勤")</f>
        <v>0</v>
      </c>
      <c r="Q61" s="76">
        <f t="shared" si="19"/>
        <v>0</v>
      </c>
      <c r="R61" s="76">
        <f>COUNTIF('2月'!D22:E22,R$41)+COUNTIF('2月'!I22:J22,R$41)+COUNTIF('2月'!N22:O22,R$41)+COUNTIF('2月'!S22:T22,R$41)+COUNTIF('2月'!X22:Y22,R$41)+COUNTIF('2月'!AC22:AD22,R$41)+COUNTIF('2月'!AH22:AI22,R$41)+COUNTIF('2月'!AM22:AN22,R$41)+COUNTIF('2月'!AR22:AS22,R$41)+COUNTIF('2月'!AW22:AX22,R$41)+COUNTIF('2月'!BB22:BC22,R$41)+COUNTIF('2月'!BG22:BH22,R$41)+COUNTIF('2月'!BL22:BM22,R$41)+COUNTIF('2月'!BQ22:BR22,R$41)+COUNTIF('2月'!BV22:BW22,R$41)+COUNTIF('2月'!CA22:CB22,R$41)+COUNTIF('2月'!CF22:CG22,R$41)+COUNTIF('2月'!CK22:CL22,R$41)+COUNTIF('2月'!CP22:CQ22,R$41)+COUNTIF('2月'!CU22:CV22,R$41)+COUNTIF('2月'!CZ22:DA22,R$41)+COUNTIF('2月'!DE22:DF22,R$41)+COUNTIF('2月'!DJ22:DK22,R$41)+COUNTIF('2月'!DO22:DP22,R$41)+COUNTIF('2月'!DT22:DU22,R$41)+COUNTIF('2月'!DY22:DZ22,R$41)+COUNTIF('2月'!ED22:EE22,R$41)+COUNTIF('2月'!EI22:EJ22,R$41)+COUNTIF('2月'!EN22:EO22,R$41)+COUNTIF('2月'!ES22:ET22,R$41)</f>
        <v>0</v>
      </c>
      <c r="S61" s="76">
        <f t="shared" si="20"/>
        <v>0</v>
      </c>
      <c r="T61" s="76">
        <f>COUNTIF('2月'!D22:E22,T$41)+COUNTIF('2月'!I22:J22,T$41)+COUNTIF('2月'!N22:O22,T$41)+COUNTIF('2月'!S22:T22,T$41)+COUNTIF('2月'!X22:Y22,T$41)+COUNTIF('2月'!AC22:AD22,T$41)+COUNTIF('2月'!AH22:AI22,T$41)+COUNTIF('2月'!AM22:AN22,T$41)+COUNTIF('2月'!AR22:AS22,T$41)+COUNTIF('2月'!AW22:AX22,T$41)+COUNTIF('2月'!BB22:BC22,T$41)+COUNTIF('2月'!BG22:BH22,T$41)+COUNTIF('2月'!BL22:BM22,T$41)+COUNTIF('2月'!BQ22:BR22,T$41)+COUNTIF('2月'!BV22:BW22,T$41)+COUNTIF('2月'!CA22:CB22,T$41)+COUNTIF('2月'!CF22:CG22,T$41)+COUNTIF('2月'!CK22:CL22,T$41)+COUNTIF('2月'!CP22:CQ22,T$41)+COUNTIF('2月'!CU22:CV22,T$41)+COUNTIF('2月'!CZ22:DA22,T$41)+COUNTIF('2月'!DE22:DF22,T$41)+COUNTIF('2月'!DJ22:DK22,T$41)+COUNTIF('2月'!DO22:DP22,T$41)+COUNTIF('2月'!DT22:DU22,T$41)+COUNTIF('2月'!DY22:DZ22,T$41)+COUNTIF('2月'!ED22:EE22,T$41)+COUNTIF('2月'!EI22:EJ22,T$41)+COUNTIF('2月'!EN22:EO22,T$41)+COUNTIF('2月'!ES22:ET22,T$41)</f>
        <v>0</v>
      </c>
      <c r="U61" s="76">
        <f t="shared" si="21"/>
        <v>0</v>
      </c>
      <c r="V61" s="76">
        <f>COUNTIF('2月'!D22:E22,V$41)+COUNTIF('2月'!I22:J22,V$41)+COUNTIF('2月'!N22:O22,V$41)+COUNTIF('2月'!S22:T22,V$41)+COUNTIF('2月'!X22:Y22,V$41)+COUNTIF('2月'!AC22:AD22,V$41)+COUNTIF('2月'!AH22:AI22,V$41)+COUNTIF('2月'!AM22:AN22,V$41)+COUNTIF('2月'!AR22:AS22,V$41)+COUNTIF('2月'!AW22:AX22,V$41)+COUNTIF('2月'!BB22:BC22,V$41)+COUNTIF('2月'!BG22:BH22,V$41)+COUNTIF('2月'!BL22:BM22,V$41)+COUNTIF('2月'!BQ22:BR22,V$41)+COUNTIF('2月'!BV22:BW22,V$41)+COUNTIF('2月'!CA22:CB22,V$41)+COUNTIF('2月'!CF22:CG22,V$41)+COUNTIF('2月'!CK22:CL22,V$41)+COUNTIF('2月'!CP22:CQ22,V$41)+COUNTIF('2月'!CU22:CV22,V$41)+COUNTIF('2月'!CZ22:DA22,V$41)+COUNTIF('2月'!DE22:DF22,V$41)+COUNTIF('2月'!DJ22:DK22,V$41)+COUNTIF('2月'!DO22:DP22,V$41)+COUNTIF('2月'!DT22:DU22,V$41)+COUNTIF('2月'!DY22:DZ22,V$41)+COUNTIF('2月'!ED22:EE22,V$41)+COUNTIF('2月'!EI22:EJ22,V$41)+COUNTIF('2月'!EN22:EO22,V$41)+COUNTIF('2月'!ES22:ET22,V$41)</f>
        <v>0</v>
      </c>
      <c r="W61" s="76">
        <f t="shared" si="22"/>
        <v>0</v>
      </c>
      <c r="X61" s="76">
        <f>COUNTIF('2月'!D22:E22,X$41)+COUNTIF('2月'!I22:J22,X$41)+COUNTIF('2月'!N22:O22,X$41)+COUNTIF('2月'!S22:T22,X$41)+COUNTIF('2月'!X22:Y22,X$41)+COUNTIF('2月'!AC22:AD22,X$41)+COUNTIF('2月'!AH22:AI22,X$41)+COUNTIF('2月'!AM22:AN22,X$41)+COUNTIF('2月'!AR22:AS22,X$41)+COUNTIF('2月'!AW22:AX22,X$41)+COUNTIF('2月'!BB22:BC22,X$41)+COUNTIF('2月'!BG22:BH22,X$41)+COUNTIF('2月'!BL22:BM22,X$41)+COUNTIF('2月'!BQ22:BR22,X$41)+COUNTIF('2月'!BV22:BW22,X$41)+COUNTIF('2月'!CA22:CB22,X$41)+COUNTIF('2月'!CF22:CG22,X$41)+COUNTIF('2月'!CK22:CL22,X$41)+COUNTIF('2月'!CP22:CQ22,X$41)+COUNTIF('2月'!CU22:CV22,X$41)+COUNTIF('2月'!CZ22:DA22,X$41)+COUNTIF('2月'!DE22:DF22,X$41)+COUNTIF('2月'!DJ22:DK22,X$41)+COUNTIF('2月'!DO22:DP22,X$41)+COUNTIF('2月'!DT22:DU22,X$41)+COUNTIF('2月'!DY22:DZ22,X$41)+COUNTIF('2月'!ED22:EE22,X$41)+COUNTIF('2月'!EI22:EJ22,X$41)+COUNTIF('2月'!EN22:EO22,X$41)+COUNTIF('2月'!ES22:ET22,X$41)</f>
        <v>0</v>
      </c>
      <c r="Y61" s="76">
        <f t="shared" si="23"/>
        <v>0</v>
      </c>
    </row>
    <row r="62" spans="1:25" ht="18" customHeight="1">
      <c r="A62" s="76">
        <v>20</v>
      </c>
      <c r="B62" s="76">
        <f>COUNTIF('2月'!D23:E23,B$41)+COUNTIF('2月'!I23:J23,B$41)+COUNTIF('2月'!N23:O23,B$41)+COUNTIF('2月'!S23:T23,B$41)+COUNTIF('2月'!X23:Y23,B$41)+COUNTIF('2月'!AC23:AD23,B$41)+COUNTIF('2月'!AH23:AI23,B$41)+COUNTIF('2月'!AM23:AN23,B$41)+COUNTIF('2月'!AR23:AS23,B$41)+COUNTIF('2月'!AW23:AX23,B$41)+COUNTIF('2月'!BB23:BC23,B$41)+COUNTIF('2月'!BG23:BH23,B$41)+COUNTIF('2月'!BL23:BM23,B$41)+COUNTIF('2月'!BQ23:BR23,B$41)+COUNTIF('2月'!BV23:BW23,B$41)+COUNTIF('2月'!CA23:CB23,B$41)+COUNTIF('2月'!CF23:CG23,B$41)+COUNTIF('2月'!CK23:CL23,B$41)+COUNTIF('2月'!CP23:CQ23,B$41)+COUNTIF('2月'!CU23:CV23,B$41)+COUNTIF('2月'!CZ23:DA23,B$41)+COUNTIF('2月'!DE23:DF23,B$41)+COUNTIF('2月'!DJ23:DK23,B$41)+COUNTIF('2月'!DO23:DP23,B$41)+COUNTIF('2月'!DT23:DU23,B$41)+COUNTIF('2月'!DY23:DZ23,B$41)+COUNTIF('2月'!ED23:EE23,B$41)+COUNTIF('2月'!EI23:EJ23,B$41)+COUNTIF('2月'!EN23:EO23,B$41)+COUNTIF('2月'!ES23:ET23,B$41)</f>
        <v>0</v>
      </c>
      <c r="C62" s="76">
        <f t="shared" si="12"/>
        <v>0</v>
      </c>
      <c r="D62" s="76">
        <f>COUNTIF('2月'!D23:E23,D$41)+COUNTIF('2月'!I23:J23,D$41)+COUNTIF('2月'!N23:O23,D$41)+COUNTIF('2月'!S23:T23,D$41)+COUNTIF('2月'!X23:Y23,D$41)+COUNTIF('2月'!AC23:AD23,D$41)+COUNTIF('2月'!AH23:AI23,D$41)+COUNTIF('2月'!AM23:AN23,D$41)+COUNTIF('2月'!AR23:AS23,D$41)+COUNTIF('2月'!AW23:AX23,D$41)+COUNTIF('2月'!BB23:BC23,D$41)+COUNTIF('2月'!BG23:BH23,D$41)+COUNTIF('2月'!BL23:BM23,D$41)+COUNTIF('2月'!BQ23:BR23,D$41)+COUNTIF('2月'!BV23:BW23,D$41)+COUNTIF('2月'!CA23:CB23,D$41)+COUNTIF('2月'!CF23:CG23,D$41)+COUNTIF('2月'!CK23:CL23,D$41)+COUNTIF('2月'!CP23:CQ23,D$41)+COUNTIF('2月'!CU23:CV23,D$41)+COUNTIF('2月'!CZ23:DA23,D$41)+COUNTIF('2月'!DE23:DF23,D$41)+COUNTIF('2月'!DJ23:DK23,D$41)+COUNTIF('2月'!DO23:DP23,D$41)+COUNTIF('2月'!DT23:DU23,D$41)+COUNTIF('2月'!DY23:DZ23,D$41)+COUNTIF('2月'!ED23:EE23,D$41)+COUNTIF('2月'!EI23:EJ23,D$41)+COUNTIF('2月'!EN23:EO23,D$41)+COUNTIF('2月'!ES23:ET23,D$41)</f>
        <v>0</v>
      </c>
      <c r="E62" s="76">
        <f t="shared" si="13"/>
        <v>0</v>
      </c>
      <c r="F62" s="76">
        <f>COUNTIF('2月'!D23:E23,F$41)+COUNTIF('2月'!I23:J23,F$41)+COUNTIF('2月'!N23:O23,F$41)+COUNTIF('2月'!S23:T23,F$41)+COUNTIF('2月'!X23:Y23,F$41)+COUNTIF('2月'!AC23:AD23,F$41)+COUNTIF('2月'!AH23:AI23,F$41)+COUNTIF('2月'!AM23:AN23,F$41)+COUNTIF('2月'!AR23:AS23,F$41)+COUNTIF('2月'!AW23:AX23,F$41)+COUNTIF('2月'!BB23:BC23,F$41)+COUNTIF('2月'!BG23:BH23,F$41)+COUNTIF('2月'!BL23:BM23,F$41)+COUNTIF('2月'!BQ23:BR23,F$41)+COUNTIF('2月'!BV23:BW23,F$41)+COUNTIF('2月'!CA23:CB23,F$41)+COUNTIF('2月'!CF23:CG23,F$41)+COUNTIF('2月'!CK23:CL23,F$41)+COUNTIF('2月'!CP23:CQ23,F$41)+COUNTIF('2月'!CU23:CV23,F$41)+COUNTIF('2月'!CZ23:DA23,F$41)+COUNTIF('2月'!DE23:DF23,F$41)+COUNTIF('2月'!DJ23:DK23,F$41)+COUNTIF('2月'!DO23:DP23,F$41)+COUNTIF('2月'!DT23:DU23,F$41)+COUNTIF('2月'!DY23:DZ23,F$41)+COUNTIF('2月'!ED23:EE23,F$41)+COUNTIF('2月'!EI23:EJ23,F$41)+COUNTIF('2月'!EN23:EO23,F$41)+COUNTIF('2月'!ES23:ET23,F$41)</f>
        <v>0</v>
      </c>
      <c r="G62" s="76">
        <f t="shared" si="14"/>
        <v>0</v>
      </c>
      <c r="H62" s="76">
        <f>COUNTIF('2月'!D23:E23,H$41)+COUNTIF('2月'!I23:J23,H$41)+COUNTIF('2月'!N23:O23,H$41)+COUNTIF('2月'!S23:T23,H$41)+COUNTIF('2月'!X23:Y23,H$41)+COUNTIF('2月'!AC23:AD23,H$41)+COUNTIF('2月'!AH23:AI23,H$41)+COUNTIF('2月'!AM23:AN23,H$41)+COUNTIF('2月'!AR23:AS23,H$41)+COUNTIF('2月'!AW23:AX23,H$41)+COUNTIF('2月'!BB23:BC23,H$41)+COUNTIF('2月'!BG23:BH23,H$41)+COUNTIF('2月'!BL23:BM23,H$41)+COUNTIF('2月'!BQ23:BR23,H$41)+COUNTIF('2月'!BV23:BW23,H$41)+COUNTIF('2月'!CA23:CB23,H$41)+COUNTIF('2月'!CF23:CG23,H$41)+COUNTIF('2月'!CK23:CL23,H$41)+COUNTIF('2月'!CP23:CQ23,H$41)+COUNTIF('2月'!CU23:CV23,H$41)+COUNTIF('2月'!CZ23:DA23,H$41)+COUNTIF('2月'!DE23:DF23,H$41)+COUNTIF('2月'!DJ23:DK23,H$41)+COUNTIF('2月'!DO23:DP23,H$41)+COUNTIF('2月'!DT23:DU23,H$41)+COUNTIF('2月'!DY23:DZ23,H$41)+COUNTIF('2月'!ED23:EE23,H$41)+COUNTIF('2月'!EI23:EJ23,H$41)+COUNTIF('2月'!EN23:EO23,H$41)+COUNTIF('2月'!ES23:ET23,H$41)+COUNTIF('2月'!D23:E23,"渋谷-夜勤")+COUNTIF('2月'!I23:J23,"渋谷-夜勤")+COUNTIF('2月'!N23:O23,"渋谷-夜勤")+COUNTIF('2月'!S23:T23,"渋谷-夜勤")+COUNTIF('2月'!X23:Y23,"渋谷-夜勤")+COUNTIF('2月'!AC23:AD23,"渋谷-夜勤")+COUNTIF('2月'!AH23:AI23,"渋谷-夜勤")+COUNTIF('2月'!AM23:AN23,"渋谷-夜勤")+COUNTIF('2月'!AR23:AS23,"渋谷-夜勤")+COUNTIF('2月'!AW23:AX23,"渋谷-夜勤")+COUNTIF('2月'!BB23:BC23,"渋谷-夜勤")+COUNTIF('2月'!BG23:BH23,"渋谷-夜勤")+COUNTIF('2月'!BL23:BM23,"渋谷-夜勤")+COUNTIF('2月'!BQ23:BR23,"渋谷-夜勤")+COUNTIF('2月'!BV23:BW23,"渋谷-夜勤")+COUNTIF('2月'!CA23:CB23,"渋谷-夜勤")+COUNTIF('2月'!CF23:CG23,"渋谷-夜勤")+COUNTIF('2月'!CK23:CL23,"渋谷-夜勤")+COUNTIF('2月'!CP23:CQ23,"渋谷-夜勤")+COUNTIF('2月'!CU23:CV23,"渋谷-夜勤")+COUNTIF('2月'!CZ23:DA23,"渋谷-夜勤")+COUNTIF('2月'!DE23:DF23,"渋谷-夜勤")+COUNTIF('2月'!DJ23:DK23,"渋谷-夜勤")+COUNTIF('2月'!DO23:DP23,"渋谷-夜勤")+COUNTIF('2月'!DT23:DU23,"渋谷-夜勤")+COUNTIF('2月'!DY23:DZ23,"渋谷-夜勤")+COUNTIF('2月'!ED23:EE23,"渋谷-夜勤")+COUNTIF('2月'!EI23:EJ23,"渋谷-夜勤")+COUNTIF('2月'!EN23:EO23,"渋谷-夜勤")+COUNTIF('2月'!ES23:ET23,"渋谷-夜勤")</f>
        <v>0</v>
      </c>
      <c r="I62" s="76">
        <f t="shared" si="15"/>
        <v>0</v>
      </c>
      <c r="J62" s="76">
        <f>COUNTIF('2月'!D23:E23,J$41)+COUNTIF('2月'!I23:J23,J$41)+COUNTIF('2月'!N23:O23,J$41)+COUNTIF('2月'!S23:T23,J$41)+COUNTIF('2月'!X23:Y23,J$41)+COUNTIF('2月'!AC23:AD23,J$41)+COUNTIF('2月'!AH23:AI23,J$41)+COUNTIF('2月'!AM23:AN23,J$41)+COUNTIF('2月'!AR23:AS23,J$41)+COUNTIF('2月'!AW23:AX23,J$41)+COUNTIF('2月'!BB23:BC23,J$41)+COUNTIF('2月'!BG23:BH23,J$41)+COUNTIF('2月'!BL23:BM23,J$41)+COUNTIF('2月'!BQ23:BR23,J$41)+COUNTIF('2月'!BV23:BW23,J$41)+COUNTIF('2月'!CA23:CB23,J$41)+COUNTIF('2月'!CF23:CG23,J$41)+COUNTIF('2月'!CK23:CL23,J$41)+COUNTIF('2月'!CP23:CQ23,J$41)+COUNTIF('2月'!CU23:CV23,J$41)+COUNTIF('2月'!CZ23:DA23,J$41)+COUNTIF('2月'!DE23:DF23,J$41)+COUNTIF('2月'!DJ23:DK23,J$41)+COUNTIF('2月'!DO23:DP23,J$41)+COUNTIF('2月'!DT23:DU23,J$41)+COUNTIF('2月'!DY23:DZ23,J$41)+COUNTIF('2月'!ED23:EE23,J$41)+COUNTIF('2月'!EI23:EJ23,J$41)+COUNTIF('2月'!EN23:EO23,J$41)+COUNTIF('2月'!ES23:ET23,J$41)+COUNTIF('2月'!D23:E23,"六本木-夜勤")+COUNTIF('2月'!I23:J23,"六本木-夜勤")+COUNTIF('2月'!N23:O23,"六本木-夜勤")+COUNTIF('2月'!S23:T23,"六本木-夜勤")+COUNTIF('2月'!X23:Y23,"六本木-夜勤")+COUNTIF('2月'!AC23:AD23,"六本木-夜勤")+COUNTIF('2月'!AH23:AI23,"六本木-夜勤")+COUNTIF('2月'!AM23:AN23,"六本木-夜勤")+COUNTIF('2月'!AR23:AS23,"六本木-夜勤")+COUNTIF('2月'!AW23:AX23,"六本木-夜勤")+COUNTIF('2月'!BB23:BC23,"六本木-夜勤")+COUNTIF('2月'!BG23:BH23,"六本木-夜勤")+COUNTIF('2月'!BL23:BM23,"六本木-夜勤")+COUNTIF('2月'!BQ23:BR23,"六本木-夜勤")+COUNTIF('2月'!BV23:BW23,"六本木-夜勤")+COUNTIF('2月'!CA23:CB23,"六本木-夜勤")+COUNTIF('2月'!CF23:CG23,"六本木-夜勤")+COUNTIF('2月'!CK23:CL23,"六本木-夜勤")+COUNTIF('2月'!CP23:CQ23,"六本木-夜勤")+COUNTIF('2月'!CU23:CV23,"六本木-夜勤")+COUNTIF('2月'!CZ23:DA23,"六本木-夜勤")+COUNTIF('2月'!DE23:DF23,"六本木-夜勤")+COUNTIF('2月'!DJ23:DK23,"六本木-夜勤")+COUNTIF('2月'!DO23:DP23,"六本木-夜勤")+COUNTIF('2月'!DT23:DU23,"六本木-夜勤")+COUNTIF('2月'!DY23:DZ23,"六本木-夜勤")+COUNTIF('2月'!ED23:EE23,"六本木-夜勤")+COUNTIF('2月'!EI23:EJ23,"六本木-夜勤")+COUNTIF('2月'!EN23:EO23,"六本木-夜勤")+COUNTIF('2月'!ES23:ET23,"六本木-夜勤")+COUNTIF('2月'!D23:E23,"六本木ー夜勤")+COUNTIF('2月'!I23:J23,"六本木ー夜勤")+COUNTIF('2月'!N23:O23,"六本木ー夜勤")+COUNTIF('2月'!S23:T23,"六本木ー夜勤")+COUNTIF('2月'!X23:Y23,"六本木ー夜勤")+COUNTIF('2月'!AC23:AD23,"六本木ー夜勤")+COUNTIF('2月'!AH23:AI23,"六本木ー夜勤")+COUNTIF('2月'!AM23:AN23,"六本木ー夜勤")+COUNTIF('2月'!AR23:AS23,"六本木ー夜勤")+COUNTIF('2月'!AW23:AX23,"六本木ー夜勤")+COUNTIF('2月'!BB23:BC23,"六本木ー夜勤")+COUNTIF('2月'!BG23:BH23,"六本木ー夜勤")+COUNTIF('2月'!BL23:BM23,"六本木ー夜勤")+COUNTIF('2月'!BQ23:BR23,"六本木ー夜勤")+COUNTIF('2月'!BV23:BW23,"六本木ー夜勤")+COUNTIF('2月'!CA23:CB23,"六本木ー夜勤")+COUNTIF('2月'!CF23:CG23,"六本木ー夜勤")+COUNTIF('2月'!CK23:CL23,"六本木ー夜勤")+COUNTIF('2月'!CP23:CQ23,"六本木ー夜勤")+COUNTIF('2月'!CU23:CV23,"六本木ー夜勤")+COUNTIF('2月'!CZ23:DA23,"六本木ー夜勤")+COUNTIF('2月'!DE23:DF23,"六本木ー夜勤")+COUNTIF('2月'!DJ23:DK23,"六本木ー夜勤")+COUNTIF('2月'!DO23:DP23,"六本木ー夜勤")+COUNTIF('2月'!DT23:DU23,"六本木ー夜勤")+COUNTIF('2月'!DY23:DZ23,"六本木ー夜勤")+COUNTIF('2月'!ED23:EE23,"六本木ー夜勤")+COUNTIF('2月'!EI23:EJ23,"六本木ー夜勤")+COUNTIF('2月'!EN23:EO23,"六本木ー夜勤")+COUNTIF('2月'!ES23:ET23,"六本木ー夜勤")</f>
        <v>0</v>
      </c>
      <c r="K62" s="76">
        <f t="shared" si="16"/>
        <v>0</v>
      </c>
      <c r="L62" s="76">
        <f>COUNTIF('2月'!D23:E23,L$41)+COUNTIF('2月'!I23:J23,L$41)+COUNTIF('2月'!N23:O23,L$41)+COUNTIF('2月'!S23:T23,L$41)+COUNTIF('2月'!X23:Y23,L$41)+COUNTIF('2月'!AC23:AD23,L$41)+COUNTIF('2月'!AH23:AI23,L$41)+COUNTIF('2月'!AM23:AN23,L$41)+COUNTIF('2月'!AR23:AS23,L$41)+COUNTIF('2月'!AW23:AX23,L$41)+COUNTIF('2月'!BB23:BC23,L$41)+COUNTIF('2月'!BG23:BH23,L$41)+COUNTIF('2月'!BL23:BM23,L$41)+COUNTIF('2月'!BQ23:BR23,L$41)+COUNTIF('2月'!BV23:BW23,L$41)+COUNTIF('2月'!CA23:CB23,L$41)+COUNTIF('2月'!CF23:CG23,L$41)+COUNTIF('2月'!CK23:CL23,L$41)+COUNTIF('2月'!CP23:CQ23,L$41)+COUNTIF('2月'!CU23:CV23,L$41)+COUNTIF('2月'!CZ23:DA23,L$41)+COUNTIF('2月'!DE23:DF23,L$41)+COUNTIF('2月'!DJ23:DK23,L$41)+COUNTIF('2月'!DO23:DP23,L$41)+COUNTIF('2月'!DT23:DU23,L$41)+COUNTIF('2月'!DY23:DZ23,L$41)+COUNTIF('2月'!ED23:EE23,L$41)+COUNTIF('2月'!EI23:EJ23,L$41)+COUNTIF('2月'!EN23:EO23,L$41)+COUNTIF('2月'!ES23:ET23,L$41)</f>
        <v>0</v>
      </c>
      <c r="M62" s="76">
        <f t="shared" si="17"/>
        <v>0</v>
      </c>
      <c r="N62" s="76">
        <f>COUNTIF('2月'!D23:E23,N$41)+COUNTIF('2月'!I23:J23,N$41)+COUNTIF('2月'!N23:O23,N$41)+COUNTIF('2月'!S23:T23,N$41)+COUNTIF('2月'!X23:Y23,N$41)+COUNTIF('2月'!AC23:AD23,N$41)+COUNTIF('2月'!AH23:AI23,N$41)+COUNTIF('2月'!AM23:AN23,N$41)+COUNTIF('2月'!AR23:AS23,N$41)+COUNTIF('2月'!AW23:AX23,N$41)+COUNTIF('2月'!BB23:BC23,N$41)+COUNTIF('2月'!BG23:BH23,N$41)+COUNTIF('2月'!BL23:BM23,N$41)+COUNTIF('2月'!BQ23:BR23,N$41)+COUNTIF('2月'!BV23:BW23,N$41)+COUNTIF('2月'!CA23:CB23,N$41)+COUNTIF('2月'!CF23:CG23,N$41)+COUNTIF('2月'!CK23:CL23,N$41)+COUNTIF('2月'!CP23:CQ23,N$41)+COUNTIF('2月'!CU23:CV23,N$41)+COUNTIF('2月'!CZ23:DA23,N$41)+COUNTIF('2月'!DE23:DF23,N$41)+COUNTIF('2月'!DJ23:DK23,N$41)+COUNTIF('2月'!DO23:DP23,N$41)+COUNTIF('2月'!DT23:DU23,N$41)+COUNTIF('2月'!DY23:DZ23,N$41)+COUNTIF('2月'!ED23:EE23,N$41)+COUNTIF('2月'!EI23:EJ23,N$41)+COUNTIF('2月'!EN23:EO23,N$41)+COUNTIF('2月'!ES23:ET23,N$41)+COUNTIF('2月'!D23:E23,"三軒茶屋－夜勤")+COUNTIF('2月'!I23:J23,"三軒茶屋－夜勤")+COUNTIF('2月'!N23:O23,"三軒茶屋－夜勤")+COUNTIF('2月'!S23:T23,"三軒茶屋－夜勤")+COUNTIF('2月'!X23:Y23,"三軒茶屋－夜勤")+COUNTIF('2月'!AC23:AD23,"三軒茶屋－夜勤")+COUNTIF('2月'!AH23:AI23,"三軒茶屋－夜勤")+COUNTIF('2月'!AM23:AN23,"三軒茶屋－夜勤")+COUNTIF('2月'!AR23:AS23,"三軒茶屋－夜勤")+COUNTIF('2月'!AW23:AX23,"三軒茶屋－夜勤")+COUNTIF('2月'!BB23:BC23,"三軒茶屋－夜勤")+COUNTIF('2月'!BG23:BH23,"三軒茶屋－夜勤")+COUNTIF('2月'!BL23:BM23,"三軒茶屋－夜勤")+COUNTIF('2月'!BQ23:BR23,"三軒茶屋－夜勤")+COUNTIF('2月'!BV23:BW23,"三軒茶屋－夜勤")+COUNTIF('2月'!CA23:CB23,"三軒茶屋－夜勤")+COUNTIF('2月'!CF23:CG23,"三軒茶屋－夜勤")+COUNTIF('2月'!CK23:CL23,"三軒茶屋－夜勤")+COUNTIF('2月'!CP23:CQ23,"三軒茶屋－夜勤")+COUNTIF('2月'!CU23:CV23,"三軒茶屋－夜勤")+COUNTIF('2月'!CZ23:DA23,"三軒茶屋－夜勤")+COUNTIF('2月'!DE23:DF23,"三軒茶屋－夜勤")+COUNTIF('2月'!DJ23:DK23,"三軒茶屋－夜勤")+COUNTIF('2月'!DO23:DP23,"三軒茶屋－夜勤")+COUNTIF('2月'!DT23:DU23,"三軒茶屋－夜勤")+COUNTIF('2月'!DY23:DZ23,"三軒茶屋－夜勤")+COUNTIF('2月'!ED23:EE23,"三軒茶屋－夜勤")+COUNTIF('2月'!EI23:EJ23,"三軒茶屋－夜勤")+COUNTIF('2月'!EN23:EO23,"三軒茶屋－夜勤")+COUNTIF('2月'!ES23:ET23,"三軒茶屋－夜勤")</f>
        <v>0</v>
      </c>
      <c r="O62" s="76">
        <f t="shared" si="18"/>
        <v>0</v>
      </c>
      <c r="P62" s="76">
        <f>COUNTIF('2月'!D23:E23,P$41)+COUNTIF('2月'!I23:J23,P$41)+COUNTIF('2月'!N23:O23,P$41)+COUNTIF('2月'!S23:T23,P$41)+COUNTIF('2月'!X23:Y23,P$41)+COUNTIF('2月'!AC23:AD23,P$41)+COUNTIF('2月'!AH23:AI23,P$41)+COUNTIF('2月'!AM23:AN23,P$41)+COUNTIF('2月'!AR23:AS23,P$41)+COUNTIF('2月'!AW23:AX23,P$41)+COUNTIF('2月'!BB23:BC23,P$41)+COUNTIF('2月'!BG23:BH23,P$41)+COUNTIF('2月'!BL23:BM23,P$41)+COUNTIF('2月'!BQ23:BR23,P$41)+COUNTIF('2月'!BV23:BW23,P$41)+COUNTIF('2月'!CA23:CB23,P$41)+COUNTIF('2月'!CF23:CG23,P$41)+COUNTIF('2月'!CK23:CL23,P$41)+COUNTIF('2月'!CP23:CQ23,P$41)+COUNTIF('2月'!CU23:CV23,P$41)+COUNTIF('2月'!CZ23:DA23,P$41)+COUNTIF('2月'!DE23:DF23,P$41)+COUNTIF('2月'!DJ23:DK23,P$41)+COUNTIF('2月'!DO23:DP23,P$41)+COUNTIF('2月'!DT23:DU23,P$41)+COUNTIF('2月'!DY23:DZ23,P$41)+COUNTIF('2月'!ED23:EE23,P$41)+COUNTIF('2月'!EI23:EJ23,P$41)+COUNTIF('2月'!EN23:EO23,P$41)+COUNTIF('2月'!ES23:ET23,P$41)+COUNTIF('2月'!D23:E23,"荻窪ー夜勤")+COUNTIF('2月'!I23:J23,"荻窪ー夜勤")+COUNTIF('2月'!N23:O23,"荻窪ー夜勤")+COUNTIF('2月'!S23:T23,"荻窪ー夜勤")+COUNTIF('2月'!X23:Y23,"荻窪ー夜勤")+COUNTIF('2月'!AC23:AD23,"荻窪ー夜勤")+COUNTIF('2月'!AH23:AI23,"荻窪ー夜勤")+COUNTIF('2月'!AM23:AN23,"荻窪ー夜勤")+COUNTIF('2月'!AR23:AS23,"荻窪ー夜勤")+COUNTIF('2月'!AW23:AX23,"荻窪ー夜勤")+COUNTIF('2月'!BB23:BC23,"荻窪ー夜勤")+COUNTIF('2月'!BG23:BH23,"荻窪ー夜勤")+COUNTIF('2月'!BL23:BM23,"荻窪ー夜勤")+COUNTIF('2月'!BQ23:BR23,"荻窪ー夜勤")+COUNTIF('2月'!BV23:BW23,"荻窪ー夜勤")+COUNTIF('2月'!CA23:CB23,"荻窪ー夜勤")+COUNTIF('2月'!CF23:CG23,"荻窪ー夜勤")+COUNTIF('2月'!CK23:CL23,"荻窪ー夜勤")+COUNTIF('2月'!CP23:CQ23,"荻窪ー夜勤")+COUNTIF('2月'!CU23:CV23,"荻窪ー夜勤")+COUNTIF('2月'!CZ23:DA23,"荻窪ー夜勤")+COUNTIF('2月'!DE23:DF23,"荻窪ー夜勤")+COUNTIF('2月'!DJ23:DK23,"荻窪ー夜勤")+COUNTIF('2月'!DO23:DP23,"荻窪ー夜勤")+COUNTIF('2月'!DT23:DU23,"荻窪ー夜勤")+COUNTIF('2月'!DY23:DZ23,"荻窪ー夜勤")+COUNTIF('2月'!ED23:EE23,"荻窪ー夜勤")+COUNTIF('2月'!EI23:EJ23,"荻窪ー夜勤")+COUNTIF('2月'!EN23:EO23,"荻窪ー夜勤")+COUNTIF('2月'!ES23:ET23,"荻窪ー夜勤")</f>
        <v>0</v>
      </c>
      <c r="Q62" s="76">
        <f t="shared" si="19"/>
        <v>0</v>
      </c>
      <c r="R62" s="76">
        <f>COUNTIF('2月'!D23:E23,R$41)+COUNTIF('2月'!I23:J23,R$41)+COUNTIF('2月'!N23:O23,R$41)+COUNTIF('2月'!S23:T23,R$41)+COUNTIF('2月'!X23:Y23,R$41)+COUNTIF('2月'!AC23:AD23,R$41)+COUNTIF('2月'!AH23:AI23,R$41)+COUNTIF('2月'!AM23:AN23,R$41)+COUNTIF('2月'!AR23:AS23,R$41)+COUNTIF('2月'!AW23:AX23,R$41)+COUNTIF('2月'!BB23:BC23,R$41)+COUNTIF('2月'!BG23:BH23,R$41)+COUNTIF('2月'!BL23:BM23,R$41)+COUNTIF('2月'!BQ23:BR23,R$41)+COUNTIF('2月'!BV23:BW23,R$41)+COUNTIF('2月'!CA23:CB23,R$41)+COUNTIF('2月'!CF23:CG23,R$41)+COUNTIF('2月'!CK23:CL23,R$41)+COUNTIF('2月'!CP23:CQ23,R$41)+COUNTIF('2月'!CU23:CV23,R$41)+COUNTIF('2月'!CZ23:DA23,R$41)+COUNTIF('2月'!DE23:DF23,R$41)+COUNTIF('2月'!DJ23:DK23,R$41)+COUNTIF('2月'!DO23:DP23,R$41)+COUNTIF('2月'!DT23:DU23,R$41)+COUNTIF('2月'!DY23:DZ23,R$41)+COUNTIF('2月'!ED23:EE23,R$41)+COUNTIF('2月'!EI23:EJ23,R$41)+COUNTIF('2月'!EN23:EO23,R$41)+COUNTIF('2月'!ES23:ET23,R$41)</f>
        <v>0</v>
      </c>
      <c r="S62" s="76">
        <f t="shared" si="20"/>
        <v>0</v>
      </c>
      <c r="T62" s="76">
        <f>COUNTIF('2月'!D23:E23,T$41)+COUNTIF('2月'!I23:J23,T$41)+COUNTIF('2月'!N23:O23,T$41)+COUNTIF('2月'!S23:T23,T$41)+COUNTIF('2月'!X23:Y23,T$41)+COUNTIF('2月'!AC23:AD23,T$41)+COUNTIF('2月'!AH23:AI23,T$41)+COUNTIF('2月'!AM23:AN23,T$41)+COUNTIF('2月'!AR23:AS23,T$41)+COUNTIF('2月'!AW23:AX23,T$41)+COUNTIF('2月'!BB23:BC23,T$41)+COUNTIF('2月'!BG23:BH23,T$41)+COUNTIF('2月'!BL23:BM23,T$41)+COUNTIF('2月'!BQ23:BR23,T$41)+COUNTIF('2月'!BV23:BW23,T$41)+COUNTIF('2月'!CA23:CB23,T$41)+COUNTIF('2月'!CF23:CG23,T$41)+COUNTIF('2月'!CK23:CL23,T$41)+COUNTIF('2月'!CP23:CQ23,T$41)+COUNTIF('2月'!CU23:CV23,T$41)+COUNTIF('2月'!CZ23:DA23,T$41)+COUNTIF('2月'!DE23:DF23,T$41)+COUNTIF('2月'!DJ23:DK23,T$41)+COUNTIF('2月'!DO23:DP23,T$41)+COUNTIF('2月'!DT23:DU23,T$41)+COUNTIF('2月'!DY23:DZ23,T$41)+COUNTIF('2月'!ED23:EE23,T$41)+COUNTIF('2月'!EI23:EJ23,T$41)+COUNTIF('2月'!EN23:EO23,T$41)+COUNTIF('2月'!ES23:ET23,T$41)</f>
        <v>0</v>
      </c>
      <c r="U62" s="76">
        <f t="shared" si="21"/>
        <v>0</v>
      </c>
      <c r="V62" s="76">
        <f>COUNTIF('2月'!D23:E23,V$41)+COUNTIF('2月'!I23:J23,V$41)+COUNTIF('2月'!N23:O23,V$41)+COUNTIF('2月'!S23:T23,V$41)+COUNTIF('2月'!X23:Y23,V$41)+COUNTIF('2月'!AC23:AD23,V$41)+COUNTIF('2月'!AH23:AI23,V$41)+COUNTIF('2月'!AM23:AN23,V$41)+COUNTIF('2月'!AR23:AS23,V$41)+COUNTIF('2月'!AW23:AX23,V$41)+COUNTIF('2月'!BB23:BC23,V$41)+COUNTIF('2月'!BG23:BH23,V$41)+COUNTIF('2月'!BL23:BM23,V$41)+COUNTIF('2月'!BQ23:BR23,V$41)+COUNTIF('2月'!BV23:BW23,V$41)+COUNTIF('2月'!CA23:CB23,V$41)+COUNTIF('2月'!CF23:CG23,V$41)+COUNTIF('2月'!CK23:CL23,V$41)+COUNTIF('2月'!CP23:CQ23,V$41)+COUNTIF('2月'!CU23:CV23,V$41)+COUNTIF('2月'!CZ23:DA23,V$41)+COUNTIF('2月'!DE23:DF23,V$41)+COUNTIF('2月'!DJ23:DK23,V$41)+COUNTIF('2月'!DO23:DP23,V$41)+COUNTIF('2月'!DT23:DU23,V$41)+COUNTIF('2月'!DY23:DZ23,V$41)+COUNTIF('2月'!ED23:EE23,V$41)+COUNTIF('2月'!EI23:EJ23,V$41)+COUNTIF('2月'!EN23:EO23,V$41)+COUNTIF('2月'!ES23:ET23,V$41)</f>
        <v>0</v>
      </c>
      <c r="W62" s="76">
        <f t="shared" si="22"/>
        <v>0</v>
      </c>
      <c r="X62" s="76">
        <f>COUNTIF('2月'!D23:E23,X$41)+COUNTIF('2月'!I23:J23,X$41)+COUNTIF('2月'!N23:O23,X$41)+COUNTIF('2月'!S23:T23,X$41)+COUNTIF('2月'!X23:Y23,X$41)+COUNTIF('2月'!AC23:AD23,X$41)+COUNTIF('2月'!AH23:AI23,X$41)+COUNTIF('2月'!AM23:AN23,X$41)+COUNTIF('2月'!AR23:AS23,X$41)+COUNTIF('2月'!AW23:AX23,X$41)+COUNTIF('2月'!BB23:BC23,X$41)+COUNTIF('2月'!BG23:BH23,X$41)+COUNTIF('2月'!BL23:BM23,X$41)+COUNTIF('2月'!BQ23:BR23,X$41)+COUNTIF('2月'!BV23:BW23,X$41)+COUNTIF('2月'!CA23:CB23,X$41)+COUNTIF('2月'!CF23:CG23,X$41)+COUNTIF('2月'!CK23:CL23,X$41)+COUNTIF('2月'!CP23:CQ23,X$41)+COUNTIF('2月'!CU23:CV23,X$41)+COUNTIF('2月'!CZ23:DA23,X$41)+COUNTIF('2月'!DE23:DF23,X$41)+COUNTIF('2月'!DJ23:DK23,X$41)+COUNTIF('2月'!DO23:DP23,X$41)+COUNTIF('2月'!DT23:DU23,X$41)+COUNTIF('2月'!DY23:DZ23,X$41)+COUNTIF('2月'!ED23:EE23,X$41)+COUNTIF('2月'!EI23:EJ23,X$41)+COUNTIF('2月'!EN23:EO23,X$41)+COUNTIF('2月'!ES23:ET23,X$41)</f>
        <v>0</v>
      </c>
      <c r="Y62" s="76">
        <f t="shared" si="23"/>
        <v>0</v>
      </c>
    </row>
    <row r="63" spans="1:25" ht="18" customHeight="1">
      <c r="A63" s="76">
        <v>21</v>
      </c>
      <c r="B63" s="76">
        <f>COUNTIF('2月'!D24:E24,B$41)+COUNTIF('2月'!I24:J24,B$41)+COUNTIF('2月'!N24:O24,B$41)+COUNTIF('2月'!S24:T24,B$41)+COUNTIF('2月'!X24:Y24,B$41)+COUNTIF('2月'!AC24:AD24,B$41)+COUNTIF('2月'!AH24:AI24,B$41)+COUNTIF('2月'!AM24:AN24,B$41)+COUNTIF('2月'!AR24:AS24,B$41)+COUNTIF('2月'!AW24:AX24,B$41)+COUNTIF('2月'!BB24:BC24,B$41)+COUNTIF('2月'!BG24:BH24,B$41)+COUNTIF('2月'!BL24:BM24,B$41)+COUNTIF('2月'!BQ24:BR24,B$41)+COUNTIF('2月'!BV24:BW24,B$41)+COUNTIF('2月'!CA24:CB24,B$41)+COUNTIF('2月'!CF24:CG24,B$41)+COUNTIF('2月'!CK24:CL24,B$41)+COUNTIF('2月'!CP24:CQ24,B$41)+COUNTIF('2月'!CU24:CV24,B$41)+COUNTIF('2月'!CZ24:DA24,B$41)+COUNTIF('2月'!DE24:DF24,B$41)+COUNTIF('2月'!DJ24:DK24,B$41)+COUNTIF('2月'!DO24:DP24,B$41)+COUNTIF('2月'!DT24:DU24,B$41)+COUNTIF('2月'!DY24:DZ24,B$41)+COUNTIF('2月'!ED24:EE24,B$41)+COUNTIF('2月'!EI24:EJ24,B$41)+COUNTIF('2月'!EN24:EO24,B$41)+COUNTIF('2月'!ES24:ET24,B$41)</f>
        <v>0</v>
      </c>
      <c r="C63" s="76">
        <f t="shared" si="12"/>
        <v>0</v>
      </c>
      <c r="D63" s="76">
        <f>COUNTIF('2月'!D24:E24,D$41)+COUNTIF('2月'!I24:J24,D$41)+COUNTIF('2月'!N24:O24,D$41)+COUNTIF('2月'!S24:T24,D$41)+COUNTIF('2月'!X24:Y24,D$41)+COUNTIF('2月'!AC24:AD24,D$41)+COUNTIF('2月'!AH24:AI24,D$41)+COUNTIF('2月'!AM24:AN24,D$41)+COUNTIF('2月'!AR24:AS24,D$41)+COUNTIF('2月'!AW24:AX24,D$41)+COUNTIF('2月'!BB24:BC24,D$41)+COUNTIF('2月'!BG24:BH24,D$41)+COUNTIF('2月'!BL24:BM24,D$41)+COUNTIF('2月'!BQ24:BR24,D$41)+COUNTIF('2月'!BV24:BW24,D$41)+COUNTIF('2月'!CA24:CB24,D$41)+COUNTIF('2月'!CF24:CG24,D$41)+COUNTIF('2月'!CK24:CL24,D$41)+COUNTIF('2月'!CP24:CQ24,D$41)+COUNTIF('2月'!CU24:CV24,D$41)+COUNTIF('2月'!CZ24:DA24,D$41)+COUNTIF('2月'!DE24:DF24,D$41)+COUNTIF('2月'!DJ24:DK24,D$41)+COUNTIF('2月'!DO24:DP24,D$41)+COUNTIF('2月'!DT24:DU24,D$41)+COUNTIF('2月'!DY24:DZ24,D$41)+COUNTIF('2月'!ED24:EE24,D$41)+COUNTIF('2月'!EI24:EJ24,D$41)+COUNTIF('2月'!EN24:EO24,D$41)+COUNTIF('2月'!ES24:ET24,D$41)</f>
        <v>0</v>
      </c>
      <c r="E63" s="76">
        <f t="shared" si="13"/>
        <v>0</v>
      </c>
      <c r="F63" s="76">
        <f>COUNTIF('2月'!D24:E24,F$41)+COUNTIF('2月'!I24:J24,F$41)+COUNTIF('2月'!N24:O24,F$41)+COUNTIF('2月'!S24:T24,F$41)+COUNTIF('2月'!X24:Y24,F$41)+COUNTIF('2月'!AC24:AD24,F$41)+COUNTIF('2月'!AH24:AI24,F$41)+COUNTIF('2月'!AM24:AN24,F$41)+COUNTIF('2月'!AR24:AS24,F$41)+COUNTIF('2月'!AW24:AX24,F$41)+COUNTIF('2月'!BB24:BC24,F$41)+COUNTIF('2月'!BG24:BH24,F$41)+COUNTIF('2月'!BL24:BM24,F$41)+COUNTIF('2月'!BQ24:BR24,F$41)+COUNTIF('2月'!BV24:BW24,F$41)+COUNTIF('2月'!CA24:CB24,F$41)+COUNTIF('2月'!CF24:CG24,F$41)+COUNTIF('2月'!CK24:CL24,F$41)+COUNTIF('2月'!CP24:CQ24,F$41)+COUNTIF('2月'!CU24:CV24,F$41)+COUNTIF('2月'!CZ24:DA24,F$41)+COUNTIF('2月'!DE24:DF24,F$41)+COUNTIF('2月'!DJ24:DK24,F$41)+COUNTIF('2月'!DO24:DP24,F$41)+COUNTIF('2月'!DT24:DU24,F$41)+COUNTIF('2月'!DY24:DZ24,F$41)+COUNTIF('2月'!ED24:EE24,F$41)+COUNTIF('2月'!EI24:EJ24,F$41)+COUNTIF('2月'!EN24:EO24,F$41)+COUNTIF('2月'!ES24:ET24,F$41)</f>
        <v>0</v>
      </c>
      <c r="G63" s="76">
        <f t="shared" si="14"/>
        <v>0</v>
      </c>
      <c r="H63" s="76">
        <f>COUNTIF('2月'!D24:E24,H$41)+COUNTIF('2月'!I24:J24,H$41)+COUNTIF('2月'!N24:O24,H$41)+COUNTIF('2月'!S24:T24,H$41)+COUNTIF('2月'!X24:Y24,H$41)+COUNTIF('2月'!AC24:AD24,H$41)+COUNTIF('2月'!AH24:AI24,H$41)+COUNTIF('2月'!AM24:AN24,H$41)+COUNTIF('2月'!AR24:AS24,H$41)+COUNTIF('2月'!AW24:AX24,H$41)+COUNTIF('2月'!BB24:BC24,H$41)+COUNTIF('2月'!BG24:BH24,H$41)+COUNTIF('2月'!BL24:BM24,H$41)+COUNTIF('2月'!BQ24:BR24,H$41)+COUNTIF('2月'!BV24:BW24,H$41)+COUNTIF('2月'!CA24:CB24,H$41)+COUNTIF('2月'!CF24:CG24,H$41)+COUNTIF('2月'!CK24:CL24,H$41)+COUNTIF('2月'!CP24:CQ24,H$41)+COUNTIF('2月'!CU24:CV24,H$41)+COUNTIF('2月'!CZ24:DA24,H$41)+COUNTIF('2月'!DE24:DF24,H$41)+COUNTIF('2月'!DJ24:DK24,H$41)+COUNTIF('2月'!DO24:DP24,H$41)+COUNTIF('2月'!DT24:DU24,H$41)+COUNTIF('2月'!DY24:DZ24,H$41)+COUNTIF('2月'!ED24:EE24,H$41)+COUNTIF('2月'!EI24:EJ24,H$41)+COUNTIF('2月'!EN24:EO24,H$41)+COUNTIF('2月'!ES24:ET24,H$41)+COUNTIF('2月'!D24:E24,"渋谷-夜勤")+COUNTIF('2月'!I24:J24,"渋谷-夜勤")+COUNTIF('2月'!N24:O24,"渋谷-夜勤")+COUNTIF('2月'!S24:T24,"渋谷-夜勤")+COUNTIF('2月'!X24:Y24,"渋谷-夜勤")+COUNTIF('2月'!AC24:AD24,"渋谷-夜勤")+COUNTIF('2月'!AH24:AI24,"渋谷-夜勤")+COUNTIF('2月'!AM24:AN24,"渋谷-夜勤")+COUNTIF('2月'!AR24:AS24,"渋谷-夜勤")+COUNTIF('2月'!AW24:AX24,"渋谷-夜勤")+COUNTIF('2月'!BB24:BC24,"渋谷-夜勤")+COUNTIF('2月'!BG24:BH24,"渋谷-夜勤")+COUNTIF('2月'!BL24:BM24,"渋谷-夜勤")+COUNTIF('2月'!BQ24:BR24,"渋谷-夜勤")+COUNTIF('2月'!BV24:BW24,"渋谷-夜勤")+COUNTIF('2月'!CA24:CB24,"渋谷-夜勤")+COUNTIF('2月'!CF24:CG24,"渋谷-夜勤")+COUNTIF('2月'!CK24:CL24,"渋谷-夜勤")+COUNTIF('2月'!CP24:CQ24,"渋谷-夜勤")+COUNTIF('2月'!CU24:CV24,"渋谷-夜勤")+COUNTIF('2月'!CZ24:DA24,"渋谷-夜勤")+COUNTIF('2月'!DE24:DF24,"渋谷-夜勤")+COUNTIF('2月'!DJ24:DK24,"渋谷-夜勤")+COUNTIF('2月'!DO24:DP24,"渋谷-夜勤")+COUNTIF('2月'!DT24:DU24,"渋谷-夜勤")+COUNTIF('2月'!DY24:DZ24,"渋谷-夜勤")+COUNTIF('2月'!ED24:EE24,"渋谷-夜勤")+COUNTIF('2月'!EI24:EJ24,"渋谷-夜勤")+COUNTIF('2月'!EN24:EO24,"渋谷-夜勤")+COUNTIF('2月'!ES24:ET24,"渋谷-夜勤")</f>
        <v>0</v>
      </c>
      <c r="I63" s="76">
        <f t="shared" si="15"/>
        <v>0</v>
      </c>
      <c r="J63" s="76">
        <f>COUNTIF('2月'!D24:E24,J$41)+COUNTIF('2月'!I24:J24,J$41)+COUNTIF('2月'!N24:O24,J$41)+COUNTIF('2月'!S24:T24,J$41)+COUNTIF('2月'!X24:Y24,J$41)+COUNTIF('2月'!AC24:AD24,J$41)+COUNTIF('2月'!AH24:AI24,J$41)+COUNTIF('2月'!AM24:AN24,J$41)+COUNTIF('2月'!AR24:AS24,J$41)+COUNTIF('2月'!AW24:AX24,J$41)+COUNTIF('2月'!BB24:BC24,J$41)+COUNTIF('2月'!BG24:BH24,J$41)+COUNTIF('2月'!BL24:BM24,J$41)+COUNTIF('2月'!BQ24:BR24,J$41)+COUNTIF('2月'!BV24:BW24,J$41)+COUNTIF('2月'!CA24:CB24,J$41)+COUNTIF('2月'!CF24:CG24,J$41)+COUNTIF('2月'!CK24:CL24,J$41)+COUNTIF('2月'!CP24:CQ24,J$41)+COUNTIF('2月'!CU24:CV24,J$41)+COUNTIF('2月'!CZ24:DA24,J$41)+COUNTIF('2月'!DE24:DF24,J$41)+COUNTIF('2月'!DJ24:DK24,J$41)+COUNTIF('2月'!DO24:DP24,J$41)+COUNTIF('2月'!DT24:DU24,J$41)+COUNTIF('2月'!DY24:DZ24,J$41)+COUNTIF('2月'!ED24:EE24,J$41)+COUNTIF('2月'!EI24:EJ24,J$41)+COUNTIF('2月'!EN24:EO24,J$41)+COUNTIF('2月'!ES24:ET24,J$41)+COUNTIF('2月'!D24:E24,"六本木-夜勤")+COUNTIF('2月'!I24:J24,"六本木-夜勤")+COUNTIF('2月'!N24:O24,"六本木-夜勤")+COUNTIF('2月'!S24:T24,"六本木-夜勤")+COUNTIF('2月'!X24:Y24,"六本木-夜勤")+COUNTIF('2月'!AC24:AD24,"六本木-夜勤")+COUNTIF('2月'!AH24:AI24,"六本木-夜勤")+COUNTIF('2月'!AM24:AN24,"六本木-夜勤")+COUNTIF('2月'!AR24:AS24,"六本木-夜勤")+COUNTIF('2月'!AW24:AX24,"六本木-夜勤")+COUNTIF('2月'!BB24:BC24,"六本木-夜勤")+COUNTIF('2月'!BG24:BH24,"六本木-夜勤")+COUNTIF('2月'!BL24:BM24,"六本木-夜勤")+COUNTIF('2月'!BQ24:BR24,"六本木-夜勤")+COUNTIF('2月'!BV24:BW24,"六本木-夜勤")+COUNTIF('2月'!CA24:CB24,"六本木-夜勤")+COUNTIF('2月'!CF24:CG24,"六本木-夜勤")+COUNTIF('2月'!CK24:CL24,"六本木-夜勤")+COUNTIF('2月'!CP24:CQ24,"六本木-夜勤")+COUNTIF('2月'!CU24:CV24,"六本木-夜勤")+COUNTIF('2月'!CZ24:DA24,"六本木-夜勤")+COUNTIF('2月'!DE24:DF24,"六本木-夜勤")+COUNTIF('2月'!DJ24:DK24,"六本木-夜勤")+COUNTIF('2月'!DO24:DP24,"六本木-夜勤")+COUNTIF('2月'!DT24:DU24,"六本木-夜勤")+COUNTIF('2月'!DY24:DZ24,"六本木-夜勤")+COUNTIF('2月'!ED24:EE24,"六本木-夜勤")+COUNTIF('2月'!EI24:EJ24,"六本木-夜勤")+COUNTIF('2月'!EN24:EO24,"六本木-夜勤")+COUNTIF('2月'!ES24:ET24,"六本木-夜勤")+COUNTIF('2月'!D24:E24,"六本木ー夜勤")+COUNTIF('2月'!I24:J24,"六本木ー夜勤")+COUNTIF('2月'!N24:O24,"六本木ー夜勤")+COUNTIF('2月'!S24:T24,"六本木ー夜勤")+COUNTIF('2月'!X24:Y24,"六本木ー夜勤")+COUNTIF('2月'!AC24:AD24,"六本木ー夜勤")+COUNTIF('2月'!AH24:AI24,"六本木ー夜勤")+COUNTIF('2月'!AM24:AN24,"六本木ー夜勤")+COUNTIF('2月'!AR24:AS24,"六本木ー夜勤")+COUNTIF('2月'!AW24:AX24,"六本木ー夜勤")+COUNTIF('2月'!BB24:BC24,"六本木ー夜勤")+COUNTIF('2月'!BG24:BH24,"六本木ー夜勤")+COUNTIF('2月'!BL24:BM24,"六本木ー夜勤")+COUNTIF('2月'!BQ24:BR24,"六本木ー夜勤")+COUNTIF('2月'!BV24:BW24,"六本木ー夜勤")+COUNTIF('2月'!CA24:CB24,"六本木ー夜勤")+COUNTIF('2月'!CF24:CG24,"六本木ー夜勤")+COUNTIF('2月'!CK24:CL24,"六本木ー夜勤")+COUNTIF('2月'!CP24:CQ24,"六本木ー夜勤")+COUNTIF('2月'!CU24:CV24,"六本木ー夜勤")+COUNTIF('2月'!CZ24:DA24,"六本木ー夜勤")+COUNTIF('2月'!DE24:DF24,"六本木ー夜勤")+COUNTIF('2月'!DJ24:DK24,"六本木ー夜勤")+COUNTIF('2月'!DO24:DP24,"六本木ー夜勤")+COUNTIF('2月'!DT24:DU24,"六本木ー夜勤")+COUNTIF('2月'!DY24:DZ24,"六本木ー夜勤")+COUNTIF('2月'!ED24:EE24,"六本木ー夜勤")+COUNTIF('2月'!EI24:EJ24,"六本木ー夜勤")+COUNTIF('2月'!EN24:EO24,"六本木ー夜勤")+COUNTIF('2月'!ES24:ET24,"六本木ー夜勤")</f>
        <v>0</v>
      </c>
      <c r="K63" s="76">
        <f t="shared" si="16"/>
        <v>0</v>
      </c>
      <c r="L63" s="76">
        <f>COUNTIF('2月'!D24:E24,L$41)+COUNTIF('2月'!I24:J24,L$41)+COUNTIF('2月'!N24:O24,L$41)+COUNTIF('2月'!S24:T24,L$41)+COUNTIF('2月'!X24:Y24,L$41)+COUNTIF('2月'!AC24:AD24,L$41)+COUNTIF('2月'!AH24:AI24,L$41)+COUNTIF('2月'!AM24:AN24,L$41)+COUNTIF('2月'!AR24:AS24,L$41)+COUNTIF('2月'!AW24:AX24,L$41)+COUNTIF('2月'!BB24:BC24,L$41)+COUNTIF('2月'!BG24:BH24,L$41)+COUNTIF('2月'!BL24:BM24,L$41)+COUNTIF('2月'!BQ24:BR24,L$41)+COUNTIF('2月'!BV24:BW24,L$41)+COUNTIF('2月'!CA24:CB24,L$41)+COUNTIF('2月'!CF24:CG24,L$41)+COUNTIF('2月'!CK24:CL24,L$41)+COUNTIF('2月'!CP24:CQ24,L$41)+COUNTIF('2月'!CU24:CV24,L$41)+COUNTIF('2月'!CZ24:DA24,L$41)+COUNTIF('2月'!DE24:DF24,L$41)+COUNTIF('2月'!DJ24:DK24,L$41)+COUNTIF('2月'!DO24:DP24,L$41)+COUNTIF('2月'!DT24:DU24,L$41)+COUNTIF('2月'!DY24:DZ24,L$41)+COUNTIF('2月'!ED24:EE24,L$41)+COUNTIF('2月'!EI24:EJ24,L$41)+COUNTIF('2月'!EN24:EO24,L$41)+COUNTIF('2月'!ES24:ET24,L$41)</f>
        <v>0</v>
      </c>
      <c r="M63" s="76">
        <f t="shared" si="17"/>
        <v>0</v>
      </c>
      <c r="N63" s="76">
        <f>COUNTIF('2月'!D24:E24,N$41)+COUNTIF('2月'!I24:J24,N$41)+COUNTIF('2月'!N24:O24,N$41)+COUNTIF('2月'!S24:T24,N$41)+COUNTIF('2月'!X24:Y24,N$41)+COUNTIF('2月'!AC24:AD24,N$41)+COUNTIF('2月'!AH24:AI24,N$41)+COUNTIF('2月'!AM24:AN24,N$41)+COUNTIF('2月'!AR24:AS24,N$41)+COUNTIF('2月'!AW24:AX24,N$41)+COUNTIF('2月'!BB24:BC24,N$41)+COUNTIF('2月'!BG24:BH24,N$41)+COUNTIF('2月'!BL24:BM24,N$41)+COUNTIF('2月'!BQ24:BR24,N$41)+COUNTIF('2月'!BV24:BW24,N$41)+COUNTIF('2月'!CA24:CB24,N$41)+COUNTIF('2月'!CF24:CG24,N$41)+COUNTIF('2月'!CK24:CL24,N$41)+COUNTIF('2月'!CP24:CQ24,N$41)+COUNTIF('2月'!CU24:CV24,N$41)+COUNTIF('2月'!CZ24:DA24,N$41)+COUNTIF('2月'!DE24:DF24,N$41)+COUNTIF('2月'!DJ24:DK24,N$41)+COUNTIF('2月'!DO24:DP24,N$41)+COUNTIF('2月'!DT24:DU24,N$41)+COUNTIF('2月'!DY24:DZ24,N$41)+COUNTIF('2月'!ED24:EE24,N$41)+COUNTIF('2月'!EI24:EJ24,N$41)+COUNTIF('2月'!EN24:EO24,N$41)+COUNTIF('2月'!ES24:ET24,N$41)+COUNTIF('2月'!D24:E24,"三軒茶屋－夜勤")+COUNTIF('2月'!I24:J24,"三軒茶屋－夜勤")+COUNTIF('2月'!N24:O24,"三軒茶屋－夜勤")+COUNTIF('2月'!S24:T24,"三軒茶屋－夜勤")+COUNTIF('2月'!X24:Y24,"三軒茶屋－夜勤")+COUNTIF('2月'!AC24:AD24,"三軒茶屋－夜勤")+COUNTIF('2月'!AH24:AI24,"三軒茶屋－夜勤")+COUNTIF('2月'!AM24:AN24,"三軒茶屋－夜勤")+COUNTIF('2月'!AR24:AS24,"三軒茶屋－夜勤")+COUNTIF('2月'!AW24:AX24,"三軒茶屋－夜勤")+COUNTIF('2月'!BB24:BC24,"三軒茶屋－夜勤")+COUNTIF('2月'!BG24:BH24,"三軒茶屋－夜勤")+COUNTIF('2月'!BL24:BM24,"三軒茶屋－夜勤")+COUNTIF('2月'!BQ24:BR24,"三軒茶屋－夜勤")+COUNTIF('2月'!BV24:BW24,"三軒茶屋－夜勤")+COUNTIF('2月'!CA24:CB24,"三軒茶屋－夜勤")+COUNTIF('2月'!CF24:CG24,"三軒茶屋－夜勤")+COUNTIF('2月'!CK24:CL24,"三軒茶屋－夜勤")+COUNTIF('2月'!CP24:CQ24,"三軒茶屋－夜勤")+COUNTIF('2月'!CU24:CV24,"三軒茶屋－夜勤")+COUNTIF('2月'!CZ24:DA24,"三軒茶屋－夜勤")+COUNTIF('2月'!DE24:DF24,"三軒茶屋－夜勤")+COUNTIF('2月'!DJ24:DK24,"三軒茶屋－夜勤")+COUNTIF('2月'!DO24:DP24,"三軒茶屋－夜勤")+COUNTIF('2月'!DT24:DU24,"三軒茶屋－夜勤")+COUNTIF('2月'!DY24:DZ24,"三軒茶屋－夜勤")+COUNTIF('2月'!ED24:EE24,"三軒茶屋－夜勤")+COUNTIF('2月'!EI24:EJ24,"三軒茶屋－夜勤")+COUNTIF('2月'!EN24:EO24,"三軒茶屋－夜勤")+COUNTIF('2月'!ES24:ET24,"三軒茶屋－夜勤")</f>
        <v>0</v>
      </c>
      <c r="O63" s="76">
        <f t="shared" si="18"/>
        <v>0</v>
      </c>
      <c r="P63" s="76">
        <f>COUNTIF('2月'!D24:E24,P$41)+COUNTIF('2月'!I24:J24,P$41)+COUNTIF('2月'!N24:O24,P$41)+COUNTIF('2月'!S24:T24,P$41)+COUNTIF('2月'!X24:Y24,P$41)+COUNTIF('2月'!AC24:AD24,P$41)+COUNTIF('2月'!AH24:AI24,P$41)+COUNTIF('2月'!AM24:AN24,P$41)+COUNTIF('2月'!AR24:AS24,P$41)+COUNTIF('2月'!AW24:AX24,P$41)+COUNTIF('2月'!BB24:BC24,P$41)+COUNTIF('2月'!BG24:BH24,P$41)+COUNTIF('2月'!BL24:BM24,P$41)+COUNTIF('2月'!BQ24:BR24,P$41)+COUNTIF('2月'!BV24:BW24,P$41)+COUNTIF('2月'!CA24:CB24,P$41)+COUNTIF('2月'!CF24:CG24,P$41)+COUNTIF('2月'!CK24:CL24,P$41)+COUNTIF('2月'!CP24:CQ24,P$41)+COUNTIF('2月'!CU24:CV24,P$41)+COUNTIF('2月'!CZ24:DA24,P$41)+COUNTIF('2月'!DE24:DF24,P$41)+COUNTIF('2月'!DJ24:DK24,P$41)+COUNTIF('2月'!DO24:DP24,P$41)+COUNTIF('2月'!DT24:DU24,P$41)+COUNTIF('2月'!DY24:DZ24,P$41)+COUNTIF('2月'!ED24:EE24,P$41)+COUNTIF('2月'!EI24:EJ24,P$41)+COUNTIF('2月'!EN24:EO24,P$41)+COUNTIF('2月'!ES24:ET24,P$41)+COUNTIF('2月'!D24:E24,"荻窪ー夜勤")+COUNTIF('2月'!I24:J24,"荻窪ー夜勤")+COUNTIF('2月'!N24:O24,"荻窪ー夜勤")+COUNTIF('2月'!S24:T24,"荻窪ー夜勤")+COUNTIF('2月'!X24:Y24,"荻窪ー夜勤")+COUNTIF('2月'!AC24:AD24,"荻窪ー夜勤")+COUNTIF('2月'!AH24:AI24,"荻窪ー夜勤")+COUNTIF('2月'!AM24:AN24,"荻窪ー夜勤")+COUNTIF('2月'!AR24:AS24,"荻窪ー夜勤")+COUNTIF('2月'!AW24:AX24,"荻窪ー夜勤")+COUNTIF('2月'!BB24:BC24,"荻窪ー夜勤")+COUNTIF('2月'!BG24:BH24,"荻窪ー夜勤")+COUNTIF('2月'!BL24:BM24,"荻窪ー夜勤")+COUNTIF('2月'!BQ24:BR24,"荻窪ー夜勤")+COUNTIF('2月'!BV24:BW24,"荻窪ー夜勤")+COUNTIF('2月'!CA24:CB24,"荻窪ー夜勤")+COUNTIF('2月'!CF24:CG24,"荻窪ー夜勤")+COUNTIF('2月'!CK24:CL24,"荻窪ー夜勤")+COUNTIF('2月'!CP24:CQ24,"荻窪ー夜勤")+COUNTIF('2月'!CU24:CV24,"荻窪ー夜勤")+COUNTIF('2月'!CZ24:DA24,"荻窪ー夜勤")+COUNTIF('2月'!DE24:DF24,"荻窪ー夜勤")+COUNTIF('2月'!DJ24:DK24,"荻窪ー夜勤")+COUNTIF('2月'!DO24:DP24,"荻窪ー夜勤")+COUNTIF('2月'!DT24:DU24,"荻窪ー夜勤")+COUNTIF('2月'!DY24:DZ24,"荻窪ー夜勤")+COUNTIF('2月'!ED24:EE24,"荻窪ー夜勤")+COUNTIF('2月'!EI24:EJ24,"荻窪ー夜勤")+COUNTIF('2月'!EN24:EO24,"荻窪ー夜勤")+COUNTIF('2月'!ES24:ET24,"荻窪ー夜勤")</f>
        <v>0</v>
      </c>
      <c r="Q63" s="76">
        <f t="shared" si="19"/>
        <v>0</v>
      </c>
      <c r="R63" s="76">
        <f>COUNTIF('2月'!D24:E24,R$41)+COUNTIF('2月'!I24:J24,R$41)+COUNTIF('2月'!N24:O24,R$41)+COUNTIF('2月'!S24:T24,R$41)+COUNTIF('2月'!X24:Y24,R$41)+COUNTIF('2月'!AC24:AD24,R$41)+COUNTIF('2月'!AH24:AI24,R$41)+COUNTIF('2月'!AM24:AN24,R$41)+COUNTIF('2月'!AR24:AS24,R$41)+COUNTIF('2月'!AW24:AX24,R$41)+COUNTIF('2月'!BB24:BC24,R$41)+COUNTIF('2月'!BG24:BH24,R$41)+COUNTIF('2月'!BL24:BM24,R$41)+COUNTIF('2月'!BQ24:BR24,R$41)+COUNTIF('2月'!BV24:BW24,R$41)+COUNTIF('2月'!CA24:CB24,R$41)+COUNTIF('2月'!CF24:CG24,R$41)+COUNTIF('2月'!CK24:CL24,R$41)+COUNTIF('2月'!CP24:CQ24,R$41)+COUNTIF('2月'!CU24:CV24,R$41)+COUNTIF('2月'!CZ24:DA24,R$41)+COUNTIF('2月'!DE24:DF24,R$41)+COUNTIF('2月'!DJ24:DK24,R$41)+COUNTIF('2月'!DO24:DP24,R$41)+COUNTIF('2月'!DT24:DU24,R$41)+COUNTIF('2月'!DY24:DZ24,R$41)+COUNTIF('2月'!ED24:EE24,R$41)+COUNTIF('2月'!EI24:EJ24,R$41)+COUNTIF('2月'!EN24:EO24,R$41)+COUNTIF('2月'!ES24:ET24,R$41)</f>
        <v>0</v>
      </c>
      <c r="S63" s="76">
        <f t="shared" si="20"/>
        <v>0</v>
      </c>
      <c r="T63" s="76">
        <f>COUNTIF('2月'!D24:E24,T$41)+COUNTIF('2月'!I24:J24,T$41)+COUNTIF('2月'!N24:O24,T$41)+COUNTIF('2月'!S24:T24,T$41)+COUNTIF('2月'!X24:Y24,T$41)+COUNTIF('2月'!AC24:AD24,T$41)+COUNTIF('2月'!AH24:AI24,T$41)+COUNTIF('2月'!AM24:AN24,T$41)+COUNTIF('2月'!AR24:AS24,T$41)+COUNTIF('2月'!AW24:AX24,T$41)+COUNTIF('2月'!BB24:BC24,T$41)+COUNTIF('2月'!BG24:BH24,T$41)+COUNTIF('2月'!BL24:BM24,T$41)+COUNTIF('2月'!BQ24:BR24,T$41)+COUNTIF('2月'!BV24:BW24,T$41)+COUNTIF('2月'!CA24:CB24,T$41)+COUNTIF('2月'!CF24:CG24,T$41)+COUNTIF('2月'!CK24:CL24,T$41)+COUNTIF('2月'!CP24:CQ24,T$41)+COUNTIF('2月'!CU24:CV24,T$41)+COUNTIF('2月'!CZ24:DA24,T$41)+COUNTIF('2月'!DE24:DF24,T$41)+COUNTIF('2月'!DJ24:DK24,T$41)+COUNTIF('2月'!DO24:DP24,T$41)+COUNTIF('2月'!DT24:DU24,T$41)+COUNTIF('2月'!DY24:DZ24,T$41)+COUNTIF('2月'!ED24:EE24,T$41)+COUNTIF('2月'!EI24:EJ24,T$41)+COUNTIF('2月'!EN24:EO24,T$41)+COUNTIF('2月'!ES24:ET24,T$41)</f>
        <v>0</v>
      </c>
      <c r="U63" s="76">
        <f t="shared" si="21"/>
        <v>0</v>
      </c>
      <c r="V63" s="76">
        <f>COUNTIF('2月'!D24:E24,V$41)+COUNTIF('2月'!I24:J24,V$41)+COUNTIF('2月'!N24:O24,V$41)+COUNTIF('2月'!S24:T24,V$41)+COUNTIF('2月'!X24:Y24,V$41)+COUNTIF('2月'!AC24:AD24,V$41)+COUNTIF('2月'!AH24:AI24,V$41)+COUNTIF('2月'!AM24:AN24,V$41)+COUNTIF('2月'!AR24:AS24,V$41)+COUNTIF('2月'!AW24:AX24,V$41)+COUNTIF('2月'!BB24:BC24,V$41)+COUNTIF('2月'!BG24:BH24,V$41)+COUNTIF('2月'!BL24:BM24,V$41)+COUNTIF('2月'!BQ24:BR24,V$41)+COUNTIF('2月'!BV24:BW24,V$41)+COUNTIF('2月'!CA24:CB24,V$41)+COUNTIF('2月'!CF24:CG24,V$41)+COUNTIF('2月'!CK24:CL24,V$41)+COUNTIF('2月'!CP24:CQ24,V$41)+COUNTIF('2月'!CU24:CV24,V$41)+COUNTIF('2月'!CZ24:DA24,V$41)+COUNTIF('2月'!DE24:DF24,V$41)+COUNTIF('2月'!DJ24:DK24,V$41)+COUNTIF('2月'!DO24:DP24,V$41)+COUNTIF('2月'!DT24:DU24,V$41)+COUNTIF('2月'!DY24:DZ24,V$41)+COUNTIF('2月'!ED24:EE24,V$41)+COUNTIF('2月'!EI24:EJ24,V$41)+COUNTIF('2月'!EN24:EO24,V$41)+COUNTIF('2月'!ES24:ET24,V$41)</f>
        <v>0</v>
      </c>
      <c r="W63" s="76">
        <f t="shared" si="22"/>
        <v>0</v>
      </c>
      <c r="X63" s="76">
        <f>COUNTIF('2月'!D24:E24,X$41)+COUNTIF('2月'!I24:J24,X$41)+COUNTIF('2月'!N24:O24,X$41)+COUNTIF('2月'!S24:T24,X$41)+COUNTIF('2月'!X24:Y24,X$41)+COUNTIF('2月'!AC24:AD24,X$41)+COUNTIF('2月'!AH24:AI24,X$41)+COUNTIF('2月'!AM24:AN24,X$41)+COUNTIF('2月'!AR24:AS24,X$41)+COUNTIF('2月'!AW24:AX24,X$41)+COUNTIF('2月'!BB24:BC24,X$41)+COUNTIF('2月'!BG24:BH24,X$41)+COUNTIF('2月'!BL24:BM24,X$41)+COUNTIF('2月'!BQ24:BR24,X$41)+COUNTIF('2月'!BV24:BW24,X$41)+COUNTIF('2月'!CA24:CB24,X$41)+COUNTIF('2月'!CF24:CG24,X$41)+COUNTIF('2月'!CK24:CL24,X$41)+COUNTIF('2月'!CP24:CQ24,X$41)+COUNTIF('2月'!CU24:CV24,X$41)+COUNTIF('2月'!CZ24:DA24,X$41)+COUNTIF('2月'!DE24:DF24,X$41)+COUNTIF('2月'!DJ24:DK24,X$41)+COUNTIF('2月'!DO24:DP24,X$41)+COUNTIF('2月'!DT24:DU24,X$41)+COUNTIF('2月'!DY24:DZ24,X$41)+COUNTIF('2月'!ED24:EE24,X$41)+COUNTIF('2月'!EI24:EJ24,X$41)+COUNTIF('2月'!EN24:EO24,X$41)+COUNTIF('2月'!ES24:ET24,X$41)</f>
        <v>0</v>
      </c>
      <c r="Y63" s="76">
        <f t="shared" si="23"/>
        <v>0</v>
      </c>
    </row>
    <row r="64" spans="1:25" ht="18" customHeight="1">
      <c r="A64" s="76">
        <v>22</v>
      </c>
      <c r="B64" s="76">
        <f>COUNTIF('2月'!D25:E25,B$41)+COUNTIF('2月'!I25:J25,B$41)+COUNTIF('2月'!N25:O25,B$41)+COUNTIF('2月'!S25:T25,B$41)+COUNTIF('2月'!X25:Y25,B$41)+COUNTIF('2月'!AC25:AD25,B$41)+COUNTIF('2月'!AH25:AI25,B$41)+COUNTIF('2月'!AM25:AN25,B$41)+COUNTIF('2月'!AR25:AS25,B$41)+COUNTIF('2月'!AW25:AX25,B$41)+COUNTIF('2月'!BB25:BC25,B$41)+COUNTIF('2月'!BG25:BH25,B$41)+COUNTIF('2月'!BL25:BM25,B$41)+COUNTIF('2月'!BQ25:BR25,B$41)+COUNTIF('2月'!BV25:BW25,B$41)+COUNTIF('2月'!CA25:CB25,B$41)+COUNTIF('2月'!CF25:CG25,B$41)+COUNTIF('2月'!CK25:CL25,B$41)+COUNTIF('2月'!CP25:CQ25,B$41)+COUNTIF('2月'!CU25:CV25,B$41)+COUNTIF('2月'!CZ25:DA25,B$41)+COUNTIF('2月'!DE25:DF25,B$41)+COUNTIF('2月'!DJ25:DK25,B$41)+COUNTIF('2月'!DO25:DP25,B$41)+COUNTIF('2月'!DT25:DU25,B$41)+COUNTIF('2月'!DY25:DZ25,B$41)+COUNTIF('2月'!ED25:EE25,B$41)+COUNTIF('2月'!EI25:EJ25,B$41)+COUNTIF('2月'!EN25:EO25,B$41)+COUNTIF('2月'!ES25:ET25,B$41)</f>
        <v>0</v>
      </c>
      <c r="C64" s="76">
        <f t="shared" si="12"/>
        <v>0</v>
      </c>
      <c r="D64" s="76">
        <f>COUNTIF('2月'!D25:E25,D$41)+COUNTIF('2月'!I25:J25,D$41)+COUNTIF('2月'!N25:O25,D$41)+COUNTIF('2月'!S25:T25,D$41)+COUNTIF('2月'!X25:Y25,D$41)+COUNTIF('2月'!AC25:AD25,D$41)+COUNTIF('2月'!AH25:AI25,D$41)+COUNTIF('2月'!AM25:AN25,D$41)+COUNTIF('2月'!AR25:AS25,D$41)+COUNTIF('2月'!AW25:AX25,D$41)+COUNTIF('2月'!BB25:BC25,D$41)+COUNTIF('2月'!BG25:BH25,D$41)+COUNTIF('2月'!BL25:BM25,D$41)+COUNTIF('2月'!BQ25:BR25,D$41)+COUNTIF('2月'!BV25:BW25,D$41)+COUNTIF('2月'!CA25:CB25,D$41)+COUNTIF('2月'!CF25:CG25,D$41)+COUNTIF('2月'!CK25:CL25,D$41)+COUNTIF('2月'!CP25:CQ25,D$41)+COUNTIF('2月'!CU25:CV25,D$41)+COUNTIF('2月'!CZ25:DA25,D$41)+COUNTIF('2月'!DE25:DF25,D$41)+COUNTIF('2月'!DJ25:DK25,D$41)+COUNTIF('2月'!DO25:DP25,D$41)+COUNTIF('2月'!DT25:DU25,D$41)+COUNTIF('2月'!DY25:DZ25,D$41)+COUNTIF('2月'!ED25:EE25,D$41)+COUNTIF('2月'!EI25:EJ25,D$41)+COUNTIF('2月'!EN25:EO25,D$41)+COUNTIF('2月'!ES25:ET25,D$41)</f>
        <v>0</v>
      </c>
      <c r="E64" s="76">
        <f t="shared" si="13"/>
        <v>0</v>
      </c>
      <c r="F64" s="76">
        <f>COUNTIF('2月'!D25:E25,F$41)+COUNTIF('2月'!I25:J25,F$41)+COUNTIF('2月'!N25:O25,F$41)+COUNTIF('2月'!S25:T25,F$41)+COUNTIF('2月'!X25:Y25,F$41)+COUNTIF('2月'!AC25:AD25,F$41)+COUNTIF('2月'!AH25:AI25,F$41)+COUNTIF('2月'!AM25:AN25,F$41)+COUNTIF('2月'!AR25:AS25,F$41)+COUNTIF('2月'!AW25:AX25,F$41)+COUNTIF('2月'!BB25:BC25,F$41)+COUNTIF('2月'!BG25:BH25,F$41)+COUNTIF('2月'!BL25:BM25,F$41)+COUNTIF('2月'!BQ25:BR25,F$41)+COUNTIF('2月'!BV25:BW25,F$41)+COUNTIF('2月'!CA25:CB25,F$41)+COUNTIF('2月'!CF25:CG25,F$41)+COUNTIF('2月'!CK25:CL25,F$41)+COUNTIF('2月'!CP25:CQ25,F$41)+COUNTIF('2月'!CU25:CV25,F$41)+COUNTIF('2月'!CZ25:DA25,F$41)+COUNTIF('2月'!DE25:DF25,F$41)+COUNTIF('2月'!DJ25:DK25,F$41)+COUNTIF('2月'!DO25:DP25,F$41)+COUNTIF('2月'!DT25:DU25,F$41)+COUNTIF('2月'!DY25:DZ25,F$41)+COUNTIF('2月'!ED25:EE25,F$41)+COUNTIF('2月'!EI25:EJ25,F$41)+COUNTIF('2月'!EN25:EO25,F$41)+COUNTIF('2月'!ES25:ET25,F$41)</f>
        <v>0</v>
      </c>
      <c r="G64" s="76">
        <f t="shared" si="14"/>
        <v>0</v>
      </c>
      <c r="H64" s="76">
        <f>COUNTIF('2月'!D25:E25,H$41)+COUNTIF('2月'!I25:J25,H$41)+COUNTIF('2月'!N25:O25,H$41)+COUNTIF('2月'!S25:T25,H$41)+COUNTIF('2月'!X25:Y25,H$41)+COUNTIF('2月'!AC25:AD25,H$41)+COUNTIF('2月'!AH25:AI25,H$41)+COUNTIF('2月'!AM25:AN25,H$41)+COUNTIF('2月'!AR25:AS25,H$41)+COUNTIF('2月'!AW25:AX25,H$41)+COUNTIF('2月'!BB25:BC25,H$41)+COUNTIF('2月'!BG25:BH25,H$41)+COUNTIF('2月'!BL25:BM25,H$41)+COUNTIF('2月'!BQ25:BR25,H$41)+COUNTIF('2月'!BV25:BW25,H$41)+COUNTIF('2月'!CA25:CB25,H$41)+COUNTIF('2月'!CF25:CG25,H$41)+COUNTIF('2月'!CK25:CL25,H$41)+COUNTIF('2月'!CP25:CQ25,H$41)+COUNTIF('2月'!CU25:CV25,H$41)+COUNTIF('2月'!CZ25:DA25,H$41)+COUNTIF('2月'!DE25:DF25,H$41)+COUNTIF('2月'!DJ25:DK25,H$41)+COUNTIF('2月'!DO25:DP25,H$41)+COUNTIF('2月'!DT25:DU25,H$41)+COUNTIF('2月'!DY25:DZ25,H$41)+COUNTIF('2月'!ED25:EE25,H$41)+COUNTIF('2月'!EI25:EJ25,H$41)+COUNTIF('2月'!EN25:EO25,H$41)+COUNTIF('2月'!ES25:ET25,H$41)+COUNTIF('2月'!D25:E25,"渋谷-夜勤")+COUNTIF('2月'!I25:J25,"渋谷-夜勤")+COUNTIF('2月'!N25:O25,"渋谷-夜勤")+COUNTIF('2月'!S25:T25,"渋谷-夜勤")+COUNTIF('2月'!X25:Y25,"渋谷-夜勤")+COUNTIF('2月'!AC25:AD25,"渋谷-夜勤")+COUNTIF('2月'!AH25:AI25,"渋谷-夜勤")+COUNTIF('2月'!AM25:AN25,"渋谷-夜勤")+COUNTIF('2月'!AR25:AS25,"渋谷-夜勤")+COUNTIF('2月'!AW25:AX25,"渋谷-夜勤")+COUNTIF('2月'!BB25:BC25,"渋谷-夜勤")+COUNTIF('2月'!BG25:BH25,"渋谷-夜勤")+COUNTIF('2月'!BL25:BM25,"渋谷-夜勤")+COUNTIF('2月'!BQ25:BR25,"渋谷-夜勤")+COUNTIF('2月'!BV25:BW25,"渋谷-夜勤")+COUNTIF('2月'!CA25:CB25,"渋谷-夜勤")+COUNTIF('2月'!CF25:CG25,"渋谷-夜勤")+COUNTIF('2月'!CK25:CL25,"渋谷-夜勤")+COUNTIF('2月'!CP25:CQ25,"渋谷-夜勤")+COUNTIF('2月'!CU25:CV25,"渋谷-夜勤")+COUNTIF('2月'!CZ25:DA25,"渋谷-夜勤")+COUNTIF('2月'!DE25:DF25,"渋谷-夜勤")+COUNTIF('2月'!DJ25:DK25,"渋谷-夜勤")+COUNTIF('2月'!DO25:DP25,"渋谷-夜勤")+COUNTIF('2月'!DT25:DU25,"渋谷-夜勤")+COUNTIF('2月'!DY25:DZ25,"渋谷-夜勤")+COUNTIF('2月'!ED25:EE25,"渋谷-夜勤")+COUNTIF('2月'!EI25:EJ25,"渋谷-夜勤")+COUNTIF('2月'!EN25:EO25,"渋谷-夜勤")+COUNTIF('2月'!ES25:ET25,"渋谷-夜勤")</f>
        <v>0</v>
      </c>
      <c r="I64" s="76">
        <f t="shared" si="15"/>
        <v>0</v>
      </c>
      <c r="J64" s="76">
        <f>COUNTIF('2月'!D25:E25,J$41)+COUNTIF('2月'!I25:J25,J$41)+COUNTIF('2月'!N25:O25,J$41)+COUNTIF('2月'!S25:T25,J$41)+COUNTIF('2月'!X25:Y25,J$41)+COUNTIF('2月'!AC25:AD25,J$41)+COUNTIF('2月'!AH25:AI25,J$41)+COUNTIF('2月'!AM25:AN25,J$41)+COUNTIF('2月'!AR25:AS25,J$41)+COUNTIF('2月'!AW25:AX25,J$41)+COUNTIF('2月'!BB25:BC25,J$41)+COUNTIF('2月'!BG25:BH25,J$41)+COUNTIF('2月'!BL25:BM25,J$41)+COUNTIF('2月'!BQ25:BR25,J$41)+COUNTIF('2月'!BV25:BW25,J$41)+COUNTIF('2月'!CA25:CB25,J$41)+COUNTIF('2月'!CF25:CG25,J$41)+COUNTIF('2月'!CK25:CL25,J$41)+COUNTIF('2月'!CP25:CQ25,J$41)+COUNTIF('2月'!CU25:CV25,J$41)+COUNTIF('2月'!CZ25:DA25,J$41)+COUNTIF('2月'!DE25:DF25,J$41)+COUNTIF('2月'!DJ25:DK25,J$41)+COUNTIF('2月'!DO25:DP25,J$41)+COUNTIF('2月'!DT25:DU25,J$41)+COUNTIF('2月'!DY25:DZ25,J$41)+COUNTIF('2月'!ED25:EE25,J$41)+COUNTIF('2月'!EI25:EJ25,J$41)+COUNTIF('2月'!EN25:EO25,J$41)+COUNTIF('2月'!ES25:ET25,J$41)+COUNTIF('2月'!D25:E25,"六本木-夜勤")+COUNTIF('2月'!I25:J25,"六本木-夜勤")+COUNTIF('2月'!N25:O25,"六本木-夜勤")+COUNTIF('2月'!S25:T25,"六本木-夜勤")+COUNTIF('2月'!X25:Y25,"六本木-夜勤")+COUNTIF('2月'!AC25:AD25,"六本木-夜勤")+COUNTIF('2月'!AH25:AI25,"六本木-夜勤")+COUNTIF('2月'!AM25:AN25,"六本木-夜勤")+COUNTIF('2月'!AR25:AS25,"六本木-夜勤")+COUNTIF('2月'!AW25:AX25,"六本木-夜勤")+COUNTIF('2月'!BB25:BC25,"六本木-夜勤")+COUNTIF('2月'!BG25:BH25,"六本木-夜勤")+COUNTIF('2月'!BL25:BM25,"六本木-夜勤")+COUNTIF('2月'!BQ25:BR25,"六本木-夜勤")+COUNTIF('2月'!BV25:BW25,"六本木-夜勤")+COUNTIF('2月'!CA25:CB25,"六本木-夜勤")+COUNTIF('2月'!CF25:CG25,"六本木-夜勤")+COUNTIF('2月'!CK25:CL25,"六本木-夜勤")+COUNTIF('2月'!CP25:CQ25,"六本木-夜勤")+COUNTIF('2月'!CU25:CV25,"六本木-夜勤")+COUNTIF('2月'!CZ25:DA25,"六本木-夜勤")+COUNTIF('2月'!DE25:DF25,"六本木-夜勤")+COUNTIF('2月'!DJ25:DK25,"六本木-夜勤")+COUNTIF('2月'!DO25:DP25,"六本木-夜勤")+COUNTIF('2月'!DT25:DU25,"六本木-夜勤")+COUNTIF('2月'!DY25:DZ25,"六本木-夜勤")+COUNTIF('2月'!ED25:EE25,"六本木-夜勤")+COUNTIF('2月'!EI25:EJ25,"六本木-夜勤")+COUNTIF('2月'!EN25:EO25,"六本木-夜勤")+COUNTIF('2月'!ES25:ET25,"六本木-夜勤")+COUNTIF('2月'!D25:E25,"六本木ー夜勤")+COUNTIF('2月'!I25:J25,"六本木ー夜勤")+COUNTIF('2月'!N25:O25,"六本木ー夜勤")+COUNTIF('2月'!S25:T25,"六本木ー夜勤")+COUNTIF('2月'!X25:Y25,"六本木ー夜勤")+COUNTIF('2月'!AC25:AD25,"六本木ー夜勤")+COUNTIF('2月'!AH25:AI25,"六本木ー夜勤")+COUNTIF('2月'!AM25:AN25,"六本木ー夜勤")+COUNTIF('2月'!AR25:AS25,"六本木ー夜勤")+COUNTIF('2月'!AW25:AX25,"六本木ー夜勤")+COUNTIF('2月'!BB25:BC25,"六本木ー夜勤")+COUNTIF('2月'!BG25:BH25,"六本木ー夜勤")+COUNTIF('2月'!BL25:BM25,"六本木ー夜勤")+COUNTIF('2月'!BQ25:BR25,"六本木ー夜勤")+COUNTIF('2月'!BV25:BW25,"六本木ー夜勤")+COUNTIF('2月'!CA25:CB25,"六本木ー夜勤")+COUNTIF('2月'!CF25:CG25,"六本木ー夜勤")+COUNTIF('2月'!CK25:CL25,"六本木ー夜勤")+COUNTIF('2月'!CP25:CQ25,"六本木ー夜勤")+COUNTIF('2月'!CU25:CV25,"六本木ー夜勤")+COUNTIF('2月'!CZ25:DA25,"六本木ー夜勤")+COUNTIF('2月'!DE25:DF25,"六本木ー夜勤")+COUNTIF('2月'!DJ25:DK25,"六本木ー夜勤")+COUNTIF('2月'!DO25:DP25,"六本木ー夜勤")+COUNTIF('2月'!DT25:DU25,"六本木ー夜勤")+COUNTIF('2月'!DY25:DZ25,"六本木ー夜勤")+COUNTIF('2月'!ED25:EE25,"六本木ー夜勤")+COUNTIF('2月'!EI25:EJ25,"六本木ー夜勤")+COUNTIF('2月'!EN25:EO25,"六本木ー夜勤")+COUNTIF('2月'!ES25:ET25,"六本木ー夜勤")</f>
        <v>0</v>
      </c>
      <c r="K64" s="76">
        <f t="shared" si="16"/>
        <v>0</v>
      </c>
      <c r="L64" s="76">
        <f>COUNTIF('2月'!D25:E25,L$41)+COUNTIF('2月'!I25:J25,L$41)+COUNTIF('2月'!N25:O25,L$41)+COUNTIF('2月'!S25:T25,L$41)+COUNTIF('2月'!X25:Y25,L$41)+COUNTIF('2月'!AC25:AD25,L$41)+COUNTIF('2月'!AH25:AI25,L$41)+COUNTIF('2月'!AM25:AN25,L$41)+COUNTIF('2月'!AR25:AS25,L$41)+COUNTIF('2月'!AW25:AX25,L$41)+COUNTIF('2月'!BB25:BC25,L$41)+COUNTIF('2月'!BG25:BH25,L$41)+COUNTIF('2月'!BL25:BM25,L$41)+COUNTIF('2月'!BQ25:BR25,L$41)+COUNTIF('2月'!BV25:BW25,L$41)+COUNTIF('2月'!CA25:CB25,L$41)+COUNTIF('2月'!CF25:CG25,L$41)+COUNTIF('2月'!CK25:CL25,L$41)+COUNTIF('2月'!CP25:CQ25,L$41)+COUNTIF('2月'!CU25:CV25,L$41)+COUNTIF('2月'!CZ25:DA25,L$41)+COUNTIF('2月'!DE25:DF25,L$41)+COUNTIF('2月'!DJ25:DK25,L$41)+COUNTIF('2月'!DO25:DP25,L$41)+COUNTIF('2月'!DT25:DU25,L$41)+COUNTIF('2月'!DY25:DZ25,L$41)+COUNTIF('2月'!ED25:EE25,L$41)+COUNTIF('2月'!EI25:EJ25,L$41)+COUNTIF('2月'!EN25:EO25,L$41)+COUNTIF('2月'!ES25:ET25,L$41)</f>
        <v>0</v>
      </c>
      <c r="M64" s="76">
        <f t="shared" si="17"/>
        <v>0</v>
      </c>
      <c r="N64" s="76">
        <f>COUNTIF('2月'!D25:E25,N$41)+COUNTIF('2月'!I25:J25,N$41)+COUNTIF('2月'!N25:O25,N$41)+COUNTIF('2月'!S25:T25,N$41)+COUNTIF('2月'!X25:Y25,N$41)+COUNTIF('2月'!AC25:AD25,N$41)+COUNTIF('2月'!AH25:AI25,N$41)+COUNTIF('2月'!AM25:AN25,N$41)+COUNTIF('2月'!AR25:AS25,N$41)+COUNTIF('2月'!AW25:AX25,N$41)+COUNTIF('2月'!BB25:BC25,N$41)+COUNTIF('2月'!BG25:BH25,N$41)+COUNTIF('2月'!BL25:BM25,N$41)+COUNTIF('2月'!BQ25:BR25,N$41)+COUNTIF('2月'!BV25:BW25,N$41)+COUNTIF('2月'!CA25:CB25,N$41)+COUNTIF('2月'!CF25:CG25,N$41)+COUNTIF('2月'!CK25:CL25,N$41)+COUNTIF('2月'!CP25:CQ25,N$41)+COUNTIF('2月'!CU25:CV25,N$41)+COUNTIF('2月'!CZ25:DA25,N$41)+COUNTIF('2月'!DE25:DF25,N$41)+COUNTIF('2月'!DJ25:DK25,N$41)+COUNTIF('2月'!DO25:DP25,N$41)+COUNTIF('2月'!DT25:DU25,N$41)+COUNTIF('2月'!DY25:DZ25,N$41)+COUNTIF('2月'!ED25:EE25,N$41)+COUNTIF('2月'!EI25:EJ25,N$41)+COUNTIF('2月'!EN25:EO25,N$41)+COUNTIF('2月'!ES25:ET25,N$41)+COUNTIF('2月'!D25:E25,"三軒茶屋－夜勤")+COUNTIF('2月'!I25:J25,"三軒茶屋－夜勤")+COUNTIF('2月'!N25:O25,"三軒茶屋－夜勤")+COUNTIF('2月'!S25:T25,"三軒茶屋－夜勤")+COUNTIF('2月'!X25:Y25,"三軒茶屋－夜勤")+COUNTIF('2月'!AC25:AD25,"三軒茶屋－夜勤")+COUNTIF('2月'!AH25:AI25,"三軒茶屋－夜勤")+COUNTIF('2月'!AM25:AN25,"三軒茶屋－夜勤")+COUNTIF('2月'!AR25:AS25,"三軒茶屋－夜勤")+COUNTIF('2月'!AW25:AX25,"三軒茶屋－夜勤")+COUNTIF('2月'!BB25:BC25,"三軒茶屋－夜勤")+COUNTIF('2月'!BG25:BH25,"三軒茶屋－夜勤")+COUNTIF('2月'!BL25:BM25,"三軒茶屋－夜勤")+COUNTIF('2月'!BQ25:BR25,"三軒茶屋－夜勤")+COUNTIF('2月'!BV25:BW25,"三軒茶屋－夜勤")+COUNTIF('2月'!CA25:CB25,"三軒茶屋－夜勤")+COUNTIF('2月'!CF25:CG25,"三軒茶屋－夜勤")+COUNTIF('2月'!CK25:CL25,"三軒茶屋－夜勤")+COUNTIF('2月'!CP25:CQ25,"三軒茶屋－夜勤")+COUNTIF('2月'!CU25:CV25,"三軒茶屋－夜勤")+COUNTIF('2月'!CZ25:DA25,"三軒茶屋－夜勤")+COUNTIF('2月'!DE25:DF25,"三軒茶屋－夜勤")+COUNTIF('2月'!DJ25:DK25,"三軒茶屋－夜勤")+COUNTIF('2月'!DO25:DP25,"三軒茶屋－夜勤")+COUNTIF('2月'!DT25:DU25,"三軒茶屋－夜勤")+COUNTIF('2月'!DY25:DZ25,"三軒茶屋－夜勤")+COUNTIF('2月'!ED25:EE25,"三軒茶屋－夜勤")+COUNTIF('2月'!EI25:EJ25,"三軒茶屋－夜勤")+COUNTIF('2月'!EN25:EO25,"三軒茶屋－夜勤")+COUNTIF('2月'!ES25:ET25,"三軒茶屋－夜勤")</f>
        <v>0</v>
      </c>
      <c r="O64" s="76">
        <f t="shared" si="18"/>
        <v>0</v>
      </c>
      <c r="P64" s="76">
        <f>COUNTIF('2月'!D25:E25,P$41)+COUNTIF('2月'!I25:J25,P$41)+COUNTIF('2月'!N25:O25,P$41)+COUNTIF('2月'!S25:T25,P$41)+COUNTIF('2月'!X25:Y25,P$41)+COUNTIF('2月'!AC25:AD25,P$41)+COUNTIF('2月'!AH25:AI25,P$41)+COUNTIF('2月'!AM25:AN25,P$41)+COUNTIF('2月'!AR25:AS25,P$41)+COUNTIF('2月'!AW25:AX25,P$41)+COUNTIF('2月'!BB25:BC25,P$41)+COUNTIF('2月'!BG25:BH25,P$41)+COUNTIF('2月'!BL25:BM25,P$41)+COUNTIF('2月'!BQ25:BR25,P$41)+COUNTIF('2月'!BV25:BW25,P$41)+COUNTIF('2月'!CA25:CB25,P$41)+COUNTIF('2月'!CF25:CG25,P$41)+COUNTIF('2月'!CK25:CL25,P$41)+COUNTIF('2月'!CP25:CQ25,P$41)+COUNTIF('2月'!CU25:CV25,P$41)+COUNTIF('2月'!CZ25:DA25,P$41)+COUNTIF('2月'!DE25:DF25,P$41)+COUNTIF('2月'!DJ25:DK25,P$41)+COUNTIF('2月'!DO25:DP25,P$41)+COUNTIF('2月'!DT25:DU25,P$41)+COUNTIF('2月'!DY25:DZ25,P$41)+COUNTIF('2月'!ED25:EE25,P$41)+COUNTIF('2月'!EI25:EJ25,P$41)+COUNTIF('2月'!EN25:EO25,P$41)+COUNTIF('2月'!ES25:ET25,P$41)+COUNTIF('2月'!D25:E25,"荻窪ー夜勤")+COUNTIF('2月'!I25:J25,"荻窪ー夜勤")+COUNTIF('2月'!N25:O25,"荻窪ー夜勤")+COUNTIF('2月'!S25:T25,"荻窪ー夜勤")+COUNTIF('2月'!X25:Y25,"荻窪ー夜勤")+COUNTIF('2月'!AC25:AD25,"荻窪ー夜勤")+COUNTIF('2月'!AH25:AI25,"荻窪ー夜勤")+COUNTIF('2月'!AM25:AN25,"荻窪ー夜勤")+COUNTIF('2月'!AR25:AS25,"荻窪ー夜勤")+COUNTIF('2月'!AW25:AX25,"荻窪ー夜勤")+COUNTIF('2月'!BB25:BC25,"荻窪ー夜勤")+COUNTIF('2月'!BG25:BH25,"荻窪ー夜勤")+COUNTIF('2月'!BL25:BM25,"荻窪ー夜勤")+COUNTIF('2月'!BQ25:BR25,"荻窪ー夜勤")+COUNTIF('2月'!BV25:BW25,"荻窪ー夜勤")+COUNTIF('2月'!CA25:CB25,"荻窪ー夜勤")+COUNTIF('2月'!CF25:CG25,"荻窪ー夜勤")+COUNTIF('2月'!CK25:CL25,"荻窪ー夜勤")+COUNTIF('2月'!CP25:CQ25,"荻窪ー夜勤")+COUNTIF('2月'!CU25:CV25,"荻窪ー夜勤")+COUNTIF('2月'!CZ25:DA25,"荻窪ー夜勤")+COUNTIF('2月'!DE25:DF25,"荻窪ー夜勤")+COUNTIF('2月'!DJ25:DK25,"荻窪ー夜勤")+COUNTIF('2月'!DO25:DP25,"荻窪ー夜勤")+COUNTIF('2月'!DT25:DU25,"荻窪ー夜勤")+COUNTIF('2月'!DY25:DZ25,"荻窪ー夜勤")+COUNTIF('2月'!ED25:EE25,"荻窪ー夜勤")+COUNTIF('2月'!EI25:EJ25,"荻窪ー夜勤")+COUNTIF('2月'!EN25:EO25,"荻窪ー夜勤")+COUNTIF('2月'!ES25:ET25,"荻窪ー夜勤")</f>
        <v>0</v>
      </c>
      <c r="Q64" s="76">
        <f t="shared" si="19"/>
        <v>0</v>
      </c>
      <c r="R64" s="76">
        <f>COUNTIF('2月'!D25:E25,R$41)+COUNTIF('2月'!I25:J25,R$41)+COUNTIF('2月'!N25:O25,R$41)+COUNTIF('2月'!S25:T25,R$41)+COUNTIF('2月'!X25:Y25,R$41)+COUNTIF('2月'!AC25:AD25,R$41)+COUNTIF('2月'!AH25:AI25,R$41)+COUNTIF('2月'!AM25:AN25,R$41)+COUNTIF('2月'!AR25:AS25,R$41)+COUNTIF('2月'!AW25:AX25,R$41)+COUNTIF('2月'!BB25:BC25,R$41)+COUNTIF('2月'!BG25:BH25,R$41)+COUNTIF('2月'!BL25:BM25,R$41)+COUNTIF('2月'!BQ25:BR25,R$41)+COUNTIF('2月'!BV25:BW25,R$41)+COUNTIF('2月'!CA25:CB25,R$41)+COUNTIF('2月'!CF25:CG25,R$41)+COUNTIF('2月'!CK25:CL25,R$41)+COUNTIF('2月'!CP25:CQ25,R$41)+COUNTIF('2月'!CU25:CV25,R$41)+COUNTIF('2月'!CZ25:DA25,R$41)+COUNTIF('2月'!DE25:DF25,R$41)+COUNTIF('2月'!DJ25:DK25,R$41)+COUNTIF('2月'!DO25:DP25,R$41)+COUNTIF('2月'!DT25:DU25,R$41)+COUNTIF('2月'!DY25:DZ25,R$41)+COUNTIF('2月'!ED25:EE25,R$41)+COUNTIF('2月'!EI25:EJ25,R$41)+COUNTIF('2月'!EN25:EO25,R$41)+COUNTIF('2月'!ES25:ET25,R$41)</f>
        <v>0</v>
      </c>
      <c r="S64" s="76">
        <f t="shared" si="20"/>
        <v>0</v>
      </c>
      <c r="T64" s="76">
        <f>COUNTIF('2月'!D25:E25,T$41)+COUNTIF('2月'!I25:J25,T$41)+COUNTIF('2月'!N25:O25,T$41)+COUNTIF('2月'!S25:T25,T$41)+COUNTIF('2月'!X25:Y25,T$41)+COUNTIF('2月'!AC25:AD25,T$41)+COUNTIF('2月'!AH25:AI25,T$41)+COUNTIF('2月'!AM25:AN25,T$41)+COUNTIF('2月'!AR25:AS25,T$41)+COUNTIF('2月'!AW25:AX25,T$41)+COUNTIF('2月'!BB25:BC25,T$41)+COUNTIF('2月'!BG25:BH25,T$41)+COUNTIF('2月'!BL25:BM25,T$41)+COUNTIF('2月'!BQ25:BR25,T$41)+COUNTIF('2月'!BV25:BW25,T$41)+COUNTIF('2月'!CA25:CB25,T$41)+COUNTIF('2月'!CF25:CG25,T$41)+COUNTIF('2月'!CK25:CL25,T$41)+COUNTIF('2月'!CP25:CQ25,T$41)+COUNTIF('2月'!CU25:CV25,T$41)+COUNTIF('2月'!CZ25:DA25,T$41)+COUNTIF('2月'!DE25:DF25,T$41)+COUNTIF('2月'!DJ25:DK25,T$41)+COUNTIF('2月'!DO25:DP25,T$41)+COUNTIF('2月'!DT25:DU25,T$41)+COUNTIF('2月'!DY25:DZ25,T$41)+COUNTIF('2月'!ED25:EE25,T$41)+COUNTIF('2月'!EI25:EJ25,T$41)+COUNTIF('2月'!EN25:EO25,T$41)+COUNTIF('2月'!ES25:ET25,T$41)</f>
        <v>0</v>
      </c>
      <c r="U64" s="76">
        <f t="shared" si="21"/>
        <v>0</v>
      </c>
      <c r="V64" s="76">
        <f>COUNTIF('2月'!D25:E25,V$41)+COUNTIF('2月'!I25:J25,V$41)+COUNTIF('2月'!N25:O25,V$41)+COUNTIF('2月'!S25:T25,V$41)+COUNTIF('2月'!X25:Y25,V$41)+COUNTIF('2月'!AC25:AD25,V$41)+COUNTIF('2月'!AH25:AI25,V$41)+COUNTIF('2月'!AM25:AN25,V$41)+COUNTIF('2月'!AR25:AS25,V$41)+COUNTIF('2月'!AW25:AX25,V$41)+COUNTIF('2月'!BB25:BC25,V$41)+COUNTIF('2月'!BG25:BH25,V$41)+COUNTIF('2月'!BL25:BM25,V$41)+COUNTIF('2月'!BQ25:BR25,V$41)+COUNTIF('2月'!BV25:BW25,V$41)+COUNTIF('2月'!CA25:CB25,V$41)+COUNTIF('2月'!CF25:CG25,V$41)+COUNTIF('2月'!CK25:CL25,V$41)+COUNTIF('2月'!CP25:CQ25,V$41)+COUNTIF('2月'!CU25:CV25,V$41)+COUNTIF('2月'!CZ25:DA25,V$41)+COUNTIF('2月'!DE25:DF25,V$41)+COUNTIF('2月'!DJ25:DK25,V$41)+COUNTIF('2月'!DO25:DP25,V$41)+COUNTIF('2月'!DT25:DU25,V$41)+COUNTIF('2月'!DY25:DZ25,V$41)+COUNTIF('2月'!ED25:EE25,V$41)+COUNTIF('2月'!EI25:EJ25,V$41)+COUNTIF('2月'!EN25:EO25,V$41)+COUNTIF('2月'!ES25:ET25,V$41)</f>
        <v>0</v>
      </c>
      <c r="W64" s="76">
        <f t="shared" si="22"/>
        <v>0</v>
      </c>
      <c r="X64" s="76">
        <f>COUNTIF('2月'!D25:E25,X$41)+COUNTIF('2月'!I25:J25,X$41)+COUNTIF('2月'!N25:O25,X$41)+COUNTIF('2月'!S25:T25,X$41)+COUNTIF('2月'!X25:Y25,X$41)+COUNTIF('2月'!AC25:AD25,X$41)+COUNTIF('2月'!AH25:AI25,X$41)+COUNTIF('2月'!AM25:AN25,X$41)+COUNTIF('2月'!AR25:AS25,X$41)+COUNTIF('2月'!AW25:AX25,X$41)+COUNTIF('2月'!BB25:BC25,X$41)+COUNTIF('2月'!BG25:BH25,X$41)+COUNTIF('2月'!BL25:BM25,X$41)+COUNTIF('2月'!BQ25:BR25,X$41)+COUNTIF('2月'!BV25:BW25,X$41)+COUNTIF('2月'!CA25:CB25,X$41)+COUNTIF('2月'!CF25:CG25,X$41)+COUNTIF('2月'!CK25:CL25,X$41)+COUNTIF('2月'!CP25:CQ25,X$41)+COUNTIF('2月'!CU25:CV25,X$41)+COUNTIF('2月'!CZ25:DA25,X$41)+COUNTIF('2月'!DE25:DF25,X$41)+COUNTIF('2月'!DJ25:DK25,X$41)+COUNTIF('2月'!DO25:DP25,X$41)+COUNTIF('2月'!DT25:DU25,X$41)+COUNTIF('2月'!DY25:DZ25,X$41)+COUNTIF('2月'!ED25:EE25,X$41)+COUNTIF('2月'!EI25:EJ25,X$41)+COUNTIF('2月'!EN25:EO25,X$41)+COUNTIF('2月'!ES25:ET25,X$41)</f>
        <v>0</v>
      </c>
      <c r="Y64" s="76">
        <f t="shared" si="23"/>
        <v>0</v>
      </c>
    </row>
    <row r="65" spans="1:25" ht="18" customHeight="1">
      <c r="A65" s="76">
        <v>23</v>
      </c>
      <c r="B65" s="76">
        <f>COUNTIF('2月'!D26:E26,B$41)+COUNTIF('2月'!I26:J26,B$41)+COUNTIF('2月'!N26:O26,B$41)+COUNTIF('2月'!S26:T26,B$41)+COUNTIF('2月'!X26:Y26,B$41)+COUNTIF('2月'!AC26:AD26,B$41)+COUNTIF('2月'!AH26:AI26,B$41)+COUNTIF('2月'!AM26:AN26,B$41)+COUNTIF('2月'!AR26:AS26,B$41)+COUNTIF('2月'!AW26:AX26,B$41)+COUNTIF('2月'!BB26:BC26,B$41)+COUNTIF('2月'!BG26:BH26,B$41)+COUNTIF('2月'!BL26:BM26,B$41)+COUNTIF('2月'!BQ26:BR26,B$41)+COUNTIF('2月'!BV26:BW26,B$41)+COUNTIF('2月'!CA26:CB26,B$41)+COUNTIF('2月'!CF26:CG26,B$41)+COUNTIF('2月'!CK26:CL26,B$41)+COUNTIF('2月'!CP26:CQ26,B$41)+COUNTIF('2月'!CU26:CV26,B$41)+COUNTIF('2月'!CZ26:DA26,B$41)+COUNTIF('2月'!DE26:DF26,B$41)+COUNTIF('2月'!DJ26:DK26,B$41)+COUNTIF('2月'!DO26:DP26,B$41)+COUNTIF('2月'!DT26:DU26,B$41)+COUNTIF('2月'!DY26:DZ26,B$41)+COUNTIF('2月'!ED26:EE26,B$41)+COUNTIF('2月'!EI26:EJ26,B$41)+COUNTIF('2月'!EN26:EO26,B$41)+COUNTIF('2月'!ES26:ET26,B$41)</f>
        <v>0</v>
      </c>
      <c r="C65" s="76">
        <f t="shared" si="12"/>
        <v>0</v>
      </c>
      <c r="D65" s="76">
        <f>COUNTIF('2月'!D26:E26,D$41)+COUNTIF('2月'!I26:J26,D$41)+COUNTIF('2月'!N26:O26,D$41)+COUNTIF('2月'!S26:T26,D$41)+COUNTIF('2月'!X26:Y26,D$41)+COUNTIF('2月'!AC26:AD26,D$41)+COUNTIF('2月'!AH26:AI26,D$41)+COUNTIF('2月'!AM26:AN26,D$41)+COUNTIF('2月'!AR26:AS26,D$41)+COUNTIF('2月'!AW26:AX26,D$41)+COUNTIF('2月'!BB26:BC26,D$41)+COUNTIF('2月'!BG26:BH26,D$41)+COUNTIF('2月'!BL26:BM26,D$41)+COUNTIF('2月'!BQ26:BR26,D$41)+COUNTIF('2月'!BV26:BW26,D$41)+COUNTIF('2月'!CA26:CB26,D$41)+COUNTIF('2月'!CF26:CG26,D$41)+COUNTIF('2月'!CK26:CL26,D$41)+COUNTIF('2月'!CP26:CQ26,D$41)+COUNTIF('2月'!CU26:CV26,D$41)+COUNTIF('2月'!CZ26:DA26,D$41)+COUNTIF('2月'!DE26:DF26,D$41)+COUNTIF('2月'!DJ26:DK26,D$41)+COUNTIF('2月'!DO26:DP26,D$41)+COUNTIF('2月'!DT26:DU26,D$41)+COUNTIF('2月'!DY26:DZ26,D$41)+COUNTIF('2月'!ED26:EE26,D$41)+COUNTIF('2月'!EI26:EJ26,D$41)+COUNTIF('2月'!EN26:EO26,D$41)+COUNTIF('2月'!ES26:ET26,D$41)</f>
        <v>0</v>
      </c>
      <c r="E65" s="76">
        <f t="shared" si="13"/>
        <v>0</v>
      </c>
      <c r="F65" s="76">
        <f>COUNTIF('2月'!D26:E26,F$41)+COUNTIF('2月'!I26:J26,F$41)+COUNTIF('2月'!N26:O26,F$41)+COUNTIF('2月'!S26:T26,F$41)+COUNTIF('2月'!X26:Y26,F$41)+COUNTIF('2月'!AC26:AD26,F$41)+COUNTIF('2月'!AH26:AI26,F$41)+COUNTIF('2月'!AM26:AN26,F$41)+COUNTIF('2月'!AR26:AS26,F$41)+COUNTIF('2月'!AW26:AX26,F$41)+COUNTIF('2月'!BB26:BC26,F$41)+COUNTIF('2月'!BG26:BH26,F$41)+COUNTIF('2月'!BL26:BM26,F$41)+COUNTIF('2月'!BQ26:BR26,F$41)+COUNTIF('2月'!BV26:BW26,F$41)+COUNTIF('2月'!CA26:CB26,F$41)+COUNTIF('2月'!CF26:CG26,F$41)+COUNTIF('2月'!CK26:CL26,F$41)+COUNTIF('2月'!CP26:CQ26,F$41)+COUNTIF('2月'!CU26:CV26,F$41)+COUNTIF('2月'!CZ26:DA26,F$41)+COUNTIF('2月'!DE26:DF26,F$41)+COUNTIF('2月'!DJ26:DK26,F$41)+COUNTIF('2月'!DO26:DP26,F$41)+COUNTIF('2月'!DT26:DU26,F$41)+COUNTIF('2月'!DY26:DZ26,F$41)+COUNTIF('2月'!ED26:EE26,F$41)+COUNTIF('2月'!EI26:EJ26,F$41)+COUNTIF('2月'!EN26:EO26,F$41)+COUNTIF('2月'!ES26:ET26,F$41)</f>
        <v>0</v>
      </c>
      <c r="G65" s="76">
        <f t="shared" si="14"/>
        <v>0</v>
      </c>
      <c r="H65" s="76">
        <f>COUNTIF('2月'!D26:E26,H$41)+COUNTIF('2月'!I26:J26,H$41)+COUNTIF('2月'!N26:O26,H$41)+COUNTIF('2月'!S26:T26,H$41)+COUNTIF('2月'!X26:Y26,H$41)+COUNTIF('2月'!AC26:AD26,H$41)+COUNTIF('2月'!AH26:AI26,H$41)+COUNTIF('2月'!AM26:AN26,H$41)+COUNTIF('2月'!AR26:AS26,H$41)+COUNTIF('2月'!AW26:AX26,H$41)+COUNTIF('2月'!BB26:BC26,H$41)+COUNTIF('2月'!BG26:BH26,H$41)+COUNTIF('2月'!BL26:BM26,H$41)+COUNTIF('2月'!BQ26:BR26,H$41)+COUNTIF('2月'!BV26:BW26,H$41)+COUNTIF('2月'!CA26:CB26,H$41)+COUNTIF('2月'!CF26:CG26,H$41)+COUNTIF('2月'!CK26:CL26,H$41)+COUNTIF('2月'!CP26:CQ26,H$41)+COUNTIF('2月'!CU26:CV26,H$41)+COUNTIF('2月'!CZ26:DA26,H$41)+COUNTIF('2月'!DE26:DF26,H$41)+COUNTIF('2月'!DJ26:DK26,H$41)+COUNTIF('2月'!DO26:DP26,H$41)+COUNTIF('2月'!DT26:DU26,H$41)+COUNTIF('2月'!DY26:DZ26,H$41)+COUNTIF('2月'!ED26:EE26,H$41)+COUNTIF('2月'!EI26:EJ26,H$41)+COUNTIF('2月'!EN26:EO26,H$41)+COUNTIF('2月'!ES26:ET26,H$41)+COUNTIF('2月'!D26:E26,"渋谷-夜勤")+COUNTIF('2月'!I26:J26,"渋谷-夜勤")+COUNTIF('2月'!N26:O26,"渋谷-夜勤")+COUNTIF('2月'!S26:T26,"渋谷-夜勤")+COUNTIF('2月'!X26:Y26,"渋谷-夜勤")+COUNTIF('2月'!AC26:AD26,"渋谷-夜勤")+COUNTIF('2月'!AH26:AI26,"渋谷-夜勤")+COUNTIF('2月'!AM26:AN26,"渋谷-夜勤")+COUNTIF('2月'!AR26:AS26,"渋谷-夜勤")+COUNTIF('2月'!AW26:AX26,"渋谷-夜勤")+COUNTIF('2月'!BB26:BC26,"渋谷-夜勤")+COUNTIF('2月'!BG26:BH26,"渋谷-夜勤")+COUNTIF('2月'!BL26:BM26,"渋谷-夜勤")+COUNTIF('2月'!BQ26:BR26,"渋谷-夜勤")+COUNTIF('2月'!BV26:BW26,"渋谷-夜勤")+COUNTIF('2月'!CA26:CB26,"渋谷-夜勤")+COUNTIF('2月'!CF26:CG26,"渋谷-夜勤")+COUNTIF('2月'!CK26:CL26,"渋谷-夜勤")+COUNTIF('2月'!CP26:CQ26,"渋谷-夜勤")+COUNTIF('2月'!CU26:CV26,"渋谷-夜勤")+COUNTIF('2月'!CZ26:DA26,"渋谷-夜勤")+COUNTIF('2月'!DE26:DF26,"渋谷-夜勤")+COUNTIF('2月'!DJ26:DK26,"渋谷-夜勤")+COUNTIF('2月'!DO26:DP26,"渋谷-夜勤")+COUNTIF('2月'!DT26:DU26,"渋谷-夜勤")+COUNTIF('2月'!DY26:DZ26,"渋谷-夜勤")+COUNTIF('2月'!ED26:EE26,"渋谷-夜勤")+COUNTIF('2月'!EI26:EJ26,"渋谷-夜勤")+COUNTIF('2月'!EN26:EO26,"渋谷-夜勤")+COUNTIF('2月'!ES26:ET26,"渋谷-夜勤")</f>
        <v>0</v>
      </c>
      <c r="I65" s="76">
        <f t="shared" si="15"/>
        <v>0</v>
      </c>
      <c r="J65" s="76">
        <f>COUNTIF('2月'!D26:E26,J$41)+COUNTIF('2月'!I26:J26,J$41)+COUNTIF('2月'!N26:O26,J$41)+COUNTIF('2月'!S26:T26,J$41)+COUNTIF('2月'!X26:Y26,J$41)+COUNTIF('2月'!AC26:AD26,J$41)+COUNTIF('2月'!AH26:AI26,J$41)+COUNTIF('2月'!AM26:AN26,J$41)+COUNTIF('2月'!AR26:AS26,J$41)+COUNTIF('2月'!AW26:AX26,J$41)+COUNTIF('2月'!BB26:BC26,J$41)+COUNTIF('2月'!BG26:BH26,J$41)+COUNTIF('2月'!BL26:BM26,J$41)+COUNTIF('2月'!BQ26:BR26,J$41)+COUNTIF('2月'!BV26:BW26,J$41)+COUNTIF('2月'!CA26:CB26,J$41)+COUNTIF('2月'!CF26:CG26,J$41)+COUNTIF('2月'!CK26:CL26,J$41)+COUNTIF('2月'!CP26:CQ26,J$41)+COUNTIF('2月'!CU26:CV26,J$41)+COUNTIF('2月'!CZ26:DA26,J$41)+COUNTIF('2月'!DE26:DF26,J$41)+COUNTIF('2月'!DJ26:DK26,J$41)+COUNTIF('2月'!DO26:DP26,J$41)+COUNTIF('2月'!DT26:DU26,J$41)+COUNTIF('2月'!DY26:DZ26,J$41)+COUNTIF('2月'!ED26:EE26,J$41)+COUNTIF('2月'!EI26:EJ26,J$41)+COUNTIF('2月'!EN26:EO26,J$41)+COUNTIF('2月'!ES26:ET26,J$41)+COUNTIF('2月'!D26:E26,"六本木-夜勤")+COUNTIF('2月'!I26:J26,"六本木-夜勤")+COUNTIF('2月'!N26:O26,"六本木-夜勤")+COUNTIF('2月'!S26:T26,"六本木-夜勤")+COUNTIF('2月'!X26:Y26,"六本木-夜勤")+COUNTIF('2月'!AC26:AD26,"六本木-夜勤")+COUNTIF('2月'!AH26:AI26,"六本木-夜勤")+COUNTIF('2月'!AM26:AN26,"六本木-夜勤")+COUNTIF('2月'!AR26:AS26,"六本木-夜勤")+COUNTIF('2月'!AW26:AX26,"六本木-夜勤")+COUNTIF('2月'!BB26:BC26,"六本木-夜勤")+COUNTIF('2月'!BG26:BH26,"六本木-夜勤")+COUNTIF('2月'!BL26:BM26,"六本木-夜勤")+COUNTIF('2月'!BQ26:BR26,"六本木-夜勤")+COUNTIF('2月'!BV26:BW26,"六本木-夜勤")+COUNTIF('2月'!CA26:CB26,"六本木-夜勤")+COUNTIF('2月'!CF26:CG26,"六本木-夜勤")+COUNTIF('2月'!CK26:CL26,"六本木-夜勤")+COUNTIF('2月'!CP26:CQ26,"六本木-夜勤")+COUNTIF('2月'!CU26:CV26,"六本木-夜勤")+COUNTIF('2月'!CZ26:DA26,"六本木-夜勤")+COUNTIF('2月'!DE26:DF26,"六本木-夜勤")+COUNTIF('2月'!DJ26:DK26,"六本木-夜勤")+COUNTIF('2月'!DO26:DP26,"六本木-夜勤")+COUNTIF('2月'!DT26:DU26,"六本木-夜勤")+COUNTIF('2月'!DY26:DZ26,"六本木-夜勤")+COUNTIF('2月'!ED26:EE26,"六本木-夜勤")+COUNTIF('2月'!EI26:EJ26,"六本木-夜勤")+COUNTIF('2月'!EN26:EO26,"六本木-夜勤")+COUNTIF('2月'!ES26:ET26,"六本木-夜勤")+COUNTIF('2月'!D26:E26,"六本木ー夜勤")+COUNTIF('2月'!I26:J26,"六本木ー夜勤")+COUNTIF('2月'!N26:O26,"六本木ー夜勤")+COUNTIF('2月'!S26:T26,"六本木ー夜勤")+COUNTIF('2月'!X26:Y26,"六本木ー夜勤")+COUNTIF('2月'!AC26:AD26,"六本木ー夜勤")+COUNTIF('2月'!AH26:AI26,"六本木ー夜勤")+COUNTIF('2月'!AM26:AN26,"六本木ー夜勤")+COUNTIF('2月'!AR26:AS26,"六本木ー夜勤")+COUNTIF('2月'!AW26:AX26,"六本木ー夜勤")+COUNTIF('2月'!BB26:BC26,"六本木ー夜勤")+COUNTIF('2月'!BG26:BH26,"六本木ー夜勤")+COUNTIF('2月'!BL26:BM26,"六本木ー夜勤")+COUNTIF('2月'!BQ26:BR26,"六本木ー夜勤")+COUNTIF('2月'!BV26:BW26,"六本木ー夜勤")+COUNTIF('2月'!CA26:CB26,"六本木ー夜勤")+COUNTIF('2月'!CF26:CG26,"六本木ー夜勤")+COUNTIF('2月'!CK26:CL26,"六本木ー夜勤")+COUNTIF('2月'!CP26:CQ26,"六本木ー夜勤")+COUNTIF('2月'!CU26:CV26,"六本木ー夜勤")+COUNTIF('2月'!CZ26:DA26,"六本木ー夜勤")+COUNTIF('2月'!DE26:DF26,"六本木ー夜勤")+COUNTIF('2月'!DJ26:DK26,"六本木ー夜勤")+COUNTIF('2月'!DO26:DP26,"六本木ー夜勤")+COUNTIF('2月'!DT26:DU26,"六本木ー夜勤")+COUNTIF('2月'!DY26:DZ26,"六本木ー夜勤")+COUNTIF('2月'!ED26:EE26,"六本木ー夜勤")+COUNTIF('2月'!EI26:EJ26,"六本木ー夜勤")+COUNTIF('2月'!EN26:EO26,"六本木ー夜勤")+COUNTIF('2月'!ES26:ET26,"六本木ー夜勤")</f>
        <v>0</v>
      </c>
      <c r="K65" s="76">
        <f t="shared" si="16"/>
        <v>0</v>
      </c>
      <c r="L65" s="76">
        <f>COUNTIF('2月'!D26:E26,L$41)+COUNTIF('2月'!I26:J26,L$41)+COUNTIF('2月'!N26:O26,L$41)+COUNTIF('2月'!S26:T26,L$41)+COUNTIF('2月'!X26:Y26,L$41)+COUNTIF('2月'!AC26:AD26,L$41)+COUNTIF('2月'!AH26:AI26,L$41)+COUNTIF('2月'!AM26:AN26,L$41)+COUNTIF('2月'!AR26:AS26,L$41)+COUNTIF('2月'!AW26:AX26,L$41)+COUNTIF('2月'!BB26:BC26,L$41)+COUNTIF('2月'!BG26:BH26,L$41)+COUNTIF('2月'!BL26:BM26,L$41)+COUNTIF('2月'!BQ26:BR26,L$41)+COUNTIF('2月'!BV26:BW26,L$41)+COUNTIF('2月'!CA26:CB26,L$41)+COUNTIF('2月'!CF26:CG26,L$41)+COUNTIF('2月'!CK26:CL26,L$41)+COUNTIF('2月'!CP26:CQ26,L$41)+COUNTIF('2月'!CU26:CV26,L$41)+COUNTIF('2月'!CZ26:DA26,L$41)+COUNTIF('2月'!DE26:DF26,L$41)+COUNTIF('2月'!DJ26:DK26,L$41)+COUNTIF('2月'!DO26:DP26,L$41)+COUNTIF('2月'!DT26:DU26,L$41)+COUNTIF('2月'!DY26:DZ26,L$41)+COUNTIF('2月'!ED26:EE26,L$41)+COUNTIF('2月'!EI26:EJ26,L$41)+COUNTIF('2月'!EN26:EO26,L$41)+COUNTIF('2月'!ES26:ET26,L$41)</f>
        <v>0</v>
      </c>
      <c r="M65" s="76">
        <f t="shared" si="17"/>
        <v>0</v>
      </c>
      <c r="N65" s="76">
        <f>COUNTIF('2月'!D26:E26,N$41)+COUNTIF('2月'!I26:J26,N$41)+COUNTIF('2月'!N26:O26,N$41)+COUNTIF('2月'!S26:T26,N$41)+COUNTIF('2月'!X26:Y26,N$41)+COUNTIF('2月'!AC26:AD26,N$41)+COUNTIF('2月'!AH26:AI26,N$41)+COUNTIF('2月'!AM26:AN26,N$41)+COUNTIF('2月'!AR26:AS26,N$41)+COUNTIF('2月'!AW26:AX26,N$41)+COUNTIF('2月'!BB26:BC26,N$41)+COUNTIF('2月'!BG26:BH26,N$41)+COUNTIF('2月'!BL26:BM26,N$41)+COUNTIF('2月'!BQ26:BR26,N$41)+COUNTIF('2月'!BV26:BW26,N$41)+COUNTIF('2月'!CA26:CB26,N$41)+COUNTIF('2月'!CF26:CG26,N$41)+COUNTIF('2月'!CK26:CL26,N$41)+COUNTIF('2月'!CP26:CQ26,N$41)+COUNTIF('2月'!CU26:CV26,N$41)+COUNTIF('2月'!CZ26:DA26,N$41)+COUNTIF('2月'!DE26:DF26,N$41)+COUNTIF('2月'!DJ26:DK26,N$41)+COUNTIF('2月'!DO26:DP26,N$41)+COUNTIF('2月'!DT26:DU26,N$41)+COUNTIF('2月'!DY26:DZ26,N$41)+COUNTIF('2月'!ED26:EE26,N$41)+COUNTIF('2月'!EI26:EJ26,N$41)+COUNTIF('2月'!EN26:EO26,N$41)+COUNTIF('2月'!ES26:ET26,N$41)+COUNTIF('2月'!D26:E26,"三軒茶屋－夜勤")+COUNTIF('2月'!I26:J26,"三軒茶屋－夜勤")+COUNTIF('2月'!N26:O26,"三軒茶屋－夜勤")+COUNTIF('2月'!S26:T26,"三軒茶屋－夜勤")+COUNTIF('2月'!X26:Y26,"三軒茶屋－夜勤")+COUNTIF('2月'!AC26:AD26,"三軒茶屋－夜勤")+COUNTIF('2月'!AH26:AI26,"三軒茶屋－夜勤")+COUNTIF('2月'!AM26:AN26,"三軒茶屋－夜勤")+COUNTIF('2月'!AR26:AS26,"三軒茶屋－夜勤")+COUNTIF('2月'!AW26:AX26,"三軒茶屋－夜勤")+COUNTIF('2月'!BB26:BC26,"三軒茶屋－夜勤")+COUNTIF('2月'!BG26:BH26,"三軒茶屋－夜勤")+COUNTIF('2月'!BL26:BM26,"三軒茶屋－夜勤")+COUNTIF('2月'!BQ26:BR26,"三軒茶屋－夜勤")+COUNTIF('2月'!BV26:BW26,"三軒茶屋－夜勤")+COUNTIF('2月'!CA26:CB26,"三軒茶屋－夜勤")+COUNTIF('2月'!CF26:CG26,"三軒茶屋－夜勤")+COUNTIF('2月'!CK26:CL26,"三軒茶屋－夜勤")+COUNTIF('2月'!CP26:CQ26,"三軒茶屋－夜勤")+COUNTIF('2月'!CU26:CV26,"三軒茶屋－夜勤")+COUNTIF('2月'!CZ26:DA26,"三軒茶屋－夜勤")+COUNTIF('2月'!DE26:DF26,"三軒茶屋－夜勤")+COUNTIF('2月'!DJ26:DK26,"三軒茶屋－夜勤")+COUNTIF('2月'!DO26:DP26,"三軒茶屋－夜勤")+COUNTIF('2月'!DT26:DU26,"三軒茶屋－夜勤")+COUNTIF('2月'!DY26:DZ26,"三軒茶屋－夜勤")+COUNTIF('2月'!ED26:EE26,"三軒茶屋－夜勤")+COUNTIF('2月'!EI26:EJ26,"三軒茶屋－夜勤")+COUNTIF('2月'!EN26:EO26,"三軒茶屋－夜勤")+COUNTIF('2月'!ES26:ET26,"三軒茶屋－夜勤")</f>
        <v>0</v>
      </c>
      <c r="O65" s="76">
        <f t="shared" si="18"/>
        <v>0</v>
      </c>
      <c r="P65" s="76">
        <f>COUNTIF('2月'!D26:E26,P$41)+COUNTIF('2月'!I26:J26,P$41)+COUNTIF('2月'!N26:O26,P$41)+COUNTIF('2月'!S26:T26,P$41)+COUNTIF('2月'!X26:Y26,P$41)+COUNTIF('2月'!AC26:AD26,P$41)+COUNTIF('2月'!AH26:AI26,P$41)+COUNTIF('2月'!AM26:AN26,P$41)+COUNTIF('2月'!AR26:AS26,P$41)+COUNTIF('2月'!AW26:AX26,P$41)+COUNTIF('2月'!BB26:BC26,P$41)+COUNTIF('2月'!BG26:BH26,P$41)+COUNTIF('2月'!BL26:BM26,P$41)+COUNTIF('2月'!BQ26:BR26,P$41)+COUNTIF('2月'!BV26:BW26,P$41)+COUNTIF('2月'!CA26:CB26,P$41)+COUNTIF('2月'!CF26:CG26,P$41)+COUNTIF('2月'!CK26:CL26,P$41)+COUNTIF('2月'!CP26:CQ26,P$41)+COUNTIF('2月'!CU26:CV26,P$41)+COUNTIF('2月'!CZ26:DA26,P$41)+COUNTIF('2月'!DE26:DF26,P$41)+COUNTIF('2月'!DJ26:DK26,P$41)+COUNTIF('2月'!DO26:DP26,P$41)+COUNTIF('2月'!DT26:DU26,P$41)+COUNTIF('2月'!DY26:DZ26,P$41)+COUNTIF('2月'!ED26:EE26,P$41)+COUNTIF('2月'!EI26:EJ26,P$41)+COUNTIF('2月'!EN26:EO26,P$41)+COUNTIF('2月'!ES26:ET26,P$41)+COUNTIF('2月'!D26:E26,"荻窪ー夜勤")+COUNTIF('2月'!I26:J26,"荻窪ー夜勤")+COUNTIF('2月'!N26:O26,"荻窪ー夜勤")+COUNTIF('2月'!S26:T26,"荻窪ー夜勤")+COUNTIF('2月'!X26:Y26,"荻窪ー夜勤")+COUNTIF('2月'!AC26:AD26,"荻窪ー夜勤")+COUNTIF('2月'!AH26:AI26,"荻窪ー夜勤")+COUNTIF('2月'!AM26:AN26,"荻窪ー夜勤")+COUNTIF('2月'!AR26:AS26,"荻窪ー夜勤")+COUNTIF('2月'!AW26:AX26,"荻窪ー夜勤")+COUNTIF('2月'!BB26:BC26,"荻窪ー夜勤")+COUNTIF('2月'!BG26:BH26,"荻窪ー夜勤")+COUNTIF('2月'!BL26:BM26,"荻窪ー夜勤")+COUNTIF('2月'!BQ26:BR26,"荻窪ー夜勤")+COUNTIF('2月'!BV26:BW26,"荻窪ー夜勤")+COUNTIF('2月'!CA26:CB26,"荻窪ー夜勤")+COUNTIF('2月'!CF26:CG26,"荻窪ー夜勤")+COUNTIF('2月'!CK26:CL26,"荻窪ー夜勤")+COUNTIF('2月'!CP26:CQ26,"荻窪ー夜勤")+COUNTIF('2月'!CU26:CV26,"荻窪ー夜勤")+COUNTIF('2月'!CZ26:DA26,"荻窪ー夜勤")+COUNTIF('2月'!DE26:DF26,"荻窪ー夜勤")+COUNTIF('2月'!DJ26:DK26,"荻窪ー夜勤")+COUNTIF('2月'!DO26:DP26,"荻窪ー夜勤")+COUNTIF('2月'!DT26:DU26,"荻窪ー夜勤")+COUNTIF('2月'!DY26:DZ26,"荻窪ー夜勤")+COUNTIF('2月'!ED26:EE26,"荻窪ー夜勤")+COUNTIF('2月'!EI26:EJ26,"荻窪ー夜勤")+COUNTIF('2月'!EN26:EO26,"荻窪ー夜勤")+COUNTIF('2月'!ES26:ET26,"荻窪ー夜勤")</f>
        <v>0</v>
      </c>
      <c r="Q65" s="76">
        <f t="shared" si="19"/>
        <v>0</v>
      </c>
      <c r="R65" s="76">
        <f>COUNTIF('2月'!D26:E26,R$41)+COUNTIF('2月'!I26:J26,R$41)+COUNTIF('2月'!N26:O26,R$41)+COUNTIF('2月'!S26:T26,R$41)+COUNTIF('2月'!X26:Y26,R$41)+COUNTIF('2月'!AC26:AD26,R$41)+COUNTIF('2月'!AH26:AI26,R$41)+COUNTIF('2月'!AM26:AN26,R$41)+COUNTIF('2月'!AR26:AS26,R$41)+COUNTIF('2月'!AW26:AX26,R$41)+COUNTIF('2月'!BB26:BC26,R$41)+COUNTIF('2月'!BG26:BH26,R$41)+COUNTIF('2月'!BL26:BM26,R$41)+COUNTIF('2月'!BQ26:BR26,R$41)+COUNTIF('2月'!BV26:BW26,R$41)+COUNTIF('2月'!CA26:CB26,R$41)+COUNTIF('2月'!CF26:CG26,R$41)+COUNTIF('2月'!CK26:CL26,R$41)+COUNTIF('2月'!CP26:CQ26,R$41)+COUNTIF('2月'!CU26:CV26,R$41)+COUNTIF('2月'!CZ26:DA26,R$41)+COUNTIF('2月'!DE26:DF26,R$41)+COUNTIF('2月'!DJ26:DK26,R$41)+COUNTIF('2月'!DO26:DP26,R$41)+COUNTIF('2月'!DT26:DU26,R$41)+COUNTIF('2月'!DY26:DZ26,R$41)+COUNTIF('2月'!ED26:EE26,R$41)+COUNTIF('2月'!EI26:EJ26,R$41)+COUNTIF('2月'!EN26:EO26,R$41)+COUNTIF('2月'!ES26:ET26,R$41)</f>
        <v>0</v>
      </c>
      <c r="S65" s="76">
        <f t="shared" si="20"/>
        <v>0</v>
      </c>
      <c r="T65" s="76">
        <f>COUNTIF('2月'!D26:E26,T$41)+COUNTIF('2月'!I26:J26,T$41)+COUNTIF('2月'!N26:O26,T$41)+COUNTIF('2月'!S26:T26,T$41)+COUNTIF('2月'!X26:Y26,T$41)+COUNTIF('2月'!AC26:AD26,T$41)+COUNTIF('2月'!AH26:AI26,T$41)+COUNTIF('2月'!AM26:AN26,T$41)+COUNTIF('2月'!AR26:AS26,T$41)+COUNTIF('2月'!AW26:AX26,T$41)+COUNTIF('2月'!BB26:BC26,T$41)+COUNTIF('2月'!BG26:BH26,T$41)+COUNTIF('2月'!BL26:BM26,T$41)+COUNTIF('2月'!BQ26:BR26,T$41)+COUNTIF('2月'!BV26:BW26,T$41)+COUNTIF('2月'!CA26:CB26,T$41)+COUNTIF('2月'!CF26:CG26,T$41)+COUNTIF('2月'!CK26:CL26,T$41)+COUNTIF('2月'!CP26:CQ26,T$41)+COUNTIF('2月'!CU26:CV26,T$41)+COUNTIF('2月'!CZ26:DA26,T$41)+COUNTIF('2月'!DE26:DF26,T$41)+COUNTIF('2月'!DJ26:DK26,T$41)+COUNTIF('2月'!DO26:DP26,T$41)+COUNTIF('2月'!DT26:DU26,T$41)+COUNTIF('2月'!DY26:DZ26,T$41)+COUNTIF('2月'!ED26:EE26,T$41)+COUNTIF('2月'!EI26:EJ26,T$41)+COUNTIF('2月'!EN26:EO26,T$41)+COUNTIF('2月'!ES26:ET26,T$41)</f>
        <v>0</v>
      </c>
      <c r="U65" s="76">
        <f t="shared" si="21"/>
        <v>0</v>
      </c>
      <c r="V65" s="76">
        <f>COUNTIF('2月'!D26:E26,V$41)+COUNTIF('2月'!I26:J26,V$41)+COUNTIF('2月'!N26:O26,V$41)+COUNTIF('2月'!S26:T26,V$41)+COUNTIF('2月'!X26:Y26,V$41)+COUNTIF('2月'!AC26:AD26,V$41)+COUNTIF('2月'!AH26:AI26,V$41)+COUNTIF('2月'!AM26:AN26,V$41)+COUNTIF('2月'!AR26:AS26,V$41)+COUNTIF('2月'!AW26:AX26,V$41)+COUNTIF('2月'!BB26:BC26,V$41)+COUNTIF('2月'!BG26:BH26,V$41)+COUNTIF('2月'!BL26:BM26,V$41)+COUNTIF('2月'!BQ26:BR26,V$41)+COUNTIF('2月'!BV26:BW26,V$41)+COUNTIF('2月'!CA26:CB26,V$41)+COUNTIF('2月'!CF26:CG26,V$41)+COUNTIF('2月'!CK26:CL26,V$41)+COUNTIF('2月'!CP26:CQ26,V$41)+COUNTIF('2月'!CU26:CV26,V$41)+COUNTIF('2月'!CZ26:DA26,V$41)+COUNTIF('2月'!DE26:DF26,V$41)+COUNTIF('2月'!DJ26:DK26,V$41)+COUNTIF('2月'!DO26:DP26,V$41)+COUNTIF('2月'!DT26:DU26,V$41)+COUNTIF('2月'!DY26:DZ26,V$41)+COUNTIF('2月'!ED26:EE26,V$41)+COUNTIF('2月'!EI26:EJ26,V$41)+COUNTIF('2月'!EN26:EO26,V$41)+COUNTIF('2月'!ES26:ET26,V$41)</f>
        <v>0</v>
      </c>
      <c r="W65" s="76">
        <f t="shared" si="22"/>
        <v>0</v>
      </c>
      <c r="X65" s="76">
        <f>COUNTIF('2月'!D26:E26,X$41)+COUNTIF('2月'!I26:J26,X$41)+COUNTIF('2月'!N26:O26,X$41)+COUNTIF('2月'!S26:T26,X$41)+COUNTIF('2月'!X26:Y26,X$41)+COUNTIF('2月'!AC26:AD26,X$41)+COUNTIF('2月'!AH26:AI26,X$41)+COUNTIF('2月'!AM26:AN26,X$41)+COUNTIF('2月'!AR26:AS26,X$41)+COUNTIF('2月'!AW26:AX26,X$41)+COUNTIF('2月'!BB26:BC26,X$41)+COUNTIF('2月'!BG26:BH26,X$41)+COUNTIF('2月'!BL26:BM26,X$41)+COUNTIF('2月'!BQ26:BR26,X$41)+COUNTIF('2月'!BV26:BW26,X$41)+COUNTIF('2月'!CA26:CB26,X$41)+COUNTIF('2月'!CF26:CG26,X$41)+COUNTIF('2月'!CK26:CL26,X$41)+COUNTIF('2月'!CP26:CQ26,X$41)+COUNTIF('2月'!CU26:CV26,X$41)+COUNTIF('2月'!CZ26:DA26,X$41)+COUNTIF('2月'!DE26:DF26,X$41)+COUNTIF('2月'!DJ26:DK26,X$41)+COUNTIF('2月'!DO26:DP26,X$41)+COUNTIF('2月'!DT26:DU26,X$41)+COUNTIF('2月'!DY26:DZ26,X$41)+COUNTIF('2月'!ED26:EE26,X$41)+COUNTIF('2月'!EI26:EJ26,X$41)+COUNTIF('2月'!EN26:EO26,X$41)+COUNTIF('2月'!ES26:ET26,X$41)</f>
        <v>0</v>
      </c>
      <c r="Y65" s="76">
        <f t="shared" si="23"/>
        <v>0</v>
      </c>
    </row>
    <row r="66" spans="1:25" ht="18" customHeight="1">
      <c r="A66" s="76">
        <v>24</v>
      </c>
      <c r="B66" s="76">
        <f>COUNTIF('2月'!D27:E27,B$41)+COUNTIF('2月'!I27:J27,B$41)+COUNTIF('2月'!N27:O27,B$41)+COUNTIF('2月'!S27:T27,B$41)+COUNTIF('2月'!X27:Y27,B$41)+COUNTIF('2月'!AC27:AD27,B$41)+COUNTIF('2月'!AH27:AI27,B$41)+COUNTIF('2月'!AM27:AN27,B$41)+COUNTIF('2月'!AR27:AS27,B$41)+COUNTIF('2月'!AW27:AX27,B$41)+COUNTIF('2月'!BB27:BC27,B$41)+COUNTIF('2月'!BG27:BH27,B$41)+COUNTIF('2月'!BL27:BM27,B$41)+COUNTIF('2月'!BQ27:BR27,B$41)+COUNTIF('2月'!BV27:BW27,B$41)+COUNTIF('2月'!CA27:CB27,B$41)+COUNTIF('2月'!CF27:CG27,B$41)+COUNTIF('2月'!CK27:CL27,B$41)+COUNTIF('2月'!CP27:CQ27,B$41)+COUNTIF('2月'!CU27:CV27,B$41)+COUNTIF('2月'!CZ27:DA27,B$41)+COUNTIF('2月'!DE27:DF27,B$41)+COUNTIF('2月'!DJ27:DK27,B$41)+COUNTIF('2月'!DO27:DP27,B$41)+COUNTIF('2月'!DT27:DU27,B$41)+COUNTIF('2月'!DY27:DZ27,B$41)+COUNTIF('2月'!ED27:EE27,B$41)+COUNTIF('2月'!EI27:EJ27,B$41)+COUNTIF('2月'!EN27:EO27,B$41)+COUNTIF('2月'!ES27:ET27,B$41)</f>
        <v>0</v>
      </c>
      <c r="C66" s="76">
        <f t="shared" si="12"/>
        <v>0</v>
      </c>
      <c r="D66" s="76">
        <f>COUNTIF('2月'!D27:E27,D$41)+COUNTIF('2月'!I27:J27,D$41)+COUNTIF('2月'!N27:O27,D$41)+COUNTIF('2月'!S27:T27,D$41)+COUNTIF('2月'!X27:Y27,D$41)+COUNTIF('2月'!AC27:AD27,D$41)+COUNTIF('2月'!AH27:AI27,D$41)+COUNTIF('2月'!AM27:AN27,D$41)+COUNTIF('2月'!AR27:AS27,D$41)+COUNTIF('2月'!AW27:AX27,D$41)+COUNTIF('2月'!BB27:BC27,D$41)+COUNTIF('2月'!BG27:BH27,D$41)+COUNTIF('2月'!BL27:BM27,D$41)+COUNTIF('2月'!BQ27:BR27,D$41)+COUNTIF('2月'!BV27:BW27,D$41)+COUNTIF('2月'!CA27:CB27,D$41)+COUNTIF('2月'!CF27:CG27,D$41)+COUNTIF('2月'!CK27:CL27,D$41)+COUNTIF('2月'!CP27:CQ27,D$41)+COUNTIF('2月'!CU27:CV27,D$41)+COUNTIF('2月'!CZ27:DA27,D$41)+COUNTIF('2月'!DE27:DF27,D$41)+COUNTIF('2月'!DJ27:DK27,D$41)+COUNTIF('2月'!DO27:DP27,D$41)+COUNTIF('2月'!DT27:DU27,D$41)+COUNTIF('2月'!DY27:DZ27,D$41)+COUNTIF('2月'!ED27:EE27,D$41)+COUNTIF('2月'!EI27:EJ27,D$41)+COUNTIF('2月'!EN27:EO27,D$41)+COUNTIF('2月'!ES27:ET27,D$41)</f>
        <v>0</v>
      </c>
      <c r="E66" s="76">
        <f t="shared" si="13"/>
        <v>0</v>
      </c>
      <c r="F66" s="76">
        <f>COUNTIF('2月'!D27:E27,F$41)+COUNTIF('2月'!I27:J27,F$41)+COUNTIF('2月'!N27:O27,F$41)+COUNTIF('2月'!S27:T27,F$41)+COUNTIF('2月'!X27:Y27,F$41)+COUNTIF('2月'!AC27:AD27,F$41)+COUNTIF('2月'!AH27:AI27,F$41)+COUNTIF('2月'!AM27:AN27,F$41)+COUNTIF('2月'!AR27:AS27,F$41)+COUNTIF('2月'!AW27:AX27,F$41)+COUNTIF('2月'!BB27:BC27,F$41)+COUNTIF('2月'!BG27:BH27,F$41)+COUNTIF('2月'!BL27:BM27,F$41)+COUNTIF('2月'!BQ27:BR27,F$41)+COUNTIF('2月'!BV27:BW27,F$41)+COUNTIF('2月'!CA27:CB27,F$41)+COUNTIF('2月'!CF27:CG27,F$41)+COUNTIF('2月'!CK27:CL27,F$41)+COUNTIF('2月'!CP27:CQ27,F$41)+COUNTIF('2月'!CU27:CV27,F$41)+COUNTIF('2月'!CZ27:DA27,F$41)+COUNTIF('2月'!DE27:DF27,F$41)+COUNTIF('2月'!DJ27:DK27,F$41)+COUNTIF('2月'!DO27:DP27,F$41)+COUNTIF('2月'!DT27:DU27,F$41)+COUNTIF('2月'!DY27:DZ27,F$41)+COUNTIF('2月'!ED27:EE27,F$41)+COUNTIF('2月'!EI27:EJ27,F$41)+COUNTIF('2月'!EN27:EO27,F$41)+COUNTIF('2月'!ES27:ET27,F$41)</f>
        <v>0</v>
      </c>
      <c r="G66" s="76">
        <f t="shared" si="14"/>
        <v>0</v>
      </c>
      <c r="H66" s="76">
        <f>COUNTIF('2月'!D27:E27,H$41)+COUNTIF('2月'!I27:J27,H$41)+COUNTIF('2月'!N27:O27,H$41)+COUNTIF('2月'!S27:T27,H$41)+COUNTIF('2月'!X27:Y27,H$41)+COUNTIF('2月'!AC27:AD27,H$41)+COUNTIF('2月'!AH27:AI27,H$41)+COUNTIF('2月'!AM27:AN27,H$41)+COUNTIF('2月'!AR27:AS27,H$41)+COUNTIF('2月'!AW27:AX27,H$41)+COUNTIF('2月'!BB27:BC27,H$41)+COUNTIF('2月'!BG27:BH27,H$41)+COUNTIF('2月'!BL27:BM27,H$41)+COUNTIF('2月'!BQ27:BR27,H$41)+COUNTIF('2月'!BV27:BW27,H$41)+COUNTIF('2月'!CA27:CB27,H$41)+COUNTIF('2月'!CF27:CG27,H$41)+COUNTIF('2月'!CK27:CL27,H$41)+COUNTIF('2月'!CP27:CQ27,H$41)+COUNTIF('2月'!CU27:CV27,H$41)+COUNTIF('2月'!CZ27:DA27,H$41)+COUNTIF('2月'!DE27:DF27,H$41)+COUNTIF('2月'!DJ27:DK27,H$41)+COUNTIF('2月'!DO27:DP27,H$41)+COUNTIF('2月'!DT27:DU27,H$41)+COUNTIF('2月'!DY27:DZ27,H$41)+COUNTIF('2月'!ED27:EE27,H$41)+COUNTIF('2月'!EI27:EJ27,H$41)+COUNTIF('2月'!EN27:EO27,H$41)+COUNTIF('2月'!ES27:ET27,H$41)+COUNTIF('2月'!D27:E27,"渋谷-夜勤")+COUNTIF('2月'!I27:J27,"渋谷-夜勤")+COUNTIF('2月'!N27:O27,"渋谷-夜勤")+COUNTIF('2月'!S27:T27,"渋谷-夜勤")+COUNTIF('2月'!X27:Y27,"渋谷-夜勤")+COUNTIF('2月'!AC27:AD27,"渋谷-夜勤")+COUNTIF('2月'!AH27:AI27,"渋谷-夜勤")+COUNTIF('2月'!AM27:AN27,"渋谷-夜勤")+COUNTIF('2月'!AR27:AS27,"渋谷-夜勤")+COUNTIF('2月'!AW27:AX27,"渋谷-夜勤")+COUNTIF('2月'!BB27:BC27,"渋谷-夜勤")+COUNTIF('2月'!BG27:BH27,"渋谷-夜勤")+COUNTIF('2月'!BL27:BM27,"渋谷-夜勤")+COUNTIF('2月'!BQ27:BR27,"渋谷-夜勤")+COUNTIF('2月'!BV27:BW27,"渋谷-夜勤")+COUNTIF('2月'!CA27:CB27,"渋谷-夜勤")+COUNTIF('2月'!CF27:CG27,"渋谷-夜勤")+COUNTIF('2月'!CK27:CL27,"渋谷-夜勤")+COUNTIF('2月'!CP27:CQ27,"渋谷-夜勤")+COUNTIF('2月'!CU27:CV27,"渋谷-夜勤")+COUNTIF('2月'!CZ27:DA27,"渋谷-夜勤")+COUNTIF('2月'!DE27:DF27,"渋谷-夜勤")+COUNTIF('2月'!DJ27:DK27,"渋谷-夜勤")+COUNTIF('2月'!DO27:DP27,"渋谷-夜勤")+COUNTIF('2月'!DT27:DU27,"渋谷-夜勤")+COUNTIF('2月'!DY27:DZ27,"渋谷-夜勤")+COUNTIF('2月'!ED27:EE27,"渋谷-夜勤")+COUNTIF('2月'!EI27:EJ27,"渋谷-夜勤")+COUNTIF('2月'!EN27:EO27,"渋谷-夜勤")+COUNTIF('2月'!ES27:ET27,"渋谷-夜勤")</f>
        <v>0</v>
      </c>
      <c r="I66" s="76">
        <f t="shared" si="15"/>
        <v>0</v>
      </c>
      <c r="J66" s="76">
        <f>COUNTIF('2月'!D27:E27,J$41)+COUNTIF('2月'!I27:J27,J$41)+COUNTIF('2月'!N27:O27,J$41)+COUNTIF('2月'!S27:T27,J$41)+COUNTIF('2月'!X27:Y27,J$41)+COUNTIF('2月'!AC27:AD27,J$41)+COUNTIF('2月'!AH27:AI27,J$41)+COUNTIF('2月'!AM27:AN27,J$41)+COUNTIF('2月'!AR27:AS27,J$41)+COUNTIF('2月'!AW27:AX27,J$41)+COUNTIF('2月'!BB27:BC27,J$41)+COUNTIF('2月'!BG27:BH27,J$41)+COUNTIF('2月'!BL27:BM27,J$41)+COUNTIF('2月'!BQ27:BR27,J$41)+COUNTIF('2月'!BV27:BW27,J$41)+COUNTIF('2月'!CA27:CB27,J$41)+COUNTIF('2月'!CF27:CG27,J$41)+COUNTIF('2月'!CK27:CL27,J$41)+COUNTIF('2月'!CP27:CQ27,J$41)+COUNTIF('2月'!CU27:CV27,J$41)+COUNTIF('2月'!CZ27:DA27,J$41)+COUNTIF('2月'!DE27:DF27,J$41)+COUNTIF('2月'!DJ27:DK27,J$41)+COUNTIF('2月'!DO27:DP27,J$41)+COUNTIF('2月'!DT27:DU27,J$41)+COUNTIF('2月'!DY27:DZ27,J$41)+COUNTIF('2月'!ED27:EE27,J$41)+COUNTIF('2月'!EI27:EJ27,J$41)+COUNTIF('2月'!EN27:EO27,J$41)+COUNTIF('2月'!ES27:ET27,J$41)+COUNTIF('2月'!D27:E27,"六本木-夜勤")+COUNTIF('2月'!I27:J27,"六本木-夜勤")+COUNTIF('2月'!N27:O27,"六本木-夜勤")+COUNTIF('2月'!S27:T27,"六本木-夜勤")+COUNTIF('2月'!X27:Y27,"六本木-夜勤")+COUNTIF('2月'!AC27:AD27,"六本木-夜勤")+COUNTIF('2月'!AH27:AI27,"六本木-夜勤")+COUNTIF('2月'!AM27:AN27,"六本木-夜勤")+COUNTIF('2月'!AR27:AS27,"六本木-夜勤")+COUNTIF('2月'!AW27:AX27,"六本木-夜勤")+COUNTIF('2月'!BB27:BC27,"六本木-夜勤")+COUNTIF('2月'!BG27:BH27,"六本木-夜勤")+COUNTIF('2月'!BL27:BM27,"六本木-夜勤")+COUNTIF('2月'!BQ27:BR27,"六本木-夜勤")+COUNTIF('2月'!BV27:BW27,"六本木-夜勤")+COUNTIF('2月'!CA27:CB27,"六本木-夜勤")+COUNTIF('2月'!CF27:CG27,"六本木-夜勤")+COUNTIF('2月'!CK27:CL27,"六本木-夜勤")+COUNTIF('2月'!CP27:CQ27,"六本木-夜勤")+COUNTIF('2月'!CU27:CV27,"六本木-夜勤")+COUNTIF('2月'!CZ27:DA27,"六本木-夜勤")+COUNTIF('2月'!DE27:DF27,"六本木-夜勤")+COUNTIF('2月'!DJ27:DK27,"六本木-夜勤")+COUNTIF('2月'!DO27:DP27,"六本木-夜勤")+COUNTIF('2月'!DT27:DU27,"六本木-夜勤")+COUNTIF('2月'!DY27:DZ27,"六本木-夜勤")+COUNTIF('2月'!ED27:EE27,"六本木-夜勤")+COUNTIF('2月'!EI27:EJ27,"六本木-夜勤")+COUNTIF('2月'!EN27:EO27,"六本木-夜勤")+COUNTIF('2月'!ES27:ET27,"六本木-夜勤")+COUNTIF('2月'!D27:E27,"六本木ー夜勤")+COUNTIF('2月'!I27:J27,"六本木ー夜勤")+COUNTIF('2月'!N27:O27,"六本木ー夜勤")+COUNTIF('2月'!S27:T27,"六本木ー夜勤")+COUNTIF('2月'!X27:Y27,"六本木ー夜勤")+COUNTIF('2月'!AC27:AD27,"六本木ー夜勤")+COUNTIF('2月'!AH27:AI27,"六本木ー夜勤")+COUNTIF('2月'!AM27:AN27,"六本木ー夜勤")+COUNTIF('2月'!AR27:AS27,"六本木ー夜勤")+COUNTIF('2月'!AW27:AX27,"六本木ー夜勤")+COUNTIF('2月'!BB27:BC27,"六本木ー夜勤")+COUNTIF('2月'!BG27:BH27,"六本木ー夜勤")+COUNTIF('2月'!BL27:BM27,"六本木ー夜勤")+COUNTIF('2月'!BQ27:BR27,"六本木ー夜勤")+COUNTIF('2月'!BV27:BW27,"六本木ー夜勤")+COUNTIF('2月'!CA27:CB27,"六本木ー夜勤")+COUNTIF('2月'!CF27:CG27,"六本木ー夜勤")+COUNTIF('2月'!CK27:CL27,"六本木ー夜勤")+COUNTIF('2月'!CP27:CQ27,"六本木ー夜勤")+COUNTIF('2月'!CU27:CV27,"六本木ー夜勤")+COUNTIF('2月'!CZ27:DA27,"六本木ー夜勤")+COUNTIF('2月'!DE27:DF27,"六本木ー夜勤")+COUNTIF('2月'!DJ27:DK27,"六本木ー夜勤")+COUNTIF('2月'!DO27:DP27,"六本木ー夜勤")+COUNTIF('2月'!DT27:DU27,"六本木ー夜勤")+COUNTIF('2月'!DY27:DZ27,"六本木ー夜勤")+COUNTIF('2月'!ED27:EE27,"六本木ー夜勤")+COUNTIF('2月'!EI27:EJ27,"六本木ー夜勤")+COUNTIF('2月'!EN27:EO27,"六本木ー夜勤")+COUNTIF('2月'!ES27:ET27,"六本木ー夜勤")</f>
        <v>0</v>
      </c>
      <c r="K66" s="76">
        <f t="shared" si="16"/>
        <v>0</v>
      </c>
      <c r="L66" s="76">
        <f>COUNTIF('2月'!D27:E27,L$41)+COUNTIF('2月'!I27:J27,L$41)+COUNTIF('2月'!N27:O27,L$41)+COUNTIF('2月'!S27:T27,L$41)+COUNTIF('2月'!X27:Y27,L$41)+COUNTIF('2月'!AC27:AD27,L$41)+COUNTIF('2月'!AH27:AI27,L$41)+COUNTIF('2月'!AM27:AN27,L$41)+COUNTIF('2月'!AR27:AS27,L$41)+COUNTIF('2月'!AW27:AX27,L$41)+COUNTIF('2月'!BB27:BC27,L$41)+COUNTIF('2月'!BG27:BH27,L$41)+COUNTIF('2月'!BL27:BM27,L$41)+COUNTIF('2月'!BQ27:BR27,L$41)+COUNTIF('2月'!BV27:BW27,L$41)+COUNTIF('2月'!CA27:CB27,L$41)+COUNTIF('2月'!CF27:CG27,L$41)+COUNTIF('2月'!CK27:CL27,L$41)+COUNTIF('2月'!CP27:CQ27,L$41)+COUNTIF('2月'!CU27:CV27,L$41)+COUNTIF('2月'!CZ27:DA27,L$41)+COUNTIF('2月'!DE27:DF27,L$41)+COUNTIF('2月'!DJ27:DK27,L$41)+COUNTIF('2月'!DO27:DP27,L$41)+COUNTIF('2月'!DT27:DU27,L$41)+COUNTIF('2月'!DY27:DZ27,L$41)+COUNTIF('2月'!ED27:EE27,L$41)+COUNTIF('2月'!EI27:EJ27,L$41)+COUNTIF('2月'!EN27:EO27,L$41)+COUNTIF('2月'!ES27:ET27,L$41)</f>
        <v>0</v>
      </c>
      <c r="M66" s="76">
        <f t="shared" si="17"/>
        <v>0</v>
      </c>
      <c r="N66" s="76">
        <f>COUNTIF('2月'!D27:E27,N$41)+COUNTIF('2月'!I27:J27,N$41)+COUNTIF('2月'!N27:O27,N$41)+COUNTIF('2月'!S27:T27,N$41)+COUNTIF('2月'!X27:Y27,N$41)+COUNTIF('2月'!AC27:AD27,N$41)+COUNTIF('2月'!AH27:AI27,N$41)+COUNTIF('2月'!AM27:AN27,N$41)+COUNTIF('2月'!AR27:AS27,N$41)+COUNTIF('2月'!AW27:AX27,N$41)+COUNTIF('2月'!BB27:BC27,N$41)+COUNTIF('2月'!BG27:BH27,N$41)+COUNTIF('2月'!BL27:BM27,N$41)+COUNTIF('2月'!BQ27:BR27,N$41)+COUNTIF('2月'!BV27:BW27,N$41)+COUNTIF('2月'!CA27:CB27,N$41)+COUNTIF('2月'!CF27:CG27,N$41)+COUNTIF('2月'!CK27:CL27,N$41)+COUNTIF('2月'!CP27:CQ27,N$41)+COUNTIF('2月'!CU27:CV27,N$41)+COUNTIF('2月'!CZ27:DA27,N$41)+COUNTIF('2月'!DE27:DF27,N$41)+COUNTIF('2月'!DJ27:DK27,N$41)+COUNTIF('2月'!DO27:DP27,N$41)+COUNTIF('2月'!DT27:DU27,N$41)+COUNTIF('2月'!DY27:DZ27,N$41)+COUNTIF('2月'!ED27:EE27,N$41)+COUNTIF('2月'!EI27:EJ27,N$41)+COUNTIF('2月'!EN27:EO27,N$41)+COUNTIF('2月'!ES27:ET27,N$41)+COUNTIF('2月'!D27:E27,"三軒茶屋－夜勤")+COUNTIF('2月'!I27:J27,"三軒茶屋－夜勤")+COUNTIF('2月'!N27:O27,"三軒茶屋－夜勤")+COUNTIF('2月'!S27:T27,"三軒茶屋－夜勤")+COUNTIF('2月'!X27:Y27,"三軒茶屋－夜勤")+COUNTIF('2月'!AC27:AD27,"三軒茶屋－夜勤")+COUNTIF('2月'!AH27:AI27,"三軒茶屋－夜勤")+COUNTIF('2月'!AM27:AN27,"三軒茶屋－夜勤")+COUNTIF('2月'!AR27:AS27,"三軒茶屋－夜勤")+COUNTIF('2月'!AW27:AX27,"三軒茶屋－夜勤")+COUNTIF('2月'!BB27:BC27,"三軒茶屋－夜勤")+COUNTIF('2月'!BG27:BH27,"三軒茶屋－夜勤")+COUNTIF('2月'!BL27:BM27,"三軒茶屋－夜勤")+COUNTIF('2月'!BQ27:BR27,"三軒茶屋－夜勤")+COUNTIF('2月'!BV27:BW27,"三軒茶屋－夜勤")+COUNTIF('2月'!CA27:CB27,"三軒茶屋－夜勤")+COUNTIF('2月'!CF27:CG27,"三軒茶屋－夜勤")+COUNTIF('2月'!CK27:CL27,"三軒茶屋－夜勤")+COUNTIF('2月'!CP27:CQ27,"三軒茶屋－夜勤")+COUNTIF('2月'!CU27:CV27,"三軒茶屋－夜勤")+COUNTIF('2月'!CZ27:DA27,"三軒茶屋－夜勤")+COUNTIF('2月'!DE27:DF27,"三軒茶屋－夜勤")+COUNTIF('2月'!DJ27:DK27,"三軒茶屋－夜勤")+COUNTIF('2月'!DO27:DP27,"三軒茶屋－夜勤")+COUNTIF('2月'!DT27:DU27,"三軒茶屋－夜勤")+COUNTIF('2月'!DY27:DZ27,"三軒茶屋－夜勤")+COUNTIF('2月'!ED27:EE27,"三軒茶屋－夜勤")+COUNTIF('2月'!EI27:EJ27,"三軒茶屋－夜勤")+COUNTIF('2月'!EN27:EO27,"三軒茶屋－夜勤")+COUNTIF('2月'!ES27:ET27,"三軒茶屋－夜勤")</f>
        <v>0</v>
      </c>
      <c r="O66" s="76">
        <f t="shared" si="18"/>
        <v>0</v>
      </c>
      <c r="P66" s="76">
        <f>COUNTIF('2月'!D27:E27,P$41)+COUNTIF('2月'!I27:J27,P$41)+COUNTIF('2月'!N27:O27,P$41)+COUNTIF('2月'!S27:T27,P$41)+COUNTIF('2月'!X27:Y27,P$41)+COUNTIF('2月'!AC27:AD27,P$41)+COUNTIF('2月'!AH27:AI27,P$41)+COUNTIF('2月'!AM27:AN27,P$41)+COUNTIF('2月'!AR27:AS27,P$41)+COUNTIF('2月'!AW27:AX27,P$41)+COUNTIF('2月'!BB27:BC27,P$41)+COUNTIF('2月'!BG27:BH27,P$41)+COUNTIF('2月'!BL27:BM27,P$41)+COUNTIF('2月'!BQ27:BR27,P$41)+COUNTIF('2月'!BV27:BW27,P$41)+COUNTIF('2月'!CA27:CB27,P$41)+COUNTIF('2月'!CF27:CG27,P$41)+COUNTIF('2月'!CK27:CL27,P$41)+COUNTIF('2月'!CP27:CQ27,P$41)+COUNTIF('2月'!CU27:CV27,P$41)+COUNTIF('2月'!CZ27:DA27,P$41)+COUNTIF('2月'!DE27:DF27,P$41)+COUNTIF('2月'!DJ27:DK27,P$41)+COUNTIF('2月'!DO27:DP27,P$41)+COUNTIF('2月'!DT27:DU27,P$41)+COUNTIF('2月'!DY27:DZ27,P$41)+COUNTIF('2月'!ED27:EE27,P$41)+COUNTIF('2月'!EI27:EJ27,P$41)+COUNTIF('2月'!EN27:EO27,P$41)+COUNTIF('2月'!ES27:ET27,P$41)+COUNTIF('2月'!D27:E27,"荻窪ー夜勤")+COUNTIF('2月'!I27:J27,"荻窪ー夜勤")+COUNTIF('2月'!N27:O27,"荻窪ー夜勤")+COUNTIF('2月'!S27:T27,"荻窪ー夜勤")+COUNTIF('2月'!X27:Y27,"荻窪ー夜勤")+COUNTIF('2月'!AC27:AD27,"荻窪ー夜勤")+COUNTIF('2月'!AH27:AI27,"荻窪ー夜勤")+COUNTIF('2月'!AM27:AN27,"荻窪ー夜勤")+COUNTIF('2月'!AR27:AS27,"荻窪ー夜勤")+COUNTIF('2月'!AW27:AX27,"荻窪ー夜勤")+COUNTIF('2月'!BB27:BC27,"荻窪ー夜勤")+COUNTIF('2月'!BG27:BH27,"荻窪ー夜勤")+COUNTIF('2月'!BL27:BM27,"荻窪ー夜勤")+COUNTIF('2月'!BQ27:BR27,"荻窪ー夜勤")+COUNTIF('2月'!BV27:BW27,"荻窪ー夜勤")+COUNTIF('2月'!CA27:CB27,"荻窪ー夜勤")+COUNTIF('2月'!CF27:CG27,"荻窪ー夜勤")+COUNTIF('2月'!CK27:CL27,"荻窪ー夜勤")+COUNTIF('2月'!CP27:CQ27,"荻窪ー夜勤")+COUNTIF('2月'!CU27:CV27,"荻窪ー夜勤")+COUNTIF('2月'!CZ27:DA27,"荻窪ー夜勤")+COUNTIF('2月'!DE27:DF27,"荻窪ー夜勤")+COUNTIF('2月'!DJ27:DK27,"荻窪ー夜勤")+COUNTIF('2月'!DO27:DP27,"荻窪ー夜勤")+COUNTIF('2月'!DT27:DU27,"荻窪ー夜勤")+COUNTIF('2月'!DY27:DZ27,"荻窪ー夜勤")+COUNTIF('2月'!ED27:EE27,"荻窪ー夜勤")+COUNTIF('2月'!EI27:EJ27,"荻窪ー夜勤")+COUNTIF('2月'!EN27:EO27,"荻窪ー夜勤")+COUNTIF('2月'!ES27:ET27,"荻窪ー夜勤")</f>
        <v>0</v>
      </c>
      <c r="Q66" s="76">
        <f t="shared" si="19"/>
        <v>0</v>
      </c>
      <c r="R66" s="76">
        <f>COUNTIF('2月'!D27:E27,R$41)+COUNTIF('2月'!I27:J27,R$41)+COUNTIF('2月'!N27:O27,R$41)+COUNTIF('2月'!S27:T27,R$41)+COUNTIF('2月'!X27:Y27,R$41)+COUNTIF('2月'!AC27:AD27,R$41)+COUNTIF('2月'!AH27:AI27,R$41)+COUNTIF('2月'!AM27:AN27,R$41)+COUNTIF('2月'!AR27:AS27,R$41)+COUNTIF('2月'!AW27:AX27,R$41)+COUNTIF('2月'!BB27:BC27,R$41)+COUNTIF('2月'!BG27:BH27,R$41)+COUNTIF('2月'!BL27:BM27,R$41)+COUNTIF('2月'!BQ27:BR27,R$41)+COUNTIF('2月'!BV27:BW27,R$41)+COUNTIF('2月'!CA27:CB27,R$41)+COUNTIF('2月'!CF27:CG27,R$41)+COUNTIF('2月'!CK27:CL27,R$41)+COUNTIF('2月'!CP27:CQ27,R$41)+COUNTIF('2月'!CU27:CV27,R$41)+COUNTIF('2月'!CZ27:DA27,R$41)+COUNTIF('2月'!DE27:DF27,R$41)+COUNTIF('2月'!DJ27:DK27,R$41)+COUNTIF('2月'!DO27:DP27,R$41)+COUNTIF('2月'!DT27:DU27,R$41)+COUNTIF('2月'!DY27:DZ27,R$41)+COUNTIF('2月'!ED27:EE27,R$41)+COUNTIF('2月'!EI27:EJ27,R$41)+COUNTIF('2月'!EN27:EO27,R$41)+COUNTIF('2月'!ES27:ET27,R$41)</f>
        <v>0</v>
      </c>
      <c r="S66" s="76">
        <f t="shared" si="20"/>
        <v>0</v>
      </c>
      <c r="T66" s="76">
        <f>COUNTIF('2月'!D27:E27,T$41)+COUNTIF('2月'!I27:J27,T$41)+COUNTIF('2月'!N27:O27,T$41)+COUNTIF('2月'!S27:T27,T$41)+COUNTIF('2月'!X27:Y27,T$41)+COUNTIF('2月'!AC27:AD27,T$41)+COUNTIF('2月'!AH27:AI27,T$41)+COUNTIF('2月'!AM27:AN27,T$41)+COUNTIF('2月'!AR27:AS27,T$41)+COUNTIF('2月'!AW27:AX27,T$41)+COUNTIF('2月'!BB27:BC27,T$41)+COUNTIF('2月'!BG27:BH27,T$41)+COUNTIF('2月'!BL27:BM27,T$41)+COUNTIF('2月'!BQ27:BR27,T$41)+COUNTIF('2月'!BV27:BW27,T$41)+COUNTIF('2月'!CA27:CB27,T$41)+COUNTIF('2月'!CF27:CG27,T$41)+COUNTIF('2月'!CK27:CL27,T$41)+COUNTIF('2月'!CP27:CQ27,T$41)+COUNTIF('2月'!CU27:CV27,T$41)+COUNTIF('2月'!CZ27:DA27,T$41)+COUNTIF('2月'!DE27:DF27,T$41)+COUNTIF('2月'!DJ27:DK27,T$41)+COUNTIF('2月'!DO27:DP27,T$41)+COUNTIF('2月'!DT27:DU27,T$41)+COUNTIF('2月'!DY27:DZ27,T$41)+COUNTIF('2月'!ED27:EE27,T$41)+COUNTIF('2月'!EI27:EJ27,T$41)+COUNTIF('2月'!EN27:EO27,T$41)+COUNTIF('2月'!ES27:ET27,T$41)</f>
        <v>0</v>
      </c>
      <c r="U66" s="76">
        <f t="shared" si="21"/>
        <v>0</v>
      </c>
      <c r="V66" s="76">
        <f>COUNTIF('2月'!D27:E27,V$41)+COUNTIF('2月'!I27:J27,V$41)+COUNTIF('2月'!N27:O27,V$41)+COUNTIF('2月'!S27:T27,V$41)+COUNTIF('2月'!X27:Y27,V$41)+COUNTIF('2月'!AC27:AD27,V$41)+COUNTIF('2月'!AH27:AI27,V$41)+COUNTIF('2月'!AM27:AN27,V$41)+COUNTIF('2月'!AR27:AS27,V$41)+COUNTIF('2月'!AW27:AX27,V$41)+COUNTIF('2月'!BB27:BC27,V$41)+COUNTIF('2月'!BG27:BH27,V$41)+COUNTIF('2月'!BL27:BM27,V$41)+COUNTIF('2月'!BQ27:BR27,V$41)+COUNTIF('2月'!BV27:BW27,V$41)+COUNTIF('2月'!CA27:CB27,V$41)+COUNTIF('2月'!CF27:CG27,V$41)+COUNTIF('2月'!CK27:CL27,V$41)+COUNTIF('2月'!CP27:CQ27,V$41)+COUNTIF('2月'!CU27:CV27,V$41)+COUNTIF('2月'!CZ27:DA27,V$41)+COUNTIF('2月'!DE27:DF27,V$41)+COUNTIF('2月'!DJ27:DK27,V$41)+COUNTIF('2月'!DO27:DP27,V$41)+COUNTIF('2月'!DT27:DU27,V$41)+COUNTIF('2月'!DY27:DZ27,V$41)+COUNTIF('2月'!ED27:EE27,V$41)+COUNTIF('2月'!EI27:EJ27,V$41)+COUNTIF('2月'!EN27:EO27,V$41)+COUNTIF('2月'!ES27:ET27,V$41)</f>
        <v>0</v>
      </c>
      <c r="W66" s="76">
        <f t="shared" si="22"/>
        <v>0</v>
      </c>
      <c r="X66" s="76">
        <f>COUNTIF('2月'!D27:E27,X$41)+COUNTIF('2月'!I27:J27,X$41)+COUNTIF('2月'!N27:O27,X$41)+COUNTIF('2月'!S27:T27,X$41)+COUNTIF('2月'!X27:Y27,X$41)+COUNTIF('2月'!AC27:AD27,X$41)+COUNTIF('2月'!AH27:AI27,X$41)+COUNTIF('2月'!AM27:AN27,X$41)+COUNTIF('2月'!AR27:AS27,X$41)+COUNTIF('2月'!AW27:AX27,X$41)+COUNTIF('2月'!BB27:BC27,X$41)+COUNTIF('2月'!BG27:BH27,X$41)+COUNTIF('2月'!BL27:BM27,X$41)+COUNTIF('2月'!BQ27:BR27,X$41)+COUNTIF('2月'!BV27:BW27,X$41)+COUNTIF('2月'!CA27:CB27,X$41)+COUNTIF('2月'!CF27:CG27,X$41)+COUNTIF('2月'!CK27:CL27,X$41)+COUNTIF('2月'!CP27:CQ27,X$41)+COUNTIF('2月'!CU27:CV27,X$41)+COUNTIF('2月'!CZ27:DA27,X$41)+COUNTIF('2月'!DE27:DF27,X$41)+COUNTIF('2月'!DJ27:DK27,X$41)+COUNTIF('2月'!DO27:DP27,X$41)+COUNTIF('2月'!DT27:DU27,X$41)+COUNTIF('2月'!DY27:DZ27,X$41)+COUNTIF('2月'!ED27:EE27,X$41)+COUNTIF('2月'!EI27:EJ27,X$41)+COUNTIF('2月'!EN27:EO27,X$41)+COUNTIF('2月'!ES27:ET27,X$41)</f>
        <v>0</v>
      </c>
      <c r="Y66" s="76">
        <f t="shared" si="23"/>
        <v>0</v>
      </c>
    </row>
    <row r="67" spans="1:25" ht="18" customHeight="1">
      <c r="A67" s="76">
        <v>25</v>
      </c>
      <c r="B67" s="76">
        <f>COUNTIF('2月'!D28:E28,B$41)+COUNTIF('2月'!I28:J28,B$41)+COUNTIF('2月'!N28:O28,B$41)+COUNTIF('2月'!S28:T28,B$41)+COUNTIF('2月'!X28:Y28,B$41)+COUNTIF('2月'!AC28:AD28,B$41)+COUNTIF('2月'!AH28:AI28,B$41)+COUNTIF('2月'!AM28:AN28,B$41)+COUNTIF('2月'!AR28:AS28,B$41)+COUNTIF('2月'!AW28:AX28,B$41)+COUNTIF('2月'!BB28:BC28,B$41)+COUNTIF('2月'!BG28:BH28,B$41)+COUNTIF('2月'!BL28:BM28,B$41)+COUNTIF('2月'!BQ28:BR28,B$41)+COUNTIF('2月'!BV28:BW28,B$41)+COUNTIF('2月'!CA28:CB28,B$41)+COUNTIF('2月'!CF28:CG28,B$41)+COUNTIF('2月'!CK28:CL28,B$41)+COUNTIF('2月'!CP28:CQ28,B$41)+COUNTIF('2月'!CU28:CV28,B$41)+COUNTIF('2月'!CZ28:DA28,B$41)+COUNTIF('2月'!DE28:DF28,B$41)+COUNTIF('2月'!DJ28:DK28,B$41)+COUNTIF('2月'!DO28:DP28,B$41)+COUNTIF('2月'!DT28:DU28,B$41)+COUNTIF('2月'!DY28:DZ28,B$41)+COUNTIF('2月'!ED28:EE28,B$41)+COUNTIF('2月'!EI28:EJ28,B$41)+COUNTIF('2月'!EN28:EO28,B$41)+COUNTIF('2月'!ES28:ET28,B$41)</f>
        <v>0</v>
      </c>
      <c r="C67" s="76">
        <f t="shared" si="12"/>
        <v>0</v>
      </c>
      <c r="D67" s="76">
        <f>COUNTIF('2月'!D28:E28,D$41)+COUNTIF('2月'!I28:J28,D$41)+COUNTIF('2月'!N28:O28,D$41)+COUNTIF('2月'!S28:T28,D$41)+COUNTIF('2月'!X28:Y28,D$41)+COUNTIF('2月'!AC28:AD28,D$41)+COUNTIF('2月'!AH28:AI28,D$41)+COUNTIF('2月'!AM28:AN28,D$41)+COUNTIF('2月'!AR28:AS28,D$41)+COUNTIF('2月'!AW28:AX28,D$41)+COUNTIF('2月'!BB28:BC28,D$41)+COUNTIF('2月'!BG28:BH28,D$41)+COUNTIF('2月'!BL28:BM28,D$41)+COUNTIF('2月'!BQ28:BR28,D$41)+COUNTIF('2月'!BV28:BW28,D$41)+COUNTIF('2月'!CA28:CB28,D$41)+COUNTIF('2月'!CF28:CG28,D$41)+COUNTIF('2月'!CK28:CL28,D$41)+COUNTIF('2月'!CP28:CQ28,D$41)+COUNTIF('2月'!CU28:CV28,D$41)+COUNTIF('2月'!CZ28:DA28,D$41)+COUNTIF('2月'!DE28:DF28,D$41)+COUNTIF('2月'!DJ28:DK28,D$41)+COUNTIF('2月'!DO28:DP28,D$41)+COUNTIF('2月'!DT28:DU28,D$41)+COUNTIF('2月'!DY28:DZ28,D$41)+COUNTIF('2月'!ED28:EE28,D$41)+COUNTIF('2月'!EI28:EJ28,D$41)+COUNTIF('2月'!EN28:EO28,D$41)+COUNTIF('2月'!ES28:ET28,D$41)</f>
        <v>0</v>
      </c>
      <c r="E67" s="76">
        <f t="shared" si="13"/>
        <v>0</v>
      </c>
      <c r="F67" s="76">
        <f>COUNTIF('2月'!D28:E28,F$41)+COUNTIF('2月'!I28:J28,F$41)+COUNTIF('2月'!N28:O28,F$41)+COUNTIF('2月'!S28:T28,F$41)+COUNTIF('2月'!X28:Y28,F$41)+COUNTIF('2月'!AC28:AD28,F$41)+COUNTIF('2月'!AH28:AI28,F$41)+COUNTIF('2月'!AM28:AN28,F$41)+COUNTIF('2月'!AR28:AS28,F$41)+COUNTIF('2月'!AW28:AX28,F$41)+COUNTIF('2月'!BB28:BC28,F$41)+COUNTIF('2月'!BG28:BH28,F$41)+COUNTIF('2月'!BL28:BM28,F$41)+COUNTIF('2月'!BQ28:BR28,F$41)+COUNTIF('2月'!BV28:BW28,F$41)+COUNTIF('2月'!CA28:CB28,F$41)+COUNTIF('2月'!CF28:CG28,F$41)+COUNTIF('2月'!CK28:CL28,F$41)+COUNTIF('2月'!CP28:CQ28,F$41)+COUNTIF('2月'!CU28:CV28,F$41)+COUNTIF('2月'!CZ28:DA28,F$41)+COUNTIF('2月'!DE28:DF28,F$41)+COUNTIF('2月'!DJ28:DK28,F$41)+COUNTIF('2月'!DO28:DP28,F$41)+COUNTIF('2月'!DT28:DU28,F$41)+COUNTIF('2月'!DY28:DZ28,F$41)+COUNTIF('2月'!ED28:EE28,F$41)+COUNTIF('2月'!EI28:EJ28,F$41)+COUNTIF('2月'!EN28:EO28,F$41)+COUNTIF('2月'!ES28:ET28,F$41)</f>
        <v>0</v>
      </c>
      <c r="G67" s="76">
        <f t="shared" si="14"/>
        <v>0</v>
      </c>
      <c r="H67" s="76">
        <f>COUNTIF('2月'!D28:E28,H$41)+COUNTIF('2月'!I28:J28,H$41)+COUNTIF('2月'!N28:O28,H$41)+COUNTIF('2月'!S28:T28,H$41)+COUNTIF('2月'!X28:Y28,H$41)+COUNTIF('2月'!AC28:AD28,H$41)+COUNTIF('2月'!AH28:AI28,H$41)+COUNTIF('2月'!AM28:AN28,H$41)+COUNTIF('2月'!AR28:AS28,H$41)+COUNTIF('2月'!AW28:AX28,H$41)+COUNTIF('2月'!BB28:BC28,H$41)+COUNTIF('2月'!BG28:BH28,H$41)+COUNTIF('2月'!BL28:BM28,H$41)+COUNTIF('2月'!BQ28:BR28,H$41)+COUNTIF('2月'!BV28:BW28,H$41)+COUNTIF('2月'!CA28:CB28,H$41)+COUNTIF('2月'!CF28:CG28,H$41)+COUNTIF('2月'!CK28:CL28,H$41)+COUNTIF('2月'!CP28:CQ28,H$41)+COUNTIF('2月'!CU28:CV28,H$41)+COUNTIF('2月'!CZ28:DA28,H$41)+COUNTIF('2月'!DE28:DF28,H$41)+COUNTIF('2月'!DJ28:DK28,H$41)+COUNTIF('2月'!DO28:DP28,H$41)+COUNTIF('2月'!DT28:DU28,H$41)+COUNTIF('2月'!DY28:DZ28,H$41)+COUNTIF('2月'!ED28:EE28,H$41)+COUNTIF('2月'!EI28:EJ28,H$41)+COUNTIF('2月'!EN28:EO28,H$41)+COUNTIF('2月'!ES28:ET28,H$41)+COUNTIF('2月'!D28:E28,"渋谷-夜勤")+COUNTIF('2月'!I28:J28,"渋谷-夜勤")+COUNTIF('2月'!N28:O28,"渋谷-夜勤")+COUNTIF('2月'!S28:T28,"渋谷-夜勤")+COUNTIF('2月'!X28:Y28,"渋谷-夜勤")+COUNTIF('2月'!AC28:AD28,"渋谷-夜勤")+COUNTIF('2月'!AH28:AI28,"渋谷-夜勤")+COUNTIF('2月'!AM28:AN28,"渋谷-夜勤")+COUNTIF('2月'!AR28:AS28,"渋谷-夜勤")+COUNTIF('2月'!AW28:AX28,"渋谷-夜勤")+COUNTIF('2月'!BB28:BC28,"渋谷-夜勤")+COUNTIF('2月'!BG28:BH28,"渋谷-夜勤")+COUNTIF('2月'!BL28:BM28,"渋谷-夜勤")+COUNTIF('2月'!BQ28:BR28,"渋谷-夜勤")+COUNTIF('2月'!BV28:BW28,"渋谷-夜勤")+COUNTIF('2月'!CA28:CB28,"渋谷-夜勤")+COUNTIF('2月'!CF28:CG28,"渋谷-夜勤")+COUNTIF('2月'!CK28:CL28,"渋谷-夜勤")+COUNTIF('2月'!CP28:CQ28,"渋谷-夜勤")+COUNTIF('2月'!CU28:CV28,"渋谷-夜勤")+COUNTIF('2月'!CZ28:DA28,"渋谷-夜勤")+COUNTIF('2月'!DE28:DF28,"渋谷-夜勤")+COUNTIF('2月'!DJ28:DK28,"渋谷-夜勤")+COUNTIF('2月'!DO28:DP28,"渋谷-夜勤")+COUNTIF('2月'!DT28:DU28,"渋谷-夜勤")+COUNTIF('2月'!DY28:DZ28,"渋谷-夜勤")+COUNTIF('2月'!ED28:EE28,"渋谷-夜勤")+COUNTIF('2月'!EI28:EJ28,"渋谷-夜勤")+COUNTIF('2月'!EN28:EO28,"渋谷-夜勤")+COUNTIF('2月'!ES28:ET28,"渋谷-夜勤")</f>
        <v>0</v>
      </c>
      <c r="I67" s="76">
        <f t="shared" si="15"/>
        <v>0</v>
      </c>
      <c r="J67" s="76">
        <f>COUNTIF('2月'!D28:E28,J$41)+COUNTIF('2月'!I28:J28,J$41)+COUNTIF('2月'!N28:O28,J$41)+COUNTIF('2月'!S28:T28,J$41)+COUNTIF('2月'!X28:Y28,J$41)+COUNTIF('2月'!AC28:AD28,J$41)+COUNTIF('2月'!AH28:AI28,J$41)+COUNTIF('2月'!AM28:AN28,J$41)+COUNTIF('2月'!AR28:AS28,J$41)+COUNTIF('2月'!AW28:AX28,J$41)+COUNTIF('2月'!BB28:BC28,J$41)+COUNTIF('2月'!BG28:BH28,J$41)+COUNTIF('2月'!BL28:BM28,J$41)+COUNTIF('2月'!BQ28:BR28,J$41)+COUNTIF('2月'!BV28:BW28,J$41)+COUNTIF('2月'!CA28:CB28,J$41)+COUNTIF('2月'!CF28:CG28,J$41)+COUNTIF('2月'!CK28:CL28,J$41)+COUNTIF('2月'!CP28:CQ28,J$41)+COUNTIF('2月'!CU28:CV28,J$41)+COUNTIF('2月'!CZ28:DA28,J$41)+COUNTIF('2月'!DE28:DF28,J$41)+COUNTIF('2月'!DJ28:DK28,J$41)+COUNTIF('2月'!DO28:DP28,J$41)+COUNTIF('2月'!DT28:DU28,J$41)+COUNTIF('2月'!DY28:DZ28,J$41)+COUNTIF('2月'!ED28:EE28,J$41)+COUNTIF('2月'!EI28:EJ28,J$41)+COUNTIF('2月'!EN28:EO28,J$41)+COUNTIF('2月'!ES28:ET28,J$41)+COUNTIF('2月'!D28:E28,"六本木-夜勤")+COUNTIF('2月'!I28:J28,"六本木-夜勤")+COUNTIF('2月'!N28:O28,"六本木-夜勤")+COUNTIF('2月'!S28:T28,"六本木-夜勤")+COUNTIF('2月'!X28:Y28,"六本木-夜勤")+COUNTIF('2月'!AC28:AD28,"六本木-夜勤")+COUNTIF('2月'!AH28:AI28,"六本木-夜勤")+COUNTIF('2月'!AM28:AN28,"六本木-夜勤")+COUNTIF('2月'!AR28:AS28,"六本木-夜勤")+COUNTIF('2月'!AW28:AX28,"六本木-夜勤")+COUNTIF('2月'!BB28:BC28,"六本木-夜勤")+COUNTIF('2月'!BG28:BH28,"六本木-夜勤")+COUNTIF('2月'!BL28:BM28,"六本木-夜勤")+COUNTIF('2月'!BQ28:BR28,"六本木-夜勤")+COUNTIF('2月'!BV28:BW28,"六本木-夜勤")+COUNTIF('2月'!CA28:CB28,"六本木-夜勤")+COUNTIF('2月'!CF28:CG28,"六本木-夜勤")+COUNTIF('2月'!CK28:CL28,"六本木-夜勤")+COUNTIF('2月'!CP28:CQ28,"六本木-夜勤")+COUNTIF('2月'!CU28:CV28,"六本木-夜勤")+COUNTIF('2月'!CZ28:DA28,"六本木-夜勤")+COUNTIF('2月'!DE28:DF28,"六本木-夜勤")+COUNTIF('2月'!DJ28:DK28,"六本木-夜勤")+COUNTIF('2月'!DO28:DP28,"六本木-夜勤")+COUNTIF('2月'!DT28:DU28,"六本木-夜勤")+COUNTIF('2月'!DY28:DZ28,"六本木-夜勤")+COUNTIF('2月'!ED28:EE28,"六本木-夜勤")+COUNTIF('2月'!EI28:EJ28,"六本木-夜勤")+COUNTIF('2月'!EN28:EO28,"六本木-夜勤")+COUNTIF('2月'!ES28:ET28,"六本木-夜勤")+COUNTIF('2月'!D28:E28,"六本木ー夜勤")+COUNTIF('2月'!I28:J28,"六本木ー夜勤")+COUNTIF('2月'!N28:O28,"六本木ー夜勤")+COUNTIF('2月'!S28:T28,"六本木ー夜勤")+COUNTIF('2月'!X28:Y28,"六本木ー夜勤")+COUNTIF('2月'!AC28:AD28,"六本木ー夜勤")+COUNTIF('2月'!AH28:AI28,"六本木ー夜勤")+COUNTIF('2月'!AM28:AN28,"六本木ー夜勤")+COUNTIF('2月'!AR28:AS28,"六本木ー夜勤")+COUNTIF('2月'!AW28:AX28,"六本木ー夜勤")+COUNTIF('2月'!BB28:BC28,"六本木ー夜勤")+COUNTIF('2月'!BG28:BH28,"六本木ー夜勤")+COUNTIF('2月'!BL28:BM28,"六本木ー夜勤")+COUNTIF('2月'!BQ28:BR28,"六本木ー夜勤")+COUNTIF('2月'!BV28:BW28,"六本木ー夜勤")+COUNTIF('2月'!CA28:CB28,"六本木ー夜勤")+COUNTIF('2月'!CF28:CG28,"六本木ー夜勤")+COUNTIF('2月'!CK28:CL28,"六本木ー夜勤")+COUNTIF('2月'!CP28:CQ28,"六本木ー夜勤")+COUNTIF('2月'!CU28:CV28,"六本木ー夜勤")+COUNTIF('2月'!CZ28:DA28,"六本木ー夜勤")+COUNTIF('2月'!DE28:DF28,"六本木ー夜勤")+COUNTIF('2月'!DJ28:DK28,"六本木ー夜勤")+COUNTIF('2月'!DO28:DP28,"六本木ー夜勤")+COUNTIF('2月'!DT28:DU28,"六本木ー夜勤")+COUNTIF('2月'!DY28:DZ28,"六本木ー夜勤")+COUNTIF('2月'!ED28:EE28,"六本木ー夜勤")+COUNTIF('2月'!EI28:EJ28,"六本木ー夜勤")+COUNTIF('2月'!EN28:EO28,"六本木ー夜勤")+COUNTIF('2月'!ES28:ET28,"六本木ー夜勤")</f>
        <v>0</v>
      </c>
      <c r="K67" s="76">
        <f t="shared" si="16"/>
        <v>0</v>
      </c>
      <c r="L67" s="76">
        <f>COUNTIF('2月'!D28:E28,L$41)+COUNTIF('2月'!I28:J28,L$41)+COUNTIF('2月'!N28:O28,L$41)+COUNTIF('2月'!S28:T28,L$41)+COUNTIF('2月'!X28:Y28,L$41)+COUNTIF('2月'!AC28:AD28,L$41)+COUNTIF('2月'!AH28:AI28,L$41)+COUNTIF('2月'!AM28:AN28,L$41)+COUNTIF('2月'!AR28:AS28,L$41)+COUNTIF('2月'!AW28:AX28,L$41)+COUNTIF('2月'!BB28:BC28,L$41)+COUNTIF('2月'!BG28:BH28,L$41)+COUNTIF('2月'!BL28:BM28,L$41)+COUNTIF('2月'!BQ28:BR28,L$41)+COUNTIF('2月'!BV28:BW28,L$41)+COUNTIF('2月'!CA28:CB28,L$41)+COUNTIF('2月'!CF28:CG28,L$41)+COUNTIF('2月'!CK28:CL28,L$41)+COUNTIF('2月'!CP28:CQ28,L$41)+COUNTIF('2月'!CU28:CV28,L$41)+COUNTIF('2月'!CZ28:DA28,L$41)+COUNTIF('2月'!DE28:DF28,L$41)+COUNTIF('2月'!DJ28:DK28,L$41)+COUNTIF('2月'!DO28:DP28,L$41)+COUNTIF('2月'!DT28:DU28,L$41)+COUNTIF('2月'!DY28:DZ28,L$41)+COUNTIF('2月'!ED28:EE28,L$41)+COUNTIF('2月'!EI28:EJ28,L$41)+COUNTIF('2月'!EN28:EO28,L$41)+COUNTIF('2月'!ES28:ET28,L$41)</f>
        <v>0</v>
      </c>
      <c r="M67" s="76">
        <f t="shared" si="17"/>
        <v>0</v>
      </c>
      <c r="N67" s="76">
        <f>COUNTIF('2月'!D28:E28,N$41)+COUNTIF('2月'!I28:J28,N$41)+COUNTIF('2月'!N28:O28,N$41)+COUNTIF('2月'!S28:T28,N$41)+COUNTIF('2月'!X28:Y28,N$41)+COUNTIF('2月'!AC28:AD28,N$41)+COUNTIF('2月'!AH28:AI28,N$41)+COUNTIF('2月'!AM28:AN28,N$41)+COUNTIF('2月'!AR28:AS28,N$41)+COUNTIF('2月'!AW28:AX28,N$41)+COUNTIF('2月'!BB28:BC28,N$41)+COUNTIF('2月'!BG28:BH28,N$41)+COUNTIF('2月'!BL28:BM28,N$41)+COUNTIF('2月'!BQ28:BR28,N$41)+COUNTIF('2月'!BV28:BW28,N$41)+COUNTIF('2月'!CA28:CB28,N$41)+COUNTIF('2月'!CF28:CG28,N$41)+COUNTIF('2月'!CK28:CL28,N$41)+COUNTIF('2月'!CP28:CQ28,N$41)+COUNTIF('2月'!CU28:CV28,N$41)+COUNTIF('2月'!CZ28:DA28,N$41)+COUNTIF('2月'!DE28:DF28,N$41)+COUNTIF('2月'!DJ28:DK28,N$41)+COUNTIF('2月'!DO28:DP28,N$41)+COUNTIF('2月'!DT28:DU28,N$41)+COUNTIF('2月'!DY28:DZ28,N$41)+COUNTIF('2月'!ED28:EE28,N$41)+COUNTIF('2月'!EI28:EJ28,N$41)+COUNTIF('2月'!EN28:EO28,N$41)+COUNTIF('2月'!ES28:ET28,N$41)+COUNTIF('2月'!D28:E28,"三軒茶屋－夜勤")+COUNTIF('2月'!I28:J28,"三軒茶屋－夜勤")+COUNTIF('2月'!N28:O28,"三軒茶屋－夜勤")+COUNTIF('2月'!S28:T28,"三軒茶屋－夜勤")+COUNTIF('2月'!X28:Y28,"三軒茶屋－夜勤")+COUNTIF('2月'!AC28:AD28,"三軒茶屋－夜勤")+COUNTIF('2月'!AH28:AI28,"三軒茶屋－夜勤")+COUNTIF('2月'!AM28:AN28,"三軒茶屋－夜勤")+COUNTIF('2月'!AR28:AS28,"三軒茶屋－夜勤")+COUNTIF('2月'!AW28:AX28,"三軒茶屋－夜勤")+COUNTIF('2月'!BB28:BC28,"三軒茶屋－夜勤")+COUNTIF('2月'!BG28:BH28,"三軒茶屋－夜勤")+COUNTIF('2月'!BL28:BM28,"三軒茶屋－夜勤")+COUNTIF('2月'!BQ28:BR28,"三軒茶屋－夜勤")+COUNTIF('2月'!BV28:BW28,"三軒茶屋－夜勤")+COUNTIF('2月'!CA28:CB28,"三軒茶屋－夜勤")+COUNTIF('2月'!CF28:CG28,"三軒茶屋－夜勤")+COUNTIF('2月'!CK28:CL28,"三軒茶屋－夜勤")+COUNTIF('2月'!CP28:CQ28,"三軒茶屋－夜勤")+COUNTIF('2月'!CU28:CV28,"三軒茶屋－夜勤")+COUNTIF('2月'!CZ28:DA28,"三軒茶屋－夜勤")+COUNTIF('2月'!DE28:DF28,"三軒茶屋－夜勤")+COUNTIF('2月'!DJ28:DK28,"三軒茶屋－夜勤")+COUNTIF('2月'!DO28:DP28,"三軒茶屋－夜勤")+COUNTIF('2月'!DT28:DU28,"三軒茶屋－夜勤")+COUNTIF('2月'!DY28:DZ28,"三軒茶屋－夜勤")+COUNTIF('2月'!ED28:EE28,"三軒茶屋－夜勤")+COUNTIF('2月'!EI28:EJ28,"三軒茶屋－夜勤")+COUNTIF('2月'!EN28:EO28,"三軒茶屋－夜勤")+COUNTIF('2月'!ES28:ET28,"三軒茶屋－夜勤")</f>
        <v>0</v>
      </c>
      <c r="O67" s="76">
        <f t="shared" si="18"/>
        <v>0</v>
      </c>
      <c r="P67" s="76">
        <f>COUNTIF('2月'!D28:E28,P$41)+COUNTIF('2月'!I28:J28,P$41)+COUNTIF('2月'!N28:O28,P$41)+COUNTIF('2月'!S28:T28,P$41)+COUNTIF('2月'!X28:Y28,P$41)+COUNTIF('2月'!AC28:AD28,P$41)+COUNTIF('2月'!AH28:AI28,P$41)+COUNTIF('2月'!AM28:AN28,P$41)+COUNTIF('2月'!AR28:AS28,P$41)+COUNTIF('2月'!AW28:AX28,P$41)+COUNTIF('2月'!BB28:BC28,P$41)+COUNTIF('2月'!BG28:BH28,P$41)+COUNTIF('2月'!BL28:BM28,P$41)+COUNTIF('2月'!BQ28:BR28,P$41)+COUNTIF('2月'!BV28:BW28,P$41)+COUNTIF('2月'!CA28:CB28,P$41)+COUNTIF('2月'!CF28:CG28,P$41)+COUNTIF('2月'!CK28:CL28,P$41)+COUNTIF('2月'!CP28:CQ28,P$41)+COUNTIF('2月'!CU28:CV28,P$41)+COUNTIF('2月'!CZ28:DA28,P$41)+COUNTIF('2月'!DE28:DF28,P$41)+COUNTIF('2月'!DJ28:DK28,P$41)+COUNTIF('2月'!DO28:DP28,P$41)+COUNTIF('2月'!DT28:DU28,P$41)+COUNTIF('2月'!DY28:DZ28,P$41)+COUNTIF('2月'!ED28:EE28,P$41)+COUNTIF('2月'!EI28:EJ28,P$41)+COUNTIF('2月'!EN28:EO28,P$41)+COUNTIF('2月'!ES28:ET28,P$41)+COUNTIF('2月'!D28:E28,"荻窪ー夜勤")+COUNTIF('2月'!I28:J28,"荻窪ー夜勤")+COUNTIF('2月'!N28:O28,"荻窪ー夜勤")+COUNTIF('2月'!S28:T28,"荻窪ー夜勤")+COUNTIF('2月'!X28:Y28,"荻窪ー夜勤")+COUNTIF('2月'!AC28:AD28,"荻窪ー夜勤")+COUNTIF('2月'!AH28:AI28,"荻窪ー夜勤")+COUNTIF('2月'!AM28:AN28,"荻窪ー夜勤")+COUNTIF('2月'!AR28:AS28,"荻窪ー夜勤")+COUNTIF('2月'!AW28:AX28,"荻窪ー夜勤")+COUNTIF('2月'!BB28:BC28,"荻窪ー夜勤")+COUNTIF('2月'!BG28:BH28,"荻窪ー夜勤")+COUNTIF('2月'!BL28:BM28,"荻窪ー夜勤")+COUNTIF('2月'!BQ28:BR28,"荻窪ー夜勤")+COUNTIF('2月'!BV28:BW28,"荻窪ー夜勤")+COUNTIF('2月'!CA28:CB28,"荻窪ー夜勤")+COUNTIF('2月'!CF28:CG28,"荻窪ー夜勤")+COUNTIF('2月'!CK28:CL28,"荻窪ー夜勤")+COUNTIF('2月'!CP28:CQ28,"荻窪ー夜勤")+COUNTIF('2月'!CU28:CV28,"荻窪ー夜勤")+COUNTIF('2月'!CZ28:DA28,"荻窪ー夜勤")+COUNTIF('2月'!DE28:DF28,"荻窪ー夜勤")+COUNTIF('2月'!DJ28:DK28,"荻窪ー夜勤")+COUNTIF('2月'!DO28:DP28,"荻窪ー夜勤")+COUNTIF('2月'!DT28:DU28,"荻窪ー夜勤")+COUNTIF('2月'!DY28:DZ28,"荻窪ー夜勤")+COUNTIF('2月'!ED28:EE28,"荻窪ー夜勤")+COUNTIF('2月'!EI28:EJ28,"荻窪ー夜勤")+COUNTIF('2月'!EN28:EO28,"荻窪ー夜勤")+COUNTIF('2月'!ES28:ET28,"荻窪ー夜勤")</f>
        <v>0</v>
      </c>
      <c r="Q67" s="76">
        <f t="shared" si="19"/>
        <v>0</v>
      </c>
      <c r="R67" s="76">
        <f>COUNTIF('2月'!D28:E28,R$41)+COUNTIF('2月'!I28:J28,R$41)+COUNTIF('2月'!N28:O28,R$41)+COUNTIF('2月'!S28:T28,R$41)+COUNTIF('2月'!X28:Y28,R$41)+COUNTIF('2月'!AC28:AD28,R$41)+COUNTIF('2月'!AH28:AI28,R$41)+COUNTIF('2月'!AM28:AN28,R$41)+COUNTIF('2月'!AR28:AS28,R$41)+COUNTIF('2月'!AW28:AX28,R$41)+COUNTIF('2月'!BB28:BC28,R$41)+COUNTIF('2月'!BG28:BH28,R$41)+COUNTIF('2月'!BL28:BM28,R$41)+COUNTIF('2月'!BQ28:BR28,R$41)+COUNTIF('2月'!BV28:BW28,R$41)+COUNTIF('2月'!CA28:CB28,R$41)+COUNTIF('2月'!CF28:CG28,R$41)+COUNTIF('2月'!CK28:CL28,R$41)+COUNTIF('2月'!CP28:CQ28,R$41)+COUNTIF('2月'!CU28:CV28,R$41)+COUNTIF('2月'!CZ28:DA28,R$41)+COUNTIF('2月'!DE28:DF28,R$41)+COUNTIF('2月'!DJ28:DK28,R$41)+COUNTIF('2月'!DO28:DP28,R$41)+COUNTIF('2月'!DT28:DU28,R$41)+COUNTIF('2月'!DY28:DZ28,R$41)+COUNTIF('2月'!ED28:EE28,R$41)+COUNTIF('2月'!EI28:EJ28,R$41)+COUNTIF('2月'!EN28:EO28,R$41)+COUNTIF('2月'!ES28:ET28,R$41)</f>
        <v>0</v>
      </c>
      <c r="S67" s="76">
        <f t="shared" si="20"/>
        <v>0</v>
      </c>
      <c r="T67" s="76">
        <f>COUNTIF('2月'!D28:E28,T$41)+COUNTIF('2月'!I28:J28,T$41)+COUNTIF('2月'!N28:O28,T$41)+COUNTIF('2月'!S28:T28,T$41)+COUNTIF('2月'!X28:Y28,T$41)+COUNTIF('2月'!AC28:AD28,T$41)+COUNTIF('2月'!AH28:AI28,T$41)+COUNTIF('2月'!AM28:AN28,T$41)+COUNTIF('2月'!AR28:AS28,T$41)+COUNTIF('2月'!AW28:AX28,T$41)+COUNTIF('2月'!BB28:BC28,T$41)+COUNTIF('2月'!BG28:BH28,T$41)+COUNTIF('2月'!BL28:BM28,T$41)+COUNTIF('2月'!BQ28:BR28,T$41)+COUNTIF('2月'!BV28:BW28,T$41)+COUNTIF('2月'!CA28:CB28,T$41)+COUNTIF('2月'!CF28:CG28,T$41)+COUNTIF('2月'!CK28:CL28,T$41)+COUNTIF('2月'!CP28:CQ28,T$41)+COUNTIF('2月'!CU28:CV28,T$41)+COUNTIF('2月'!CZ28:DA28,T$41)+COUNTIF('2月'!DE28:DF28,T$41)+COUNTIF('2月'!DJ28:DK28,T$41)+COUNTIF('2月'!DO28:DP28,T$41)+COUNTIF('2月'!DT28:DU28,T$41)+COUNTIF('2月'!DY28:DZ28,T$41)+COUNTIF('2月'!ED28:EE28,T$41)+COUNTIF('2月'!EI28:EJ28,T$41)+COUNTIF('2月'!EN28:EO28,T$41)+COUNTIF('2月'!ES28:ET28,T$41)</f>
        <v>0</v>
      </c>
      <c r="U67" s="76">
        <f t="shared" si="21"/>
        <v>0</v>
      </c>
      <c r="V67" s="76">
        <f>COUNTIF('2月'!D28:E28,V$41)+COUNTIF('2月'!I28:J28,V$41)+COUNTIF('2月'!N28:O28,V$41)+COUNTIF('2月'!S28:T28,V$41)+COUNTIF('2月'!X28:Y28,V$41)+COUNTIF('2月'!AC28:AD28,V$41)+COUNTIF('2月'!AH28:AI28,V$41)+COUNTIF('2月'!AM28:AN28,V$41)+COUNTIF('2月'!AR28:AS28,V$41)+COUNTIF('2月'!AW28:AX28,V$41)+COUNTIF('2月'!BB28:BC28,V$41)+COUNTIF('2月'!BG28:BH28,V$41)+COUNTIF('2月'!BL28:BM28,V$41)+COUNTIF('2月'!BQ28:BR28,V$41)+COUNTIF('2月'!BV28:BW28,V$41)+COUNTIF('2月'!CA28:CB28,V$41)+COUNTIF('2月'!CF28:CG28,V$41)+COUNTIF('2月'!CK28:CL28,V$41)+COUNTIF('2月'!CP28:CQ28,V$41)+COUNTIF('2月'!CU28:CV28,V$41)+COUNTIF('2月'!CZ28:DA28,V$41)+COUNTIF('2月'!DE28:DF28,V$41)+COUNTIF('2月'!DJ28:DK28,V$41)+COUNTIF('2月'!DO28:DP28,V$41)+COUNTIF('2月'!DT28:DU28,V$41)+COUNTIF('2月'!DY28:DZ28,V$41)+COUNTIF('2月'!ED28:EE28,V$41)+COUNTIF('2月'!EI28:EJ28,V$41)+COUNTIF('2月'!EN28:EO28,V$41)+COUNTIF('2月'!ES28:ET28,V$41)</f>
        <v>0</v>
      </c>
      <c r="W67" s="76">
        <f t="shared" si="22"/>
        <v>0</v>
      </c>
      <c r="X67" s="76">
        <f>COUNTIF('2月'!D28:E28,X$41)+COUNTIF('2月'!I28:J28,X$41)+COUNTIF('2月'!N28:O28,X$41)+COUNTIF('2月'!S28:T28,X$41)+COUNTIF('2月'!X28:Y28,X$41)+COUNTIF('2月'!AC28:AD28,X$41)+COUNTIF('2月'!AH28:AI28,X$41)+COUNTIF('2月'!AM28:AN28,X$41)+COUNTIF('2月'!AR28:AS28,X$41)+COUNTIF('2月'!AW28:AX28,X$41)+COUNTIF('2月'!BB28:BC28,X$41)+COUNTIF('2月'!BG28:BH28,X$41)+COUNTIF('2月'!BL28:BM28,X$41)+COUNTIF('2月'!BQ28:BR28,X$41)+COUNTIF('2月'!BV28:BW28,X$41)+COUNTIF('2月'!CA28:CB28,X$41)+COUNTIF('2月'!CF28:CG28,X$41)+COUNTIF('2月'!CK28:CL28,X$41)+COUNTIF('2月'!CP28:CQ28,X$41)+COUNTIF('2月'!CU28:CV28,X$41)+COUNTIF('2月'!CZ28:DA28,X$41)+COUNTIF('2月'!DE28:DF28,X$41)+COUNTIF('2月'!DJ28:DK28,X$41)+COUNTIF('2月'!DO28:DP28,X$41)+COUNTIF('2月'!DT28:DU28,X$41)+COUNTIF('2月'!DY28:DZ28,X$41)+COUNTIF('2月'!ED28:EE28,X$41)+COUNTIF('2月'!EI28:EJ28,X$41)+COUNTIF('2月'!EN28:EO28,X$41)+COUNTIF('2月'!ES28:ET28,X$41)</f>
        <v>0</v>
      </c>
      <c r="Y67" s="76">
        <f t="shared" si="23"/>
        <v>0</v>
      </c>
    </row>
    <row r="68" spans="1:25" ht="18" customHeight="1">
      <c r="A68" s="76">
        <v>26</v>
      </c>
      <c r="B68" s="76">
        <f>COUNTIF('2月'!D29:E29,B$41)+COUNTIF('2月'!I29:J29,B$41)+COUNTIF('2月'!N29:O29,B$41)+COUNTIF('2月'!S29:T29,B$41)+COUNTIF('2月'!X29:Y29,B$41)+COUNTIF('2月'!AC29:AD29,B$41)+COUNTIF('2月'!AH29:AI29,B$41)+COUNTIF('2月'!AM29:AN29,B$41)+COUNTIF('2月'!AR29:AS29,B$41)+COUNTIF('2月'!AW29:AX29,B$41)+COUNTIF('2月'!BB29:BC29,B$41)+COUNTIF('2月'!BG29:BH29,B$41)+COUNTIF('2月'!BL29:BM29,B$41)+COUNTIF('2月'!BQ29:BR29,B$41)+COUNTIF('2月'!BV29:BW29,B$41)+COUNTIF('2月'!CA29:CB29,B$41)+COUNTIF('2月'!CF29:CG29,B$41)+COUNTIF('2月'!CK29:CL29,B$41)+COUNTIF('2月'!CP29:CQ29,B$41)+COUNTIF('2月'!CU29:CV29,B$41)+COUNTIF('2月'!CZ29:DA29,B$41)+COUNTIF('2月'!DE29:DF29,B$41)+COUNTIF('2月'!DJ29:DK29,B$41)+COUNTIF('2月'!DO29:DP29,B$41)+COUNTIF('2月'!DT29:DU29,B$41)+COUNTIF('2月'!DY29:DZ29,B$41)+COUNTIF('2月'!ED29:EE29,B$41)+COUNTIF('2月'!EI29:EJ29,B$41)+COUNTIF('2月'!EN29:EO29,B$41)+COUNTIF('2月'!ES29:ET29,B$41)</f>
        <v>0</v>
      </c>
      <c r="C68" s="76">
        <f t="shared" si="12"/>
        <v>0</v>
      </c>
      <c r="D68" s="76">
        <f>COUNTIF('2月'!D29:E29,D$41)+COUNTIF('2月'!I29:J29,D$41)+COUNTIF('2月'!N29:O29,D$41)+COUNTIF('2月'!S29:T29,D$41)+COUNTIF('2月'!X29:Y29,D$41)+COUNTIF('2月'!AC29:AD29,D$41)+COUNTIF('2月'!AH29:AI29,D$41)+COUNTIF('2月'!AM29:AN29,D$41)+COUNTIF('2月'!AR29:AS29,D$41)+COUNTIF('2月'!AW29:AX29,D$41)+COUNTIF('2月'!BB29:BC29,D$41)+COUNTIF('2月'!BG29:BH29,D$41)+COUNTIF('2月'!BL29:BM29,D$41)+COUNTIF('2月'!BQ29:BR29,D$41)+COUNTIF('2月'!BV29:BW29,D$41)+COUNTIF('2月'!CA29:CB29,D$41)+COUNTIF('2月'!CF29:CG29,D$41)+COUNTIF('2月'!CK29:CL29,D$41)+COUNTIF('2月'!CP29:CQ29,D$41)+COUNTIF('2月'!CU29:CV29,D$41)+COUNTIF('2月'!CZ29:DA29,D$41)+COUNTIF('2月'!DE29:DF29,D$41)+COUNTIF('2月'!DJ29:DK29,D$41)+COUNTIF('2月'!DO29:DP29,D$41)+COUNTIF('2月'!DT29:DU29,D$41)+COUNTIF('2月'!DY29:DZ29,D$41)+COUNTIF('2月'!ED29:EE29,D$41)+COUNTIF('2月'!EI29:EJ29,D$41)+COUNTIF('2月'!EN29:EO29,D$41)+COUNTIF('2月'!ES29:ET29,D$41)</f>
        <v>0</v>
      </c>
      <c r="E68" s="76">
        <f t="shared" si="13"/>
        <v>0</v>
      </c>
      <c r="F68" s="76">
        <f>COUNTIF('2月'!D29:E29,F$41)+COUNTIF('2月'!I29:J29,F$41)+COUNTIF('2月'!N29:O29,F$41)+COUNTIF('2月'!S29:T29,F$41)+COUNTIF('2月'!X29:Y29,F$41)+COUNTIF('2月'!AC29:AD29,F$41)+COUNTIF('2月'!AH29:AI29,F$41)+COUNTIF('2月'!AM29:AN29,F$41)+COUNTIF('2月'!AR29:AS29,F$41)+COUNTIF('2月'!AW29:AX29,F$41)+COUNTIF('2月'!BB29:BC29,F$41)+COUNTIF('2月'!BG29:BH29,F$41)+COUNTIF('2月'!BL29:BM29,F$41)+COUNTIF('2月'!BQ29:BR29,F$41)+COUNTIF('2月'!BV29:BW29,F$41)+COUNTIF('2月'!CA29:CB29,F$41)+COUNTIF('2月'!CF29:CG29,F$41)+COUNTIF('2月'!CK29:CL29,F$41)+COUNTIF('2月'!CP29:CQ29,F$41)+COUNTIF('2月'!CU29:CV29,F$41)+COUNTIF('2月'!CZ29:DA29,F$41)+COUNTIF('2月'!DE29:DF29,F$41)+COUNTIF('2月'!DJ29:DK29,F$41)+COUNTIF('2月'!DO29:DP29,F$41)+COUNTIF('2月'!DT29:DU29,F$41)+COUNTIF('2月'!DY29:DZ29,F$41)+COUNTIF('2月'!ED29:EE29,F$41)+COUNTIF('2月'!EI29:EJ29,F$41)+COUNTIF('2月'!EN29:EO29,F$41)+COUNTIF('2月'!ES29:ET29,F$41)</f>
        <v>0</v>
      </c>
      <c r="G68" s="76">
        <f t="shared" si="14"/>
        <v>0</v>
      </c>
      <c r="H68" s="76">
        <f>COUNTIF('2月'!D29:E29,H$41)+COUNTIF('2月'!I29:J29,H$41)+COUNTIF('2月'!N29:O29,H$41)+COUNTIF('2月'!S29:T29,H$41)+COUNTIF('2月'!X29:Y29,H$41)+COUNTIF('2月'!AC29:AD29,H$41)+COUNTIF('2月'!AH29:AI29,H$41)+COUNTIF('2月'!AM29:AN29,H$41)+COUNTIF('2月'!AR29:AS29,H$41)+COUNTIF('2月'!AW29:AX29,H$41)+COUNTIF('2月'!BB29:BC29,H$41)+COUNTIF('2月'!BG29:BH29,H$41)+COUNTIF('2月'!BL29:BM29,H$41)+COUNTIF('2月'!BQ29:BR29,H$41)+COUNTIF('2月'!BV29:BW29,H$41)+COUNTIF('2月'!CA29:CB29,H$41)+COUNTIF('2月'!CF29:CG29,H$41)+COUNTIF('2月'!CK29:CL29,H$41)+COUNTIF('2月'!CP29:CQ29,H$41)+COUNTIF('2月'!CU29:CV29,H$41)+COUNTIF('2月'!CZ29:DA29,H$41)+COUNTIF('2月'!DE29:DF29,H$41)+COUNTIF('2月'!DJ29:DK29,H$41)+COUNTIF('2月'!DO29:DP29,H$41)+COUNTIF('2月'!DT29:DU29,H$41)+COUNTIF('2月'!DY29:DZ29,H$41)+COUNTIF('2月'!ED29:EE29,H$41)+COUNTIF('2月'!EI29:EJ29,H$41)+COUNTIF('2月'!EN29:EO29,H$41)+COUNTIF('2月'!ES29:ET29,H$41)+COUNTIF('2月'!D29:E29,"渋谷-夜勤")+COUNTIF('2月'!I29:J29,"渋谷-夜勤")+COUNTIF('2月'!N29:O29,"渋谷-夜勤")+COUNTIF('2月'!S29:T29,"渋谷-夜勤")+COUNTIF('2月'!X29:Y29,"渋谷-夜勤")+COUNTIF('2月'!AC29:AD29,"渋谷-夜勤")+COUNTIF('2月'!AH29:AI29,"渋谷-夜勤")+COUNTIF('2月'!AM29:AN29,"渋谷-夜勤")+COUNTIF('2月'!AR29:AS29,"渋谷-夜勤")+COUNTIF('2月'!AW29:AX29,"渋谷-夜勤")+COUNTIF('2月'!BB29:BC29,"渋谷-夜勤")+COUNTIF('2月'!BG29:BH29,"渋谷-夜勤")+COUNTIF('2月'!BL29:BM29,"渋谷-夜勤")+COUNTIF('2月'!BQ29:BR29,"渋谷-夜勤")+COUNTIF('2月'!BV29:BW29,"渋谷-夜勤")+COUNTIF('2月'!CA29:CB29,"渋谷-夜勤")+COUNTIF('2月'!CF29:CG29,"渋谷-夜勤")+COUNTIF('2月'!CK29:CL29,"渋谷-夜勤")+COUNTIF('2月'!CP29:CQ29,"渋谷-夜勤")+COUNTIF('2月'!CU29:CV29,"渋谷-夜勤")+COUNTIF('2月'!CZ29:DA29,"渋谷-夜勤")+COUNTIF('2月'!DE29:DF29,"渋谷-夜勤")+COUNTIF('2月'!DJ29:DK29,"渋谷-夜勤")+COUNTIF('2月'!DO29:DP29,"渋谷-夜勤")+COUNTIF('2月'!DT29:DU29,"渋谷-夜勤")+COUNTIF('2月'!DY29:DZ29,"渋谷-夜勤")+COUNTIF('2月'!ED29:EE29,"渋谷-夜勤")+COUNTIF('2月'!EI29:EJ29,"渋谷-夜勤")+COUNTIF('2月'!EN29:EO29,"渋谷-夜勤")+COUNTIF('2月'!ES29:ET29,"渋谷-夜勤")</f>
        <v>0</v>
      </c>
      <c r="I68" s="76">
        <f t="shared" si="15"/>
        <v>0</v>
      </c>
      <c r="J68" s="76">
        <f>COUNTIF('2月'!D29:E29,J$41)+COUNTIF('2月'!I29:J29,J$41)+COUNTIF('2月'!N29:O29,J$41)+COUNTIF('2月'!S29:T29,J$41)+COUNTIF('2月'!X29:Y29,J$41)+COUNTIF('2月'!AC29:AD29,J$41)+COUNTIF('2月'!AH29:AI29,J$41)+COUNTIF('2月'!AM29:AN29,J$41)+COUNTIF('2月'!AR29:AS29,J$41)+COUNTIF('2月'!AW29:AX29,J$41)+COUNTIF('2月'!BB29:BC29,J$41)+COUNTIF('2月'!BG29:BH29,J$41)+COUNTIF('2月'!BL29:BM29,J$41)+COUNTIF('2月'!BQ29:BR29,J$41)+COUNTIF('2月'!BV29:BW29,J$41)+COUNTIF('2月'!CA29:CB29,J$41)+COUNTIF('2月'!CF29:CG29,J$41)+COUNTIF('2月'!CK29:CL29,J$41)+COUNTIF('2月'!CP29:CQ29,J$41)+COUNTIF('2月'!CU29:CV29,J$41)+COUNTIF('2月'!CZ29:DA29,J$41)+COUNTIF('2月'!DE29:DF29,J$41)+COUNTIF('2月'!DJ29:DK29,J$41)+COUNTIF('2月'!DO29:DP29,J$41)+COUNTIF('2月'!DT29:DU29,J$41)+COUNTIF('2月'!DY29:DZ29,J$41)+COUNTIF('2月'!ED29:EE29,J$41)+COUNTIF('2月'!EI29:EJ29,J$41)+COUNTIF('2月'!EN29:EO29,J$41)+COUNTIF('2月'!ES29:ET29,J$41)+COUNTIF('2月'!D29:E29,"六本木-夜勤")+COUNTIF('2月'!I29:J29,"六本木-夜勤")+COUNTIF('2月'!N29:O29,"六本木-夜勤")+COUNTIF('2月'!S29:T29,"六本木-夜勤")+COUNTIF('2月'!X29:Y29,"六本木-夜勤")+COUNTIF('2月'!AC29:AD29,"六本木-夜勤")+COUNTIF('2月'!AH29:AI29,"六本木-夜勤")+COUNTIF('2月'!AM29:AN29,"六本木-夜勤")+COUNTIF('2月'!AR29:AS29,"六本木-夜勤")+COUNTIF('2月'!AW29:AX29,"六本木-夜勤")+COUNTIF('2月'!BB29:BC29,"六本木-夜勤")+COUNTIF('2月'!BG29:BH29,"六本木-夜勤")+COUNTIF('2月'!BL29:BM29,"六本木-夜勤")+COUNTIF('2月'!BQ29:BR29,"六本木-夜勤")+COUNTIF('2月'!BV29:BW29,"六本木-夜勤")+COUNTIF('2月'!CA29:CB29,"六本木-夜勤")+COUNTIF('2月'!CF29:CG29,"六本木-夜勤")+COUNTIF('2月'!CK29:CL29,"六本木-夜勤")+COUNTIF('2月'!CP29:CQ29,"六本木-夜勤")+COUNTIF('2月'!CU29:CV29,"六本木-夜勤")+COUNTIF('2月'!CZ29:DA29,"六本木-夜勤")+COUNTIF('2月'!DE29:DF29,"六本木-夜勤")+COUNTIF('2月'!DJ29:DK29,"六本木-夜勤")+COUNTIF('2月'!DO29:DP29,"六本木-夜勤")+COUNTIF('2月'!DT29:DU29,"六本木-夜勤")+COUNTIF('2月'!DY29:DZ29,"六本木-夜勤")+COUNTIF('2月'!ED29:EE29,"六本木-夜勤")+COUNTIF('2月'!EI29:EJ29,"六本木-夜勤")+COUNTIF('2月'!EN29:EO29,"六本木-夜勤")+COUNTIF('2月'!ES29:ET29,"六本木-夜勤")+COUNTIF('2月'!D29:E29,"六本木ー夜勤")+COUNTIF('2月'!I29:J29,"六本木ー夜勤")+COUNTIF('2月'!N29:O29,"六本木ー夜勤")+COUNTIF('2月'!S29:T29,"六本木ー夜勤")+COUNTIF('2月'!X29:Y29,"六本木ー夜勤")+COUNTIF('2月'!AC29:AD29,"六本木ー夜勤")+COUNTIF('2月'!AH29:AI29,"六本木ー夜勤")+COUNTIF('2月'!AM29:AN29,"六本木ー夜勤")+COUNTIF('2月'!AR29:AS29,"六本木ー夜勤")+COUNTIF('2月'!AW29:AX29,"六本木ー夜勤")+COUNTIF('2月'!BB29:BC29,"六本木ー夜勤")+COUNTIF('2月'!BG29:BH29,"六本木ー夜勤")+COUNTIF('2月'!BL29:BM29,"六本木ー夜勤")+COUNTIF('2月'!BQ29:BR29,"六本木ー夜勤")+COUNTIF('2月'!BV29:BW29,"六本木ー夜勤")+COUNTIF('2月'!CA29:CB29,"六本木ー夜勤")+COUNTIF('2月'!CF29:CG29,"六本木ー夜勤")+COUNTIF('2月'!CK29:CL29,"六本木ー夜勤")+COUNTIF('2月'!CP29:CQ29,"六本木ー夜勤")+COUNTIF('2月'!CU29:CV29,"六本木ー夜勤")+COUNTIF('2月'!CZ29:DA29,"六本木ー夜勤")+COUNTIF('2月'!DE29:DF29,"六本木ー夜勤")+COUNTIF('2月'!DJ29:DK29,"六本木ー夜勤")+COUNTIF('2月'!DO29:DP29,"六本木ー夜勤")+COUNTIF('2月'!DT29:DU29,"六本木ー夜勤")+COUNTIF('2月'!DY29:DZ29,"六本木ー夜勤")+COUNTIF('2月'!ED29:EE29,"六本木ー夜勤")+COUNTIF('2月'!EI29:EJ29,"六本木ー夜勤")+COUNTIF('2月'!EN29:EO29,"六本木ー夜勤")+COUNTIF('2月'!ES29:ET29,"六本木ー夜勤")</f>
        <v>0</v>
      </c>
      <c r="K68" s="76">
        <f t="shared" si="16"/>
        <v>0</v>
      </c>
      <c r="L68" s="76">
        <f>COUNTIF('2月'!D29:E29,L$41)+COUNTIF('2月'!I29:J29,L$41)+COUNTIF('2月'!N29:O29,L$41)+COUNTIF('2月'!S29:T29,L$41)+COUNTIF('2月'!X29:Y29,L$41)+COUNTIF('2月'!AC29:AD29,L$41)+COUNTIF('2月'!AH29:AI29,L$41)+COUNTIF('2月'!AM29:AN29,L$41)+COUNTIF('2月'!AR29:AS29,L$41)+COUNTIF('2月'!AW29:AX29,L$41)+COUNTIF('2月'!BB29:BC29,L$41)+COUNTIF('2月'!BG29:BH29,L$41)+COUNTIF('2月'!BL29:BM29,L$41)+COUNTIF('2月'!BQ29:BR29,L$41)+COUNTIF('2月'!BV29:BW29,L$41)+COUNTIF('2月'!CA29:CB29,L$41)+COUNTIF('2月'!CF29:CG29,L$41)+COUNTIF('2月'!CK29:CL29,L$41)+COUNTIF('2月'!CP29:CQ29,L$41)+COUNTIF('2月'!CU29:CV29,L$41)+COUNTIF('2月'!CZ29:DA29,L$41)+COUNTIF('2月'!DE29:DF29,L$41)+COUNTIF('2月'!DJ29:DK29,L$41)+COUNTIF('2月'!DO29:DP29,L$41)+COUNTIF('2月'!DT29:DU29,L$41)+COUNTIF('2月'!DY29:DZ29,L$41)+COUNTIF('2月'!ED29:EE29,L$41)+COUNTIF('2月'!EI29:EJ29,L$41)+COUNTIF('2月'!EN29:EO29,L$41)+COUNTIF('2月'!ES29:ET29,L$41)</f>
        <v>0</v>
      </c>
      <c r="M68" s="76">
        <f t="shared" si="17"/>
        <v>0</v>
      </c>
      <c r="N68" s="76">
        <f>COUNTIF('2月'!D29:E29,N$41)+COUNTIF('2月'!I29:J29,N$41)+COUNTIF('2月'!N29:O29,N$41)+COUNTIF('2月'!S29:T29,N$41)+COUNTIF('2月'!X29:Y29,N$41)+COUNTIF('2月'!AC29:AD29,N$41)+COUNTIF('2月'!AH29:AI29,N$41)+COUNTIF('2月'!AM29:AN29,N$41)+COUNTIF('2月'!AR29:AS29,N$41)+COUNTIF('2月'!AW29:AX29,N$41)+COUNTIF('2月'!BB29:BC29,N$41)+COUNTIF('2月'!BG29:BH29,N$41)+COUNTIF('2月'!BL29:BM29,N$41)+COUNTIF('2月'!BQ29:BR29,N$41)+COUNTIF('2月'!BV29:BW29,N$41)+COUNTIF('2月'!CA29:CB29,N$41)+COUNTIF('2月'!CF29:CG29,N$41)+COUNTIF('2月'!CK29:CL29,N$41)+COUNTIF('2月'!CP29:CQ29,N$41)+COUNTIF('2月'!CU29:CV29,N$41)+COUNTIF('2月'!CZ29:DA29,N$41)+COUNTIF('2月'!DE29:DF29,N$41)+COUNTIF('2月'!DJ29:DK29,N$41)+COUNTIF('2月'!DO29:DP29,N$41)+COUNTIF('2月'!DT29:DU29,N$41)+COUNTIF('2月'!DY29:DZ29,N$41)+COUNTIF('2月'!ED29:EE29,N$41)+COUNTIF('2月'!EI29:EJ29,N$41)+COUNTIF('2月'!EN29:EO29,N$41)+COUNTIF('2月'!ES29:ET29,N$41)+COUNTIF('2月'!D29:E29,"三軒茶屋－夜勤")+COUNTIF('2月'!I29:J29,"三軒茶屋－夜勤")+COUNTIF('2月'!N29:O29,"三軒茶屋－夜勤")+COUNTIF('2月'!S29:T29,"三軒茶屋－夜勤")+COUNTIF('2月'!X29:Y29,"三軒茶屋－夜勤")+COUNTIF('2月'!AC29:AD29,"三軒茶屋－夜勤")+COUNTIF('2月'!AH29:AI29,"三軒茶屋－夜勤")+COUNTIF('2月'!AM29:AN29,"三軒茶屋－夜勤")+COUNTIF('2月'!AR29:AS29,"三軒茶屋－夜勤")+COUNTIF('2月'!AW29:AX29,"三軒茶屋－夜勤")+COUNTIF('2月'!BB29:BC29,"三軒茶屋－夜勤")+COUNTIF('2月'!BG29:BH29,"三軒茶屋－夜勤")+COUNTIF('2月'!BL29:BM29,"三軒茶屋－夜勤")+COUNTIF('2月'!BQ29:BR29,"三軒茶屋－夜勤")+COUNTIF('2月'!BV29:BW29,"三軒茶屋－夜勤")+COUNTIF('2月'!CA29:CB29,"三軒茶屋－夜勤")+COUNTIF('2月'!CF29:CG29,"三軒茶屋－夜勤")+COUNTIF('2月'!CK29:CL29,"三軒茶屋－夜勤")+COUNTIF('2月'!CP29:CQ29,"三軒茶屋－夜勤")+COUNTIF('2月'!CU29:CV29,"三軒茶屋－夜勤")+COUNTIF('2月'!CZ29:DA29,"三軒茶屋－夜勤")+COUNTIF('2月'!DE29:DF29,"三軒茶屋－夜勤")+COUNTIF('2月'!DJ29:DK29,"三軒茶屋－夜勤")+COUNTIF('2月'!DO29:DP29,"三軒茶屋－夜勤")+COUNTIF('2月'!DT29:DU29,"三軒茶屋－夜勤")+COUNTIF('2月'!DY29:DZ29,"三軒茶屋－夜勤")+COUNTIF('2月'!ED29:EE29,"三軒茶屋－夜勤")+COUNTIF('2月'!EI29:EJ29,"三軒茶屋－夜勤")+COUNTIF('2月'!EN29:EO29,"三軒茶屋－夜勤")+COUNTIF('2月'!ES29:ET29,"三軒茶屋－夜勤")</f>
        <v>0</v>
      </c>
      <c r="O68" s="76">
        <f t="shared" si="18"/>
        <v>0</v>
      </c>
      <c r="P68" s="76">
        <f>COUNTIF('2月'!D29:E29,P$41)+COUNTIF('2月'!I29:J29,P$41)+COUNTIF('2月'!N29:O29,P$41)+COUNTIF('2月'!S29:T29,P$41)+COUNTIF('2月'!X29:Y29,P$41)+COUNTIF('2月'!AC29:AD29,P$41)+COUNTIF('2月'!AH29:AI29,P$41)+COUNTIF('2月'!AM29:AN29,P$41)+COUNTIF('2月'!AR29:AS29,P$41)+COUNTIF('2月'!AW29:AX29,P$41)+COUNTIF('2月'!BB29:BC29,P$41)+COUNTIF('2月'!BG29:BH29,P$41)+COUNTIF('2月'!BL29:BM29,P$41)+COUNTIF('2月'!BQ29:BR29,P$41)+COUNTIF('2月'!BV29:BW29,P$41)+COUNTIF('2月'!CA29:CB29,P$41)+COUNTIF('2月'!CF29:CG29,P$41)+COUNTIF('2月'!CK29:CL29,P$41)+COUNTIF('2月'!CP29:CQ29,P$41)+COUNTIF('2月'!CU29:CV29,P$41)+COUNTIF('2月'!CZ29:DA29,P$41)+COUNTIF('2月'!DE29:DF29,P$41)+COUNTIF('2月'!DJ29:DK29,P$41)+COUNTIF('2月'!DO29:DP29,P$41)+COUNTIF('2月'!DT29:DU29,P$41)+COUNTIF('2月'!DY29:DZ29,P$41)+COUNTIF('2月'!ED29:EE29,P$41)+COUNTIF('2月'!EI29:EJ29,P$41)+COUNTIF('2月'!EN29:EO29,P$41)+COUNTIF('2月'!ES29:ET29,P$41)+COUNTIF('2月'!D29:E29,"荻窪ー夜勤")+COUNTIF('2月'!I29:J29,"荻窪ー夜勤")+COUNTIF('2月'!N29:O29,"荻窪ー夜勤")+COUNTIF('2月'!S29:T29,"荻窪ー夜勤")+COUNTIF('2月'!X29:Y29,"荻窪ー夜勤")+COUNTIF('2月'!AC29:AD29,"荻窪ー夜勤")+COUNTIF('2月'!AH29:AI29,"荻窪ー夜勤")+COUNTIF('2月'!AM29:AN29,"荻窪ー夜勤")+COUNTIF('2月'!AR29:AS29,"荻窪ー夜勤")+COUNTIF('2月'!AW29:AX29,"荻窪ー夜勤")+COUNTIF('2月'!BB29:BC29,"荻窪ー夜勤")+COUNTIF('2月'!BG29:BH29,"荻窪ー夜勤")+COUNTIF('2月'!BL29:BM29,"荻窪ー夜勤")+COUNTIF('2月'!BQ29:BR29,"荻窪ー夜勤")+COUNTIF('2月'!BV29:BW29,"荻窪ー夜勤")+COUNTIF('2月'!CA29:CB29,"荻窪ー夜勤")+COUNTIF('2月'!CF29:CG29,"荻窪ー夜勤")+COUNTIF('2月'!CK29:CL29,"荻窪ー夜勤")+COUNTIF('2月'!CP29:CQ29,"荻窪ー夜勤")+COUNTIF('2月'!CU29:CV29,"荻窪ー夜勤")+COUNTIF('2月'!CZ29:DA29,"荻窪ー夜勤")+COUNTIF('2月'!DE29:DF29,"荻窪ー夜勤")+COUNTIF('2月'!DJ29:DK29,"荻窪ー夜勤")+COUNTIF('2月'!DO29:DP29,"荻窪ー夜勤")+COUNTIF('2月'!DT29:DU29,"荻窪ー夜勤")+COUNTIF('2月'!DY29:DZ29,"荻窪ー夜勤")+COUNTIF('2月'!ED29:EE29,"荻窪ー夜勤")+COUNTIF('2月'!EI29:EJ29,"荻窪ー夜勤")+COUNTIF('2月'!EN29:EO29,"荻窪ー夜勤")+COUNTIF('2月'!ES29:ET29,"荻窪ー夜勤")</f>
        <v>0</v>
      </c>
      <c r="Q68" s="76">
        <f t="shared" si="19"/>
        <v>0</v>
      </c>
      <c r="R68" s="76">
        <f>COUNTIF('2月'!D29:E29,R$41)+COUNTIF('2月'!I29:J29,R$41)+COUNTIF('2月'!N29:O29,R$41)+COUNTIF('2月'!S29:T29,R$41)+COUNTIF('2月'!X29:Y29,R$41)+COUNTIF('2月'!AC29:AD29,R$41)+COUNTIF('2月'!AH29:AI29,R$41)+COUNTIF('2月'!AM29:AN29,R$41)+COUNTIF('2月'!AR29:AS29,R$41)+COUNTIF('2月'!AW29:AX29,R$41)+COUNTIF('2月'!BB29:BC29,R$41)+COUNTIF('2月'!BG29:BH29,R$41)+COUNTIF('2月'!BL29:BM29,R$41)+COUNTIF('2月'!BQ29:BR29,R$41)+COUNTIF('2月'!BV29:BW29,R$41)+COUNTIF('2月'!CA29:CB29,R$41)+COUNTIF('2月'!CF29:CG29,R$41)+COUNTIF('2月'!CK29:CL29,R$41)+COUNTIF('2月'!CP29:CQ29,R$41)+COUNTIF('2月'!CU29:CV29,R$41)+COUNTIF('2月'!CZ29:DA29,R$41)+COUNTIF('2月'!DE29:DF29,R$41)+COUNTIF('2月'!DJ29:DK29,R$41)+COUNTIF('2月'!DO29:DP29,R$41)+COUNTIF('2月'!DT29:DU29,R$41)+COUNTIF('2月'!DY29:DZ29,R$41)+COUNTIF('2月'!ED29:EE29,R$41)+COUNTIF('2月'!EI29:EJ29,R$41)+COUNTIF('2月'!EN29:EO29,R$41)+COUNTIF('2月'!ES29:ET29,R$41)</f>
        <v>0</v>
      </c>
      <c r="S68" s="76">
        <f t="shared" si="20"/>
        <v>0</v>
      </c>
      <c r="T68" s="76">
        <f>COUNTIF('2月'!D29:E29,T$41)+COUNTIF('2月'!I29:J29,T$41)+COUNTIF('2月'!N29:O29,T$41)+COUNTIF('2月'!S29:T29,T$41)+COUNTIF('2月'!X29:Y29,T$41)+COUNTIF('2月'!AC29:AD29,T$41)+COUNTIF('2月'!AH29:AI29,T$41)+COUNTIF('2月'!AM29:AN29,T$41)+COUNTIF('2月'!AR29:AS29,T$41)+COUNTIF('2月'!AW29:AX29,T$41)+COUNTIF('2月'!BB29:BC29,T$41)+COUNTIF('2月'!BG29:BH29,T$41)+COUNTIF('2月'!BL29:BM29,T$41)+COUNTIF('2月'!BQ29:BR29,T$41)+COUNTIF('2月'!BV29:BW29,T$41)+COUNTIF('2月'!CA29:CB29,T$41)+COUNTIF('2月'!CF29:CG29,T$41)+COUNTIF('2月'!CK29:CL29,T$41)+COUNTIF('2月'!CP29:CQ29,T$41)+COUNTIF('2月'!CU29:CV29,T$41)+COUNTIF('2月'!CZ29:DA29,T$41)+COUNTIF('2月'!DE29:DF29,T$41)+COUNTIF('2月'!DJ29:DK29,T$41)+COUNTIF('2月'!DO29:DP29,T$41)+COUNTIF('2月'!DT29:DU29,T$41)+COUNTIF('2月'!DY29:DZ29,T$41)+COUNTIF('2月'!ED29:EE29,T$41)+COUNTIF('2月'!EI29:EJ29,T$41)+COUNTIF('2月'!EN29:EO29,T$41)+COUNTIF('2月'!ES29:ET29,T$41)</f>
        <v>0</v>
      </c>
      <c r="U68" s="76">
        <f t="shared" si="21"/>
        <v>0</v>
      </c>
      <c r="V68" s="76">
        <f>COUNTIF('2月'!D29:E29,V$41)+COUNTIF('2月'!I29:J29,V$41)+COUNTIF('2月'!N29:O29,V$41)+COUNTIF('2月'!S29:T29,V$41)+COUNTIF('2月'!X29:Y29,V$41)+COUNTIF('2月'!AC29:AD29,V$41)+COUNTIF('2月'!AH29:AI29,V$41)+COUNTIF('2月'!AM29:AN29,V$41)+COUNTIF('2月'!AR29:AS29,V$41)+COUNTIF('2月'!AW29:AX29,V$41)+COUNTIF('2月'!BB29:BC29,V$41)+COUNTIF('2月'!BG29:BH29,V$41)+COUNTIF('2月'!BL29:BM29,V$41)+COUNTIF('2月'!BQ29:BR29,V$41)+COUNTIF('2月'!BV29:BW29,V$41)+COUNTIF('2月'!CA29:CB29,V$41)+COUNTIF('2月'!CF29:CG29,V$41)+COUNTIF('2月'!CK29:CL29,V$41)+COUNTIF('2月'!CP29:CQ29,V$41)+COUNTIF('2月'!CU29:CV29,V$41)+COUNTIF('2月'!CZ29:DA29,V$41)+COUNTIF('2月'!DE29:DF29,V$41)+COUNTIF('2月'!DJ29:DK29,V$41)+COUNTIF('2月'!DO29:DP29,V$41)+COUNTIF('2月'!DT29:DU29,V$41)+COUNTIF('2月'!DY29:DZ29,V$41)+COUNTIF('2月'!ED29:EE29,V$41)+COUNTIF('2月'!EI29:EJ29,V$41)+COUNTIF('2月'!EN29:EO29,V$41)+COUNTIF('2月'!ES29:ET29,V$41)</f>
        <v>0</v>
      </c>
      <c r="W68" s="76">
        <f t="shared" si="22"/>
        <v>0</v>
      </c>
      <c r="X68" s="76">
        <f>COUNTIF('2月'!D29:E29,X$41)+COUNTIF('2月'!I29:J29,X$41)+COUNTIF('2月'!N29:O29,X$41)+COUNTIF('2月'!S29:T29,X$41)+COUNTIF('2月'!X29:Y29,X$41)+COUNTIF('2月'!AC29:AD29,X$41)+COUNTIF('2月'!AH29:AI29,X$41)+COUNTIF('2月'!AM29:AN29,X$41)+COUNTIF('2月'!AR29:AS29,X$41)+COUNTIF('2月'!AW29:AX29,X$41)+COUNTIF('2月'!BB29:BC29,X$41)+COUNTIF('2月'!BG29:BH29,X$41)+COUNTIF('2月'!BL29:BM29,X$41)+COUNTIF('2月'!BQ29:BR29,X$41)+COUNTIF('2月'!BV29:BW29,X$41)+COUNTIF('2月'!CA29:CB29,X$41)+COUNTIF('2月'!CF29:CG29,X$41)+COUNTIF('2月'!CK29:CL29,X$41)+COUNTIF('2月'!CP29:CQ29,X$41)+COUNTIF('2月'!CU29:CV29,X$41)+COUNTIF('2月'!CZ29:DA29,X$41)+COUNTIF('2月'!DE29:DF29,X$41)+COUNTIF('2月'!DJ29:DK29,X$41)+COUNTIF('2月'!DO29:DP29,X$41)+COUNTIF('2月'!DT29:DU29,X$41)+COUNTIF('2月'!DY29:DZ29,X$41)+COUNTIF('2月'!ED29:EE29,X$41)+COUNTIF('2月'!EI29:EJ29,X$41)+COUNTIF('2月'!EN29:EO29,X$41)+COUNTIF('2月'!ES29:ET29,X$41)</f>
        <v>0</v>
      </c>
      <c r="Y68" s="76">
        <f t="shared" si="23"/>
        <v>0</v>
      </c>
    </row>
    <row r="69" spans="1:25" ht="18" customHeight="1">
      <c r="A69" s="76">
        <v>27</v>
      </c>
      <c r="B69" s="76">
        <f>COUNTIF('2月'!D30:E30,B$41)+COUNTIF('2月'!I30:J30,B$41)+COUNTIF('2月'!N30:O30,B$41)+COUNTIF('2月'!S30:T30,B$41)+COUNTIF('2月'!X30:Y30,B$41)+COUNTIF('2月'!AC30:AD30,B$41)+COUNTIF('2月'!AH30:AI30,B$41)+COUNTIF('2月'!AM30:AN30,B$41)+COUNTIF('2月'!AR30:AS30,B$41)+COUNTIF('2月'!AW30:AX30,B$41)+COUNTIF('2月'!BB30:BC30,B$41)+COUNTIF('2月'!BG30:BH30,B$41)+COUNTIF('2月'!BL30:BM30,B$41)+COUNTIF('2月'!BQ30:BR30,B$41)+COUNTIF('2月'!BV30:BW30,B$41)+COUNTIF('2月'!CA30:CB30,B$41)+COUNTIF('2月'!CF30:CG30,B$41)+COUNTIF('2月'!CK30:CL30,B$41)+COUNTIF('2月'!CP30:CQ30,B$41)+COUNTIF('2月'!CU30:CV30,B$41)+COUNTIF('2月'!CZ30:DA30,B$41)+COUNTIF('2月'!DE30:DF30,B$41)+COUNTIF('2月'!DJ30:DK30,B$41)+COUNTIF('2月'!DO30:DP30,B$41)+COUNTIF('2月'!DT30:DU30,B$41)+COUNTIF('2月'!DY30:DZ30,B$41)+COUNTIF('2月'!ED30:EE30,B$41)+COUNTIF('2月'!EI30:EJ30,B$41)+COUNTIF('2月'!EN30:EO30,B$41)+COUNTIF('2月'!ES30:ET30,B$41)</f>
        <v>0</v>
      </c>
      <c r="C69" s="76">
        <f t="shared" si="12"/>
        <v>0</v>
      </c>
      <c r="D69" s="76">
        <f>COUNTIF('2月'!D30:E30,D$41)+COUNTIF('2月'!I30:J30,D$41)+COUNTIF('2月'!N30:O30,D$41)+COUNTIF('2月'!S30:T30,D$41)+COUNTIF('2月'!X30:Y30,D$41)+COUNTIF('2月'!AC30:AD30,D$41)+COUNTIF('2月'!AH30:AI30,D$41)+COUNTIF('2月'!AM30:AN30,D$41)+COUNTIF('2月'!AR30:AS30,D$41)+COUNTIF('2月'!AW30:AX30,D$41)+COUNTIF('2月'!BB30:BC30,D$41)+COUNTIF('2月'!BG30:BH30,D$41)+COUNTIF('2月'!BL30:BM30,D$41)+COUNTIF('2月'!BQ30:BR30,D$41)+COUNTIF('2月'!BV30:BW30,D$41)+COUNTIF('2月'!CA30:CB30,D$41)+COUNTIF('2月'!CF30:CG30,D$41)+COUNTIF('2月'!CK30:CL30,D$41)+COUNTIF('2月'!CP30:CQ30,D$41)+COUNTIF('2月'!CU30:CV30,D$41)+COUNTIF('2月'!CZ30:DA30,D$41)+COUNTIF('2月'!DE30:DF30,D$41)+COUNTIF('2月'!DJ30:DK30,D$41)+COUNTIF('2月'!DO30:DP30,D$41)+COUNTIF('2月'!DT30:DU30,D$41)+COUNTIF('2月'!DY30:DZ30,D$41)+COUNTIF('2月'!ED30:EE30,D$41)+COUNTIF('2月'!EI30:EJ30,D$41)+COUNTIF('2月'!EN30:EO30,D$41)+COUNTIF('2月'!ES30:ET30,D$41)</f>
        <v>0</v>
      </c>
      <c r="E69" s="76">
        <f t="shared" si="13"/>
        <v>0</v>
      </c>
      <c r="F69" s="76">
        <f>COUNTIF('2月'!D30:E30,F$41)+COUNTIF('2月'!I30:J30,F$41)+COUNTIF('2月'!N30:O30,F$41)+COUNTIF('2月'!S30:T30,F$41)+COUNTIF('2月'!X30:Y30,F$41)+COUNTIF('2月'!AC30:AD30,F$41)+COUNTIF('2月'!AH30:AI30,F$41)+COUNTIF('2月'!AM30:AN30,F$41)+COUNTIF('2月'!AR30:AS30,F$41)+COUNTIF('2月'!AW30:AX30,F$41)+COUNTIF('2月'!BB30:BC30,F$41)+COUNTIF('2月'!BG30:BH30,F$41)+COUNTIF('2月'!BL30:BM30,F$41)+COUNTIF('2月'!BQ30:BR30,F$41)+COUNTIF('2月'!BV30:BW30,F$41)+COUNTIF('2月'!CA30:CB30,F$41)+COUNTIF('2月'!CF30:CG30,F$41)+COUNTIF('2月'!CK30:CL30,F$41)+COUNTIF('2月'!CP30:CQ30,F$41)+COUNTIF('2月'!CU30:CV30,F$41)+COUNTIF('2月'!CZ30:DA30,F$41)+COUNTIF('2月'!DE30:DF30,F$41)+COUNTIF('2月'!DJ30:DK30,F$41)+COUNTIF('2月'!DO30:DP30,F$41)+COUNTIF('2月'!DT30:DU30,F$41)+COUNTIF('2月'!DY30:DZ30,F$41)+COUNTIF('2月'!ED30:EE30,F$41)+COUNTIF('2月'!EI30:EJ30,F$41)+COUNTIF('2月'!EN30:EO30,F$41)+COUNTIF('2月'!ES30:ET30,F$41)</f>
        <v>0</v>
      </c>
      <c r="G69" s="76">
        <f t="shared" si="14"/>
        <v>0</v>
      </c>
      <c r="H69" s="76">
        <f>COUNTIF('2月'!D30:E30,H$41)+COUNTIF('2月'!I30:J30,H$41)+COUNTIF('2月'!N30:O30,H$41)+COUNTIF('2月'!S30:T30,H$41)+COUNTIF('2月'!X30:Y30,H$41)+COUNTIF('2月'!AC30:AD30,H$41)+COUNTIF('2月'!AH30:AI30,H$41)+COUNTIF('2月'!AM30:AN30,H$41)+COUNTIF('2月'!AR30:AS30,H$41)+COUNTIF('2月'!AW30:AX30,H$41)+COUNTIF('2月'!BB30:BC30,H$41)+COUNTIF('2月'!BG30:BH30,H$41)+COUNTIF('2月'!BL30:BM30,H$41)+COUNTIF('2月'!BQ30:BR30,H$41)+COUNTIF('2月'!BV30:BW30,H$41)+COUNTIF('2月'!CA30:CB30,H$41)+COUNTIF('2月'!CF30:CG30,H$41)+COUNTIF('2月'!CK30:CL30,H$41)+COUNTIF('2月'!CP30:CQ30,H$41)+COUNTIF('2月'!CU30:CV30,H$41)+COUNTIF('2月'!CZ30:DA30,H$41)+COUNTIF('2月'!DE30:DF30,H$41)+COUNTIF('2月'!DJ30:DK30,H$41)+COUNTIF('2月'!DO30:DP30,H$41)+COUNTIF('2月'!DT30:DU30,H$41)+COUNTIF('2月'!DY30:DZ30,H$41)+COUNTIF('2月'!ED30:EE30,H$41)+COUNTIF('2月'!EI30:EJ30,H$41)+COUNTIF('2月'!EN30:EO30,H$41)+COUNTIF('2月'!ES30:ET30,H$41)+COUNTIF('2月'!D30:E30,"渋谷-夜勤")+COUNTIF('2月'!I30:J30,"渋谷-夜勤")+COUNTIF('2月'!N30:O30,"渋谷-夜勤")+COUNTIF('2月'!S30:T30,"渋谷-夜勤")+COUNTIF('2月'!X30:Y30,"渋谷-夜勤")+COUNTIF('2月'!AC30:AD30,"渋谷-夜勤")+COUNTIF('2月'!AH30:AI30,"渋谷-夜勤")+COUNTIF('2月'!AM30:AN30,"渋谷-夜勤")+COUNTIF('2月'!AR30:AS30,"渋谷-夜勤")+COUNTIF('2月'!AW30:AX30,"渋谷-夜勤")+COUNTIF('2月'!BB30:BC30,"渋谷-夜勤")+COUNTIF('2月'!BG30:BH30,"渋谷-夜勤")+COUNTIF('2月'!BL30:BM30,"渋谷-夜勤")+COUNTIF('2月'!BQ30:BR30,"渋谷-夜勤")+COUNTIF('2月'!BV30:BW30,"渋谷-夜勤")+COUNTIF('2月'!CA30:CB30,"渋谷-夜勤")+COUNTIF('2月'!CF30:CG30,"渋谷-夜勤")+COUNTIF('2月'!CK30:CL30,"渋谷-夜勤")+COUNTIF('2月'!CP30:CQ30,"渋谷-夜勤")+COUNTIF('2月'!CU30:CV30,"渋谷-夜勤")+COUNTIF('2月'!CZ30:DA30,"渋谷-夜勤")+COUNTIF('2月'!DE30:DF30,"渋谷-夜勤")+COUNTIF('2月'!DJ30:DK30,"渋谷-夜勤")+COUNTIF('2月'!DO30:DP30,"渋谷-夜勤")+COUNTIF('2月'!DT30:DU30,"渋谷-夜勤")+COUNTIF('2月'!DY30:DZ30,"渋谷-夜勤")+COUNTIF('2月'!ED30:EE30,"渋谷-夜勤")+COUNTIF('2月'!EI30:EJ30,"渋谷-夜勤")+COUNTIF('2月'!EN30:EO30,"渋谷-夜勤")+COUNTIF('2月'!ES30:ET30,"渋谷-夜勤")</f>
        <v>0</v>
      </c>
      <c r="I69" s="76">
        <f t="shared" si="15"/>
        <v>0</v>
      </c>
      <c r="J69" s="76">
        <f>COUNTIF('2月'!D30:E30,J$41)+COUNTIF('2月'!I30:J30,J$41)+COUNTIF('2月'!N30:O30,J$41)+COUNTIF('2月'!S30:T30,J$41)+COUNTIF('2月'!X30:Y30,J$41)+COUNTIF('2月'!AC30:AD30,J$41)+COUNTIF('2月'!AH30:AI30,J$41)+COUNTIF('2月'!AM30:AN30,J$41)+COUNTIF('2月'!AR30:AS30,J$41)+COUNTIF('2月'!AW30:AX30,J$41)+COUNTIF('2月'!BB30:BC30,J$41)+COUNTIF('2月'!BG30:BH30,J$41)+COUNTIF('2月'!BL30:BM30,J$41)+COUNTIF('2月'!BQ30:BR30,J$41)+COUNTIF('2月'!BV30:BW30,J$41)+COUNTIF('2月'!CA30:CB30,J$41)+COUNTIF('2月'!CF30:CG30,J$41)+COUNTIF('2月'!CK30:CL30,J$41)+COUNTIF('2月'!CP30:CQ30,J$41)+COUNTIF('2月'!CU30:CV30,J$41)+COUNTIF('2月'!CZ30:DA30,J$41)+COUNTIF('2月'!DE30:DF30,J$41)+COUNTIF('2月'!DJ30:DK30,J$41)+COUNTIF('2月'!DO30:DP30,J$41)+COUNTIF('2月'!DT30:DU30,J$41)+COUNTIF('2月'!DY30:DZ30,J$41)+COUNTIF('2月'!ED30:EE30,J$41)+COUNTIF('2月'!EI30:EJ30,J$41)+COUNTIF('2月'!EN30:EO30,J$41)+COUNTIF('2月'!ES30:ET30,J$41)+COUNTIF('2月'!D30:E30,"六本木-夜勤")+COUNTIF('2月'!I30:J30,"六本木-夜勤")+COUNTIF('2月'!N30:O30,"六本木-夜勤")+COUNTIF('2月'!S30:T30,"六本木-夜勤")+COUNTIF('2月'!X30:Y30,"六本木-夜勤")+COUNTIF('2月'!AC30:AD30,"六本木-夜勤")+COUNTIF('2月'!AH30:AI30,"六本木-夜勤")+COUNTIF('2月'!AM30:AN30,"六本木-夜勤")+COUNTIF('2月'!AR30:AS30,"六本木-夜勤")+COUNTIF('2月'!AW30:AX30,"六本木-夜勤")+COUNTIF('2月'!BB30:BC30,"六本木-夜勤")+COUNTIF('2月'!BG30:BH30,"六本木-夜勤")+COUNTIF('2月'!BL30:BM30,"六本木-夜勤")+COUNTIF('2月'!BQ30:BR30,"六本木-夜勤")+COUNTIF('2月'!BV30:BW30,"六本木-夜勤")+COUNTIF('2月'!CA30:CB30,"六本木-夜勤")+COUNTIF('2月'!CF30:CG30,"六本木-夜勤")+COUNTIF('2月'!CK30:CL30,"六本木-夜勤")+COUNTIF('2月'!CP30:CQ30,"六本木-夜勤")+COUNTIF('2月'!CU30:CV30,"六本木-夜勤")+COUNTIF('2月'!CZ30:DA30,"六本木-夜勤")+COUNTIF('2月'!DE30:DF30,"六本木-夜勤")+COUNTIF('2月'!DJ30:DK30,"六本木-夜勤")+COUNTIF('2月'!DO30:DP30,"六本木-夜勤")+COUNTIF('2月'!DT30:DU30,"六本木-夜勤")+COUNTIF('2月'!DY30:DZ30,"六本木-夜勤")+COUNTIF('2月'!ED30:EE30,"六本木-夜勤")+COUNTIF('2月'!EI30:EJ30,"六本木-夜勤")+COUNTIF('2月'!EN30:EO30,"六本木-夜勤")+COUNTIF('2月'!ES30:ET30,"六本木-夜勤")+COUNTIF('2月'!D30:E30,"六本木ー夜勤")+COUNTIF('2月'!I30:J30,"六本木ー夜勤")+COUNTIF('2月'!N30:O30,"六本木ー夜勤")+COUNTIF('2月'!S30:T30,"六本木ー夜勤")+COUNTIF('2月'!X30:Y30,"六本木ー夜勤")+COUNTIF('2月'!AC30:AD30,"六本木ー夜勤")+COUNTIF('2月'!AH30:AI30,"六本木ー夜勤")+COUNTIF('2月'!AM30:AN30,"六本木ー夜勤")+COUNTIF('2月'!AR30:AS30,"六本木ー夜勤")+COUNTIF('2月'!AW30:AX30,"六本木ー夜勤")+COUNTIF('2月'!BB30:BC30,"六本木ー夜勤")+COUNTIF('2月'!BG30:BH30,"六本木ー夜勤")+COUNTIF('2月'!BL30:BM30,"六本木ー夜勤")+COUNTIF('2月'!BQ30:BR30,"六本木ー夜勤")+COUNTIF('2月'!BV30:BW30,"六本木ー夜勤")+COUNTIF('2月'!CA30:CB30,"六本木ー夜勤")+COUNTIF('2月'!CF30:CG30,"六本木ー夜勤")+COUNTIF('2月'!CK30:CL30,"六本木ー夜勤")+COUNTIF('2月'!CP30:CQ30,"六本木ー夜勤")+COUNTIF('2月'!CU30:CV30,"六本木ー夜勤")+COUNTIF('2月'!CZ30:DA30,"六本木ー夜勤")+COUNTIF('2月'!DE30:DF30,"六本木ー夜勤")+COUNTIF('2月'!DJ30:DK30,"六本木ー夜勤")+COUNTIF('2月'!DO30:DP30,"六本木ー夜勤")+COUNTIF('2月'!DT30:DU30,"六本木ー夜勤")+COUNTIF('2月'!DY30:DZ30,"六本木ー夜勤")+COUNTIF('2月'!ED30:EE30,"六本木ー夜勤")+COUNTIF('2月'!EI30:EJ30,"六本木ー夜勤")+COUNTIF('2月'!EN30:EO30,"六本木ー夜勤")+COUNTIF('2月'!ES30:ET30,"六本木ー夜勤")</f>
        <v>0</v>
      </c>
      <c r="K69" s="76">
        <f t="shared" si="16"/>
        <v>0</v>
      </c>
      <c r="L69" s="76">
        <f>COUNTIF('2月'!D30:E30,L$41)+COUNTIF('2月'!I30:J30,L$41)+COUNTIF('2月'!N30:O30,L$41)+COUNTIF('2月'!S30:T30,L$41)+COUNTIF('2月'!X30:Y30,L$41)+COUNTIF('2月'!AC30:AD30,L$41)+COUNTIF('2月'!AH30:AI30,L$41)+COUNTIF('2月'!AM30:AN30,L$41)+COUNTIF('2月'!AR30:AS30,L$41)+COUNTIF('2月'!AW30:AX30,L$41)+COUNTIF('2月'!BB30:BC30,L$41)+COUNTIF('2月'!BG30:BH30,L$41)+COUNTIF('2月'!BL30:BM30,L$41)+COUNTIF('2月'!BQ30:BR30,L$41)+COUNTIF('2月'!BV30:BW30,L$41)+COUNTIF('2月'!CA30:CB30,L$41)+COUNTIF('2月'!CF30:CG30,L$41)+COUNTIF('2月'!CK30:CL30,L$41)+COUNTIF('2月'!CP30:CQ30,L$41)+COUNTIF('2月'!CU30:CV30,L$41)+COUNTIF('2月'!CZ30:DA30,L$41)+COUNTIF('2月'!DE30:DF30,L$41)+COUNTIF('2月'!DJ30:DK30,L$41)+COUNTIF('2月'!DO30:DP30,L$41)+COUNTIF('2月'!DT30:DU30,L$41)+COUNTIF('2月'!DY30:DZ30,L$41)+COUNTIF('2月'!ED30:EE30,L$41)+COUNTIF('2月'!EI30:EJ30,L$41)+COUNTIF('2月'!EN30:EO30,L$41)+COUNTIF('2月'!ES30:ET30,L$41)</f>
        <v>0</v>
      </c>
      <c r="M69" s="76">
        <f t="shared" si="17"/>
        <v>0</v>
      </c>
      <c r="N69" s="76">
        <f>COUNTIF('2月'!D30:E30,N$41)+COUNTIF('2月'!I30:J30,N$41)+COUNTIF('2月'!N30:O30,N$41)+COUNTIF('2月'!S30:T30,N$41)+COUNTIF('2月'!X30:Y30,N$41)+COUNTIF('2月'!AC30:AD30,N$41)+COUNTIF('2月'!AH30:AI30,N$41)+COUNTIF('2月'!AM30:AN30,N$41)+COUNTIF('2月'!AR30:AS30,N$41)+COUNTIF('2月'!AW30:AX30,N$41)+COUNTIF('2月'!BB30:BC30,N$41)+COUNTIF('2月'!BG30:BH30,N$41)+COUNTIF('2月'!BL30:BM30,N$41)+COUNTIF('2月'!BQ30:BR30,N$41)+COUNTIF('2月'!BV30:BW30,N$41)+COUNTIF('2月'!CA30:CB30,N$41)+COUNTIF('2月'!CF30:CG30,N$41)+COUNTIF('2月'!CK30:CL30,N$41)+COUNTIF('2月'!CP30:CQ30,N$41)+COUNTIF('2月'!CU30:CV30,N$41)+COUNTIF('2月'!CZ30:DA30,N$41)+COUNTIF('2月'!DE30:DF30,N$41)+COUNTIF('2月'!DJ30:DK30,N$41)+COUNTIF('2月'!DO30:DP30,N$41)+COUNTIF('2月'!DT30:DU30,N$41)+COUNTIF('2月'!DY30:DZ30,N$41)+COUNTIF('2月'!ED30:EE30,N$41)+COUNTIF('2月'!EI30:EJ30,N$41)+COUNTIF('2月'!EN30:EO30,N$41)+COUNTIF('2月'!ES30:ET30,N$41)+COUNTIF('2月'!D30:E30,"三軒茶屋－夜勤")+COUNTIF('2月'!I30:J30,"三軒茶屋－夜勤")+COUNTIF('2月'!N30:O30,"三軒茶屋－夜勤")+COUNTIF('2月'!S30:T30,"三軒茶屋－夜勤")+COUNTIF('2月'!X30:Y30,"三軒茶屋－夜勤")+COUNTIF('2月'!AC30:AD30,"三軒茶屋－夜勤")+COUNTIF('2月'!AH30:AI30,"三軒茶屋－夜勤")+COUNTIF('2月'!AM30:AN30,"三軒茶屋－夜勤")+COUNTIF('2月'!AR30:AS30,"三軒茶屋－夜勤")+COUNTIF('2月'!AW30:AX30,"三軒茶屋－夜勤")+COUNTIF('2月'!BB30:BC30,"三軒茶屋－夜勤")+COUNTIF('2月'!BG30:BH30,"三軒茶屋－夜勤")+COUNTIF('2月'!BL30:BM30,"三軒茶屋－夜勤")+COUNTIF('2月'!BQ30:BR30,"三軒茶屋－夜勤")+COUNTIF('2月'!BV30:BW30,"三軒茶屋－夜勤")+COUNTIF('2月'!CA30:CB30,"三軒茶屋－夜勤")+COUNTIF('2月'!CF30:CG30,"三軒茶屋－夜勤")+COUNTIF('2月'!CK30:CL30,"三軒茶屋－夜勤")+COUNTIF('2月'!CP30:CQ30,"三軒茶屋－夜勤")+COUNTIF('2月'!CU30:CV30,"三軒茶屋－夜勤")+COUNTIF('2月'!CZ30:DA30,"三軒茶屋－夜勤")+COUNTIF('2月'!DE30:DF30,"三軒茶屋－夜勤")+COUNTIF('2月'!DJ30:DK30,"三軒茶屋－夜勤")+COUNTIF('2月'!DO30:DP30,"三軒茶屋－夜勤")+COUNTIF('2月'!DT30:DU30,"三軒茶屋－夜勤")+COUNTIF('2月'!DY30:DZ30,"三軒茶屋－夜勤")+COUNTIF('2月'!ED30:EE30,"三軒茶屋－夜勤")+COUNTIF('2月'!EI30:EJ30,"三軒茶屋－夜勤")+COUNTIF('2月'!EN30:EO30,"三軒茶屋－夜勤")+COUNTIF('2月'!ES30:ET30,"三軒茶屋－夜勤")</f>
        <v>0</v>
      </c>
      <c r="O69" s="76">
        <f t="shared" si="18"/>
        <v>0</v>
      </c>
      <c r="P69" s="76">
        <f>COUNTIF('2月'!D30:E30,P$41)+COUNTIF('2月'!I30:J30,P$41)+COUNTIF('2月'!N30:O30,P$41)+COUNTIF('2月'!S30:T30,P$41)+COUNTIF('2月'!X30:Y30,P$41)+COUNTIF('2月'!AC30:AD30,P$41)+COUNTIF('2月'!AH30:AI30,P$41)+COUNTIF('2月'!AM30:AN30,P$41)+COUNTIF('2月'!AR30:AS30,P$41)+COUNTIF('2月'!AW30:AX30,P$41)+COUNTIF('2月'!BB30:BC30,P$41)+COUNTIF('2月'!BG30:BH30,P$41)+COUNTIF('2月'!BL30:BM30,P$41)+COUNTIF('2月'!BQ30:BR30,P$41)+COUNTIF('2月'!BV30:BW30,P$41)+COUNTIF('2月'!CA30:CB30,P$41)+COUNTIF('2月'!CF30:CG30,P$41)+COUNTIF('2月'!CK30:CL30,P$41)+COUNTIF('2月'!CP30:CQ30,P$41)+COUNTIF('2月'!CU30:CV30,P$41)+COUNTIF('2月'!CZ30:DA30,P$41)+COUNTIF('2月'!DE30:DF30,P$41)+COUNTIF('2月'!DJ30:DK30,P$41)+COUNTIF('2月'!DO30:DP30,P$41)+COUNTIF('2月'!DT30:DU30,P$41)+COUNTIF('2月'!DY30:DZ30,P$41)+COUNTIF('2月'!ED30:EE30,P$41)+COUNTIF('2月'!EI30:EJ30,P$41)+COUNTIF('2月'!EN30:EO30,P$41)+COUNTIF('2月'!ES30:ET30,P$41)+COUNTIF('2月'!D30:E30,"荻窪ー夜勤")+COUNTIF('2月'!I30:J30,"荻窪ー夜勤")+COUNTIF('2月'!N30:O30,"荻窪ー夜勤")+COUNTIF('2月'!S30:T30,"荻窪ー夜勤")+COUNTIF('2月'!X30:Y30,"荻窪ー夜勤")+COUNTIF('2月'!AC30:AD30,"荻窪ー夜勤")+COUNTIF('2月'!AH30:AI30,"荻窪ー夜勤")+COUNTIF('2月'!AM30:AN30,"荻窪ー夜勤")+COUNTIF('2月'!AR30:AS30,"荻窪ー夜勤")+COUNTIF('2月'!AW30:AX30,"荻窪ー夜勤")+COUNTIF('2月'!BB30:BC30,"荻窪ー夜勤")+COUNTIF('2月'!BG30:BH30,"荻窪ー夜勤")+COUNTIF('2月'!BL30:BM30,"荻窪ー夜勤")+COUNTIF('2月'!BQ30:BR30,"荻窪ー夜勤")+COUNTIF('2月'!BV30:BW30,"荻窪ー夜勤")+COUNTIF('2月'!CA30:CB30,"荻窪ー夜勤")+COUNTIF('2月'!CF30:CG30,"荻窪ー夜勤")+COUNTIF('2月'!CK30:CL30,"荻窪ー夜勤")+COUNTIF('2月'!CP30:CQ30,"荻窪ー夜勤")+COUNTIF('2月'!CU30:CV30,"荻窪ー夜勤")+COUNTIF('2月'!CZ30:DA30,"荻窪ー夜勤")+COUNTIF('2月'!DE30:DF30,"荻窪ー夜勤")+COUNTIF('2月'!DJ30:DK30,"荻窪ー夜勤")+COUNTIF('2月'!DO30:DP30,"荻窪ー夜勤")+COUNTIF('2月'!DT30:DU30,"荻窪ー夜勤")+COUNTIF('2月'!DY30:DZ30,"荻窪ー夜勤")+COUNTIF('2月'!ED30:EE30,"荻窪ー夜勤")+COUNTIF('2月'!EI30:EJ30,"荻窪ー夜勤")+COUNTIF('2月'!EN30:EO30,"荻窪ー夜勤")+COUNTIF('2月'!ES30:ET30,"荻窪ー夜勤")</f>
        <v>0</v>
      </c>
      <c r="Q69" s="76">
        <f t="shared" si="19"/>
        <v>0</v>
      </c>
      <c r="R69" s="76">
        <f>COUNTIF('2月'!D30:E30,R$41)+COUNTIF('2月'!I30:J30,R$41)+COUNTIF('2月'!N30:O30,R$41)+COUNTIF('2月'!S30:T30,R$41)+COUNTIF('2月'!X30:Y30,R$41)+COUNTIF('2月'!AC30:AD30,R$41)+COUNTIF('2月'!AH30:AI30,R$41)+COUNTIF('2月'!AM30:AN30,R$41)+COUNTIF('2月'!AR30:AS30,R$41)+COUNTIF('2月'!AW30:AX30,R$41)+COUNTIF('2月'!BB30:BC30,R$41)+COUNTIF('2月'!BG30:BH30,R$41)+COUNTIF('2月'!BL30:BM30,R$41)+COUNTIF('2月'!BQ30:BR30,R$41)+COUNTIF('2月'!BV30:BW30,R$41)+COUNTIF('2月'!CA30:CB30,R$41)+COUNTIF('2月'!CF30:CG30,R$41)+COUNTIF('2月'!CK30:CL30,R$41)+COUNTIF('2月'!CP30:CQ30,R$41)+COUNTIF('2月'!CU30:CV30,R$41)+COUNTIF('2月'!CZ30:DA30,R$41)+COUNTIF('2月'!DE30:DF30,R$41)+COUNTIF('2月'!DJ30:DK30,R$41)+COUNTIF('2月'!DO30:DP30,R$41)+COUNTIF('2月'!DT30:DU30,R$41)+COUNTIF('2月'!DY30:DZ30,R$41)+COUNTIF('2月'!ED30:EE30,R$41)+COUNTIF('2月'!EI30:EJ30,R$41)+COUNTIF('2月'!EN30:EO30,R$41)+COUNTIF('2月'!ES30:ET30,R$41)</f>
        <v>0</v>
      </c>
      <c r="S69" s="76">
        <f t="shared" si="20"/>
        <v>0</v>
      </c>
      <c r="T69" s="76">
        <f>COUNTIF('2月'!D30:E30,T$41)+COUNTIF('2月'!I30:J30,T$41)+COUNTIF('2月'!N30:O30,T$41)+COUNTIF('2月'!S30:T30,T$41)+COUNTIF('2月'!X30:Y30,T$41)+COUNTIF('2月'!AC30:AD30,T$41)+COUNTIF('2月'!AH30:AI30,T$41)+COUNTIF('2月'!AM30:AN30,T$41)+COUNTIF('2月'!AR30:AS30,T$41)+COUNTIF('2月'!AW30:AX30,T$41)+COUNTIF('2月'!BB30:BC30,T$41)+COUNTIF('2月'!BG30:BH30,T$41)+COUNTIF('2月'!BL30:BM30,T$41)+COUNTIF('2月'!BQ30:BR30,T$41)+COUNTIF('2月'!BV30:BW30,T$41)+COUNTIF('2月'!CA30:CB30,T$41)+COUNTIF('2月'!CF30:CG30,T$41)+COUNTIF('2月'!CK30:CL30,T$41)+COUNTIF('2月'!CP30:CQ30,T$41)+COUNTIF('2月'!CU30:CV30,T$41)+COUNTIF('2月'!CZ30:DA30,T$41)+COUNTIF('2月'!DE30:DF30,T$41)+COUNTIF('2月'!DJ30:DK30,T$41)+COUNTIF('2月'!DO30:DP30,T$41)+COUNTIF('2月'!DT30:DU30,T$41)+COUNTIF('2月'!DY30:DZ30,T$41)+COUNTIF('2月'!ED30:EE30,T$41)+COUNTIF('2月'!EI30:EJ30,T$41)+COUNTIF('2月'!EN30:EO30,T$41)+COUNTIF('2月'!ES30:ET30,T$41)</f>
        <v>0</v>
      </c>
      <c r="U69" s="76">
        <f t="shared" si="21"/>
        <v>0</v>
      </c>
      <c r="V69" s="76">
        <f>COUNTIF('2月'!D30:E30,V$41)+COUNTIF('2月'!I30:J30,V$41)+COUNTIF('2月'!N30:O30,V$41)+COUNTIF('2月'!S30:T30,V$41)+COUNTIF('2月'!X30:Y30,V$41)+COUNTIF('2月'!AC30:AD30,V$41)+COUNTIF('2月'!AH30:AI30,V$41)+COUNTIF('2月'!AM30:AN30,V$41)+COUNTIF('2月'!AR30:AS30,V$41)+COUNTIF('2月'!AW30:AX30,V$41)+COUNTIF('2月'!BB30:BC30,V$41)+COUNTIF('2月'!BG30:BH30,V$41)+COUNTIF('2月'!BL30:BM30,V$41)+COUNTIF('2月'!BQ30:BR30,V$41)+COUNTIF('2月'!BV30:BW30,V$41)+COUNTIF('2月'!CA30:CB30,V$41)+COUNTIF('2月'!CF30:CG30,V$41)+COUNTIF('2月'!CK30:CL30,V$41)+COUNTIF('2月'!CP30:CQ30,V$41)+COUNTIF('2月'!CU30:CV30,V$41)+COUNTIF('2月'!CZ30:DA30,V$41)+COUNTIF('2月'!DE30:DF30,V$41)+COUNTIF('2月'!DJ30:DK30,V$41)+COUNTIF('2月'!DO30:DP30,V$41)+COUNTIF('2月'!DT30:DU30,V$41)+COUNTIF('2月'!DY30:DZ30,V$41)+COUNTIF('2月'!ED30:EE30,V$41)+COUNTIF('2月'!EI30:EJ30,V$41)+COUNTIF('2月'!EN30:EO30,V$41)+COUNTIF('2月'!ES30:ET30,V$41)</f>
        <v>0</v>
      </c>
      <c r="W69" s="76">
        <f t="shared" si="22"/>
        <v>0</v>
      </c>
      <c r="X69" s="76">
        <f>COUNTIF('2月'!D30:E30,X$41)+COUNTIF('2月'!I30:J30,X$41)+COUNTIF('2月'!N30:O30,X$41)+COUNTIF('2月'!S30:T30,X$41)+COUNTIF('2月'!X30:Y30,X$41)+COUNTIF('2月'!AC30:AD30,X$41)+COUNTIF('2月'!AH30:AI30,X$41)+COUNTIF('2月'!AM30:AN30,X$41)+COUNTIF('2月'!AR30:AS30,X$41)+COUNTIF('2月'!AW30:AX30,X$41)+COUNTIF('2月'!BB30:BC30,X$41)+COUNTIF('2月'!BG30:BH30,X$41)+COUNTIF('2月'!BL30:BM30,X$41)+COUNTIF('2月'!BQ30:BR30,X$41)+COUNTIF('2月'!BV30:BW30,X$41)+COUNTIF('2月'!CA30:CB30,X$41)+COUNTIF('2月'!CF30:CG30,X$41)+COUNTIF('2月'!CK30:CL30,X$41)+COUNTIF('2月'!CP30:CQ30,X$41)+COUNTIF('2月'!CU30:CV30,X$41)+COUNTIF('2月'!CZ30:DA30,X$41)+COUNTIF('2月'!DE30:DF30,X$41)+COUNTIF('2月'!DJ30:DK30,X$41)+COUNTIF('2月'!DO30:DP30,X$41)+COUNTIF('2月'!DT30:DU30,X$41)+COUNTIF('2月'!DY30:DZ30,X$41)+COUNTIF('2月'!ED30:EE30,X$41)+COUNTIF('2月'!EI30:EJ30,X$41)+COUNTIF('2月'!EN30:EO30,X$41)+COUNTIF('2月'!ES30:ET30,X$41)</f>
        <v>0</v>
      </c>
      <c r="Y69" s="76">
        <f t="shared" si="23"/>
        <v>0</v>
      </c>
    </row>
    <row r="70" spans="1:25" ht="18" customHeight="1">
      <c r="A70" s="76">
        <v>28</v>
      </c>
      <c r="B70" s="76">
        <f>COUNTIF('2月'!D31:E31,B$41)+COUNTIF('2月'!I31:J31,B$41)+COUNTIF('2月'!N31:O31,B$41)+COUNTIF('2月'!S31:T31,B$41)+COUNTIF('2月'!X31:Y31,B$41)+COUNTIF('2月'!AC31:AD31,B$41)+COUNTIF('2月'!AH31:AI31,B$41)+COUNTIF('2月'!AM31:AN31,B$41)+COUNTIF('2月'!AR31:AS31,B$41)+COUNTIF('2月'!AW31:AX31,B$41)+COUNTIF('2月'!BB31:BC31,B$41)+COUNTIF('2月'!BG31:BH31,B$41)+COUNTIF('2月'!BL31:BM31,B$41)+COUNTIF('2月'!BQ31:BR31,B$41)+COUNTIF('2月'!BV31:BW31,B$41)+COUNTIF('2月'!CA31:CB31,B$41)+COUNTIF('2月'!CF31:CG31,B$41)+COUNTIF('2月'!CK31:CL31,B$41)+COUNTIF('2月'!CP31:CQ31,B$41)+COUNTIF('2月'!CU31:CV31,B$41)+COUNTIF('2月'!CZ31:DA31,B$41)+COUNTIF('2月'!DE31:DF31,B$41)+COUNTIF('2月'!DJ31:DK31,B$41)+COUNTIF('2月'!DO31:DP31,B$41)+COUNTIF('2月'!DT31:DU31,B$41)+COUNTIF('2月'!DY31:DZ31,B$41)+COUNTIF('2月'!ED31:EE31,B$41)+COUNTIF('2月'!EI31:EJ31,B$41)+COUNTIF('2月'!EN31:EO31,B$41)+COUNTIF('2月'!ES31:ET31,B$41)</f>
        <v>0</v>
      </c>
      <c r="C70" s="76">
        <f t="shared" si="12"/>
        <v>0</v>
      </c>
      <c r="D70" s="76">
        <f>COUNTIF('2月'!D31:E31,D$41)+COUNTIF('2月'!I31:J31,D$41)+COUNTIF('2月'!N31:O31,D$41)+COUNTIF('2月'!S31:T31,D$41)+COUNTIF('2月'!X31:Y31,D$41)+COUNTIF('2月'!AC31:AD31,D$41)+COUNTIF('2月'!AH31:AI31,D$41)+COUNTIF('2月'!AM31:AN31,D$41)+COUNTIF('2月'!AR31:AS31,D$41)+COUNTIF('2月'!AW31:AX31,D$41)+COUNTIF('2月'!BB31:BC31,D$41)+COUNTIF('2月'!BG31:BH31,D$41)+COUNTIF('2月'!BL31:BM31,D$41)+COUNTIF('2月'!BQ31:BR31,D$41)+COUNTIF('2月'!BV31:BW31,D$41)+COUNTIF('2月'!CA31:CB31,D$41)+COUNTIF('2月'!CF31:CG31,D$41)+COUNTIF('2月'!CK31:CL31,D$41)+COUNTIF('2月'!CP31:CQ31,D$41)+COUNTIF('2月'!CU31:CV31,D$41)+COUNTIF('2月'!CZ31:DA31,D$41)+COUNTIF('2月'!DE31:DF31,D$41)+COUNTIF('2月'!DJ31:DK31,D$41)+COUNTIF('2月'!DO31:DP31,D$41)+COUNTIF('2月'!DT31:DU31,D$41)+COUNTIF('2月'!DY31:DZ31,D$41)+COUNTIF('2月'!ED31:EE31,D$41)+COUNTIF('2月'!EI31:EJ31,D$41)+COUNTIF('2月'!EN31:EO31,D$41)+COUNTIF('2月'!ES31:ET31,D$41)</f>
        <v>0</v>
      </c>
      <c r="E70" s="76">
        <f t="shared" si="13"/>
        <v>0</v>
      </c>
      <c r="F70" s="76">
        <f>COUNTIF('2月'!D31:E31,F$41)+COUNTIF('2月'!I31:J31,F$41)+COUNTIF('2月'!N31:O31,F$41)+COUNTIF('2月'!S31:T31,F$41)+COUNTIF('2月'!X31:Y31,F$41)+COUNTIF('2月'!AC31:AD31,F$41)+COUNTIF('2月'!AH31:AI31,F$41)+COUNTIF('2月'!AM31:AN31,F$41)+COUNTIF('2月'!AR31:AS31,F$41)+COUNTIF('2月'!AW31:AX31,F$41)+COUNTIF('2月'!BB31:BC31,F$41)+COUNTIF('2月'!BG31:BH31,F$41)+COUNTIF('2月'!BL31:BM31,F$41)+COUNTIF('2月'!BQ31:BR31,F$41)+COUNTIF('2月'!BV31:BW31,F$41)+COUNTIF('2月'!CA31:CB31,F$41)+COUNTIF('2月'!CF31:CG31,F$41)+COUNTIF('2月'!CK31:CL31,F$41)+COUNTIF('2月'!CP31:CQ31,F$41)+COUNTIF('2月'!CU31:CV31,F$41)+COUNTIF('2月'!CZ31:DA31,F$41)+COUNTIF('2月'!DE31:DF31,F$41)+COUNTIF('2月'!DJ31:DK31,F$41)+COUNTIF('2月'!DO31:DP31,F$41)+COUNTIF('2月'!DT31:DU31,F$41)+COUNTIF('2月'!DY31:DZ31,F$41)+COUNTIF('2月'!ED31:EE31,F$41)+COUNTIF('2月'!EI31:EJ31,F$41)+COUNTIF('2月'!EN31:EO31,F$41)+COUNTIF('2月'!ES31:ET31,F$41)</f>
        <v>0</v>
      </c>
      <c r="G70" s="76">
        <f t="shared" si="14"/>
        <v>0</v>
      </c>
      <c r="H70" s="76">
        <f>COUNTIF('2月'!D31:E31,H$41)+COUNTIF('2月'!I31:J31,H$41)+COUNTIF('2月'!N31:O31,H$41)+COUNTIF('2月'!S31:T31,H$41)+COUNTIF('2月'!X31:Y31,H$41)+COUNTIF('2月'!AC31:AD31,H$41)+COUNTIF('2月'!AH31:AI31,H$41)+COUNTIF('2月'!AM31:AN31,H$41)+COUNTIF('2月'!AR31:AS31,H$41)+COUNTIF('2月'!AW31:AX31,H$41)+COUNTIF('2月'!BB31:BC31,H$41)+COUNTIF('2月'!BG31:BH31,H$41)+COUNTIF('2月'!BL31:BM31,H$41)+COUNTIF('2月'!BQ31:BR31,H$41)+COUNTIF('2月'!BV31:BW31,H$41)+COUNTIF('2月'!CA31:CB31,H$41)+COUNTIF('2月'!CF31:CG31,H$41)+COUNTIF('2月'!CK31:CL31,H$41)+COUNTIF('2月'!CP31:CQ31,H$41)+COUNTIF('2月'!CU31:CV31,H$41)+COUNTIF('2月'!CZ31:DA31,H$41)+COUNTIF('2月'!DE31:DF31,H$41)+COUNTIF('2月'!DJ31:DK31,H$41)+COUNTIF('2月'!DO31:DP31,H$41)+COUNTIF('2月'!DT31:DU31,H$41)+COUNTIF('2月'!DY31:DZ31,H$41)+COUNTIF('2月'!ED31:EE31,H$41)+COUNTIF('2月'!EI31:EJ31,H$41)+COUNTIF('2月'!EN31:EO31,H$41)+COUNTIF('2月'!ES31:ET31,H$41)+COUNTIF('2月'!D31:E31,"渋谷-夜勤")+COUNTIF('2月'!I31:J31,"渋谷-夜勤")+COUNTIF('2月'!N31:O31,"渋谷-夜勤")+COUNTIF('2月'!S31:T31,"渋谷-夜勤")+COUNTIF('2月'!X31:Y31,"渋谷-夜勤")+COUNTIF('2月'!AC31:AD31,"渋谷-夜勤")+COUNTIF('2月'!AH31:AI31,"渋谷-夜勤")+COUNTIF('2月'!AM31:AN31,"渋谷-夜勤")+COUNTIF('2月'!AR31:AS31,"渋谷-夜勤")+COUNTIF('2月'!AW31:AX31,"渋谷-夜勤")+COUNTIF('2月'!BB31:BC31,"渋谷-夜勤")+COUNTIF('2月'!BG31:BH31,"渋谷-夜勤")+COUNTIF('2月'!BL31:BM31,"渋谷-夜勤")+COUNTIF('2月'!BQ31:BR31,"渋谷-夜勤")+COUNTIF('2月'!BV31:BW31,"渋谷-夜勤")+COUNTIF('2月'!CA31:CB31,"渋谷-夜勤")+COUNTIF('2月'!CF31:CG31,"渋谷-夜勤")+COUNTIF('2月'!CK31:CL31,"渋谷-夜勤")+COUNTIF('2月'!CP31:CQ31,"渋谷-夜勤")+COUNTIF('2月'!CU31:CV31,"渋谷-夜勤")+COUNTIF('2月'!CZ31:DA31,"渋谷-夜勤")+COUNTIF('2月'!DE31:DF31,"渋谷-夜勤")+COUNTIF('2月'!DJ31:DK31,"渋谷-夜勤")+COUNTIF('2月'!DO31:DP31,"渋谷-夜勤")+COUNTIF('2月'!DT31:DU31,"渋谷-夜勤")+COUNTIF('2月'!DY31:DZ31,"渋谷-夜勤")+COUNTIF('2月'!ED31:EE31,"渋谷-夜勤")+COUNTIF('2月'!EI31:EJ31,"渋谷-夜勤")+COUNTIF('2月'!EN31:EO31,"渋谷-夜勤")+COUNTIF('2月'!ES31:ET31,"渋谷-夜勤")</f>
        <v>0</v>
      </c>
      <c r="I70" s="76">
        <f t="shared" si="15"/>
        <v>0</v>
      </c>
      <c r="J70" s="76">
        <f>COUNTIF('2月'!D31:E31,J$41)+COUNTIF('2月'!I31:J31,J$41)+COUNTIF('2月'!N31:O31,J$41)+COUNTIF('2月'!S31:T31,J$41)+COUNTIF('2月'!X31:Y31,J$41)+COUNTIF('2月'!AC31:AD31,J$41)+COUNTIF('2月'!AH31:AI31,J$41)+COUNTIF('2月'!AM31:AN31,J$41)+COUNTIF('2月'!AR31:AS31,J$41)+COUNTIF('2月'!AW31:AX31,J$41)+COUNTIF('2月'!BB31:BC31,J$41)+COUNTIF('2月'!BG31:BH31,J$41)+COUNTIF('2月'!BL31:BM31,J$41)+COUNTIF('2月'!BQ31:BR31,J$41)+COUNTIF('2月'!BV31:BW31,J$41)+COUNTIF('2月'!CA31:CB31,J$41)+COUNTIF('2月'!CF31:CG31,J$41)+COUNTIF('2月'!CK31:CL31,J$41)+COUNTIF('2月'!CP31:CQ31,J$41)+COUNTIF('2月'!CU31:CV31,J$41)+COUNTIF('2月'!CZ31:DA31,J$41)+COUNTIF('2月'!DE31:DF31,J$41)+COUNTIF('2月'!DJ31:DK31,J$41)+COUNTIF('2月'!DO31:DP31,J$41)+COUNTIF('2月'!DT31:DU31,J$41)+COUNTIF('2月'!DY31:DZ31,J$41)+COUNTIF('2月'!ED31:EE31,J$41)+COUNTIF('2月'!EI31:EJ31,J$41)+COUNTIF('2月'!EN31:EO31,J$41)+COUNTIF('2月'!ES31:ET31,J$41)+COUNTIF('2月'!D31:E31,"六本木-夜勤")+COUNTIF('2月'!I31:J31,"六本木-夜勤")+COUNTIF('2月'!N31:O31,"六本木-夜勤")+COUNTIF('2月'!S31:T31,"六本木-夜勤")+COUNTIF('2月'!X31:Y31,"六本木-夜勤")+COUNTIF('2月'!AC31:AD31,"六本木-夜勤")+COUNTIF('2月'!AH31:AI31,"六本木-夜勤")+COUNTIF('2月'!AM31:AN31,"六本木-夜勤")+COUNTIF('2月'!AR31:AS31,"六本木-夜勤")+COUNTIF('2月'!AW31:AX31,"六本木-夜勤")+COUNTIF('2月'!BB31:BC31,"六本木-夜勤")+COUNTIF('2月'!BG31:BH31,"六本木-夜勤")+COUNTIF('2月'!BL31:BM31,"六本木-夜勤")+COUNTIF('2月'!BQ31:BR31,"六本木-夜勤")+COUNTIF('2月'!BV31:BW31,"六本木-夜勤")+COUNTIF('2月'!CA31:CB31,"六本木-夜勤")+COUNTIF('2月'!CF31:CG31,"六本木-夜勤")+COUNTIF('2月'!CK31:CL31,"六本木-夜勤")+COUNTIF('2月'!CP31:CQ31,"六本木-夜勤")+COUNTIF('2月'!CU31:CV31,"六本木-夜勤")+COUNTIF('2月'!CZ31:DA31,"六本木-夜勤")+COUNTIF('2月'!DE31:DF31,"六本木-夜勤")+COUNTIF('2月'!DJ31:DK31,"六本木-夜勤")+COUNTIF('2月'!DO31:DP31,"六本木-夜勤")+COUNTIF('2月'!DT31:DU31,"六本木-夜勤")+COUNTIF('2月'!DY31:DZ31,"六本木-夜勤")+COUNTIF('2月'!ED31:EE31,"六本木-夜勤")+COUNTIF('2月'!EI31:EJ31,"六本木-夜勤")+COUNTIF('2月'!EN31:EO31,"六本木-夜勤")+COUNTIF('2月'!ES31:ET31,"六本木-夜勤")+COUNTIF('2月'!D31:E31,"六本木ー夜勤")+COUNTIF('2月'!I31:J31,"六本木ー夜勤")+COUNTIF('2月'!N31:O31,"六本木ー夜勤")+COUNTIF('2月'!S31:T31,"六本木ー夜勤")+COUNTIF('2月'!X31:Y31,"六本木ー夜勤")+COUNTIF('2月'!AC31:AD31,"六本木ー夜勤")+COUNTIF('2月'!AH31:AI31,"六本木ー夜勤")+COUNTIF('2月'!AM31:AN31,"六本木ー夜勤")+COUNTIF('2月'!AR31:AS31,"六本木ー夜勤")+COUNTIF('2月'!AW31:AX31,"六本木ー夜勤")+COUNTIF('2月'!BB31:BC31,"六本木ー夜勤")+COUNTIF('2月'!BG31:BH31,"六本木ー夜勤")+COUNTIF('2月'!BL31:BM31,"六本木ー夜勤")+COUNTIF('2月'!BQ31:BR31,"六本木ー夜勤")+COUNTIF('2月'!BV31:BW31,"六本木ー夜勤")+COUNTIF('2月'!CA31:CB31,"六本木ー夜勤")+COUNTIF('2月'!CF31:CG31,"六本木ー夜勤")+COUNTIF('2月'!CK31:CL31,"六本木ー夜勤")+COUNTIF('2月'!CP31:CQ31,"六本木ー夜勤")+COUNTIF('2月'!CU31:CV31,"六本木ー夜勤")+COUNTIF('2月'!CZ31:DA31,"六本木ー夜勤")+COUNTIF('2月'!DE31:DF31,"六本木ー夜勤")+COUNTIF('2月'!DJ31:DK31,"六本木ー夜勤")+COUNTIF('2月'!DO31:DP31,"六本木ー夜勤")+COUNTIF('2月'!DT31:DU31,"六本木ー夜勤")+COUNTIF('2月'!DY31:DZ31,"六本木ー夜勤")+COUNTIF('2月'!ED31:EE31,"六本木ー夜勤")+COUNTIF('2月'!EI31:EJ31,"六本木ー夜勤")+COUNTIF('2月'!EN31:EO31,"六本木ー夜勤")+COUNTIF('2月'!ES31:ET31,"六本木ー夜勤")</f>
        <v>0</v>
      </c>
      <c r="K70" s="76">
        <f t="shared" si="16"/>
        <v>0</v>
      </c>
      <c r="L70" s="76">
        <f>COUNTIF('2月'!D31:E31,L$41)+COUNTIF('2月'!I31:J31,L$41)+COUNTIF('2月'!N31:O31,L$41)+COUNTIF('2月'!S31:T31,L$41)+COUNTIF('2月'!X31:Y31,L$41)+COUNTIF('2月'!AC31:AD31,L$41)+COUNTIF('2月'!AH31:AI31,L$41)+COUNTIF('2月'!AM31:AN31,L$41)+COUNTIF('2月'!AR31:AS31,L$41)+COUNTIF('2月'!AW31:AX31,L$41)+COUNTIF('2月'!BB31:BC31,L$41)+COUNTIF('2月'!BG31:BH31,L$41)+COUNTIF('2月'!BL31:BM31,L$41)+COUNTIF('2月'!BQ31:BR31,L$41)+COUNTIF('2月'!BV31:BW31,L$41)+COUNTIF('2月'!CA31:CB31,L$41)+COUNTIF('2月'!CF31:CG31,L$41)+COUNTIF('2月'!CK31:CL31,L$41)+COUNTIF('2月'!CP31:CQ31,L$41)+COUNTIF('2月'!CU31:CV31,L$41)+COUNTIF('2月'!CZ31:DA31,L$41)+COUNTIF('2月'!DE31:DF31,L$41)+COUNTIF('2月'!DJ31:DK31,L$41)+COUNTIF('2月'!DO31:DP31,L$41)+COUNTIF('2月'!DT31:DU31,L$41)+COUNTIF('2月'!DY31:DZ31,L$41)+COUNTIF('2月'!ED31:EE31,L$41)+COUNTIF('2月'!EI31:EJ31,L$41)+COUNTIF('2月'!EN31:EO31,L$41)+COUNTIF('2月'!ES31:ET31,L$41)</f>
        <v>0</v>
      </c>
      <c r="M70" s="76">
        <f t="shared" si="17"/>
        <v>0</v>
      </c>
      <c r="N70" s="76">
        <f>COUNTIF('2月'!D31:E31,N$41)+COUNTIF('2月'!I31:J31,N$41)+COUNTIF('2月'!N31:O31,N$41)+COUNTIF('2月'!S31:T31,N$41)+COUNTIF('2月'!X31:Y31,N$41)+COUNTIF('2月'!AC31:AD31,N$41)+COUNTIF('2月'!AH31:AI31,N$41)+COUNTIF('2月'!AM31:AN31,N$41)+COUNTIF('2月'!AR31:AS31,N$41)+COUNTIF('2月'!AW31:AX31,N$41)+COUNTIF('2月'!BB31:BC31,N$41)+COUNTIF('2月'!BG31:BH31,N$41)+COUNTIF('2月'!BL31:BM31,N$41)+COUNTIF('2月'!BQ31:BR31,N$41)+COUNTIF('2月'!BV31:BW31,N$41)+COUNTIF('2月'!CA31:CB31,N$41)+COUNTIF('2月'!CF31:CG31,N$41)+COUNTIF('2月'!CK31:CL31,N$41)+COUNTIF('2月'!CP31:CQ31,N$41)+COUNTIF('2月'!CU31:CV31,N$41)+COUNTIF('2月'!CZ31:DA31,N$41)+COUNTIF('2月'!DE31:DF31,N$41)+COUNTIF('2月'!DJ31:DK31,N$41)+COUNTIF('2月'!DO31:DP31,N$41)+COUNTIF('2月'!DT31:DU31,N$41)+COUNTIF('2月'!DY31:DZ31,N$41)+COUNTIF('2月'!ED31:EE31,N$41)+COUNTIF('2月'!EI31:EJ31,N$41)+COUNTIF('2月'!EN31:EO31,N$41)+COUNTIF('2月'!ES31:ET31,N$41)+COUNTIF('2月'!D31:E31,"三軒茶屋－夜勤")+COUNTIF('2月'!I31:J31,"三軒茶屋－夜勤")+COUNTIF('2月'!N31:O31,"三軒茶屋－夜勤")+COUNTIF('2月'!S31:T31,"三軒茶屋－夜勤")+COUNTIF('2月'!X31:Y31,"三軒茶屋－夜勤")+COUNTIF('2月'!AC31:AD31,"三軒茶屋－夜勤")+COUNTIF('2月'!AH31:AI31,"三軒茶屋－夜勤")+COUNTIF('2月'!AM31:AN31,"三軒茶屋－夜勤")+COUNTIF('2月'!AR31:AS31,"三軒茶屋－夜勤")+COUNTIF('2月'!AW31:AX31,"三軒茶屋－夜勤")+COUNTIF('2月'!BB31:BC31,"三軒茶屋－夜勤")+COUNTIF('2月'!BG31:BH31,"三軒茶屋－夜勤")+COUNTIF('2月'!BL31:BM31,"三軒茶屋－夜勤")+COUNTIF('2月'!BQ31:BR31,"三軒茶屋－夜勤")+COUNTIF('2月'!BV31:BW31,"三軒茶屋－夜勤")+COUNTIF('2月'!CA31:CB31,"三軒茶屋－夜勤")+COUNTIF('2月'!CF31:CG31,"三軒茶屋－夜勤")+COUNTIF('2月'!CK31:CL31,"三軒茶屋－夜勤")+COUNTIF('2月'!CP31:CQ31,"三軒茶屋－夜勤")+COUNTIF('2月'!CU31:CV31,"三軒茶屋－夜勤")+COUNTIF('2月'!CZ31:DA31,"三軒茶屋－夜勤")+COUNTIF('2月'!DE31:DF31,"三軒茶屋－夜勤")+COUNTIF('2月'!DJ31:DK31,"三軒茶屋－夜勤")+COUNTIF('2月'!DO31:DP31,"三軒茶屋－夜勤")+COUNTIF('2月'!DT31:DU31,"三軒茶屋－夜勤")+COUNTIF('2月'!DY31:DZ31,"三軒茶屋－夜勤")+COUNTIF('2月'!ED31:EE31,"三軒茶屋－夜勤")+COUNTIF('2月'!EI31:EJ31,"三軒茶屋－夜勤")+COUNTIF('2月'!EN31:EO31,"三軒茶屋－夜勤")+COUNTIF('2月'!ES31:ET31,"三軒茶屋－夜勤")</f>
        <v>0</v>
      </c>
      <c r="O70" s="76">
        <f t="shared" si="18"/>
        <v>0</v>
      </c>
      <c r="P70" s="76">
        <f>COUNTIF('2月'!D31:E31,P$41)+COUNTIF('2月'!I31:J31,P$41)+COUNTIF('2月'!N31:O31,P$41)+COUNTIF('2月'!S31:T31,P$41)+COUNTIF('2月'!X31:Y31,P$41)+COUNTIF('2月'!AC31:AD31,P$41)+COUNTIF('2月'!AH31:AI31,P$41)+COUNTIF('2月'!AM31:AN31,P$41)+COUNTIF('2月'!AR31:AS31,P$41)+COUNTIF('2月'!AW31:AX31,P$41)+COUNTIF('2月'!BB31:BC31,P$41)+COUNTIF('2月'!BG31:BH31,P$41)+COUNTIF('2月'!BL31:BM31,P$41)+COUNTIF('2月'!BQ31:BR31,P$41)+COUNTIF('2月'!BV31:BW31,P$41)+COUNTIF('2月'!CA31:CB31,P$41)+COUNTIF('2月'!CF31:CG31,P$41)+COUNTIF('2月'!CK31:CL31,P$41)+COUNTIF('2月'!CP31:CQ31,P$41)+COUNTIF('2月'!CU31:CV31,P$41)+COUNTIF('2月'!CZ31:DA31,P$41)+COUNTIF('2月'!DE31:DF31,P$41)+COUNTIF('2月'!DJ31:DK31,P$41)+COUNTIF('2月'!DO31:DP31,P$41)+COUNTIF('2月'!DT31:DU31,P$41)+COUNTIF('2月'!DY31:DZ31,P$41)+COUNTIF('2月'!ED31:EE31,P$41)+COUNTIF('2月'!EI31:EJ31,P$41)+COUNTIF('2月'!EN31:EO31,P$41)+COUNTIF('2月'!ES31:ET31,P$41)+COUNTIF('2月'!D31:E31,"荻窪ー夜勤")+COUNTIF('2月'!I31:J31,"荻窪ー夜勤")+COUNTIF('2月'!N31:O31,"荻窪ー夜勤")+COUNTIF('2月'!S31:T31,"荻窪ー夜勤")+COUNTIF('2月'!X31:Y31,"荻窪ー夜勤")+COUNTIF('2月'!AC31:AD31,"荻窪ー夜勤")+COUNTIF('2月'!AH31:AI31,"荻窪ー夜勤")+COUNTIF('2月'!AM31:AN31,"荻窪ー夜勤")+COUNTIF('2月'!AR31:AS31,"荻窪ー夜勤")+COUNTIF('2月'!AW31:AX31,"荻窪ー夜勤")+COUNTIF('2月'!BB31:BC31,"荻窪ー夜勤")+COUNTIF('2月'!BG31:BH31,"荻窪ー夜勤")+COUNTIF('2月'!BL31:BM31,"荻窪ー夜勤")+COUNTIF('2月'!BQ31:BR31,"荻窪ー夜勤")+COUNTIF('2月'!BV31:BW31,"荻窪ー夜勤")+COUNTIF('2月'!CA31:CB31,"荻窪ー夜勤")+COUNTIF('2月'!CF31:CG31,"荻窪ー夜勤")+COUNTIF('2月'!CK31:CL31,"荻窪ー夜勤")+COUNTIF('2月'!CP31:CQ31,"荻窪ー夜勤")+COUNTIF('2月'!CU31:CV31,"荻窪ー夜勤")+COUNTIF('2月'!CZ31:DA31,"荻窪ー夜勤")+COUNTIF('2月'!DE31:DF31,"荻窪ー夜勤")+COUNTIF('2月'!DJ31:DK31,"荻窪ー夜勤")+COUNTIF('2月'!DO31:DP31,"荻窪ー夜勤")+COUNTIF('2月'!DT31:DU31,"荻窪ー夜勤")+COUNTIF('2月'!DY31:DZ31,"荻窪ー夜勤")+COUNTIF('2月'!ED31:EE31,"荻窪ー夜勤")+COUNTIF('2月'!EI31:EJ31,"荻窪ー夜勤")+COUNTIF('2月'!EN31:EO31,"荻窪ー夜勤")+COUNTIF('2月'!ES31:ET31,"荻窪ー夜勤")</f>
        <v>0</v>
      </c>
      <c r="Q70" s="76">
        <f t="shared" si="19"/>
        <v>0</v>
      </c>
      <c r="R70" s="76">
        <f>COUNTIF('2月'!D31:E31,R$41)+COUNTIF('2月'!I31:J31,R$41)+COUNTIF('2月'!N31:O31,R$41)+COUNTIF('2月'!S31:T31,R$41)+COUNTIF('2月'!X31:Y31,R$41)+COUNTIF('2月'!AC31:AD31,R$41)+COUNTIF('2月'!AH31:AI31,R$41)+COUNTIF('2月'!AM31:AN31,R$41)+COUNTIF('2月'!AR31:AS31,R$41)+COUNTIF('2月'!AW31:AX31,R$41)+COUNTIF('2月'!BB31:BC31,R$41)+COUNTIF('2月'!BG31:BH31,R$41)+COUNTIF('2月'!BL31:BM31,R$41)+COUNTIF('2月'!BQ31:BR31,R$41)+COUNTIF('2月'!BV31:BW31,R$41)+COUNTIF('2月'!CA31:CB31,R$41)+COUNTIF('2月'!CF31:CG31,R$41)+COUNTIF('2月'!CK31:CL31,R$41)+COUNTIF('2月'!CP31:CQ31,R$41)+COUNTIF('2月'!CU31:CV31,R$41)+COUNTIF('2月'!CZ31:DA31,R$41)+COUNTIF('2月'!DE31:DF31,R$41)+COUNTIF('2月'!DJ31:DK31,R$41)+COUNTIF('2月'!DO31:DP31,R$41)+COUNTIF('2月'!DT31:DU31,R$41)+COUNTIF('2月'!DY31:DZ31,R$41)+COUNTIF('2月'!ED31:EE31,R$41)+COUNTIF('2月'!EI31:EJ31,R$41)+COUNTIF('2月'!EN31:EO31,R$41)+COUNTIF('2月'!ES31:ET31,R$41)</f>
        <v>0</v>
      </c>
      <c r="S70" s="76">
        <f t="shared" si="20"/>
        <v>0</v>
      </c>
      <c r="T70" s="76">
        <f>COUNTIF('2月'!D31:E31,T$41)+COUNTIF('2月'!I31:J31,T$41)+COUNTIF('2月'!N31:O31,T$41)+COUNTIF('2月'!S31:T31,T$41)+COUNTIF('2月'!X31:Y31,T$41)+COUNTIF('2月'!AC31:AD31,T$41)+COUNTIF('2月'!AH31:AI31,T$41)+COUNTIF('2月'!AM31:AN31,T$41)+COUNTIF('2月'!AR31:AS31,T$41)+COUNTIF('2月'!AW31:AX31,T$41)+COUNTIF('2月'!BB31:BC31,T$41)+COUNTIF('2月'!BG31:BH31,T$41)+COUNTIF('2月'!BL31:BM31,T$41)+COUNTIF('2月'!BQ31:BR31,T$41)+COUNTIF('2月'!BV31:BW31,T$41)+COUNTIF('2月'!CA31:CB31,T$41)+COUNTIF('2月'!CF31:CG31,T$41)+COUNTIF('2月'!CK31:CL31,T$41)+COUNTIF('2月'!CP31:CQ31,T$41)+COUNTIF('2月'!CU31:CV31,T$41)+COUNTIF('2月'!CZ31:DA31,T$41)+COUNTIF('2月'!DE31:DF31,T$41)+COUNTIF('2月'!DJ31:DK31,T$41)+COUNTIF('2月'!DO31:DP31,T$41)+COUNTIF('2月'!DT31:DU31,T$41)+COUNTIF('2月'!DY31:DZ31,T$41)+COUNTIF('2月'!ED31:EE31,T$41)+COUNTIF('2月'!EI31:EJ31,T$41)+COUNTIF('2月'!EN31:EO31,T$41)+COUNTIF('2月'!ES31:ET31,T$41)</f>
        <v>0</v>
      </c>
      <c r="U70" s="76">
        <f t="shared" si="21"/>
        <v>0</v>
      </c>
      <c r="V70" s="76">
        <f>COUNTIF('2月'!D31:E31,V$41)+COUNTIF('2月'!I31:J31,V$41)+COUNTIF('2月'!N31:O31,V$41)+COUNTIF('2月'!S31:T31,V$41)+COUNTIF('2月'!X31:Y31,V$41)+COUNTIF('2月'!AC31:AD31,V$41)+COUNTIF('2月'!AH31:AI31,V$41)+COUNTIF('2月'!AM31:AN31,V$41)+COUNTIF('2月'!AR31:AS31,V$41)+COUNTIF('2月'!AW31:AX31,V$41)+COUNTIF('2月'!BB31:BC31,V$41)+COUNTIF('2月'!BG31:BH31,V$41)+COUNTIF('2月'!BL31:BM31,V$41)+COUNTIF('2月'!BQ31:BR31,V$41)+COUNTIF('2月'!BV31:BW31,V$41)+COUNTIF('2月'!CA31:CB31,V$41)+COUNTIF('2月'!CF31:CG31,V$41)+COUNTIF('2月'!CK31:CL31,V$41)+COUNTIF('2月'!CP31:CQ31,V$41)+COUNTIF('2月'!CU31:CV31,V$41)+COUNTIF('2月'!CZ31:DA31,V$41)+COUNTIF('2月'!DE31:DF31,V$41)+COUNTIF('2月'!DJ31:DK31,V$41)+COUNTIF('2月'!DO31:DP31,V$41)+COUNTIF('2月'!DT31:DU31,V$41)+COUNTIF('2月'!DY31:DZ31,V$41)+COUNTIF('2月'!ED31:EE31,V$41)+COUNTIF('2月'!EI31:EJ31,V$41)+COUNTIF('2月'!EN31:EO31,V$41)+COUNTIF('2月'!ES31:ET31,V$41)</f>
        <v>0</v>
      </c>
      <c r="W70" s="76">
        <f t="shared" si="22"/>
        <v>0</v>
      </c>
      <c r="X70" s="76">
        <f>COUNTIF('2月'!D31:E31,X$41)+COUNTIF('2月'!I31:J31,X$41)+COUNTIF('2月'!N31:O31,X$41)+COUNTIF('2月'!S31:T31,X$41)+COUNTIF('2月'!X31:Y31,X$41)+COUNTIF('2月'!AC31:AD31,X$41)+COUNTIF('2月'!AH31:AI31,X$41)+COUNTIF('2月'!AM31:AN31,X$41)+COUNTIF('2月'!AR31:AS31,X$41)+COUNTIF('2月'!AW31:AX31,X$41)+COUNTIF('2月'!BB31:BC31,X$41)+COUNTIF('2月'!BG31:BH31,X$41)+COUNTIF('2月'!BL31:BM31,X$41)+COUNTIF('2月'!BQ31:BR31,X$41)+COUNTIF('2月'!BV31:BW31,X$41)+COUNTIF('2月'!CA31:CB31,X$41)+COUNTIF('2月'!CF31:CG31,X$41)+COUNTIF('2月'!CK31:CL31,X$41)+COUNTIF('2月'!CP31:CQ31,X$41)+COUNTIF('2月'!CU31:CV31,X$41)+COUNTIF('2月'!CZ31:DA31,X$41)+COUNTIF('2月'!DE31:DF31,X$41)+COUNTIF('2月'!DJ31:DK31,X$41)+COUNTIF('2月'!DO31:DP31,X$41)+COUNTIF('2月'!DT31:DU31,X$41)+COUNTIF('2月'!DY31:DZ31,X$41)+COUNTIF('2月'!ED31:EE31,X$41)+COUNTIF('2月'!EI31:EJ31,X$41)+COUNTIF('2月'!EN31:EO31,X$41)+COUNTIF('2月'!ES31:ET31,X$41)</f>
        <v>0</v>
      </c>
      <c r="Y70" s="76">
        <f t="shared" si="23"/>
        <v>0</v>
      </c>
    </row>
    <row r="71" spans="1:25" ht="18" customHeight="1">
      <c r="A71" s="76">
        <v>29</v>
      </c>
      <c r="B71" s="76">
        <f>COUNTIF('2月'!D32:E32,B$41)+COUNTIF('2月'!I32:J32,B$41)+COUNTIF('2月'!N32:O32,B$41)+COUNTIF('2月'!S32:T32,B$41)+COUNTIF('2月'!X32:Y32,B$41)+COUNTIF('2月'!AC32:AD32,B$41)+COUNTIF('2月'!AH32:AI32,B$41)+COUNTIF('2月'!AM32:AN32,B$41)+COUNTIF('2月'!AR32:AS32,B$41)+COUNTIF('2月'!AW32:AX32,B$41)+COUNTIF('2月'!BB32:BC32,B$41)+COUNTIF('2月'!BG32:BH32,B$41)+COUNTIF('2月'!BL32:BM32,B$41)+COUNTIF('2月'!BQ32:BR32,B$41)+COUNTIF('2月'!BV32:BW32,B$41)+COUNTIF('2月'!CA32:CB32,B$41)+COUNTIF('2月'!CF32:CG32,B$41)+COUNTIF('2月'!CK32:CL32,B$41)+COUNTIF('2月'!CP32:CQ32,B$41)+COUNTIF('2月'!CU32:CV32,B$41)+COUNTIF('2月'!CZ32:DA32,B$41)+COUNTIF('2月'!DE32:DF32,B$41)+COUNTIF('2月'!DJ32:DK32,B$41)+COUNTIF('2月'!DO32:DP32,B$41)+COUNTIF('2月'!DT32:DU32,B$41)+COUNTIF('2月'!DY32:DZ32,B$41)+COUNTIF('2月'!ED32:EE32,B$41)+COUNTIF('2月'!EI32:EJ32,B$41)+COUNTIF('2月'!EN32:EO32,B$41)+COUNTIF('2月'!ES32:ET32,B$41)</f>
        <v>0</v>
      </c>
      <c r="C71" s="76">
        <f t="shared" si="12"/>
        <v>0</v>
      </c>
      <c r="D71" s="76">
        <f>COUNTIF('2月'!D32:E32,D$41)+COUNTIF('2月'!I32:J32,D$41)+COUNTIF('2月'!N32:O32,D$41)+COUNTIF('2月'!S32:T32,D$41)+COUNTIF('2月'!X32:Y32,D$41)+COUNTIF('2月'!AC32:AD32,D$41)+COUNTIF('2月'!AH32:AI32,D$41)+COUNTIF('2月'!AM32:AN32,D$41)+COUNTIF('2月'!AR32:AS32,D$41)+COUNTIF('2月'!AW32:AX32,D$41)+COUNTIF('2月'!BB32:BC32,D$41)+COUNTIF('2月'!BG32:BH32,D$41)+COUNTIF('2月'!BL32:BM32,D$41)+COUNTIF('2月'!BQ32:BR32,D$41)+COUNTIF('2月'!BV32:BW32,D$41)+COUNTIF('2月'!CA32:CB32,D$41)+COUNTIF('2月'!CF32:CG32,D$41)+COUNTIF('2月'!CK32:CL32,D$41)+COUNTIF('2月'!CP32:CQ32,D$41)+COUNTIF('2月'!CU32:CV32,D$41)+COUNTIF('2月'!CZ32:DA32,D$41)+COUNTIF('2月'!DE32:DF32,D$41)+COUNTIF('2月'!DJ32:DK32,D$41)+COUNTIF('2月'!DO32:DP32,D$41)+COUNTIF('2月'!DT32:DU32,D$41)+COUNTIF('2月'!DY32:DZ32,D$41)+COUNTIF('2月'!ED32:EE32,D$41)+COUNTIF('2月'!EI32:EJ32,D$41)+COUNTIF('2月'!EN32:EO32,D$41)+COUNTIF('2月'!ES32:ET32,D$41)</f>
        <v>0</v>
      </c>
      <c r="E71" s="76">
        <f t="shared" si="13"/>
        <v>0</v>
      </c>
      <c r="F71" s="76">
        <f>COUNTIF('2月'!D32:E32,F$41)+COUNTIF('2月'!I32:J32,F$41)+COUNTIF('2月'!N32:O32,F$41)+COUNTIF('2月'!S32:T32,F$41)+COUNTIF('2月'!X32:Y32,F$41)+COUNTIF('2月'!AC32:AD32,F$41)+COUNTIF('2月'!AH32:AI32,F$41)+COUNTIF('2月'!AM32:AN32,F$41)+COUNTIF('2月'!AR32:AS32,F$41)+COUNTIF('2月'!AW32:AX32,F$41)+COUNTIF('2月'!BB32:BC32,F$41)+COUNTIF('2月'!BG32:BH32,F$41)+COUNTIF('2月'!BL32:BM32,F$41)+COUNTIF('2月'!BQ32:BR32,F$41)+COUNTIF('2月'!BV32:BW32,F$41)+COUNTIF('2月'!CA32:CB32,F$41)+COUNTIF('2月'!CF32:CG32,F$41)+COUNTIF('2月'!CK32:CL32,F$41)+COUNTIF('2月'!CP32:CQ32,F$41)+COUNTIF('2月'!CU32:CV32,F$41)+COUNTIF('2月'!CZ32:DA32,F$41)+COUNTIF('2月'!DE32:DF32,F$41)+COUNTIF('2月'!DJ32:DK32,F$41)+COUNTIF('2月'!DO32:DP32,F$41)+COUNTIF('2月'!DT32:DU32,F$41)+COUNTIF('2月'!DY32:DZ32,F$41)+COUNTIF('2月'!ED32:EE32,F$41)+COUNTIF('2月'!EI32:EJ32,F$41)+COUNTIF('2月'!EN32:EO32,F$41)+COUNTIF('2月'!ES32:ET32,F$41)</f>
        <v>0</v>
      </c>
      <c r="G71" s="76">
        <f t="shared" si="14"/>
        <v>0</v>
      </c>
      <c r="H71" s="76">
        <f>COUNTIF('2月'!D32:E32,H$41)+COUNTIF('2月'!I32:J32,H$41)+COUNTIF('2月'!N32:O32,H$41)+COUNTIF('2月'!S32:T32,H$41)+COUNTIF('2月'!X32:Y32,H$41)+COUNTIF('2月'!AC32:AD32,H$41)+COUNTIF('2月'!AH32:AI32,H$41)+COUNTIF('2月'!AM32:AN32,H$41)+COUNTIF('2月'!AR32:AS32,H$41)+COUNTIF('2月'!AW32:AX32,H$41)+COUNTIF('2月'!BB32:BC32,H$41)+COUNTIF('2月'!BG32:BH32,H$41)+COUNTIF('2月'!BL32:BM32,H$41)+COUNTIF('2月'!BQ32:BR32,H$41)+COUNTIF('2月'!BV32:BW32,H$41)+COUNTIF('2月'!CA32:CB32,H$41)+COUNTIF('2月'!CF32:CG32,H$41)+COUNTIF('2月'!CK32:CL32,H$41)+COUNTIF('2月'!CP32:CQ32,H$41)+COUNTIF('2月'!CU32:CV32,H$41)+COUNTIF('2月'!CZ32:DA32,H$41)+COUNTIF('2月'!DE32:DF32,H$41)+COUNTIF('2月'!DJ32:DK32,H$41)+COUNTIF('2月'!DO32:DP32,H$41)+COUNTIF('2月'!DT32:DU32,H$41)+COUNTIF('2月'!DY32:DZ32,H$41)+COUNTIF('2月'!ED32:EE32,H$41)+COUNTIF('2月'!EI32:EJ32,H$41)+COUNTIF('2月'!EN32:EO32,H$41)+COUNTIF('2月'!ES32:ET32,H$41)+COUNTIF('2月'!D32:E32,"渋谷-夜勤")+COUNTIF('2月'!I32:J32,"渋谷-夜勤")+COUNTIF('2月'!N32:O32,"渋谷-夜勤")+COUNTIF('2月'!S32:T32,"渋谷-夜勤")+COUNTIF('2月'!X32:Y32,"渋谷-夜勤")+COUNTIF('2月'!AC32:AD32,"渋谷-夜勤")+COUNTIF('2月'!AH32:AI32,"渋谷-夜勤")+COUNTIF('2月'!AM32:AN32,"渋谷-夜勤")+COUNTIF('2月'!AR32:AS32,"渋谷-夜勤")+COUNTIF('2月'!AW32:AX32,"渋谷-夜勤")+COUNTIF('2月'!BB32:BC32,"渋谷-夜勤")+COUNTIF('2月'!BG32:BH32,"渋谷-夜勤")+COUNTIF('2月'!BL32:BM32,"渋谷-夜勤")+COUNTIF('2月'!BQ32:BR32,"渋谷-夜勤")+COUNTIF('2月'!BV32:BW32,"渋谷-夜勤")+COUNTIF('2月'!CA32:CB32,"渋谷-夜勤")+COUNTIF('2月'!CF32:CG32,"渋谷-夜勤")+COUNTIF('2月'!CK32:CL32,"渋谷-夜勤")+COUNTIF('2月'!CP32:CQ32,"渋谷-夜勤")+COUNTIF('2月'!CU32:CV32,"渋谷-夜勤")+COUNTIF('2月'!CZ32:DA32,"渋谷-夜勤")+COUNTIF('2月'!DE32:DF32,"渋谷-夜勤")+COUNTIF('2月'!DJ32:DK32,"渋谷-夜勤")+COUNTIF('2月'!DO32:DP32,"渋谷-夜勤")+COUNTIF('2月'!DT32:DU32,"渋谷-夜勤")+COUNTIF('2月'!DY32:DZ32,"渋谷-夜勤")+COUNTIF('2月'!ED32:EE32,"渋谷-夜勤")+COUNTIF('2月'!EI32:EJ32,"渋谷-夜勤")+COUNTIF('2月'!EN32:EO32,"渋谷-夜勤")+COUNTIF('2月'!ES32:ET32,"渋谷-夜勤")</f>
        <v>0</v>
      </c>
      <c r="I71" s="76">
        <f t="shared" si="15"/>
        <v>0</v>
      </c>
      <c r="J71" s="76">
        <f>COUNTIF('2月'!D32:E32,J$41)+COUNTIF('2月'!I32:J32,J$41)+COUNTIF('2月'!N32:O32,J$41)+COUNTIF('2月'!S32:T32,J$41)+COUNTIF('2月'!X32:Y32,J$41)+COUNTIF('2月'!AC32:AD32,J$41)+COUNTIF('2月'!AH32:AI32,J$41)+COUNTIF('2月'!AM32:AN32,J$41)+COUNTIF('2月'!AR32:AS32,J$41)+COUNTIF('2月'!AW32:AX32,J$41)+COUNTIF('2月'!BB32:BC32,J$41)+COUNTIF('2月'!BG32:BH32,J$41)+COUNTIF('2月'!BL32:BM32,J$41)+COUNTIF('2月'!BQ32:BR32,J$41)+COUNTIF('2月'!BV32:BW32,J$41)+COUNTIF('2月'!CA32:CB32,J$41)+COUNTIF('2月'!CF32:CG32,J$41)+COUNTIF('2月'!CK32:CL32,J$41)+COUNTIF('2月'!CP32:CQ32,J$41)+COUNTIF('2月'!CU32:CV32,J$41)+COUNTIF('2月'!CZ32:DA32,J$41)+COUNTIF('2月'!DE32:DF32,J$41)+COUNTIF('2月'!DJ32:DK32,J$41)+COUNTIF('2月'!DO32:DP32,J$41)+COUNTIF('2月'!DT32:DU32,J$41)+COUNTIF('2月'!DY32:DZ32,J$41)+COUNTIF('2月'!ED32:EE32,J$41)+COUNTIF('2月'!EI32:EJ32,J$41)+COUNTIF('2月'!EN32:EO32,J$41)+COUNTIF('2月'!ES32:ET32,J$41)+COUNTIF('2月'!D32:E32,"六本木-夜勤")+COUNTIF('2月'!I32:J32,"六本木-夜勤")+COUNTIF('2月'!N32:O32,"六本木-夜勤")+COUNTIF('2月'!S32:T32,"六本木-夜勤")+COUNTIF('2月'!X32:Y32,"六本木-夜勤")+COUNTIF('2月'!AC32:AD32,"六本木-夜勤")+COUNTIF('2月'!AH32:AI32,"六本木-夜勤")+COUNTIF('2月'!AM32:AN32,"六本木-夜勤")+COUNTIF('2月'!AR32:AS32,"六本木-夜勤")+COUNTIF('2月'!AW32:AX32,"六本木-夜勤")+COUNTIF('2月'!BB32:BC32,"六本木-夜勤")+COUNTIF('2月'!BG32:BH32,"六本木-夜勤")+COUNTIF('2月'!BL32:BM32,"六本木-夜勤")+COUNTIF('2月'!BQ32:BR32,"六本木-夜勤")+COUNTIF('2月'!BV32:BW32,"六本木-夜勤")+COUNTIF('2月'!CA32:CB32,"六本木-夜勤")+COUNTIF('2月'!CF32:CG32,"六本木-夜勤")+COUNTIF('2月'!CK32:CL32,"六本木-夜勤")+COUNTIF('2月'!CP32:CQ32,"六本木-夜勤")+COUNTIF('2月'!CU32:CV32,"六本木-夜勤")+COUNTIF('2月'!CZ32:DA32,"六本木-夜勤")+COUNTIF('2月'!DE32:DF32,"六本木-夜勤")+COUNTIF('2月'!DJ32:DK32,"六本木-夜勤")+COUNTIF('2月'!DO32:DP32,"六本木-夜勤")+COUNTIF('2月'!DT32:DU32,"六本木-夜勤")+COUNTIF('2月'!DY32:DZ32,"六本木-夜勤")+COUNTIF('2月'!ED32:EE32,"六本木-夜勤")+COUNTIF('2月'!EI32:EJ32,"六本木-夜勤")+COUNTIF('2月'!EN32:EO32,"六本木-夜勤")+COUNTIF('2月'!ES32:ET32,"六本木-夜勤")+COUNTIF('2月'!D32:E32,"六本木ー夜勤")+COUNTIF('2月'!I32:J32,"六本木ー夜勤")+COUNTIF('2月'!N32:O32,"六本木ー夜勤")+COUNTIF('2月'!S32:T32,"六本木ー夜勤")+COUNTIF('2月'!X32:Y32,"六本木ー夜勤")+COUNTIF('2月'!AC32:AD32,"六本木ー夜勤")+COUNTIF('2月'!AH32:AI32,"六本木ー夜勤")+COUNTIF('2月'!AM32:AN32,"六本木ー夜勤")+COUNTIF('2月'!AR32:AS32,"六本木ー夜勤")+COUNTIF('2月'!AW32:AX32,"六本木ー夜勤")+COUNTIF('2月'!BB32:BC32,"六本木ー夜勤")+COUNTIF('2月'!BG32:BH32,"六本木ー夜勤")+COUNTIF('2月'!BL32:BM32,"六本木ー夜勤")+COUNTIF('2月'!BQ32:BR32,"六本木ー夜勤")+COUNTIF('2月'!BV32:BW32,"六本木ー夜勤")+COUNTIF('2月'!CA32:CB32,"六本木ー夜勤")+COUNTIF('2月'!CF32:CG32,"六本木ー夜勤")+COUNTIF('2月'!CK32:CL32,"六本木ー夜勤")+COUNTIF('2月'!CP32:CQ32,"六本木ー夜勤")+COUNTIF('2月'!CU32:CV32,"六本木ー夜勤")+COUNTIF('2月'!CZ32:DA32,"六本木ー夜勤")+COUNTIF('2月'!DE32:DF32,"六本木ー夜勤")+COUNTIF('2月'!DJ32:DK32,"六本木ー夜勤")+COUNTIF('2月'!DO32:DP32,"六本木ー夜勤")+COUNTIF('2月'!DT32:DU32,"六本木ー夜勤")+COUNTIF('2月'!DY32:DZ32,"六本木ー夜勤")+COUNTIF('2月'!ED32:EE32,"六本木ー夜勤")+COUNTIF('2月'!EI32:EJ32,"六本木ー夜勤")+COUNTIF('2月'!EN32:EO32,"六本木ー夜勤")+COUNTIF('2月'!ES32:ET32,"六本木ー夜勤")</f>
        <v>0</v>
      </c>
      <c r="K71" s="76">
        <f t="shared" si="16"/>
        <v>0</v>
      </c>
      <c r="L71" s="76">
        <f>COUNTIF('2月'!D32:E32,L$41)+COUNTIF('2月'!I32:J32,L$41)+COUNTIF('2月'!N32:O32,L$41)+COUNTIF('2月'!S32:T32,L$41)+COUNTIF('2月'!X32:Y32,L$41)+COUNTIF('2月'!AC32:AD32,L$41)+COUNTIF('2月'!AH32:AI32,L$41)+COUNTIF('2月'!AM32:AN32,L$41)+COUNTIF('2月'!AR32:AS32,L$41)+COUNTIF('2月'!AW32:AX32,L$41)+COUNTIF('2月'!BB32:BC32,L$41)+COUNTIF('2月'!BG32:BH32,L$41)+COUNTIF('2月'!BL32:BM32,L$41)+COUNTIF('2月'!BQ32:BR32,L$41)+COUNTIF('2月'!BV32:BW32,L$41)+COUNTIF('2月'!CA32:CB32,L$41)+COUNTIF('2月'!CF32:CG32,L$41)+COUNTIF('2月'!CK32:CL32,L$41)+COUNTIF('2月'!CP32:CQ32,L$41)+COUNTIF('2月'!CU32:CV32,L$41)+COUNTIF('2月'!CZ32:DA32,L$41)+COUNTIF('2月'!DE32:DF32,L$41)+COUNTIF('2月'!DJ32:DK32,L$41)+COUNTIF('2月'!DO32:DP32,L$41)+COUNTIF('2月'!DT32:DU32,L$41)+COUNTIF('2月'!DY32:DZ32,L$41)+COUNTIF('2月'!ED32:EE32,L$41)+COUNTIF('2月'!EI32:EJ32,L$41)+COUNTIF('2月'!EN32:EO32,L$41)+COUNTIF('2月'!ES32:ET32,L$41)</f>
        <v>0</v>
      </c>
      <c r="M71" s="76">
        <f t="shared" si="17"/>
        <v>0</v>
      </c>
      <c r="N71" s="76">
        <f>COUNTIF('2月'!D32:E32,N$41)+COUNTIF('2月'!I32:J32,N$41)+COUNTIF('2月'!N32:O32,N$41)+COUNTIF('2月'!S32:T32,N$41)+COUNTIF('2月'!X32:Y32,N$41)+COUNTIF('2月'!AC32:AD32,N$41)+COUNTIF('2月'!AH32:AI32,N$41)+COUNTIF('2月'!AM32:AN32,N$41)+COUNTIF('2月'!AR32:AS32,N$41)+COUNTIF('2月'!AW32:AX32,N$41)+COUNTIF('2月'!BB32:BC32,N$41)+COUNTIF('2月'!BG32:BH32,N$41)+COUNTIF('2月'!BL32:BM32,N$41)+COUNTIF('2月'!BQ32:BR32,N$41)+COUNTIF('2月'!BV32:BW32,N$41)+COUNTIF('2月'!CA32:CB32,N$41)+COUNTIF('2月'!CF32:CG32,N$41)+COUNTIF('2月'!CK32:CL32,N$41)+COUNTIF('2月'!CP32:CQ32,N$41)+COUNTIF('2月'!CU32:CV32,N$41)+COUNTIF('2月'!CZ32:DA32,N$41)+COUNTIF('2月'!DE32:DF32,N$41)+COUNTIF('2月'!DJ32:DK32,N$41)+COUNTIF('2月'!DO32:DP32,N$41)+COUNTIF('2月'!DT32:DU32,N$41)+COUNTIF('2月'!DY32:DZ32,N$41)+COUNTIF('2月'!ED32:EE32,N$41)+COUNTIF('2月'!EI32:EJ32,N$41)+COUNTIF('2月'!EN32:EO32,N$41)+COUNTIF('2月'!ES32:ET32,N$41)+COUNTIF('2月'!D32:E32,"三軒茶屋－夜勤")+COUNTIF('2月'!I32:J32,"三軒茶屋－夜勤")+COUNTIF('2月'!N32:O32,"三軒茶屋－夜勤")+COUNTIF('2月'!S32:T32,"三軒茶屋－夜勤")+COUNTIF('2月'!X32:Y32,"三軒茶屋－夜勤")+COUNTIF('2月'!AC32:AD32,"三軒茶屋－夜勤")+COUNTIF('2月'!AH32:AI32,"三軒茶屋－夜勤")+COUNTIF('2月'!AM32:AN32,"三軒茶屋－夜勤")+COUNTIF('2月'!AR32:AS32,"三軒茶屋－夜勤")+COUNTIF('2月'!AW32:AX32,"三軒茶屋－夜勤")+COUNTIF('2月'!BB32:BC32,"三軒茶屋－夜勤")+COUNTIF('2月'!BG32:BH32,"三軒茶屋－夜勤")+COUNTIF('2月'!BL32:BM32,"三軒茶屋－夜勤")+COUNTIF('2月'!BQ32:BR32,"三軒茶屋－夜勤")+COUNTIF('2月'!BV32:BW32,"三軒茶屋－夜勤")+COUNTIF('2月'!CA32:CB32,"三軒茶屋－夜勤")+COUNTIF('2月'!CF32:CG32,"三軒茶屋－夜勤")+COUNTIF('2月'!CK32:CL32,"三軒茶屋－夜勤")+COUNTIF('2月'!CP32:CQ32,"三軒茶屋－夜勤")+COUNTIF('2月'!CU32:CV32,"三軒茶屋－夜勤")+COUNTIF('2月'!CZ32:DA32,"三軒茶屋－夜勤")+COUNTIF('2月'!DE32:DF32,"三軒茶屋－夜勤")+COUNTIF('2月'!DJ32:DK32,"三軒茶屋－夜勤")+COUNTIF('2月'!DO32:DP32,"三軒茶屋－夜勤")+COUNTIF('2月'!DT32:DU32,"三軒茶屋－夜勤")+COUNTIF('2月'!DY32:DZ32,"三軒茶屋－夜勤")+COUNTIF('2月'!ED32:EE32,"三軒茶屋－夜勤")+COUNTIF('2月'!EI32:EJ32,"三軒茶屋－夜勤")+COUNTIF('2月'!EN32:EO32,"三軒茶屋－夜勤")+COUNTIF('2月'!ES32:ET32,"三軒茶屋－夜勤")</f>
        <v>0</v>
      </c>
      <c r="O71" s="76">
        <f t="shared" si="18"/>
        <v>0</v>
      </c>
      <c r="P71" s="76">
        <f>COUNTIF('2月'!D32:E32,P$41)+COUNTIF('2月'!I32:J32,P$41)+COUNTIF('2月'!N32:O32,P$41)+COUNTIF('2月'!S32:T32,P$41)+COUNTIF('2月'!X32:Y32,P$41)+COUNTIF('2月'!AC32:AD32,P$41)+COUNTIF('2月'!AH32:AI32,P$41)+COUNTIF('2月'!AM32:AN32,P$41)+COUNTIF('2月'!AR32:AS32,P$41)+COUNTIF('2月'!AW32:AX32,P$41)+COUNTIF('2月'!BB32:BC32,P$41)+COUNTIF('2月'!BG32:BH32,P$41)+COUNTIF('2月'!BL32:BM32,P$41)+COUNTIF('2月'!BQ32:BR32,P$41)+COUNTIF('2月'!BV32:BW32,P$41)+COUNTIF('2月'!CA32:CB32,P$41)+COUNTIF('2月'!CF32:CG32,P$41)+COUNTIF('2月'!CK32:CL32,P$41)+COUNTIF('2月'!CP32:CQ32,P$41)+COUNTIF('2月'!CU32:CV32,P$41)+COUNTIF('2月'!CZ32:DA32,P$41)+COUNTIF('2月'!DE32:DF32,P$41)+COUNTIF('2月'!DJ32:DK32,P$41)+COUNTIF('2月'!DO32:DP32,P$41)+COUNTIF('2月'!DT32:DU32,P$41)+COUNTIF('2月'!DY32:DZ32,P$41)+COUNTIF('2月'!ED32:EE32,P$41)+COUNTIF('2月'!EI32:EJ32,P$41)+COUNTIF('2月'!EN32:EO32,P$41)+COUNTIF('2月'!ES32:ET32,P$41)+COUNTIF('2月'!D32:E32,"荻窪ー夜勤")+COUNTIF('2月'!I32:J32,"荻窪ー夜勤")+COUNTIF('2月'!N32:O32,"荻窪ー夜勤")+COUNTIF('2月'!S32:T32,"荻窪ー夜勤")+COUNTIF('2月'!X32:Y32,"荻窪ー夜勤")+COUNTIF('2月'!AC32:AD32,"荻窪ー夜勤")+COUNTIF('2月'!AH32:AI32,"荻窪ー夜勤")+COUNTIF('2月'!AM32:AN32,"荻窪ー夜勤")+COUNTIF('2月'!AR32:AS32,"荻窪ー夜勤")+COUNTIF('2月'!AW32:AX32,"荻窪ー夜勤")+COUNTIF('2月'!BB32:BC32,"荻窪ー夜勤")+COUNTIF('2月'!BG32:BH32,"荻窪ー夜勤")+COUNTIF('2月'!BL32:BM32,"荻窪ー夜勤")+COUNTIF('2月'!BQ32:BR32,"荻窪ー夜勤")+COUNTIF('2月'!BV32:BW32,"荻窪ー夜勤")+COUNTIF('2月'!CA32:CB32,"荻窪ー夜勤")+COUNTIF('2月'!CF32:CG32,"荻窪ー夜勤")+COUNTIF('2月'!CK32:CL32,"荻窪ー夜勤")+COUNTIF('2月'!CP32:CQ32,"荻窪ー夜勤")+COUNTIF('2月'!CU32:CV32,"荻窪ー夜勤")+COUNTIF('2月'!CZ32:DA32,"荻窪ー夜勤")+COUNTIF('2月'!DE32:DF32,"荻窪ー夜勤")+COUNTIF('2月'!DJ32:DK32,"荻窪ー夜勤")+COUNTIF('2月'!DO32:DP32,"荻窪ー夜勤")+COUNTIF('2月'!DT32:DU32,"荻窪ー夜勤")+COUNTIF('2月'!DY32:DZ32,"荻窪ー夜勤")+COUNTIF('2月'!ED32:EE32,"荻窪ー夜勤")+COUNTIF('2月'!EI32:EJ32,"荻窪ー夜勤")+COUNTIF('2月'!EN32:EO32,"荻窪ー夜勤")+COUNTIF('2月'!ES32:ET32,"荻窪ー夜勤")</f>
        <v>0</v>
      </c>
      <c r="Q71" s="76">
        <f t="shared" si="19"/>
        <v>0</v>
      </c>
      <c r="R71" s="76">
        <f>COUNTIF('2月'!D32:E32,R$41)+COUNTIF('2月'!I32:J32,R$41)+COUNTIF('2月'!N32:O32,R$41)+COUNTIF('2月'!S32:T32,R$41)+COUNTIF('2月'!X32:Y32,R$41)+COUNTIF('2月'!AC32:AD32,R$41)+COUNTIF('2月'!AH32:AI32,R$41)+COUNTIF('2月'!AM32:AN32,R$41)+COUNTIF('2月'!AR32:AS32,R$41)+COUNTIF('2月'!AW32:AX32,R$41)+COUNTIF('2月'!BB32:BC32,R$41)+COUNTIF('2月'!BG32:BH32,R$41)+COUNTIF('2月'!BL32:BM32,R$41)+COUNTIF('2月'!BQ32:BR32,R$41)+COUNTIF('2月'!BV32:BW32,R$41)+COUNTIF('2月'!CA32:CB32,R$41)+COUNTIF('2月'!CF32:CG32,R$41)+COUNTIF('2月'!CK32:CL32,R$41)+COUNTIF('2月'!CP32:CQ32,R$41)+COUNTIF('2月'!CU32:CV32,R$41)+COUNTIF('2月'!CZ32:DA32,R$41)+COUNTIF('2月'!DE32:DF32,R$41)+COUNTIF('2月'!DJ32:DK32,R$41)+COUNTIF('2月'!DO32:DP32,R$41)+COUNTIF('2月'!DT32:DU32,R$41)+COUNTIF('2月'!DY32:DZ32,R$41)+COUNTIF('2月'!ED32:EE32,R$41)+COUNTIF('2月'!EI32:EJ32,R$41)+COUNTIF('2月'!EN32:EO32,R$41)+COUNTIF('2月'!ES32:ET32,R$41)</f>
        <v>0</v>
      </c>
      <c r="S71" s="76">
        <f t="shared" si="20"/>
        <v>0</v>
      </c>
      <c r="T71" s="76">
        <f>COUNTIF('2月'!D32:E32,T$41)+COUNTIF('2月'!I32:J32,T$41)+COUNTIF('2月'!N32:O32,T$41)+COUNTIF('2月'!S32:T32,T$41)+COUNTIF('2月'!X32:Y32,T$41)+COUNTIF('2月'!AC32:AD32,T$41)+COUNTIF('2月'!AH32:AI32,T$41)+COUNTIF('2月'!AM32:AN32,T$41)+COUNTIF('2月'!AR32:AS32,T$41)+COUNTIF('2月'!AW32:AX32,T$41)+COUNTIF('2月'!BB32:BC32,T$41)+COUNTIF('2月'!BG32:BH32,T$41)+COUNTIF('2月'!BL32:BM32,T$41)+COUNTIF('2月'!BQ32:BR32,T$41)+COUNTIF('2月'!BV32:BW32,T$41)+COUNTIF('2月'!CA32:CB32,T$41)+COUNTIF('2月'!CF32:CG32,T$41)+COUNTIF('2月'!CK32:CL32,T$41)+COUNTIF('2月'!CP32:CQ32,T$41)+COUNTIF('2月'!CU32:CV32,T$41)+COUNTIF('2月'!CZ32:DA32,T$41)+COUNTIF('2月'!DE32:DF32,T$41)+COUNTIF('2月'!DJ32:DK32,T$41)+COUNTIF('2月'!DO32:DP32,T$41)+COUNTIF('2月'!DT32:DU32,T$41)+COUNTIF('2月'!DY32:DZ32,T$41)+COUNTIF('2月'!ED32:EE32,T$41)+COUNTIF('2月'!EI32:EJ32,T$41)+COUNTIF('2月'!EN32:EO32,T$41)+COUNTIF('2月'!ES32:ET32,T$41)</f>
        <v>0</v>
      </c>
      <c r="U71" s="76">
        <f t="shared" si="21"/>
        <v>0</v>
      </c>
      <c r="V71" s="76">
        <f>COUNTIF('2月'!D32:E32,V$41)+COUNTIF('2月'!I32:J32,V$41)+COUNTIF('2月'!N32:O32,V$41)+COUNTIF('2月'!S32:T32,V$41)+COUNTIF('2月'!X32:Y32,V$41)+COUNTIF('2月'!AC32:AD32,V$41)+COUNTIF('2月'!AH32:AI32,V$41)+COUNTIF('2月'!AM32:AN32,V$41)+COUNTIF('2月'!AR32:AS32,V$41)+COUNTIF('2月'!AW32:AX32,V$41)+COUNTIF('2月'!BB32:BC32,V$41)+COUNTIF('2月'!BG32:BH32,V$41)+COUNTIF('2月'!BL32:BM32,V$41)+COUNTIF('2月'!BQ32:BR32,V$41)+COUNTIF('2月'!BV32:BW32,V$41)+COUNTIF('2月'!CA32:CB32,V$41)+COUNTIF('2月'!CF32:CG32,V$41)+COUNTIF('2月'!CK32:CL32,V$41)+COUNTIF('2月'!CP32:CQ32,V$41)+COUNTIF('2月'!CU32:CV32,V$41)+COUNTIF('2月'!CZ32:DA32,V$41)+COUNTIF('2月'!DE32:DF32,V$41)+COUNTIF('2月'!DJ32:DK32,V$41)+COUNTIF('2月'!DO32:DP32,V$41)+COUNTIF('2月'!DT32:DU32,V$41)+COUNTIF('2月'!DY32:DZ32,V$41)+COUNTIF('2月'!ED32:EE32,V$41)+COUNTIF('2月'!EI32:EJ32,V$41)+COUNTIF('2月'!EN32:EO32,V$41)+COUNTIF('2月'!ES32:ET32,V$41)</f>
        <v>0</v>
      </c>
      <c r="W71" s="76">
        <f t="shared" si="22"/>
        <v>0</v>
      </c>
      <c r="X71" s="76">
        <f>COUNTIF('2月'!D32:E32,X$41)+COUNTIF('2月'!I32:J32,X$41)+COUNTIF('2月'!N32:O32,X$41)+COUNTIF('2月'!S32:T32,X$41)+COUNTIF('2月'!X32:Y32,X$41)+COUNTIF('2月'!AC32:AD32,X$41)+COUNTIF('2月'!AH32:AI32,X$41)+COUNTIF('2月'!AM32:AN32,X$41)+COUNTIF('2月'!AR32:AS32,X$41)+COUNTIF('2月'!AW32:AX32,X$41)+COUNTIF('2月'!BB32:BC32,X$41)+COUNTIF('2月'!BG32:BH32,X$41)+COUNTIF('2月'!BL32:BM32,X$41)+COUNTIF('2月'!BQ32:BR32,X$41)+COUNTIF('2月'!BV32:BW32,X$41)+COUNTIF('2月'!CA32:CB32,X$41)+COUNTIF('2月'!CF32:CG32,X$41)+COUNTIF('2月'!CK32:CL32,X$41)+COUNTIF('2月'!CP32:CQ32,X$41)+COUNTIF('2月'!CU32:CV32,X$41)+COUNTIF('2月'!CZ32:DA32,X$41)+COUNTIF('2月'!DE32:DF32,X$41)+COUNTIF('2月'!DJ32:DK32,X$41)+COUNTIF('2月'!DO32:DP32,X$41)+COUNTIF('2月'!DT32:DU32,X$41)+COUNTIF('2月'!DY32:DZ32,X$41)+COUNTIF('2月'!ED32:EE32,X$41)+COUNTIF('2月'!EI32:EJ32,X$41)+COUNTIF('2月'!EN32:EO32,X$41)+COUNTIF('2月'!ES32:ET32,X$41)</f>
        <v>0</v>
      </c>
      <c r="Y71" s="76">
        <f t="shared" si="23"/>
        <v>0</v>
      </c>
    </row>
    <row r="72" spans="1:25" ht="18" customHeight="1">
      <c r="A72" s="76">
        <v>30</v>
      </c>
      <c r="B72" s="76">
        <f>COUNTIF('2月'!D33:E33,B$41)+COUNTIF('2月'!I33:J33,B$41)+COUNTIF('2月'!N33:O33,B$41)+COUNTIF('2月'!S33:T33,B$41)+COUNTIF('2月'!X33:Y33,B$41)+COUNTIF('2月'!AC33:AD33,B$41)+COUNTIF('2月'!AH33:AI33,B$41)+COUNTIF('2月'!AM33:AN33,B$41)+COUNTIF('2月'!AR33:AS33,B$41)+COUNTIF('2月'!AW33:AX33,B$41)+COUNTIF('2月'!BB33:BC33,B$41)+COUNTIF('2月'!BG33:BH33,B$41)+COUNTIF('2月'!BL33:BM33,B$41)+COUNTIF('2月'!BQ33:BR33,B$41)+COUNTIF('2月'!BV33:BW33,B$41)+COUNTIF('2月'!CA33:CB33,B$41)+COUNTIF('2月'!CF33:CG33,B$41)+COUNTIF('2月'!CK33:CL33,B$41)+COUNTIF('2月'!CP33:CQ33,B$41)+COUNTIF('2月'!CU33:CV33,B$41)+COUNTIF('2月'!CZ33:DA33,B$41)+COUNTIF('2月'!DE33:DF33,B$41)+COUNTIF('2月'!DJ33:DK33,B$41)+COUNTIF('2月'!DO33:DP33,B$41)+COUNTIF('2月'!DT33:DU33,B$41)+COUNTIF('2月'!DY33:DZ33,B$41)+COUNTIF('2月'!ED33:EE33,B$41)+COUNTIF('2月'!EI33:EJ33,B$41)+COUNTIF('2月'!EN33:EO33,B$41)+COUNTIF('2月'!ES33:ET33,B$41)</f>
        <v>0</v>
      </c>
      <c r="C72" s="76">
        <f t="shared" si="12"/>
        <v>0</v>
      </c>
      <c r="D72" s="76">
        <f>COUNTIF('2月'!D33:E33,D$41)+COUNTIF('2月'!I33:J33,D$41)+COUNTIF('2月'!N33:O33,D$41)+COUNTIF('2月'!S33:T33,D$41)+COUNTIF('2月'!X33:Y33,D$41)+COUNTIF('2月'!AC33:AD33,D$41)+COUNTIF('2月'!AH33:AI33,D$41)+COUNTIF('2月'!AM33:AN33,D$41)+COUNTIF('2月'!AR33:AS33,D$41)+COUNTIF('2月'!AW33:AX33,D$41)+COUNTIF('2月'!BB33:BC33,D$41)+COUNTIF('2月'!BG33:BH33,D$41)+COUNTIF('2月'!BL33:BM33,D$41)+COUNTIF('2月'!BQ33:BR33,D$41)+COUNTIF('2月'!BV33:BW33,D$41)+COUNTIF('2月'!CA33:CB33,D$41)+COUNTIF('2月'!CF33:CG33,D$41)+COUNTIF('2月'!CK33:CL33,D$41)+COUNTIF('2月'!CP33:CQ33,D$41)+COUNTIF('2月'!CU33:CV33,D$41)+COUNTIF('2月'!CZ33:DA33,D$41)+COUNTIF('2月'!DE33:DF33,D$41)+COUNTIF('2月'!DJ33:DK33,D$41)+COUNTIF('2月'!DO33:DP33,D$41)+COUNTIF('2月'!DT33:DU33,D$41)+COUNTIF('2月'!DY33:DZ33,D$41)+COUNTIF('2月'!ED33:EE33,D$41)+COUNTIF('2月'!EI33:EJ33,D$41)+COUNTIF('2月'!EN33:EO33,D$41)+COUNTIF('2月'!ES33:ET33,D$41)</f>
        <v>0</v>
      </c>
      <c r="E72" s="76">
        <f t="shared" si="13"/>
        <v>0</v>
      </c>
      <c r="F72" s="76">
        <f>COUNTIF('2月'!D33:E33,F$41)+COUNTIF('2月'!I33:J33,F$41)+COUNTIF('2月'!N33:O33,F$41)+COUNTIF('2月'!S33:T33,F$41)+COUNTIF('2月'!X33:Y33,F$41)+COUNTIF('2月'!AC33:AD33,F$41)+COUNTIF('2月'!AH33:AI33,F$41)+COUNTIF('2月'!AM33:AN33,F$41)+COUNTIF('2月'!AR33:AS33,F$41)+COUNTIF('2月'!AW33:AX33,F$41)+COUNTIF('2月'!BB33:BC33,F$41)+COUNTIF('2月'!BG33:BH33,F$41)+COUNTIF('2月'!BL33:BM33,F$41)+COUNTIF('2月'!BQ33:BR33,F$41)+COUNTIF('2月'!BV33:BW33,F$41)+COUNTIF('2月'!CA33:CB33,F$41)+COUNTIF('2月'!CF33:CG33,F$41)+COUNTIF('2月'!CK33:CL33,F$41)+COUNTIF('2月'!CP33:CQ33,F$41)+COUNTIF('2月'!CU33:CV33,F$41)+COUNTIF('2月'!CZ33:DA33,F$41)+COUNTIF('2月'!DE33:DF33,F$41)+COUNTIF('2月'!DJ33:DK33,F$41)+COUNTIF('2月'!DO33:DP33,F$41)+COUNTIF('2月'!DT33:DU33,F$41)+COUNTIF('2月'!DY33:DZ33,F$41)+COUNTIF('2月'!ED33:EE33,F$41)+COUNTIF('2月'!EI33:EJ33,F$41)+COUNTIF('2月'!EN33:EO33,F$41)+COUNTIF('2月'!ES33:ET33,F$41)</f>
        <v>0</v>
      </c>
      <c r="G72" s="76">
        <f t="shared" si="14"/>
        <v>0</v>
      </c>
      <c r="H72" s="76">
        <f>COUNTIF('2月'!D33:E33,H$41)+COUNTIF('2月'!I33:J33,H$41)+COUNTIF('2月'!N33:O33,H$41)+COUNTIF('2月'!S33:T33,H$41)+COUNTIF('2月'!X33:Y33,H$41)+COUNTIF('2月'!AC33:AD33,H$41)+COUNTIF('2月'!AH33:AI33,H$41)+COUNTIF('2月'!AM33:AN33,H$41)+COUNTIF('2月'!AR33:AS33,H$41)+COUNTIF('2月'!AW33:AX33,H$41)+COUNTIF('2月'!BB33:BC33,H$41)+COUNTIF('2月'!BG33:BH33,H$41)+COUNTIF('2月'!BL33:BM33,H$41)+COUNTIF('2月'!BQ33:BR33,H$41)+COUNTIF('2月'!BV33:BW33,H$41)+COUNTIF('2月'!CA33:CB33,H$41)+COUNTIF('2月'!CF33:CG33,H$41)+COUNTIF('2月'!CK33:CL33,H$41)+COUNTIF('2月'!CP33:CQ33,H$41)+COUNTIF('2月'!CU33:CV33,H$41)+COUNTIF('2月'!CZ33:DA33,H$41)+COUNTIF('2月'!DE33:DF33,H$41)+COUNTIF('2月'!DJ33:DK33,H$41)+COUNTIF('2月'!DO33:DP33,H$41)+COUNTIF('2月'!DT33:DU33,H$41)+COUNTIF('2月'!DY33:DZ33,H$41)+COUNTIF('2月'!ED33:EE33,H$41)+COUNTIF('2月'!EI33:EJ33,H$41)+COUNTIF('2月'!EN33:EO33,H$41)+COUNTIF('2月'!ES33:ET33,H$41)+COUNTIF('2月'!D33:E33,"渋谷-夜勤")+COUNTIF('2月'!I33:J33,"渋谷-夜勤")+COUNTIF('2月'!N33:O33,"渋谷-夜勤")+COUNTIF('2月'!S33:T33,"渋谷-夜勤")+COUNTIF('2月'!X33:Y33,"渋谷-夜勤")+COUNTIF('2月'!AC33:AD33,"渋谷-夜勤")+COUNTIF('2月'!AH33:AI33,"渋谷-夜勤")+COUNTIF('2月'!AM33:AN33,"渋谷-夜勤")+COUNTIF('2月'!AR33:AS33,"渋谷-夜勤")+COUNTIF('2月'!AW33:AX33,"渋谷-夜勤")+COUNTIF('2月'!BB33:BC33,"渋谷-夜勤")+COUNTIF('2月'!BG33:BH33,"渋谷-夜勤")+COUNTIF('2月'!BL33:BM33,"渋谷-夜勤")+COUNTIF('2月'!BQ33:BR33,"渋谷-夜勤")+COUNTIF('2月'!BV33:BW33,"渋谷-夜勤")+COUNTIF('2月'!CA33:CB33,"渋谷-夜勤")+COUNTIF('2月'!CF33:CG33,"渋谷-夜勤")+COUNTIF('2月'!CK33:CL33,"渋谷-夜勤")+COUNTIF('2月'!CP33:CQ33,"渋谷-夜勤")+COUNTIF('2月'!CU33:CV33,"渋谷-夜勤")+COUNTIF('2月'!CZ33:DA33,"渋谷-夜勤")+COUNTIF('2月'!DE33:DF33,"渋谷-夜勤")+COUNTIF('2月'!DJ33:DK33,"渋谷-夜勤")+COUNTIF('2月'!DO33:DP33,"渋谷-夜勤")+COUNTIF('2月'!DT33:DU33,"渋谷-夜勤")+COUNTIF('2月'!DY33:DZ33,"渋谷-夜勤")+COUNTIF('2月'!ED33:EE33,"渋谷-夜勤")+COUNTIF('2月'!EI33:EJ33,"渋谷-夜勤")+COUNTIF('2月'!EN33:EO33,"渋谷-夜勤")+COUNTIF('2月'!ES33:ET33,"渋谷-夜勤")</f>
        <v>0</v>
      </c>
      <c r="I72" s="76">
        <f t="shared" si="15"/>
        <v>0</v>
      </c>
      <c r="J72" s="76">
        <f>COUNTIF('2月'!D33:E33,J$41)+COUNTIF('2月'!I33:J33,J$41)+COUNTIF('2月'!N33:O33,J$41)+COUNTIF('2月'!S33:T33,J$41)+COUNTIF('2月'!X33:Y33,J$41)+COUNTIF('2月'!AC33:AD33,J$41)+COUNTIF('2月'!AH33:AI33,J$41)+COUNTIF('2月'!AM33:AN33,J$41)+COUNTIF('2月'!AR33:AS33,J$41)+COUNTIF('2月'!AW33:AX33,J$41)+COUNTIF('2月'!BB33:BC33,J$41)+COUNTIF('2月'!BG33:BH33,J$41)+COUNTIF('2月'!BL33:BM33,J$41)+COUNTIF('2月'!BQ33:BR33,J$41)+COUNTIF('2月'!BV33:BW33,J$41)+COUNTIF('2月'!CA33:CB33,J$41)+COUNTIF('2月'!CF33:CG33,J$41)+COUNTIF('2月'!CK33:CL33,J$41)+COUNTIF('2月'!CP33:CQ33,J$41)+COUNTIF('2月'!CU33:CV33,J$41)+COUNTIF('2月'!CZ33:DA33,J$41)+COUNTIF('2月'!DE33:DF33,J$41)+COUNTIF('2月'!DJ33:DK33,J$41)+COUNTIF('2月'!DO33:DP33,J$41)+COUNTIF('2月'!DT33:DU33,J$41)+COUNTIF('2月'!DY33:DZ33,J$41)+COUNTIF('2月'!ED33:EE33,J$41)+COUNTIF('2月'!EI33:EJ33,J$41)+COUNTIF('2月'!EN33:EO33,J$41)+COUNTIF('2月'!ES33:ET33,J$41)+COUNTIF('2月'!D33:E33,"六本木-夜勤")+COUNTIF('2月'!I33:J33,"六本木-夜勤")+COUNTIF('2月'!N33:O33,"六本木-夜勤")+COUNTIF('2月'!S33:T33,"六本木-夜勤")+COUNTIF('2月'!X33:Y33,"六本木-夜勤")+COUNTIF('2月'!AC33:AD33,"六本木-夜勤")+COUNTIF('2月'!AH33:AI33,"六本木-夜勤")+COUNTIF('2月'!AM33:AN33,"六本木-夜勤")+COUNTIF('2月'!AR33:AS33,"六本木-夜勤")+COUNTIF('2月'!AW33:AX33,"六本木-夜勤")+COUNTIF('2月'!BB33:BC33,"六本木-夜勤")+COUNTIF('2月'!BG33:BH33,"六本木-夜勤")+COUNTIF('2月'!BL33:BM33,"六本木-夜勤")+COUNTIF('2月'!BQ33:BR33,"六本木-夜勤")+COUNTIF('2月'!BV33:BW33,"六本木-夜勤")+COUNTIF('2月'!CA33:CB33,"六本木-夜勤")+COUNTIF('2月'!CF33:CG33,"六本木-夜勤")+COUNTIF('2月'!CK33:CL33,"六本木-夜勤")+COUNTIF('2月'!CP33:CQ33,"六本木-夜勤")+COUNTIF('2月'!CU33:CV33,"六本木-夜勤")+COUNTIF('2月'!CZ33:DA33,"六本木-夜勤")+COUNTIF('2月'!DE33:DF33,"六本木-夜勤")+COUNTIF('2月'!DJ33:DK33,"六本木-夜勤")+COUNTIF('2月'!DO33:DP33,"六本木-夜勤")+COUNTIF('2月'!DT33:DU33,"六本木-夜勤")+COUNTIF('2月'!DY33:DZ33,"六本木-夜勤")+COUNTIF('2月'!ED33:EE33,"六本木-夜勤")+COUNTIF('2月'!EI33:EJ33,"六本木-夜勤")+COUNTIF('2月'!EN33:EO33,"六本木-夜勤")+COUNTIF('2月'!ES33:ET33,"六本木-夜勤")+COUNTIF('2月'!D33:E33,"六本木ー夜勤")+COUNTIF('2月'!I33:J33,"六本木ー夜勤")+COUNTIF('2月'!N33:O33,"六本木ー夜勤")+COUNTIF('2月'!S33:T33,"六本木ー夜勤")+COUNTIF('2月'!X33:Y33,"六本木ー夜勤")+COUNTIF('2月'!AC33:AD33,"六本木ー夜勤")+COUNTIF('2月'!AH33:AI33,"六本木ー夜勤")+COUNTIF('2月'!AM33:AN33,"六本木ー夜勤")+COUNTIF('2月'!AR33:AS33,"六本木ー夜勤")+COUNTIF('2月'!AW33:AX33,"六本木ー夜勤")+COUNTIF('2月'!BB33:BC33,"六本木ー夜勤")+COUNTIF('2月'!BG33:BH33,"六本木ー夜勤")+COUNTIF('2月'!BL33:BM33,"六本木ー夜勤")+COUNTIF('2月'!BQ33:BR33,"六本木ー夜勤")+COUNTIF('2月'!BV33:BW33,"六本木ー夜勤")+COUNTIF('2月'!CA33:CB33,"六本木ー夜勤")+COUNTIF('2月'!CF33:CG33,"六本木ー夜勤")+COUNTIF('2月'!CK33:CL33,"六本木ー夜勤")+COUNTIF('2月'!CP33:CQ33,"六本木ー夜勤")+COUNTIF('2月'!CU33:CV33,"六本木ー夜勤")+COUNTIF('2月'!CZ33:DA33,"六本木ー夜勤")+COUNTIF('2月'!DE33:DF33,"六本木ー夜勤")+COUNTIF('2月'!DJ33:DK33,"六本木ー夜勤")+COUNTIF('2月'!DO33:DP33,"六本木ー夜勤")+COUNTIF('2月'!DT33:DU33,"六本木ー夜勤")+COUNTIF('2月'!DY33:DZ33,"六本木ー夜勤")+COUNTIF('2月'!ED33:EE33,"六本木ー夜勤")+COUNTIF('2月'!EI33:EJ33,"六本木ー夜勤")+COUNTIF('2月'!EN33:EO33,"六本木ー夜勤")+COUNTIF('2月'!ES33:ET33,"六本木ー夜勤")</f>
        <v>0</v>
      </c>
      <c r="K72" s="76">
        <f t="shared" si="16"/>
        <v>0</v>
      </c>
      <c r="L72" s="76">
        <f>COUNTIF('2月'!D33:E33,L$41)+COUNTIF('2月'!I33:J33,L$41)+COUNTIF('2月'!N33:O33,L$41)+COUNTIF('2月'!S33:T33,L$41)+COUNTIF('2月'!X33:Y33,L$41)+COUNTIF('2月'!AC33:AD33,L$41)+COUNTIF('2月'!AH33:AI33,L$41)+COUNTIF('2月'!AM33:AN33,L$41)+COUNTIF('2月'!AR33:AS33,L$41)+COUNTIF('2月'!AW33:AX33,L$41)+COUNTIF('2月'!BB33:BC33,L$41)+COUNTIF('2月'!BG33:BH33,L$41)+COUNTIF('2月'!BL33:BM33,L$41)+COUNTIF('2月'!BQ33:BR33,L$41)+COUNTIF('2月'!BV33:BW33,L$41)+COUNTIF('2月'!CA33:CB33,L$41)+COUNTIF('2月'!CF33:CG33,L$41)+COUNTIF('2月'!CK33:CL33,L$41)+COUNTIF('2月'!CP33:CQ33,L$41)+COUNTIF('2月'!CU33:CV33,L$41)+COUNTIF('2月'!CZ33:DA33,L$41)+COUNTIF('2月'!DE33:DF33,L$41)+COUNTIF('2月'!DJ33:DK33,L$41)+COUNTIF('2月'!DO33:DP33,L$41)+COUNTIF('2月'!DT33:DU33,L$41)+COUNTIF('2月'!DY33:DZ33,L$41)+COUNTIF('2月'!ED33:EE33,L$41)+COUNTIF('2月'!EI33:EJ33,L$41)+COUNTIF('2月'!EN33:EO33,L$41)+COUNTIF('2月'!ES33:ET33,L$41)</f>
        <v>0</v>
      </c>
      <c r="M72" s="76">
        <f t="shared" si="17"/>
        <v>0</v>
      </c>
      <c r="N72" s="76">
        <f>COUNTIF('2月'!D33:E33,N$41)+COUNTIF('2月'!I33:J33,N$41)+COUNTIF('2月'!N33:O33,N$41)+COUNTIF('2月'!S33:T33,N$41)+COUNTIF('2月'!X33:Y33,N$41)+COUNTIF('2月'!AC33:AD33,N$41)+COUNTIF('2月'!AH33:AI33,N$41)+COUNTIF('2月'!AM33:AN33,N$41)+COUNTIF('2月'!AR33:AS33,N$41)+COUNTIF('2月'!AW33:AX33,N$41)+COUNTIF('2月'!BB33:BC33,N$41)+COUNTIF('2月'!BG33:BH33,N$41)+COUNTIF('2月'!BL33:BM33,N$41)+COUNTIF('2月'!BQ33:BR33,N$41)+COUNTIF('2月'!BV33:BW33,N$41)+COUNTIF('2月'!CA33:CB33,N$41)+COUNTIF('2月'!CF33:CG33,N$41)+COUNTIF('2月'!CK33:CL33,N$41)+COUNTIF('2月'!CP33:CQ33,N$41)+COUNTIF('2月'!CU33:CV33,N$41)+COUNTIF('2月'!CZ33:DA33,N$41)+COUNTIF('2月'!DE33:DF33,N$41)+COUNTIF('2月'!DJ33:DK33,N$41)+COUNTIF('2月'!DO33:DP33,N$41)+COUNTIF('2月'!DT33:DU33,N$41)+COUNTIF('2月'!DY33:DZ33,N$41)+COUNTIF('2月'!ED33:EE33,N$41)+COUNTIF('2月'!EI33:EJ33,N$41)+COUNTIF('2月'!EN33:EO33,N$41)+COUNTIF('2月'!ES33:ET33,N$41)+COUNTIF('2月'!D33:E33,"三軒茶屋－夜勤")+COUNTIF('2月'!I33:J33,"三軒茶屋－夜勤")+COUNTIF('2月'!N33:O33,"三軒茶屋－夜勤")+COUNTIF('2月'!S33:T33,"三軒茶屋－夜勤")+COUNTIF('2月'!X33:Y33,"三軒茶屋－夜勤")+COUNTIF('2月'!AC33:AD33,"三軒茶屋－夜勤")+COUNTIF('2月'!AH33:AI33,"三軒茶屋－夜勤")+COUNTIF('2月'!AM33:AN33,"三軒茶屋－夜勤")+COUNTIF('2月'!AR33:AS33,"三軒茶屋－夜勤")+COUNTIF('2月'!AW33:AX33,"三軒茶屋－夜勤")+COUNTIF('2月'!BB33:BC33,"三軒茶屋－夜勤")+COUNTIF('2月'!BG33:BH33,"三軒茶屋－夜勤")+COUNTIF('2月'!BL33:BM33,"三軒茶屋－夜勤")+COUNTIF('2月'!BQ33:BR33,"三軒茶屋－夜勤")+COUNTIF('2月'!BV33:BW33,"三軒茶屋－夜勤")+COUNTIF('2月'!CA33:CB33,"三軒茶屋－夜勤")+COUNTIF('2月'!CF33:CG33,"三軒茶屋－夜勤")+COUNTIF('2月'!CK33:CL33,"三軒茶屋－夜勤")+COUNTIF('2月'!CP33:CQ33,"三軒茶屋－夜勤")+COUNTIF('2月'!CU33:CV33,"三軒茶屋－夜勤")+COUNTIF('2月'!CZ33:DA33,"三軒茶屋－夜勤")+COUNTIF('2月'!DE33:DF33,"三軒茶屋－夜勤")+COUNTIF('2月'!DJ33:DK33,"三軒茶屋－夜勤")+COUNTIF('2月'!DO33:DP33,"三軒茶屋－夜勤")+COUNTIF('2月'!DT33:DU33,"三軒茶屋－夜勤")+COUNTIF('2月'!DY33:DZ33,"三軒茶屋－夜勤")+COUNTIF('2月'!ED33:EE33,"三軒茶屋－夜勤")+COUNTIF('2月'!EI33:EJ33,"三軒茶屋－夜勤")+COUNTIF('2月'!EN33:EO33,"三軒茶屋－夜勤")+COUNTIF('2月'!ES33:ET33,"三軒茶屋－夜勤")</f>
        <v>0</v>
      </c>
      <c r="O72" s="76">
        <f t="shared" si="18"/>
        <v>0</v>
      </c>
      <c r="P72" s="76">
        <f>COUNTIF('2月'!D33:E33,P$41)+COUNTIF('2月'!I33:J33,P$41)+COUNTIF('2月'!N33:O33,P$41)+COUNTIF('2月'!S33:T33,P$41)+COUNTIF('2月'!X33:Y33,P$41)+COUNTIF('2月'!AC33:AD33,P$41)+COUNTIF('2月'!AH33:AI33,P$41)+COUNTIF('2月'!AM33:AN33,P$41)+COUNTIF('2月'!AR33:AS33,P$41)+COUNTIF('2月'!AW33:AX33,P$41)+COUNTIF('2月'!BB33:BC33,P$41)+COUNTIF('2月'!BG33:BH33,P$41)+COUNTIF('2月'!BL33:BM33,P$41)+COUNTIF('2月'!BQ33:BR33,P$41)+COUNTIF('2月'!BV33:BW33,P$41)+COUNTIF('2月'!CA33:CB33,P$41)+COUNTIF('2月'!CF33:CG33,P$41)+COUNTIF('2月'!CK33:CL33,P$41)+COUNTIF('2月'!CP33:CQ33,P$41)+COUNTIF('2月'!CU33:CV33,P$41)+COUNTIF('2月'!CZ33:DA33,P$41)+COUNTIF('2月'!DE33:DF33,P$41)+COUNTIF('2月'!DJ33:DK33,P$41)+COUNTIF('2月'!DO33:DP33,P$41)+COUNTIF('2月'!DT33:DU33,P$41)+COUNTIF('2月'!DY33:DZ33,P$41)+COUNTIF('2月'!ED33:EE33,P$41)+COUNTIF('2月'!EI33:EJ33,P$41)+COUNTIF('2月'!EN33:EO33,P$41)+COUNTIF('2月'!ES33:ET33,P$41)+COUNTIF('2月'!D33:E33,"荻窪ー夜勤")+COUNTIF('2月'!I33:J33,"荻窪ー夜勤")+COUNTIF('2月'!N33:O33,"荻窪ー夜勤")+COUNTIF('2月'!S33:T33,"荻窪ー夜勤")+COUNTIF('2月'!X33:Y33,"荻窪ー夜勤")+COUNTIF('2月'!AC33:AD33,"荻窪ー夜勤")+COUNTIF('2月'!AH33:AI33,"荻窪ー夜勤")+COUNTIF('2月'!AM33:AN33,"荻窪ー夜勤")+COUNTIF('2月'!AR33:AS33,"荻窪ー夜勤")+COUNTIF('2月'!AW33:AX33,"荻窪ー夜勤")+COUNTIF('2月'!BB33:BC33,"荻窪ー夜勤")+COUNTIF('2月'!BG33:BH33,"荻窪ー夜勤")+COUNTIF('2月'!BL33:BM33,"荻窪ー夜勤")+COUNTIF('2月'!BQ33:BR33,"荻窪ー夜勤")+COUNTIF('2月'!BV33:BW33,"荻窪ー夜勤")+COUNTIF('2月'!CA33:CB33,"荻窪ー夜勤")+COUNTIF('2月'!CF33:CG33,"荻窪ー夜勤")+COUNTIF('2月'!CK33:CL33,"荻窪ー夜勤")+COUNTIF('2月'!CP33:CQ33,"荻窪ー夜勤")+COUNTIF('2月'!CU33:CV33,"荻窪ー夜勤")+COUNTIF('2月'!CZ33:DA33,"荻窪ー夜勤")+COUNTIF('2月'!DE33:DF33,"荻窪ー夜勤")+COUNTIF('2月'!DJ33:DK33,"荻窪ー夜勤")+COUNTIF('2月'!DO33:DP33,"荻窪ー夜勤")+COUNTIF('2月'!DT33:DU33,"荻窪ー夜勤")+COUNTIF('2月'!DY33:DZ33,"荻窪ー夜勤")+COUNTIF('2月'!ED33:EE33,"荻窪ー夜勤")+COUNTIF('2月'!EI33:EJ33,"荻窪ー夜勤")+COUNTIF('2月'!EN33:EO33,"荻窪ー夜勤")+COUNTIF('2月'!ES33:ET33,"荻窪ー夜勤")</f>
        <v>0</v>
      </c>
      <c r="Q72" s="76">
        <f t="shared" si="19"/>
        <v>0</v>
      </c>
      <c r="R72" s="76">
        <f>COUNTIF('2月'!D33:E33,R$41)+COUNTIF('2月'!I33:J33,R$41)+COUNTIF('2月'!N33:O33,R$41)+COUNTIF('2月'!S33:T33,R$41)+COUNTIF('2月'!X33:Y33,R$41)+COUNTIF('2月'!AC33:AD33,R$41)+COUNTIF('2月'!AH33:AI33,R$41)+COUNTIF('2月'!AM33:AN33,R$41)+COUNTIF('2月'!AR33:AS33,R$41)+COUNTIF('2月'!AW33:AX33,R$41)+COUNTIF('2月'!BB33:BC33,R$41)+COUNTIF('2月'!BG33:BH33,R$41)+COUNTIF('2月'!BL33:BM33,R$41)+COUNTIF('2月'!BQ33:BR33,R$41)+COUNTIF('2月'!BV33:BW33,R$41)+COUNTIF('2月'!CA33:CB33,R$41)+COUNTIF('2月'!CF33:CG33,R$41)+COUNTIF('2月'!CK33:CL33,R$41)+COUNTIF('2月'!CP33:CQ33,R$41)+COUNTIF('2月'!CU33:CV33,R$41)+COUNTIF('2月'!CZ33:DA33,R$41)+COUNTIF('2月'!DE33:DF33,R$41)+COUNTIF('2月'!DJ33:DK33,R$41)+COUNTIF('2月'!DO33:DP33,R$41)+COUNTIF('2月'!DT33:DU33,R$41)+COUNTIF('2月'!DY33:DZ33,R$41)+COUNTIF('2月'!ED33:EE33,R$41)+COUNTIF('2月'!EI33:EJ33,R$41)+COUNTIF('2月'!EN33:EO33,R$41)+COUNTIF('2月'!ES33:ET33,R$41)</f>
        <v>0</v>
      </c>
      <c r="S72" s="76">
        <f t="shared" si="20"/>
        <v>0</v>
      </c>
      <c r="T72" s="76">
        <f>COUNTIF('2月'!D33:E33,T$41)+COUNTIF('2月'!I33:J33,T$41)+COUNTIF('2月'!N33:O33,T$41)+COUNTIF('2月'!S33:T33,T$41)+COUNTIF('2月'!X33:Y33,T$41)+COUNTIF('2月'!AC33:AD33,T$41)+COUNTIF('2月'!AH33:AI33,T$41)+COUNTIF('2月'!AM33:AN33,T$41)+COUNTIF('2月'!AR33:AS33,T$41)+COUNTIF('2月'!AW33:AX33,T$41)+COUNTIF('2月'!BB33:BC33,T$41)+COUNTIF('2月'!BG33:BH33,T$41)+COUNTIF('2月'!BL33:BM33,T$41)+COUNTIF('2月'!BQ33:BR33,T$41)+COUNTIF('2月'!BV33:BW33,T$41)+COUNTIF('2月'!CA33:CB33,T$41)+COUNTIF('2月'!CF33:CG33,T$41)+COUNTIF('2月'!CK33:CL33,T$41)+COUNTIF('2月'!CP33:CQ33,T$41)+COUNTIF('2月'!CU33:CV33,T$41)+COUNTIF('2月'!CZ33:DA33,T$41)+COUNTIF('2月'!DE33:DF33,T$41)+COUNTIF('2月'!DJ33:DK33,T$41)+COUNTIF('2月'!DO33:DP33,T$41)+COUNTIF('2月'!DT33:DU33,T$41)+COUNTIF('2月'!DY33:DZ33,T$41)+COUNTIF('2月'!ED33:EE33,T$41)+COUNTIF('2月'!EI33:EJ33,T$41)+COUNTIF('2月'!EN33:EO33,T$41)+COUNTIF('2月'!ES33:ET33,T$41)</f>
        <v>0</v>
      </c>
      <c r="U72" s="76">
        <f t="shared" si="21"/>
        <v>0</v>
      </c>
      <c r="V72" s="76">
        <f>COUNTIF('2月'!D33:E33,V$41)+COUNTIF('2月'!I33:J33,V$41)+COUNTIF('2月'!N33:O33,V$41)+COUNTIF('2月'!S33:T33,V$41)+COUNTIF('2月'!X33:Y33,V$41)+COUNTIF('2月'!AC33:AD33,V$41)+COUNTIF('2月'!AH33:AI33,V$41)+COUNTIF('2月'!AM33:AN33,V$41)+COUNTIF('2月'!AR33:AS33,V$41)+COUNTIF('2月'!AW33:AX33,V$41)+COUNTIF('2月'!BB33:BC33,V$41)+COUNTIF('2月'!BG33:BH33,V$41)+COUNTIF('2月'!BL33:BM33,V$41)+COUNTIF('2月'!BQ33:BR33,V$41)+COUNTIF('2月'!BV33:BW33,V$41)+COUNTIF('2月'!CA33:CB33,V$41)+COUNTIF('2月'!CF33:CG33,V$41)+COUNTIF('2月'!CK33:CL33,V$41)+COUNTIF('2月'!CP33:CQ33,V$41)+COUNTIF('2月'!CU33:CV33,V$41)+COUNTIF('2月'!CZ33:DA33,V$41)+COUNTIF('2月'!DE33:DF33,V$41)+COUNTIF('2月'!DJ33:DK33,V$41)+COUNTIF('2月'!DO33:DP33,V$41)+COUNTIF('2月'!DT33:DU33,V$41)+COUNTIF('2月'!DY33:DZ33,V$41)+COUNTIF('2月'!ED33:EE33,V$41)+COUNTIF('2月'!EI33:EJ33,V$41)+COUNTIF('2月'!EN33:EO33,V$41)+COUNTIF('2月'!ES33:ET33,V$41)</f>
        <v>0</v>
      </c>
      <c r="W72" s="76">
        <f t="shared" si="22"/>
        <v>0</v>
      </c>
      <c r="X72" s="76">
        <f>COUNTIF('2月'!D33:E33,X$41)+COUNTIF('2月'!I33:J33,X$41)+COUNTIF('2月'!N33:O33,X$41)+COUNTIF('2月'!S33:T33,X$41)+COUNTIF('2月'!X33:Y33,X$41)+COUNTIF('2月'!AC33:AD33,X$41)+COUNTIF('2月'!AH33:AI33,X$41)+COUNTIF('2月'!AM33:AN33,X$41)+COUNTIF('2月'!AR33:AS33,X$41)+COUNTIF('2月'!AW33:AX33,X$41)+COUNTIF('2月'!BB33:BC33,X$41)+COUNTIF('2月'!BG33:BH33,X$41)+COUNTIF('2月'!BL33:BM33,X$41)+COUNTIF('2月'!BQ33:BR33,X$41)+COUNTIF('2月'!BV33:BW33,X$41)+COUNTIF('2月'!CA33:CB33,X$41)+COUNTIF('2月'!CF33:CG33,X$41)+COUNTIF('2月'!CK33:CL33,X$41)+COUNTIF('2月'!CP33:CQ33,X$41)+COUNTIF('2月'!CU33:CV33,X$41)+COUNTIF('2月'!CZ33:DA33,X$41)+COUNTIF('2月'!DE33:DF33,X$41)+COUNTIF('2月'!DJ33:DK33,X$41)+COUNTIF('2月'!DO33:DP33,X$41)+COUNTIF('2月'!DT33:DU33,X$41)+COUNTIF('2月'!DY33:DZ33,X$41)+COUNTIF('2月'!ED33:EE33,X$41)+COUNTIF('2月'!EI33:EJ33,X$41)+COUNTIF('2月'!EN33:EO33,X$41)+COUNTIF('2月'!ES33:ET33,X$41)</f>
        <v>0</v>
      </c>
      <c r="Y72" s="76">
        <f t="shared" si="23"/>
        <v>0</v>
      </c>
    </row>
    <row r="73" spans="1:25" ht="18" customHeight="1">
      <c r="A73" s="76">
        <v>31</v>
      </c>
      <c r="B73" s="76">
        <f>COUNTIF('2月'!D34:E34,B$41)+COUNTIF('2月'!I34:J34,B$41)+COUNTIF('2月'!N34:O34,B$41)+COUNTIF('2月'!S34:T34,B$41)+COUNTIF('2月'!X34:Y34,B$41)+COUNTIF('2月'!AC34:AD34,B$41)+COUNTIF('2月'!AH34:AI34,B$41)+COUNTIF('2月'!AM34:AN34,B$41)+COUNTIF('2月'!AR34:AS34,B$41)+COUNTIF('2月'!AW34:AX34,B$41)+COUNTIF('2月'!BB34:BC34,B$41)+COUNTIF('2月'!BG34:BH34,B$41)+COUNTIF('2月'!BL34:BM34,B$41)+COUNTIF('2月'!BQ34:BR34,B$41)+COUNTIF('2月'!BV34:BW34,B$41)+COUNTIF('2月'!CA34:CB34,B$41)+COUNTIF('2月'!CF34:CG34,B$41)+COUNTIF('2月'!CK34:CL34,B$41)+COUNTIF('2月'!CP34:CQ34,B$41)+COUNTIF('2月'!CU34:CV34,B$41)+COUNTIF('2月'!CZ34:DA34,B$41)+COUNTIF('2月'!DE34:DF34,B$41)+COUNTIF('2月'!DJ34:DK34,B$41)+COUNTIF('2月'!DO34:DP34,B$41)+COUNTIF('2月'!DT34:DU34,B$41)+COUNTIF('2月'!DY34:DZ34,B$41)+COUNTIF('2月'!ED34:EE34,B$41)+COUNTIF('2月'!EI34:EJ34,B$41)+COUNTIF('2月'!EN34:EO34,B$41)+COUNTIF('2月'!ES34:ET34,B$41)</f>
        <v>0</v>
      </c>
      <c r="C73" s="76">
        <f t="shared" si="12"/>
        <v>0</v>
      </c>
      <c r="D73" s="76">
        <f>COUNTIF('2月'!D34:E34,D$41)+COUNTIF('2月'!I34:J34,D$41)+COUNTIF('2月'!N34:O34,D$41)+COUNTIF('2月'!S34:T34,D$41)+COUNTIF('2月'!X34:Y34,D$41)+COUNTIF('2月'!AC34:AD34,D$41)+COUNTIF('2月'!AH34:AI34,D$41)+COUNTIF('2月'!AM34:AN34,D$41)+COUNTIF('2月'!AR34:AS34,D$41)+COUNTIF('2月'!AW34:AX34,D$41)+COUNTIF('2月'!BB34:BC34,D$41)+COUNTIF('2月'!BG34:BH34,D$41)+COUNTIF('2月'!BL34:BM34,D$41)+COUNTIF('2月'!BQ34:BR34,D$41)+COUNTIF('2月'!BV34:BW34,D$41)+COUNTIF('2月'!CA34:CB34,D$41)+COUNTIF('2月'!CF34:CG34,D$41)+COUNTIF('2月'!CK34:CL34,D$41)+COUNTIF('2月'!CP34:CQ34,D$41)+COUNTIF('2月'!CU34:CV34,D$41)+COUNTIF('2月'!CZ34:DA34,D$41)+COUNTIF('2月'!DE34:DF34,D$41)+COUNTIF('2月'!DJ34:DK34,D$41)+COUNTIF('2月'!DO34:DP34,D$41)+COUNTIF('2月'!DT34:DU34,D$41)+COUNTIF('2月'!DY34:DZ34,D$41)+COUNTIF('2月'!ED34:EE34,D$41)+COUNTIF('2月'!EI34:EJ34,D$41)+COUNTIF('2月'!EN34:EO34,D$41)+COUNTIF('2月'!ES34:ET34,D$41)</f>
        <v>0</v>
      </c>
      <c r="E73" s="76">
        <f t="shared" si="13"/>
        <v>0</v>
      </c>
      <c r="F73" s="76">
        <f>COUNTIF('2月'!D34:E34,F$41)+COUNTIF('2月'!I34:J34,F$41)+COUNTIF('2月'!N34:O34,F$41)+COUNTIF('2月'!S34:T34,F$41)+COUNTIF('2月'!X34:Y34,F$41)+COUNTIF('2月'!AC34:AD34,F$41)+COUNTIF('2月'!AH34:AI34,F$41)+COUNTIF('2月'!AM34:AN34,F$41)+COUNTIF('2月'!AR34:AS34,F$41)+COUNTIF('2月'!AW34:AX34,F$41)+COUNTIF('2月'!BB34:BC34,F$41)+COUNTIF('2月'!BG34:BH34,F$41)+COUNTIF('2月'!BL34:BM34,F$41)+COUNTIF('2月'!BQ34:BR34,F$41)+COUNTIF('2月'!BV34:BW34,F$41)+COUNTIF('2月'!CA34:CB34,F$41)+COUNTIF('2月'!CF34:CG34,F$41)+COUNTIF('2月'!CK34:CL34,F$41)+COUNTIF('2月'!CP34:CQ34,F$41)+COUNTIF('2月'!CU34:CV34,F$41)+COUNTIF('2月'!CZ34:DA34,F$41)+COUNTIF('2月'!DE34:DF34,F$41)+COUNTIF('2月'!DJ34:DK34,F$41)+COUNTIF('2月'!DO34:DP34,F$41)+COUNTIF('2月'!DT34:DU34,F$41)+COUNTIF('2月'!DY34:DZ34,F$41)+COUNTIF('2月'!ED34:EE34,F$41)+COUNTIF('2月'!EI34:EJ34,F$41)+COUNTIF('2月'!EN34:EO34,F$41)+COUNTIF('2月'!ES34:ET34,F$41)</f>
        <v>0</v>
      </c>
      <c r="G73" s="76">
        <f t="shared" si="14"/>
        <v>0</v>
      </c>
      <c r="H73" s="76">
        <f>COUNTIF('2月'!D34:E34,H$41)+COUNTIF('2月'!I34:J34,H$41)+COUNTIF('2月'!N34:O34,H$41)+COUNTIF('2月'!S34:T34,H$41)+COUNTIF('2月'!X34:Y34,H$41)+COUNTIF('2月'!AC34:AD34,H$41)+COUNTIF('2月'!AH34:AI34,H$41)+COUNTIF('2月'!AM34:AN34,H$41)+COUNTIF('2月'!AR34:AS34,H$41)+COUNTIF('2月'!AW34:AX34,H$41)+COUNTIF('2月'!BB34:BC34,H$41)+COUNTIF('2月'!BG34:BH34,H$41)+COUNTIF('2月'!BL34:BM34,H$41)+COUNTIF('2月'!BQ34:BR34,H$41)+COUNTIF('2月'!BV34:BW34,H$41)+COUNTIF('2月'!CA34:CB34,H$41)+COUNTIF('2月'!CF34:CG34,H$41)+COUNTIF('2月'!CK34:CL34,H$41)+COUNTIF('2月'!CP34:CQ34,H$41)+COUNTIF('2月'!CU34:CV34,H$41)+COUNTIF('2月'!CZ34:DA34,H$41)+COUNTIF('2月'!DE34:DF34,H$41)+COUNTIF('2月'!DJ34:DK34,H$41)+COUNTIF('2月'!DO34:DP34,H$41)+COUNTIF('2月'!DT34:DU34,H$41)+COUNTIF('2月'!DY34:DZ34,H$41)+COUNTIF('2月'!ED34:EE34,H$41)+COUNTIF('2月'!EI34:EJ34,H$41)+COUNTIF('2月'!EN34:EO34,H$41)+COUNTIF('2月'!ES34:ET34,H$41)+COUNTIF('2月'!D34:E34,"渋谷-夜勤")+COUNTIF('2月'!I34:J34,"渋谷-夜勤")+COUNTIF('2月'!N34:O34,"渋谷-夜勤")+COUNTIF('2月'!S34:T34,"渋谷-夜勤")+COUNTIF('2月'!X34:Y34,"渋谷-夜勤")+COUNTIF('2月'!AC34:AD34,"渋谷-夜勤")+COUNTIF('2月'!AH34:AI34,"渋谷-夜勤")+COUNTIF('2月'!AM34:AN34,"渋谷-夜勤")+COUNTIF('2月'!AR34:AS34,"渋谷-夜勤")+COUNTIF('2月'!AW34:AX34,"渋谷-夜勤")+COUNTIF('2月'!BB34:BC34,"渋谷-夜勤")+COUNTIF('2月'!BG34:BH34,"渋谷-夜勤")+COUNTIF('2月'!BL34:BM34,"渋谷-夜勤")+COUNTIF('2月'!BQ34:BR34,"渋谷-夜勤")+COUNTIF('2月'!BV34:BW34,"渋谷-夜勤")+COUNTIF('2月'!CA34:CB34,"渋谷-夜勤")+COUNTIF('2月'!CF34:CG34,"渋谷-夜勤")+COUNTIF('2月'!CK34:CL34,"渋谷-夜勤")+COUNTIF('2月'!CP34:CQ34,"渋谷-夜勤")+COUNTIF('2月'!CU34:CV34,"渋谷-夜勤")+COUNTIF('2月'!CZ34:DA34,"渋谷-夜勤")+COUNTIF('2月'!DE34:DF34,"渋谷-夜勤")+COUNTIF('2月'!DJ34:DK34,"渋谷-夜勤")+COUNTIF('2月'!DO34:DP34,"渋谷-夜勤")+COUNTIF('2月'!DT34:DU34,"渋谷-夜勤")+COUNTIF('2月'!DY34:DZ34,"渋谷-夜勤")+COUNTIF('2月'!ED34:EE34,"渋谷-夜勤")+COUNTIF('2月'!EI34:EJ34,"渋谷-夜勤")+COUNTIF('2月'!EN34:EO34,"渋谷-夜勤")+COUNTIF('2月'!ES34:ET34,"渋谷-夜勤")</f>
        <v>0</v>
      </c>
      <c r="I73" s="76">
        <f t="shared" si="15"/>
        <v>0</v>
      </c>
      <c r="J73" s="76">
        <f>COUNTIF('2月'!D34:E34,J$41)+COUNTIF('2月'!I34:J34,J$41)+COUNTIF('2月'!N34:O34,J$41)+COUNTIF('2月'!S34:T34,J$41)+COUNTIF('2月'!X34:Y34,J$41)+COUNTIF('2月'!AC34:AD34,J$41)+COUNTIF('2月'!AH34:AI34,J$41)+COUNTIF('2月'!AM34:AN34,J$41)+COUNTIF('2月'!AR34:AS34,J$41)+COUNTIF('2月'!AW34:AX34,J$41)+COUNTIF('2月'!BB34:BC34,J$41)+COUNTIF('2月'!BG34:BH34,J$41)+COUNTIF('2月'!BL34:BM34,J$41)+COUNTIF('2月'!BQ34:BR34,J$41)+COUNTIF('2月'!BV34:BW34,J$41)+COUNTIF('2月'!CA34:CB34,J$41)+COUNTIF('2月'!CF34:CG34,J$41)+COUNTIF('2月'!CK34:CL34,J$41)+COUNTIF('2月'!CP34:CQ34,J$41)+COUNTIF('2月'!CU34:CV34,J$41)+COUNTIF('2月'!CZ34:DA34,J$41)+COUNTIF('2月'!DE34:DF34,J$41)+COUNTIF('2月'!DJ34:DK34,J$41)+COUNTIF('2月'!DO34:DP34,J$41)+COUNTIF('2月'!DT34:DU34,J$41)+COUNTIF('2月'!DY34:DZ34,J$41)+COUNTIF('2月'!ED34:EE34,J$41)+COUNTIF('2月'!EI34:EJ34,J$41)+COUNTIF('2月'!EN34:EO34,J$41)+COUNTIF('2月'!ES34:ET34,J$41)+COUNTIF('2月'!D34:E34,"六本木-夜勤")+COUNTIF('2月'!I34:J34,"六本木-夜勤")+COUNTIF('2月'!N34:O34,"六本木-夜勤")+COUNTIF('2月'!S34:T34,"六本木-夜勤")+COUNTIF('2月'!X34:Y34,"六本木-夜勤")+COUNTIF('2月'!AC34:AD34,"六本木-夜勤")+COUNTIF('2月'!AH34:AI34,"六本木-夜勤")+COUNTIF('2月'!AM34:AN34,"六本木-夜勤")+COUNTIF('2月'!AR34:AS34,"六本木-夜勤")+COUNTIF('2月'!AW34:AX34,"六本木-夜勤")+COUNTIF('2月'!BB34:BC34,"六本木-夜勤")+COUNTIF('2月'!BG34:BH34,"六本木-夜勤")+COUNTIF('2月'!BL34:BM34,"六本木-夜勤")+COUNTIF('2月'!BQ34:BR34,"六本木-夜勤")+COUNTIF('2月'!BV34:BW34,"六本木-夜勤")+COUNTIF('2月'!CA34:CB34,"六本木-夜勤")+COUNTIF('2月'!CF34:CG34,"六本木-夜勤")+COUNTIF('2月'!CK34:CL34,"六本木-夜勤")+COUNTIF('2月'!CP34:CQ34,"六本木-夜勤")+COUNTIF('2月'!CU34:CV34,"六本木-夜勤")+COUNTIF('2月'!CZ34:DA34,"六本木-夜勤")+COUNTIF('2月'!DE34:DF34,"六本木-夜勤")+COUNTIF('2月'!DJ34:DK34,"六本木-夜勤")+COUNTIF('2月'!DO34:DP34,"六本木-夜勤")+COUNTIF('2月'!DT34:DU34,"六本木-夜勤")+COUNTIF('2月'!DY34:DZ34,"六本木-夜勤")+COUNTIF('2月'!ED34:EE34,"六本木-夜勤")+COUNTIF('2月'!EI34:EJ34,"六本木-夜勤")+COUNTIF('2月'!EN34:EO34,"六本木-夜勤")+COUNTIF('2月'!ES34:ET34,"六本木-夜勤")+COUNTIF('2月'!D34:E34,"六本木ー夜勤")+COUNTIF('2月'!I34:J34,"六本木ー夜勤")+COUNTIF('2月'!N34:O34,"六本木ー夜勤")+COUNTIF('2月'!S34:T34,"六本木ー夜勤")+COUNTIF('2月'!X34:Y34,"六本木ー夜勤")+COUNTIF('2月'!AC34:AD34,"六本木ー夜勤")+COUNTIF('2月'!AH34:AI34,"六本木ー夜勤")+COUNTIF('2月'!AM34:AN34,"六本木ー夜勤")+COUNTIF('2月'!AR34:AS34,"六本木ー夜勤")+COUNTIF('2月'!AW34:AX34,"六本木ー夜勤")+COUNTIF('2月'!BB34:BC34,"六本木ー夜勤")+COUNTIF('2月'!BG34:BH34,"六本木ー夜勤")+COUNTIF('2月'!BL34:BM34,"六本木ー夜勤")+COUNTIF('2月'!BQ34:BR34,"六本木ー夜勤")+COUNTIF('2月'!BV34:BW34,"六本木ー夜勤")+COUNTIF('2月'!CA34:CB34,"六本木ー夜勤")+COUNTIF('2月'!CF34:CG34,"六本木ー夜勤")+COUNTIF('2月'!CK34:CL34,"六本木ー夜勤")+COUNTIF('2月'!CP34:CQ34,"六本木ー夜勤")+COUNTIF('2月'!CU34:CV34,"六本木ー夜勤")+COUNTIF('2月'!CZ34:DA34,"六本木ー夜勤")+COUNTIF('2月'!DE34:DF34,"六本木ー夜勤")+COUNTIF('2月'!DJ34:DK34,"六本木ー夜勤")+COUNTIF('2月'!DO34:DP34,"六本木ー夜勤")+COUNTIF('2月'!DT34:DU34,"六本木ー夜勤")+COUNTIF('2月'!DY34:DZ34,"六本木ー夜勤")+COUNTIF('2月'!ED34:EE34,"六本木ー夜勤")+COUNTIF('2月'!EI34:EJ34,"六本木ー夜勤")+COUNTIF('2月'!EN34:EO34,"六本木ー夜勤")+COUNTIF('2月'!ES34:ET34,"六本木ー夜勤")</f>
        <v>0</v>
      </c>
      <c r="K73" s="76">
        <f t="shared" si="16"/>
        <v>0</v>
      </c>
      <c r="L73" s="76">
        <f>COUNTIF('2月'!D34:E34,L$41)+COUNTIF('2月'!I34:J34,L$41)+COUNTIF('2月'!N34:O34,L$41)+COUNTIF('2月'!S34:T34,L$41)+COUNTIF('2月'!X34:Y34,L$41)+COUNTIF('2月'!AC34:AD34,L$41)+COUNTIF('2月'!AH34:AI34,L$41)+COUNTIF('2月'!AM34:AN34,L$41)+COUNTIF('2月'!AR34:AS34,L$41)+COUNTIF('2月'!AW34:AX34,L$41)+COUNTIF('2月'!BB34:BC34,L$41)+COUNTIF('2月'!BG34:BH34,L$41)+COUNTIF('2月'!BL34:BM34,L$41)+COUNTIF('2月'!BQ34:BR34,L$41)+COUNTIF('2月'!BV34:BW34,L$41)+COUNTIF('2月'!CA34:CB34,L$41)+COUNTIF('2月'!CF34:CG34,L$41)+COUNTIF('2月'!CK34:CL34,L$41)+COUNTIF('2月'!CP34:CQ34,L$41)+COUNTIF('2月'!CU34:CV34,L$41)+COUNTIF('2月'!CZ34:DA34,L$41)+COUNTIF('2月'!DE34:DF34,L$41)+COUNTIF('2月'!DJ34:DK34,L$41)+COUNTIF('2月'!DO34:DP34,L$41)+COUNTIF('2月'!DT34:DU34,L$41)+COUNTIF('2月'!DY34:DZ34,L$41)+COUNTIF('2月'!ED34:EE34,L$41)+COUNTIF('2月'!EI34:EJ34,L$41)+COUNTIF('2月'!EN34:EO34,L$41)+COUNTIF('2月'!ES34:ET34,L$41)</f>
        <v>0</v>
      </c>
      <c r="M73" s="76">
        <f t="shared" si="17"/>
        <v>0</v>
      </c>
      <c r="N73" s="76">
        <f>COUNTIF('2月'!D34:E34,N$41)+COUNTIF('2月'!I34:J34,N$41)+COUNTIF('2月'!N34:O34,N$41)+COUNTIF('2月'!S34:T34,N$41)+COUNTIF('2月'!X34:Y34,N$41)+COUNTIF('2月'!AC34:AD34,N$41)+COUNTIF('2月'!AH34:AI34,N$41)+COUNTIF('2月'!AM34:AN34,N$41)+COUNTIF('2月'!AR34:AS34,N$41)+COUNTIF('2月'!AW34:AX34,N$41)+COUNTIF('2月'!BB34:BC34,N$41)+COUNTIF('2月'!BG34:BH34,N$41)+COUNTIF('2月'!BL34:BM34,N$41)+COUNTIF('2月'!BQ34:BR34,N$41)+COUNTIF('2月'!BV34:BW34,N$41)+COUNTIF('2月'!CA34:CB34,N$41)+COUNTIF('2月'!CF34:CG34,N$41)+COUNTIF('2月'!CK34:CL34,N$41)+COUNTIF('2月'!CP34:CQ34,N$41)+COUNTIF('2月'!CU34:CV34,N$41)+COUNTIF('2月'!CZ34:DA34,N$41)+COUNTIF('2月'!DE34:DF34,N$41)+COUNTIF('2月'!DJ34:DK34,N$41)+COUNTIF('2月'!DO34:DP34,N$41)+COUNTIF('2月'!DT34:DU34,N$41)+COUNTIF('2月'!DY34:DZ34,N$41)+COUNTIF('2月'!ED34:EE34,N$41)+COUNTIF('2月'!EI34:EJ34,N$41)+COUNTIF('2月'!EN34:EO34,N$41)+COUNTIF('2月'!ES34:ET34,N$41)+COUNTIF('2月'!D34:E34,"三軒茶屋－夜勤")+COUNTIF('2月'!I34:J34,"三軒茶屋－夜勤")+COUNTIF('2月'!N34:O34,"三軒茶屋－夜勤")+COUNTIF('2月'!S34:T34,"三軒茶屋－夜勤")+COUNTIF('2月'!X34:Y34,"三軒茶屋－夜勤")+COUNTIF('2月'!AC34:AD34,"三軒茶屋－夜勤")+COUNTIF('2月'!AH34:AI34,"三軒茶屋－夜勤")+COUNTIF('2月'!AM34:AN34,"三軒茶屋－夜勤")+COUNTIF('2月'!AR34:AS34,"三軒茶屋－夜勤")+COUNTIF('2月'!AW34:AX34,"三軒茶屋－夜勤")+COUNTIF('2月'!BB34:BC34,"三軒茶屋－夜勤")+COUNTIF('2月'!BG34:BH34,"三軒茶屋－夜勤")+COUNTIF('2月'!BL34:BM34,"三軒茶屋－夜勤")+COUNTIF('2月'!BQ34:BR34,"三軒茶屋－夜勤")+COUNTIF('2月'!BV34:BW34,"三軒茶屋－夜勤")+COUNTIF('2月'!CA34:CB34,"三軒茶屋－夜勤")+COUNTIF('2月'!CF34:CG34,"三軒茶屋－夜勤")+COUNTIF('2月'!CK34:CL34,"三軒茶屋－夜勤")+COUNTIF('2月'!CP34:CQ34,"三軒茶屋－夜勤")+COUNTIF('2月'!CU34:CV34,"三軒茶屋－夜勤")+COUNTIF('2月'!CZ34:DA34,"三軒茶屋－夜勤")+COUNTIF('2月'!DE34:DF34,"三軒茶屋－夜勤")+COUNTIF('2月'!DJ34:DK34,"三軒茶屋－夜勤")+COUNTIF('2月'!DO34:DP34,"三軒茶屋－夜勤")+COUNTIF('2月'!DT34:DU34,"三軒茶屋－夜勤")+COUNTIF('2月'!DY34:DZ34,"三軒茶屋－夜勤")+COUNTIF('2月'!ED34:EE34,"三軒茶屋－夜勤")+COUNTIF('2月'!EI34:EJ34,"三軒茶屋－夜勤")+COUNTIF('2月'!EN34:EO34,"三軒茶屋－夜勤")+COUNTIF('2月'!ES34:ET34,"三軒茶屋－夜勤")</f>
        <v>0</v>
      </c>
      <c r="O73" s="76">
        <f t="shared" si="18"/>
        <v>0</v>
      </c>
      <c r="P73" s="76">
        <f>COUNTIF('2月'!D34:E34,P$41)+COUNTIF('2月'!I34:J34,P$41)+COUNTIF('2月'!N34:O34,P$41)+COUNTIF('2月'!S34:T34,P$41)+COUNTIF('2月'!X34:Y34,P$41)+COUNTIF('2月'!AC34:AD34,P$41)+COUNTIF('2月'!AH34:AI34,P$41)+COUNTIF('2月'!AM34:AN34,P$41)+COUNTIF('2月'!AR34:AS34,P$41)+COUNTIF('2月'!AW34:AX34,P$41)+COUNTIF('2月'!BB34:BC34,P$41)+COUNTIF('2月'!BG34:BH34,P$41)+COUNTIF('2月'!BL34:BM34,P$41)+COUNTIF('2月'!BQ34:BR34,P$41)+COUNTIF('2月'!BV34:BW34,P$41)+COUNTIF('2月'!CA34:CB34,P$41)+COUNTIF('2月'!CF34:CG34,P$41)+COUNTIF('2月'!CK34:CL34,P$41)+COUNTIF('2月'!CP34:CQ34,P$41)+COUNTIF('2月'!CU34:CV34,P$41)+COUNTIF('2月'!CZ34:DA34,P$41)+COUNTIF('2月'!DE34:DF34,P$41)+COUNTIF('2月'!DJ34:DK34,P$41)+COUNTIF('2月'!DO34:DP34,P$41)+COUNTIF('2月'!DT34:DU34,P$41)+COUNTIF('2月'!DY34:DZ34,P$41)+COUNTIF('2月'!ED34:EE34,P$41)+COUNTIF('2月'!EI34:EJ34,P$41)+COUNTIF('2月'!EN34:EO34,P$41)+COUNTIF('2月'!ES34:ET34,P$41)+COUNTIF('2月'!D34:E34,"荻窪ー夜勤")+COUNTIF('2月'!I34:J34,"荻窪ー夜勤")+COUNTIF('2月'!N34:O34,"荻窪ー夜勤")+COUNTIF('2月'!S34:T34,"荻窪ー夜勤")+COUNTIF('2月'!X34:Y34,"荻窪ー夜勤")+COUNTIF('2月'!AC34:AD34,"荻窪ー夜勤")+COUNTIF('2月'!AH34:AI34,"荻窪ー夜勤")+COUNTIF('2月'!AM34:AN34,"荻窪ー夜勤")+COUNTIF('2月'!AR34:AS34,"荻窪ー夜勤")+COUNTIF('2月'!AW34:AX34,"荻窪ー夜勤")+COUNTIF('2月'!BB34:BC34,"荻窪ー夜勤")+COUNTIF('2月'!BG34:BH34,"荻窪ー夜勤")+COUNTIF('2月'!BL34:BM34,"荻窪ー夜勤")+COUNTIF('2月'!BQ34:BR34,"荻窪ー夜勤")+COUNTIF('2月'!BV34:BW34,"荻窪ー夜勤")+COUNTIF('2月'!CA34:CB34,"荻窪ー夜勤")+COUNTIF('2月'!CF34:CG34,"荻窪ー夜勤")+COUNTIF('2月'!CK34:CL34,"荻窪ー夜勤")+COUNTIF('2月'!CP34:CQ34,"荻窪ー夜勤")+COUNTIF('2月'!CU34:CV34,"荻窪ー夜勤")+COUNTIF('2月'!CZ34:DA34,"荻窪ー夜勤")+COUNTIF('2月'!DE34:DF34,"荻窪ー夜勤")+COUNTIF('2月'!DJ34:DK34,"荻窪ー夜勤")+COUNTIF('2月'!DO34:DP34,"荻窪ー夜勤")+COUNTIF('2月'!DT34:DU34,"荻窪ー夜勤")+COUNTIF('2月'!DY34:DZ34,"荻窪ー夜勤")+COUNTIF('2月'!ED34:EE34,"荻窪ー夜勤")+COUNTIF('2月'!EI34:EJ34,"荻窪ー夜勤")+COUNTIF('2月'!EN34:EO34,"荻窪ー夜勤")+COUNTIF('2月'!ES34:ET34,"荻窪ー夜勤")</f>
        <v>0</v>
      </c>
      <c r="Q73" s="76">
        <f t="shared" si="19"/>
        <v>0</v>
      </c>
      <c r="R73" s="76">
        <f>COUNTIF('2月'!D34:E34,R$41)+COUNTIF('2月'!I34:J34,R$41)+COUNTIF('2月'!N34:O34,R$41)+COUNTIF('2月'!S34:T34,R$41)+COUNTIF('2月'!X34:Y34,R$41)+COUNTIF('2月'!AC34:AD34,R$41)+COUNTIF('2月'!AH34:AI34,R$41)+COUNTIF('2月'!AM34:AN34,R$41)+COUNTIF('2月'!AR34:AS34,R$41)+COUNTIF('2月'!AW34:AX34,R$41)+COUNTIF('2月'!BB34:BC34,R$41)+COUNTIF('2月'!BG34:BH34,R$41)+COUNTIF('2月'!BL34:BM34,R$41)+COUNTIF('2月'!BQ34:BR34,R$41)+COUNTIF('2月'!BV34:BW34,R$41)+COUNTIF('2月'!CA34:CB34,R$41)+COUNTIF('2月'!CF34:CG34,R$41)+COUNTIF('2月'!CK34:CL34,R$41)+COUNTIF('2月'!CP34:CQ34,R$41)+COUNTIF('2月'!CU34:CV34,R$41)+COUNTIF('2月'!CZ34:DA34,R$41)+COUNTIF('2月'!DE34:DF34,R$41)+COUNTIF('2月'!DJ34:DK34,R$41)+COUNTIF('2月'!DO34:DP34,R$41)+COUNTIF('2月'!DT34:DU34,R$41)+COUNTIF('2月'!DY34:DZ34,R$41)+COUNTIF('2月'!ED34:EE34,R$41)+COUNTIF('2月'!EI34:EJ34,R$41)+COUNTIF('2月'!EN34:EO34,R$41)+COUNTIF('2月'!ES34:ET34,R$41)</f>
        <v>0</v>
      </c>
      <c r="S73" s="76">
        <f t="shared" si="20"/>
        <v>0</v>
      </c>
      <c r="T73" s="76">
        <f>COUNTIF('2月'!D34:E34,T$41)+COUNTIF('2月'!I34:J34,T$41)+COUNTIF('2月'!N34:O34,T$41)+COUNTIF('2月'!S34:T34,T$41)+COUNTIF('2月'!X34:Y34,T$41)+COUNTIF('2月'!AC34:AD34,T$41)+COUNTIF('2月'!AH34:AI34,T$41)+COUNTIF('2月'!AM34:AN34,T$41)+COUNTIF('2月'!AR34:AS34,T$41)+COUNTIF('2月'!AW34:AX34,T$41)+COUNTIF('2月'!BB34:BC34,T$41)+COUNTIF('2月'!BG34:BH34,T$41)+COUNTIF('2月'!BL34:BM34,T$41)+COUNTIF('2月'!BQ34:BR34,T$41)+COUNTIF('2月'!BV34:BW34,T$41)+COUNTIF('2月'!CA34:CB34,T$41)+COUNTIF('2月'!CF34:CG34,T$41)+COUNTIF('2月'!CK34:CL34,T$41)+COUNTIF('2月'!CP34:CQ34,T$41)+COUNTIF('2月'!CU34:CV34,T$41)+COUNTIF('2月'!CZ34:DA34,T$41)+COUNTIF('2月'!DE34:DF34,T$41)+COUNTIF('2月'!DJ34:DK34,T$41)+COUNTIF('2月'!DO34:DP34,T$41)+COUNTIF('2月'!DT34:DU34,T$41)+COUNTIF('2月'!DY34:DZ34,T$41)+COUNTIF('2月'!ED34:EE34,T$41)+COUNTIF('2月'!EI34:EJ34,T$41)+COUNTIF('2月'!EN34:EO34,T$41)+COUNTIF('2月'!ES34:ET34,T$41)</f>
        <v>0</v>
      </c>
      <c r="U73" s="76">
        <f t="shared" si="21"/>
        <v>0</v>
      </c>
      <c r="V73" s="76">
        <f>COUNTIF('2月'!D34:E34,V$41)+COUNTIF('2月'!I34:J34,V$41)+COUNTIF('2月'!N34:O34,V$41)+COUNTIF('2月'!S34:T34,V$41)+COUNTIF('2月'!X34:Y34,V$41)+COUNTIF('2月'!AC34:AD34,V$41)+COUNTIF('2月'!AH34:AI34,V$41)+COUNTIF('2月'!AM34:AN34,V$41)+COUNTIF('2月'!AR34:AS34,V$41)+COUNTIF('2月'!AW34:AX34,V$41)+COUNTIF('2月'!BB34:BC34,V$41)+COUNTIF('2月'!BG34:BH34,V$41)+COUNTIF('2月'!BL34:BM34,V$41)+COUNTIF('2月'!BQ34:BR34,V$41)+COUNTIF('2月'!BV34:BW34,V$41)+COUNTIF('2月'!CA34:CB34,V$41)+COUNTIF('2月'!CF34:CG34,V$41)+COUNTIF('2月'!CK34:CL34,V$41)+COUNTIF('2月'!CP34:CQ34,V$41)+COUNTIF('2月'!CU34:CV34,V$41)+COUNTIF('2月'!CZ34:DA34,V$41)+COUNTIF('2月'!DE34:DF34,V$41)+COUNTIF('2月'!DJ34:DK34,V$41)+COUNTIF('2月'!DO34:DP34,V$41)+COUNTIF('2月'!DT34:DU34,V$41)+COUNTIF('2月'!DY34:DZ34,V$41)+COUNTIF('2月'!ED34:EE34,V$41)+COUNTIF('2月'!EI34:EJ34,V$41)+COUNTIF('2月'!EN34:EO34,V$41)+COUNTIF('2月'!ES34:ET34,V$41)</f>
        <v>0</v>
      </c>
      <c r="W73" s="76">
        <f t="shared" si="22"/>
        <v>0</v>
      </c>
      <c r="X73" s="76">
        <f>COUNTIF('2月'!D34:E34,X$41)+COUNTIF('2月'!I34:J34,X$41)+COUNTIF('2月'!N34:O34,X$41)+COUNTIF('2月'!S34:T34,X$41)+COUNTIF('2月'!X34:Y34,X$41)+COUNTIF('2月'!AC34:AD34,X$41)+COUNTIF('2月'!AH34:AI34,X$41)+COUNTIF('2月'!AM34:AN34,X$41)+COUNTIF('2月'!AR34:AS34,X$41)+COUNTIF('2月'!AW34:AX34,X$41)+COUNTIF('2月'!BB34:BC34,X$41)+COUNTIF('2月'!BG34:BH34,X$41)+COUNTIF('2月'!BL34:BM34,X$41)+COUNTIF('2月'!BQ34:BR34,X$41)+COUNTIF('2月'!BV34:BW34,X$41)+COUNTIF('2月'!CA34:CB34,X$41)+COUNTIF('2月'!CF34:CG34,X$41)+COUNTIF('2月'!CK34:CL34,X$41)+COUNTIF('2月'!CP34:CQ34,X$41)+COUNTIF('2月'!CU34:CV34,X$41)+COUNTIF('2月'!CZ34:DA34,X$41)+COUNTIF('2月'!DE34:DF34,X$41)+COUNTIF('2月'!DJ34:DK34,X$41)+COUNTIF('2月'!DO34:DP34,X$41)+COUNTIF('2月'!DT34:DU34,X$41)+COUNTIF('2月'!DY34:DZ34,X$41)+COUNTIF('2月'!ED34:EE34,X$41)+COUNTIF('2月'!EI34:EJ34,X$41)+COUNTIF('2月'!EN34:EO34,X$41)+COUNTIF('2月'!ES34:ET34,X$41)</f>
        <v>0</v>
      </c>
      <c r="Y73" s="76">
        <f t="shared" si="23"/>
        <v>0</v>
      </c>
    </row>
    <row r="74" spans="1:25" ht="21.95" customHeight="1">
      <c r="A74" s="65" t="s">
        <v>116</v>
      </c>
      <c r="B74" s="65">
        <f>SUM(B43:B73)</f>
        <v>0</v>
      </c>
      <c r="C74" s="65"/>
      <c r="D74" s="65">
        <f>SUM(D43:D73)</f>
        <v>0</v>
      </c>
      <c r="E74" s="65"/>
      <c r="F74" s="65">
        <f>SUM(F43:F73)</f>
        <v>0</v>
      </c>
      <c r="G74" s="65"/>
      <c r="H74" s="65">
        <f>SUM(H43:H73)</f>
        <v>0</v>
      </c>
      <c r="I74" s="65"/>
      <c r="J74" s="65">
        <f>SUM(J43:J73)</f>
        <v>0</v>
      </c>
      <c r="K74" s="65"/>
      <c r="L74" s="65">
        <f>SUM(L43:L73)</f>
        <v>0</v>
      </c>
      <c r="M74" s="65"/>
      <c r="N74" s="65">
        <f>SUM(N43:N73)</f>
        <v>0</v>
      </c>
      <c r="O74" s="65"/>
      <c r="P74" s="65">
        <f>SUM(P43:P73)</f>
        <v>0</v>
      </c>
      <c r="Q74" s="65"/>
      <c r="R74" s="65">
        <f>SUM(R43:R73)</f>
        <v>0</v>
      </c>
      <c r="S74" s="65"/>
      <c r="T74" s="65">
        <f>SUM(T43:T73)</f>
        <v>0</v>
      </c>
      <c r="U74" s="65"/>
      <c r="V74" s="65">
        <f>SUM(V43:V73)</f>
        <v>0</v>
      </c>
      <c r="W74" s="65"/>
      <c r="X74" s="65">
        <f>SUM(X43:X73)</f>
        <v>0</v>
      </c>
      <c r="Y74" s="65"/>
    </row>
    <row r="75" spans="1:25" ht="21.95" customHeight="1">
      <c r="A75" s="65" t="s">
        <v>117</v>
      </c>
      <c r="B75" s="65">
        <f>SUM('2月'!H4:H34)+SUM('2月'!M4:M34)+SUM('2月'!R4:R34)+SUM('2月'!W4:W34)+SUM('2月'!AB4:AB34)+SUM('2月'!AG4:AG34)+SUM('2月'!AL4:AL34)+SUM('2月'!AQ4:AQ34)+SUM('2月'!AV4:AV34)+SUM('2月'!BA4:BA34)+SUM('2月'!BF4:BF34)+SUM('2月'!BK4:BK34)+SUM('2月'!BP4:BP34)+SUM('2月'!BU4:BU34)+SUM('2月'!BZ4:BZ34)+SUM('2月'!CE4:CE34)+SUM('2月'!CJ4:CJ34)+SUM('2月'!CO4:CO34)+SUM('2月'!CT4:CT34)+SUM('2月'!CY4:CY34)+SUM('2月'!DD4:DD34)+SUM('2月'!DI4:DI34)+SUM('2月'!DN4:DN34)+SUM('2月'!DS4:DS34)+SUM('2月'!DX4:DX34)+SUM('2月'!EC4:EC34)+SUM('2月'!EH4:EH34)+SUM('2月'!EM4:EM34)+SUM('2月'!ER4:ER34)+SUM('2月'!EW4:EW34)</f>
        <v>0</v>
      </c>
      <c r="C75" s="127" t="s">
        <v>118</v>
      </c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</row>
    <row r="76" spans="1:25" ht="9.9499999999999993" customHeight="1"/>
    <row r="77" spans="1:25" ht="21.95" customHeight="1">
      <c r="A77" s="112" t="str">
        <f>対象年度&amp;"年 3月分  30日締め"</f>
        <v>2026年 3月分  30日締め</v>
      </c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</row>
    <row r="78" spans="1:25" ht="21.95" customHeight="1">
      <c r="A78" s="60" t="s">
        <v>113</v>
      </c>
      <c r="B78" s="123" t="str">
        <f>IFERROR(現場マスタ!$C$4,"")</f>
        <v>新宿</v>
      </c>
      <c r="C78" s="123"/>
      <c r="D78" s="123" t="str">
        <f>IFERROR(現場マスタ!$C$5,"")</f>
        <v>赤坂</v>
      </c>
      <c r="E78" s="123"/>
      <c r="F78" s="123" t="str">
        <f>IFERROR(現場マスタ!$C$6,"")</f>
        <v>渋谷ヒカリエ</v>
      </c>
      <c r="G78" s="123"/>
      <c r="H78" s="123" t="str">
        <f>IFERROR(現場マスタ!$C$7,"")</f>
        <v>六本木ヒルズ</v>
      </c>
      <c r="I78" s="123"/>
      <c r="J78" s="123" t="str">
        <f>IFERROR(現場マスタ!$C$10,"")</f>
        <v>有給</v>
      </c>
      <c r="K78" s="123"/>
      <c r="L78" s="123">
        <f>IFERROR(現場マスタ!$C$12,"")</f>
        <v>0</v>
      </c>
      <c r="M78" s="123"/>
      <c r="N78" s="123">
        <f>IFERROR(現場マスタ!$C$16,"")</f>
        <v>0</v>
      </c>
      <c r="O78" s="123"/>
      <c r="P78" s="123">
        <f>IFERROR(現場マスタ!$C$17,"")</f>
        <v>0</v>
      </c>
      <c r="Q78" s="123"/>
      <c r="R78" s="123">
        <f>IFERROR(現場マスタ!$C$18,"")</f>
        <v>0</v>
      </c>
      <c r="S78" s="123"/>
      <c r="T78" s="123">
        <f>IFERROR(現場マスタ!$C$20,"")</f>
        <v>0</v>
      </c>
      <c r="U78" s="123"/>
      <c r="V78" s="123">
        <f>IFERROR(現場マスタ!$C$21,"")</f>
        <v>0</v>
      </c>
      <c r="W78" s="123"/>
      <c r="X78" s="123">
        <f>IFERROR(現場マスタ!$C$22,"")</f>
        <v>0</v>
      </c>
      <c r="Y78" s="123"/>
    </row>
    <row r="79" spans="1:25" ht="20.100000000000001" customHeight="1">
      <c r="A79" s="60" t="s">
        <v>4</v>
      </c>
      <c r="B79" s="65" t="s">
        <v>114</v>
      </c>
      <c r="C79" s="65" t="s">
        <v>115</v>
      </c>
      <c r="D79" s="65" t="s">
        <v>114</v>
      </c>
      <c r="E79" s="65" t="s">
        <v>115</v>
      </c>
      <c r="F79" s="65" t="s">
        <v>114</v>
      </c>
      <c r="G79" s="65" t="s">
        <v>115</v>
      </c>
      <c r="H79" s="65" t="s">
        <v>114</v>
      </c>
      <c r="I79" s="65" t="s">
        <v>115</v>
      </c>
      <c r="J79" s="65" t="s">
        <v>114</v>
      </c>
      <c r="K79" s="65" t="s">
        <v>115</v>
      </c>
      <c r="L79" s="65" t="s">
        <v>114</v>
      </c>
      <c r="M79" s="65" t="s">
        <v>115</v>
      </c>
      <c r="N79" s="65" t="s">
        <v>114</v>
      </c>
      <c r="O79" s="65" t="s">
        <v>115</v>
      </c>
      <c r="P79" s="65" t="s">
        <v>114</v>
      </c>
      <c r="Q79" s="65" t="s">
        <v>115</v>
      </c>
      <c r="R79" s="65" t="s">
        <v>114</v>
      </c>
      <c r="S79" s="65" t="s">
        <v>115</v>
      </c>
      <c r="T79" s="65" t="s">
        <v>114</v>
      </c>
      <c r="U79" s="65" t="s">
        <v>115</v>
      </c>
      <c r="V79" s="65" t="s">
        <v>114</v>
      </c>
      <c r="W79" s="65" t="s">
        <v>115</v>
      </c>
      <c r="X79" s="65" t="s">
        <v>114</v>
      </c>
      <c r="Y79" s="65" t="s">
        <v>115</v>
      </c>
    </row>
    <row r="80" spans="1:25" ht="18" customHeight="1">
      <c r="A80" s="76">
        <v>1</v>
      </c>
      <c r="B80" s="76">
        <f>COUNTIF('3月'!D4:E4,B$78)+COUNTIF('3月'!I4:J4,B$78)+COUNTIF('3月'!N4:O4,B$78)+COUNTIF('3月'!S4:T4,B$78)+COUNTIF('3月'!X4:Y4,B$78)+COUNTIF('3月'!AC4:AD4,B$78)+COUNTIF('3月'!AH4:AI4,B$78)+COUNTIF('3月'!AM4:AN4,B$78)+COUNTIF('3月'!AR4:AS4,B$78)+COUNTIF('3月'!AW4:AX4,B$78)+COUNTIF('3月'!BB4:BC4,B$78)+COUNTIF('3月'!BG4:BH4,B$78)+COUNTIF('3月'!BL4:BM4,B$78)+COUNTIF('3月'!BQ4:BR4,B$78)+COUNTIF('3月'!BV4:BW4,B$78)+COUNTIF('3月'!CA4:CB4,B$78)+COUNTIF('3月'!CF4:CG4,B$78)+COUNTIF('3月'!CK4:CL4,B$78)+COUNTIF('3月'!CP4:CQ4,B$78)+COUNTIF('3月'!CU4:CV4,B$78)+COUNTIF('3月'!CZ4:DA4,B$78)+COUNTIF('3月'!DE4:DF4,B$78)+COUNTIF('3月'!DJ4:DK4,B$78)+COUNTIF('3月'!DO4:DP4,B$78)+COUNTIF('3月'!DT4:DU4,B$78)+COUNTIF('3月'!DY4:DZ4,B$78)+COUNTIF('3月'!ED4:EE4,B$78)+COUNTIF('3月'!EI4:EJ4,B$78)+COUNTIF('3月'!EN4:EO4,B$78)+COUNTIF('3月'!ES4:ET4,B$78)</f>
        <v>0</v>
      </c>
      <c r="C80" s="76">
        <f>IF(B80=0,0,B80)</f>
        <v>0</v>
      </c>
      <c r="D80" s="76">
        <f>COUNTIF('3月'!D4:E4,D$78)+COUNTIF('3月'!I4:J4,D$78)+COUNTIF('3月'!N4:O4,D$78)+COUNTIF('3月'!S4:T4,D$78)+COUNTIF('3月'!X4:Y4,D$78)+COUNTIF('3月'!AC4:AD4,D$78)+COUNTIF('3月'!AH4:AI4,D$78)+COUNTIF('3月'!AM4:AN4,D$78)+COUNTIF('3月'!AR4:AS4,D$78)+COUNTIF('3月'!AW4:AX4,D$78)+COUNTIF('3月'!BB4:BC4,D$78)+COUNTIF('3月'!BG4:BH4,D$78)+COUNTIF('3月'!BL4:BM4,D$78)+COUNTIF('3月'!BQ4:BR4,D$78)+COUNTIF('3月'!BV4:BW4,D$78)+COUNTIF('3月'!CA4:CB4,D$78)+COUNTIF('3月'!CF4:CG4,D$78)+COUNTIF('3月'!CK4:CL4,D$78)+COUNTIF('3月'!CP4:CQ4,D$78)+COUNTIF('3月'!CU4:CV4,D$78)+COUNTIF('3月'!CZ4:DA4,D$78)+COUNTIF('3月'!DE4:DF4,D$78)+COUNTIF('3月'!DJ4:DK4,D$78)+COUNTIF('3月'!DO4:DP4,D$78)+COUNTIF('3月'!DT4:DU4,D$78)+COUNTIF('3月'!DY4:DZ4,D$78)+COUNTIF('3月'!ED4:EE4,D$78)+COUNTIF('3月'!EI4:EJ4,D$78)+COUNTIF('3月'!EN4:EO4,D$78)+COUNTIF('3月'!ES4:ET4,D$78)</f>
        <v>0</v>
      </c>
      <c r="E80" s="76">
        <f>IF(D80=0,0,D80)</f>
        <v>0</v>
      </c>
      <c r="F80" s="76">
        <f>COUNTIF('3月'!D4:E4,F$78)+COUNTIF('3月'!I4:J4,F$78)+COUNTIF('3月'!N4:O4,F$78)+COUNTIF('3月'!S4:T4,F$78)+COUNTIF('3月'!X4:Y4,F$78)+COUNTIF('3月'!AC4:AD4,F$78)+COUNTIF('3月'!AH4:AI4,F$78)+COUNTIF('3月'!AM4:AN4,F$78)+COUNTIF('3月'!AR4:AS4,F$78)+COUNTIF('3月'!AW4:AX4,F$78)+COUNTIF('3月'!BB4:BC4,F$78)+COUNTIF('3月'!BG4:BH4,F$78)+COUNTIF('3月'!BL4:BM4,F$78)+COUNTIF('3月'!BQ4:BR4,F$78)+COUNTIF('3月'!BV4:BW4,F$78)+COUNTIF('3月'!CA4:CB4,F$78)+COUNTIF('3月'!CF4:CG4,F$78)+COUNTIF('3月'!CK4:CL4,F$78)+COUNTIF('3月'!CP4:CQ4,F$78)+COUNTIF('3月'!CU4:CV4,F$78)+COUNTIF('3月'!CZ4:DA4,F$78)+COUNTIF('3月'!DE4:DF4,F$78)+COUNTIF('3月'!DJ4:DK4,F$78)+COUNTIF('3月'!DO4:DP4,F$78)+COUNTIF('3月'!DT4:DU4,F$78)+COUNTIF('3月'!DY4:DZ4,F$78)+COUNTIF('3月'!ED4:EE4,F$78)+COUNTIF('3月'!EI4:EJ4,F$78)+COUNTIF('3月'!EN4:EO4,F$78)+COUNTIF('3月'!ES4:ET4,F$78)</f>
        <v>0</v>
      </c>
      <c r="G80" s="76">
        <f>IF(F80=0,0,F80)</f>
        <v>0</v>
      </c>
      <c r="H80" s="76">
        <f>COUNTIF('3月'!D4:E4,H$78)+COUNTIF('3月'!I4:J4,H$78)+COUNTIF('3月'!N4:O4,H$78)+COUNTIF('3月'!S4:T4,H$78)+COUNTIF('3月'!X4:Y4,H$78)+COUNTIF('3月'!AC4:AD4,H$78)+COUNTIF('3月'!AH4:AI4,H$78)+COUNTIF('3月'!AM4:AN4,H$78)+COUNTIF('3月'!AR4:AS4,H$78)+COUNTIF('3月'!AW4:AX4,H$78)+COUNTIF('3月'!BB4:BC4,H$78)+COUNTIF('3月'!BG4:BH4,H$78)+COUNTIF('3月'!BL4:BM4,H$78)+COUNTIF('3月'!BQ4:BR4,H$78)+COUNTIF('3月'!BV4:BW4,H$78)+COUNTIF('3月'!CA4:CB4,H$78)+COUNTIF('3月'!CF4:CG4,H$78)+COUNTIF('3月'!CK4:CL4,H$78)+COUNTIF('3月'!CP4:CQ4,H$78)+COUNTIF('3月'!CU4:CV4,H$78)+COUNTIF('3月'!CZ4:DA4,H$78)+COUNTIF('3月'!DE4:DF4,H$78)+COUNTIF('3月'!DJ4:DK4,H$78)+COUNTIF('3月'!DO4:DP4,H$78)+COUNTIF('3月'!DT4:DU4,H$78)+COUNTIF('3月'!DY4:DZ4,H$78)+COUNTIF('3月'!ED4:EE4,H$78)+COUNTIF('3月'!EI4:EJ4,H$78)+COUNTIF('3月'!EN4:EO4,H$78)+COUNTIF('3月'!ES4:ET4,H$78)+COUNTIF('3月'!D4:E4,"渋谷-夜勤")+COUNTIF('3月'!I4:J4,"渋谷-夜勤")+COUNTIF('3月'!N4:O4,"渋谷-夜勤")+COUNTIF('3月'!S4:T4,"渋谷-夜勤")+COUNTIF('3月'!X4:Y4,"渋谷-夜勤")+COUNTIF('3月'!AC4:AD4,"渋谷-夜勤")+COUNTIF('3月'!AH4:AI4,"渋谷-夜勤")+COUNTIF('3月'!AM4:AN4,"渋谷-夜勤")+COUNTIF('3月'!AR4:AS4,"渋谷-夜勤")+COUNTIF('3月'!AW4:AX4,"渋谷-夜勤")+COUNTIF('3月'!BB4:BC4,"渋谷-夜勤")+COUNTIF('3月'!BG4:BH4,"渋谷-夜勤")+COUNTIF('3月'!BL4:BM4,"渋谷-夜勤")+COUNTIF('3月'!BQ4:BR4,"渋谷-夜勤")+COUNTIF('3月'!BV4:BW4,"渋谷-夜勤")+COUNTIF('3月'!CA4:CB4,"渋谷-夜勤")+COUNTIF('3月'!CF4:CG4,"渋谷-夜勤")+COUNTIF('3月'!CK4:CL4,"渋谷-夜勤")+COUNTIF('3月'!CP4:CQ4,"渋谷-夜勤")+COUNTIF('3月'!CU4:CV4,"渋谷-夜勤")+COUNTIF('3月'!CZ4:DA4,"渋谷-夜勤")+COUNTIF('3月'!DE4:DF4,"渋谷-夜勤")+COUNTIF('3月'!DJ4:DK4,"渋谷-夜勤")+COUNTIF('3月'!DO4:DP4,"渋谷-夜勤")+COUNTIF('3月'!DT4:DU4,"渋谷-夜勤")+COUNTIF('3月'!DY4:DZ4,"渋谷-夜勤")+COUNTIF('3月'!ED4:EE4,"渋谷-夜勤")+COUNTIF('3月'!EI4:EJ4,"渋谷-夜勤")+COUNTIF('3月'!EN4:EO4,"渋谷-夜勤")+COUNTIF('3月'!ES4:ET4,"渋谷-夜勤")</f>
        <v>0</v>
      </c>
      <c r="I80" s="76">
        <f>IF(H80=0,0,H80)</f>
        <v>0</v>
      </c>
      <c r="J80" s="76">
        <f>COUNTIF('3月'!D4:E4,J$78)+COUNTIF('3月'!I4:J4,J$78)+COUNTIF('3月'!N4:O4,J$78)+COUNTIF('3月'!S4:T4,J$78)+COUNTIF('3月'!X4:Y4,J$78)+COUNTIF('3月'!AC4:AD4,J$78)+COUNTIF('3月'!AH4:AI4,J$78)+COUNTIF('3月'!AM4:AN4,J$78)+COUNTIF('3月'!AR4:AS4,J$78)+COUNTIF('3月'!AW4:AX4,J$78)+COUNTIF('3月'!BB4:BC4,J$78)+COUNTIF('3月'!BG4:BH4,J$78)+COUNTIF('3月'!BL4:BM4,J$78)+COUNTIF('3月'!BQ4:BR4,J$78)+COUNTIF('3月'!BV4:BW4,J$78)+COUNTIF('3月'!CA4:CB4,J$78)+COUNTIF('3月'!CF4:CG4,J$78)+COUNTIF('3月'!CK4:CL4,J$78)+COUNTIF('3月'!CP4:CQ4,J$78)+COUNTIF('3月'!CU4:CV4,J$78)+COUNTIF('3月'!CZ4:DA4,J$78)+COUNTIF('3月'!DE4:DF4,J$78)+COUNTIF('3月'!DJ4:DK4,J$78)+COUNTIF('3月'!DO4:DP4,J$78)+COUNTIF('3月'!DT4:DU4,J$78)+COUNTIF('3月'!DY4:DZ4,J$78)+COUNTIF('3月'!ED4:EE4,J$78)+COUNTIF('3月'!EI4:EJ4,J$78)+COUNTIF('3月'!EN4:EO4,J$78)+COUNTIF('3月'!ES4:ET4,J$78)+COUNTIF('3月'!D4:E4,"六本木-夜勤")+COUNTIF('3月'!I4:J4,"六本木-夜勤")+COUNTIF('3月'!N4:O4,"六本木-夜勤")+COUNTIF('3月'!S4:T4,"六本木-夜勤")+COUNTIF('3月'!X4:Y4,"六本木-夜勤")+COUNTIF('3月'!AC4:AD4,"六本木-夜勤")+COUNTIF('3月'!AH4:AI4,"六本木-夜勤")+COUNTIF('3月'!AM4:AN4,"六本木-夜勤")+COUNTIF('3月'!AR4:AS4,"六本木-夜勤")+COUNTIF('3月'!AW4:AX4,"六本木-夜勤")+COUNTIF('3月'!BB4:BC4,"六本木-夜勤")+COUNTIF('3月'!BG4:BH4,"六本木-夜勤")+COUNTIF('3月'!BL4:BM4,"六本木-夜勤")+COUNTIF('3月'!BQ4:BR4,"六本木-夜勤")+COUNTIF('3月'!BV4:BW4,"六本木-夜勤")+COUNTIF('3月'!CA4:CB4,"六本木-夜勤")+COUNTIF('3月'!CF4:CG4,"六本木-夜勤")+COUNTIF('3月'!CK4:CL4,"六本木-夜勤")+COUNTIF('3月'!CP4:CQ4,"六本木-夜勤")+COUNTIF('3月'!CU4:CV4,"六本木-夜勤")+COUNTIF('3月'!CZ4:DA4,"六本木-夜勤")+COUNTIF('3月'!DE4:DF4,"六本木-夜勤")+COUNTIF('3月'!DJ4:DK4,"六本木-夜勤")+COUNTIF('3月'!DO4:DP4,"六本木-夜勤")+COUNTIF('3月'!DT4:DU4,"六本木-夜勤")+COUNTIF('3月'!DY4:DZ4,"六本木-夜勤")+COUNTIF('3月'!ED4:EE4,"六本木-夜勤")+COUNTIF('3月'!EI4:EJ4,"六本木-夜勤")+COUNTIF('3月'!EN4:EO4,"六本木-夜勤")+COUNTIF('3月'!ES4:ET4,"六本木-夜勤")+COUNTIF('3月'!D4:E4,"六本木ー夜勤")+COUNTIF('3月'!I4:J4,"六本木ー夜勤")+COUNTIF('3月'!N4:O4,"六本木ー夜勤")+COUNTIF('3月'!S4:T4,"六本木ー夜勤")+COUNTIF('3月'!X4:Y4,"六本木ー夜勤")+COUNTIF('3月'!AC4:AD4,"六本木ー夜勤")+COUNTIF('3月'!AH4:AI4,"六本木ー夜勤")+COUNTIF('3月'!AM4:AN4,"六本木ー夜勤")+COUNTIF('3月'!AR4:AS4,"六本木ー夜勤")+COUNTIF('3月'!AW4:AX4,"六本木ー夜勤")+COUNTIF('3月'!BB4:BC4,"六本木ー夜勤")+COUNTIF('3月'!BG4:BH4,"六本木ー夜勤")+COUNTIF('3月'!BL4:BM4,"六本木ー夜勤")+COUNTIF('3月'!BQ4:BR4,"六本木ー夜勤")+COUNTIF('3月'!BV4:BW4,"六本木ー夜勤")+COUNTIF('3月'!CA4:CB4,"六本木ー夜勤")+COUNTIF('3月'!CF4:CG4,"六本木ー夜勤")+COUNTIF('3月'!CK4:CL4,"六本木ー夜勤")+COUNTIF('3月'!CP4:CQ4,"六本木ー夜勤")+COUNTIF('3月'!CU4:CV4,"六本木ー夜勤")+COUNTIF('3月'!CZ4:DA4,"六本木ー夜勤")+COUNTIF('3月'!DE4:DF4,"六本木ー夜勤")+COUNTIF('3月'!DJ4:DK4,"六本木ー夜勤")+COUNTIF('3月'!DO4:DP4,"六本木ー夜勤")+COUNTIF('3月'!DT4:DU4,"六本木ー夜勤")+COUNTIF('3月'!DY4:DZ4,"六本木ー夜勤")+COUNTIF('3月'!ED4:EE4,"六本木ー夜勤")+COUNTIF('3月'!EI4:EJ4,"六本木ー夜勤")+COUNTIF('3月'!EN4:EO4,"六本木ー夜勤")+COUNTIF('3月'!ES4:ET4,"六本木ー夜勤")</f>
        <v>0</v>
      </c>
      <c r="K80" s="76">
        <f>IF(J80=0,0,J80)</f>
        <v>0</v>
      </c>
      <c r="L80" s="76">
        <f>COUNTIF('3月'!D4:E4,L$78)+COUNTIF('3月'!I4:J4,L$78)+COUNTIF('3月'!N4:O4,L$78)+COUNTIF('3月'!S4:T4,L$78)+COUNTIF('3月'!X4:Y4,L$78)+COUNTIF('3月'!AC4:AD4,L$78)+COUNTIF('3月'!AH4:AI4,L$78)+COUNTIF('3月'!AM4:AN4,L$78)+COUNTIF('3月'!AR4:AS4,L$78)+COUNTIF('3月'!AW4:AX4,L$78)+COUNTIF('3月'!BB4:BC4,L$78)+COUNTIF('3月'!BG4:BH4,L$78)+COUNTIF('3月'!BL4:BM4,L$78)+COUNTIF('3月'!BQ4:BR4,L$78)+COUNTIF('3月'!BV4:BW4,L$78)+COUNTIF('3月'!CA4:CB4,L$78)+COUNTIF('3月'!CF4:CG4,L$78)+COUNTIF('3月'!CK4:CL4,L$78)+COUNTIF('3月'!CP4:CQ4,L$78)+COUNTIF('3月'!CU4:CV4,L$78)+COUNTIF('3月'!CZ4:DA4,L$78)+COUNTIF('3月'!DE4:DF4,L$78)+COUNTIF('3月'!DJ4:DK4,L$78)+COUNTIF('3月'!DO4:DP4,L$78)+COUNTIF('3月'!DT4:DU4,L$78)+COUNTIF('3月'!DY4:DZ4,L$78)+COUNTIF('3月'!ED4:EE4,L$78)+COUNTIF('3月'!EI4:EJ4,L$78)+COUNTIF('3月'!EN4:EO4,L$78)+COUNTIF('3月'!ES4:ET4,L$78)</f>
        <v>0</v>
      </c>
      <c r="M80" s="76">
        <f>IF(L80=0,0,L80)</f>
        <v>0</v>
      </c>
      <c r="N80" s="76">
        <f>COUNTIF('3月'!D4:E4,N$78)+COUNTIF('3月'!I4:J4,N$78)+COUNTIF('3月'!N4:O4,N$78)+COUNTIF('3月'!S4:T4,N$78)+COUNTIF('3月'!X4:Y4,N$78)+COUNTIF('3月'!AC4:AD4,N$78)+COUNTIF('3月'!AH4:AI4,N$78)+COUNTIF('3月'!AM4:AN4,N$78)+COUNTIF('3月'!AR4:AS4,N$78)+COUNTIF('3月'!AW4:AX4,N$78)+COUNTIF('3月'!BB4:BC4,N$78)+COUNTIF('3月'!BG4:BH4,N$78)+COUNTIF('3月'!BL4:BM4,N$78)+COUNTIF('3月'!BQ4:BR4,N$78)+COUNTIF('3月'!BV4:BW4,N$78)+COUNTIF('3月'!CA4:CB4,N$78)+COUNTIF('3月'!CF4:CG4,N$78)+COUNTIF('3月'!CK4:CL4,N$78)+COUNTIF('3月'!CP4:CQ4,N$78)+COUNTIF('3月'!CU4:CV4,N$78)+COUNTIF('3月'!CZ4:DA4,N$78)+COUNTIF('3月'!DE4:DF4,N$78)+COUNTIF('3月'!DJ4:DK4,N$78)+COUNTIF('3月'!DO4:DP4,N$78)+COUNTIF('3月'!DT4:DU4,N$78)+COUNTIF('3月'!DY4:DZ4,N$78)+COUNTIF('3月'!ED4:EE4,N$78)+COUNTIF('3月'!EI4:EJ4,N$78)+COUNTIF('3月'!EN4:EO4,N$78)+COUNTIF('3月'!ES4:ET4,N$78)+COUNTIF('3月'!D4:E4,"三軒茶屋－夜勤")+COUNTIF('3月'!I4:J4,"三軒茶屋－夜勤")+COUNTIF('3月'!N4:O4,"三軒茶屋－夜勤")+COUNTIF('3月'!S4:T4,"三軒茶屋－夜勤")+COUNTIF('3月'!X4:Y4,"三軒茶屋－夜勤")+COUNTIF('3月'!AC4:AD4,"三軒茶屋－夜勤")+COUNTIF('3月'!AH4:AI4,"三軒茶屋－夜勤")+COUNTIF('3月'!AM4:AN4,"三軒茶屋－夜勤")+COUNTIF('3月'!AR4:AS4,"三軒茶屋－夜勤")+COUNTIF('3月'!AW4:AX4,"三軒茶屋－夜勤")+COUNTIF('3月'!BB4:BC4,"三軒茶屋－夜勤")+COUNTIF('3月'!BG4:BH4,"三軒茶屋－夜勤")+COUNTIF('3月'!BL4:BM4,"三軒茶屋－夜勤")+COUNTIF('3月'!BQ4:BR4,"三軒茶屋－夜勤")+COUNTIF('3月'!BV4:BW4,"三軒茶屋－夜勤")+COUNTIF('3月'!CA4:CB4,"三軒茶屋－夜勤")+COUNTIF('3月'!CF4:CG4,"三軒茶屋－夜勤")+COUNTIF('3月'!CK4:CL4,"三軒茶屋－夜勤")+COUNTIF('3月'!CP4:CQ4,"三軒茶屋－夜勤")+COUNTIF('3月'!CU4:CV4,"三軒茶屋－夜勤")+COUNTIF('3月'!CZ4:DA4,"三軒茶屋－夜勤")+COUNTIF('3月'!DE4:DF4,"三軒茶屋－夜勤")+COUNTIF('3月'!DJ4:DK4,"三軒茶屋－夜勤")+COUNTIF('3月'!DO4:DP4,"三軒茶屋－夜勤")+COUNTIF('3月'!DT4:DU4,"三軒茶屋－夜勤")+COUNTIF('3月'!DY4:DZ4,"三軒茶屋－夜勤")+COUNTIF('3月'!ED4:EE4,"三軒茶屋－夜勤")+COUNTIF('3月'!EI4:EJ4,"三軒茶屋－夜勤")+COUNTIF('3月'!EN4:EO4,"三軒茶屋－夜勤")+COUNTIF('3月'!ES4:ET4,"三軒茶屋－夜勤")</f>
        <v>0</v>
      </c>
      <c r="O80" s="76">
        <f>IF(N80=0,0,N80)</f>
        <v>0</v>
      </c>
      <c r="P80" s="76">
        <f>COUNTIF('3月'!D4:E4,P$78)+COUNTIF('3月'!I4:J4,P$78)+COUNTIF('3月'!N4:O4,P$78)+COUNTIF('3月'!S4:T4,P$78)+COUNTIF('3月'!X4:Y4,P$78)+COUNTIF('3月'!AC4:AD4,P$78)+COUNTIF('3月'!AH4:AI4,P$78)+COUNTIF('3月'!AM4:AN4,P$78)+COUNTIF('3月'!AR4:AS4,P$78)+COUNTIF('3月'!AW4:AX4,P$78)+COUNTIF('3月'!BB4:BC4,P$78)+COUNTIF('3月'!BG4:BH4,P$78)+COUNTIF('3月'!BL4:BM4,P$78)+COUNTIF('3月'!BQ4:BR4,P$78)+COUNTIF('3月'!BV4:BW4,P$78)+COUNTIF('3月'!CA4:CB4,P$78)+COUNTIF('3月'!CF4:CG4,P$78)+COUNTIF('3月'!CK4:CL4,P$78)+COUNTIF('3月'!CP4:CQ4,P$78)+COUNTIF('3月'!CU4:CV4,P$78)+COUNTIF('3月'!CZ4:DA4,P$78)+COUNTIF('3月'!DE4:DF4,P$78)+COUNTIF('3月'!DJ4:DK4,P$78)+COUNTIF('3月'!DO4:DP4,P$78)+COUNTIF('3月'!DT4:DU4,P$78)+COUNTIF('3月'!DY4:DZ4,P$78)+COUNTIF('3月'!ED4:EE4,P$78)+COUNTIF('3月'!EI4:EJ4,P$78)+COUNTIF('3月'!EN4:EO4,P$78)+COUNTIF('3月'!ES4:ET4,P$78)+COUNTIF('3月'!D4:E4,"荻窪ー夜勤")+COUNTIF('3月'!I4:J4,"荻窪ー夜勤")+COUNTIF('3月'!N4:O4,"荻窪ー夜勤")+COUNTIF('3月'!S4:T4,"荻窪ー夜勤")+COUNTIF('3月'!X4:Y4,"荻窪ー夜勤")+COUNTIF('3月'!AC4:AD4,"荻窪ー夜勤")+COUNTIF('3月'!AH4:AI4,"荻窪ー夜勤")+COUNTIF('3月'!AM4:AN4,"荻窪ー夜勤")+COUNTIF('3月'!AR4:AS4,"荻窪ー夜勤")+COUNTIF('3月'!AW4:AX4,"荻窪ー夜勤")+COUNTIF('3月'!BB4:BC4,"荻窪ー夜勤")+COUNTIF('3月'!BG4:BH4,"荻窪ー夜勤")+COUNTIF('3月'!BL4:BM4,"荻窪ー夜勤")+COUNTIF('3月'!BQ4:BR4,"荻窪ー夜勤")+COUNTIF('3月'!BV4:BW4,"荻窪ー夜勤")+COUNTIF('3月'!CA4:CB4,"荻窪ー夜勤")+COUNTIF('3月'!CF4:CG4,"荻窪ー夜勤")+COUNTIF('3月'!CK4:CL4,"荻窪ー夜勤")+COUNTIF('3月'!CP4:CQ4,"荻窪ー夜勤")+COUNTIF('3月'!CU4:CV4,"荻窪ー夜勤")+COUNTIF('3月'!CZ4:DA4,"荻窪ー夜勤")+COUNTIF('3月'!DE4:DF4,"荻窪ー夜勤")+COUNTIF('3月'!DJ4:DK4,"荻窪ー夜勤")+COUNTIF('3月'!DO4:DP4,"荻窪ー夜勤")+COUNTIF('3月'!DT4:DU4,"荻窪ー夜勤")+COUNTIF('3月'!DY4:DZ4,"荻窪ー夜勤")+COUNTIF('3月'!ED4:EE4,"荻窪ー夜勤")+COUNTIF('3月'!EI4:EJ4,"荻窪ー夜勤")+COUNTIF('3月'!EN4:EO4,"荻窪ー夜勤")+COUNTIF('3月'!ES4:ET4,"荻窪ー夜勤")</f>
        <v>0</v>
      </c>
      <c r="Q80" s="76">
        <f>IF(P80=0,0,P80)</f>
        <v>0</v>
      </c>
      <c r="R80" s="76">
        <f>COUNTIF('3月'!D4:E4,R$78)+COUNTIF('3月'!I4:J4,R$78)+COUNTIF('3月'!N4:O4,R$78)+COUNTIF('3月'!S4:T4,R$78)+COUNTIF('3月'!X4:Y4,R$78)+COUNTIF('3月'!AC4:AD4,R$78)+COUNTIF('3月'!AH4:AI4,R$78)+COUNTIF('3月'!AM4:AN4,R$78)+COUNTIF('3月'!AR4:AS4,R$78)+COUNTIF('3月'!AW4:AX4,R$78)+COUNTIF('3月'!BB4:BC4,R$78)+COUNTIF('3月'!BG4:BH4,R$78)+COUNTIF('3月'!BL4:BM4,R$78)+COUNTIF('3月'!BQ4:BR4,R$78)+COUNTIF('3月'!BV4:BW4,R$78)+COUNTIF('3月'!CA4:CB4,R$78)+COUNTIF('3月'!CF4:CG4,R$78)+COUNTIF('3月'!CK4:CL4,R$78)+COUNTIF('3月'!CP4:CQ4,R$78)+COUNTIF('3月'!CU4:CV4,R$78)+COUNTIF('3月'!CZ4:DA4,R$78)+COUNTIF('3月'!DE4:DF4,R$78)+COUNTIF('3月'!DJ4:DK4,R$78)+COUNTIF('3月'!DO4:DP4,R$78)+COUNTIF('3月'!DT4:DU4,R$78)+COUNTIF('3月'!DY4:DZ4,R$78)+COUNTIF('3月'!ED4:EE4,R$78)+COUNTIF('3月'!EI4:EJ4,R$78)+COUNTIF('3月'!EN4:EO4,R$78)+COUNTIF('3月'!ES4:ET4,R$78)</f>
        <v>0</v>
      </c>
      <c r="S80" s="76">
        <f>IF(R80=0,0,R80)</f>
        <v>0</v>
      </c>
      <c r="T80" s="76">
        <f>COUNTIF('3月'!D4:E4,T$78)+COUNTIF('3月'!I4:J4,T$78)+COUNTIF('3月'!N4:O4,T$78)+COUNTIF('3月'!S4:T4,T$78)+COUNTIF('3月'!X4:Y4,T$78)+COUNTIF('3月'!AC4:AD4,T$78)+COUNTIF('3月'!AH4:AI4,T$78)+COUNTIF('3月'!AM4:AN4,T$78)+COUNTIF('3月'!AR4:AS4,T$78)+COUNTIF('3月'!AW4:AX4,T$78)+COUNTIF('3月'!BB4:BC4,T$78)+COUNTIF('3月'!BG4:BH4,T$78)+COUNTIF('3月'!BL4:BM4,T$78)+COUNTIF('3月'!BQ4:BR4,T$78)+COUNTIF('3月'!BV4:BW4,T$78)+COUNTIF('3月'!CA4:CB4,T$78)+COUNTIF('3月'!CF4:CG4,T$78)+COUNTIF('3月'!CK4:CL4,T$78)+COUNTIF('3月'!CP4:CQ4,T$78)+COUNTIF('3月'!CU4:CV4,T$78)+COUNTIF('3月'!CZ4:DA4,T$78)+COUNTIF('3月'!DE4:DF4,T$78)+COUNTIF('3月'!DJ4:DK4,T$78)+COUNTIF('3月'!DO4:DP4,T$78)+COUNTIF('3月'!DT4:DU4,T$78)+COUNTIF('3月'!DY4:DZ4,T$78)+COUNTIF('3月'!ED4:EE4,T$78)+COUNTIF('3月'!EI4:EJ4,T$78)+COUNTIF('3月'!EN4:EO4,T$78)+COUNTIF('3月'!ES4:ET4,T$78)</f>
        <v>0</v>
      </c>
      <c r="U80" s="76">
        <f>IF(T80=0,0,T80)</f>
        <v>0</v>
      </c>
      <c r="V80" s="76">
        <f>COUNTIF('3月'!D4:E4,V$78)+COUNTIF('3月'!I4:J4,V$78)+COUNTIF('3月'!N4:O4,V$78)+COUNTIF('3月'!S4:T4,V$78)+COUNTIF('3月'!X4:Y4,V$78)+COUNTIF('3月'!AC4:AD4,V$78)+COUNTIF('3月'!AH4:AI4,V$78)+COUNTIF('3月'!AM4:AN4,V$78)+COUNTIF('3月'!AR4:AS4,V$78)+COUNTIF('3月'!AW4:AX4,V$78)+COUNTIF('3月'!BB4:BC4,V$78)+COUNTIF('3月'!BG4:BH4,V$78)+COUNTIF('3月'!BL4:BM4,V$78)+COUNTIF('3月'!BQ4:BR4,V$78)+COUNTIF('3月'!BV4:BW4,V$78)+COUNTIF('3月'!CA4:CB4,V$78)+COUNTIF('3月'!CF4:CG4,V$78)+COUNTIF('3月'!CK4:CL4,V$78)+COUNTIF('3月'!CP4:CQ4,V$78)+COUNTIF('3月'!CU4:CV4,V$78)+COUNTIF('3月'!CZ4:DA4,V$78)+COUNTIF('3月'!DE4:DF4,V$78)+COUNTIF('3月'!DJ4:DK4,V$78)+COUNTIF('3月'!DO4:DP4,V$78)+COUNTIF('3月'!DT4:DU4,V$78)+COUNTIF('3月'!DY4:DZ4,V$78)+COUNTIF('3月'!ED4:EE4,V$78)+COUNTIF('3月'!EI4:EJ4,V$78)+COUNTIF('3月'!EN4:EO4,V$78)+COUNTIF('3月'!ES4:ET4,V$78)</f>
        <v>0</v>
      </c>
      <c r="W80" s="76">
        <f>IF(V80=0,0,V80)</f>
        <v>0</v>
      </c>
      <c r="X80" s="76">
        <f>COUNTIF('3月'!D4:E4,X$78)+COUNTIF('3月'!I4:J4,X$78)+COUNTIF('3月'!N4:O4,X$78)+COUNTIF('3月'!S4:T4,X$78)+COUNTIF('3月'!X4:Y4,X$78)+COUNTIF('3月'!AC4:AD4,X$78)+COUNTIF('3月'!AH4:AI4,X$78)+COUNTIF('3月'!AM4:AN4,X$78)+COUNTIF('3月'!AR4:AS4,X$78)+COUNTIF('3月'!AW4:AX4,X$78)+COUNTIF('3月'!BB4:BC4,X$78)+COUNTIF('3月'!BG4:BH4,X$78)+COUNTIF('3月'!BL4:BM4,X$78)+COUNTIF('3月'!BQ4:BR4,X$78)+COUNTIF('3月'!BV4:BW4,X$78)+COUNTIF('3月'!CA4:CB4,X$78)+COUNTIF('3月'!CF4:CG4,X$78)+COUNTIF('3月'!CK4:CL4,X$78)+COUNTIF('3月'!CP4:CQ4,X$78)+COUNTIF('3月'!CU4:CV4,X$78)+COUNTIF('3月'!CZ4:DA4,X$78)+COUNTIF('3月'!DE4:DF4,X$78)+COUNTIF('3月'!DJ4:DK4,X$78)+COUNTIF('3月'!DO4:DP4,X$78)+COUNTIF('3月'!DT4:DU4,X$78)+COUNTIF('3月'!DY4:DZ4,X$78)+COUNTIF('3月'!ED4:EE4,X$78)+COUNTIF('3月'!EI4:EJ4,X$78)+COUNTIF('3月'!EN4:EO4,X$78)+COUNTIF('3月'!ES4:ET4,X$78)</f>
        <v>0</v>
      </c>
      <c r="Y80" s="76">
        <f>IF(X80=0,0,X80)</f>
        <v>0</v>
      </c>
    </row>
    <row r="81" spans="1:25" ht="18" customHeight="1">
      <c r="A81" s="76">
        <v>2</v>
      </c>
      <c r="B81" s="76">
        <f>COUNTIF('3月'!D5:E5,B$78)+COUNTIF('3月'!I5:J5,B$78)+COUNTIF('3月'!N5:O5,B$78)+COUNTIF('3月'!S5:T5,B$78)+COUNTIF('3月'!X5:Y5,B$78)+COUNTIF('3月'!AC5:AD5,B$78)+COUNTIF('3月'!AH5:AI5,B$78)+COUNTIF('3月'!AM5:AN5,B$78)+COUNTIF('3月'!AR5:AS5,B$78)+COUNTIF('3月'!AW5:AX5,B$78)+COUNTIF('3月'!BB5:BC5,B$78)+COUNTIF('3月'!BG5:BH5,B$78)+COUNTIF('3月'!BL5:BM5,B$78)+COUNTIF('3月'!BQ5:BR5,B$78)+COUNTIF('3月'!BV5:BW5,B$78)+COUNTIF('3月'!CA5:CB5,B$78)+COUNTIF('3月'!CF5:CG5,B$78)+COUNTIF('3月'!CK5:CL5,B$78)+COUNTIF('3月'!CP5:CQ5,B$78)+COUNTIF('3月'!CU5:CV5,B$78)+COUNTIF('3月'!CZ5:DA5,B$78)+COUNTIF('3月'!DE5:DF5,B$78)+COUNTIF('3月'!DJ5:DK5,B$78)+COUNTIF('3月'!DO5:DP5,B$78)+COUNTIF('3月'!DT5:DU5,B$78)+COUNTIF('3月'!DY5:DZ5,B$78)+COUNTIF('3月'!ED5:EE5,B$78)+COUNTIF('3月'!EI5:EJ5,B$78)+COUNTIF('3月'!EN5:EO5,B$78)+COUNTIF('3月'!ES5:ET5,B$78)</f>
        <v>0</v>
      </c>
      <c r="C81" s="76">
        <f t="shared" ref="C81:C110" si="24">IF(B81=0,C80,C80+B81)</f>
        <v>0</v>
      </c>
      <c r="D81" s="76">
        <f>COUNTIF('3月'!D5:E5,D$78)+COUNTIF('3月'!I5:J5,D$78)+COUNTIF('3月'!N5:O5,D$78)+COUNTIF('3月'!S5:T5,D$78)+COUNTIF('3月'!X5:Y5,D$78)+COUNTIF('3月'!AC5:AD5,D$78)+COUNTIF('3月'!AH5:AI5,D$78)+COUNTIF('3月'!AM5:AN5,D$78)+COUNTIF('3月'!AR5:AS5,D$78)+COUNTIF('3月'!AW5:AX5,D$78)+COUNTIF('3月'!BB5:BC5,D$78)+COUNTIF('3月'!BG5:BH5,D$78)+COUNTIF('3月'!BL5:BM5,D$78)+COUNTIF('3月'!BQ5:BR5,D$78)+COUNTIF('3月'!BV5:BW5,D$78)+COUNTIF('3月'!CA5:CB5,D$78)+COUNTIF('3月'!CF5:CG5,D$78)+COUNTIF('3月'!CK5:CL5,D$78)+COUNTIF('3月'!CP5:CQ5,D$78)+COUNTIF('3月'!CU5:CV5,D$78)+COUNTIF('3月'!CZ5:DA5,D$78)+COUNTIF('3月'!DE5:DF5,D$78)+COUNTIF('3月'!DJ5:DK5,D$78)+COUNTIF('3月'!DO5:DP5,D$78)+COUNTIF('3月'!DT5:DU5,D$78)+COUNTIF('3月'!DY5:DZ5,D$78)+COUNTIF('3月'!ED5:EE5,D$78)+COUNTIF('3月'!EI5:EJ5,D$78)+COUNTIF('3月'!EN5:EO5,D$78)+COUNTIF('3月'!ES5:ET5,D$78)</f>
        <v>0</v>
      </c>
      <c r="E81" s="76">
        <f t="shared" ref="E81:E110" si="25">IF(D81=0,E80,E80+D81)</f>
        <v>0</v>
      </c>
      <c r="F81" s="76">
        <f>COUNTIF('3月'!D5:E5,F$78)+COUNTIF('3月'!I5:J5,F$78)+COUNTIF('3月'!N5:O5,F$78)+COUNTIF('3月'!S5:T5,F$78)+COUNTIF('3月'!X5:Y5,F$78)+COUNTIF('3月'!AC5:AD5,F$78)+COUNTIF('3月'!AH5:AI5,F$78)+COUNTIF('3月'!AM5:AN5,F$78)+COUNTIF('3月'!AR5:AS5,F$78)+COUNTIF('3月'!AW5:AX5,F$78)+COUNTIF('3月'!BB5:BC5,F$78)+COUNTIF('3月'!BG5:BH5,F$78)+COUNTIF('3月'!BL5:BM5,F$78)+COUNTIF('3月'!BQ5:BR5,F$78)+COUNTIF('3月'!BV5:BW5,F$78)+COUNTIF('3月'!CA5:CB5,F$78)+COUNTIF('3月'!CF5:CG5,F$78)+COUNTIF('3月'!CK5:CL5,F$78)+COUNTIF('3月'!CP5:CQ5,F$78)+COUNTIF('3月'!CU5:CV5,F$78)+COUNTIF('3月'!CZ5:DA5,F$78)+COUNTIF('3月'!DE5:DF5,F$78)+COUNTIF('3月'!DJ5:DK5,F$78)+COUNTIF('3月'!DO5:DP5,F$78)+COUNTIF('3月'!DT5:DU5,F$78)+COUNTIF('3月'!DY5:DZ5,F$78)+COUNTIF('3月'!ED5:EE5,F$78)+COUNTIF('3月'!EI5:EJ5,F$78)+COUNTIF('3月'!EN5:EO5,F$78)+COUNTIF('3月'!ES5:ET5,F$78)</f>
        <v>0</v>
      </c>
      <c r="G81" s="76">
        <f t="shared" ref="G81:G110" si="26">IF(F81=0,G80,G80+F81)</f>
        <v>0</v>
      </c>
      <c r="H81" s="76">
        <f>COUNTIF('3月'!D5:E5,H$78)+COUNTIF('3月'!I5:J5,H$78)+COUNTIF('3月'!N5:O5,H$78)+COUNTIF('3月'!S5:T5,H$78)+COUNTIF('3月'!X5:Y5,H$78)+COUNTIF('3月'!AC5:AD5,H$78)+COUNTIF('3月'!AH5:AI5,H$78)+COUNTIF('3月'!AM5:AN5,H$78)+COUNTIF('3月'!AR5:AS5,H$78)+COUNTIF('3月'!AW5:AX5,H$78)+COUNTIF('3月'!BB5:BC5,H$78)+COUNTIF('3月'!BG5:BH5,H$78)+COUNTIF('3月'!BL5:BM5,H$78)+COUNTIF('3月'!BQ5:BR5,H$78)+COUNTIF('3月'!BV5:BW5,H$78)+COUNTIF('3月'!CA5:CB5,H$78)+COUNTIF('3月'!CF5:CG5,H$78)+COUNTIF('3月'!CK5:CL5,H$78)+COUNTIF('3月'!CP5:CQ5,H$78)+COUNTIF('3月'!CU5:CV5,H$78)+COUNTIF('3月'!CZ5:DA5,H$78)+COUNTIF('3月'!DE5:DF5,H$78)+COUNTIF('3月'!DJ5:DK5,H$78)+COUNTIF('3月'!DO5:DP5,H$78)+COUNTIF('3月'!DT5:DU5,H$78)+COUNTIF('3月'!DY5:DZ5,H$78)+COUNTIF('3月'!ED5:EE5,H$78)+COUNTIF('3月'!EI5:EJ5,H$78)+COUNTIF('3月'!EN5:EO5,H$78)+COUNTIF('3月'!ES5:ET5,H$78)+COUNTIF('3月'!D5:E5,"渋谷-夜勤")+COUNTIF('3月'!I5:J5,"渋谷-夜勤")+COUNTIF('3月'!N5:O5,"渋谷-夜勤")+COUNTIF('3月'!S5:T5,"渋谷-夜勤")+COUNTIF('3月'!X5:Y5,"渋谷-夜勤")+COUNTIF('3月'!AC5:AD5,"渋谷-夜勤")+COUNTIF('3月'!AH5:AI5,"渋谷-夜勤")+COUNTIF('3月'!AM5:AN5,"渋谷-夜勤")+COUNTIF('3月'!AR5:AS5,"渋谷-夜勤")+COUNTIF('3月'!AW5:AX5,"渋谷-夜勤")+COUNTIF('3月'!BB5:BC5,"渋谷-夜勤")+COUNTIF('3月'!BG5:BH5,"渋谷-夜勤")+COUNTIF('3月'!BL5:BM5,"渋谷-夜勤")+COUNTIF('3月'!BQ5:BR5,"渋谷-夜勤")+COUNTIF('3月'!BV5:BW5,"渋谷-夜勤")+COUNTIF('3月'!CA5:CB5,"渋谷-夜勤")+COUNTIF('3月'!CF5:CG5,"渋谷-夜勤")+COUNTIF('3月'!CK5:CL5,"渋谷-夜勤")+COUNTIF('3月'!CP5:CQ5,"渋谷-夜勤")+COUNTIF('3月'!CU5:CV5,"渋谷-夜勤")+COUNTIF('3月'!CZ5:DA5,"渋谷-夜勤")+COUNTIF('3月'!DE5:DF5,"渋谷-夜勤")+COUNTIF('3月'!DJ5:DK5,"渋谷-夜勤")+COUNTIF('3月'!DO5:DP5,"渋谷-夜勤")+COUNTIF('3月'!DT5:DU5,"渋谷-夜勤")+COUNTIF('3月'!DY5:DZ5,"渋谷-夜勤")+COUNTIF('3月'!ED5:EE5,"渋谷-夜勤")+COUNTIF('3月'!EI5:EJ5,"渋谷-夜勤")+COUNTIF('3月'!EN5:EO5,"渋谷-夜勤")+COUNTIF('3月'!ES5:ET5,"渋谷-夜勤")</f>
        <v>0</v>
      </c>
      <c r="I81" s="76">
        <f t="shared" ref="I81:I110" si="27">IF(H81=0,I80,I80+H81)</f>
        <v>0</v>
      </c>
      <c r="J81" s="76">
        <f>COUNTIF('3月'!D5:E5,J$78)+COUNTIF('3月'!I5:J5,J$78)+COUNTIF('3月'!N5:O5,J$78)+COUNTIF('3月'!S5:T5,J$78)+COUNTIF('3月'!X5:Y5,J$78)+COUNTIF('3月'!AC5:AD5,J$78)+COUNTIF('3月'!AH5:AI5,J$78)+COUNTIF('3月'!AM5:AN5,J$78)+COUNTIF('3月'!AR5:AS5,J$78)+COUNTIF('3月'!AW5:AX5,J$78)+COUNTIF('3月'!BB5:BC5,J$78)+COUNTIF('3月'!BG5:BH5,J$78)+COUNTIF('3月'!BL5:BM5,J$78)+COUNTIF('3月'!BQ5:BR5,J$78)+COUNTIF('3月'!BV5:BW5,J$78)+COUNTIF('3月'!CA5:CB5,J$78)+COUNTIF('3月'!CF5:CG5,J$78)+COUNTIF('3月'!CK5:CL5,J$78)+COUNTIF('3月'!CP5:CQ5,J$78)+COUNTIF('3月'!CU5:CV5,J$78)+COUNTIF('3月'!CZ5:DA5,J$78)+COUNTIF('3月'!DE5:DF5,J$78)+COUNTIF('3月'!DJ5:DK5,J$78)+COUNTIF('3月'!DO5:DP5,J$78)+COUNTIF('3月'!DT5:DU5,J$78)+COUNTIF('3月'!DY5:DZ5,J$78)+COUNTIF('3月'!ED5:EE5,J$78)+COUNTIF('3月'!EI5:EJ5,J$78)+COUNTIF('3月'!EN5:EO5,J$78)+COUNTIF('3月'!ES5:ET5,J$78)+COUNTIF('3月'!D5:E5,"六本木-夜勤")+COUNTIF('3月'!I5:J5,"六本木-夜勤")+COUNTIF('3月'!N5:O5,"六本木-夜勤")+COUNTIF('3月'!S5:T5,"六本木-夜勤")+COUNTIF('3月'!X5:Y5,"六本木-夜勤")+COUNTIF('3月'!AC5:AD5,"六本木-夜勤")+COUNTIF('3月'!AH5:AI5,"六本木-夜勤")+COUNTIF('3月'!AM5:AN5,"六本木-夜勤")+COUNTIF('3月'!AR5:AS5,"六本木-夜勤")+COUNTIF('3月'!AW5:AX5,"六本木-夜勤")+COUNTIF('3月'!BB5:BC5,"六本木-夜勤")+COUNTIF('3月'!BG5:BH5,"六本木-夜勤")+COUNTIF('3月'!BL5:BM5,"六本木-夜勤")+COUNTIF('3月'!BQ5:BR5,"六本木-夜勤")+COUNTIF('3月'!BV5:BW5,"六本木-夜勤")+COUNTIF('3月'!CA5:CB5,"六本木-夜勤")+COUNTIF('3月'!CF5:CG5,"六本木-夜勤")+COUNTIF('3月'!CK5:CL5,"六本木-夜勤")+COUNTIF('3月'!CP5:CQ5,"六本木-夜勤")+COUNTIF('3月'!CU5:CV5,"六本木-夜勤")+COUNTIF('3月'!CZ5:DA5,"六本木-夜勤")+COUNTIF('3月'!DE5:DF5,"六本木-夜勤")+COUNTIF('3月'!DJ5:DK5,"六本木-夜勤")+COUNTIF('3月'!DO5:DP5,"六本木-夜勤")+COUNTIF('3月'!DT5:DU5,"六本木-夜勤")+COUNTIF('3月'!DY5:DZ5,"六本木-夜勤")+COUNTIF('3月'!ED5:EE5,"六本木-夜勤")+COUNTIF('3月'!EI5:EJ5,"六本木-夜勤")+COUNTIF('3月'!EN5:EO5,"六本木-夜勤")+COUNTIF('3月'!ES5:ET5,"六本木-夜勤")+COUNTIF('3月'!D5:E5,"六本木ー夜勤")+COUNTIF('3月'!I5:J5,"六本木ー夜勤")+COUNTIF('3月'!N5:O5,"六本木ー夜勤")+COUNTIF('3月'!S5:T5,"六本木ー夜勤")+COUNTIF('3月'!X5:Y5,"六本木ー夜勤")+COUNTIF('3月'!AC5:AD5,"六本木ー夜勤")+COUNTIF('3月'!AH5:AI5,"六本木ー夜勤")+COUNTIF('3月'!AM5:AN5,"六本木ー夜勤")+COUNTIF('3月'!AR5:AS5,"六本木ー夜勤")+COUNTIF('3月'!AW5:AX5,"六本木ー夜勤")+COUNTIF('3月'!BB5:BC5,"六本木ー夜勤")+COUNTIF('3月'!BG5:BH5,"六本木ー夜勤")+COUNTIF('3月'!BL5:BM5,"六本木ー夜勤")+COUNTIF('3月'!BQ5:BR5,"六本木ー夜勤")+COUNTIF('3月'!BV5:BW5,"六本木ー夜勤")+COUNTIF('3月'!CA5:CB5,"六本木ー夜勤")+COUNTIF('3月'!CF5:CG5,"六本木ー夜勤")+COUNTIF('3月'!CK5:CL5,"六本木ー夜勤")+COUNTIF('3月'!CP5:CQ5,"六本木ー夜勤")+COUNTIF('3月'!CU5:CV5,"六本木ー夜勤")+COUNTIF('3月'!CZ5:DA5,"六本木ー夜勤")+COUNTIF('3月'!DE5:DF5,"六本木ー夜勤")+COUNTIF('3月'!DJ5:DK5,"六本木ー夜勤")+COUNTIF('3月'!DO5:DP5,"六本木ー夜勤")+COUNTIF('3月'!DT5:DU5,"六本木ー夜勤")+COUNTIF('3月'!DY5:DZ5,"六本木ー夜勤")+COUNTIF('3月'!ED5:EE5,"六本木ー夜勤")+COUNTIF('3月'!EI5:EJ5,"六本木ー夜勤")+COUNTIF('3月'!EN5:EO5,"六本木ー夜勤")+COUNTIF('3月'!ES5:ET5,"六本木ー夜勤")</f>
        <v>0</v>
      </c>
      <c r="K81" s="76">
        <f t="shared" ref="K81:K110" si="28">IF(J81=0,K80,K80+J81)</f>
        <v>0</v>
      </c>
      <c r="L81" s="76">
        <f>COUNTIF('3月'!D5:E5,L$78)+COUNTIF('3月'!I5:J5,L$78)+COUNTIF('3月'!N5:O5,L$78)+COUNTIF('3月'!S5:T5,L$78)+COUNTIF('3月'!X5:Y5,L$78)+COUNTIF('3月'!AC5:AD5,L$78)+COUNTIF('3月'!AH5:AI5,L$78)+COUNTIF('3月'!AM5:AN5,L$78)+COUNTIF('3月'!AR5:AS5,L$78)+COUNTIF('3月'!AW5:AX5,L$78)+COUNTIF('3月'!BB5:BC5,L$78)+COUNTIF('3月'!BG5:BH5,L$78)+COUNTIF('3月'!BL5:BM5,L$78)+COUNTIF('3月'!BQ5:BR5,L$78)+COUNTIF('3月'!BV5:BW5,L$78)+COUNTIF('3月'!CA5:CB5,L$78)+COUNTIF('3月'!CF5:CG5,L$78)+COUNTIF('3月'!CK5:CL5,L$78)+COUNTIF('3月'!CP5:CQ5,L$78)+COUNTIF('3月'!CU5:CV5,L$78)+COUNTIF('3月'!CZ5:DA5,L$78)+COUNTIF('3月'!DE5:DF5,L$78)+COUNTIF('3月'!DJ5:DK5,L$78)+COUNTIF('3月'!DO5:DP5,L$78)+COUNTIF('3月'!DT5:DU5,L$78)+COUNTIF('3月'!DY5:DZ5,L$78)+COUNTIF('3月'!ED5:EE5,L$78)+COUNTIF('3月'!EI5:EJ5,L$78)+COUNTIF('3月'!EN5:EO5,L$78)+COUNTIF('3月'!ES5:ET5,L$78)</f>
        <v>0</v>
      </c>
      <c r="M81" s="76">
        <f t="shared" ref="M81:M110" si="29">IF(L81=0,M80,M80+L81)</f>
        <v>0</v>
      </c>
      <c r="N81" s="76">
        <f>COUNTIF('3月'!D5:E5,N$78)+COUNTIF('3月'!I5:J5,N$78)+COUNTIF('3月'!N5:O5,N$78)+COUNTIF('3月'!S5:T5,N$78)+COUNTIF('3月'!X5:Y5,N$78)+COUNTIF('3月'!AC5:AD5,N$78)+COUNTIF('3月'!AH5:AI5,N$78)+COUNTIF('3月'!AM5:AN5,N$78)+COUNTIF('3月'!AR5:AS5,N$78)+COUNTIF('3月'!AW5:AX5,N$78)+COUNTIF('3月'!BB5:BC5,N$78)+COUNTIF('3月'!BG5:BH5,N$78)+COUNTIF('3月'!BL5:BM5,N$78)+COUNTIF('3月'!BQ5:BR5,N$78)+COUNTIF('3月'!BV5:BW5,N$78)+COUNTIF('3月'!CA5:CB5,N$78)+COUNTIF('3月'!CF5:CG5,N$78)+COUNTIF('3月'!CK5:CL5,N$78)+COUNTIF('3月'!CP5:CQ5,N$78)+COUNTIF('3月'!CU5:CV5,N$78)+COUNTIF('3月'!CZ5:DA5,N$78)+COUNTIF('3月'!DE5:DF5,N$78)+COUNTIF('3月'!DJ5:DK5,N$78)+COUNTIF('3月'!DO5:DP5,N$78)+COUNTIF('3月'!DT5:DU5,N$78)+COUNTIF('3月'!DY5:DZ5,N$78)+COUNTIF('3月'!ED5:EE5,N$78)+COUNTIF('3月'!EI5:EJ5,N$78)+COUNTIF('3月'!EN5:EO5,N$78)+COUNTIF('3月'!ES5:ET5,N$78)+COUNTIF('3月'!D5:E5,"三軒茶屋－夜勤")+COUNTIF('3月'!I5:J5,"三軒茶屋－夜勤")+COUNTIF('3月'!N5:O5,"三軒茶屋－夜勤")+COUNTIF('3月'!S5:T5,"三軒茶屋－夜勤")+COUNTIF('3月'!X5:Y5,"三軒茶屋－夜勤")+COUNTIF('3月'!AC5:AD5,"三軒茶屋－夜勤")+COUNTIF('3月'!AH5:AI5,"三軒茶屋－夜勤")+COUNTIF('3月'!AM5:AN5,"三軒茶屋－夜勤")+COUNTIF('3月'!AR5:AS5,"三軒茶屋－夜勤")+COUNTIF('3月'!AW5:AX5,"三軒茶屋－夜勤")+COUNTIF('3月'!BB5:BC5,"三軒茶屋－夜勤")+COUNTIF('3月'!BG5:BH5,"三軒茶屋－夜勤")+COUNTIF('3月'!BL5:BM5,"三軒茶屋－夜勤")+COUNTIF('3月'!BQ5:BR5,"三軒茶屋－夜勤")+COUNTIF('3月'!BV5:BW5,"三軒茶屋－夜勤")+COUNTIF('3月'!CA5:CB5,"三軒茶屋－夜勤")+COUNTIF('3月'!CF5:CG5,"三軒茶屋－夜勤")+COUNTIF('3月'!CK5:CL5,"三軒茶屋－夜勤")+COUNTIF('3月'!CP5:CQ5,"三軒茶屋－夜勤")+COUNTIF('3月'!CU5:CV5,"三軒茶屋－夜勤")+COUNTIF('3月'!CZ5:DA5,"三軒茶屋－夜勤")+COUNTIF('3月'!DE5:DF5,"三軒茶屋－夜勤")+COUNTIF('3月'!DJ5:DK5,"三軒茶屋－夜勤")+COUNTIF('3月'!DO5:DP5,"三軒茶屋－夜勤")+COUNTIF('3月'!DT5:DU5,"三軒茶屋－夜勤")+COUNTIF('3月'!DY5:DZ5,"三軒茶屋－夜勤")+COUNTIF('3月'!ED5:EE5,"三軒茶屋－夜勤")+COUNTIF('3月'!EI5:EJ5,"三軒茶屋－夜勤")+COUNTIF('3月'!EN5:EO5,"三軒茶屋－夜勤")+COUNTIF('3月'!ES5:ET5,"三軒茶屋－夜勤")</f>
        <v>0</v>
      </c>
      <c r="O81" s="76">
        <f t="shared" ref="O81:O110" si="30">IF(N81=0,O80,O80+N81)</f>
        <v>0</v>
      </c>
      <c r="P81" s="76">
        <f>COUNTIF('3月'!D5:E5,P$78)+COUNTIF('3月'!I5:J5,P$78)+COUNTIF('3月'!N5:O5,P$78)+COUNTIF('3月'!S5:T5,P$78)+COUNTIF('3月'!X5:Y5,P$78)+COUNTIF('3月'!AC5:AD5,P$78)+COUNTIF('3月'!AH5:AI5,P$78)+COUNTIF('3月'!AM5:AN5,P$78)+COUNTIF('3月'!AR5:AS5,P$78)+COUNTIF('3月'!AW5:AX5,P$78)+COUNTIF('3月'!BB5:BC5,P$78)+COUNTIF('3月'!BG5:BH5,P$78)+COUNTIF('3月'!BL5:BM5,P$78)+COUNTIF('3月'!BQ5:BR5,P$78)+COUNTIF('3月'!BV5:BW5,P$78)+COUNTIF('3月'!CA5:CB5,P$78)+COUNTIF('3月'!CF5:CG5,P$78)+COUNTIF('3月'!CK5:CL5,P$78)+COUNTIF('3月'!CP5:CQ5,P$78)+COUNTIF('3月'!CU5:CV5,P$78)+COUNTIF('3月'!CZ5:DA5,P$78)+COUNTIF('3月'!DE5:DF5,P$78)+COUNTIF('3月'!DJ5:DK5,P$78)+COUNTIF('3月'!DO5:DP5,P$78)+COUNTIF('3月'!DT5:DU5,P$78)+COUNTIF('3月'!DY5:DZ5,P$78)+COUNTIF('3月'!ED5:EE5,P$78)+COUNTIF('3月'!EI5:EJ5,P$78)+COUNTIF('3月'!EN5:EO5,P$78)+COUNTIF('3月'!ES5:ET5,P$78)+COUNTIF('3月'!D5:E5,"荻窪ー夜勤")+COUNTIF('3月'!I5:J5,"荻窪ー夜勤")+COUNTIF('3月'!N5:O5,"荻窪ー夜勤")+COUNTIF('3月'!S5:T5,"荻窪ー夜勤")+COUNTIF('3月'!X5:Y5,"荻窪ー夜勤")+COUNTIF('3月'!AC5:AD5,"荻窪ー夜勤")+COUNTIF('3月'!AH5:AI5,"荻窪ー夜勤")+COUNTIF('3月'!AM5:AN5,"荻窪ー夜勤")+COUNTIF('3月'!AR5:AS5,"荻窪ー夜勤")+COUNTIF('3月'!AW5:AX5,"荻窪ー夜勤")+COUNTIF('3月'!BB5:BC5,"荻窪ー夜勤")+COUNTIF('3月'!BG5:BH5,"荻窪ー夜勤")+COUNTIF('3月'!BL5:BM5,"荻窪ー夜勤")+COUNTIF('3月'!BQ5:BR5,"荻窪ー夜勤")+COUNTIF('3月'!BV5:BW5,"荻窪ー夜勤")+COUNTIF('3月'!CA5:CB5,"荻窪ー夜勤")+COUNTIF('3月'!CF5:CG5,"荻窪ー夜勤")+COUNTIF('3月'!CK5:CL5,"荻窪ー夜勤")+COUNTIF('3月'!CP5:CQ5,"荻窪ー夜勤")+COUNTIF('3月'!CU5:CV5,"荻窪ー夜勤")+COUNTIF('3月'!CZ5:DA5,"荻窪ー夜勤")+COUNTIF('3月'!DE5:DF5,"荻窪ー夜勤")+COUNTIF('3月'!DJ5:DK5,"荻窪ー夜勤")+COUNTIF('3月'!DO5:DP5,"荻窪ー夜勤")+COUNTIF('3月'!DT5:DU5,"荻窪ー夜勤")+COUNTIF('3月'!DY5:DZ5,"荻窪ー夜勤")+COUNTIF('3月'!ED5:EE5,"荻窪ー夜勤")+COUNTIF('3月'!EI5:EJ5,"荻窪ー夜勤")+COUNTIF('3月'!EN5:EO5,"荻窪ー夜勤")+COUNTIF('3月'!ES5:ET5,"荻窪ー夜勤")</f>
        <v>0</v>
      </c>
      <c r="Q81" s="76">
        <f t="shared" ref="Q81:Q110" si="31">IF(P81=0,Q80,Q80+P81)</f>
        <v>0</v>
      </c>
      <c r="R81" s="76">
        <f>COUNTIF('3月'!D5:E5,R$78)+COUNTIF('3月'!I5:J5,R$78)+COUNTIF('3月'!N5:O5,R$78)+COUNTIF('3月'!S5:T5,R$78)+COUNTIF('3月'!X5:Y5,R$78)+COUNTIF('3月'!AC5:AD5,R$78)+COUNTIF('3月'!AH5:AI5,R$78)+COUNTIF('3月'!AM5:AN5,R$78)+COUNTIF('3月'!AR5:AS5,R$78)+COUNTIF('3月'!AW5:AX5,R$78)+COUNTIF('3月'!BB5:BC5,R$78)+COUNTIF('3月'!BG5:BH5,R$78)+COUNTIF('3月'!BL5:BM5,R$78)+COUNTIF('3月'!BQ5:BR5,R$78)+COUNTIF('3月'!BV5:BW5,R$78)+COUNTIF('3月'!CA5:CB5,R$78)+COUNTIF('3月'!CF5:CG5,R$78)+COUNTIF('3月'!CK5:CL5,R$78)+COUNTIF('3月'!CP5:CQ5,R$78)+COUNTIF('3月'!CU5:CV5,R$78)+COUNTIF('3月'!CZ5:DA5,R$78)+COUNTIF('3月'!DE5:DF5,R$78)+COUNTIF('3月'!DJ5:DK5,R$78)+COUNTIF('3月'!DO5:DP5,R$78)+COUNTIF('3月'!DT5:DU5,R$78)+COUNTIF('3月'!DY5:DZ5,R$78)+COUNTIF('3月'!ED5:EE5,R$78)+COUNTIF('3月'!EI5:EJ5,R$78)+COUNTIF('3月'!EN5:EO5,R$78)+COUNTIF('3月'!ES5:ET5,R$78)</f>
        <v>0</v>
      </c>
      <c r="S81" s="76">
        <f t="shared" ref="S81:S110" si="32">IF(R81=0,S80,S80+R81)</f>
        <v>0</v>
      </c>
      <c r="T81" s="76">
        <f>COUNTIF('3月'!D5:E5,T$78)+COUNTIF('3月'!I5:J5,T$78)+COUNTIF('3月'!N5:O5,T$78)+COUNTIF('3月'!S5:T5,T$78)+COUNTIF('3月'!X5:Y5,T$78)+COUNTIF('3月'!AC5:AD5,T$78)+COUNTIF('3月'!AH5:AI5,T$78)+COUNTIF('3月'!AM5:AN5,T$78)+COUNTIF('3月'!AR5:AS5,T$78)+COUNTIF('3月'!AW5:AX5,T$78)+COUNTIF('3月'!BB5:BC5,T$78)+COUNTIF('3月'!BG5:BH5,T$78)+COUNTIF('3月'!BL5:BM5,T$78)+COUNTIF('3月'!BQ5:BR5,T$78)+COUNTIF('3月'!BV5:BW5,T$78)+COUNTIF('3月'!CA5:CB5,T$78)+COUNTIF('3月'!CF5:CG5,T$78)+COUNTIF('3月'!CK5:CL5,T$78)+COUNTIF('3月'!CP5:CQ5,T$78)+COUNTIF('3月'!CU5:CV5,T$78)+COUNTIF('3月'!CZ5:DA5,T$78)+COUNTIF('3月'!DE5:DF5,T$78)+COUNTIF('3月'!DJ5:DK5,T$78)+COUNTIF('3月'!DO5:DP5,T$78)+COUNTIF('3月'!DT5:DU5,T$78)+COUNTIF('3月'!DY5:DZ5,T$78)+COUNTIF('3月'!ED5:EE5,T$78)+COUNTIF('3月'!EI5:EJ5,T$78)+COUNTIF('3月'!EN5:EO5,T$78)+COUNTIF('3月'!ES5:ET5,T$78)</f>
        <v>0</v>
      </c>
      <c r="U81" s="76">
        <f t="shared" ref="U81:U110" si="33">IF(T81=0,U80,U80+T81)</f>
        <v>0</v>
      </c>
      <c r="V81" s="76">
        <f>COUNTIF('3月'!D5:E5,V$78)+COUNTIF('3月'!I5:J5,V$78)+COUNTIF('3月'!N5:O5,V$78)+COUNTIF('3月'!S5:T5,V$78)+COUNTIF('3月'!X5:Y5,V$78)+COUNTIF('3月'!AC5:AD5,V$78)+COUNTIF('3月'!AH5:AI5,V$78)+COUNTIF('3月'!AM5:AN5,V$78)+COUNTIF('3月'!AR5:AS5,V$78)+COUNTIF('3月'!AW5:AX5,V$78)+COUNTIF('3月'!BB5:BC5,V$78)+COUNTIF('3月'!BG5:BH5,V$78)+COUNTIF('3月'!BL5:BM5,V$78)+COUNTIF('3月'!BQ5:BR5,V$78)+COUNTIF('3月'!BV5:BW5,V$78)+COUNTIF('3月'!CA5:CB5,V$78)+COUNTIF('3月'!CF5:CG5,V$78)+COUNTIF('3月'!CK5:CL5,V$78)+COUNTIF('3月'!CP5:CQ5,V$78)+COUNTIF('3月'!CU5:CV5,V$78)+COUNTIF('3月'!CZ5:DA5,V$78)+COUNTIF('3月'!DE5:DF5,V$78)+COUNTIF('3月'!DJ5:DK5,V$78)+COUNTIF('3月'!DO5:DP5,V$78)+COUNTIF('3月'!DT5:DU5,V$78)+COUNTIF('3月'!DY5:DZ5,V$78)+COUNTIF('3月'!ED5:EE5,V$78)+COUNTIF('3月'!EI5:EJ5,V$78)+COUNTIF('3月'!EN5:EO5,V$78)+COUNTIF('3月'!ES5:ET5,V$78)</f>
        <v>0</v>
      </c>
      <c r="W81" s="76">
        <f t="shared" ref="W81:W110" si="34">IF(V81=0,W80,W80+V81)</f>
        <v>0</v>
      </c>
      <c r="X81" s="76">
        <f>COUNTIF('3月'!D5:E5,X$78)+COUNTIF('3月'!I5:J5,X$78)+COUNTIF('3月'!N5:O5,X$78)+COUNTIF('3月'!S5:T5,X$78)+COUNTIF('3月'!X5:Y5,X$78)+COUNTIF('3月'!AC5:AD5,X$78)+COUNTIF('3月'!AH5:AI5,X$78)+COUNTIF('3月'!AM5:AN5,X$78)+COUNTIF('3月'!AR5:AS5,X$78)+COUNTIF('3月'!AW5:AX5,X$78)+COUNTIF('3月'!BB5:BC5,X$78)+COUNTIF('3月'!BG5:BH5,X$78)+COUNTIF('3月'!BL5:BM5,X$78)+COUNTIF('3月'!BQ5:BR5,X$78)+COUNTIF('3月'!BV5:BW5,X$78)+COUNTIF('3月'!CA5:CB5,X$78)+COUNTIF('3月'!CF5:CG5,X$78)+COUNTIF('3月'!CK5:CL5,X$78)+COUNTIF('3月'!CP5:CQ5,X$78)+COUNTIF('3月'!CU5:CV5,X$78)+COUNTIF('3月'!CZ5:DA5,X$78)+COUNTIF('3月'!DE5:DF5,X$78)+COUNTIF('3月'!DJ5:DK5,X$78)+COUNTIF('3月'!DO5:DP5,X$78)+COUNTIF('3月'!DT5:DU5,X$78)+COUNTIF('3月'!DY5:DZ5,X$78)+COUNTIF('3月'!ED5:EE5,X$78)+COUNTIF('3月'!EI5:EJ5,X$78)+COUNTIF('3月'!EN5:EO5,X$78)+COUNTIF('3月'!ES5:ET5,X$78)</f>
        <v>0</v>
      </c>
      <c r="Y81" s="76">
        <f t="shared" ref="Y81:Y110" si="35">IF(X81=0,Y80,Y80+X81)</f>
        <v>0</v>
      </c>
    </row>
    <row r="82" spans="1:25" ht="18" customHeight="1">
      <c r="A82" s="76">
        <v>3</v>
      </c>
      <c r="B82" s="76">
        <f>COUNTIF('3月'!D6:E6,B$78)+COUNTIF('3月'!I6:J6,B$78)+COUNTIF('3月'!N6:O6,B$78)+COUNTIF('3月'!S6:T6,B$78)+COUNTIF('3月'!X6:Y6,B$78)+COUNTIF('3月'!AC6:AD6,B$78)+COUNTIF('3月'!AH6:AI6,B$78)+COUNTIF('3月'!AM6:AN6,B$78)+COUNTIF('3月'!AR6:AS6,B$78)+COUNTIF('3月'!AW6:AX6,B$78)+COUNTIF('3月'!BB6:BC6,B$78)+COUNTIF('3月'!BG6:BH6,B$78)+COUNTIF('3月'!BL6:BM6,B$78)+COUNTIF('3月'!BQ6:BR6,B$78)+COUNTIF('3月'!BV6:BW6,B$78)+COUNTIF('3月'!CA6:CB6,B$78)+COUNTIF('3月'!CF6:CG6,B$78)+COUNTIF('3月'!CK6:CL6,B$78)+COUNTIF('3月'!CP6:CQ6,B$78)+COUNTIF('3月'!CU6:CV6,B$78)+COUNTIF('3月'!CZ6:DA6,B$78)+COUNTIF('3月'!DE6:DF6,B$78)+COUNTIF('3月'!DJ6:DK6,B$78)+COUNTIF('3月'!DO6:DP6,B$78)+COUNTIF('3月'!DT6:DU6,B$78)+COUNTIF('3月'!DY6:DZ6,B$78)+COUNTIF('3月'!ED6:EE6,B$78)+COUNTIF('3月'!EI6:EJ6,B$78)+COUNTIF('3月'!EN6:EO6,B$78)+COUNTIF('3月'!ES6:ET6,B$78)</f>
        <v>0</v>
      </c>
      <c r="C82" s="76">
        <f t="shared" si="24"/>
        <v>0</v>
      </c>
      <c r="D82" s="76">
        <f>COUNTIF('3月'!D6:E6,D$78)+COUNTIF('3月'!I6:J6,D$78)+COUNTIF('3月'!N6:O6,D$78)+COUNTIF('3月'!S6:T6,D$78)+COUNTIF('3月'!X6:Y6,D$78)+COUNTIF('3月'!AC6:AD6,D$78)+COUNTIF('3月'!AH6:AI6,D$78)+COUNTIF('3月'!AM6:AN6,D$78)+COUNTIF('3月'!AR6:AS6,D$78)+COUNTIF('3月'!AW6:AX6,D$78)+COUNTIF('3月'!BB6:BC6,D$78)+COUNTIF('3月'!BG6:BH6,D$78)+COUNTIF('3月'!BL6:BM6,D$78)+COUNTIF('3月'!BQ6:BR6,D$78)+COUNTIF('3月'!BV6:BW6,D$78)+COUNTIF('3月'!CA6:CB6,D$78)+COUNTIF('3月'!CF6:CG6,D$78)+COUNTIF('3月'!CK6:CL6,D$78)+COUNTIF('3月'!CP6:CQ6,D$78)+COUNTIF('3月'!CU6:CV6,D$78)+COUNTIF('3月'!CZ6:DA6,D$78)+COUNTIF('3月'!DE6:DF6,D$78)+COUNTIF('3月'!DJ6:DK6,D$78)+COUNTIF('3月'!DO6:DP6,D$78)+COUNTIF('3月'!DT6:DU6,D$78)+COUNTIF('3月'!DY6:DZ6,D$78)+COUNTIF('3月'!ED6:EE6,D$78)+COUNTIF('3月'!EI6:EJ6,D$78)+COUNTIF('3月'!EN6:EO6,D$78)+COUNTIF('3月'!ES6:ET6,D$78)</f>
        <v>0</v>
      </c>
      <c r="E82" s="76">
        <f t="shared" si="25"/>
        <v>0</v>
      </c>
      <c r="F82" s="76">
        <f>COUNTIF('3月'!D6:E6,F$78)+COUNTIF('3月'!I6:J6,F$78)+COUNTIF('3月'!N6:O6,F$78)+COUNTIF('3月'!S6:T6,F$78)+COUNTIF('3月'!X6:Y6,F$78)+COUNTIF('3月'!AC6:AD6,F$78)+COUNTIF('3月'!AH6:AI6,F$78)+COUNTIF('3月'!AM6:AN6,F$78)+COUNTIF('3月'!AR6:AS6,F$78)+COUNTIF('3月'!AW6:AX6,F$78)+COUNTIF('3月'!BB6:BC6,F$78)+COUNTIF('3月'!BG6:BH6,F$78)+COUNTIF('3月'!BL6:BM6,F$78)+COUNTIF('3月'!BQ6:BR6,F$78)+COUNTIF('3月'!BV6:BW6,F$78)+COUNTIF('3月'!CA6:CB6,F$78)+COUNTIF('3月'!CF6:CG6,F$78)+COUNTIF('3月'!CK6:CL6,F$78)+COUNTIF('3月'!CP6:CQ6,F$78)+COUNTIF('3月'!CU6:CV6,F$78)+COUNTIF('3月'!CZ6:DA6,F$78)+COUNTIF('3月'!DE6:DF6,F$78)+COUNTIF('3月'!DJ6:DK6,F$78)+COUNTIF('3月'!DO6:DP6,F$78)+COUNTIF('3月'!DT6:DU6,F$78)+COUNTIF('3月'!DY6:DZ6,F$78)+COUNTIF('3月'!ED6:EE6,F$78)+COUNTIF('3月'!EI6:EJ6,F$78)+COUNTIF('3月'!EN6:EO6,F$78)+COUNTIF('3月'!ES6:ET6,F$78)</f>
        <v>0</v>
      </c>
      <c r="G82" s="76">
        <f t="shared" si="26"/>
        <v>0</v>
      </c>
      <c r="H82" s="76">
        <f>COUNTIF('3月'!D6:E6,H$78)+COUNTIF('3月'!I6:J6,H$78)+COUNTIF('3月'!N6:O6,H$78)+COUNTIF('3月'!S6:T6,H$78)+COUNTIF('3月'!X6:Y6,H$78)+COUNTIF('3月'!AC6:AD6,H$78)+COUNTIF('3月'!AH6:AI6,H$78)+COUNTIF('3月'!AM6:AN6,H$78)+COUNTIF('3月'!AR6:AS6,H$78)+COUNTIF('3月'!AW6:AX6,H$78)+COUNTIF('3月'!BB6:BC6,H$78)+COUNTIF('3月'!BG6:BH6,H$78)+COUNTIF('3月'!BL6:BM6,H$78)+COUNTIF('3月'!BQ6:BR6,H$78)+COUNTIF('3月'!BV6:BW6,H$78)+COUNTIF('3月'!CA6:CB6,H$78)+COUNTIF('3月'!CF6:CG6,H$78)+COUNTIF('3月'!CK6:CL6,H$78)+COUNTIF('3月'!CP6:CQ6,H$78)+COUNTIF('3月'!CU6:CV6,H$78)+COUNTIF('3月'!CZ6:DA6,H$78)+COUNTIF('3月'!DE6:DF6,H$78)+COUNTIF('3月'!DJ6:DK6,H$78)+COUNTIF('3月'!DO6:DP6,H$78)+COUNTIF('3月'!DT6:DU6,H$78)+COUNTIF('3月'!DY6:DZ6,H$78)+COUNTIF('3月'!ED6:EE6,H$78)+COUNTIF('3月'!EI6:EJ6,H$78)+COUNTIF('3月'!EN6:EO6,H$78)+COUNTIF('3月'!ES6:ET6,H$78)+COUNTIF('3月'!D6:E6,"渋谷-夜勤")+COUNTIF('3月'!I6:J6,"渋谷-夜勤")+COUNTIF('3月'!N6:O6,"渋谷-夜勤")+COUNTIF('3月'!S6:T6,"渋谷-夜勤")+COUNTIF('3月'!X6:Y6,"渋谷-夜勤")+COUNTIF('3月'!AC6:AD6,"渋谷-夜勤")+COUNTIF('3月'!AH6:AI6,"渋谷-夜勤")+COUNTIF('3月'!AM6:AN6,"渋谷-夜勤")+COUNTIF('3月'!AR6:AS6,"渋谷-夜勤")+COUNTIF('3月'!AW6:AX6,"渋谷-夜勤")+COUNTIF('3月'!BB6:BC6,"渋谷-夜勤")+COUNTIF('3月'!BG6:BH6,"渋谷-夜勤")+COUNTIF('3月'!BL6:BM6,"渋谷-夜勤")+COUNTIF('3月'!BQ6:BR6,"渋谷-夜勤")+COUNTIF('3月'!BV6:BW6,"渋谷-夜勤")+COUNTIF('3月'!CA6:CB6,"渋谷-夜勤")+COUNTIF('3月'!CF6:CG6,"渋谷-夜勤")+COUNTIF('3月'!CK6:CL6,"渋谷-夜勤")+COUNTIF('3月'!CP6:CQ6,"渋谷-夜勤")+COUNTIF('3月'!CU6:CV6,"渋谷-夜勤")+COUNTIF('3月'!CZ6:DA6,"渋谷-夜勤")+COUNTIF('3月'!DE6:DF6,"渋谷-夜勤")+COUNTIF('3月'!DJ6:DK6,"渋谷-夜勤")+COUNTIF('3月'!DO6:DP6,"渋谷-夜勤")+COUNTIF('3月'!DT6:DU6,"渋谷-夜勤")+COUNTIF('3月'!DY6:DZ6,"渋谷-夜勤")+COUNTIF('3月'!ED6:EE6,"渋谷-夜勤")+COUNTIF('3月'!EI6:EJ6,"渋谷-夜勤")+COUNTIF('3月'!EN6:EO6,"渋谷-夜勤")+COUNTIF('3月'!ES6:ET6,"渋谷-夜勤")</f>
        <v>0</v>
      </c>
      <c r="I82" s="76">
        <f t="shared" si="27"/>
        <v>0</v>
      </c>
      <c r="J82" s="76">
        <f>COUNTIF('3月'!D6:E6,J$78)+COUNTIF('3月'!I6:J6,J$78)+COUNTIF('3月'!N6:O6,J$78)+COUNTIF('3月'!S6:T6,J$78)+COUNTIF('3月'!X6:Y6,J$78)+COUNTIF('3月'!AC6:AD6,J$78)+COUNTIF('3月'!AH6:AI6,J$78)+COUNTIF('3月'!AM6:AN6,J$78)+COUNTIF('3月'!AR6:AS6,J$78)+COUNTIF('3月'!AW6:AX6,J$78)+COUNTIF('3月'!BB6:BC6,J$78)+COUNTIF('3月'!BG6:BH6,J$78)+COUNTIF('3月'!BL6:BM6,J$78)+COUNTIF('3月'!BQ6:BR6,J$78)+COUNTIF('3月'!BV6:BW6,J$78)+COUNTIF('3月'!CA6:CB6,J$78)+COUNTIF('3月'!CF6:CG6,J$78)+COUNTIF('3月'!CK6:CL6,J$78)+COUNTIF('3月'!CP6:CQ6,J$78)+COUNTIF('3月'!CU6:CV6,J$78)+COUNTIF('3月'!CZ6:DA6,J$78)+COUNTIF('3月'!DE6:DF6,J$78)+COUNTIF('3月'!DJ6:DK6,J$78)+COUNTIF('3月'!DO6:DP6,J$78)+COUNTIF('3月'!DT6:DU6,J$78)+COUNTIF('3月'!DY6:DZ6,J$78)+COUNTIF('3月'!ED6:EE6,J$78)+COUNTIF('3月'!EI6:EJ6,J$78)+COUNTIF('3月'!EN6:EO6,J$78)+COUNTIF('3月'!ES6:ET6,J$78)+COUNTIF('3月'!D6:E6,"六本木-夜勤")+COUNTIF('3月'!I6:J6,"六本木-夜勤")+COUNTIF('3月'!N6:O6,"六本木-夜勤")+COUNTIF('3月'!S6:T6,"六本木-夜勤")+COUNTIF('3月'!X6:Y6,"六本木-夜勤")+COUNTIF('3月'!AC6:AD6,"六本木-夜勤")+COUNTIF('3月'!AH6:AI6,"六本木-夜勤")+COUNTIF('3月'!AM6:AN6,"六本木-夜勤")+COUNTIF('3月'!AR6:AS6,"六本木-夜勤")+COUNTIF('3月'!AW6:AX6,"六本木-夜勤")+COUNTIF('3月'!BB6:BC6,"六本木-夜勤")+COUNTIF('3月'!BG6:BH6,"六本木-夜勤")+COUNTIF('3月'!BL6:BM6,"六本木-夜勤")+COUNTIF('3月'!BQ6:BR6,"六本木-夜勤")+COUNTIF('3月'!BV6:BW6,"六本木-夜勤")+COUNTIF('3月'!CA6:CB6,"六本木-夜勤")+COUNTIF('3月'!CF6:CG6,"六本木-夜勤")+COUNTIF('3月'!CK6:CL6,"六本木-夜勤")+COUNTIF('3月'!CP6:CQ6,"六本木-夜勤")+COUNTIF('3月'!CU6:CV6,"六本木-夜勤")+COUNTIF('3月'!CZ6:DA6,"六本木-夜勤")+COUNTIF('3月'!DE6:DF6,"六本木-夜勤")+COUNTIF('3月'!DJ6:DK6,"六本木-夜勤")+COUNTIF('3月'!DO6:DP6,"六本木-夜勤")+COUNTIF('3月'!DT6:DU6,"六本木-夜勤")+COUNTIF('3月'!DY6:DZ6,"六本木-夜勤")+COUNTIF('3月'!ED6:EE6,"六本木-夜勤")+COUNTIF('3月'!EI6:EJ6,"六本木-夜勤")+COUNTIF('3月'!EN6:EO6,"六本木-夜勤")+COUNTIF('3月'!ES6:ET6,"六本木-夜勤")+COUNTIF('3月'!D6:E6,"六本木ー夜勤")+COUNTIF('3月'!I6:J6,"六本木ー夜勤")+COUNTIF('3月'!N6:O6,"六本木ー夜勤")+COUNTIF('3月'!S6:T6,"六本木ー夜勤")+COUNTIF('3月'!X6:Y6,"六本木ー夜勤")+COUNTIF('3月'!AC6:AD6,"六本木ー夜勤")+COUNTIF('3月'!AH6:AI6,"六本木ー夜勤")+COUNTIF('3月'!AM6:AN6,"六本木ー夜勤")+COUNTIF('3月'!AR6:AS6,"六本木ー夜勤")+COUNTIF('3月'!AW6:AX6,"六本木ー夜勤")+COUNTIF('3月'!BB6:BC6,"六本木ー夜勤")+COUNTIF('3月'!BG6:BH6,"六本木ー夜勤")+COUNTIF('3月'!BL6:BM6,"六本木ー夜勤")+COUNTIF('3月'!BQ6:BR6,"六本木ー夜勤")+COUNTIF('3月'!BV6:BW6,"六本木ー夜勤")+COUNTIF('3月'!CA6:CB6,"六本木ー夜勤")+COUNTIF('3月'!CF6:CG6,"六本木ー夜勤")+COUNTIF('3月'!CK6:CL6,"六本木ー夜勤")+COUNTIF('3月'!CP6:CQ6,"六本木ー夜勤")+COUNTIF('3月'!CU6:CV6,"六本木ー夜勤")+COUNTIF('3月'!CZ6:DA6,"六本木ー夜勤")+COUNTIF('3月'!DE6:DF6,"六本木ー夜勤")+COUNTIF('3月'!DJ6:DK6,"六本木ー夜勤")+COUNTIF('3月'!DO6:DP6,"六本木ー夜勤")+COUNTIF('3月'!DT6:DU6,"六本木ー夜勤")+COUNTIF('3月'!DY6:DZ6,"六本木ー夜勤")+COUNTIF('3月'!ED6:EE6,"六本木ー夜勤")+COUNTIF('3月'!EI6:EJ6,"六本木ー夜勤")+COUNTIF('3月'!EN6:EO6,"六本木ー夜勤")+COUNTIF('3月'!ES6:ET6,"六本木ー夜勤")</f>
        <v>0</v>
      </c>
      <c r="K82" s="76">
        <f t="shared" si="28"/>
        <v>0</v>
      </c>
      <c r="L82" s="76">
        <f>COUNTIF('3月'!D6:E6,L$78)+COUNTIF('3月'!I6:J6,L$78)+COUNTIF('3月'!N6:O6,L$78)+COUNTIF('3月'!S6:T6,L$78)+COUNTIF('3月'!X6:Y6,L$78)+COUNTIF('3月'!AC6:AD6,L$78)+COUNTIF('3月'!AH6:AI6,L$78)+COUNTIF('3月'!AM6:AN6,L$78)+COUNTIF('3月'!AR6:AS6,L$78)+COUNTIF('3月'!AW6:AX6,L$78)+COUNTIF('3月'!BB6:BC6,L$78)+COUNTIF('3月'!BG6:BH6,L$78)+COUNTIF('3月'!BL6:BM6,L$78)+COUNTIF('3月'!BQ6:BR6,L$78)+COUNTIF('3月'!BV6:BW6,L$78)+COUNTIF('3月'!CA6:CB6,L$78)+COUNTIF('3月'!CF6:CG6,L$78)+COUNTIF('3月'!CK6:CL6,L$78)+COUNTIF('3月'!CP6:CQ6,L$78)+COUNTIF('3月'!CU6:CV6,L$78)+COUNTIF('3月'!CZ6:DA6,L$78)+COUNTIF('3月'!DE6:DF6,L$78)+COUNTIF('3月'!DJ6:DK6,L$78)+COUNTIF('3月'!DO6:DP6,L$78)+COUNTIF('3月'!DT6:DU6,L$78)+COUNTIF('3月'!DY6:DZ6,L$78)+COUNTIF('3月'!ED6:EE6,L$78)+COUNTIF('3月'!EI6:EJ6,L$78)+COUNTIF('3月'!EN6:EO6,L$78)+COUNTIF('3月'!ES6:ET6,L$78)</f>
        <v>0</v>
      </c>
      <c r="M82" s="76">
        <f t="shared" si="29"/>
        <v>0</v>
      </c>
      <c r="N82" s="76">
        <f>COUNTIF('3月'!D6:E6,N$78)+COUNTIF('3月'!I6:J6,N$78)+COUNTIF('3月'!N6:O6,N$78)+COUNTIF('3月'!S6:T6,N$78)+COUNTIF('3月'!X6:Y6,N$78)+COUNTIF('3月'!AC6:AD6,N$78)+COUNTIF('3月'!AH6:AI6,N$78)+COUNTIF('3月'!AM6:AN6,N$78)+COUNTIF('3月'!AR6:AS6,N$78)+COUNTIF('3月'!AW6:AX6,N$78)+COUNTIF('3月'!BB6:BC6,N$78)+COUNTIF('3月'!BG6:BH6,N$78)+COUNTIF('3月'!BL6:BM6,N$78)+COUNTIF('3月'!BQ6:BR6,N$78)+COUNTIF('3月'!BV6:BW6,N$78)+COUNTIF('3月'!CA6:CB6,N$78)+COUNTIF('3月'!CF6:CG6,N$78)+COUNTIF('3月'!CK6:CL6,N$78)+COUNTIF('3月'!CP6:CQ6,N$78)+COUNTIF('3月'!CU6:CV6,N$78)+COUNTIF('3月'!CZ6:DA6,N$78)+COUNTIF('3月'!DE6:DF6,N$78)+COUNTIF('3月'!DJ6:DK6,N$78)+COUNTIF('3月'!DO6:DP6,N$78)+COUNTIF('3月'!DT6:DU6,N$78)+COUNTIF('3月'!DY6:DZ6,N$78)+COUNTIF('3月'!ED6:EE6,N$78)+COUNTIF('3月'!EI6:EJ6,N$78)+COUNTIF('3月'!EN6:EO6,N$78)+COUNTIF('3月'!ES6:ET6,N$78)+COUNTIF('3月'!D6:E6,"三軒茶屋－夜勤")+COUNTIF('3月'!I6:J6,"三軒茶屋－夜勤")+COUNTIF('3月'!N6:O6,"三軒茶屋－夜勤")+COUNTIF('3月'!S6:T6,"三軒茶屋－夜勤")+COUNTIF('3月'!X6:Y6,"三軒茶屋－夜勤")+COUNTIF('3月'!AC6:AD6,"三軒茶屋－夜勤")+COUNTIF('3月'!AH6:AI6,"三軒茶屋－夜勤")+COUNTIF('3月'!AM6:AN6,"三軒茶屋－夜勤")+COUNTIF('3月'!AR6:AS6,"三軒茶屋－夜勤")+COUNTIF('3月'!AW6:AX6,"三軒茶屋－夜勤")+COUNTIF('3月'!BB6:BC6,"三軒茶屋－夜勤")+COUNTIF('3月'!BG6:BH6,"三軒茶屋－夜勤")+COUNTIF('3月'!BL6:BM6,"三軒茶屋－夜勤")+COUNTIF('3月'!BQ6:BR6,"三軒茶屋－夜勤")+COUNTIF('3月'!BV6:BW6,"三軒茶屋－夜勤")+COUNTIF('3月'!CA6:CB6,"三軒茶屋－夜勤")+COUNTIF('3月'!CF6:CG6,"三軒茶屋－夜勤")+COUNTIF('3月'!CK6:CL6,"三軒茶屋－夜勤")+COUNTIF('3月'!CP6:CQ6,"三軒茶屋－夜勤")+COUNTIF('3月'!CU6:CV6,"三軒茶屋－夜勤")+COUNTIF('3月'!CZ6:DA6,"三軒茶屋－夜勤")+COUNTIF('3月'!DE6:DF6,"三軒茶屋－夜勤")+COUNTIF('3月'!DJ6:DK6,"三軒茶屋－夜勤")+COUNTIF('3月'!DO6:DP6,"三軒茶屋－夜勤")+COUNTIF('3月'!DT6:DU6,"三軒茶屋－夜勤")+COUNTIF('3月'!DY6:DZ6,"三軒茶屋－夜勤")+COUNTIF('3月'!ED6:EE6,"三軒茶屋－夜勤")+COUNTIF('3月'!EI6:EJ6,"三軒茶屋－夜勤")+COUNTIF('3月'!EN6:EO6,"三軒茶屋－夜勤")+COUNTIF('3月'!ES6:ET6,"三軒茶屋－夜勤")</f>
        <v>0</v>
      </c>
      <c r="O82" s="76">
        <f t="shared" si="30"/>
        <v>0</v>
      </c>
      <c r="P82" s="76">
        <f>COUNTIF('3月'!D6:E6,P$78)+COUNTIF('3月'!I6:J6,P$78)+COUNTIF('3月'!N6:O6,P$78)+COUNTIF('3月'!S6:T6,P$78)+COUNTIF('3月'!X6:Y6,P$78)+COUNTIF('3月'!AC6:AD6,P$78)+COUNTIF('3月'!AH6:AI6,P$78)+COUNTIF('3月'!AM6:AN6,P$78)+COUNTIF('3月'!AR6:AS6,P$78)+COUNTIF('3月'!AW6:AX6,P$78)+COUNTIF('3月'!BB6:BC6,P$78)+COUNTIF('3月'!BG6:BH6,P$78)+COUNTIF('3月'!BL6:BM6,P$78)+COUNTIF('3月'!BQ6:BR6,P$78)+COUNTIF('3月'!BV6:BW6,P$78)+COUNTIF('3月'!CA6:CB6,P$78)+COUNTIF('3月'!CF6:CG6,P$78)+COUNTIF('3月'!CK6:CL6,P$78)+COUNTIF('3月'!CP6:CQ6,P$78)+COUNTIF('3月'!CU6:CV6,P$78)+COUNTIF('3月'!CZ6:DA6,P$78)+COUNTIF('3月'!DE6:DF6,P$78)+COUNTIF('3月'!DJ6:DK6,P$78)+COUNTIF('3月'!DO6:DP6,P$78)+COUNTIF('3月'!DT6:DU6,P$78)+COUNTIF('3月'!DY6:DZ6,P$78)+COUNTIF('3月'!ED6:EE6,P$78)+COUNTIF('3月'!EI6:EJ6,P$78)+COUNTIF('3月'!EN6:EO6,P$78)+COUNTIF('3月'!ES6:ET6,P$78)+COUNTIF('3月'!D6:E6,"荻窪ー夜勤")+COUNTIF('3月'!I6:J6,"荻窪ー夜勤")+COUNTIF('3月'!N6:O6,"荻窪ー夜勤")+COUNTIF('3月'!S6:T6,"荻窪ー夜勤")+COUNTIF('3月'!X6:Y6,"荻窪ー夜勤")+COUNTIF('3月'!AC6:AD6,"荻窪ー夜勤")+COUNTIF('3月'!AH6:AI6,"荻窪ー夜勤")+COUNTIF('3月'!AM6:AN6,"荻窪ー夜勤")+COUNTIF('3月'!AR6:AS6,"荻窪ー夜勤")+COUNTIF('3月'!AW6:AX6,"荻窪ー夜勤")+COUNTIF('3月'!BB6:BC6,"荻窪ー夜勤")+COUNTIF('3月'!BG6:BH6,"荻窪ー夜勤")+COUNTIF('3月'!BL6:BM6,"荻窪ー夜勤")+COUNTIF('3月'!BQ6:BR6,"荻窪ー夜勤")+COUNTIF('3月'!BV6:BW6,"荻窪ー夜勤")+COUNTIF('3月'!CA6:CB6,"荻窪ー夜勤")+COUNTIF('3月'!CF6:CG6,"荻窪ー夜勤")+COUNTIF('3月'!CK6:CL6,"荻窪ー夜勤")+COUNTIF('3月'!CP6:CQ6,"荻窪ー夜勤")+COUNTIF('3月'!CU6:CV6,"荻窪ー夜勤")+COUNTIF('3月'!CZ6:DA6,"荻窪ー夜勤")+COUNTIF('3月'!DE6:DF6,"荻窪ー夜勤")+COUNTIF('3月'!DJ6:DK6,"荻窪ー夜勤")+COUNTIF('3月'!DO6:DP6,"荻窪ー夜勤")+COUNTIF('3月'!DT6:DU6,"荻窪ー夜勤")+COUNTIF('3月'!DY6:DZ6,"荻窪ー夜勤")+COUNTIF('3月'!ED6:EE6,"荻窪ー夜勤")+COUNTIF('3月'!EI6:EJ6,"荻窪ー夜勤")+COUNTIF('3月'!EN6:EO6,"荻窪ー夜勤")+COUNTIF('3月'!ES6:ET6,"荻窪ー夜勤")</f>
        <v>0</v>
      </c>
      <c r="Q82" s="76">
        <f t="shared" si="31"/>
        <v>0</v>
      </c>
      <c r="R82" s="76">
        <f>COUNTIF('3月'!D6:E6,R$78)+COUNTIF('3月'!I6:J6,R$78)+COUNTIF('3月'!N6:O6,R$78)+COUNTIF('3月'!S6:T6,R$78)+COUNTIF('3月'!X6:Y6,R$78)+COUNTIF('3月'!AC6:AD6,R$78)+COUNTIF('3月'!AH6:AI6,R$78)+COUNTIF('3月'!AM6:AN6,R$78)+COUNTIF('3月'!AR6:AS6,R$78)+COUNTIF('3月'!AW6:AX6,R$78)+COUNTIF('3月'!BB6:BC6,R$78)+COUNTIF('3月'!BG6:BH6,R$78)+COUNTIF('3月'!BL6:BM6,R$78)+COUNTIF('3月'!BQ6:BR6,R$78)+COUNTIF('3月'!BV6:BW6,R$78)+COUNTIF('3月'!CA6:CB6,R$78)+COUNTIF('3月'!CF6:CG6,R$78)+COUNTIF('3月'!CK6:CL6,R$78)+COUNTIF('3月'!CP6:CQ6,R$78)+COUNTIF('3月'!CU6:CV6,R$78)+COUNTIF('3月'!CZ6:DA6,R$78)+COUNTIF('3月'!DE6:DF6,R$78)+COUNTIF('3月'!DJ6:DK6,R$78)+COUNTIF('3月'!DO6:DP6,R$78)+COUNTIF('3月'!DT6:DU6,R$78)+COUNTIF('3月'!DY6:DZ6,R$78)+COUNTIF('3月'!ED6:EE6,R$78)+COUNTIF('3月'!EI6:EJ6,R$78)+COUNTIF('3月'!EN6:EO6,R$78)+COUNTIF('3月'!ES6:ET6,R$78)</f>
        <v>0</v>
      </c>
      <c r="S82" s="76">
        <f t="shared" si="32"/>
        <v>0</v>
      </c>
      <c r="T82" s="76">
        <f>COUNTIF('3月'!D6:E6,T$78)+COUNTIF('3月'!I6:J6,T$78)+COUNTIF('3月'!N6:O6,T$78)+COUNTIF('3月'!S6:T6,T$78)+COUNTIF('3月'!X6:Y6,T$78)+COUNTIF('3月'!AC6:AD6,T$78)+COUNTIF('3月'!AH6:AI6,T$78)+COUNTIF('3月'!AM6:AN6,T$78)+COUNTIF('3月'!AR6:AS6,T$78)+COUNTIF('3月'!AW6:AX6,T$78)+COUNTIF('3月'!BB6:BC6,T$78)+COUNTIF('3月'!BG6:BH6,T$78)+COUNTIF('3月'!BL6:BM6,T$78)+COUNTIF('3月'!BQ6:BR6,T$78)+COUNTIF('3月'!BV6:BW6,T$78)+COUNTIF('3月'!CA6:CB6,T$78)+COUNTIF('3月'!CF6:CG6,T$78)+COUNTIF('3月'!CK6:CL6,T$78)+COUNTIF('3月'!CP6:CQ6,T$78)+COUNTIF('3月'!CU6:CV6,T$78)+COUNTIF('3月'!CZ6:DA6,T$78)+COUNTIF('3月'!DE6:DF6,T$78)+COUNTIF('3月'!DJ6:DK6,T$78)+COUNTIF('3月'!DO6:DP6,T$78)+COUNTIF('3月'!DT6:DU6,T$78)+COUNTIF('3月'!DY6:DZ6,T$78)+COUNTIF('3月'!ED6:EE6,T$78)+COUNTIF('3月'!EI6:EJ6,T$78)+COUNTIF('3月'!EN6:EO6,T$78)+COUNTIF('3月'!ES6:ET6,T$78)</f>
        <v>0</v>
      </c>
      <c r="U82" s="76">
        <f t="shared" si="33"/>
        <v>0</v>
      </c>
      <c r="V82" s="76">
        <f>COUNTIF('3月'!D6:E6,V$78)+COUNTIF('3月'!I6:J6,V$78)+COUNTIF('3月'!N6:O6,V$78)+COUNTIF('3月'!S6:T6,V$78)+COUNTIF('3月'!X6:Y6,V$78)+COUNTIF('3月'!AC6:AD6,V$78)+COUNTIF('3月'!AH6:AI6,V$78)+COUNTIF('3月'!AM6:AN6,V$78)+COUNTIF('3月'!AR6:AS6,V$78)+COUNTIF('3月'!AW6:AX6,V$78)+COUNTIF('3月'!BB6:BC6,V$78)+COUNTIF('3月'!BG6:BH6,V$78)+COUNTIF('3月'!BL6:BM6,V$78)+COUNTIF('3月'!BQ6:BR6,V$78)+COUNTIF('3月'!BV6:BW6,V$78)+COUNTIF('3月'!CA6:CB6,V$78)+COUNTIF('3月'!CF6:CG6,V$78)+COUNTIF('3月'!CK6:CL6,V$78)+COUNTIF('3月'!CP6:CQ6,V$78)+COUNTIF('3月'!CU6:CV6,V$78)+COUNTIF('3月'!CZ6:DA6,V$78)+COUNTIF('3月'!DE6:DF6,V$78)+COUNTIF('3月'!DJ6:DK6,V$78)+COUNTIF('3月'!DO6:DP6,V$78)+COUNTIF('3月'!DT6:DU6,V$78)+COUNTIF('3月'!DY6:DZ6,V$78)+COUNTIF('3月'!ED6:EE6,V$78)+COUNTIF('3月'!EI6:EJ6,V$78)+COUNTIF('3月'!EN6:EO6,V$78)+COUNTIF('3月'!ES6:ET6,V$78)</f>
        <v>0</v>
      </c>
      <c r="W82" s="76">
        <f t="shared" si="34"/>
        <v>0</v>
      </c>
      <c r="X82" s="76">
        <f>COUNTIF('3月'!D6:E6,X$78)+COUNTIF('3月'!I6:J6,X$78)+COUNTIF('3月'!N6:O6,X$78)+COUNTIF('3月'!S6:T6,X$78)+COUNTIF('3月'!X6:Y6,X$78)+COUNTIF('3月'!AC6:AD6,X$78)+COUNTIF('3月'!AH6:AI6,X$78)+COUNTIF('3月'!AM6:AN6,X$78)+COUNTIF('3月'!AR6:AS6,X$78)+COUNTIF('3月'!AW6:AX6,X$78)+COUNTIF('3月'!BB6:BC6,X$78)+COUNTIF('3月'!BG6:BH6,X$78)+COUNTIF('3月'!BL6:BM6,X$78)+COUNTIF('3月'!BQ6:BR6,X$78)+COUNTIF('3月'!BV6:BW6,X$78)+COUNTIF('3月'!CA6:CB6,X$78)+COUNTIF('3月'!CF6:CG6,X$78)+COUNTIF('3月'!CK6:CL6,X$78)+COUNTIF('3月'!CP6:CQ6,X$78)+COUNTIF('3月'!CU6:CV6,X$78)+COUNTIF('3月'!CZ6:DA6,X$78)+COUNTIF('3月'!DE6:DF6,X$78)+COUNTIF('3月'!DJ6:DK6,X$78)+COUNTIF('3月'!DO6:DP6,X$78)+COUNTIF('3月'!DT6:DU6,X$78)+COUNTIF('3月'!DY6:DZ6,X$78)+COUNTIF('3月'!ED6:EE6,X$78)+COUNTIF('3月'!EI6:EJ6,X$78)+COUNTIF('3月'!EN6:EO6,X$78)+COUNTIF('3月'!ES6:ET6,X$78)</f>
        <v>0</v>
      </c>
      <c r="Y82" s="76">
        <f t="shared" si="35"/>
        <v>0</v>
      </c>
    </row>
    <row r="83" spans="1:25" ht="18" customHeight="1">
      <c r="A83" s="76">
        <v>4</v>
      </c>
      <c r="B83" s="76">
        <f>COUNTIF('3月'!D7:E7,B$78)+COUNTIF('3月'!I7:J7,B$78)+COUNTIF('3月'!N7:O7,B$78)+COUNTIF('3月'!S7:T7,B$78)+COUNTIF('3月'!X7:Y7,B$78)+COUNTIF('3月'!AC7:AD7,B$78)+COUNTIF('3月'!AH7:AI7,B$78)+COUNTIF('3月'!AM7:AN7,B$78)+COUNTIF('3月'!AR7:AS7,B$78)+COUNTIF('3月'!AW7:AX7,B$78)+COUNTIF('3月'!BB7:BC7,B$78)+COUNTIF('3月'!BG7:BH7,B$78)+COUNTIF('3月'!BL7:BM7,B$78)+COUNTIF('3月'!BQ7:BR7,B$78)+COUNTIF('3月'!BV7:BW7,B$78)+COUNTIF('3月'!CA7:CB7,B$78)+COUNTIF('3月'!CF7:CG7,B$78)+COUNTIF('3月'!CK7:CL7,B$78)+COUNTIF('3月'!CP7:CQ7,B$78)+COUNTIF('3月'!CU7:CV7,B$78)+COUNTIF('3月'!CZ7:DA7,B$78)+COUNTIF('3月'!DE7:DF7,B$78)+COUNTIF('3月'!DJ7:DK7,B$78)+COUNTIF('3月'!DO7:DP7,B$78)+COUNTIF('3月'!DT7:DU7,B$78)+COUNTIF('3月'!DY7:DZ7,B$78)+COUNTIF('3月'!ED7:EE7,B$78)+COUNTIF('3月'!EI7:EJ7,B$78)+COUNTIF('3月'!EN7:EO7,B$78)+COUNTIF('3月'!ES7:ET7,B$78)</f>
        <v>0</v>
      </c>
      <c r="C83" s="76">
        <f t="shared" si="24"/>
        <v>0</v>
      </c>
      <c r="D83" s="76">
        <f>COUNTIF('3月'!D7:E7,D$78)+COUNTIF('3月'!I7:J7,D$78)+COUNTIF('3月'!N7:O7,D$78)+COUNTIF('3月'!S7:T7,D$78)+COUNTIF('3月'!X7:Y7,D$78)+COUNTIF('3月'!AC7:AD7,D$78)+COUNTIF('3月'!AH7:AI7,D$78)+COUNTIF('3月'!AM7:AN7,D$78)+COUNTIF('3月'!AR7:AS7,D$78)+COUNTIF('3月'!AW7:AX7,D$78)+COUNTIF('3月'!BB7:BC7,D$78)+COUNTIF('3月'!BG7:BH7,D$78)+COUNTIF('3月'!BL7:BM7,D$78)+COUNTIF('3月'!BQ7:BR7,D$78)+COUNTIF('3月'!BV7:BW7,D$78)+COUNTIF('3月'!CA7:CB7,D$78)+COUNTIF('3月'!CF7:CG7,D$78)+COUNTIF('3月'!CK7:CL7,D$78)+COUNTIF('3月'!CP7:CQ7,D$78)+COUNTIF('3月'!CU7:CV7,D$78)+COUNTIF('3月'!CZ7:DA7,D$78)+COUNTIF('3月'!DE7:DF7,D$78)+COUNTIF('3月'!DJ7:DK7,D$78)+COUNTIF('3月'!DO7:DP7,D$78)+COUNTIF('3月'!DT7:DU7,D$78)+COUNTIF('3月'!DY7:DZ7,D$78)+COUNTIF('3月'!ED7:EE7,D$78)+COUNTIF('3月'!EI7:EJ7,D$78)+COUNTIF('3月'!EN7:EO7,D$78)+COUNTIF('3月'!ES7:ET7,D$78)</f>
        <v>0</v>
      </c>
      <c r="E83" s="76">
        <f t="shared" si="25"/>
        <v>0</v>
      </c>
      <c r="F83" s="76">
        <f>COUNTIF('3月'!D7:E7,F$78)+COUNTIF('3月'!I7:J7,F$78)+COUNTIF('3月'!N7:O7,F$78)+COUNTIF('3月'!S7:T7,F$78)+COUNTIF('3月'!X7:Y7,F$78)+COUNTIF('3月'!AC7:AD7,F$78)+COUNTIF('3月'!AH7:AI7,F$78)+COUNTIF('3月'!AM7:AN7,F$78)+COUNTIF('3月'!AR7:AS7,F$78)+COUNTIF('3月'!AW7:AX7,F$78)+COUNTIF('3月'!BB7:BC7,F$78)+COUNTIF('3月'!BG7:BH7,F$78)+COUNTIF('3月'!BL7:BM7,F$78)+COUNTIF('3月'!BQ7:BR7,F$78)+COUNTIF('3月'!BV7:BW7,F$78)+COUNTIF('3月'!CA7:CB7,F$78)+COUNTIF('3月'!CF7:CG7,F$78)+COUNTIF('3月'!CK7:CL7,F$78)+COUNTIF('3月'!CP7:CQ7,F$78)+COUNTIF('3月'!CU7:CV7,F$78)+COUNTIF('3月'!CZ7:DA7,F$78)+COUNTIF('3月'!DE7:DF7,F$78)+COUNTIF('3月'!DJ7:DK7,F$78)+COUNTIF('3月'!DO7:DP7,F$78)+COUNTIF('3月'!DT7:DU7,F$78)+COUNTIF('3月'!DY7:DZ7,F$78)+COUNTIF('3月'!ED7:EE7,F$78)+COUNTIF('3月'!EI7:EJ7,F$78)+COUNTIF('3月'!EN7:EO7,F$78)+COUNTIF('3月'!ES7:ET7,F$78)</f>
        <v>0</v>
      </c>
      <c r="G83" s="76">
        <f t="shared" si="26"/>
        <v>0</v>
      </c>
      <c r="H83" s="76">
        <f>COUNTIF('3月'!D7:E7,H$78)+COUNTIF('3月'!I7:J7,H$78)+COUNTIF('3月'!N7:O7,H$78)+COUNTIF('3月'!S7:T7,H$78)+COUNTIF('3月'!X7:Y7,H$78)+COUNTIF('3月'!AC7:AD7,H$78)+COUNTIF('3月'!AH7:AI7,H$78)+COUNTIF('3月'!AM7:AN7,H$78)+COUNTIF('3月'!AR7:AS7,H$78)+COUNTIF('3月'!AW7:AX7,H$78)+COUNTIF('3月'!BB7:BC7,H$78)+COUNTIF('3月'!BG7:BH7,H$78)+COUNTIF('3月'!BL7:BM7,H$78)+COUNTIF('3月'!BQ7:BR7,H$78)+COUNTIF('3月'!BV7:BW7,H$78)+COUNTIF('3月'!CA7:CB7,H$78)+COUNTIF('3月'!CF7:CG7,H$78)+COUNTIF('3月'!CK7:CL7,H$78)+COUNTIF('3月'!CP7:CQ7,H$78)+COUNTIF('3月'!CU7:CV7,H$78)+COUNTIF('3月'!CZ7:DA7,H$78)+COUNTIF('3月'!DE7:DF7,H$78)+COUNTIF('3月'!DJ7:DK7,H$78)+COUNTIF('3月'!DO7:DP7,H$78)+COUNTIF('3月'!DT7:DU7,H$78)+COUNTIF('3月'!DY7:DZ7,H$78)+COUNTIF('3月'!ED7:EE7,H$78)+COUNTIF('3月'!EI7:EJ7,H$78)+COUNTIF('3月'!EN7:EO7,H$78)+COUNTIF('3月'!ES7:ET7,H$78)+COUNTIF('3月'!D7:E7,"渋谷-夜勤")+COUNTIF('3月'!I7:J7,"渋谷-夜勤")+COUNTIF('3月'!N7:O7,"渋谷-夜勤")+COUNTIF('3月'!S7:T7,"渋谷-夜勤")+COUNTIF('3月'!X7:Y7,"渋谷-夜勤")+COUNTIF('3月'!AC7:AD7,"渋谷-夜勤")+COUNTIF('3月'!AH7:AI7,"渋谷-夜勤")+COUNTIF('3月'!AM7:AN7,"渋谷-夜勤")+COUNTIF('3月'!AR7:AS7,"渋谷-夜勤")+COUNTIF('3月'!AW7:AX7,"渋谷-夜勤")+COUNTIF('3月'!BB7:BC7,"渋谷-夜勤")+COUNTIF('3月'!BG7:BH7,"渋谷-夜勤")+COUNTIF('3月'!BL7:BM7,"渋谷-夜勤")+COUNTIF('3月'!BQ7:BR7,"渋谷-夜勤")+COUNTIF('3月'!BV7:BW7,"渋谷-夜勤")+COUNTIF('3月'!CA7:CB7,"渋谷-夜勤")+COUNTIF('3月'!CF7:CG7,"渋谷-夜勤")+COUNTIF('3月'!CK7:CL7,"渋谷-夜勤")+COUNTIF('3月'!CP7:CQ7,"渋谷-夜勤")+COUNTIF('3月'!CU7:CV7,"渋谷-夜勤")+COUNTIF('3月'!CZ7:DA7,"渋谷-夜勤")+COUNTIF('3月'!DE7:DF7,"渋谷-夜勤")+COUNTIF('3月'!DJ7:DK7,"渋谷-夜勤")+COUNTIF('3月'!DO7:DP7,"渋谷-夜勤")+COUNTIF('3月'!DT7:DU7,"渋谷-夜勤")+COUNTIF('3月'!DY7:DZ7,"渋谷-夜勤")+COUNTIF('3月'!ED7:EE7,"渋谷-夜勤")+COUNTIF('3月'!EI7:EJ7,"渋谷-夜勤")+COUNTIF('3月'!EN7:EO7,"渋谷-夜勤")+COUNTIF('3月'!ES7:ET7,"渋谷-夜勤")</f>
        <v>0</v>
      </c>
      <c r="I83" s="76">
        <f t="shared" si="27"/>
        <v>0</v>
      </c>
      <c r="J83" s="76">
        <f>COUNTIF('3月'!D7:E7,J$78)+COUNTIF('3月'!I7:J7,J$78)+COUNTIF('3月'!N7:O7,J$78)+COUNTIF('3月'!S7:T7,J$78)+COUNTIF('3月'!X7:Y7,J$78)+COUNTIF('3月'!AC7:AD7,J$78)+COUNTIF('3月'!AH7:AI7,J$78)+COUNTIF('3月'!AM7:AN7,J$78)+COUNTIF('3月'!AR7:AS7,J$78)+COUNTIF('3月'!AW7:AX7,J$78)+COUNTIF('3月'!BB7:BC7,J$78)+COUNTIF('3月'!BG7:BH7,J$78)+COUNTIF('3月'!BL7:BM7,J$78)+COUNTIF('3月'!BQ7:BR7,J$78)+COUNTIF('3月'!BV7:BW7,J$78)+COUNTIF('3月'!CA7:CB7,J$78)+COUNTIF('3月'!CF7:CG7,J$78)+COUNTIF('3月'!CK7:CL7,J$78)+COUNTIF('3月'!CP7:CQ7,J$78)+COUNTIF('3月'!CU7:CV7,J$78)+COUNTIF('3月'!CZ7:DA7,J$78)+COUNTIF('3月'!DE7:DF7,J$78)+COUNTIF('3月'!DJ7:DK7,J$78)+COUNTIF('3月'!DO7:DP7,J$78)+COUNTIF('3月'!DT7:DU7,J$78)+COUNTIF('3月'!DY7:DZ7,J$78)+COUNTIF('3月'!ED7:EE7,J$78)+COUNTIF('3月'!EI7:EJ7,J$78)+COUNTIF('3月'!EN7:EO7,J$78)+COUNTIF('3月'!ES7:ET7,J$78)+COUNTIF('3月'!D7:E7,"六本木-夜勤")+COUNTIF('3月'!I7:J7,"六本木-夜勤")+COUNTIF('3月'!N7:O7,"六本木-夜勤")+COUNTIF('3月'!S7:T7,"六本木-夜勤")+COUNTIF('3月'!X7:Y7,"六本木-夜勤")+COUNTIF('3月'!AC7:AD7,"六本木-夜勤")+COUNTIF('3月'!AH7:AI7,"六本木-夜勤")+COUNTIF('3月'!AM7:AN7,"六本木-夜勤")+COUNTIF('3月'!AR7:AS7,"六本木-夜勤")+COUNTIF('3月'!AW7:AX7,"六本木-夜勤")+COUNTIF('3月'!BB7:BC7,"六本木-夜勤")+COUNTIF('3月'!BG7:BH7,"六本木-夜勤")+COUNTIF('3月'!BL7:BM7,"六本木-夜勤")+COUNTIF('3月'!BQ7:BR7,"六本木-夜勤")+COUNTIF('3月'!BV7:BW7,"六本木-夜勤")+COUNTIF('3月'!CA7:CB7,"六本木-夜勤")+COUNTIF('3月'!CF7:CG7,"六本木-夜勤")+COUNTIF('3月'!CK7:CL7,"六本木-夜勤")+COUNTIF('3月'!CP7:CQ7,"六本木-夜勤")+COUNTIF('3月'!CU7:CV7,"六本木-夜勤")+COUNTIF('3月'!CZ7:DA7,"六本木-夜勤")+COUNTIF('3月'!DE7:DF7,"六本木-夜勤")+COUNTIF('3月'!DJ7:DK7,"六本木-夜勤")+COUNTIF('3月'!DO7:DP7,"六本木-夜勤")+COUNTIF('3月'!DT7:DU7,"六本木-夜勤")+COUNTIF('3月'!DY7:DZ7,"六本木-夜勤")+COUNTIF('3月'!ED7:EE7,"六本木-夜勤")+COUNTIF('3月'!EI7:EJ7,"六本木-夜勤")+COUNTIF('3月'!EN7:EO7,"六本木-夜勤")+COUNTIF('3月'!ES7:ET7,"六本木-夜勤")+COUNTIF('3月'!D7:E7,"六本木ー夜勤")+COUNTIF('3月'!I7:J7,"六本木ー夜勤")+COUNTIF('3月'!N7:O7,"六本木ー夜勤")+COUNTIF('3月'!S7:T7,"六本木ー夜勤")+COUNTIF('3月'!X7:Y7,"六本木ー夜勤")+COUNTIF('3月'!AC7:AD7,"六本木ー夜勤")+COUNTIF('3月'!AH7:AI7,"六本木ー夜勤")+COUNTIF('3月'!AM7:AN7,"六本木ー夜勤")+COUNTIF('3月'!AR7:AS7,"六本木ー夜勤")+COUNTIF('3月'!AW7:AX7,"六本木ー夜勤")+COUNTIF('3月'!BB7:BC7,"六本木ー夜勤")+COUNTIF('3月'!BG7:BH7,"六本木ー夜勤")+COUNTIF('3月'!BL7:BM7,"六本木ー夜勤")+COUNTIF('3月'!BQ7:BR7,"六本木ー夜勤")+COUNTIF('3月'!BV7:BW7,"六本木ー夜勤")+COUNTIF('3月'!CA7:CB7,"六本木ー夜勤")+COUNTIF('3月'!CF7:CG7,"六本木ー夜勤")+COUNTIF('3月'!CK7:CL7,"六本木ー夜勤")+COUNTIF('3月'!CP7:CQ7,"六本木ー夜勤")+COUNTIF('3月'!CU7:CV7,"六本木ー夜勤")+COUNTIF('3月'!CZ7:DA7,"六本木ー夜勤")+COUNTIF('3月'!DE7:DF7,"六本木ー夜勤")+COUNTIF('3月'!DJ7:DK7,"六本木ー夜勤")+COUNTIF('3月'!DO7:DP7,"六本木ー夜勤")+COUNTIF('3月'!DT7:DU7,"六本木ー夜勤")+COUNTIF('3月'!DY7:DZ7,"六本木ー夜勤")+COUNTIF('3月'!ED7:EE7,"六本木ー夜勤")+COUNTIF('3月'!EI7:EJ7,"六本木ー夜勤")+COUNTIF('3月'!EN7:EO7,"六本木ー夜勤")+COUNTIF('3月'!ES7:ET7,"六本木ー夜勤")</f>
        <v>0</v>
      </c>
      <c r="K83" s="76">
        <f t="shared" si="28"/>
        <v>0</v>
      </c>
      <c r="L83" s="76">
        <f>COUNTIF('3月'!D7:E7,L$78)+COUNTIF('3月'!I7:J7,L$78)+COUNTIF('3月'!N7:O7,L$78)+COUNTIF('3月'!S7:T7,L$78)+COUNTIF('3月'!X7:Y7,L$78)+COUNTIF('3月'!AC7:AD7,L$78)+COUNTIF('3月'!AH7:AI7,L$78)+COUNTIF('3月'!AM7:AN7,L$78)+COUNTIF('3月'!AR7:AS7,L$78)+COUNTIF('3月'!AW7:AX7,L$78)+COUNTIF('3月'!BB7:BC7,L$78)+COUNTIF('3月'!BG7:BH7,L$78)+COUNTIF('3月'!BL7:BM7,L$78)+COUNTIF('3月'!BQ7:BR7,L$78)+COUNTIF('3月'!BV7:BW7,L$78)+COUNTIF('3月'!CA7:CB7,L$78)+COUNTIF('3月'!CF7:CG7,L$78)+COUNTIF('3月'!CK7:CL7,L$78)+COUNTIF('3月'!CP7:CQ7,L$78)+COUNTIF('3月'!CU7:CV7,L$78)+COUNTIF('3月'!CZ7:DA7,L$78)+COUNTIF('3月'!DE7:DF7,L$78)+COUNTIF('3月'!DJ7:DK7,L$78)+COUNTIF('3月'!DO7:DP7,L$78)+COUNTIF('3月'!DT7:DU7,L$78)+COUNTIF('3月'!DY7:DZ7,L$78)+COUNTIF('3月'!ED7:EE7,L$78)+COUNTIF('3月'!EI7:EJ7,L$78)+COUNTIF('3月'!EN7:EO7,L$78)+COUNTIF('3月'!ES7:ET7,L$78)</f>
        <v>0</v>
      </c>
      <c r="M83" s="76">
        <f t="shared" si="29"/>
        <v>0</v>
      </c>
      <c r="N83" s="76">
        <f>COUNTIF('3月'!D7:E7,N$78)+COUNTIF('3月'!I7:J7,N$78)+COUNTIF('3月'!N7:O7,N$78)+COUNTIF('3月'!S7:T7,N$78)+COUNTIF('3月'!X7:Y7,N$78)+COUNTIF('3月'!AC7:AD7,N$78)+COUNTIF('3月'!AH7:AI7,N$78)+COUNTIF('3月'!AM7:AN7,N$78)+COUNTIF('3月'!AR7:AS7,N$78)+COUNTIF('3月'!AW7:AX7,N$78)+COUNTIF('3月'!BB7:BC7,N$78)+COUNTIF('3月'!BG7:BH7,N$78)+COUNTIF('3月'!BL7:BM7,N$78)+COUNTIF('3月'!BQ7:BR7,N$78)+COUNTIF('3月'!BV7:BW7,N$78)+COUNTIF('3月'!CA7:CB7,N$78)+COUNTIF('3月'!CF7:CG7,N$78)+COUNTIF('3月'!CK7:CL7,N$78)+COUNTIF('3月'!CP7:CQ7,N$78)+COUNTIF('3月'!CU7:CV7,N$78)+COUNTIF('3月'!CZ7:DA7,N$78)+COUNTIF('3月'!DE7:DF7,N$78)+COUNTIF('3月'!DJ7:DK7,N$78)+COUNTIF('3月'!DO7:DP7,N$78)+COUNTIF('3月'!DT7:DU7,N$78)+COUNTIF('3月'!DY7:DZ7,N$78)+COUNTIF('3月'!ED7:EE7,N$78)+COUNTIF('3月'!EI7:EJ7,N$78)+COUNTIF('3月'!EN7:EO7,N$78)+COUNTIF('3月'!ES7:ET7,N$78)+COUNTIF('3月'!D7:E7,"三軒茶屋－夜勤")+COUNTIF('3月'!I7:J7,"三軒茶屋－夜勤")+COUNTIF('3月'!N7:O7,"三軒茶屋－夜勤")+COUNTIF('3月'!S7:T7,"三軒茶屋－夜勤")+COUNTIF('3月'!X7:Y7,"三軒茶屋－夜勤")+COUNTIF('3月'!AC7:AD7,"三軒茶屋－夜勤")+COUNTIF('3月'!AH7:AI7,"三軒茶屋－夜勤")+COUNTIF('3月'!AM7:AN7,"三軒茶屋－夜勤")+COUNTIF('3月'!AR7:AS7,"三軒茶屋－夜勤")+COUNTIF('3月'!AW7:AX7,"三軒茶屋－夜勤")+COUNTIF('3月'!BB7:BC7,"三軒茶屋－夜勤")+COUNTIF('3月'!BG7:BH7,"三軒茶屋－夜勤")+COUNTIF('3月'!BL7:BM7,"三軒茶屋－夜勤")+COUNTIF('3月'!BQ7:BR7,"三軒茶屋－夜勤")+COUNTIF('3月'!BV7:BW7,"三軒茶屋－夜勤")+COUNTIF('3月'!CA7:CB7,"三軒茶屋－夜勤")+COUNTIF('3月'!CF7:CG7,"三軒茶屋－夜勤")+COUNTIF('3月'!CK7:CL7,"三軒茶屋－夜勤")+COUNTIF('3月'!CP7:CQ7,"三軒茶屋－夜勤")+COUNTIF('3月'!CU7:CV7,"三軒茶屋－夜勤")+COUNTIF('3月'!CZ7:DA7,"三軒茶屋－夜勤")+COUNTIF('3月'!DE7:DF7,"三軒茶屋－夜勤")+COUNTIF('3月'!DJ7:DK7,"三軒茶屋－夜勤")+COUNTIF('3月'!DO7:DP7,"三軒茶屋－夜勤")+COUNTIF('3月'!DT7:DU7,"三軒茶屋－夜勤")+COUNTIF('3月'!DY7:DZ7,"三軒茶屋－夜勤")+COUNTIF('3月'!ED7:EE7,"三軒茶屋－夜勤")+COUNTIF('3月'!EI7:EJ7,"三軒茶屋－夜勤")+COUNTIF('3月'!EN7:EO7,"三軒茶屋－夜勤")+COUNTIF('3月'!ES7:ET7,"三軒茶屋－夜勤")</f>
        <v>0</v>
      </c>
      <c r="O83" s="76">
        <f t="shared" si="30"/>
        <v>0</v>
      </c>
      <c r="P83" s="76">
        <f>COUNTIF('3月'!D7:E7,P$78)+COUNTIF('3月'!I7:J7,P$78)+COUNTIF('3月'!N7:O7,P$78)+COUNTIF('3月'!S7:T7,P$78)+COUNTIF('3月'!X7:Y7,P$78)+COUNTIF('3月'!AC7:AD7,P$78)+COUNTIF('3月'!AH7:AI7,P$78)+COUNTIF('3月'!AM7:AN7,P$78)+COUNTIF('3月'!AR7:AS7,P$78)+COUNTIF('3月'!AW7:AX7,P$78)+COUNTIF('3月'!BB7:BC7,P$78)+COUNTIF('3月'!BG7:BH7,P$78)+COUNTIF('3月'!BL7:BM7,P$78)+COUNTIF('3月'!BQ7:BR7,P$78)+COUNTIF('3月'!BV7:BW7,P$78)+COUNTIF('3月'!CA7:CB7,P$78)+COUNTIF('3月'!CF7:CG7,P$78)+COUNTIF('3月'!CK7:CL7,P$78)+COUNTIF('3月'!CP7:CQ7,P$78)+COUNTIF('3月'!CU7:CV7,P$78)+COUNTIF('3月'!CZ7:DA7,P$78)+COUNTIF('3月'!DE7:DF7,P$78)+COUNTIF('3月'!DJ7:DK7,P$78)+COUNTIF('3月'!DO7:DP7,P$78)+COUNTIF('3月'!DT7:DU7,P$78)+COUNTIF('3月'!DY7:DZ7,P$78)+COUNTIF('3月'!ED7:EE7,P$78)+COUNTIF('3月'!EI7:EJ7,P$78)+COUNTIF('3月'!EN7:EO7,P$78)+COUNTIF('3月'!ES7:ET7,P$78)+COUNTIF('3月'!D7:E7,"荻窪ー夜勤")+COUNTIF('3月'!I7:J7,"荻窪ー夜勤")+COUNTIF('3月'!N7:O7,"荻窪ー夜勤")+COUNTIF('3月'!S7:T7,"荻窪ー夜勤")+COUNTIF('3月'!X7:Y7,"荻窪ー夜勤")+COUNTIF('3月'!AC7:AD7,"荻窪ー夜勤")+COUNTIF('3月'!AH7:AI7,"荻窪ー夜勤")+COUNTIF('3月'!AM7:AN7,"荻窪ー夜勤")+COUNTIF('3月'!AR7:AS7,"荻窪ー夜勤")+COUNTIF('3月'!AW7:AX7,"荻窪ー夜勤")+COUNTIF('3月'!BB7:BC7,"荻窪ー夜勤")+COUNTIF('3月'!BG7:BH7,"荻窪ー夜勤")+COUNTIF('3月'!BL7:BM7,"荻窪ー夜勤")+COUNTIF('3月'!BQ7:BR7,"荻窪ー夜勤")+COUNTIF('3月'!BV7:BW7,"荻窪ー夜勤")+COUNTIF('3月'!CA7:CB7,"荻窪ー夜勤")+COUNTIF('3月'!CF7:CG7,"荻窪ー夜勤")+COUNTIF('3月'!CK7:CL7,"荻窪ー夜勤")+COUNTIF('3月'!CP7:CQ7,"荻窪ー夜勤")+COUNTIF('3月'!CU7:CV7,"荻窪ー夜勤")+COUNTIF('3月'!CZ7:DA7,"荻窪ー夜勤")+COUNTIF('3月'!DE7:DF7,"荻窪ー夜勤")+COUNTIF('3月'!DJ7:DK7,"荻窪ー夜勤")+COUNTIF('3月'!DO7:DP7,"荻窪ー夜勤")+COUNTIF('3月'!DT7:DU7,"荻窪ー夜勤")+COUNTIF('3月'!DY7:DZ7,"荻窪ー夜勤")+COUNTIF('3月'!ED7:EE7,"荻窪ー夜勤")+COUNTIF('3月'!EI7:EJ7,"荻窪ー夜勤")+COUNTIF('3月'!EN7:EO7,"荻窪ー夜勤")+COUNTIF('3月'!ES7:ET7,"荻窪ー夜勤")</f>
        <v>0</v>
      </c>
      <c r="Q83" s="76">
        <f t="shared" si="31"/>
        <v>0</v>
      </c>
      <c r="R83" s="76">
        <f>COUNTIF('3月'!D7:E7,R$78)+COUNTIF('3月'!I7:J7,R$78)+COUNTIF('3月'!N7:O7,R$78)+COUNTIF('3月'!S7:T7,R$78)+COUNTIF('3月'!X7:Y7,R$78)+COUNTIF('3月'!AC7:AD7,R$78)+COUNTIF('3月'!AH7:AI7,R$78)+COUNTIF('3月'!AM7:AN7,R$78)+COUNTIF('3月'!AR7:AS7,R$78)+COUNTIF('3月'!AW7:AX7,R$78)+COUNTIF('3月'!BB7:BC7,R$78)+COUNTIF('3月'!BG7:BH7,R$78)+COUNTIF('3月'!BL7:BM7,R$78)+COUNTIF('3月'!BQ7:BR7,R$78)+COUNTIF('3月'!BV7:BW7,R$78)+COUNTIF('3月'!CA7:CB7,R$78)+COUNTIF('3月'!CF7:CG7,R$78)+COUNTIF('3月'!CK7:CL7,R$78)+COUNTIF('3月'!CP7:CQ7,R$78)+COUNTIF('3月'!CU7:CV7,R$78)+COUNTIF('3月'!CZ7:DA7,R$78)+COUNTIF('3月'!DE7:DF7,R$78)+COUNTIF('3月'!DJ7:DK7,R$78)+COUNTIF('3月'!DO7:DP7,R$78)+COUNTIF('3月'!DT7:DU7,R$78)+COUNTIF('3月'!DY7:DZ7,R$78)+COUNTIF('3月'!ED7:EE7,R$78)+COUNTIF('3月'!EI7:EJ7,R$78)+COUNTIF('3月'!EN7:EO7,R$78)+COUNTIF('3月'!ES7:ET7,R$78)</f>
        <v>0</v>
      </c>
      <c r="S83" s="76">
        <f t="shared" si="32"/>
        <v>0</v>
      </c>
      <c r="T83" s="76">
        <f>COUNTIF('3月'!D7:E7,T$78)+COUNTIF('3月'!I7:J7,T$78)+COUNTIF('3月'!N7:O7,T$78)+COUNTIF('3月'!S7:T7,T$78)+COUNTIF('3月'!X7:Y7,T$78)+COUNTIF('3月'!AC7:AD7,T$78)+COUNTIF('3月'!AH7:AI7,T$78)+COUNTIF('3月'!AM7:AN7,T$78)+COUNTIF('3月'!AR7:AS7,T$78)+COUNTIF('3月'!AW7:AX7,T$78)+COUNTIF('3月'!BB7:BC7,T$78)+COUNTIF('3月'!BG7:BH7,T$78)+COUNTIF('3月'!BL7:BM7,T$78)+COUNTIF('3月'!BQ7:BR7,T$78)+COUNTIF('3月'!BV7:BW7,T$78)+COUNTIF('3月'!CA7:CB7,T$78)+COUNTIF('3月'!CF7:CG7,T$78)+COUNTIF('3月'!CK7:CL7,T$78)+COUNTIF('3月'!CP7:CQ7,T$78)+COUNTIF('3月'!CU7:CV7,T$78)+COUNTIF('3月'!CZ7:DA7,T$78)+COUNTIF('3月'!DE7:DF7,T$78)+COUNTIF('3月'!DJ7:DK7,T$78)+COUNTIF('3月'!DO7:DP7,T$78)+COUNTIF('3月'!DT7:DU7,T$78)+COUNTIF('3月'!DY7:DZ7,T$78)+COUNTIF('3月'!ED7:EE7,T$78)+COUNTIF('3月'!EI7:EJ7,T$78)+COUNTIF('3月'!EN7:EO7,T$78)+COUNTIF('3月'!ES7:ET7,T$78)</f>
        <v>0</v>
      </c>
      <c r="U83" s="76">
        <f t="shared" si="33"/>
        <v>0</v>
      </c>
      <c r="V83" s="76">
        <f>COUNTIF('3月'!D7:E7,V$78)+COUNTIF('3月'!I7:J7,V$78)+COUNTIF('3月'!N7:O7,V$78)+COUNTIF('3月'!S7:T7,V$78)+COUNTIF('3月'!X7:Y7,V$78)+COUNTIF('3月'!AC7:AD7,V$78)+COUNTIF('3月'!AH7:AI7,V$78)+COUNTIF('3月'!AM7:AN7,V$78)+COUNTIF('3月'!AR7:AS7,V$78)+COUNTIF('3月'!AW7:AX7,V$78)+COUNTIF('3月'!BB7:BC7,V$78)+COUNTIF('3月'!BG7:BH7,V$78)+COUNTIF('3月'!BL7:BM7,V$78)+COUNTIF('3月'!BQ7:BR7,V$78)+COUNTIF('3月'!BV7:BW7,V$78)+COUNTIF('3月'!CA7:CB7,V$78)+COUNTIF('3月'!CF7:CG7,V$78)+COUNTIF('3月'!CK7:CL7,V$78)+COUNTIF('3月'!CP7:CQ7,V$78)+COUNTIF('3月'!CU7:CV7,V$78)+COUNTIF('3月'!CZ7:DA7,V$78)+COUNTIF('3月'!DE7:DF7,V$78)+COUNTIF('3月'!DJ7:DK7,V$78)+COUNTIF('3月'!DO7:DP7,V$78)+COUNTIF('3月'!DT7:DU7,V$78)+COUNTIF('3月'!DY7:DZ7,V$78)+COUNTIF('3月'!ED7:EE7,V$78)+COUNTIF('3月'!EI7:EJ7,V$78)+COUNTIF('3月'!EN7:EO7,V$78)+COUNTIF('3月'!ES7:ET7,V$78)</f>
        <v>0</v>
      </c>
      <c r="W83" s="76">
        <f t="shared" si="34"/>
        <v>0</v>
      </c>
      <c r="X83" s="76">
        <f>COUNTIF('3月'!D7:E7,X$78)+COUNTIF('3月'!I7:J7,X$78)+COUNTIF('3月'!N7:O7,X$78)+COUNTIF('3月'!S7:T7,X$78)+COUNTIF('3月'!X7:Y7,X$78)+COUNTIF('3月'!AC7:AD7,X$78)+COUNTIF('3月'!AH7:AI7,X$78)+COUNTIF('3月'!AM7:AN7,X$78)+COUNTIF('3月'!AR7:AS7,X$78)+COUNTIF('3月'!AW7:AX7,X$78)+COUNTIF('3月'!BB7:BC7,X$78)+COUNTIF('3月'!BG7:BH7,X$78)+COUNTIF('3月'!BL7:BM7,X$78)+COUNTIF('3月'!BQ7:BR7,X$78)+COUNTIF('3月'!BV7:BW7,X$78)+COUNTIF('3月'!CA7:CB7,X$78)+COUNTIF('3月'!CF7:CG7,X$78)+COUNTIF('3月'!CK7:CL7,X$78)+COUNTIF('3月'!CP7:CQ7,X$78)+COUNTIF('3月'!CU7:CV7,X$78)+COUNTIF('3月'!CZ7:DA7,X$78)+COUNTIF('3月'!DE7:DF7,X$78)+COUNTIF('3月'!DJ7:DK7,X$78)+COUNTIF('3月'!DO7:DP7,X$78)+COUNTIF('3月'!DT7:DU7,X$78)+COUNTIF('3月'!DY7:DZ7,X$78)+COUNTIF('3月'!ED7:EE7,X$78)+COUNTIF('3月'!EI7:EJ7,X$78)+COUNTIF('3月'!EN7:EO7,X$78)+COUNTIF('3月'!ES7:ET7,X$78)</f>
        <v>0</v>
      </c>
      <c r="Y83" s="76">
        <f t="shared" si="35"/>
        <v>0</v>
      </c>
    </row>
    <row r="84" spans="1:25" ht="18" customHeight="1">
      <c r="A84" s="76">
        <v>5</v>
      </c>
      <c r="B84" s="76">
        <f>COUNTIF('3月'!D8:E8,B$78)+COUNTIF('3月'!I8:J8,B$78)+COUNTIF('3月'!N8:O8,B$78)+COUNTIF('3月'!S8:T8,B$78)+COUNTIF('3月'!X8:Y8,B$78)+COUNTIF('3月'!AC8:AD8,B$78)+COUNTIF('3月'!AH8:AI8,B$78)+COUNTIF('3月'!AM8:AN8,B$78)+COUNTIF('3月'!AR8:AS8,B$78)+COUNTIF('3月'!AW8:AX8,B$78)+COUNTIF('3月'!BB8:BC8,B$78)+COUNTIF('3月'!BG8:BH8,B$78)+COUNTIF('3月'!BL8:BM8,B$78)+COUNTIF('3月'!BQ8:BR8,B$78)+COUNTIF('3月'!BV8:BW8,B$78)+COUNTIF('3月'!CA8:CB8,B$78)+COUNTIF('3月'!CF8:CG8,B$78)+COUNTIF('3月'!CK8:CL8,B$78)+COUNTIF('3月'!CP8:CQ8,B$78)+COUNTIF('3月'!CU8:CV8,B$78)+COUNTIF('3月'!CZ8:DA8,B$78)+COUNTIF('3月'!DE8:DF8,B$78)+COUNTIF('3月'!DJ8:DK8,B$78)+COUNTIF('3月'!DO8:DP8,B$78)+COUNTIF('3月'!DT8:DU8,B$78)+COUNTIF('3月'!DY8:DZ8,B$78)+COUNTIF('3月'!ED8:EE8,B$78)+COUNTIF('3月'!EI8:EJ8,B$78)+COUNTIF('3月'!EN8:EO8,B$78)+COUNTIF('3月'!ES8:ET8,B$78)</f>
        <v>0</v>
      </c>
      <c r="C84" s="76">
        <f t="shared" si="24"/>
        <v>0</v>
      </c>
      <c r="D84" s="76">
        <f>COUNTIF('3月'!D8:E8,D$78)+COUNTIF('3月'!I8:J8,D$78)+COUNTIF('3月'!N8:O8,D$78)+COUNTIF('3月'!S8:T8,D$78)+COUNTIF('3月'!X8:Y8,D$78)+COUNTIF('3月'!AC8:AD8,D$78)+COUNTIF('3月'!AH8:AI8,D$78)+COUNTIF('3月'!AM8:AN8,D$78)+COUNTIF('3月'!AR8:AS8,D$78)+COUNTIF('3月'!AW8:AX8,D$78)+COUNTIF('3月'!BB8:BC8,D$78)+COUNTIF('3月'!BG8:BH8,D$78)+COUNTIF('3月'!BL8:BM8,D$78)+COUNTIF('3月'!BQ8:BR8,D$78)+COUNTIF('3月'!BV8:BW8,D$78)+COUNTIF('3月'!CA8:CB8,D$78)+COUNTIF('3月'!CF8:CG8,D$78)+COUNTIF('3月'!CK8:CL8,D$78)+COUNTIF('3月'!CP8:CQ8,D$78)+COUNTIF('3月'!CU8:CV8,D$78)+COUNTIF('3月'!CZ8:DA8,D$78)+COUNTIF('3月'!DE8:DF8,D$78)+COUNTIF('3月'!DJ8:DK8,D$78)+COUNTIF('3月'!DO8:DP8,D$78)+COUNTIF('3月'!DT8:DU8,D$78)+COUNTIF('3月'!DY8:DZ8,D$78)+COUNTIF('3月'!ED8:EE8,D$78)+COUNTIF('3月'!EI8:EJ8,D$78)+COUNTIF('3月'!EN8:EO8,D$78)+COUNTIF('3月'!ES8:ET8,D$78)</f>
        <v>0</v>
      </c>
      <c r="E84" s="76">
        <f t="shared" si="25"/>
        <v>0</v>
      </c>
      <c r="F84" s="76">
        <f>COUNTIF('3月'!D8:E8,F$78)+COUNTIF('3月'!I8:J8,F$78)+COUNTIF('3月'!N8:O8,F$78)+COUNTIF('3月'!S8:T8,F$78)+COUNTIF('3月'!X8:Y8,F$78)+COUNTIF('3月'!AC8:AD8,F$78)+COUNTIF('3月'!AH8:AI8,F$78)+COUNTIF('3月'!AM8:AN8,F$78)+COUNTIF('3月'!AR8:AS8,F$78)+COUNTIF('3月'!AW8:AX8,F$78)+COUNTIF('3月'!BB8:BC8,F$78)+COUNTIF('3月'!BG8:BH8,F$78)+COUNTIF('3月'!BL8:BM8,F$78)+COUNTIF('3月'!BQ8:BR8,F$78)+COUNTIF('3月'!BV8:BW8,F$78)+COUNTIF('3月'!CA8:CB8,F$78)+COUNTIF('3月'!CF8:CG8,F$78)+COUNTIF('3月'!CK8:CL8,F$78)+COUNTIF('3月'!CP8:CQ8,F$78)+COUNTIF('3月'!CU8:CV8,F$78)+COUNTIF('3月'!CZ8:DA8,F$78)+COUNTIF('3月'!DE8:DF8,F$78)+COUNTIF('3月'!DJ8:DK8,F$78)+COUNTIF('3月'!DO8:DP8,F$78)+COUNTIF('3月'!DT8:DU8,F$78)+COUNTIF('3月'!DY8:DZ8,F$78)+COUNTIF('3月'!ED8:EE8,F$78)+COUNTIF('3月'!EI8:EJ8,F$78)+COUNTIF('3月'!EN8:EO8,F$78)+COUNTIF('3月'!ES8:ET8,F$78)</f>
        <v>0</v>
      </c>
      <c r="G84" s="76">
        <f t="shared" si="26"/>
        <v>0</v>
      </c>
      <c r="H84" s="76">
        <f>COUNTIF('3月'!D8:E8,H$78)+COUNTIF('3月'!I8:J8,H$78)+COUNTIF('3月'!N8:O8,H$78)+COUNTIF('3月'!S8:T8,H$78)+COUNTIF('3月'!X8:Y8,H$78)+COUNTIF('3月'!AC8:AD8,H$78)+COUNTIF('3月'!AH8:AI8,H$78)+COUNTIF('3月'!AM8:AN8,H$78)+COUNTIF('3月'!AR8:AS8,H$78)+COUNTIF('3月'!AW8:AX8,H$78)+COUNTIF('3月'!BB8:BC8,H$78)+COUNTIF('3月'!BG8:BH8,H$78)+COUNTIF('3月'!BL8:BM8,H$78)+COUNTIF('3月'!BQ8:BR8,H$78)+COUNTIF('3月'!BV8:BW8,H$78)+COUNTIF('3月'!CA8:CB8,H$78)+COUNTIF('3月'!CF8:CG8,H$78)+COUNTIF('3月'!CK8:CL8,H$78)+COUNTIF('3月'!CP8:CQ8,H$78)+COUNTIF('3月'!CU8:CV8,H$78)+COUNTIF('3月'!CZ8:DA8,H$78)+COUNTIF('3月'!DE8:DF8,H$78)+COUNTIF('3月'!DJ8:DK8,H$78)+COUNTIF('3月'!DO8:DP8,H$78)+COUNTIF('3月'!DT8:DU8,H$78)+COUNTIF('3月'!DY8:DZ8,H$78)+COUNTIF('3月'!ED8:EE8,H$78)+COUNTIF('3月'!EI8:EJ8,H$78)+COUNTIF('3月'!EN8:EO8,H$78)+COUNTIF('3月'!ES8:ET8,H$78)+COUNTIF('3月'!D8:E8,"渋谷-夜勤")+COUNTIF('3月'!I8:J8,"渋谷-夜勤")+COUNTIF('3月'!N8:O8,"渋谷-夜勤")+COUNTIF('3月'!S8:T8,"渋谷-夜勤")+COUNTIF('3月'!X8:Y8,"渋谷-夜勤")+COUNTIF('3月'!AC8:AD8,"渋谷-夜勤")+COUNTIF('3月'!AH8:AI8,"渋谷-夜勤")+COUNTIF('3月'!AM8:AN8,"渋谷-夜勤")+COUNTIF('3月'!AR8:AS8,"渋谷-夜勤")+COUNTIF('3月'!AW8:AX8,"渋谷-夜勤")+COUNTIF('3月'!BB8:BC8,"渋谷-夜勤")+COUNTIF('3月'!BG8:BH8,"渋谷-夜勤")+COUNTIF('3月'!BL8:BM8,"渋谷-夜勤")+COUNTIF('3月'!BQ8:BR8,"渋谷-夜勤")+COUNTIF('3月'!BV8:BW8,"渋谷-夜勤")+COUNTIF('3月'!CA8:CB8,"渋谷-夜勤")+COUNTIF('3月'!CF8:CG8,"渋谷-夜勤")+COUNTIF('3月'!CK8:CL8,"渋谷-夜勤")+COUNTIF('3月'!CP8:CQ8,"渋谷-夜勤")+COUNTIF('3月'!CU8:CV8,"渋谷-夜勤")+COUNTIF('3月'!CZ8:DA8,"渋谷-夜勤")+COUNTIF('3月'!DE8:DF8,"渋谷-夜勤")+COUNTIF('3月'!DJ8:DK8,"渋谷-夜勤")+COUNTIF('3月'!DO8:DP8,"渋谷-夜勤")+COUNTIF('3月'!DT8:DU8,"渋谷-夜勤")+COUNTIF('3月'!DY8:DZ8,"渋谷-夜勤")+COUNTIF('3月'!ED8:EE8,"渋谷-夜勤")+COUNTIF('3月'!EI8:EJ8,"渋谷-夜勤")+COUNTIF('3月'!EN8:EO8,"渋谷-夜勤")+COUNTIF('3月'!ES8:ET8,"渋谷-夜勤")</f>
        <v>0</v>
      </c>
      <c r="I84" s="76">
        <f t="shared" si="27"/>
        <v>0</v>
      </c>
      <c r="J84" s="76">
        <f>COUNTIF('3月'!D8:E8,J$78)+COUNTIF('3月'!I8:J8,J$78)+COUNTIF('3月'!N8:O8,J$78)+COUNTIF('3月'!S8:T8,J$78)+COUNTIF('3月'!X8:Y8,J$78)+COUNTIF('3月'!AC8:AD8,J$78)+COUNTIF('3月'!AH8:AI8,J$78)+COUNTIF('3月'!AM8:AN8,J$78)+COUNTIF('3月'!AR8:AS8,J$78)+COUNTIF('3月'!AW8:AX8,J$78)+COUNTIF('3月'!BB8:BC8,J$78)+COUNTIF('3月'!BG8:BH8,J$78)+COUNTIF('3月'!BL8:BM8,J$78)+COUNTIF('3月'!BQ8:BR8,J$78)+COUNTIF('3月'!BV8:BW8,J$78)+COUNTIF('3月'!CA8:CB8,J$78)+COUNTIF('3月'!CF8:CG8,J$78)+COUNTIF('3月'!CK8:CL8,J$78)+COUNTIF('3月'!CP8:CQ8,J$78)+COUNTIF('3月'!CU8:CV8,J$78)+COUNTIF('3月'!CZ8:DA8,J$78)+COUNTIF('3月'!DE8:DF8,J$78)+COUNTIF('3月'!DJ8:DK8,J$78)+COUNTIF('3月'!DO8:DP8,J$78)+COUNTIF('3月'!DT8:DU8,J$78)+COUNTIF('3月'!DY8:DZ8,J$78)+COUNTIF('3月'!ED8:EE8,J$78)+COUNTIF('3月'!EI8:EJ8,J$78)+COUNTIF('3月'!EN8:EO8,J$78)+COUNTIF('3月'!ES8:ET8,J$78)+COUNTIF('3月'!D8:E8,"六本木-夜勤")+COUNTIF('3月'!I8:J8,"六本木-夜勤")+COUNTIF('3月'!N8:O8,"六本木-夜勤")+COUNTIF('3月'!S8:T8,"六本木-夜勤")+COUNTIF('3月'!X8:Y8,"六本木-夜勤")+COUNTIF('3月'!AC8:AD8,"六本木-夜勤")+COUNTIF('3月'!AH8:AI8,"六本木-夜勤")+COUNTIF('3月'!AM8:AN8,"六本木-夜勤")+COUNTIF('3月'!AR8:AS8,"六本木-夜勤")+COUNTIF('3月'!AW8:AX8,"六本木-夜勤")+COUNTIF('3月'!BB8:BC8,"六本木-夜勤")+COUNTIF('3月'!BG8:BH8,"六本木-夜勤")+COUNTIF('3月'!BL8:BM8,"六本木-夜勤")+COUNTIF('3月'!BQ8:BR8,"六本木-夜勤")+COUNTIF('3月'!BV8:BW8,"六本木-夜勤")+COUNTIF('3月'!CA8:CB8,"六本木-夜勤")+COUNTIF('3月'!CF8:CG8,"六本木-夜勤")+COUNTIF('3月'!CK8:CL8,"六本木-夜勤")+COUNTIF('3月'!CP8:CQ8,"六本木-夜勤")+COUNTIF('3月'!CU8:CV8,"六本木-夜勤")+COUNTIF('3月'!CZ8:DA8,"六本木-夜勤")+COUNTIF('3月'!DE8:DF8,"六本木-夜勤")+COUNTIF('3月'!DJ8:DK8,"六本木-夜勤")+COUNTIF('3月'!DO8:DP8,"六本木-夜勤")+COUNTIF('3月'!DT8:DU8,"六本木-夜勤")+COUNTIF('3月'!DY8:DZ8,"六本木-夜勤")+COUNTIF('3月'!ED8:EE8,"六本木-夜勤")+COUNTIF('3月'!EI8:EJ8,"六本木-夜勤")+COUNTIF('3月'!EN8:EO8,"六本木-夜勤")+COUNTIF('3月'!ES8:ET8,"六本木-夜勤")+COUNTIF('3月'!D8:E8,"六本木ー夜勤")+COUNTIF('3月'!I8:J8,"六本木ー夜勤")+COUNTIF('3月'!N8:O8,"六本木ー夜勤")+COUNTIF('3月'!S8:T8,"六本木ー夜勤")+COUNTIF('3月'!X8:Y8,"六本木ー夜勤")+COUNTIF('3月'!AC8:AD8,"六本木ー夜勤")+COUNTIF('3月'!AH8:AI8,"六本木ー夜勤")+COUNTIF('3月'!AM8:AN8,"六本木ー夜勤")+COUNTIF('3月'!AR8:AS8,"六本木ー夜勤")+COUNTIF('3月'!AW8:AX8,"六本木ー夜勤")+COUNTIF('3月'!BB8:BC8,"六本木ー夜勤")+COUNTIF('3月'!BG8:BH8,"六本木ー夜勤")+COUNTIF('3月'!BL8:BM8,"六本木ー夜勤")+COUNTIF('3月'!BQ8:BR8,"六本木ー夜勤")+COUNTIF('3月'!BV8:BW8,"六本木ー夜勤")+COUNTIF('3月'!CA8:CB8,"六本木ー夜勤")+COUNTIF('3月'!CF8:CG8,"六本木ー夜勤")+COUNTIF('3月'!CK8:CL8,"六本木ー夜勤")+COUNTIF('3月'!CP8:CQ8,"六本木ー夜勤")+COUNTIF('3月'!CU8:CV8,"六本木ー夜勤")+COUNTIF('3月'!CZ8:DA8,"六本木ー夜勤")+COUNTIF('3月'!DE8:DF8,"六本木ー夜勤")+COUNTIF('3月'!DJ8:DK8,"六本木ー夜勤")+COUNTIF('3月'!DO8:DP8,"六本木ー夜勤")+COUNTIF('3月'!DT8:DU8,"六本木ー夜勤")+COUNTIF('3月'!DY8:DZ8,"六本木ー夜勤")+COUNTIF('3月'!ED8:EE8,"六本木ー夜勤")+COUNTIF('3月'!EI8:EJ8,"六本木ー夜勤")+COUNTIF('3月'!EN8:EO8,"六本木ー夜勤")+COUNTIF('3月'!ES8:ET8,"六本木ー夜勤")</f>
        <v>0</v>
      </c>
      <c r="K84" s="76">
        <f t="shared" si="28"/>
        <v>0</v>
      </c>
      <c r="L84" s="76">
        <f>COUNTIF('3月'!D8:E8,L$78)+COUNTIF('3月'!I8:J8,L$78)+COUNTIF('3月'!N8:O8,L$78)+COUNTIF('3月'!S8:T8,L$78)+COUNTIF('3月'!X8:Y8,L$78)+COUNTIF('3月'!AC8:AD8,L$78)+COUNTIF('3月'!AH8:AI8,L$78)+COUNTIF('3月'!AM8:AN8,L$78)+COUNTIF('3月'!AR8:AS8,L$78)+COUNTIF('3月'!AW8:AX8,L$78)+COUNTIF('3月'!BB8:BC8,L$78)+COUNTIF('3月'!BG8:BH8,L$78)+COUNTIF('3月'!BL8:BM8,L$78)+COUNTIF('3月'!BQ8:BR8,L$78)+COUNTIF('3月'!BV8:BW8,L$78)+COUNTIF('3月'!CA8:CB8,L$78)+COUNTIF('3月'!CF8:CG8,L$78)+COUNTIF('3月'!CK8:CL8,L$78)+COUNTIF('3月'!CP8:CQ8,L$78)+COUNTIF('3月'!CU8:CV8,L$78)+COUNTIF('3月'!CZ8:DA8,L$78)+COUNTIF('3月'!DE8:DF8,L$78)+COUNTIF('3月'!DJ8:DK8,L$78)+COUNTIF('3月'!DO8:DP8,L$78)+COUNTIF('3月'!DT8:DU8,L$78)+COUNTIF('3月'!DY8:DZ8,L$78)+COUNTIF('3月'!ED8:EE8,L$78)+COUNTIF('3月'!EI8:EJ8,L$78)+COUNTIF('3月'!EN8:EO8,L$78)+COUNTIF('3月'!ES8:ET8,L$78)</f>
        <v>0</v>
      </c>
      <c r="M84" s="76">
        <f t="shared" si="29"/>
        <v>0</v>
      </c>
      <c r="N84" s="76">
        <f>COUNTIF('3月'!D8:E8,N$78)+COUNTIF('3月'!I8:J8,N$78)+COUNTIF('3月'!N8:O8,N$78)+COUNTIF('3月'!S8:T8,N$78)+COUNTIF('3月'!X8:Y8,N$78)+COUNTIF('3月'!AC8:AD8,N$78)+COUNTIF('3月'!AH8:AI8,N$78)+COUNTIF('3月'!AM8:AN8,N$78)+COUNTIF('3月'!AR8:AS8,N$78)+COUNTIF('3月'!AW8:AX8,N$78)+COUNTIF('3月'!BB8:BC8,N$78)+COUNTIF('3月'!BG8:BH8,N$78)+COUNTIF('3月'!BL8:BM8,N$78)+COUNTIF('3月'!BQ8:BR8,N$78)+COUNTIF('3月'!BV8:BW8,N$78)+COUNTIF('3月'!CA8:CB8,N$78)+COUNTIF('3月'!CF8:CG8,N$78)+COUNTIF('3月'!CK8:CL8,N$78)+COUNTIF('3月'!CP8:CQ8,N$78)+COUNTIF('3月'!CU8:CV8,N$78)+COUNTIF('3月'!CZ8:DA8,N$78)+COUNTIF('3月'!DE8:DF8,N$78)+COUNTIF('3月'!DJ8:DK8,N$78)+COUNTIF('3月'!DO8:DP8,N$78)+COUNTIF('3月'!DT8:DU8,N$78)+COUNTIF('3月'!DY8:DZ8,N$78)+COUNTIF('3月'!ED8:EE8,N$78)+COUNTIF('3月'!EI8:EJ8,N$78)+COUNTIF('3月'!EN8:EO8,N$78)+COUNTIF('3月'!ES8:ET8,N$78)+COUNTIF('3月'!D8:E8,"三軒茶屋－夜勤")+COUNTIF('3月'!I8:J8,"三軒茶屋－夜勤")+COUNTIF('3月'!N8:O8,"三軒茶屋－夜勤")+COUNTIF('3月'!S8:T8,"三軒茶屋－夜勤")+COUNTIF('3月'!X8:Y8,"三軒茶屋－夜勤")+COUNTIF('3月'!AC8:AD8,"三軒茶屋－夜勤")+COUNTIF('3月'!AH8:AI8,"三軒茶屋－夜勤")+COUNTIF('3月'!AM8:AN8,"三軒茶屋－夜勤")+COUNTIF('3月'!AR8:AS8,"三軒茶屋－夜勤")+COUNTIF('3月'!AW8:AX8,"三軒茶屋－夜勤")+COUNTIF('3月'!BB8:BC8,"三軒茶屋－夜勤")+COUNTIF('3月'!BG8:BH8,"三軒茶屋－夜勤")+COUNTIF('3月'!BL8:BM8,"三軒茶屋－夜勤")+COUNTIF('3月'!BQ8:BR8,"三軒茶屋－夜勤")+COUNTIF('3月'!BV8:BW8,"三軒茶屋－夜勤")+COUNTIF('3月'!CA8:CB8,"三軒茶屋－夜勤")+COUNTIF('3月'!CF8:CG8,"三軒茶屋－夜勤")+COUNTIF('3月'!CK8:CL8,"三軒茶屋－夜勤")+COUNTIF('3月'!CP8:CQ8,"三軒茶屋－夜勤")+COUNTIF('3月'!CU8:CV8,"三軒茶屋－夜勤")+COUNTIF('3月'!CZ8:DA8,"三軒茶屋－夜勤")+COUNTIF('3月'!DE8:DF8,"三軒茶屋－夜勤")+COUNTIF('3月'!DJ8:DK8,"三軒茶屋－夜勤")+COUNTIF('3月'!DO8:DP8,"三軒茶屋－夜勤")+COUNTIF('3月'!DT8:DU8,"三軒茶屋－夜勤")+COUNTIF('3月'!DY8:DZ8,"三軒茶屋－夜勤")+COUNTIF('3月'!ED8:EE8,"三軒茶屋－夜勤")+COUNTIF('3月'!EI8:EJ8,"三軒茶屋－夜勤")+COUNTIF('3月'!EN8:EO8,"三軒茶屋－夜勤")+COUNTIF('3月'!ES8:ET8,"三軒茶屋－夜勤")</f>
        <v>0</v>
      </c>
      <c r="O84" s="76">
        <f t="shared" si="30"/>
        <v>0</v>
      </c>
      <c r="P84" s="76">
        <f>COUNTIF('3月'!D8:E8,P$78)+COUNTIF('3月'!I8:J8,P$78)+COUNTIF('3月'!N8:O8,P$78)+COUNTIF('3月'!S8:T8,P$78)+COUNTIF('3月'!X8:Y8,P$78)+COUNTIF('3月'!AC8:AD8,P$78)+COUNTIF('3月'!AH8:AI8,P$78)+COUNTIF('3月'!AM8:AN8,P$78)+COUNTIF('3月'!AR8:AS8,P$78)+COUNTIF('3月'!AW8:AX8,P$78)+COUNTIF('3月'!BB8:BC8,P$78)+COUNTIF('3月'!BG8:BH8,P$78)+COUNTIF('3月'!BL8:BM8,P$78)+COUNTIF('3月'!BQ8:BR8,P$78)+COUNTIF('3月'!BV8:BW8,P$78)+COUNTIF('3月'!CA8:CB8,P$78)+COUNTIF('3月'!CF8:CG8,P$78)+COUNTIF('3月'!CK8:CL8,P$78)+COUNTIF('3月'!CP8:CQ8,P$78)+COUNTIF('3月'!CU8:CV8,P$78)+COUNTIF('3月'!CZ8:DA8,P$78)+COUNTIF('3月'!DE8:DF8,P$78)+COUNTIF('3月'!DJ8:DK8,P$78)+COUNTIF('3月'!DO8:DP8,P$78)+COUNTIF('3月'!DT8:DU8,P$78)+COUNTIF('3月'!DY8:DZ8,P$78)+COUNTIF('3月'!ED8:EE8,P$78)+COUNTIF('3月'!EI8:EJ8,P$78)+COUNTIF('3月'!EN8:EO8,P$78)+COUNTIF('3月'!ES8:ET8,P$78)+COUNTIF('3月'!D8:E8,"荻窪ー夜勤")+COUNTIF('3月'!I8:J8,"荻窪ー夜勤")+COUNTIF('3月'!N8:O8,"荻窪ー夜勤")+COUNTIF('3月'!S8:T8,"荻窪ー夜勤")+COUNTIF('3月'!X8:Y8,"荻窪ー夜勤")+COUNTIF('3月'!AC8:AD8,"荻窪ー夜勤")+COUNTIF('3月'!AH8:AI8,"荻窪ー夜勤")+COUNTIF('3月'!AM8:AN8,"荻窪ー夜勤")+COUNTIF('3月'!AR8:AS8,"荻窪ー夜勤")+COUNTIF('3月'!AW8:AX8,"荻窪ー夜勤")+COUNTIF('3月'!BB8:BC8,"荻窪ー夜勤")+COUNTIF('3月'!BG8:BH8,"荻窪ー夜勤")+COUNTIF('3月'!BL8:BM8,"荻窪ー夜勤")+COUNTIF('3月'!BQ8:BR8,"荻窪ー夜勤")+COUNTIF('3月'!BV8:BW8,"荻窪ー夜勤")+COUNTIF('3月'!CA8:CB8,"荻窪ー夜勤")+COUNTIF('3月'!CF8:CG8,"荻窪ー夜勤")+COUNTIF('3月'!CK8:CL8,"荻窪ー夜勤")+COUNTIF('3月'!CP8:CQ8,"荻窪ー夜勤")+COUNTIF('3月'!CU8:CV8,"荻窪ー夜勤")+COUNTIF('3月'!CZ8:DA8,"荻窪ー夜勤")+COUNTIF('3月'!DE8:DF8,"荻窪ー夜勤")+COUNTIF('3月'!DJ8:DK8,"荻窪ー夜勤")+COUNTIF('3月'!DO8:DP8,"荻窪ー夜勤")+COUNTIF('3月'!DT8:DU8,"荻窪ー夜勤")+COUNTIF('3月'!DY8:DZ8,"荻窪ー夜勤")+COUNTIF('3月'!ED8:EE8,"荻窪ー夜勤")+COUNTIF('3月'!EI8:EJ8,"荻窪ー夜勤")+COUNTIF('3月'!EN8:EO8,"荻窪ー夜勤")+COUNTIF('3月'!ES8:ET8,"荻窪ー夜勤")</f>
        <v>0</v>
      </c>
      <c r="Q84" s="76">
        <f t="shared" si="31"/>
        <v>0</v>
      </c>
      <c r="R84" s="76">
        <f>COUNTIF('3月'!D8:E8,R$78)+COUNTIF('3月'!I8:J8,R$78)+COUNTIF('3月'!N8:O8,R$78)+COUNTIF('3月'!S8:T8,R$78)+COUNTIF('3月'!X8:Y8,R$78)+COUNTIF('3月'!AC8:AD8,R$78)+COUNTIF('3月'!AH8:AI8,R$78)+COUNTIF('3月'!AM8:AN8,R$78)+COUNTIF('3月'!AR8:AS8,R$78)+COUNTIF('3月'!AW8:AX8,R$78)+COUNTIF('3月'!BB8:BC8,R$78)+COUNTIF('3月'!BG8:BH8,R$78)+COUNTIF('3月'!BL8:BM8,R$78)+COUNTIF('3月'!BQ8:BR8,R$78)+COUNTIF('3月'!BV8:BW8,R$78)+COUNTIF('3月'!CA8:CB8,R$78)+COUNTIF('3月'!CF8:CG8,R$78)+COUNTIF('3月'!CK8:CL8,R$78)+COUNTIF('3月'!CP8:CQ8,R$78)+COUNTIF('3月'!CU8:CV8,R$78)+COUNTIF('3月'!CZ8:DA8,R$78)+COUNTIF('3月'!DE8:DF8,R$78)+COUNTIF('3月'!DJ8:DK8,R$78)+COUNTIF('3月'!DO8:DP8,R$78)+COUNTIF('3月'!DT8:DU8,R$78)+COUNTIF('3月'!DY8:DZ8,R$78)+COUNTIF('3月'!ED8:EE8,R$78)+COUNTIF('3月'!EI8:EJ8,R$78)+COUNTIF('3月'!EN8:EO8,R$78)+COUNTIF('3月'!ES8:ET8,R$78)</f>
        <v>0</v>
      </c>
      <c r="S84" s="76">
        <f t="shared" si="32"/>
        <v>0</v>
      </c>
      <c r="T84" s="76">
        <f>COUNTIF('3月'!D8:E8,T$78)+COUNTIF('3月'!I8:J8,T$78)+COUNTIF('3月'!N8:O8,T$78)+COUNTIF('3月'!S8:T8,T$78)+COUNTIF('3月'!X8:Y8,T$78)+COUNTIF('3月'!AC8:AD8,T$78)+COUNTIF('3月'!AH8:AI8,T$78)+COUNTIF('3月'!AM8:AN8,T$78)+COUNTIF('3月'!AR8:AS8,T$78)+COUNTIF('3月'!AW8:AX8,T$78)+COUNTIF('3月'!BB8:BC8,T$78)+COUNTIF('3月'!BG8:BH8,T$78)+COUNTIF('3月'!BL8:BM8,T$78)+COUNTIF('3月'!BQ8:BR8,T$78)+COUNTIF('3月'!BV8:BW8,T$78)+COUNTIF('3月'!CA8:CB8,T$78)+COUNTIF('3月'!CF8:CG8,T$78)+COUNTIF('3月'!CK8:CL8,T$78)+COUNTIF('3月'!CP8:CQ8,T$78)+COUNTIF('3月'!CU8:CV8,T$78)+COUNTIF('3月'!CZ8:DA8,T$78)+COUNTIF('3月'!DE8:DF8,T$78)+COUNTIF('3月'!DJ8:DK8,T$78)+COUNTIF('3月'!DO8:DP8,T$78)+COUNTIF('3月'!DT8:DU8,T$78)+COUNTIF('3月'!DY8:DZ8,T$78)+COUNTIF('3月'!ED8:EE8,T$78)+COUNTIF('3月'!EI8:EJ8,T$78)+COUNTIF('3月'!EN8:EO8,T$78)+COUNTIF('3月'!ES8:ET8,T$78)</f>
        <v>0</v>
      </c>
      <c r="U84" s="76">
        <f t="shared" si="33"/>
        <v>0</v>
      </c>
      <c r="V84" s="76">
        <f>COUNTIF('3月'!D8:E8,V$78)+COUNTIF('3月'!I8:J8,V$78)+COUNTIF('3月'!N8:O8,V$78)+COUNTIF('3月'!S8:T8,V$78)+COUNTIF('3月'!X8:Y8,V$78)+COUNTIF('3月'!AC8:AD8,V$78)+COUNTIF('3月'!AH8:AI8,V$78)+COUNTIF('3月'!AM8:AN8,V$78)+COUNTIF('3月'!AR8:AS8,V$78)+COUNTIF('3月'!AW8:AX8,V$78)+COUNTIF('3月'!BB8:BC8,V$78)+COUNTIF('3月'!BG8:BH8,V$78)+COUNTIF('3月'!BL8:BM8,V$78)+COUNTIF('3月'!BQ8:BR8,V$78)+COUNTIF('3月'!BV8:BW8,V$78)+COUNTIF('3月'!CA8:CB8,V$78)+COUNTIF('3月'!CF8:CG8,V$78)+COUNTIF('3月'!CK8:CL8,V$78)+COUNTIF('3月'!CP8:CQ8,V$78)+COUNTIF('3月'!CU8:CV8,V$78)+COUNTIF('3月'!CZ8:DA8,V$78)+COUNTIF('3月'!DE8:DF8,V$78)+COUNTIF('3月'!DJ8:DK8,V$78)+COUNTIF('3月'!DO8:DP8,V$78)+COUNTIF('3月'!DT8:DU8,V$78)+COUNTIF('3月'!DY8:DZ8,V$78)+COUNTIF('3月'!ED8:EE8,V$78)+COUNTIF('3月'!EI8:EJ8,V$78)+COUNTIF('3月'!EN8:EO8,V$78)+COUNTIF('3月'!ES8:ET8,V$78)</f>
        <v>0</v>
      </c>
      <c r="W84" s="76">
        <f t="shared" si="34"/>
        <v>0</v>
      </c>
      <c r="X84" s="76">
        <f>COUNTIF('3月'!D8:E8,X$78)+COUNTIF('3月'!I8:J8,X$78)+COUNTIF('3月'!N8:O8,X$78)+COUNTIF('3月'!S8:T8,X$78)+COUNTIF('3月'!X8:Y8,X$78)+COUNTIF('3月'!AC8:AD8,X$78)+COUNTIF('3月'!AH8:AI8,X$78)+COUNTIF('3月'!AM8:AN8,X$78)+COUNTIF('3月'!AR8:AS8,X$78)+COUNTIF('3月'!AW8:AX8,X$78)+COUNTIF('3月'!BB8:BC8,X$78)+COUNTIF('3月'!BG8:BH8,X$78)+COUNTIF('3月'!BL8:BM8,X$78)+COUNTIF('3月'!BQ8:BR8,X$78)+COUNTIF('3月'!BV8:BW8,X$78)+COUNTIF('3月'!CA8:CB8,X$78)+COUNTIF('3月'!CF8:CG8,X$78)+COUNTIF('3月'!CK8:CL8,X$78)+COUNTIF('3月'!CP8:CQ8,X$78)+COUNTIF('3月'!CU8:CV8,X$78)+COUNTIF('3月'!CZ8:DA8,X$78)+COUNTIF('3月'!DE8:DF8,X$78)+COUNTIF('3月'!DJ8:DK8,X$78)+COUNTIF('3月'!DO8:DP8,X$78)+COUNTIF('3月'!DT8:DU8,X$78)+COUNTIF('3月'!DY8:DZ8,X$78)+COUNTIF('3月'!ED8:EE8,X$78)+COUNTIF('3月'!EI8:EJ8,X$78)+COUNTIF('3月'!EN8:EO8,X$78)+COUNTIF('3月'!ES8:ET8,X$78)</f>
        <v>0</v>
      </c>
      <c r="Y84" s="76">
        <f t="shared" si="35"/>
        <v>0</v>
      </c>
    </row>
    <row r="85" spans="1:25" ht="18" customHeight="1">
      <c r="A85" s="76">
        <v>6</v>
      </c>
      <c r="B85" s="76">
        <f>COUNTIF('3月'!D9:E9,B$78)+COUNTIF('3月'!I9:J9,B$78)+COUNTIF('3月'!N9:O9,B$78)+COUNTIF('3月'!S9:T9,B$78)+COUNTIF('3月'!X9:Y9,B$78)+COUNTIF('3月'!AC9:AD9,B$78)+COUNTIF('3月'!AH9:AI9,B$78)+COUNTIF('3月'!AM9:AN9,B$78)+COUNTIF('3月'!AR9:AS9,B$78)+COUNTIF('3月'!AW9:AX9,B$78)+COUNTIF('3月'!BB9:BC9,B$78)+COUNTIF('3月'!BG9:BH9,B$78)+COUNTIF('3月'!BL9:BM9,B$78)+COUNTIF('3月'!BQ9:BR9,B$78)+COUNTIF('3月'!BV9:BW9,B$78)+COUNTIF('3月'!CA9:CB9,B$78)+COUNTIF('3月'!CF9:CG9,B$78)+COUNTIF('3月'!CK9:CL9,B$78)+COUNTIF('3月'!CP9:CQ9,B$78)+COUNTIF('3月'!CU9:CV9,B$78)+COUNTIF('3月'!CZ9:DA9,B$78)+COUNTIF('3月'!DE9:DF9,B$78)+COUNTIF('3月'!DJ9:DK9,B$78)+COUNTIF('3月'!DO9:DP9,B$78)+COUNTIF('3月'!DT9:DU9,B$78)+COUNTIF('3月'!DY9:DZ9,B$78)+COUNTIF('3月'!ED9:EE9,B$78)+COUNTIF('3月'!EI9:EJ9,B$78)+COUNTIF('3月'!EN9:EO9,B$78)+COUNTIF('3月'!ES9:ET9,B$78)</f>
        <v>0</v>
      </c>
      <c r="C85" s="76">
        <f t="shared" si="24"/>
        <v>0</v>
      </c>
      <c r="D85" s="76">
        <f>COUNTIF('3月'!D9:E9,D$78)+COUNTIF('3月'!I9:J9,D$78)+COUNTIF('3月'!N9:O9,D$78)+COUNTIF('3月'!S9:T9,D$78)+COUNTIF('3月'!X9:Y9,D$78)+COUNTIF('3月'!AC9:AD9,D$78)+COUNTIF('3月'!AH9:AI9,D$78)+COUNTIF('3月'!AM9:AN9,D$78)+COUNTIF('3月'!AR9:AS9,D$78)+COUNTIF('3月'!AW9:AX9,D$78)+COUNTIF('3月'!BB9:BC9,D$78)+COUNTIF('3月'!BG9:BH9,D$78)+COUNTIF('3月'!BL9:BM9,D$78)+COUNTIF('3月'!BQ9:BR9,D$78)+COUNTIF('3月'!BV9:BW9,D$78)+COUNTIF('3月'!CA9:CB9,D$78)+COUNTIF('3月'!CF9:CG9,D$78)+COUNTIF('3月'!CK9:CL9,D$78)+COUNTIF('3月'!CP9:CQ9,D$78)+COUNTIF('3月'!CU9:CV9,D$78)+COUNTIF('3月'!CZ9:DA9,D$78)+COUNTIF('3月'!DE9:DF9,D$78)+COUNTIF('3月'!DJ9:DK9,D$78)+COUNTIF('3月'!DO9:DP9,D$78)+COUNTIF('3月'!DT9:DU9,D$78)+COUNTIF('3月'!DY9:DZ9,D$78)+COUNTIF('3月'!ED9:EE9,D$78)+COUNTIF('3月'!EI9:EJ9,D$78)+COUNTIF('3月'!EN9:EO9,D$78)+COUNTIF('3月'!ES9:ET9,D$78)</f>
        <v>0</v>
      </c>
      <c r="E85" s="76">
        <f t="shared" si="25"/>
        <v>0</v>
      </c>
      <c r="F85" s="76">
        <f>COUNTIF('3月'!D9:E9,F$78)+COUNTIF('3月'!I9:J9,F$78)+COUNTIF('3月'!N9:O9,F$78)+COUNTIF('3月'!S9:T9,F$78)+COUNTIF('3月'!X9:Y9,F$78)+COUNTIF('3月'!AC9:AD9,F$78)+COUNTIF('3月'!AH9:AI9,F$78)+COUNTIF('3月'!AM9:AN9,F$78)+COUNTIF('3月'!AR9:AS9,F$78)+COUNTIF('3月'!AW9:AX9,F$78)+COUNTIF('3月'!BB9:BC9,F$78)+COUNTIF('3月'!BG9:BH9,F$78)+COUNTIF('3月'!BL9:BM9,F$78)+COUNTIF('3月'!BQ9:BR9,F$78)+COUNTIF('3月'!BV9:BW9,F$78)+COUNTIF('3月'!CA9:CB9,F$78)+COUNTIF('3月'!CF9:CG9,F$78)+COUNTIF('3月'!CK9:CL9,F$78)+COUNTIF('3月'!CP9:CQ9,F$78)+COUNTIF('3月'!CU9:CV9,F$78)+COUNTIF('3月'!CZ9:DA9,F$78)+COUNTIF('3月'!DE9:DF9,F$78)+COUNTIF('3月'!DJ9:DK9,F$78)+COUNTIF('3月'!DO9:DP9,F$78)+COUNTIF('3月'!DT9:DU9,F$78)+COUNTIF('3月'!DY9:DZ9,F$78)+COUNTIF('3月'!ED9:EE9,F$78)+COUNTIF('3月'!EI9:EJ9,F$78)+COUNTIF('3月'!EN9:EO9,F$78)+COUNTIF('3月'!ES9:ET9,F$78)</f>
        <v>0</v>
      </c>
      <c r="G85" s="76">
        <f t="shared" si="26"/>
        <v>0</v>
      </c>
      <c r="H85" s="76">
        <f>COUNTIF('3月'!D9:E9,H$78)+COUNTIF('3月'!I9:J9,H$78)+COUNTIF('3月'!N9:O9,H$78)+COUNTIF('3月'!S9:T9,H$78)+COUNTIF('3月'!X9:Y9,H$78)+COUNTIF('3月'!AC9:AD9,H$78)+COUNTIF('3月'!AH9:AI9,H$78)+COUNTIF('3月'!AM9:AN9,H$78)+COUNTIF('3月'!AR9:AS9,H$78)+COUNTIF('3月'!AW9:AX9,H$78)+COUNTIF('3月'!BB9:BC9,H$78)+COUNTIF('3月'!BG9:BH9,H$78)+COUNTIF('3月'!BL9:BM9,H$78)+COUNTIF('3月'!BQ9:BR9,H$78)+COUNTIF('3月'!BV9:BW9,H$78)+COUNTIF('3月'!CA9:CB9,H$78)+COUNTIF('3月'!CF9:CG9,H$78)+COUNTIF('3月'!CK9:CL9,H$78)+COUNTIF('3月'!CP9:CQ9,H$78)+COUNTIF('3月'!CU9:CV9,H$78)+COUNTIF('3月'!CZ9:DA9,H$78)+COUNTIF('3月'!DE9:DF9,H$78)+COUNTIF('3月'!DJ9:DK9,H$78)+COUNTIF('3月'!DO9:DP9,H$78)+COUNTIF('3月'!DT9:DU9,H$78)+COUNTIF('3月'!DY9:DZ9,H$78)+COUNTIF('3月'!ED9:EE9,H$78)+COUNTIF('3月'!EI9:EJ9,H$78)+COUNTIF('3月'!EN9:EO9,H$78)+COUNTIF('3月'!ES9:ET9,H$78)+COUNTIF('3月'!D9:E9,"渋谷-夜勤")+COUNTIF('3月'!I9:J9,"渋谷-夜勤")+COUNTIF('3月'!N9:O9,"渋谷-夜勤")+COUNTIF('3月'!S9:T9,"渋谷-夜勤")+COUNTIF('3月'!X9:Y9,"渋谷-夜勤")+COUNTIF('3月'!AC9:AD9,"渋谷-夜勤")+COUNTIF('3月'!AH9:AI9,"渋谷-夜勤")+COUNTIF('3月'!AM9:AN9,"渋谷-夜勤")+COUNTIF('3月'!AR9:AS9,"渋谷-夜勤")+COUNTIF('3月'!AW9:AX9,"渋谷-夜勤")+COUNTIF('3月'!BB9:BC9,"渋谷-夜勤")+COUNTIF('3月'!BG9:BH9,"渋谷-夜勤")+COUNTIF('3月'!BL9:BM9,"渋谷-夜勤")+COUNTIF('3月'!BQ9:BR9,"渋谷-夜勤")+COUNTIF('3月'!BV9:BW9,"渋谷-夜勤")+COUNTIF('3月'!CA9:CB9,"渋谷-夜勤")+COUNTIF('3月'!CF9:CG9,"渋谷-夜勤")+COUNTIF('3月'!CK9:CL9,"渋谷-夜勤")+COUNTIF('3月'!CP9:CQ9,"渋谷-夜勤")+COUNTIF('3月'!CU9:CV9,"渋谷-夜勤")+COUNTIF('3月'!CZ9:DA9,"渋谷-夜勤")+COUNTIF('3月'!DE9:DF9,"渋谷-夜勤")+COUNTIF('3月'!DJ9:DK9,"渋谷-夜勤")+COUNTIF('3月'!DO9:DP9,"渋谷-夜勤")+COUNTIF('3月'!DT9:DU9,"渋谷-夜勤")+COUNTIF('3月'!DY9:DZ9,"渋谷-夜勤")+COUNTIF('3月'!ED9:EE9,"渋谷-夜勤")+COUNTIF('3月'!EI9:EJ9,"渋谷-夜勤")+COUNTIF('3月'!EN9:EO9,"渋谷-夜勤")+COUNTIF('3月'!ES9:ET9,"渋谷-夜勤")</f>
        <v>0</v>
      </c>
      <c r="I85" s="76">
        <f t="shared" si="27"/>
        <v>0</v>
      </c>
      <c r="J85" s="76">
        <f>COUNTIF('3月'!D9:E9,J$78)+COUNTIF('3月'!I9:J9,J$78)+COUNTIF('3月'!N9:O9,J$78)+COUNTIF('3月'!S9:T9,J$78)+COUNTIF('3月'!X9:Y9,J$78)+COUNTIF('3月'!AC9:AD9,J$78)+COUNTIF('3月'!AH9:AI9,J$78)+COUNTIF('3月'!AM9:AN9,J$78)+COUNTIF('3月'!AR9:AS9,J$78)+COUNTIF('3月'!AW9:AX9,J$78)+COUNTIF('3月'!BB9:BC9,J$78)+COUNTIF('3月'!BG9:BH9,J$78)+COUNTIF('3月'!BL9:BM9,J$78)+COUNTIF('3月'!BQ9:BR9,J$78)+COUNTIF('3月'!BV9:BW9,J$78)+COUNTIF('3月'!CA9:CB9,J$78)+COUNTIF('3月'!CF9:CG9,J$78)+COUNTIF('3月'!CK9:CL9,J$78)+COUNTIF('3月'!CP9:CQ9,J$78)+COUNTIF('3月'!CU9:CV9,J$78)+COUNTIF('3月'!CZ9:DA9,J$78)+COUNTIF('3月'!DE9:DF9,J$78)+COUNTIF('3月'!DJ9:DK9,J$78)+COUNTIF('3月'!DO9:DP9,J$78)+COUNTIF('3月'!DT9:DU9,J$78)+COUNTIF('3月'!DY9:DZ9,J$78)+COUNTIF('3月'!ED9:EE9,J$78)+COUNTIF('3月'!EI9:EJ9,J$78)+COUNTIF('3月'!EN9:EO9,J$78)+COUNTIF('3月'!ES9:ET9,J$78)+COUNTIF('3月'!D9:E9,"六本木-夜勤")+COUNTIF('3月'!I9:J9,"六本木-夜勤")+COUNTIF('3月'!N9:O9,"六本木-夜勤")+COUNTIF('3月'!S9:T9,"六本木-夜勤")+COUNTIF('3月'!X9:Y9,"六本木-夜勤")+COUNTIF('3月'!AC9:AD9,"六本木-夜勤")+COUNTIF('3月'!AH9:AI9,"六本木-夜勤")+COUNTIF('3月'!AM9:AN9,"六本木-夜勤")+COUNTIF('3月'!AR9:AS9,"六本木-夜勤")+COUNTIF('3月'!AW9:AX9,"六本木-夜勤")+COUNTIF('3月'!BB9:BC9,"六本木-夜勤")+COUNTIF('3月'!BG9:BH9,"六本木-夜勤")+COUNTIF('3月'!BL9:BM9,"六本木-夜勤")+COUNTIF('3月'!BQ9:BR9,"六本木-夜勤")+COUNTIF('3月'!BV9:BW9,"六本木-夜勤")+COUNTIF('3月'!CA9:CB9,"六本木-夜勤")+COUNTIF('3月'!CF9:CG9,"六本木-夜勤")+COUNTIF('3月'!CK9:CL9,"六本木-夜勤")+COUNTIF('3月'!CP9:CQ9,"六本木-夜勤")+COUNTIF('3月'!CU9:CV9,"六本木-夜勤")+COUNTIF('3月'!CZ9:DA9,"六本木-夜勤")+COUNTIF('3月'!DE9:DF9,"六本木-夜勤")+COUNTIF('3月'!DJ9:DK9,"六本木-夜勤")+COUNTIF('3月'!DO9:DP9,"六本木-夜勤")+COUNTIF('3月'!DT9:DU9,"六本木-夜勤")+COUNTIF('3月'!DY9:DZ9,"六本木-夜勤")+COUNTIF('3月'!ED9:EE9,"六本木-夜勤")+COUNTIF('3月'!EI9:EJ9,"六本木-夜勤")+COUNTIF('3月'!EN9:EO9,"六本木-夜勤")+COUNTIF('3月'!ES9:ET9,"六本木-夜勤")+COUNTIF('3月'!D9:E9,"六本木ー夜勤")+COUNTIF('3月'!I9:J9,"六本木ー夜勤")+COUNTIF('3月'!N9:O9,"六本木ー夜勤")+COUNTIF('3月'!S9:T9,"六本木ー夜勤")+COUNTIF('3月'!X9:Y9,"六本木ー夜勤")+COUNTIF('3月'!AC9:AD9,"六本木ー夜勤")+COUNTIF('3月'!AH9:AI9,"六本木ー夜勤")+COUNTIF('3月'!AM9:AN9,"六本木ー夜勤")+COUNTIF('3月'!AR9:AS9,"六本木ー夜勤")+COUNTIF('3月'!AW9:AX9,"六本木ー夜勤")+COUNTIF('3月'!BB9:BC9,"六本木ー夜勤")+COUNTIF('3月'!BG9:BH9,"六本木ー夜勤")+COUNTIF('3月'!BL9:BM9,"六本木ー夜勤")+COUNTIF('3月'!BQ9:BR9,"六本木ー夜勤")+COUNTIF('3月'!BV9:BW9,"六本木ー夜勤")+COUNTIF('3月'!CA9:CB9,"六本木ー夜勤")+COUNTIF('3月'!CF9:CG9,"六本木ー夜勤")+COUNTIF('3月'!CK9:CL9,"六本木ー夜勤")+COUNTIF('3月'!CP9:CQ9,"六本木ー夜勤")+COUNTIF('3月'!CU9:CV9,"六本木ー夜勤")+COUNTIF('3月'!CZ9:DA9,"六本木ー夜勤")+COUNTIF('3月'!DE9:DF9,"六本木ー夜勤")+COUNTIF('3月'!DJ9:DK9,"六本木ー夜勤")+COUNTIF('3月'!DO9:DP9,"六本木ー夜勤")+COUNTIF('3月'!DT9:DU9,"六本木ー夜勤")+COUNTIF('3月'!DY9:DZ9,"六本木ー夜勤")+COUNTIF('3月'!ED9:EE9,"六本木ー夜勤")+COUNTIF('3月'!EI9:EJ9,"六本木ー夜勤")+COUNTIF('3月'!EN9:EO9,"六本木ー夜勤")+COUNTIF('3月'!ES9:ET9,"六本木ー夜勤")</f>
        <v>0</v>
      </c>
      <c r="K85" s="76">
        <f t="shared" si="28"/>
        <v>0</v>
      </c>
      <c r="L85" s="76">
        <f>COUNTIF('3月'!D9:E9,L$78)+COUNTIF('3月'!I9:J9,L$78)+COUNTIF('3月'!N9:O9,L$78)+COUNTIF('3月'!S9:T9,L$78)+COUNTIF('3月'!X9:Y9,L$78)+COUNTIF('3月'!AC9:AD9,L$78)+COUNTIF('3月'!AH9:AI9,L$78)+COUNTIF('3月'!AM9:AN9,L$78)+COUNTIF('3月'!AR9:AS9,L$78)+COUNTIF('3月'!AW9:AX9,L$78)+COUNTIF('3月'!BB9:BC9,L$78)+COUNTIF('3月'!BG9:BH9,L$78)+COUNTIF('3月'!BL9:BM9,L$78)+COUNTIF('3月'!BQ9:BR9,L$78)+COUNTIF('3月'!BV9:BW9,L$78)+COUNTIF('3月'!CA9:CB9,L$78)+COUNTIF('3月'!CF9:CG9,L$78)+COUNTIF('3月'!CK9:CL9,L$78)+COUNTIF('3月'!CP9:CQ9,L$78)+COUNTIF('3月'!CU9:CV9,L$78)+COUNTIF('3月'!CZ9:DA9,L$78)+COUNTIF('3月'!DE9:DF9,L$78)+COUNTIF('3月'!DJ9:DK9,L$78)+COUNTIF('3月'!DO9:DP9,L$78)+COUNTIF('3月'!DT9:DU9,L$78)+COUNTIF('3月'!DY9:DZ9,L$78)+COUNTIF('3月'!ED9:EE9,L$78)+COUNTIF('3月'!EI9:EJ9,L$78)+COUNTIF('3月'!EN9:EO9,L$78)+COUNTIF('3月'!ES9:ET9,L$78)</f>
        <v>0</v>
      </c>
      <c r="M85" s="76">
        <f t="shared" si="29"/>
        <v>0</v>
      </c>
      <c r="N85" s="76">
        <f>COUNTIF('3月'!D9:E9,N$78)+COUNTIF('3月'!I9:J9,N$78)+COUNTIF('3月'!N9:O9,N$78)+COUNTIF('3月'!S9:T9,N$78)+COUNTIF('3月'!X9:Y9,N$78)+COUNTIF('3月'!AC9:AD9,N$78)+COUNTIF('3月'!AH9:AI9,N$78)+COUNTIF('3月'!AM9:AN9,N$78)+COUNTIF('3月'!AR9:AS9,N$78)+COUNTIF('3月'!AW9:AX9,N$78)+COUNTIF('3月'!BB9:BC9,N$78)+COUNTIF('3月'!BG9:BH9,N$78)+COUNTIF('3月'!BL9:BM9,N$78)+COUNTIF('3月'!BQ9:BR9,N$78)+COUNTIF('3月'!BV9:BW9,N$78)+COUNTIF('3月'!CA9:CB9,N$78)+COUNTIF('3月'!CF9:CG9,N$78)+COUNTIF('3月'!CK9:CL9,N$78)+COUNTIF('3月'!CP9:CQ9,N$78)+COUNTIF('3月'!CU9:CV9,N$78)+COUNTIF('3月'!CZ9:DA9,N$78)+COUNTIF('3月'!DE9:DF9,N$78)+COUNTIF('3月'!DJ9:DK9,N$78)+COUNTIF('3月'!DO9:DP9,N$78)+COUNTIF('3月'!DT9:DU9,N$78)+COUNTIF('3月'!DY9:DZ9,N$78)+COUNTIF('3月'!ED9:EE9,N$78)+COUNTIF('3月'!EI9:EJ9,N$78)+COUNTIF('3月'!EN9:EO9,N$78)+COUNTIF('3月'!ES9:ET9,N$78)+COUNTIF('3月'!D9:E9,"三軒茶屋－夜勤")+COUNTIF('3月'!I9:J9,"三軒茶屋－夜勤")+COUNTIF('3月'!N9:O9,"三軒茶屋－夜勤")+COUNTIF('3月'!S9:T9,"三軒茶屋－夜勤")+COUNTIF('3月'!X9:Y9,"三軒茶屋－夜勤")+COUNTIF('3月'!AC9:AD9,"三軒茶屋－夜勤")+COUNTIF('3月'!AH9:AI9,"三軒茶屋－夜勤")+COUNTIF('3月'!AM9:AN9,"三軒茶屋－夜勤")+COUNTIF('3月'!AR9:AS9,"三軒茶屋－夜勤")+COUNTIF('3月'!AW9:AX9,"三軒茶屋－夜勤")+COUNTIF('3月'!BB9:BC9,"三軒茶屋－夜勤")+COUNTIF('3月'!BG9:BH9,"三軒茶屋－夜勤")+COUNTIF('3月'!BL9:BM9,"三軒茶屋－夜勤")+COUNTIF('3月'!BQ9:BR9,"三軒茶屋－夜勤")+COUNTIF('3月'!BV9:BW9,"三軒茶屋－夜勤")+COUNTIF('3月'!CA9:CB9,"三軒茶屋－夜勤")+COUNTIF('3月'!CF9:CG9,"三軒茶屋－夜勤")+COUNTIF('3月'!CK9:CL9,"三軒茶屋－夜勤")+COUNTIF('3月'!CP9:CQ9,"三軒茶屋－夜勤")+COUNTIF('3月'!CU9:CV9,"三軒茶屋－夜勤")+COUNTIF('3月'!CZ9:DA9,"三軒茶屋－夜勤")+COUNTIF('3月'!DE9:DF9,"三軒茶屋－夜勤")+COUNTIF('3月'!DJ9:DK9,"三軒茶屋－夜勤")+COUNTIF('3月'!DO9:DP9,"三軒茶屋－夜勤")+COUNTIF('3月'!DT9:DU9,"三軒茶屋－夜勤")+COUNTIF('3月'!DY9:DZ9,"三軒茶屋－夜勤")+COUNTIF('3月'!ED9:EE9,"三軒茶屋－夜勤")+COUNTIF('3月'!EI9:EJ9,"三軒茶屋－夜勤")+COUNTIF('3月'!EN9:EO9,"三軒茶屋－夜勤")+COUNTIF('3月'!ES9:ET9,"三軒茶屋－夜勤")</f>
        <v>0</v>
      </c>
      <c r="O85" s="76">
        <f t="shared" si="30"/>
        <v>0</v>
      </c>
      <c r="P85" s="76">
        <f>COUNTIF('3月'!D9:E9,P$78)+COUNTIF('3月'!I9:J9,P$78)+COUNTIF('3月'!N9:O9,P$78)+COUNTIF('3月'!S9:T9,P$78)+COUNTIF('3月'!X9:Y9,P$78)+COUNTIF('3月'!AC9:AD9,P$78)+COUNTIF('3月'!AH9:AI9,P$78)+COUNTIF('3月'!AM9:AN9,P$78)+COUNTIF('3月'!AR9:AS9,P$78)+COUNTIF('3月'!AW9:AX9,P$78)+COUNTIF('3月'!BB9:BC9,P$78)+COUNTIF('3月'!BG9:BH9,P$78)+COUNTIF('3月'!BL9:BM9,P$78)+COUNTIF('3月'!BQ9:BR9,P$78)+COUNTIF('3月'!BV9:BW9,P$78)+COUNTIF('3月'!CA9:CB9,P$78)+COUNTIF('3月'!CF9:CG9,P$78)+COUNTIF('3月'!CK9:CL9,P$78)+COUNTIF('3月'!CP9:CQ9,P$78)+COUNTIF('3月'!CU9:CV9,P$78)+COUNTIF('3月'!CZ9:DA9,P$78)+COUNTIF('3月'!DE9:DF9,P$78)+COUNTIF('3月'!DJ9:DK9,P$78)+COUNTIF('3月'!DO9:DP9,P$78)+COUNTIF('3月'!DT9:DU9,P$78)+COUNTIF('3月'!DY9:DZ9,P$78)+COUNTIF('3月'!ED9:EE9,P$78)+COUNTIF('3月'!EI9:EJ9,P$78)+COUNTIF('3月'!EN9:EO9,P$78)+COUNTIF('3月'!ES9:ET9,P$78)+COUNTIF('3月'!D9:E9,"荻窪ー夜勤")+COUNTIF('3月'!I9:J9,"荻窪ー夜勤")+COUNTIF('3月'!N9:O9,"荻窪ー夜勤")+COUNTIF('3月'!S9:T9,"荻窪ー夜勤")+COUNTIF('3月'!X9:Y9,"荻窪ー夜勤")+COUNTIF('3月'!AC9:AD9,"荻窪ー夜勤")+COUNTIF('3月'!AH9:AI9,"荻窪ー夜勤")+COUNTIF('3月'!AM9:AN9,"荻窪ー夜勤")+COUNTIF('3月'!AR9:AS9,"荻窪ー夜勤")+COUNTIF('3月'!AW9:AX9,"荻窪ー夜勤")+COUNTIF('3月'!BB9:BC9,"荻窪ー夜勤")+COUNTIF('3月'!BG9:BH9,"荻窪ー夜勤")+COUNTIF('3月'!BL9:BM9,"荻窪ー夜勤")+COUNTIF('3月'!BQ9:BR9,"荻窪ー夜勤")+COUNTIF('3月'!BV9:BW9,"荻窪ー夜勤")+COUNTIF('3月'!CA9:CB9,"荻窪ー夜勤")+COUNTIF('3月'!CF9:CG9,"荻窪ー夜勤")+COUNTIF('3月'!CK9:CL9,"荻窪ー夜勤")+COUNTIF('3月'!CP9:CQ9,"荻窪ー夜勤")+COUNTIF('3月'!CU9:CV9,"荻窪ー夜勤")+COUNTIF('3月'!CZ9:DA9,"荻窪ー夜勤")+COUNTIF('3月'!DE9:DF9,"荻窪ー夜勤")+COUNTIF('3月'!DJ9:DK9,"荻窪ー夜勤")+COUNTIF('3月'!DO9:DP9,"荻窪ー夜勤")+COUNTIF('3月'!DT9:DU9,"荻窪ー夜勤")+COUNTIF('3月'!DY9:DZ9,"荻窪ー夜勤")+COUNTIF('3月'!ED9:EE9,"荻窪ー夜勤")+COUNTIF('3月'!EI9:EJ9,"荻窪ー夜勤")+COUNTIF('3月'!EN9:EO9,"荻窪ー夜勤")+COUNTIF('3月'!ES9:ET9,"荻窪ー夜勤")</f>
        <v>0</v>
      </c>
      <c r="Q85" s="76">
        <f t="shared" si="31"/>
        <v>0</v>
      </c>
      <c r="R85" s="76">
        <f>COUNTIF('3月'!D9:E9,R$78)+COUNTIF('3月'!I9:J9,R$78)+COUNTIF('3月'!N9:O9,R$78)+COUNTIF('3月'!S9:T9,R$78)+COUNTIF('3月'!X9:Y9,R$78)+COUNTIF('3月'!AC9:AD9,R$78)+COUNTIF('3月'!AH9:AI9,R$78)+COUNTIF('3月'!AM9:AN9,R$78)+COUNTIF('3月'!AR9:AS9,R$78)+COUNTIF('3月'!AW9:AX9,R$78)+COUNTIF('3月'!BB9:BC9,R$78)+COUNTIF('3月'!BG9:BH9,R$78)+COUNTIF('3月'!BL9:BM9,R$78)+COUNTIF('3月'!BQ9:BR9,R$78)+COUNTIF('3月'!BV9:BW9,R$78)+COUNTIF('3月'!CA9:CB9,R$78)+COUNTIF('3月'!CF9:CG9,R$78)+COUNTIF('3月'!CK9:CL9,R$78)+COUNTIF('3月'!CP9:CQ9,R$78)+COUNTIF('3月'!CU9:CV9,R$78)+COUNTIF('3月'!CZ9:DA9,R$78)+COUNTIF('3月'!DE9:DF9,R$78)+COUNTIF('3月'!DJ9:DK9,R$78)+COUNTIF('3月'!DO9:DP9,R$78)+COUNTIF('3月'!DT9:DU9,R$78)+COUNTIF('3月'!DY9:DZ9,R$78)+COUNTIF('3月'!ED9:EE9,R$78)+COUNTIF('3月'!EI9:EJ9,R$78)+COUNTIF('3月'!EN9:EO9,R$78)+COUNTIF('3月'!ES9:ET9,R$78)</f>
        <v>0</v>
      </c>
      <c r="S85" s="76">
        <f t="shared" si="32"/>
        <v>0</v>
      </c>
      <c r="T85" s="76">
        <f>COUNTIF('3月'!D9:E9,T$78)+COUNTIF('3月'!I9:J9,T$78)+COUNTIF('3月'!N9:O9,T$78)+COUNTIF('3月'!S9:T9,T$78)+COUNTIF('3月'!X9:Y9,T$78)+COUNTIF('3月'!AC9:AD9,T$78)+COUNTIF('3月'!AH9:AI9,T$78)+COUNTIF('3月'!AM9:AN9,T$78)+COUNTIF('3月'!AR9:AS9,T$78)+COUNTIF('3月'!AW9:AX9,T$78)+COUNTIF('3月'!BB9:BC9,T$78)+COUNTIF('3月'!BG9:BH9,T$78)+COUNTIF('3月'!BL9:BM9,T$78)+COUNTIF('3月'!BQ9:BR9,T$78)+COUNTIF('3月'!BV9:BW9,T$78)+COUNTIF('3月'!CA9:CB9,T$78)+COUNTIF('3月'!CF9:CG9,T$78)+COUNTIF('3月'!CK9:CL9,T$78)+COUNTIF('3月'!CP9:CQ9,T$78)+COUNTIF('3月'!CU9:CV9,T$78)+COUNTIF('3月'!CZ9:DA9,T$78)+COUNTIF('3月'!DE9:DF9,T$78)+COUNTIF('3月'!DJ9:DK9,T$78)+COUNTIF('3月'!DO9:DP9,T$78)+COUNTIF('3月'!DT9:DU9,T$78)+COUNTIF('3月'!DY9:DZ9,T$78)+COUNTIF('3月'!ED9:EE9,T$78)+COUNTIF('3月'!EI9:EJ9,T$78)+COUNTIF('3月'!EN9:EO9,T$78)+COUNTIF('3月'!ES9:ET9,T$78)</f>
        <v>0</v>
      </c>
      <c r="U85" s="76">
        <f t="shared" si="33"/>
        <v>0</v>
      </c>
      <c r="V85" s="76">
        <f>COUNTIF('3月'!D9:E9,V$78)+COUNTIF('3月'!I9:J9,V$78)+COUNTIF('3月'!N9:O9,V$78)+COUNTIF('3月'!S9:T9,V$78)+COUNTIF('3月'!X9:Y9,V$78)+COUNTIF('3月'!AC9:AD9,V$78)+COUNTIF('3月'!AH9:AI9,V$78)+COUNTIF('3月'!AM9:AN9,V$78)+COUNTIF('3月'!AR9:AS9,V$78)+COUNTIF('3月'!AW9:AX9,V$78)+COUNTIF('3月'!BB9:BC9,V$78)+COUNTIF('3月'!BG9:BH9,V$78)+COUNTIF('3月'!BL9:BM9,V$78)+COUNTIF('3月'!BQ9:BR9,V$78)+COUNTIF('3月'!BV9:BW9,V$78)+COUNTIF('3月'!CA9:CB9,V$78)+COUNTIF('3月'!CF9:CG9,V$78)+COUNTIF('3月'!CK9:CL9,V$78)+COUNTIF('3月'!CP9:CQ9,V$78)+COUNTIF('3月'!CU9:CV9,V$78)+COUNTIF('3月'!CZ9:DA9,V$78)+COUNTIF('3月'!DE9:DF9,V$78)+COUNTIF('3月'!DJ9:DK9,V$78)+COUNTIF('3月'!DO9:DP9,V$78)+COUNTIF('3月'!DT9:DU9,V$78)+COUNTIF('3月'!DY9:DZ9,V$78)+COUNTIF('3月'!ED9:EE9,V$78)+COUNTIF('3月'!EI9:EJ9,V$78)+COUNTIF('3月'!EN9:EO9,V$78)+COUNTIF('3月'!ES9:ET9,V$78)</f>
        <v>0</v>
      </c>
      <c r="W85" s="76">
        <f t="shared" si="34"/>
        <v>0</v>
      </c>
      <c r="X85" s="76">
        <f>COUNTIF('3月'!D9:E9,X$78)+COUNTIF('3月'!I9:J9,X$78)+COUNTIF('3月'!N9:O9,X$78)+COUNTIF('3月'!S9:T9,X$78)+COUNTIF('3月'!X9:Y9,X$78)+COUNTIF('3月'!AC9:AD9,X$78)+COUNTIF('3月'!AH9:AI9,X$78)+COUNTIF('3月'!AM9:AN9,X$78)+COUNTIF('3月'!AR9:AS9,X$78)+COUNTIF('3月'!AW9:AX9,X$78)+COUNTIF('3月'!BB9:BC9,X$78)+COUNTIF('3月'!BG9:BH9,X$78)+COUNTIF('3月'!BL9:BM9,X$78)+COUNTIF('3月'!BQ9:BR9,X$78)+COUNTIF('3月'!BV9:BW9,X$78)+COUNTIF('3月'!CA9:CB9,X$78)+COUNTIF('3月'!CF9:CG9,X$78)+COUNTIF('3月'!CK9:CL9,X$78)+COUNTIF('3月'!CP9:CQ9,X$78)+COUNTIF('3月'!CU9:CV9,X$78)+COUNTIF('3月'!CZ9:DA9,X$78)+COUNTIF('3月'!DE9:DF9,X$78)+COUNTIF('3月'!DJ9:DK9,X$78)+COUNTIF('3月'!DO9:DP9,X$78)+COUNTIF('3月'!DT9:DU9,X$78)+COUNTIF('3月'!DY9:DZ9,X$78)+COUNTIF('3月'!ED9:EE9,X$78)+COUNTIF('3月'!EI9:EJ9,X$78)+COUNTIF('3月'!EN9:EO9,X$78)+COUNTIF('3月'!ES9:ET9,X$78)</f>
        <v>0</v>
      </c>
      <c r="Y85" s="76">
        <f t="shared" si="35"/>
        <v>0</v>
      </c>
    </row>
    <row r="86" spans="1:25" ht="18" customHeight="1">
      <c r="A86" s="76">
        <v>7</v>
      </c>
      <c r="B86" s="76">
        <f>COUNTIF('3月'!D10:E10,B$78)+COUNTIF('3月'!I10:J10,B$78)+COUNTIF('3月'!N10:O10,B$78)+COUNTIF('3月'!S10:T10,B$78)+COUNTIF('3月'!X10:Y10,B$78)+COUNTIF('3月'!AC10:AD10,B$78)+COUNTIF('3月'!AH10:AI10,B$78)+COUNTIF('3月'!AM10:AN10,B$78)+COUNTIF('3月'!AR10:AS10,B$78)+COUNTIF('3月'!AW10:AX10,B$78)+COUNTIF('3月'!BB10:BC10,B$78)+COUNTIF('3月'!BG10:BH10,B$78)+COUNTIF('3月'!BL10:BM10,B$78)+COUNTIF('3月'!BQ10:BR10,B$78)+COUNTIF('3月'!BV10:BW10,B$78)+COUNTIF('3月'!CA10:CB10,B$78)+COUNTIF('3月'!CF10:CG10,B$78)+COUNTIF('3月'!CK10:CL10,B$78)+COUNTIF('3月'!CP10:CQ10,B$78)+COUNTIF('3月'!CU10:CV10,B$78)+COUNTIF('3月'!CZ10:DA10,B$78)+COUNTIF('3月'!DE10:DF10,B$78)+COUNTIF('3月'!DJ10:DK10,B$78)+COUNTIF('3月'!DO10:DP10,B$78)+COUNTIF('3月'!DT10:DU10,B$78)+COUNTIF('3月'!DY10:DZ10,B$78)+COUNTIF('3月'!ED10:EE10,B$78)+COUNTIF('3月'!EI10:EJ10,B$78)+COUNTIF('3月'!EN10:EO10,B$78)+COUNTIF('3月'!ES10:ET10,B$78)</f>
        <v>0</v>
      </c>
      <c r="C86" s="76">
        <f t="shared" si="24"/>
        <v>0</v>
      </c>
      <c r="D86" s="76">
        <f>COUNTIF('3月'!D10:E10,D$78)+COUNTIF('3月'!I10:J10,D$78)+COUNTIF('3月'!N10:O10,D$78)+COUNTIF('3月'!S10:T10,D$78)+COUNTIF('3月'!X10:Y10,D$78)+COUNTIF('3月'!AC10:AD10,D$78)+COUNTIF('3月'!AH10:AI10,D$78)+COUNTIF('3月'!AM10:AN10,D$78)+COUNTIF('3月'!AR10:AS10,D$78)+COUNTIF('3月'!AW10:AX10,D$78)+COUNTIF('3月'!BB10:BC10,D$78)+COUNTIF('3月'!BG10:BH10,D$78)+COUNTIF('3月'!BL10:BM10,D$78)+COUNTIF('3月'!BQ10:BR10,D$78)+COUNTIF('3月'!BV10:BW10,D$78)+COUNTIF('3月'!CA10:CB10,D$78)+COUNTIF('3月'!CF10:CG10,D$78)+COUNTIF('3月'!CK10:CL10,D$78)+COUNTIF('3月'!CP10:CQ10,D$78)+COUNTIF('3月'!CU10:CV10,D$78)+COUNTIF('3月'!CZ10:DA10,D$78)+COUNTIF('3月'!DE10:DF10,D$78)+COUNTIF('3月'!DJ10:DK10,D$78)+COUNTIF('3月'!DO10:DP10,D$78)+COUNTIF('3月'!DT10:DU10,D$78)+COUNTIF('3月'!DY10:DZ10,D$78)+COUNTIF('3月'!ED10:EE10,D$78)+COUNTIF('3月'!EI10:EJ10,D$78)+COUNTIF('3月'!EN10:EO10,D$78)+COUNTIF('3月'!ES10:ET10,D$78)</f>
        <v>0</v>
      </c>
      <c r="E86" s="76">
        <f t="shared" si="25"/>
        <v>0</v>
      </c>
      <c r="F86" s="76">
        <f>COUNTIF('3月'!D10:E10,F$78)+COUNTIF('3月'!I10:J10,F$78)+COUNTIF('3月'!N10:O10,F$78)+COUNTIF('3月'!S10:T10,F$78)+COUNTIF('3月'!X10:Y10,F$78)+COUNTIF('3月'!AC10:AD10,F$78)+COUNTIF('3月'!AH10:AI10,F$78)+COUNTIF('3月'!AM10:AN10,F$78)+COUNTIF('3月'!AR10:AS10,F$78)+COUNTIF('3月'!AW10:AX10,F$78)+COUNTIF('3月'!BB10:BC10,F$78)+COUNTIF('3月'!BG10:BH10,F$78)+COUNTIF('3月'!BL10:BM10,F$78)+COUNTIF('3月'!BQ10:BR10,F$78)+COUNTIF('3月'!BV10:BW10,F$78)+COUNTIF('3月'!CA10:CB10,F$78)+COUNTIF('3月'!CF10:CG10,F$78)+COUNTIF('3月'!CK10:CL10,F$78)+COUNTIF('3月'!CP10:CQ10,F$78)+COUNTIF('3月'!CU10:CV10,F$78)+COUNTIF('3月'!CZ10:DA10,F$78)+COUNTIF('3月'!DE10:DF10,F$78)+COUNTIF('3月'!DJ10:DK10,F$78)+COUNTIF('3月'!DO10:DP10,F$78)+COUNTIF('3月'!DT10:DU10,F$78)+COUNTIF('3月'!DY10:DZ10,F$78)+COUNTIF('3月'!ED10:EE10,F$78)+COUNTIF('3月'!EI10:EJ10,F$78)+COUNTIF('3月'!EN10:EO10,F$78)+COUNTIF('3月'!ES10:ET10,F$78)</f>
        <v>0</v>
      </c>
      <c r="G86" s="76">
        <f t="shared" si="26"/>
        <v>0</v>
      </c>
      <c r="H86" s="76">
        <f>COUNTIF('3月'!D10:E10,H$78)+COUNTIF('3月'!I10:J10,H$78)+COUNTIF('3月'!N10:O10,H$78)+COUNTIF('3月'!S10:T10,H$78)+COUNTIF('3月'!X10:Y10,H$78)+COUNTIF('3月'!AC10:AD10,H$78)+COUNTIF('3月'!AH10:AI10,H$78)+COUNTIF('3月'!AM10:AN10,H$78)+COUNTIF('3月'!AR10:AS10,H$78)+COUNTIF('3月'!AW10:AX10,H$78)+COUNTIF('3月'!BB10:BC10,H$78)+COUNTIF('3月'!BG10:BH10,H$78)+COUNTIF('3月'!BL10:BM10,H$78)+COUNTIF('3月'!BQ10:BR10,H$78)+COUNTIF('3月'!BV10:BW10,H$78)+COUNTIF('3月'!CA10:CB10,H$78)+COUNTIF('3月'!CF10:CG10,H$78)+COUNTIF('3月'!CK10:CL10,H$78)+COUNTIF('3月'!CP10:CQ10,H$78)+COUNTIF('3月'!CU10:CV10,H$78)+COUNTIF('3月'!CZ10:DA10,H$78)+COUNTIF('3月'!DE10:DF10,H$78)+COUNTIF('3月'!DJ10:DK10,H$78)+COUNTIF('3月'!DO10:DP10,H$78)+COUNTIF('3月'!DT10:DU10,H$78)+COUNTIF('3月'!DY10:DZ10,H$78)+COUNTIF('3月'!ED10:EE10,H$78)+COUNTIF('3月'!EI10:EJ10,H$78)+COUNTIF('3月'!EN10:EO10,H$78)+COUNTIF('3月'!ES10:ET10,H$78)+COUNTIF('3月'!D10:E10,"渋谷-夜勤")+COUNTIF('3月'!I10:J10,"渋谷-夜勤")+COUNTIF('3月'!N10:O10,"渋谷-夜勤")+COUNTIF('3月'!S10:T10,"渋谷-夜勤")+COUNTIF('3月'!X10:Y10,"渋谷-夜勤")+COUNTIF('3月'!AC10:AD10,"渋谷-夜勤")+COUNTIF('3月'!AH10:AI10,"渋谷-夜勤")+COUNTIF('3月'!AM10:AN10,"渋谷-夜勤")+COUNTIF('3月'!AR10:AS10,"渋谷-夜勤")+COUNTIF('3月'!AW10:AX10,"渋谷-夜勤")+COUNTIF('3月'!BB10:BC10,"渋谷-夜勤")+COUNTIF('3月'!BG10:BH10,"渋谷-夜勤")+COUNTIF('3月'!BL10:BM10,"渋谷-夜勤")+COUNTIF('3月'!BQ10:BR10,"渋谷-夜勤")+COUNTIF('3月'!BV10:BW10,"渋谷-夜勤")+COUNTIF('3月'!CA10:CB10,"渋谷-夜勤")+COUNTIF('3月'!CF10:CG10,"渋谷-夜勤")+COUNTIF('3月'!CK10:CL10,"渋谷-夜勤")+COUNTIF('3月'!CP10:CQ10,"渋谷-夜勤")+COUNTIF('3月'!CU10:CV10,"渋谷-夜勤")+COUNTIF('3月'!CZ10:DA10,"渋谷-夜勤")+COUNTIF('3月'!DE10:DF10,"渋谷-夜勤")+COUNTIF('3月'!DJ10:DK10,"渋谷-夜勤")+COUNTIF('3月'!DO10:DP10,"渋谷-夜勤")+COUNTIF('3月'!DT10:DU10,"渋谷-夜勤")+COUNTIF('3月'!DY10:DZ10,"渋谷-夜勤")+COUNTIF('3月'!ED10:EE10,"渋谷-夜勤")+COUNTIF('3月'!EI10:EJ10,"渋谷-夜勤")+COUNTIF('3月'!EN10:EO10,"渋谷-夜勤")+COUNTIF('3月'!ES10:ET10,"渋谷-夜勤")</f>
        <v>0</v>
      </c>
      <c r="I86" s="76">
        <f t="shared" si="27"/>
        <v>0</v>
      </c>
      <c r="J86" s="76">
        <f>COUNTIF('3月'!D10:E10,J$78)+COUNTIF('3月'!I10:J10,J$78)+COUNTIF('3月'!N10:O10,J$78)+COUNTIF('3月'!S10:T10,J$78)+COUNTIF('3月'!X10:Y10,J$78)+COUNTIF('3月'!AC10:AD10,J$78)+COUNTIF('3月'!AH10:AI10,J$78)+COUNTIF('3月'!AM10:AN10,J$78)+COUNTIF('3月'!AR10:AS10,J$78)+COUNTIF('3月'!AW10:AX10,J$78)+COUNTIF('3月'!BB10:BC10,J$78)+COUNTIF('3月'!BG10:BH10,J$78)+COUNTIF('3月'!BL10:BM10,J$78)+COUNTIF('3月'!BQ10:BR10,J$78)+COUNTIF('3月'!BV10:BW10,J$78)+COUNTIF('3月'!CA10:CB10,J$78)+COUNTIF('3月'!CF10:CG10,J$78)+COUNTIF('3月'!CK10:CL10,J$78)+COUNTIF('3月'!CP10:CQ10,J$78)+COUNTIF('3月'!CU10:CV10,J$78)+COUNTIF('3月'!CZ10:DA10,J$78)+COUNTIF('3月'!DE10:DF10,J$78)+COUNTIF('3月'!DJ10:DK10,J$78)+COUNTIF('3月'!DO10:DP10,J$78)+COUNTIF('3月'!DT10:DU10,J$78)+COUNTIF('3月'!DY10:DZ10,J$78)+COUNTIF('3月'!ED10:EE10,J$78)+COUNTIF('3月'!EI10:EJ10,J$78)+COUNTIF('3月'!EN10:EO10,J$78)+COUNTIF('3月'!ES10:ET10,J$78)+COUNTIF('3月'!D10:E10,"六本木-夜勤")+COUNTIF('3月'!I10:J10,"六本木-夜勤")+COUNTIF('3月'!N10:O10,"六本木-夜勤")+COUNTIF('3月'!S10:T10,"六本木-夜勤")+COUNTIF('3月'!X10:Y10,"六本木-夜勤")+COUNTIF('3月'!AC10:AD10,"六本木-夜勤")+COUNTIF('3月'!AH10:AI10,"六本木-夜勤")+COUNTIF('3月'!AM10:AN10,"六本木-夜勤")+COUNTIF('3月'!AR10:AS10,"六本木-夜勤")+COUNTIF('3月'!AW10:AX10,"六本木-夜勤")+COUNTIF('3月'!BB10:BC10,"六本木-夜勤")+COUNTIF('3月'!BG10:BH10,"六本木-夜勤")+COUNTIF('3月'!BL10:BM10,"六本木-夜勤")+COUNTIF('3月'!BQ10:BR10,"六本木-夜勤")+COUNTIF('3月'!BV10:BW10,"六本木-夜勤")+COUNTIF('3月'!CA10:CB10,"六本木-夜勤")+COUNTIF('3月'!CF10:CG10,"六本木-夜勤")+COUNTIF('3月'!CK10:CL10,"六本木-夜勤")+COUNTIF('3月'!CP10:CQ10,"六本木-夜勤")+COUNTIF('3月'!CU10:CV10,"六本木-夜勤")+COUNTIF('3月'!CZ10:DA10,"六本木-夜勤")+COUNTIF('3月'!DE10:DF10,"六本木-夜勤")+COUNTIF('3月'!DJ10:DK10,"六本木-夜勤")+COUNTIF('3月'!DO10:DP10,"六本木-夜勤")+COUNTIF('3月'!DT10:DU10,"六本木-夜勤")+COUNTIF('3月'!DY10:DZ10,"六本木-夜勤")+COUNTIF('3月'!ED10:EE10,"六本木-夜勤")+COUNTIF('3月'!EI10:EJ10,"六本木-夜勤")+COUNTIF('3月'!EN10:EO10,"六本木-夜勤")+COUNTIF('3月'!ES10:ET10,"六本木-夜勤")+COUNTIF('3月'!D10:E10,"六本木ー夜勤")+COUNTIF('3月'!I10:J10,"六本木ー夜勤")+COUNTIF('3月'!N10:O10,"六本木ー夜勤")+COUNTIF('3月'!S10:T10,"六本木ー夜勤")+COUNTIF('3月'!X10:Y10,"六本木ー夜勤")+COUNTIF('3月'!AC10:AD10,"六本木ー夜勤")+COUNTIF('3月'!AH10:AI10,"六本木ー夜勤")+COUNTIF('3月'!AM10:AN10,"六本木ー夜勤")+COUNTIF('3月'!AR10:AS10,"六本木ー夜勤")+COUNTIF('3月'!AW10:AX10,"六本木ー夜勤")+COUNTIF('3月'!BB10:BC10,"六本木ー夜勤")+COUNTIF('3月'!BG10:BH10,"六本木ー夜勤")+COUNTIF('3月'!BL10:BM10,"六本木ー夜勤")+COUNTIF('3月'!BQ10:BR10,"六本木ー夜勤")+COUNTIF('3月'!BV10:BW10,"六本木ー夜勤")+COUNTIF('3月'!CA10:CB10,"六本木ー夜勤")+COUNTIF('3月'!CF10:CG10,"六本木ー夜勤")+COUNTIF('3月'!CK10:CL10,"六本木ー夜勤")+COUNTIF('3月'!CP10:CQ10,"六本木ー夜勤")+COUNTIF('3月'!CU10:CV10,"六本木ー夜勤")+COUNTIF('3月'!CZ10:DA10,"六本木ー夜勤")+COUNTIF('3月'!DE10:DF10,"六本木ー夜勤")+COUNTIF('3月'!DJ10:DK10,"六本木ー夜勤")+COUNTIF('3月'!DO10:DP10,"六本木ー夜勤")+COUNTIF('3月'!DT10:DU10,"六本木ー夜勤")+COUNTIF('3月'!DY10:DZ10,"六本木ー夜勤")+COUNTIF('3月'!ED10:EE10,"六本木ー夜勤")+COUNTIF('3月'!EI10:EJ10,"六本木ー夜勤")+COUNTIF('3月'!EN10:EO10,"六本木ー夜勤")+COUNTIF('3月'!ES10:ET10,"六本木ー夜勤")</f>
        <v>0</v>
      </c>
      <c r="K86" s="76">
        <f t="shared" si="28"/>
        <v>0</v>
      </c>
      <c r="L86" s="76">
        <f>COUNTIF('3月'!D10:E10,L$78)+COUNTIF('3月'!I10:J10,L$78)+COUNTIF('3月'!N10:O10,L$78)+COUNTIF('3月'!S10:T10,L$78)+COUNTIF('3月'!X10:Y10,L$78)+COUNTIF('3月'!AC10:AD10,L$78)+COUNTIF('3月'!AH10:AI10,L$78)+COUNTIF('3月'!AM10:AN10,L$78)+COUNTIF('3月'!AR10:AS10,L$78)+COUNTIF('3月'!AW10:AX10,L$78)+COUNTIF('3月'!BB10:BC10,L$78)+COUNTIF('3月'!BG10:BH10,L$78)+COUNTIF('3月'!BL10:BM10,L$78)+COUNTIF('3月'!BQ10:BR10,L$78)+COUNTIF('3月'!BV10:BW10,L$78)+COUNTIF('3月'!CA10:CB10,L$78)+COUNTIF('3月'!CF10:CG10,L$78)+COUNTIF('3月'!CK10:CL10,L$78)+COUNTIF('3月'!CP10:CQ10,L$78)+COUNTIF('3月'!CU10:CV10,L$78)+COUNTIF('3月'!CZ10:DA10,L$78)+COUNTIF('3月'!DE10:DF10,L$78)+COUNTIF('3月'!DJ10:DK10,L$78)+COUNTIF('3月'!DO10:DP10,L$78)+COUNTIF('3月'!DT10:DU10,L$78)+COUNTIF('3月'!DY10:DZ10,L$78)+COUNTIF('3月'!ED10:EE10,L$78)+COUNTIF('3月'!EI10:EJ10,L$78)+COUNTIF('3月'!EN10:EO10,L$78)+COUNTIF('3月'!ES10:ET10,L$78)</f>
        <v>0</v>
      </c>
      <c r="M86" s="76">
        <f t="shared" si="29"/>
        <v>0</v>
      </c>
      <c r="N86" s="76">
        <f>COUNTIF('3月'!D10:E10,N$78)+COUNTIF('3月'!I10:J10,N$78)+COUNTIF('3月'!N10:O10,N$78)+COUNTIF('3月'!S10:T10,N$78)+COUNTIF('3月'!X10:Y10,N$78)+COUNTIF('3月'!AC10:AD10,N$78)+COUNTIF('3月'!AH10:AI10,N$78)+COUNTIF('3月'!AM10:AN10,N$78)+COUNTIF('3月'!AR10:AS10,N$78)+COUNTIF('3月'!AW10:AX10,N$78)+COUNTIF('3月'!BB10:BC10,N$78)+COUNTIF('3月'!BG10:BH10,N$78)+COUNTIF('3月'!BL10:BM10,N$78)+COUNTIF('3月'!BQ10:BR10,N$78)+COUNTIF('3月'!BV10:BW10,N$78)+COUNTIF('3月'!CA10:CB10,N$78)+COUNTIF('3月'!CF10:CG10,N$78)+COUNTIF('3月'!CK10:CL10,N$78)+COUNTIF('3月'!CP10:CQ10,N$78)+COUNTIF('3月'!CU10:CV10,N$78)+COUNTIF('3月'!CZ10:DA10,N$78)+COUNTIF('3月'!DE10:DF10,N$78)+COUNTIF('3月'!DJ10:DK10,N$78)+COUNTIF('3月'!DO10:DP10,N$78)+COUNTIF('3月'!DT10:DU10,N$78)+COUNTIF('3月'!DY10:DZ10,N$78)+COUNTIF('3月'!ED10:EE10,N$78)+COUNTIF('3月'!EI10:EJ10,N$78)+COUNTIF('3月'!EN10:EO10,N$78)+COUNTIF('3月'!ES10:ET10,N$78)+COUNTIF('3月'!D10:E10,"三軒茶屋－夜勤")+COUNTIF('3月'!I10:J10,"三軒茶屋－夜勤")+COUNTIF('3月'!N10:O10,"三軒茶屋－夜勤")+COUNTIF('3月'!S10:T10,"三軒茶屋－夜勤")+COUNTIF('3月'!X10:Y10,"三軒茶屋－夜勤")+COUNTIF('3月'!AC10:AD10,"三軒茶屋－夜勤")+COUNTIF('3月'!AH10:AI10,"三軒茶屋－夜勤")+COUNTIF('3月'!AM10:AN10,"三軒茶屋－夜勤")+COUNTIF('3月'!AR10:AS10,"三軒茶屋－夜勤")+COUNTIF('3月'!AW10:AX10,"三軒茶屋－夜勤")+COUNTIF('3月'!BB10:BC10,"三軒茶屋－夜勤")+COUNTIF('3月'!BG10:BH10,"三軒茶屋－夜勤")+COUNTIF('3月'!BL10:BM10,"三軒茶屋－夜勤")+COUNTIF('3月'!BQ10:BR10,"三軒茶屋－夜勤")+COUNTIF('3月'!BV10:BW10,"三軒茶屋－夜勤")+COUNTIF('3月'!CA10:CB10,"三軒茶屋－夜勤")+COUNTIF('3月'!CF10:CG10,"三軒茶屋－夜勤")+COUNTIF('3月'!CK10:CL10,"三軒茶屋－夜勤")+COUNTIF('3月'!CP10:CQ10,"三軒茶屋－夜勤")+COUNTIF('3月'!CU10:CV10,"三軒茶屋－夜勤")+COUNTIF('3月'!CZ10:DA10,"三軒茶屋－夜勤")+COUNTIF('3月'!DE10:DF10,"三軒茶屋－夜勤")+COUNTIF('3月'!DJ10:DK10,"三軒茶屋－夜勤")+COUNTIF('3月'!DO10:DP10,"三軒茶屋－夜勤")+COUNTIF('3月'!DT10:DU10,"三軒茶屋－夜勤")+COUNTIF('3月'!DY10:DZ10,"三軒茶屋－夜勤")+COUNTIF('3月'!ED10:EE10,"三軒茶屋－夜勤")+COUNTIF('3月'!EI10:EJ10,"三軒茶屋－夜勤")+COUNTIF('3月'!EN10:EO10,"三軒茶屋－夜勤")+COUNTIF('3月'!ES10:ET10,"三軒茶屋－夜勤")</f>
        <v>0</v>
      </c>
      <c r="O86" s="76">
        <f t="shared" si="30"/>
        <v>0</v>
      </c>
      <c r="P86" s="76">
        <f>COUNTIF('3月'!D10:E10,P$78)+COUNTIF('3月'!I10:J10,P$78)+COUNTIF('3月'!N10:O10,P$78)+COUNTIF('3月'!S10:T10,P$78)+COUNTIF('3月'!X10:Y10,P$78)+COUNTIF('3月'!AC10:AD10,P$78)+COUNTIF('3月'!AH10:AI10,P$78)+COUNTIF('3月'!AM10:AN10,P$78)+COUNTIF('3月'!AR10:AS10,P$78)+COUNTIF('3月'!AW10:AX10,P$78)+COUNTIF('3月'!BB10:BC10,P$78)+COUNTIF('3月'!BG10:BH10,P$78)+COUNTIF('3月'!BL10:BM10,P$78)+COUNTIF('3月'!BQ10:BR10,P$78)+COUNTIF('3月'!BV10:BW10,P$78)+COUNTIF('3月'!CA10:CB10,P$78)+COUNTIF('3月'!CF10:CG10,P$78)+COUNTIF('3月'!CK10:CL10,P$78)+COUNTIF('3月'!CP10:CQ10,P$78)+COUNTIF('3月'!CU10:CV10,P$78)+COUNTIF('3月'!CZ10:DA10,P$78)+COUNTIF('3月'!DE10:DF10,P$78)+COUNTIF('3月'!DJ10:DK10,P$78)+COUNTIF('3月'!DO10:DP10,P$78)+COUNTIF('3月'!DT10:DU10,P$78)+COUNTIF('3月'!DY10:DZ10,P$78)+COUNTIF('3月'!ED10:EE10,P$78)+COUNTIF('3月'!EI10:EJ10,P$78)+COUNTIF('3月'!EN10:EO10,P$78)+COUNTIF('3月'!ES10:ET10,P$78)+COUNTIF('3月'!D10:E10,"荻窪ー夜勤")+COUNTIF('3月'!I10:J10,"荻窪ー夜勤")+COUNTIF('3月'!N10:O10,"荻窪ー夜勤")+COUNTIF('3月'!S10:T10,"荻窪ー夜勤")+COUNTIF('3月'!X10:Y10,"荻窪ー夜勤")+COUNTIF('3月'!AC10:AD10,"荻窪ー夜勤")+COUNTIF('3月'!AH10:AI10,"荻窪ー夜勤")+COUNTIF('3月'!AM10:AN10,"荻窪ー夜勤")+COUNTIF('3月'!AR10:AS10,"荻窪ー夜勤")+COUNTIF('3月'!AW10:AX10,"荻窪ー夜勤")+COUNTIF('3月'!BB10:BC10,"荻窪ー夜勤")+COUNTIF('3月'!BG10:BH10,"荻窪ー夜勤")+COUNTIF('3月'!BL10:BM10,"荻窪ー夜勤")+COUNTIF('3月'!BQ10:BR10,"荻窪ー夜勤")+COUNTIF('3月'!BV10:BW10,"荻窪ー夜勤")+COUNTIF('3月'!CA10:CB10,"荻窪ー夜勤")+COUNTIF('3月'!CF10:CG10,"荻窪ー夜勤")+COUNTIF('3月'!CK10:CL10,"荻窪ー夜勤")+COUNTIF('3月'!CP10:CQ10,"荻窪ー夜勤")+COUNTIF('3月'!CU10:CV10,"荻窪ー夜勤")+COUNTIF('3月'!CZ10:DA10,"荻窪ー夜勤")+COUNTIF('3月'!DE10:DF10,"荻窪ー夜勤")+COUNTIF('3月'!DJ10:DK10,"荻窪ー夜勤")+COUNTIF('3月'!DO10:DP10,"荻窪ー夜勤")+COUNTIF('3月'!DT10:DU10,"荻窪ー夜勤")+COUNTIF('3月'!DY10:DZ10,"荻窪ー夜勤")+COUNTIF('3月'!ED10:EE10,"荻窪ー夜勤")+COUNTIF('3月'!EI10:EJ10,"荻窪ー夜勤")+COUNTIF('3月'!EN10:EO10,"荻窪ー夜勤")+COUNTIF('3月'!ES10:ET10,"荻窪ー夜勤")</f>
        <v>0</v>
      </c>
      <c r="Q86" s="76">
        <f t="shared" si="31"/>
        <v>0</v>
      </c>
      <c r="R86" s="76">
        <f>COUNTIF('3月'!D10:E10,R$78)+COUNTIF('3月'!I10:J10,R$78)+COUNTIF('3月'!N10:O10,R$78)+COUNTIF('3月'!S10:T10,R$78)+COUNTIF('3月'!X10:Y10,R$78)+COUNTIF('3月'!AC10:AD10,R$78)+COUNTIF('3月'!AH10:AI10,R$78)+COUNTIF('3月'!AM10:AN10,R$78)+COUNTIF('3月'!AR10:AS10,R$78)+COUNTIF('3月'!AW10:AX10,R$78)+COUNTIF('3月'!BB10:BC10,R$78)+COUNTIF('3月'!BG10:BH10,R$78)+COUNTIF('3月'!BL10:BM10,R$78)+COUNTIF('3月'!BQ10:BR10,R$78)+COUNTIF('3月'!BV10:BW10,R$78)+COUNTIF('3月'!CA10:CB10,R$78)+COUNTIF('3月'!CF10:CG10,R$78)+COUNTIF('3月'!CK10:CL10,R$78)+COUNTIF('3月'!CP10:CQ10,R$78)+COUNTIF('3月'!CU10:CV10,R$78)+COUNTIF('3月'!CZ10:DA10,R$78)+COUNTIF('3月'!DE10:DF10,R$78)+COUNTIF('3月'!DJ10:DK10,R$78)+COUNTIF('3月'!DO10:DP10,R$78)+COUNTIF('3月'!DT10:DU10,R$78)+COUNTIF('3月'!DY10:DZ10,R$78)+COUNTIF('3月'!ED10:EE10,R$78)+COUNTIF('3月'!EI10:EJ10,R$78)+COUNTIF('3月'!EN10:EO10,R$78)+COUNTIF('3月'!ES10:ET10,R$78)</f>
        <v>0</v>
      </c>
      <c r="S86" s="76">
        <f t="shared" si="32"/>
        <v>0</v>
      </c>
      <c r="T86" s="76">
        <f>COUNTIF('3月'!D10:E10,T$78)+COUNTIF('3月'!I10:J10,T$78)+COUNTIF('3月'!N10:O10,T$78)+COUNTIF('3月'!S10:T10,T$78)+COUNTIF('3月'!X10:Y10,T$78)+COUNTIF('3月'!AC10:AD10,T$78)+COUNTIF('3月'!AH10:AI10,T$78)+COUNTIF('3月'!AM10:AN10,T$78)+COUNTIF('3月'!AR10:AS10,T$78)+COUNTIF('3月'!AW10:AX10,T$78)+COUNTIF('3月'!BB10:BC10,T$78)+COUNTIF('3月'!BG10:BH10,T$78)+COUNTIF('3月'!BL10:BM10,T$78)+COUNTIF('3月'!BQ10:BR10,T$78)+COUNTIF('3月'!BV10:BW10,T$78)+COUNTIF('3月'!CA10:CB10,T$78)+COUNTIF('3月'!CF10:CG10,T$78)+COUNTIF('3月'!CK10:CL10,T$78)+COUNTIF('3月'!CP10:CQ10,T$78)+COUNTIF('3月'!CU10:CV10,T$78)+COUNTIF('3月'!CZ10:DA10,T$78)+COUNTIF('3月'!DE10:DF10,T$78)+COUNTIF('3月'!DJ10:DK10,T$78)+COUNTIF('3月'!DO10:DP10,T$78)+COUNTIF('3月'!DT10:DU10,T$78)+COUNTIF('3月'!DY10:DZ10,T$78)+COUNTIF('3月'!ED10:EE10,T$78)+COUNTIF('3月'!EI10:EJ10,T$78)+COUNTIF('3月'!EN10:EO10,T$78)+COUNTIF('3月'!ES10:ET10,T$78)</f>
        <v>0</v>
      </c>
      <c r="U86" s="76">
        <f t="shared" si="33"/>
        <v>0</v>
      </c>
      <c r="V86" s="76">
        <f>COUNTIF('3月'!D10:E10,V$78)+COUNTIF('3月'!I10:J10,V$78)+COUNTIF('3月'!N10:O10,V$78)+COUNTIF('3月'!S10:T10,V$78)+COUNTIF('3月'!X10:Y10,V$78)+COUNTIF('3月'!AC10:AD10,V$78)+COUNTIF('3月'!AH10:AI10,V$78)+COUNTIF('3月'!AM10:AN10,V$78)+COUNTIF('3月'!AR10:AS10,V$78)+COUNTIF('3月'!AW10:AX10,V$78)+COUNTIF('3月'!BB10:BC10,V$78)+COUNTIF('3月'!BG10:BH10,V$78)+COUNTIF('3月'!BL10:BM10,V$78)+COUNTIF('3月'!BQ10:BR10,V$78)+COUNTIF('3月'!BV10:BW10,V$78)+COUNTIF('3月'!CA10:CB10,V$78)+COUNTIF('3月'!CF10:CG10,V$78)+COUNTIF('3月'!CK10:CL10,V$78)+COUNTIF('3月'!CP10:CQ10,V$78)+COUNTIF('3月'!CU10:CV10,V$78)+COUNTIF('3月'!CZ10:DA10,V$78)+COUNTIF('3月'!DE10:DF10,V$78)+COUNTIF('3月'!DJ10:DK10,V$78)+COUNTIF('3月'!DO10:DP10,V$78)+COUNTIF('3月'!DT10:DU10,V$78)+COUNTIF('3月'!DY10:DZ10,V$78)+COUNTIF('3月'!ED10:EE10,V$78)+COUNTIF('3月'!EI10:EJ10,V$78)+COUNTIF('3月'!EN10:EO10,V$78)+COUNTIF('3月'!ES10:ET10,V$78)</f>
        <v>0</v>
      </c>
      <c r="W86" s="76">
        <f t="shared" si="34"/>
        <v>0</v>
      </c>
      <c r="X86" s="76">
        <f>COUNTIF('3月'!D10:E10,X$78)+COUNTIF('3月'!I10:J10,X$78)+COUNTIF('3月'!N10:O10,X$78)+COUNTIF('3月'!S10:T10,X$78)+COUNTIF('3月'!X10:Y10,X$78)+COUNTIF('3月'!AC10:AD10,X$78)+COUNTIF('3月'!AH10:AI10,X$78)+COUNTIF('3月'!AM10:AN10,X$78)+COUNTIF('3月'!AR10:AS10,X$78)+COUNTIF('3月'!AW10:AX10,X$78)+COUNTIF('3月'!BB10:BC10,X$78)+COUNTIF('3月'!BG10:BH10,X$78)+COUNTIF('3月'!BL10:BM10,X$78)+COUNTIF('3月'!BQ10:BR10,X$78)+COUNTIF('3月'!BV10:BW10,X$78)+COUNTIF('3月'!CA10:CB10,X$78)+COUNTIF('3月'!CF10:CG10,X$78)+COUNTIF('3月'!CK10:CL10,X$78)+COUNTIF('3月'!CP10:CQ10,X$78)+COUNTIF('3月'!CU10:CV10,X$78)+COUNTIF('3月'!CZ10:DA10,X$78)+COUNTIF('3月'!DE10:DF10,X$78)+COUNTIF('3月'!DJ10:DK10,X$78)+COUNTIF('3月'!DO10:DP10,X$78)+COUNTIF('3月'!DT10:DU10,X$78)+COUNTIF('3月'!DY10:DZ10,X$78)+COUNTIF('3月'!ED10:EE10,X$78)+COUNTIF('3月'!EI10:EJ10,X$78)+COUNTIF('3月'!EN10:EO10,X$78)+COUNTIF('3月'!ES10:ET10,X$78)</f>
        <v>0</v>
      </c>
      <c r="Y86" s="76">
        <f t="shared" si="35"/>
        <v>0</v>
      </c>
    </row>
    <row r="87" spans="1:25" ht="18" customHeight="1">
      <c r="A87" s="76">
        <v>8</v>
      </c>
      <c r="B87" s="76">
        <f>COUNTIF('3月'!D11:E11,B$78)+COUNTIF('3月'!I11:J11,B$78)+COUNTIF('3月'!N11:O11,B$78)+COUNTIF('3月'!S11:T11,B$78)+COUNTIF('3月'!X11:Y11,B$78)+COUNTIF('3月'!AC11:AD11,B$78)+COUNTIF('3月'!AH11:AI11,B$78)+COUNTIF('3月'!AM11:AN11,B$78)+COUNTIF('3月'!AR11:AS11,B$78)+COUNTIF('3月'!AW11:AX11,B$78)+COUNTIF('3月'!BB11:BC11,B$78)+COUNTIF('3月'!BG11:BH11,B$78)+COUNTIF('3月'!BL11:BM11,B$78)+COUNTIF('3月'!BQ11:BR11,B$78)+COUNTIF('3月'!BV11:BW11,B$78)+COUNTIF('3月'!CA11:CB11,B$78)+COUNTIF('3月'!CF11:CG11,B$78)+COUNTIF('3月'!CK11:CL11,B$78)+COUNTIF('3月'!CP11:CQ11,B$78)+COUNTIF('3月'!CU11:CV11,B$78)+COUNTIF('3月'!CZ11:DA11,B$78)+COUNTIF('3月'!DE11:DF11,B$78)+COUNTIF('3月'!DJ11:DK11,B$78)+COUNTIF('3月'!DO11:DP11,B$78)+COUNTIF('3月'!DT11:DU11,B$78)+COUNTIF('3月'!DY11:DZ11,B$78)+COUNTIF('3月'!ED11:EE11,B$78)+COUNTIF('3月'!EI11:EJ11,B$78)+COUNTIF('3月'!EN11:EO11,B$78)+COUNTIF('3月'!ES11:ET11,B$78)</f>
        <v>0</v>
      </c>
      <c r="C87" s="76">
        <f t="shared" si="24"/>
        <v>0</v>
      </c>
      <c r="D87" s="76">
        <f>COUNTIF('3月'!D11:E11,D$78)+COUNTIF('3月'!I11:J11,D$78)+COUNTIF('3月'!N11:O11,D$78)+COUNTIF('3月'!S11:T11,D$78)+COUNTIF('3月'!X11:Y11,D$78)+COUNTIF('3月'!AC11:AD11,D$78)+COUNTIF('3月'!AH11:AI11,D$78)+COUNTIF('3月'!AM11:AN11,D$78)+COUNTIF('3月'!AR11:AS11,D$78)+COUNTIF('3月'!AW11:AX11,D$78)+COUNTIF('3月'!BB11:BC11,D$78)+COUNTIF('3月'!BG11:BH11,D$78)+COUNTIF('3月'!BL11:BM11,D$78)+COUNTIF('3月'!BQ11:BR11,D$78)+COUNTIF('3月'!BV11:BW11,D$78)+COUNTIF('3月'!CA11:CB11,D$78)+COUNTIF('3月'!CF11:CG11,D$78)+COUNTIF('3月'!CK11:CL11,D$78)+COUNTIF('3月'!CP11:CQ11,D$78)+COUNTIF('3月'!CU11:CV11,D$78)+COUNTIF('3月'!CZ11:DA11,D$78)+COUNTIF('3月'!DE11:DF11,D$78)+COUNTIF('3月'!DJ11:DK11,D$78)+COUNTIF('3月'!DO11:DP11,D$78)+COUNTIF('3月'!DT11:DU11,D$78)+COUNTIF('3月'!DY11:DZ11,D$78)+COUNTIF('3月'!ED11:EE11,D$78)+COUNTIF('3月'!EI11:EJ11,D$78)+COUNTIF('3月'!EN11:EO11,D$78)+COUNTIF('3月'!ES11:ET11,D$78)</f>
        <v>0</v>
      </c>
      <c r="E87" s="76">
        <f t="shared" si="25"/>
        <v>0</v>
      </c>
      <c r="F87" s="76">
        <f>COUNTIF('3月'!D11:E11,F$78)+COUNTIF('3月'!I11:J11,F$78)+COUNTIF('3月'!N11:O11,F$78)+COUNTIF('3月'!S11:T11,F$78)+COUNTIF('3月'!X11:Y11,F$78)+COUNTIF('3月'!AC11:AD11,F$78)+COUNTIF('3月'!AH11:AI11,F$78)+COUNTIF('3月'!AM11:AN11,F$78)+COUNTIF('3月'!AR11:AS11,F$78)+COUNTIF('3月'!AW11:AX11,F$78)+COUNTIF('3月'!BB11:BC11,F$78)+COUNTIF('3月'!BG11:BH11,F$78)+COUNTIF('3月'!BL11:BM11,F$78)+COUNTIF('3月'!BQ11:BR11,F$78)+COUNTIF('3月'!BV11:BW11,F$78)+COUNTIF('3月'!CA11:CB11,F$78)+COUNTIF('3月'!CF11:CG11,F$78)+COUNTIF('3月'!CK11:CL11,F$78)+COUNTIF('3月'!CP11:CQ11,F$78)+COUNTIF('3月'!CU11:CV11,F$78)+COUNTIF('3月'!CZ11:DA11,F$78)+COUNTIF('3月'!DE11:DF11,F$78)+COUNTIF('3月'!DJ11:DK11,F$78)+COUNTIF('3月'!DO11:DP11,F$78)+COUNTIF('3月'!DT11:DU11,F$78)+COUNTIF('3月'!DY11:DZ11,F$78)+COUNTIF('3月'!ED11:EE11,F$78)+COUNTIF('3月'!EI11:EJ11,F$78)+COUNTIF('3月'!EN11:EO11,F$78)+COUNTIF('3月'!ES11:ET11,F$78)</f>
        <v>0</v>
      </c>
      <c r="G87" s="76">
        <f t="shared" si="26"/>
        <v>0</v>
      </c>
      <c r="H87" s="76">
        <f>COUNTIF('3月'!D11:E11,H$78)+COUNTIF('3月'!I11:J11,H$78)+COUNTIF('3月'!N11:O11,H$78)+COUNTIF('3月'!S11:T11,H$78)+COUNTIF('3月'!X11:Y11,H$78)+COUNTIF('3月'!AC11:AD11,H$78)+COUNTIF('3月'!AH11:AI11,H$78)+COUNTIF('3月'!AM11:AN11,H$78)+COUNTIF('3月'!AR11:AS11,H$78)+COUNTIF('3月'!AW11:AX11,H$78)+COUNTIF('3月'!BB11:BC11,H$78)+COUNTIF('3月'!BG11:BH11,H$78)+COUNTIF('3月'!BL11:BM11,H$78)+COUNTIF('3月'!BQ11:BR11,H$78)+COUNTIF('3月'!BV11:BW11,H$78)+COUNTIF('3月'!CA11:CB11,H$78)+COUNTIF('3月'!CF11:CG11,H$78)+COUNTIF('3月'!CK11:CL11,H$78)+COUNTIF('3月'!CP11:CQ11,H$78)+COUNTIF('3月'!CU11:CV11,H$78)+COUNTIF('3月'!CZ11:DA11,H$78)+COUNTIF('3月'!DE11:DF11,H$78)+COUNTIF('3月'!DJ11:DK11,H$78)+COUNTIF('3月'!DO11:DP11,H$78)+COUNTIF('3月'!DT11:DU11,H$78)+COUNTIF('3月'!DY11:DZ11,H$78)+COUNTIF('3月'!ED11:EE11,H$78)+COUNTIF('3月'!EI11:EJ11,H$78)+COUNTIF('3月'!EN11:EO11,H$78)+COUNTIF('3月'!ES11:ET11,H$78)+COUNTIF('3月'!D11:E11,"渋谷-夜勤")+COUNTIF('3月'!I11:J11,"渋谷-夜勤")+COUNTIF('3月'!N11:O11,"渋谷-夜勤")+COUNTIF('3月'!S11:T11,"渋谷-夜勤")+COUNTIF('3月'!X11:Y11,"渋谷-夜勤")+COUNTIF('3月'!AC11:AD11,"渋谷-夜勤")+COUNTIF('3月'!AH11:AI11,"渋谷-夜勤")+COUNTIF('3月'!AM11:AN11,"渋谷-夜勤")+COUNTIF('3月'!AR11:AS11,"渋谷-夜勤")+COUNTIF('3月'!AW11:AX11,"渋谷-夜勤")+COUNTIF('3月'!BB11:BC11,"渋谷-夜勤")+COUNTIF('3月'!BG11:BH11,"渋谷-夜勤")+COUNTIF('3月'!BL11:BM11,"渋谷-夜勤")+COUNTIF('3月'!BQ11:BR11,"渋谷-夜勤")+COUNTIF('3月'!BV11:BW11,"渋谷-夜勤")+COUNTIF('3月'!CA11:CB11,"渋谷-夜勤")+COUNTIF('3月'!CF11:CG11,"渋谷-夜勤")+COUNTIF('3月'!CK11:CL11,"渋谷-夜勤")+COUNTIF('3月'!CP11:CQ11,"渋谷-夜勤")+COUNTIF('3月'!CU11:CV11,"渋谷-夜勤")+COUNTIF('3月'!CZ11:DA11,"渋谷-夜勤")+COUNTIF('3月'!DE11:DF11,"渋谷-夜勤")+COUNTIF('3月'!DJ11:DK11,"渋谷-夜勤")+COUNTIF('3月'!DO11:DP11,"渋谷-夜勤")+COUNTIF('3月'!DT11:DU11,"渋谷-夜勤")+COUNTIF('3月'!DY11:DZ11,"渋谷-夜勤")+COUNTIF('3月'!ED11:EE11,"渋谷-夜勤")+COUNTIF('3月'!EI11:EJ11,"渋谷-夜勤")+COUNTIF('3月'!EN11:EO11,"渋谷-夜勤")+COUNTIF('3月'!ES11:ET11,"渋谷-夜勤")</f>
        <v>0</v>
      </c>
      <c r="I87" s="76">
        <f t="shared" si="27"/>
        <v>0</v>
      </c>
      <c r="J87" s="76">
        <f>COUNTIF('3月'!D11:E11,J$78)+COUNTIF('3月'!I11:J11,J$78)+COUNTIF('3月'!N11:O11,J$78)+COUNTIF('3月'!S11:T11,J$78)+COUNTIF('3月'!X11:Y11,J$78)+COUNTIF('3月'!AC11:AD11,J$78)+COUNTIF('3月'!AH11:AI11,J$78)+COUNTIF('3月'!AM11:AN11,J$78)+COUNTIF('3月'!AR11:AS11,J$78)+COUNTIF('3月'!AW11:AX11,J$78)+COUNTIF('3月'!BB11:BC11,J$78)+COUNTIF('3月'!BG11:BH11,J$78)+COUNTIF('3月'!BL11:BM11,J$78)+COUNTIF('3月'!BQ11:BR11,J$78)+COUNTIF('3月'!BV11:BW11,J$78)+COUNTIF('3月'!CA11:CB11,J$78)+COUNTIF('3月'!CF11:CG11,J$78)+COUNTIF('3月'!CK11:CL11,J$78)+COUNTIF('3月'!CP11:CQ11,J$78)+COUNTIF('3月'!CU11:CV11,J$78)+COUNTIF('3月'!CZ11:DA11,J$78)+COUNTIF('3月'!DE11:DF11,J$78)+COUNTIF('3月'!DJ11:DK11,J$78)+COUNTIF('3月'!DO11:DP11,J$78)+COUNTIF('3月'!DT11:DU11,J$78)+COUNTIF('3月'!DY11:DZ11,J$78)+COUNTIF('3月'!ED11:EE11,J$78)+COUNTIF('3月'!EI11:EJ11,J$78)+COUNTIF('3月'!EN11:EO11,J$78)+COUNTIF('3月'!ES11:ET11,J$78)+COUNTIF('3月'!D11:E11,"六本木-夜勤")+COUNTIF('3月'!I11:J11,"六本木-夜勤")+COUNTIF('3月'!N11:O11,"六本木-夜勤")+COUNTIF('3月'!S11:T11,"六本木-夜勤")+COUNTIF('3月'!X11:Y11,"六本木-夜勤")+COUNTIF('3月'!AC11:AD11,"六本木-夜勤")+COUNTIF('3月'!AH11:AI11,"六本木-夜勤")+COUNTIF('3月'!AM11:AN11,"六本木-夜勤")+COUNTIF('3月'!AR11:AS11,"六本木-夜勤")+COUNTIF('3月'!AW11:AX11,"六本木-夜勤")+COUNTIF('3月'!BB11:BC11,"六本木-夜勤")+COUNTIF('3月'!BG11:BH11,"六本木-夜勤")+COUNTIF('3月'!BL11:BM11,"六本木-夜勤")+COUNTIF('3月'!BQ11:BR11,"六本木-夜勤")+COUNTIF('3月'!BV11:BW11,"六本木-夜勤")+COUNTIF('3月'!CA11:CB11,"六本木-夜勤")+COUNTIF('3月'!CF11:CG11,"六本木-夜勤")+COUNTIF('3月'!CK11:CL11,"六本木-夜勤")+COUNTIF('3月'!CP11:CQ11,"六本木-夜勤")+COUNTIF('3月'!CU11:CV11,"六本木-夜勤")+COUNTIF('3月'!CZ11:DA11,"六本木-夜勤")+COUNTIF('3月'!DE11:DF11,"六本木-夜勤")+COUNTIF('3月'!DJ11:DK11,"六本木-夜勤")+COUNTIF('3月'!DO11:DP11,"六本木-夜勤")+COUNTIF('3月'!DT11:DU11,"六本木-夜勤")+COUNTIF('3月'!DY11:DZ11,"六本木-夜勤")+COUNTIF('3月'!ED11:EE11,"六本木-夜勤")+COUNTIF('3月'!EI11:EJ11,"六本木-夜勤")+COUNTIF('3月'!EN11:EO11,"六本木-夜勤")+COUNTIF('3月'!ES11:ET11,"六本木-夜勤")+COUNTIF('3月'!D11:E11,"六本木ー夜勤")+COUNTIF('3月'!I11:J11,"六本木ー夜勤")+COUNTIF('3月'!N11:O11,"六本木ー夜勤")+COUNTIF('3月'!S11:T11,"六本木ー夜勤")+COUNTIF('3月'!X11:Y11,"六本木ー夜勤")+COUNTIF('3月'!AC11:AD11,"六本木ー夜勤")+COUNTIF('3月'!AH11:AI11,"六本木ー夜勤")+COUNTIF('3月'!AM11:AN11,"六本木ー夜勤")+COUNTIF('3月'!AR11:AS11,"六本木ー夜勤")+COUNTIF('3月'!AW11:AX11,"六本木ー夜勤")+COUNTIF('3月'!BB11:BC11,"六本木ー夜勤")+COUNTIF('3月'!BG11:BH11,"六本木ー夜勤")+COUNTIF('3月'!BL11:BM11,"六本木ー夜勤")+COUNTIF('3月'!BQ11:BR11,"六本木ー夜勤")+COUNTIF('3月'!BV11:BW11,"六本木ー夜勤")+COUNTIF('3月'!CA11:CB11,"六本木ー夜勤")+COUNTIF('3月'!CF11:CG11,"六本木ー夜勤")+COUNTIF('3月'!CK11:CL11,"六本木ー夜勤")+COUNTIF('3月'!CP11:CQ11,"六本木ー夜勤")+COUNTIF('3月'!CU11:CV11,"六本木ー夜勤")+COUNTIF('3月'!CZ11:DA11,"六本木ー夜勤")+COUNTIF('3月'!DE11:DF11,"六本木ー夜勤")+COUNTIF('3月'!DJ11:DK11,"六本木ー夜勤")+COUNTIF('3月'!DO11:DP11,"六本木ー夜勤")+COUNTIF('3月'!DT11:DU11,"六本木ー夜勤")+COUNTIF('3月'!DY11:DZ11,"六本木ー夜勤")+COUNTIF('3月'!ED11:EE11,"六本木ー夜勤")+COUNTIF('3月'!EI11:EJ11,"六本木ー夜勤")+COUNTIF('3月'!EN11:EO11,"六本木ー夜勤")+COUNTIF('3月'!ES11:ET11,"六本木ー夜勤")</f>
        <v>0</v>
      </c>
      <c r="K87" s="76">
        <f t="shared" si="28"/>
        <v>0</v>
      </c>
      <c r="L87" s="76">
        <f>COUNTIF('3月'!D11:E11,L$78)+COUNTIF('3月'!I11:J11,L$78)+COUNTIF('3月'!N11:O11,L$78)+COUNTIF('3月'!S11:T11,L$78)+COUNTIF('3月'!X11:Y11,L$78)+COUNTIF('3月'!AC11:AD11,L$78)+COUNTIF('3月'!AH11:AI11,L$78)+COUNTIF('3月'!AM11:AN11,L$78)+COUNTIF('3月'!AR11:AS11,L$78)+COUNTIF('3月'!AW11:AX11,L$78)+COUNTIF('3月'!BB11:BC11,L$78)+COUNTIF('3月'!BG11:BH11,L$78)+COUNTIF('3月'!BL11:BM11,L$78)+COUNTIF('3月'!BQ11:BR11,L$78)+COUNTIF('3月'!BV11:BW11,L$78)+COUNTIF('3月'!CA11:CB11,L$78)+COUNTIF('3月'!CF11:CG11,L$78)+COUNTIF('3月'!CK11:CL11,L$78)+COUNTIF('3月'!CP11:CQ11,L$78)+COUNTIF('3月'!CU11:CV11,L$78)+COUNTIF('3月'!CZ11:DA11,L$78)+COUNTIF('3月'!DE11:DF11,L$78)+COUNTIF('3月'!DJ11:DK11,L$78)+COUNTIF('3月'!DO11:DP11,L$78)+COUNTIF('3月'!DT11:DU11,L$78)+COUNTIF('3月'!DY11:DZ11,L$78)+COUNTIF('3月'!ED11:EE11,L$78)+COUNTIF('3月'!EI11:EJ11,L$78)+COUNTIF('3月'!EN11:EO11,L$78)+COUNTIF('3月'!ES11:ET11,L$78)</f>
        <v>0</v>
      </c>
      <c r="M87" s="76">
        <f t="shared" si="29"/>
        <v>0</v>
      </c>
      <c r="N87" s="76">
        <f>COUNTIF('3月'!D11:E11,N$78)+COUNTIF('3月'!I11:J11,N$78)+COUNTIF('3月'!N11:O11,N$78)+COUNTIF('3月'!S11:T11,N$78)+COUNTIF('3月'!X11:Y11,N$78)+COUNTIF('3月'!AC11:AD11,N$78)+COUNTIF('3月'!AH11:AI11,N$78)+COUNTIF('3月'!AM11:AN11,N$78)+COUNTIF('3月'!AR11:AS11,N$78)+COUNTIF('3月'!AW11:AX11,N$78)+COUNTIF('3月'!BB11:BC11,N$78)+COUNTIF('3月'!BG11:BH11,N$78)+COUNTIF('3月'!BL11:BM11,N$78)+COUNTIF('3月'!BQ11:BR11,N$78)+COUNTIF('3月'!BV11:BW11,N$78)+COUNTIF('3月'!CA11:CB11,N$78)+COUNTIF('3月'!CF11:CG11,N$78)+COUNTIF('3月'!CK11:CL11,N$78)+COUNTIF('3月'!CP11:CQ11,N$78)+COUNTIF('3月'!CU11:CV11,N$78)+COUNTIF('3月'!CZ11:DA11,N$78)+COUNTIF('3月'!DE11:DF11,N$78)+COUNTIF('3月'!DJ11:DK11,N$78)+COUNTIF('3月'!DO11:DP11,N$78)+COUNTIF('3月'!DT11:DU11,N$78)+COUNTIF('3月'!DY11:DZ11,N$78)+COUNTIF('3月'!ED11:EE11,N$78)+COUNTIF('3月'!EI11:EJ11,N$78)+COUNTIF('3月'!EN11:EO11,N$78)+COUNTIF('3月'!ES11:ET11,N$78)+COUNTIF('3月'!D11:E11,"三軒茶屋－夜勤")+COUNTIF('3月'!I11:J11,"三軒茶屋－夜勤")+COUNTIF('3月'!N11:O11,"三軒茶屋－夜勤")+COUNTIF('3月'!S11:T11,"三軒茶屋－夜勤")+COUNTIF('3月'!X11:Y11,"三軒茶屋－夜勤")+COUNTIF('3月'!AC11:AD11,"三軒茶屋－夜勤")+COUNTIF('3月'!AH11:AI11,"三軒茶屋－夜勤")+COUNTIF('3月'!AM11:AN11,"三軒茶屋－夜勤")+COUNTIF('3月'!AR11:AS11,"三軒茶屋－夜勤")+COUNTIF('3月'!AW11:AX11,"三軒茶屋－夜勤")+COUNTIF('3月'!BB11:BC11,"三軒茶屋－夜勤")+COUNTIF('3月'!BG11:BH11,"三軒茶屋－夜勤")+COUNTIF('3月'!BL11:BM11,"三軒茶屋－夜勤")+COUNTIF('3月'!BQ11:BR11,"三軒茶屋－夜勤")+COUNTIF('3月'!BV11:BW11,"三軒茶屋－夜勤")+COUNTIF('3月'!CA11:CB11,"三軒茶屋－夜勤")+COUNTIF('3月'!CF11:CG11,"三軒茶屋－夜勤")+COUNTIF('3月'!CK11:CL11,"三軒茶屋－夜勤")+COUNTIF('3月'!CP11:CQ11,"三軒茶屋－夜勤")+COUNTIF('3月'!CU11:CV11,"三軒茶屋－夜勤")+COUNTIF('3月'!CZ11:DA11,"三軒茶屋－夜勤")+COUNTIF('3月'!DE11:DF11,"三軒茶屋－夜勤")+COUNTIF('3月'!DJ11:DK11,"三軒茶屋－夜勤")+COUNTIF('3月'!DO11:DP11,"三軒茶屋－夜勤")+COUNTIF('3月'!DT11:DU11,"三軒茶屋－夜勤")+COUNTIF('3月'!DY11:DZ11,"三軒茶屋－夜勤")+COUNTIF('3月'!ED11:EE11,"三軒茶屋－夜勤")+COUNTIF('3月'!EI11:EJ11,"三軒茶屋－夜勤")+COUNTIF('3月'!EN11:EO11,"三軒茶屋－夜勤")+COUNTIF('3月'!ES11:ET11,"三軒茶屋－夜勤")</f>
        <v>0</v>
      </c>
      <c r="O87" s="76">
        <f t="shared" si="30"/>
        <v>0</v>
      </c>
      <c r="P87" s="76">
        <f>COUNTIF('3月'!D11:E11,P$78)+COUNTIF('3月'!I11:J11,P$78)+COUNTIF('3月'!N11:O11,P$78)+COUNTIF('3月'!S11:T11,P$78)+COUNTIF('3月'!X11:Y11,P$78)+COUNTIF('3月'!AC11:AD11,P$78)+COUNTIF('3月'!AH11:AI11,P$78)+COUNTIF('3月'!AM11:AN11,P$78)+COUNTIF('3月'!AR11:AS11,P$78)+COUNTIF('3月'!AW11:AX11,P$78)+COUNTIF('3月'!BB11:BC11,P$78)+COUNTIF('3月'!BG11:BH11,P$78)+COUNTIF('3月'!BL11:BM11,P$78)+COUNTIF('3月'!BQ11:BR11,P$78)+COUNTIF('3月'!BV11:BW11,P$78)+COUNTIF('3月'!CA11:CB11,P$78)+COUNTIF('3月'!CF11:CG11,P$78)+COUNTIF('3月'!CK11:CL11,P$78)+COUNTIF('3月'!CP11:CQ11,P$78)+COUNTIF('3月'!CU11:CV11,P$78)+COUNTIF('3月'!CZ11:DA11,P$78)+COUNTIF('3月'!DE11:DF11,P$78)+COUNTIF('3月'!DJ11:DK11,P$78)+COUNTIF('3月'!DO11:DP11,P$78)+COUNTIF('3月'!DT11:DU11,P$78)+COUNTIF('3月'!DY11:DZ11,P$78)+COUNTIF('3月'!ED11:EE11,P$78)+COUNTIF('3月'!EI11:EJ11,P$78)+COUNTIF('3月'!EN11:EO11,P$78)+COUNTIF('3月'!ES11:ET11,P$78)+COUNTIF('3月'!D11:E11,"荻窪ー夜勤")+COUNTIF('3月'!I11:J11,"荻窪ー夜勤")+COUNTIF('3月'!N11:O11,"荻窪ー夜勤")+COUNTIF('3月'!S11:T11,"荻窪ー夜勤")+COUNTIF('3月'!X11:Y11,"荻窪ー夜勤")+COUNTIF('3月'!AC11:AD11,"荻窪ー夜勤")+COUNTIF('3月'!AH11:AI11,"荻窪ー夜勤")+COUNTIF('3月'!AM11:AN11,"荻窪ー夜勤")+COUNTIF('3月'!AR11:AS11,"荻窪ー夜勤")+COUNTIF('3月'!AW11:AX11,"荻窪ー夜勤")+COUNTIF('3月'!BB11:BC11,"荻窪ー夜勤")+COUNTIF('3月'!BG11:BH11,"荻窪ー夜勤")+COUNTIF('3月'!BL11:BM11,"荻窪ー夜勤")+COUNTIF('3月'!BQ11:BR11,"荻窪ー夜勤")+COUNTIF('3月'!BV11:BW11,"荻窪ー夜勤")+COUNTIF('3月'!CA11:CB11,"荻窪ー夜勤")+COUNTIF('3月'!CF11:CG11,"荻窪ー夜勤")+COUNTIF('3月'!CK11:CL11,"荻窪ー夜勤")+COUNTIF('3月'!CP11:CQ11,"荻窪ー夜勤")+COUNTIF('3月'!CU11:CV11,"荻窪ー夜勤")+COUNTIF('3月'!CZ11:DA11,"荻窪ー夜勤")+COUNTIF('3月'!DE11:DF11,"荻窪ー夜勤")+COUNTIF('3月'!DJ11:DK11,"荻窪ー夜勤")+COUNTIF('3月'!DO11:DP11,"荻窪ー夜勤")+COUNTIF('3月'!DT11:DU11,"荻窪ー夜勤")+COUNTIF('3月'!DY11:DZ11,"荻窪ー夜勤")+COUNTIF('3月'!ED11:EE11,"荻窪ー夜勤")+COUNTIF('3月'!EI11:EJ11,"荻窪ー夜勤")+COUNTIF('3月'!EN11:EO11,"荻窪ー夜勤")+COUNTIF('3月'!ES11:ET11,"荻窪ー夜勤")</f>
        <v>0</v>
      </c>
      <c r="Q87" s="76">
        <f t="shared" si="31"/>
        <v>0</v>
      </c>
      <c r="R87" s="76">
        <f>COUNTIF('3月'!D11:E11,R$78)+COUNTIF('3月'!I11:J11,R$78)+COUNTIF('3月'!N11:O11,R$78)+COUNTIF('3月'!S11:T11,R$78)+COUNTIF('3月'!X11:Y11,R$78)+COUNTIF('3月'!AC11:AD11,R$78)+COUNTIF('3月'!AH11:AI11,R$78)+COUNTIF('3月'!AM11:AN11,R$78)+COUNTIF('3月'!AR11:AS11,R$78)+COUNTIF('3月'!AW11:AX11,R$78)+COUNTIF('3月'!BB11:BC11,R$78)+COUNTIF('3月'!BG11:BH11,R$78)+COUNTIF('3月'!BL11:BM11,R$78)+COUNTIF('3月'!BQ11:BR11,R$78)+COUNTIF('3月'!BV11:BW11,R$78)+COUNTIF('3月'!CA11:CB11,R$78)+COUNTIF('3月'!CF11:CG11,R$78)+COUNTIF('3月'!CK11:CL11,R$78)+COUNTIF('3月'!CP11:CQ11,R$78)+COUNTIF('3月'!CU11:CV11,R$78)+COUNTIF('3月'!CZ11:DA11,R$78)+COUNTIF('3月'!DE11:DF11,R$78)+COUNTIF('3月'!DJ11:DK11,R$78)+COUNTIF('3月'!DO11:DP11,R$78)+COUNTIF('3月'!DT11:DU11,R$78)+COUNTIF('3月'!DY11:DZ11,R$78)+COUNTIF('3月'!ED11:EE11,R$78)+COUNTIF('3月'!EI11:EJ11,R$78)+COUNTIF('3月'!EN11:EO11,R$78)+COUNTIF('3月'!ES11:ET11,R$78)</f>
        <v>0</v>
      </c>
      <c r="S87" s="76">
        <f t="shared" si="32"/>
        <v>0</v>
      </c>
      <c r="T87" s="76">
        <f>COUNTIF('3月'!D11:E11,T$78)+COUNTIF('3月'!I11:J11,T$78)+COUNTIF('3月'!N11:O11,T$78)+COUNTIF('3月'!S11:T11,T$78)+COUNTIF('3月'!X11:Y11,T$78)+COUNTIF('3月'!AC11:AD11,T$78)+COUNTIF('3月'!AH11:AI11,T$78)+COUNTIF('3月'!AM11:AN11,T$78)+COUNTIF('3月'!AR11:AS11,T$78)+COUNTIF('3月'!AW11:AX11,T$78)+COUNTIF('3月'!BB11:BC11,T$78)+COUNTIF('3月'!BG11:BH11,T$78)+COUNTIF('3月'!BL11:BM11,T$78)+COUNTIF('3月'!BQ11:BR11,T$78)+COUNTIF('3月'!BV11:BW11,T$78)+COUNTIF('3月'!CA11:CB11,T$78)+COUNTIF('3月'!CF11:CG11,T$78)+COUNTIF('3月'!CK11:CL11,T$78)+COUNTIF('3月'!CP11:CQ11,T$78)+COUNTIF('3月'!CU11:CV11,T$78)+COUNTIF('3月'!CZ11:DA11,T$78)+COUNTIF('3月'!DE11:DF11,T$78)+COUNTIF('3月'!DJ11:DK11,T$78)+COUNTIF('3月'!DO11:DP11,T$78)+COUNTIF('3月'!DT11:DU11,T$78)+COUNTIF('3月'!DY11:DZ11,T$78)+COUNTIF('3月'!ED11:EE11,T$78)+COUNTIF('3月'!EI11:EJ11,T$78)+COUNTIF('3月'!EN11:EO11,T$78)+COUNTIF('3月'!ES11:ET11,T$78)</f>
        <v>0</v>
      </c>
      <c r="U87" s="76">
        <f t="shared" si="33"/>
        <v>0</v>
      </c>
      <c r="V87" s="76">
        <f>COUNTIF('3月'!D11:E11,V$78)+COUNTIF('3月'!I11:J11,V$78)+COUNTIF('3月'!N11:O11,V$78)+COUNTIF('3月'!S11:T11,V$78)+COUNTIF('3月'!X11:Y11,V$78)+COUNTIF('3月'!AC11:AD11,V$78)+COUNTIF('3月'!AH11:AI11,V$78)+COUNTIF('3月'!AM11:AN11,V$78)+COUNTIF('3月'!AR11:AS11,V$78)+COUNTIF('3月'!AW11:AX11,V$78)+COUNTIF('3月'!BB11:BC11,V$78)+COUNTIF('3月'!BG11:BH11,V$78)+COUNTIF('3月'!BL11:BM11,V$78)+COUNTIF('3月'!BQ11:BR11,V$78)+COUNTIF('3月'!BV11:BW11,V$78)+COUNTIF('3月'!CA11:CB11,V$78)+COUNTIF('3月'!CF11:CG11,V$78)+COUNTIF('3月'!CK11:CL11,V$78)+COUNTIF('3月'!CP11:CQ11,V$78)+COUNTIF('3月'!CU11:CV11,V$78)+COUNTIF('3月'!CZ11:DA11,V$78)+COUNTIF('3月'!DE11:DF11,V$78)+COUNTIF('3月'!DJ11:DK11,V$78)+COUNTIF('3月'!DO11:DP11,V$78)+COUNTIF('3月'!DT11:DU11,V$78)+COUNTIF('3月'!DY11:DZ11,V$78)+COUNTIF('3月'!ED11:EE11,V$78)+COUNTIF('3月'!EI11:EJ11,V$78)+COUNTIF('3月'!EN11:EO11,V$78)+COUNTIF('3月'!ES11:ET11,V$78)</f>
        <v>0</v>
      </c>
      <c r="W87" s="76">
        <f t="shared" si="34"/>
        <v>0</v>
      </c>
      <c r="X87" s="76">
        <f>COUNTIF('3月'!D11:E11,X$78)+COUNTIF('3月'!I11:J11,X$78)+COUNTIF('3月'!N11:O11,X$78)+COUNTIF('3月'!S11:T11,X$78)+COUNTIF('3月'!X11:Y11,X$78)+COUNTIF('3月'!AC11:AD11,X$78)+COUNTIF('3月'!AH11:AI11,X$78)+COUNTIF('3月'!AM11:AN11,X$78)+COUNTIF('3月'!AR11:AS11,X$78)+COUNTIF('3月'!AW11:AX11,X$78)+COUNTIF('3月'!BB11:BC11,X$78)+COUNTIF('3月'!BG11:BH11,X$78)+COUNTIF('3月'!BL11:BM11,X$78)+COUNTIF('3月'!BQ11:BR11,X$78)+COUNTIF('3月'!BV11:BW11,X$78)+COUNTIF('3月'!CA11:CB11,X$78)+COUNTIF('3月'!CF11:CG11,X$78)+COUNTIF('3月'!CK11:CL11,X$78)+COUNTIF('3月'!CP11:CQ11,X$78)+COUNTIF('3月'!CU11:CV11,X$78)+COUNTIF('3月'!CZ11:DA11,X$78)+COUNTIF('3月'!DE11:DF11,X$78)+COUNTIF('3月'!DJ11:DK11,X$78)+COUNTIF('3月'!DO11:DP11,X$78)+COUNTIF('3月'!DT11:DU11,X$78)+COUNTIF('3月'!DY11:DZ11,X$78)+COUNTIF('3月'!ED11:EE11,X$78)+COUNTIF('3月'!EI11:EJ11,X$78)+COUNTIF('3月'!EN11:EO11,X$78)+COUNTIF('3月'!ES11:ET11,X$78)</f>
        <v>0</v>
      </c>
      <c r="Y87" s="76">
        <f t="shared" si="35"/>
        <v>0</v>
      </c>
    </row>
    <row r="88" spans="1:25" ht="18" customHeight="1">
      <c r="A88" s="76">
        <v>9</v>
      </c>
      <c r="B88" s="76">
        <f>COUNTIF('3月'!D12:E12,B$78)+COUNTIF('3月'!I12:J12,B$78)+COUNTIF('3月'!N12:O12,B$78)+COUNTIF('3月'!S12:T12,B$78)+COUNTIF('3月'!X12:Y12,B$78)+COUNTIF('3月'!AC12:AD12,B$78)+COUNTIF('3月'!AH12:AI12,B$78)+COUNTIF('3月'!AM12:AN12,B$78)+COUNTIF('3月'!AR12:AS12,B$78)+COUNTIF('3月'!AW12:AX12,B$78)+COUNTIF('3月'!BB12:BC12,B$78)+COUNTIF('3月'!BG12:BH12,B$78)+COUNTIF('3月'!BL12:BM12,B$78)+COUNTIF('3月'!BQ12:BR12,B$78)+COUNTIF('3月'!BV12:BW12,B$78)+COUNTIF('3月'!CA12:CB12,B$78)+COUNTIF('3月'!CF12:CG12,B$78)+COUNTIF('3月'!CK12:CL12,B$78)+COUNTIF('3月'!CP12:CQ12,B$78)+COUNTIF('3月'!CU12:CV12,B$78)+COUNTIF('3月'!CZ12:DA12,B$78)+COUNTIF('3月'!DE12:DF12,B$78)+COUNTIF('3月'!DJ12:DK12,B$78)+COUNTIF('3月'!DO12:DP12,B$78)+COUNTIF('3月'!DT12:DU12,B$78)+COUNTIF('3月'!DY12:DZ12,B$78)+COUNTIF('3月'!ED12:EE12,B$78)+COUNTIF('3月'!EI12:EJ12,B$78)+COUNTIF('3月'!EN12:EO12,B$78)+COUNTIF('3月'!ES12:ET12,B$78)</f>
        <v>0</v>
      </c>
      <c r="C88" s="76">
        <f t="shared" si="24"/>
        <v>0</v>
      </c>
      <c r="D88" s="76">
        <f>COUNTIF('3月'!D12:E12,D$78)+COUNTIF('3月'!I12:J12,D$78)+COUNTIF('3月'!N12:O12,D$78)+COUNTIF('3月'!S12:T12,D$78)+COUNTIF('3月'!X12:Y12,D$78)+COUNTIF('3月'!AC12:AD12,D$78)+COUNTIF('3月'!AH12:AI12,D$78)+COUNTIF('3月'!AM12:AN12,D$78)+COUNTIF('3月'!AR12:AS12,D$78)+COUNTIF('3月'!AW12:AX12,D$78)+COUNTIF('3月'!BB12:BC12,D$78)+COUNTIF('3月'!BG12:BH12,D$78)+COUNTIF('3月'!BL12:BM12,D$78)+COUNTIF('3月'!BQ12:BR12,D$78)+COUNTIF('3月'!BV12:BW12,D$78)+COUNTIF('3月'!CA12:CB12,D$78)+COUNTIF('3月'!CF12:CG12,D$78)+COUNTIF('3月'!CK12:CL12,D$78)+COUNTIF('3月'!CP12:CQ12,D$78)+COUNTIF('3月'!CU12:CV12,D$78)+COUNTIF('3月'!CZ12:DA12,D$78)+COUNTIF('3月'!DE12:DF12,D$78)+COUNTIF('3月'!DJ12:DK12,D$78)+COUNTIF('3月'!DO12:DP12,D$78)+COUNTIF('3月'!DT12:DU12,D$78)+COUNTIF('3月'!DY12:DZ12,D$78)+COUNTIF('3月'!ED12:EE12,D$78)+COUNTIF('3月'!EI12:EJ12,D$78)+COUNTIF('3月'!EN12:EO12,D$78)+COUNTIF('3月'!ES12:ET12,D$78)</f>
        <v>0</v>
      </c>
      <c r="E88" s="76">
        <f t="shared" si="25"/>
        <v>0</v>
      </c>
      <c r="F88" s="76">
        <f>COUNTIF('3月'!D12:E12,F$78)+COUNTIF('3月'!I12:J12,F$78)+COUNTIF('3月'!N12:O12,F$78)+COUNTIF('3月'!S12:T12,F$78)+COUNTIF('3月'!X12:Y12,F$78)+COUNTIF('3月'!AC12:AD12,F$78)+COUNTIF('3月'!AH12:AI12,F$78)+COUNTIF('3月'!AM12:AN12,F$78)+COUNTIF('3月'!AR12:AS12,F$78)+COUNTIF('3月'!AW12:AX12,F$78)+COUNTIF('3月'!BB12:BC12,F$78)+COUNTIF('3月'!BG12:BH12,F$78)+COUNTIF('3月'!BL12:BM12,F$78)+COUNTIF('3月'!BQ12:BR12,F$78)+COUNTIF('3月'!BV12:BW12,F$78)+COUNTIF('3月'!CA12:CB12,F$78)+COUNTIF('3月'!CF12:CG12,F$78)+COUNTIF('3月'!CK12:CL12,F$78)+COUNTIF('3月'!CP12:CQ12,F$78)+COUNTIF('3月'!CU12:CV12,F$78)+COUNTIF('3月'!CZ12:DA12,F$78)+COUNTIF('3月'!DE12:DF12,F$78)+COUNTIF('3月'!DJ12:DK12,F$78)+COUNTIF('3月'!DO12:DP12,F$78)+COUNTIF('3月'!DT12:DU12,F$78)+COUNTIF('3月'!DY12:DZ12,F$78)+COUNTIF('3月'!ED12:EE12,F$78)+COUNTIF('3月'!EI12:EJ12,F$78)+COUNTIF('3月'!EN12:EO12,F$78)+COUNTIF('3月'!ES12:ET12,F$78)</f>
        <v>0</v>
      </c>
      <c r="G88" s="76">
        <f t="shared" si="26"/>
        <v>0</v>
      </c>
      <c r="H88" s="76">
        <f>COUNTIF('3月'!D12:E12,H$78)+COUNTIF('3月'!I12:J12,H$78)+COUNTIF('3月'!N12:O12,H$78)+COUNTIF('3月'!S12:T12,H$78)+COUNTIF('3月'!X12:Y12,H$78)+COUNTIF('3月'!AC12:AD12,H$78)+COUNTIF('3月'!AH12:AI12,H$78)+COUNTIF('3月'!AM12:AN12,H$78)+COUNTIF('3月'!AR12:AS12,H$78)+COUNTIF('3月'!AW12:AX12,H$78)+COUNTIF('3月'!BB12:BC12,H$78)+COUNTIF('3月'!BG12:BH12,H$78)+COUNTIF('3月'!BL12:BM12,H$78)+COUNTIF('3月'!BQ12:BR12,H$78)+COUNTIF('3月'!BV12:BW12,H$78)+COUNTIF('3月'!CA12:CB12,H$78)+COUNTIF('3月'!CF12:CG12,H$78)+COUNTIF('3月'!CK12:CL12,H$78)+COUNTIF('3月'!CP12:CQ12,H$78)+COUNTIF('3月'!CU12:CV12,H$78)+COUNTIF('3月'!CZ12:DA12,H$78)+COUNTIF('3月'!DE12:DF12,H$78)+COUNTIF('3月'!DJ12:DK12,H$78)+COUNTIF('3月'!DO12:DP12,H$78)+COUNTIF('3月'!DT12:DU12,H$78)+COUNTIF('3月'!DY12:DZ12,H$78)+COUNTIF('3月'!ED12:EE12,H$78)+COUNTIF('3月'!EI12:EJ12,H$78)+COUNTIF('3月'!EN12:EO12,H$78)+COUNTIF('3月'!ES12:ET12,H$78)+COUNTIF('3月'!D12:E12,"渋谷-夜勤")+COUNTIF('3月'!I12:J12,"渋谷-夜勤")+COUNTIF('3月'!N12:O12,"渋谷-夜勤")+COUNTIF('3月'!S12:T12,"渋谷-夜勤")+COUNTIF('3月'!X12:Y12,"渋谷-夜勤")+COUNTIF('3月'!AC12:AD12,"渋谷-夜勤")+COUNTIF('3月'!AH12:AI12,"渋谷-夜勤")+COUNTIF('3月'!AM12:AN12,"渋谷-夜勤")+COUNTIF('3月'!AR12:AS12,"渋谷-夜勤")+COUNTIF('3月'!AW12:AX12,"渋谷-夜勤")+COUNTIF('3月'!BB12:BC12,"渋谷-夜勤")+COUNTIF('3月'!BG12:BH12,"渋谷-夜勤")+COUNTIF('3月'!BL12:BM12,"渋谷-夜勤")+COUNTIF('3月'!BQ12:BR12,"渋谷-夜勤")+COUNTIF('3月'!BV12:BW12,"渋谷-夜勤")+COUNTIF('3月'!CA12:CB12,"渋谷-夜勤")+COUNTIF('3月'!CF12:CG12,"渋谷-夜勤")+COUNTIF('3月'!CK12:CL12,"渋谷-夜勤")+COUNTIF('3月'!CP12:CQ12,"渋谷-夜勤")+COUNTIF('3月'!CU12:CV12,"渋谷-夜勤")+COUNTIF('3月'!CZ12:DA12,"渋谷-夜勤")+COUNTIF('3月'!DE12:DF12,"渋谷-夜勤")+COUNTIF('3月'!DJ12:DK12,"渋谷-夜勤")+COUNTIF('3月'!DO12:DP12,"渋谷-夜勤")+COUNTIF('3月'!DT12:DU12,"渋谷-夜勤")+COUNTIF('3月'!DY12:DZ12,"渋谷-夜勤")+COUNTIF('3月'!ED12:EE12,"渋谷-夜勤")+COUNTIF('3月'!EI12:EJ12,"渋谷-夜勤")+COUNTIF('3月'!EN12:EO12,"渋谷-夜勤")+COUNTIF('3月'!ES12:ET12,"渋谷-夜勤")</f>
        <v>0</v>
      </c>
      <c r="I88" s="76">
        <f t="shared" si="27"/>
        <v>0</v>
      </c>
      <c r="J88" s="76">
        <f>COUNTIF('3月'!D12:E12,J$78)+COUNTIF('3月'!I12:J12,J$78)+COUNTIF('3月'!N12:O12,J$78)+COUNTIF('3月'!S12:T12,J$78)+COUNTIF('3月'!X12:Y12,J$78)+COUNTIF('3月'!AC12:AD12,J$78)+COUNTIF('3月'!AH12:AI12,J$78)+COUNTIF('3月'!AM12:AN12,J$78)+COUNTIF('3月'!AR12:AS12,J$78)+COUNTIF('3月'!AW12:AX12,J$78)+COUNTIF('3月'!BB12:BC12,J$78)+COUNTIF('3月'!BG12:BH12,J$78)+COUNTIF('3月'!BL12:BM12,J$78)+COUNTIF('3月'!BQ12:BR12,J$78)+COUNTIF('3月'!BV12:BW12,J$78)+COUNTIF('3月'!CA12:CB12,J$78)+COUNTIF('3月'!CF12:CG12,J$78)+COUNTIF('3月'!CK12:CL12,J$78)+COUNTIF('3月'!CP12:CQ12,J$78)+COUNTIF('3月'!CU12:CV12,J$78)+COUNTIF('3月'!CZ12:DA12,J$78)+COUNTIF('3月'!DE12:DF12,J$78)+COUNTIF('3月'!DJ12:DK12,J$78)+COUNTIF('3月'!DO12:DP12,J$78)+COUNTIF('3月'!DT12:DU12,J$78)+COUNTIF('3月'!DY12:DZ12,J$78)+COUNTIF('3月'!ED12:EE12,J$78)+COUNTIF('3月'!EI12:EJ12,J$78)+COUNTIF('3月'!EN12:EO12,J$78)+COUNTIF('3月'!ES12:ET12,J$78)+COUNTIF('3月'!D12:E12,"六本木-夜勤")+COUNTIF('3月'!I12:J12,"六本木-夜勤")+COUNTIF('3月'!N12:O12,"六本木-夜勤")+COUNTIF('3月'!S12:T12,"六本木-夜勤")+COUNTIF('3月'!X12:Y12,"六本木-夜勤")+COUNTIF('3月'!AC12:AD12,"六本木-夜勤")+COUNTIF('3月'!AH12:AI12,"六本木-夜勤")+COUNTIF('3月'!AM12:AN12,"六本木-夜勤")+COUNTIF('3月'!AR12:AS12,"六本木-夜勤")+COUNTIF('3月'!AW12:AX12,"六本木-夜勤")+COUNTIF('3月'!BB12:BC12,"六本木-夜勤")+COUNTIF('3月'!BG12:BH12,"六本木-夜勤")+COUNTIF('3月'!BL12:BM12,"六本木-夜勤")+COUNTIF('3月'!BQ12:BR12,"六本木-夜勤")+COUNTIF('3月'!BV12:BW12,"六本木-夜勤")+COUNTIF('3月'!CA12:CB12,"六本木-夜勤")+COUNTIF('3月'!CF12:CG12,"六本木-夜勤")+COUNTIF('3月'!CK12:CL12,"六本木-夜勤")+COUNTIF('3月'!CP12:CQ12,"六本木-夜勤")+COUNTIF('3月'!CU12:CV12,"六本木-夜勤")+COUNTIF('3月'!CZ12:DA12,"六本木-夜勤")+COUNTIF('3月'!DE12:DF12,"六本木-夜勤")+COUNTIF('3月'!DJ12:DK12,"六本木-夜勤")+COUNTIF('3月'!DO12:DP12,"六本木-夜勤")+COUNTIF('3月'!DT12:DU12,"六本木-夜勤")+COUNTIF('3月'!DY12:DZ12,"六本木-夜勤")+COUNTIF('3月'!ED12:EE12,"六本木-夜勤")+COUNTIF('3月'!EI12:EJ12,"六本木-夜勤")+COUNTIF('3月'!EN12:EO12,"六本木-夜勤")+COUNTIF('3月'!ES12:ET12,"六本木-夜勤")+COUNTIF('3月'!D12:E12,"六本木ー夜勤")+COUNTIF('3月'!I12:J12,"六本木ー夜勤")+COUNTIF('3月'!N12:O12,"六本木ー夜勤")+COUNTIF('3月'!S12:T12,"六本木ー夜勤")+COUNTIF('3月'!X12:Y12,"六本木ー夜勤")+COUNTIF('3月'!AC12:AD12,"六本木ー夜勤")+COUNTIF('3月'!AH12:AI12,"六本木ー夜勤")+COUNTIF('3月'!AM12:AN12,"六本木ー夜勤")+COUNTIF('3月'!AR12:AS12,"六本木ー夜勤")+COUNTIF('3月'!AW12:AX12,"六本木ー夜勤")+COUNTIF('3月'!BB12:BC12,"六本木ー夜勤")+COUNTIF('3月'!BG12:BH12,"六本木ー夜勤")+COUNTIF('3月'!BL12:BM12,"六本木ー夜勤")+COUNTIF('3月'!BQ12:BR12,"六本木ー夜勤")+COUNTIF('3月'!BV12:BW12,"六本木ー夜勤")+COUNTIF('3月'!CA12:CB12,"六本木ー夜勤")+COUNTIF('3月'!CF12:CG12,"六本木ー夜勤")+COUNTIF('3月'!CK12:CL12,"六本木ー夜勤")+COUNTIF('3月'!CP12:CQ12,"六本木ー夜勤")+COUNTIF('3月'!CU12:CV12,"六本木ー夜勤")+COUNTIF('3月'!CZ12:DA12,"六本木ー夜勤")+COUNTIF('3月'!DE12:DF12,"六本木ー夜勤")+COUNTIF('3月'!DJ12:DK12,"六本木ー夜勤")+COUNTIF('3月'!DO12:DP12,"六本木ー夜勤")+COUNTIF('3月'!DT12:DU12,"六本木ー夜勤")+COUNTIF('3月'!DY12:DZ12,"六本木ー夜勤")+COUNTIF('3月'!ED12:EE12,"六本木ー夜勤")+COUNTIF('3月'!EI12:EJ12,"六本木ー夜勤")+COUNTIF('3月'!EN12:EO12,"六本木ー夜勤")+COUNTIF('3月'!ES12:ET12,"六本木ー夜勤")</f>
        <v>0</v>
      </c>
      <c r="K88" s="76">
        <f t="shared" si="28"/>
        <v>0</v>
      </c>
      <c r="L88" s="76">
        <f>COUNTIF('3月'!D12:E12,L$78)+COUNTIF('3月'!I12:J12,L$78)+COUNTIF('3月'!N12:O12,L$78)+COUNTIF('3月'!S12:T12,L$78)+COUNTIF('3月'!X12:Y12,L$78)+COUNTIF('3月'!AC12:AD12,L$78)+COUNTIF('3月'!AH12:AI12,L$78)+COUNTIF('3月'!AM12:AN12,L$78)+COUNTIF('3月'!AR12:AS12,L$78)+COUNTIF('3月'!AW12:AX12,L$78)+COUNTIF('3月'!BB12:BC12,L$78)+COUNTIF('3月'!BG12:BH12,L$78)+COUNTIF('3月'!BL12:BM12,L$78)+COUNTIF('3月'!BQ12:BR12,L$78)+COUNTIF('3月'!BV12:BW12,L$78)+COUNTIF('3月'!CA12:CB12,L$78)+COUNTIF('3月'!CF12:CG12,L$78)+COUNTIF('3月'!CK12:CL12,L$78)+COUNTIF('3月'!CP12:CQ12,L$78)+COUNTIF('3月'!CU12:CV12,L$78)+COUNTIF('3月'!CZ12:DA12,L$78)+COUNTIF('3月'!DE12:DF12,L$78)+COUNTIF('3月'!DJ12:DK12,L$78)+COUNTIF('3月'!DO12:DP12,L$78)+COUNTIF('3月'!DT12:DU12,L$78)+COUNTIF('3月'!DY12:DZ12,L$78)+COUNTIF('3月'!ED12:EE12,L$78)+COUNTIF('3月'!EI12:EJ12,L$78)+COUNTIF('3月'!EN12:EO12,L$78)+COUNTIF('3月'!ES12:ET12,L$78)</f>
        <v>0</v>
      </c>
      <c r="M88" s="76">
        <f t="shared" si="29"/>
        <v>0</v>
      </c>
      <c r="N88" s="76">
        <f>COUNTIF('3月'!D12:E12,N$78)+COUNTIF('3月'!I12:J12,N$78)+COUNTIF('3月'!N12:O12,N$78)+COUNTIF('3月'!S12:T12,N$78)+COUNTIF('3月'!X12:Y12,N$78)+COUNTIF('3月'!AC12:AD12,N$78)+COUNTIF('3月'!AH12:AI12,N$78)+COUNTIF('3月'!AM12:AN12,N$78)+COUNTIF('3月'!AR12:AS12,N$78)+COUNTIF('3月'!AW12:AX12,N$78)+COUNTIF('3月'!BB12:BC12,N$78)+COUNTIF('3月'!BG12:BH12,N$78)+COUNTIF('3月'!BL12:BM12,N$78)+COUNTIF('3月'!BQ12:BR12,N$78)+COUNTIF('3月'!BV12:BW12,N$78)+COUNTIF('3月'!CA12:CB12,N$78)+COUNTIF('3月'!CF12:CG12,N$78)+COUNTIF('3月'!CK12:CL12,N$78)+COUNTIF('3月'!CP12:CQ12,N$78)+COUNTIF('3月'!CU12:CV12,N$78)+COUNTIF('3月'!CZ12:DA12,N$78)+COUNTIF('3月'!DE12:DF12,N$78)+COUNTIF('3月'!DJ12:DK12,N$78)+COUNTIF('3月'!DO12:DP12,N$78)+COUNTIF('3月'!DT12:DU12,N$78)+COUNTIF('3月'!DY12:DZ12,N$78)+COUNTIF('3月'!ED12:EE12,N$78)+COUNTIF('3月'!EI12:EJ12,N$78)+COUNTIF('3月'!EN12:EO12,N$78)+COUNTIF('3月'!ES12:ET12,N$78)+COUNTIF('3月'!D12:E12,"三軒茶屋－夜勤")+COUNTIF('3月'!I12:J12,"三軒茶屋－夜勤")+COUNTIF('3月'!N12:O12,"三軒茶屋－夜勤")+COUNTIF('3月'!S12:T12,"三軒茶屋－夜勤")+COUNTIF('3月'!X12:Y12,"三軒茶屋－夜勤")+COUNTIF('3月'!AC12:AD12,"三軒茶屋－夜勤")+COUNTIF('3月'!AH12:AI12,"三軒茶屋－夜勤")+COUNTIF('3月'!AM12:AN12,"三軒茶屋－夜勤")+COUNTIF('3月'!AR12:AS12,"三軒茶屋－夜勤")+COUNTIF('3月'!AW12:AX12,"三軒茶屋－夜勤")+COUNTIF('3月'!BB12:BC12,"三軒茶屋－夜勤")+COUNTIF('3月'!BG12:BH12,"三軒茶屋－夜勤")+COUNTIF('3月'!BL12:BM12,"三軒茶屋－夜勤")+COUNTIF('3月'!BQ12:BR12,"三軒茶屋－夜勤")+COUNTIF('3月'!BV12:BW12,"三軒茶屋－夜勤")+COUNTIF('3月'!CA12:CB12,"三軒茶屋－夜勤")+COUNTIF('3月'!CF12:CG12,"三軒茶屋－夜勤")+COUNTIF('3月'!CK12:CL12,"三軒茶屋－夜勤")+COUNTIF('3月'!CP12:CQ12,"三軒茶屋－夜勤")+COUNTIF('3月'!CU12:CV12,"三軒茶屋－夜勤")+COUNTIF('3月'!CZ12:DA12,"三軒茶屋－夜勤")+COUNTIF('3月'!DE12:DF12,"三軒茶屋－夜勤")+COUNTIF('3月'!DJ12:DK12,"三軒茶屋－夜勤")+COUNTIF('3月'!DO12:DP12,"三軒茶屋－夜勤")+COUNTIF('3月'!DT12:DU12,"三軒茶屋－夜勤")+COUNTIF('3月'!DY12:DZ12,"三軒茶屋－夜勤")+COUNTIF('3月'!ED12:EE12,"三軒茶屋－夜勤")+COUNTIF('3月'!EI12:EJ12,"三軒茶屋－夜勤")+COUNTIF('3月'!EN12:EO12,"三軒茶屋－夜勤")+COUNTIF('3月'!ES12:ET12,"三軒茶屋－夜勤")</f>
        <v>0</v>
      </c>
      <c r="O88" s="76">
        <f t="shared" si="30"/>
        <v>0</v>
      </c>
      <c r="P88" s="76">
        <f>COUNTIF('3月'!D12:E12,P$78)+COUNTIF('3月'!I12:J12,P$78)+COUNTIF('3月'!N12:O12,P$78)+COUNTIF('3月'!S12:T12,P$78)+COUNTIF('3月'!X12:Y12,P$78)+COUNTIF('3月'!AC12:AD12,P$78)+COUNTIF('3月'!AH12:AI12,P$78)+COUNTIF('3月'!AM12:AN12,P$78)+COUNTIF('3月'!AR12:AS12,P$78)+COUNTIF('3月'!AW12:AX12,P$78)+COUNTIF('3月'!BB12:BC12,P$78)+COUNTIF('3月'!BG12:BH12,P$78)+COUNTIF('3月'!BL12:BM12,P$78)+COUNTIF('3月'!BQ12:BR12,P$78)+COUNTIF('3月'!BV12:BW12,P$78)+COUNTIF('3月'!CA12:CB12,P$78)+COUNTIF('3月'!CF12:CG12,P$78)+COUNTIF('3月'!CK12:CL12,P$78)+COUNTIF('3月'!CP12:CQ12,P$78)+COUNTIF('3月'!CU12:CV12,P$78)+COUNTIF('3月'!CZ12:DA12,P$78)+COUNTIF('3月'!DE12:DF12,P$78)+COUNTIF('3月'!DJ12:DK12,P$78)+COUNTIF('3月'!DO12:DP12,P$78)+COUNTIF('3月'!DT12:DU12,P$78)+COUNTIF('3月'!DY12:DZ12,P$78)+COUNTIF('3月'!ED12:EE12,P$78)+COUNTIF('3月'!EI12:EJ12,P$78)+COUNTIF('3月'!EN12:EO12,P$78)+COUNTIF('3月'!ES12:ET12,P$78)+COUNTIF('3月'!D12:E12,"荻窪ー夜勤")+COUNTIF('3月'!I12:J12,"荻窪ー夜勤")+COUNTIF('3月'!N12:O12,"荻窪ー夜勤")+COUNTIF('3月'!S12:T12,"荻窪ー夜勤")+COUNTIF('3月'!X12:Y12,"荻窪ー夜勤")+COUNTIF('3月'!AC12:AD12,"荻窪ー夜勤")+COUNTIF('3月'!AH12:AI12,"荻窪ー夜勤")+COUNTIF('3月'!AM12:AN12,"荻窪ー夜勤")+COUNTIF('3月'!AR12:AS12,"荻窪ー夜勤")+COUNTIF('3月'!AW12:AX12,"荻窪ー夜勤")+COUNTIF('3月'!BB12:BC12,"荻窪ー夜勤")+COUNTIF('3月'!BG12:BH12,"荻窪ー夜勤")+COUNTIF('3月'!BL12:BM12,"荻窪ー夜勤")+COUNTIF('3月'!BQ12:BR12,"荻窪ー夜勤")+COUNTIF('3月'!BV12:BW12,"荻窪ー夜勤")+COUNTIF('3月'!CA12:CB12,"荻窪ー夜勤")+COUNTIF('3月'!CF12:CG12,"荻窪ー夜勤")+COUNTIF('3月'!CK12:CL12,"荻窪ー夜勤")+COUNTIF('3月'!CP12:CQ12,"荻窪ー夜勤")+COUNTIF('3月'!CU12:CV12,"荻窪ー夜勤")+COUNTIF('3月'!CZ12:DA12,"荻窪ー夜勤")+COUNTIF('3月'!DE12:DF12,"荻窪ー夜勤")+COUNTIF('3月'!DJ12:DK12,"荻窪ー夜勤")+COUNTIF('3月'!DO12:DP12,"荻窪ー夜勤")+COUNTIF('3月'!DT12:DU12,"荻窪ー夜勤")+COUNTIF('3月'!DY12:DZ12,"荻窪ー夜勤")+COUNTIF('3月'!ED12:EE12,"荻窪ー夜勤")+COUNTIF('3月'!EI12:EJ12,"荻窪ー夜勤")+COUNTIF('3月'!EN12:EO12,"荻窪ー夜勤")+COUNTIF('3月'!ES12:ET12,"荻窪ー夜勤")</f>
        <v>0</v>
      </c>
      <c r="Q88" s="76">
        <f t="shared" si="31"/>
        <v>0</v>
      </c>
      <c r="R88" s="76">
        <f>COUNTIF('3月'!D12:E12,R$78)+COUNTIF('3月'!I12:J12,R$78)+COUNTIF('3月'!N12:O12,R$78)+COUNTIF('3月'!S12:T12,R$78)+COUNTIF('3月'!X12:Y12,R$78)+COUNTIF('3月'!AC12:AD12,R$78)+COUNTIF('3月'!AH12:AI12,R$78)+COUNTIF('3月'!AM12:AN12,R$78)+COUNTIF('3月'!AR12:AS12,R$78)+COUNTIF('3月'!AW12:AX12,R$78)+COUNTIF('3月'!BB12:BC12,R$78)+COUNTIF('3月'!BG12:BH12,R$78)+COUNTIF('3月'!BL12:BM12,R$78)+COUNTIF('3月'!BQ12:BR12,R$78)+COUNTIF('3月'!BV12:BW12,R$78)+COUNTIF('3月'!CA12:CB12,R$78)+COUNTIF('3月'!CF12:CG12,R$78)+COUNTIF('3月'!CK12:CL12,R$78)+COUNTIF('3月'!CP12:CQ12,R$78)+COUNTIF('3月'!CU12:CV12,R$78)+COUNTIF('3月'!CZ12:DA12,R$78)+COUNTIF('3月'!DE12:DF12,R$78)+COUNTIF('3月'!DJ12:DK12,R$78)+COUNTIF('3月'!DO12:DP12,R$78)+COUNTIF('3月'!DT12:DU12,R$78)+COUNTIF('3月'!DY12:DZ12,R$78)+COUNTIF('3月'!ED12:EE12,R$78)+COUNTIF('3月'!EI12:EJ12,R$78)+COUNTIF('3月'!EN12:EO12,R$78)+COUNTIF('3月'!ES12:ET12,R$78)</f>
        <v>0</v>
      </c>
      <c r="S88" s="76">
        <f t="shared" si="32"/>
        <v>0</v>
      </c>
      <c r="T88" s="76">
        <f>COUNTIF('3月'!D12:E12,T$78)+COUNTIF('3月'!I12:J12,T$78)+COUNTIF('3月'!N12:O12,T$78)+COUNTIF('3月'!S12:T12,T$78)+COUNTIF('3月'!X12:Y12,T$78)+COUNTIF('3月'!AC12:AD12,T$78)+COUNTIF('3月'!AH12:AI12,T$78)+COUNTIF('3月'!AM12:AN12,T$78)+COUNTIF('3月'!AR12:AS12,T$78)+COUNTIF('3月'!AW12:AX12,T$78)+COUNTIF('3月'!BB12:BC12,T$78)+COUNTIF('3月'!BG12:BH12,T$78)+COUNTIF('3月'!BL12:BM12,T$78)+COUNTIF('3月'!BQ12:BR12,T$78)+COUNTIF('3月'!BV12:BW12,T$78)+COUNTIF('3月'!CA12:CB12,T$78)+COUNTIF('3月'!CF12:CG12,T$78)+COUNTIF('3月'!CK12:CL12,T$78)+COUNTIF('3月'!CP12:CQ12,T$78)+COUNTIF('3月'!CU12:CV12,T$78)+COUNTIF('3月'!CZ12:DA12,T$78)+COUNTIF('3月'!DE12:DF12,T$78)+COUNTIF('3月'!DJ12:DK12,T$78)+COUNTIF('3月'!DO12:DP12,T$78)+COUNTIF('3月'!DT12:DU12,T$78)+COUNTIF('3月'!DY12:DZ12,T$78)+COUNTIF('3月'!ED12:EE12,T$78)+COUNTIF('3月'!EI12:EJ12,T$78)+COUNTIF('3月'!EN12:EO12,T$78)+COUNTIF('3月'!ES12:ET12,T$78)</f>
        <v>0</v>
      </c>
      <c r="U88" s="76">
        <f t="shared" si="33"/>
        <v>0</v>
      </c>
      <c r="V88" s="76">
        <f>COUNTIF('3月'!D12:E12,V$78)+COUNTIF('3月'!I12:J12,V$78)+COUNTIF('3月'!N12:O12,V$78)+COUNTIF('3月'!S12:T12,V$78)+COUNTIF('3月'!X12:Y12,V$78)+COUNTIF('3月'!AC12:AD12,V$78)+COUNTIF('3月'!AH12:AI12,V$78)+COUNTIF('3月'!AM12:AN12,V$78)+COUNTIF('3月'!AR12:AS12,V$78)+COUNTIF('3月'!AW12:AX12,V$78)+COUNTIF('3月'!BB12:BC12,V$78)+COUNTIF('3月'!BG12:BH12,V$78)+COUNTIF('3月'!BL12:BM12,V$78)+COUNTIF('3月'!BQ12:BR12,V$78)+COUNTIF('3月'!BV12:BW12,V$78)+COUNTIF('3月'!CA12:CB12,V$78)+COUNTIF('3月'!CF12:CG12,V$78)+COUNTIF('3月'!CK12:CL12,V$78)+COUNTIF('3月'!CP12:CQ12,V$78)+COUNTIF('3月'!CU12:CV12,V$78)+COUNTIF('3月'!CZ12:DA12,V$78)+COUNTIF('3月'!DE12:DF12,V$78)+COUNTIF('3月'!DJ12:DK12,V$78)+COUNTIF('3月'!DO12:DP12,V$78)+COUNTIF('3月'!DT12:DU12,V$78)+COUNTIF('3月'!DY12:DZ12,V$78)+COUNTIF('3月'!ED12:EE12,V$78)+COUNTIF('3月'!EI12:EJ12,V$78)+COUNTIF('3月'!EN12:EO12,V$78)+COUNTIF('3月'!ES12:ET12,V$78)</f>
        <v>0</v>
      </c>
      <c r="W88" s="76">
        <f t="shared" si="34"/>
        <v>0</v>
      </c>
      <c r="X88" s="76">
        <f>COUNTIF('3月'!D12:E12,X$78)+COUNTIF('3月'!I12:J12,X$78)+COUNTIF('3月'!N12:O12,X$78)+COUNTIF('3月'!S12:T12,X$78)+COUNTIF('3月'!X12:Y12,X$78)+COUNTIF('3月'!AC12:AD12,X$78)+COUNTIF('3月'!AH12:AI12,X$78)+COUNTIF('3月'!AM12:AN12,X$78)+COUNTIF('3月'!AR12:AS12,X$78)+COUNTIF('3月'!AW12:AX12,X$78)+COUNTIF('3月'!BB12:BC12,X$78)+COUNTIF('3月'!BG12:BH12,X$78)+COUNTIF('3月'!BL12:BM12,X$78)+COUNTIF('3月'!BQ12:BR12,X$78)+COUNTIF('3月'!BV12:BW12,X$78)+COUNTIF('3月'!CA12:CB12,X$78)+COUNTIF('3月'!CF12:CG12,X$78)+COUNTIF('3月'!CK12:CL12,X$78)+COUNTIF('3月'!CP12:CQ12,X$78)+COUNTIF('3月'!CU12:CV12,X$78)+COUNTIF('3月'!CZ12:DA12,X$78)+COUNTIF('3月'!DE12:DF12,X$78)+COUNTIF('3月'!DJ12:DK12,X$78)+COUNTIF('3月'!DO12:DP12,X$78)+COUNTIF('3月'!DT12:DU12,X$78)+COUNTIF('3月'!DY12:DZ12,X$78)+COUNTIF('3月'!ED12:EE12,X$78)+COUNTIF('3月'!EI12:EJ12,X$78)+COUNTIF('3月'!EN12:EO12,X$78)+COUNTIF('3月'!ES12:ET12,X$78)</f>
        <v>0</v>
      </c>
      <c r="Y88" s="76">
        <f t="shared" si="35"/>
        <v>0</v>
      </c>
    </row>
    <row r="89" spans="1:25" ht="18" customHeight="1">
      <c r="A89" s="76">
        <v>10</v>
      </c>
      <c r="B89" s="76">
        <f>COUNTIF('3月'!D13:E13,B$78)+COUNTIF('3月'!I13:J13,B$78)+COUNTIF('3月'!N13:O13,B$78)+COUNTIF('3月'!S13:T13,B$78)+COUNTIF('3月'!X13:Y13,B$78)+COUNTIF('3月'!AC13:AD13,B$78)+COUNTIF('3月'!AH13:AI13,B$78)+COUNTIF('3月'!AM13:AN13,B$78)+COUNTIF('3月'!AR13:AS13,B$78)+COUNTIF('3月'!AW13:AX13,B$78)+COUNTIF('3月'!BB13:BC13,B$78)+COUNTIF('3月'!BG13:BH13,B$78)+COUNTIF('3月'!BL13:BM13,B$78)+COUNTIF('3月'!BQ13:BR13,B$78)+COUNTIF('3月'!BV13:BW13,B$78)+COUNTIF('3月'!CA13:CB13,B$78)+COUNTIF('3月'!CF13:CG13,B$78)+COUNTIF('3月'!CK13:CL13,B$78)+COUNTIF('3月'!CP13:CQ13,B$78)+COUNTIF('3月'!CU13:CV13,B$78)+COUNTIF('3月'!CZ13:DA13,B$78)+COUNTIF('3月'!DE13:DF13,B$78)+COUNTIF('3月'!DJ13:DK13,B$78)+COUNTIF('3月'!DO13:DP13,B$78)+COUNTIF('3月'!DT13:DU13,B$78)+COUNTIF('3月'!DY13:DZ13,B$78)+COUNTIF('3月'!ED13:EE13,B$78)+COUNTIF('3月'!EI13:EJ13,B$78)+COUNTIF('3月'!EN13:EO13,B$78)+COUNTIF('3月'!ES13:ET13,B$78)</f>
        <v>0</v>
      </c>
      <c r="C89" s="76">
        <f t="shared" si="24"/>
        <v>0</v>
      </c>
      <c r="D89" s="76">
        <f>COUNTIF('3月'!D13:E13,D$78)+COUNTIF('3月'!I13:J13,D$78)+COUNTIF('3月'!N13:O13,D$78)+COUNTIF('3月'!S13:T13,D$78)+COUNTIF('3月'!X13:Y13,D$78)+COUNTIF('3月'!AC13:AD13,D$78)+COUNTIF('3月'!AH13:AI13,D$78)+COUNTIF('3月'!AM13:AN13,D$78)+COUNTIF('3月'!AR13:AS13,D$78)+COUNTIF('3月'!AW13:AX13,D$78)+COUNTIF('3月'!BB13:BC13,D$78)+COUNTIF('3月'!BG13:BH13,D$78)+COUNTIF('3月'!BL13:BM13,D$78)+COUNTIF('3月'!BQ13:BR13,D$78)+COUNTIF('3月'!BV13:BW13,D$78)+COUNTIF('3月'!CA13:CB13,D$78)+COUNTIF('3月'!CF13:CG13,D$78)+COUNTIF('3月'!CK13:CL13,D$78)+COUNTIF('3月'!CP13:CQ13,D$78)+COUNTIF('3月'!CU13:CV13,D$78)+COUNTIF('3月'!CZ13:DA13,D$78)+COUNTIF('3月'!DE13:DF13,D$78)+COUNTIF('3月'!DJ13:DK13,D$78)+COUNTIF('3月'!DO13:DP13,D$78)+COUNTIF('3月'!DT13:DU13,D$78)+COUNTIF('3月'!DY13:DZ13,D$78)+COUNTIF('3月'!ED13:EE13,D$78)+COUNTIF('3月'!EI13:EJ13,D$78)+COUNTIF('3月'!EN13:EO13,D$78)+COUNTIF('3月'!ES13:ET13,D$78)</f>
        <v>0</v>
      </c>
      <c r="E89" s="76">
        <f t="shared" si="25"/>
        <v>0</v>
      </c>
      <c r="F89" s="76">
        <f>COUNTIF('3月'!D13:E13,F$78)+COUNTIF('3月'!I13:J13,F$78)+COUNTIF('3月'!N13:O13,F$78)+COUNTIF('3月'!S13:T13,F$78)+COUNTIF('3月'!X13:Y13,F$78)+COUNTIF('3月'!AC13:AD13,F$78)+COUNTIF('3月'!AH13:AI13,F$78)+COUNTIF('3月'!AM13:AN13,F$78)+COUNTIF('3月'!AR13:AS13,F$78)+COUNTIF('3月'!AW13:AX13,F$78)+COUNTIF('3月'!BB13:BC13,F$78)+COUNTIF('3月'!BG13:BH13,F$78)+COUNTIF('3月'!BL13:BM13,F$78)+COUNTIF('3月'!BQ13:BR13,F$78)+COUNTIF('3月'!BV13:BW13,F$78)+COUNTIF('3月'!CA13:CB13,F$78)+COUNTIF('3月'!CF13:CG13,F$78)+COUNTIF('3月'!CK13:CL13,F$78)+COUNTIF('3月'!CP13:CQ13,F$78)+COUNTIF('3月'!CU13:CV13,F$78)+COUNTIF('3月'!CZ13:DA13,F$78)+COUNTIF('3月'!DE13:DF13,F$78)+COUNTIF('3月'!DJ13:DK13,F$78)+COUNTIF('3月'!DO13:DP13,F$78)+COUNTIF('3月'!DT13:DU13,F$78)+COUNTIF('3月'!DY13:DZ13,F$78)+COUNTIF('3月'!ED13:EE13,F$78)+COUNTIF('3月'!EI13:EJ13,F$78)+COUNTIF('3月'!EN13:EO13,F$78)+COUNTIF('3月'!ES13:ET13,F$78)</f>
        <v>0</v>
      </c>
      <c r="G89" s="76">
        <f t="shared" si="26"/>
        <v>0</v>
      </c>
      <c r="H89" s="76">
        <f>COUNTIF('3月'!D13:E13,H$78)+COUNTIF('3月'!I13:J13,H$78)+COUNTIF('3月'!N13:O13,H$78)+COUNTIF('3月'!S13:T13,H$78)+COUNTIF('3月'!X13:Y13,H$78)+COUNTIF('3月'!AC13:AD13,H$78)+COUNTIF('3月'!AH13:AI13,H$78)+COUNTIF('3月'!AM13:AN13,H$78)+COUNTIF('3月'!AR13:AS13,H$78)+COUNTIF('3月'!AW13:AX13,H$78)+COUNTIF('3月'!BB13:BC13,H$78)+COUNTIF('3月'!BG13:BH13,H$78)+COUNTIF('3月'!BL13:BM13,H$78)+COUNTIF('3月'!BQ13:BR13,H$78)+COUNTIF('3月'!BV13:BW13,H$78)+COUNTIF('3月'!CA13:CB13,H$78)+COUNTIF('3月'!CF13:CG13,H$78)+COUNTIF('3月'!CK13:CL13,H$78)+COUNTIF('3月'!CP13:CQ13,H$78)+COUNTIF('3月'!CU13:CV13,H$78)+COUNTIF('3月'!CZ13:DA13,H$78)+COUNTIF('3月'!DE13:DF13,H$78)+COUNTIF('3月'!DJ13:DK13,H$78)+COUNTIF('3月'!DO13:DP13,H$78)+COUNTIF('3月'!DT13:DU13,H$78)+COUNTIF('3月'!DY13:DZ13,H$78)+COUNTIF('3月'!ED13:EE13,H$78)+COUNTIF('3月'!EI13:EJ13,H$78)+COUNTIF('3月'!EN13:EO13,H$78)+COUNTIF('3月'!ES13:ET13,H$78)+COUNTIF('3月'!D13:E13,"渋谷-夜勤")+COUNTIF('3月'!I13:J13,"渋谷-夜勤")+COUNTIF('3月'!N13:O13,"渋谷-夜勤")+COUNTIF('3月'!S13:T13,"渋谷-夜勤")+COUNTIF('3月'!X13:Y13,"渋谷-夜勤")+COUNTIF('3月'!AC13:AD13,"渋谷-夜勤")+COUNTIF('3月'!AH13:AI13,"渋谷-夜勤")+COUNTIF('3月'!AM13:AN13,"渋谷-夜勤")+COUNTIF('3月'!AR13:AS13,"渋谷-夜勤")+COUNTIF('3月'!AW13:AX13,"渋谷-夜勤")+COUNTIF('3月'!BB13:BC13,"渋谷-夜勤")+COUNTIF('3月'!BG13:BH13,"渋谷-夜勤")+COUNTIF('3月'!BL13:BM13,"渋谷-夜勤")+COUNTIF('3月'!BQ13:BR13,"渋谷-夜勤")+COUNTIF('3月'!BV13:BW13,"渋谷-夜勤")+COUNTIF('3月'!CA13:CB13,"渋谷-夜勤")+COUNTIF('3月'!CF13:CG13,"渋谷-夜勤")+COUNTIF('3月'!CK13:CL13,"渋谷-夜勤")+COUNTIF('3月'!CP13:CQ13,"渋谷-夜勤")+COUNTIF('3月'!CU13:CV13,"渋谷-夜勤")+COUNTIF('3月'!CZ13:DA13,"渋谷-夜勤")+COUNTIF('3月'!DE13:DF13,"渋谷-夜勤")+COUNTIF('3月'!DJ13:DK13,"渋谷-夜勤")+COUNTIF('3月'!DO13:DP13,"渋谷-夜勤")+COUNTIF('3月'!DT13:DU13,"渋谷-夜勤")+COUNTIF('3月'!DY13:DZ13,"渋谷-夜勤")+COUNTIF('3月'!ED13:EE13,"渋谷-夜勤")+COUNTIF('3月'!EI13:EJ13,"渋谷-夜勤")+COUNTIF('3月'!EN13:EO13,"渋谷-夜勤")+COUNTIF('3月'!ES13:ET13,"渋谷-夜勤")</f>
        <v>0</v>
      </c>
      <c r="I89" s="76">
        <f t="shared" si="27"/>
        <v>0</v>
      </c>
      <c r="J89" s="76">
        <f>COUNTIF('3月'!D13:E13,J$78)+COUNTIF('3月'!I13:J13,J$78)+COUNTIF('3月'!N13:O13,J$78)+COUNTIF('3月'!S13:T13,J$78)+COUNTIF('3月'!X13:Y13,J$78)+COUNTIF('3月'!AC13:AD13,J$78)+COUNTIF('3月'!AH13:AI13,J$78)+COUNTIF('3月'!AM13:AN13,J$78)+COUNTIF('3月'!AR13:AS13,J$78)+COUNTIF('3月'!AW13:AX13,J$78)+COUNTIF('3月'!BB13:BC13,J$78)+COUNTIF('3月'!BG13:BH13,J$78)+COUNTIF('3月'!BL13:BM13,J$78)+COUNTIF('3月'!BQ13:BR13,J$78)+COUNTIF('3月'!BV13:BW13,J$78)+COUNTIF('3月'!CA13:CB13,J$78)+COUNTIF('3月'!CF13:CG13,J$78)+COUNTIF('3月'!CK13:CL13,J$78)+COUNTIF('3月'!CP13:CQ13,J$78)+COUNTIF('3月'!CU13:CV13,J$78)+COUNTIF('3月'!CZ13:DA13,J$78)+COUNTIF('3月'!DE13:DF13,J$78)+COUNTIF('3月'!DJ13:DK13,J$78)+COUNTIF('3月'!DO13:DP13,J$78)+COUNTIF('3月'!DT13:DU13,J$78)+COUNTIF('3月'!DY13:DZ13,J$78)+COUNTIF('3月'!ED13:EE13,J$78)+COUNTIF('3月'!EI13:EJ13,J$78)+COUNTIF('3月'!EN13:EO13,J$78)+COUNTIF('3月'!ES13:ET13,J$78)+COUNTIF('3月'!D13:E13,"六本木-夜勤")+COUNTIF('3月'!I13:J13,"六本木-夜勤")+COUNTIF('3月'!N13:O13,"六本木-夜勤")+COUNTIF('3月'!S13:T13,"六本木-夜勤")+COUNTIF('3月'!X13:Y13,"六本木-夜勤")+COUNTIF('3月'!AC13:AD13,"六本木-夜勤")+COUNTIF('3月'!AH13:AI13,"六本木-夜勤")+COUNTIF('3月'!AM13:AN13,"六本木-夜勤")+COUNTIF('3月'!AR13:AS13,"六本木-夜勤")+COUNTIF('3月'!AW13:AX13,"六本木-夜勤")+COUNTIF('3月'!BB13:BC13,"六本木-夜勤")+COUNTIF('3月'!BG13:BH13,"六本木-夜勤")+COUNTIF('3月'!BL13:BM13,"六本木-夜勤")+COUNTIF('3月'!BQ13:BR13,"六本木-夜勤")+COUNTIF('3月'!BV13:BW13,"六本木-夜勤")+COUNTIF('3月'!CA13:CB13,"六本木-夜勤")+COUNTIF('3月'!CF13:CG13,"六本木-夜勤")+COUNTIF('3月'!CK13:CL13,"六本木-夜勤")+COUNTIF('3月'!CP13:CQ13,"六本木-夜勤")+COUNTIF('3月'!CU13:CV13,"六本木-夜勤")+COUNTIF('3月'!CZ13:DA13,"六本木-夜勤")+COUNTIF('3月'!DE13:DF13,"六本木-夜勤")+COUNTIF('3月'!DJ13:DK13,"六本木-夜勤")+COUNTIF('3月'!DO13:DP13,"六本木-夜勤")+COUNTIF('3月'!DT13:DU13,"六本木-夜勤")+COUNTIF('3月'!DY13:DZ13,"六本木-夜勤")+COUNTIF('3月'!ED13:EE13,"六本木-夜勤")+COUNTIF('3月'!EI13:EJ13,"六本木-夜勤")+COUNTIF('3月'!EN13:EO13,"六本木-夜勤")+COUNTIF('3月'!ES13:ET13,"六本木-夜勤")+COUNTIF('3月'!D13:E13,"六本木ー夜勤")+COUNTIF('3月'!I13:J13,"六本木ー夜勤")+COUNTIF('3月'!N13:O13,"六本木ー夜勤")+COUNTIF('3月'!S13:T13,"六本木ー夜勤")+COUNTIF('3月'!X13:Y13,"六本木ー夜勤")+COUNTIF('3月'!AC13:AD13,"六本木ー夜勤")+COUNTIF('3月'!AH13:AI13,"六本木ー夜勤")+COUNTIF('3月'!AM13:AN13,"六本木ー夜勤")+COUNTIF('3月'!AR13:AS13,"六本木ー夜勤")+COUNTIF('3月'!AW13:AX13,"六本木ー夜勤")+COUNTIF('3月'!BB13:BC13,"六本木ー夜勤")+COUNTIF('3月'!BG13:BH13,"六本木ー夜勤")+COUNTIF('3月'!BL13:BM13,"六本木ー夜勤")+COUNTIF('3月'!BQ13:BR13,"六本木ー夜勤")+COUNTIF('3月'!BV13:BW13,"六本木ー夜勤")+COUNTIF('3月'!CA13:CB13,"六本木ー夜勤")+COUNTIF('3月'!CF13:CG13,"六本木ー夜勤")+COUNTIF('3月'!CK13:CL13,"六本木ー夜勤")+COUNTIF('3月'!CP13:CQ13,"六本木ー夜勤")+COUNTIF('3月'!CU13:CV13,"六本木ー夜勤")+COUNTIF('3月'!CZ13:DA13,"六本木ー夜勤")+COUNTIF('3月'!DE13:DF13,"六本木ー夜勤")+COUNTIF('3月'!DJ13:DK13,"六本木ー夜勤")+COUNTIF('3月'!DO13:DP13,"六本木ー夜勤")+COUNTIF('3月'!DT13:DU13,"六本木ー夜勤")+COUNTIF('3月'!DY13:DZ13,"六本木ー夜勤")+COUNTIF('3月'!ED13:EE13,"六本木ー夜勤")+COUNTIF('3月'!EI13:EJ13,"六本木ー夜勤")+COUNTIF('3月'!EN13:EO13,"六本木ー夜勤")+COUNTIF('3月'!ES13:ET13,"六本木ー夜勤")</f>
        <v>0</v>
      </c>
      <c r="K89" s="76">
        <f t="shared" si="28"/>
        <v>0</v>
      </c>
      <c r="L89" s="76">
        <f>COUNTIF('3月'!D13:E13,L$78)+COUNTIF('3月'!I13:J13,L$78)+COUNTIF('3月'!N13:O13,L$78)+COUNTIF('3月'!S13:T13,L$78)+COUNTIF('3月'!X13:Y13,L$78)+COUNTIF('3月'!AC13:AD13,L$78)+COUNTIF('3月'!AH13:AI13,L$78)+COUNTIF('3月'!AM13:AN13,L$78)+COUNTIF('3月'!AR13:AS13,L$78)+COUNTIF('3月'!AW13:AX13,L$78)+COUNTIF('3月'!BB13:BC13,L$78)+COUNTIF('3月'!BG13:BH13,L$78)+COUNTIF('3月'!BL13:BM13,L$78)+COUNTIF('3月'!BQ13:BR13,L$78)+COUNTIF('3月'!BV13:BW13,L$78)+COUNTIF('3月'!CA13:CB13,L$78)+COUNTIF('3月'!CF13:CG13,L$78)+COUNTIF('3月'!CK13:CL13,L$78)+COUNTIF('3月'!CP13:CQ13,L$78)+COUNTIF('3月'!CU13:CV13,L$78)+COUNTIF('3月'!CZ13:DA13,L$78)+COUNTIF('3月'!DE13:DF13,L$78)+COUNTIF('3月'!DJ13:DK13,L$78)+COUNTIF('3月'!DO13:DP13,L$78)+COUNTIF('3月'!DT13:DU13,L$78)+COUNTIF('3月'!DY13:DZ13,L$78)+COUNTIF('3月'!ED13:EE13,L$78)+COUNTIF('3月'!EI13:EJ13,L$78)+COUNTIF('3月'!EN13:EO13,L$78)+COUNTIF('3月'!ES13:ET13,L$78)</f>
        <v>0</v>
      </c>
      <c r="M89" s="76">
        <f t="shared" si="29"/>
        <v>0</v>
      </c>
      <c r="N89" s="76">
        <f>COUNTIF('3月'!D13:E13,N$78)+COUNTIF('3月'!I13:J13,N$78)+COUNTIF('3月'!N13:O13,N$78)+COUNTIF('3月'!S13:T13,N$78)+COUNTIF('3月'!X13:Y13,N$78)+COUNTIF('3月'!AC13:AD13,N$78)+COUNTIF('3月'!AH13:AI13,N$78)+COUNTIF('3月'!AM13:AN13,N$78)+COUNTIF('3月'!AR13:AS13,N$78)+COUNTIF('3月'!AW13:AX13,N$78)+COUNTIF('3月'!BB13:BC13,N$78)+COUNTIF('3月'!BG13:BH13,N$78)+COUNTIF('3月'!BL13:BM13,N$78)+COUNTIF('3月'!BQ13:BR13,N$78)+COUNTIF('3月'!BV13:BW13,N$78)+COUNTIF('3月'!CA13:CB13,N$78)+COUNTIF('3月'!CF13:CG13,N$78)+COUNTIF('3月'!CK13:CL13,N$78)+COUNTIF('3月'!CP13:CQ13,N$78)+COUNTIF('3月'!CU13:CV13,N$78)+COUNTIF('3月'!CZ13:DA13,N$78)+COUNTIF('3月'!DE13:DF13,N$78)+COUNTIF('3月'!DJ13:DK13,N$78)+COUNTIF('3月'!DO13:DP13,N$78)+COUNTIF('3月'!DT13:DU13,N$78)+COUNTIF('3月'!DY13:DZ13,N$78)+COUNTIF('3月'!ED13:EE13,N$78)+COUNTIF('3月'!EI13:EJ13,N$78)+COUNTIF('3月'!EN13:EO13,N$78)+COUNTIF('3月'!ES13:ET13,N$78)+COUNTIF('3月'!D13:E13,"三軒茶屋－夜勤")+COUNTIF('3月'!I13:J13,"三軒茶屋－夜勤")+COUNTIF('3月'!N13:O13,"三軒茶屋－夜勤")+COUNTIF('3月'!S13:T13,"三軒茶屋－夜勤")+COUNTIF('3月'!X13:Y13,"三軒茶屋－夜勤")+COUNTIF('3月'!AC13:AD13,"三軒茶屋－夜勤")+COUNTIF('3月'!AH13:AI13,"三軒茶屋－夜勤")+COUNTIF('3月'!AM13:AN13,"三軒茶屋－夜勤")+COUNTIF('3月'!AR13:AS13,"三軒茶屋－夜勤")+COUNTIF('3月'!AW13:AX13,"三軒茶屋－夜勤")+COUNTIF('3月'!BB13:BC13,"三軒茶屋－夜勤")+COUNTIF('3月'!BG13:BH13,"三軒茶屋－夜勤")+COUNTIF('3月'!BL13:BM13,"三軒茶屋－夜勤")+COUNTIF('3月'!BQ13:BR13,"三軒茶屋－夜勤")+COUNTIF('3月'!BV13:BW13,"三軒茶屋－夜勤")+COUNTIF('3月'!CA13:CB13,"三軒茶屋－夜勤")+COUNTIF('3月'!CF13:CG13,"三軒茶屋－夜勤")+COUNTIF('3月'!CK13:CL13,"三軒茶屋－夜勤")+COUNTIF('3月'!CP13:CQ13,"三軒茶屋－夜勤")+COUNTIF('3月'!CU13:CV13,"三軒茶屋－夜勤")+COUNTIF('3月'!CZ13:DA13,"三軒茶屋－夜勤")+COUNTIF('3月'!DE13:DF13,"三軒茶屋－夜勤")+COUNTIF('3月'!DJ13:DK13,"三軒茶屋－夜勤")+COUNTIF('3月'!DO13:DP13,"三軒茶屋－夜勤")+COUNTIF('3月'!DT13:DU13,"三軒茶屋－夜勤")+COUNTIF('3月'!DY13:DZ13,"三軒茶屋－夜勤")+COUNTIF('3月'!ED13:EE13,"三軒茶屋－夜勤")+COUNTIF('3月'!EI13:EJ13,"三軒茶屋－夜勤")+COUNTIF('3月'!EN13:EO13,"三軒茶屋－夜勤")+COUNTIF('3月'!ES13:ET13,"三軒茶屋－夜勤")</f>
        <v>0</v>
      </c>
      <c r="O89" s="76">
        <f t="shared" si="30"/>
        <v>0</v>
      </c>
      <c r="P89" s="76">
        <f>COUNTIF('3月'!D13:E13,P$78)+COUNTIF('3月'!I13:J13,P$78)+COUNTIF('3月'!N13:O13,P$78)+COUNTIF('3月'!S13:T13,P$78)+COUNTIF('3月'!X13:Y13,P$78)+COUNTIF('3月'!AC13:AD13,P$78)+COUNTIF('3月'!AH13:AI13,P$78)+COUNTIF('3月'!AM13:AN13,P$78)+COUNTIF('3月'!AR13:AS13,P$78)+COUNTIF('3月'!AW13:AX13,P$78)+COUNTIF('3月'!BB13:BC13,P$78)+COUNTIF('3月'!BG13:BH13,P$78)+COUNTIF('3月'!BL13:BM13,P$78)+COUNTIF('3月'!BQ13:BR13,P$78)+COUNTIF('3月'!BV13:BW13,P$78)+COUNTIF('3月'!CA13:CB13,P$78)+COUNTIF('3月'!CF13:CG13,P$78)+COUNTIF('3月'!CK13:CL13,P$78)+COUNTIF('3月'!CP13:CQ13,P$78)+COUNTIF('3月'!CU13:CV13,P$78)+COUNTIF('3月'!CZ13:DA13,P$78)+COUNTIF('3月'!DE13:DF13,P$78)+COUNTIF('3月'!DJ13:DK13,P$78)+COUNTIF('3月'!DO13:DP13,P$78)+COUNTIF('3月'!DT13:DU13,P$78)+COUNTIF('3月'!DY13:DZ13,P$78)+COUNTIF('3月'!ED13:EE13,P$78)+COUNTIF('3月'!EI13:EJ13,P$78)+COUNTIF('3月'!EN13:EO13,P$78)+COUNTIF('3月'!ES13:ET13,P$78)+COUNTIF('3月'!D13:E13,"荻窪ー夜勤")+COUNTIF('3月'!I13:J13,"荻窪ー夜勤")+COUNTIF('3月'!N13:O13,"荻窪ー夜勤")+COUNTIF('3月'!S13:T13,"荻窪ー夜勤")+COUNTIF('3月'!X13:Y13,"荻窪ー夜勤")+COUNTIF('3月'!AC13:AD13,"荻窪ー夜勤")+COUNTIF('3月'!AH13:AI13,"荻窪ー夜勤")+COUNTIF('3月'!AM13:AN13,"荻窪ー夜勤")+COUNTIF('3月'!AR13:AS13,"荻窪ー夜勤")+COUNTIF('3月'!AW13:AX13,"荻窪ー夜勤")+COUNTIF('3月'!BB13:BC13,"荻窪ー夜勤")+COUNTIF('3月'!BG13:BH13,"荻窪ー夜勤")+COUNTIF('3月'!BL13:BM13,"荻窪ー夜勤")+COUNTIF('3月'!BQ13:BR13,"荻窪ー夜勤")+COUNTIF('3月'!BV13:BW13,"荻窪ー夜勤")+COUNTIF('3月'!CA13:CB13,"荻窪ー夜勤")+COUNTIF('3月'!CF13:CG13,"荻窪ー夜勤")+COUNTIF('3月'!CK13:CL13,"荻窪ー夜勤")+COUNTIF('3月'!CP13:CQ13,"荻窪ー夜勤")+COUNTIF('3月'!CU13:CV13,"荻窪ー夜勤")+COUNTIF('3月'!CZ13:DA13,"荻窪ー夜勤")+COUNTIF('3月'!DE13:DF13,"荻窪ー夜勤")+COUNTIF('3月'!DJ13:DK13,"荻窪ー夜勤")+COUNTIF('3月'!DO13:DP13,"荻窪ー夜勤")+COUNTIF('3月'!DT13:DU13,"荻窪ー夜勤")+COUNTIF('3月'!DY13:DZ13,"荻窪ー夜勤")+COUNTIF('3月'!ED13:EE13,"荻窪ー夜勤")+COUNTIF('3月'!EI13:EJ13,"荻窪ー夜勤")+COUNTIF('3月'!EN13:EO13,"荻窪ー夜勤")+COUNTIF('3月'!ES13:ET13,"荻窪ー夜勤")</f>
        <v>0</v>
      </c>
      <c r="Q89" s="76">
        <f t="shared" si="31"/>
        <v>0</v>
      </c>
      <c r="R89" s="76">
        <f>COUNTIF('3月'!D13:E13,R$78)+COUNTIF('3月'!I13:J13,R$78)+COUNTIF('3月'!N13:O13,R$78)+COUNTIF('3月'!S13:T13,R$78)+COUNTIF('3月'!X13:Y13,R$78)+COUNTIF('3月'!AC13:AD13,R$78)+COUNTIF('3月'!AH13:AI13,R$78)+COUNTIF('3月'!AM13:AN13,R$78)+COUNTIF('3月'!AR13:AS13,R$78)+COUNTIF('3月'!AW13:AX13,R$78)+COUNTIF('3月'!BB13:BC13,R$78)+COUNTIF('3月'!BG13:BH13,R$78)+COUNTIF('3月'!BL13:BM13,R$78)+COUNTIF('3月'!BQ13:BR13,R$78)+COUNTIF('3月'!BV13:BW13,R$78)+COUNTIF('3月'!CA13:CB13,R$78)+COUNTIF('3月'!CF13:CG13,R$78)+COUNTIF('3月'!CK13:CL13,R$78)+COUNTIF('3月'!CP13:CQ13,R$78)+COUNTIF('3月'!CU13:CV13,R$78)+COUNTIF('3月'!CZ13:DA13,R$78)+COUNTIF('3月'!DE13:DF13,R$78)+COUNTIF('3月'!DJ13:DK13,R$78)+COUNTIF('3月'!DO13:DP13,R$78)+COUNTIF('3月'!DT13:DU13,R$78)+COUNTIF('3月'!DY13:DZ13,R$78)+COUNTIF('3月'!ED13:EE13,R$78)+COUNTIF('3月'!EI13:EJ13,R$78)+COUNTIF('3月'!EN13:EO13,R$78)+COUNTIF('3月'!ES13:ET13,R$78)</f>
        <v>0</v>
      </c>
      <c r="S89" s="76">
        <f t="shared" si="32"/>
        <v>0</v>
      </c>
      <c r="T89" s="76">
        <f>COUNTIF('3月'!D13:E13,T$78)+COUNTIF('3月'!I13:J13,T$78)+COUNTIF('3月'!N13:O13,T$78)+COUNTIF('3月'!S13:T13,T$78)+COUNTIF('3月'!X13:Y13,T$78)+COUNTIF('3月'!AC13:AD13,T$78)+COUNTIF('3月'!AH13:AI13,T$78)+COUNTIF('3月'!AM13:AN13,T$78)+COUNTIF('3月'!AR13:AS13,T$78)+COUNTIF('3月'!AW13:AX13,T$78)+COUNTIF('3月'!BB13:BC13,T$78)+COUNTIF('3月'!BG13:BH13,T$78)+COUNTIF('3月'!BL13:BM13,T$78)+COUNTIF('3月'!BQ13:BR13,T$78)+COUNTIF('3月'!BV13:BW13,T$78)+COUNTIF('3月'!CA13:CB13,T$78)+COUNTIF('3月'!CF13:CG13,T$78)+COUNTIF('3月'!CK13:CL13,T$78)+COUNTIF('3月'!CP13:CQ13,T$78)+COUNTIF('3月'!CU13:CV13,T$78)+COUNTIF('3月'!CZ13:DA13,T$78)+COUNTIF('3月'!DE13:DF13,T$78)+COUNTIF('3月'!DJ13:DK13,T$78)+COUNTIF('3月'!DO13:DP13,T$78)+COUNTIF('3月'!DT13:DU13,T$78)+COUNTIF('3月'!DY13:DZ13,T$78)+COUNTIF('3月'!ED13:EE13,T$78)+COUNTIF('3月'!EI13:EJ13,T$78)+COUNTIF('3月'!EN13:EO13,T$78)+COUNTIF('3月'!ES13:ET13,T$78)</f>
        <v>0</v>
      </c>
      <c r="U89" s="76">
        <f t="shared" si="33"/>
        <v>0</v>
      </c>
      <c r="V89" s="76">
        <f>COUNTIF('3月'!D13:E13,V$78)+COUNTIF('3月'!I13:J13,V$78)+COUNTIF('3月'!N13:O13,V$78)+COUNTIF('3月'!S13:T13,V$78)+COUNTIF('3月'!X13:Y13,V$78)+COUNTIF('3月'!AC13:AD13,V$78)+COUNTIF('3月'!AH13:AI13,V$78)+COUNTIF('3月'!AM13:AN13,V$78)+COUNTIF('3月'!AR13:AS13,V$78)+COUNTIF('3月'!AW13:AX13,V$78)+COUNTIF('3月'!BB13:BC13,V$78)+COUNTIF('3月'!BG13:BH13,V$78)+COUNTIF('3月'!BL13:BM13,V$78)+COUNTIF('3月'!BQ13:BR13,V$78)+COUNTIF('3月'!BV13:BW13,V$78)+COUNTIF('3月'!CA13:CB13,V$78)+COUNTIF('3月'!CF13:CG13,V$78)+COUNTIF('3月'!CK13:CL13,V$78)+COUNTIF('3月'!CP13:CQ13,V$78)+COUNTIF('3月'!CU13:CV13,V$78)+COUNTIF('3月'!CZ13:DA13,V$78)+COUNTIF('3月'!DE13:DF13,V$78)+COUNTIF('3月'!DJ13:DK13,V$78)+COUNTIF('3月'!DO13:DP13,V$78)+COUNTIF('3月'!DT13:DU13,V$78)+COUNTIF('3月'!DY13:DZ13,V$78)+COUNTIF('3月'!ED13:EE13,V$78)+COUNTIF('3月'!EI13:EJ13,V$78)+COUNTIF('3月'!EN13:EO13,V$78)+COUNTIF('3月'!ES13:ET13,V$78)</f>
        <v>0</v>
      </c>
      <c r="W89" s="76">
        <f t="shared" si="34"/>
        <v>0</v>
      </c>
      <c r="X89" s="76">
        <f>COUNTIF('3月'!D13:E13,X$78)+COUNTIF('3月'!I13:J13,X$78)+COUNTIF('3月'!N13:O13,X$78)+COUNTIF('3月'!S13:T13,X$78)+COUNTIF('3月'!X13:Y13,X$78)+COUNTIF('3月'!AC13:AD13,X$78)+COUNTIF('3月'!AH13:AI13,X$78)+COUNTIF('3月'!AM13:AN13,X$78)+COUNTIF('3月'!AR13:AS13,X$78)+COUNTIF('3月'!AW13:AX13,X$78)+COUNTIF('3月'!BB13:BC13,X$78)+COUNTIF('3月'!BG13:BH13,X$78)+COUNTIF('3月'!BL13:BM13,X$78)+COUNTIF('3月'!BQ13:BR13,X$78)+COUNTIF('3月'!BV13:BW13,X$78)+COUNTIF('3月'!CA13:CB13,X$78)+COUNTIF('3月'!CF13:CG13,X$78)+COUNTIF('3月'!CK13:CL13,X$78)+COUNTIF('3月'!CP13:CQ13,X$78)+COUNTIF('3月'!CU13:CV13,X$78)+COUNTIF('3月'!CZ13:DA13,X$78)+COUNTIF('3月'!DE13:DF13,X$78)+COUNTIF('3月'!DJ13:DK13,X$78)+COUNTIF('3月'!DO13:DP13,X$78)+COUNTIF('3月'!DT13:DU13,X$78)+COUNTIF('3月'!DY13:DZ13,X$78)+COUNTIF('3月'!ED13:EE13,X$78)+COUNTIF('3月'!EI13:EJ13,X$78)+COUNTIF('3月'!EN13:EO13,X$78)+COUNTIF('3月'!ES13:ET13,X$78)</f>
        <v>0</v>
      </c>
      <c r="Y89" s="76">
        <f t="shared" si="35"/>
        <v>0</v>
      </c>
    </row>
    <row r="90" spans="1:25" ht="18" customHeight="1">
      <c r="A90" s="76">
        <v>11</v>
      </c>
      <c r="B90" s="76">
        <f>COUNTIF('3月'!D14:E14,B$78)+COUNTIF('3月'!I14:J14,B$78)+COUNTIF('3月'!N14:O14,B$78)+COUNTIF('3月'!S14:T14,B$78)+COUNTIF('3月'!X14:Y14,B$78)+COUNTIF('3月'!AC14:AD14,B$78)+COUNTIF('3月'!AH14:AI14,B$78)+COUNTIF('3月'!AM14:AN14,B$78)+COUNTIF('3月'!AR14:AS14,B$78)+COUNTIF('3月'!AW14:AX14,B$78)+COUNTIF('3月'!BB14:BC14,B$78)+COUNTIF('3月'!BG14:BH14,B$78)+COUNTIF('3月'!BL14:BM14,B$78)+COUNTIF('3月'!BQ14:BR14,B$78)+COUNTIF('3月'!BV14:BW14,B$78)+COUNTIF('3月'!CA14:CB14,B$78)+COUNTIF('3月'!CF14:CG14,B$78)+COUNTIF('3月'!CK14:CL14,B$78)+COUNTIF('3月'!CP14:CQ14,B$78)+COUNTIF('3月'!CU14:CV14,B$78)+COUNTIF('3月'!CZ14:DA14,B$78)+COUNTIF('3月'!DE14:DF14,B$78)+COUNTIF('3月'!DJ14:DK14,B$78)+COUNTIF('3月'!DO14:DP14,B$78)+COUNTIF('3月'!DT14:DU14,B$78)+COUNTIF('3月'!DY14:DZ14,B$78)+COUNTIF('3月'!ED14:EE14,B$78)+COUNTIF('3月'!EI14:EJ14,B$78)+COUNTIF('3月'!EN14:EO14,B$78)+COUNTIF('3月'!ES14:ET14,B$78)</f>
        <v>0</v>
      </c>
      <c r="C90" s="76">
        <f t="shared" si="24"/>
        <v>0</v>
      </c>
      <c r="D90" s="76">
        <f>COUNTIF('3月'!D14:E14,D$78)+COUNTIF('3月'!I14:J14,D$78)+COUNTIF('3月'!N14:O14,D$78)+COUNTIF('3月'!S14:T14,D$78)+COUNTIF('3月'!X14:Y14,D$78)+COUNTIF('3月'!AC14:AD14,D$78)+COUNTIF('3月'!AH14:AI14,D$78)+COUNTIF('3月'!AM14:AN14,D$78)+COUNTIF('3月'!AR14:AS14,D$78)+COUNTIF('3月'!AW14:AX14,D$78)+COUNTIF('3月'!BB14:BC14,D$78)+COUNTIF('3月'!BG14:BH14,D$78)+COUNTIF('3月'!BL14:BM14,D$78)+COUNTIF('3月'!BQ14:BR14,D$78)+COUNTIF('3月'!BV14:BW14,D$78)+COUNTIF('3月'!CA14:CB14,D$78)+COUNTIF('3月'!CF14:CG14,D$78)+COUNTIF('3月'!CK14:CL14,D$78)+COUNTIF('3月'!CP14:CQ14,D$78)+COUNTIF('3月'!CU14:CV14,D$78)+COUNTIF('3月'!CZ14:DA14,D$78)+COUNTIF('3月'!DE14:DF14,D$78)+COUNTIF('3月'!DJ14:DK14,D$78)+COUNTIF('3月'!DO14:DP14,D$78)+COUNTIF('3月'!DT14:DU14,D$78)+COUNTIF('3月'!DY14:DZ14,D$78)+COUNTIF('3月'!ED14:EE14,D$78)+COUNTIF('3月'!EI14:EJ14,D$78)+COUNTIF('3月'!EN14:EO14,D$78)+COUNTIF('3月'!ES14:ET14,D$78)</f>
        <v>0</v>
      </c>
      <c r="E90" s="76">
        <f t="shared" si="25"/>
        <v>0</v>
      </c>
      <c r="F90" s="76">
        <f>COUNTIF('3月'!D14:E14,F$78)+COUNTIF('3月'!I14:J14,F$78)+COUNTIF('3月'!N14:O14,F$78)+COUNTIF('3月'!S14:T14,F$78)+COUNTIF('3月'!X14:Y14,F$78)+COUNTIF('3月'!AC14:AD14,F$78)+COUNTIF('3月'!AH14:AI14,F$78)+COUNTIF('3月'!AM14:AN14,F$78)+COUNTIF('3月'!AR14:AS14,F$78)+COUNTIF('3月'!AW14:AX14,F$78)+COUNTIF('3月'!BB14:BC14,F$78)+COUNTIF('3月'!BG14:BH14,F$78)+COUNTIF('3月'!BL14:BM14,F$78)+COUNTIF('3月'!BQ14:BR14,F$78)+COUNTIF('3月'!BV14:BW14,F$78)+COUNTIF('3月'!CA14:CB14,F$78)+COUNTIF('3月'!CF14:CG14,F$78)+COUNTIF('3月'!CK14:CL14,F$78)+COUNTIF('3月'!CP14:CQ14,F$78)+COUNTIF('3月'!CU14:CV14,F$78)+COUNTIF('3月'!CZ14:DA14,F$78)+COUNTIF('3月'!DE14:DF14,F$78)+COUNTIF('3月'!DJ14:DK14,F$78)+COUNTIF('3月'!DO14:DP14,F$78)+COUNTIF('3月'!DT14:DU14,F$78)+COUNTIF('3月'!DY14:DZ14,F$78)+COUNTIF('3月'!ED14:EE14,F$78)+COUNTIF('3月'!EI14:EJ14,F$78)+COUNTIF('3月'!EN14:EO14,F$78)+COUNTIF('3月'!ES14:ET14,F$78)</f>
        <v>0</v>
      </c>
      <c r="G90" s="76">
        <f t="shared" si="26"/>
        <v>0</v>
      </c>
      <c r="H90" s="76">
        <f>COUNTIF('3月'!D14:E14,H$78)+COUNTIF('3月'!I14:J14,H$78)+COUNTIF('3月'!N14:O14,H$78)+COUNTIF('3月'!S14:T14,H$78)+COUNTIF('3月'!X14:Y14,H$78)+COUNTIF('3月'!AC14:AD14,H$78)+COUNTIF('3月'!AH14:AI14,H$78)+COUNTIF('3月'!AM14:AN14,H$78)+COUNTIF('3月'!AR14:AS14,H$78)+COUNTIF('3月'!AW14:AX14,H$78)+COUNTIF('3月'!BB14:BC14,H$78)+COUNTIF('3月'!BG14:BH14,H$78)+COUNTIF('3月'!BL14:BM14,H$78)+COUNTIF('3月'!BQ14:BR14,H$78)+COUNTIF('3月'!BV14:BW14,H$78)+COUNTIF('3月'!CA14:CB14,H$78)+COUNTIF('3月'!CF14:CG14,H$78)+COUNTIF('3月'!CK14:CL14,H$78)+COUNTIF('3月'!CP14:CQ14,H$78)+COUNTIF('3月'!CU14:CV14,H$78)+COUNTIF('3月'!CZ14:DA14,H$78)+COUNTIF('3月'!DE14:DF14,H$78)+COUNTIF('3月'!DJ14:DK14,H$78)+COUNTIF('3月'!DO14:DP14,H$78)+COUNTIF('3月'!DT14:DU14,H$78)+COUNTIF('3月'!DY14:DZ14,H$78)+COUNTIF('3月'!ED14:EE14,H$78)+COUNTIF('3月'!EI14:EJ14,H$78)+COUNTIF('3月'!EN14:EO14,H$78)+COUNTIF('3月'!ES14:ET14,H$78)+COUNTIF('3月'!D14:E14,"渋谷-夜勤")+COUNTIF('3月'!I14:J14,"渋谷-夜勤")+COUNTIF('3月'!N14:O14,"渋谷-夜勤")+COUNTIF('3月'!S14:T14,"渋谷-夜勤")+COUNTIF('3月'!X14:Y14,"渋谷-夜勤")+COUNTIF('3月'!AC14:AD14,"渋谷-夜勤")+COUNTIF('3月'!AH14:AI14,"渋谷-夜勤")+COUNTIF('3月'!AM14:AN14,"渋谷-夜勤")+COUNTIF('3月'!AR14:AS14,"渋谷-夜勤")+COUNTIF('3月'!AW14:AX14,"渋谷-夜勤")+COUNTIF('3月'!BB14:BC14,"渋谷-夜勤")+COUNTIF('3月'!BG14:BH14,"渋谷-夜勤")+COUNTIF('3月'!BL14:BM14,"渋谷-夜勤")+COUNTIF('3月'!BQ14:BR14,"渋谷-夜勤")+COUNTIF('3月'!BV14:BW14,"渋谷-夜勤")+COUNTIF('3月'!CA14:CB14,"渋谷-夜勤")+COUNTIF('3月'!CF14:CG14,"渋谷-夜勤")+COUNTIF('3月'!CK14:CL14,"渋谷-夜勤")+COUNTIF('3月'!CP14:CQ14,"渋谷-夜勤")+COUNTIF('3月'!CU14:CV14,"渋谷-夜勤")+COUNTIF('3月'!CZ14:DA14,"渋谷-夜勤")+COUNTIF('3月'!DE14:DF14,"渋谷-夜勤")+COUNTIF('3月'!DJ14:DK14,"渋谷-夜勤")+COUNTIF('3月'!DO14:DP14,"渋谷-夜勤")+COUNTIF('3月'!DT14:DU14,"渋谷-夜勤")+COUNTIF('3月'!DY14:DZ14,"渋谷-夜勤")+COUNTIF('3月'!ED14:EE14,"渋谷-夜勤")+COUNTIF('3月'!EI14:EJ14,"渋谷-夜勤")+COUNTIF('3月'!EN14:EO14,"渋谷-夜勤")+COUNTIF('3月'!ES14:ET14,"渋谷-夜勤")</f>
        <v>0</v>
      </c>
      <c r="I90" s="76">
        <f t="shared" si="27"/>
        <v>0</v>
      </c>
      <c r="J90" s="76">
        <f>COUNTIF('3月'!D14:E14,J$78)+COUNTIF('3月'!I14:J14,J$78)+COUNTIF('3月'!N14:O14,J$78)+COUNTIF('3月'!S14:T14,J$78)+COUNTIF('3月'!X14:Y14,J$78)+COUNTIF('3月'!AC14:AD14,J$78)+COUNTIF('3月'!AH14:AI14,J$78)+COUNTIF('3月'!AM14:AN14,J$78)+COUNTIF('3月'!AR14:AS14,J$78)+COUNTIF('3月'!AW14:AX14,J$78)+COUNTIF('3月'!BB14:BC14,J$78)+COUNTIF('3月'!BG14:BH14,J$78)+COUNTIF('3月'!BL14:BM14,J$78)+COUNTIF('3月'!BQ14:BR14,J$78)+COUNTIF('3月'!BV14:BW14,J$78)+COUNTIF('3月'!CA14:CB14,J$78)+COUNTIF('3月'!CF14:CG14,J$78)+COUNTIF('3月'!CK14:CL14,J$78)+COUNTIF('3月'!CP14:CQ14,J$78)+COUNTIF('3月'!CU14:CV14,J$78)+COUNTIF('3月'!CZ14:DA14,J$78)+COUNTIF('3月'!DE14:DF14,J$78)+COUNTIF('3月'!DJ14:DK14,J$78)+COUNTIF('3月'!DO14:DP14,J$78)+COUNTIF('3月'!DT14:DU14,J$78)+COUNTIF('3月'!DY14:DZ14,J$78)+COUNTIF('3月'!ED14:EE14,J$78)+COUNTIF('3月'!EI14:EJ14,J$78)+COUNTIF('3月'!EN14:EO14,J$78)+COUNTIF('3月'!ES14:ET14,J$78)+COUNTIF('3月'!D14:E14,"六本木-夜勤")+COUNTIF('3月'!I14:J14,"六本木-夜勤")+COUNTIF('3月'!N14:O14,"六本木-夜勤")+COUNTIF('3月'!S14:T14,"六本木-夜勤")+COUNTIF('3月'!X14:Y14,"六本木-夜勤")+COUNTIF('3月'!AC14:AD14,"六本木-夜勤")+COUNTIF('3月'!AH14:AI14,"六本木-夜勤")+COUNTIF('3月'!AM14:AN14,"六本木-夜勤")+COUNTIF('3月'!AR14:AS14,"六本木-夜勤")+COUNTIF('3月'!AW14:AX14,"六本木-夜勤")+COUNTIF('3月'!BB14:BC14,"六本木-夜勤")+COUNTIF('3月'!BG14:BH14,"六本木-夜勤")+COUNTIF('3月'!BL14:BM14,"六本木-夜勤")+COUNTIF('3月'!BQ14:BR14,"六本木-夜勤")+COUNTIF('3月'!BV14:BW14,"六本木-夜勤")+COUNTIF('3月'!CA14:CB14,"六本木-夜勤")+COUNTIF('3月'!CF14:CG14,"六本木-夜勤")+COUNTIF('3月'!CK14:CL14,"六本木-夜勤")+COUNTIF('3月'!CP14:CQ14,"六本木-夜勤")+COUNTIF('3月'!CU14:CV14,"六本木-夜勤")+COUNTIF('3月'!CZ14:DA14,"六本木-夜勤")+COUNTIF('3月'!DE14:DF14,"六本木-夜勤")+COUNTIF('3月'!DJ14:DK14,"六本木-夜勤")+COUNTIF('3月'!DO14:DP14,"六本木-夜勤")+COUNTIF('3月'!DT14:DU14,"六本木-夜勤")+COUNTIF('3月'!DY14:DZ14,"六本木-夜勤")+COUNTIF('3月'!ED14:EE14,"六本木-夜勤")+COUNTIF('3月'!EI14:EJ14,"六本木-夜勤")+COUNTIF('3月'!EN14:EO14,"六本木-夜勤")+COUNTIF('3月'!ES14:ET14,"六本木-夜勤")+COUNTIF('3月'!D14:E14,"六本木ー夜勤")+COUNTIF('3月'!I14:J14,"六本木ー夜勤")+COUNTIF('3月'!N14:O14,"六本木ー夜勤")+COUNTIF('3月'!S14:T14,"六本木ー夜勤")+COUNTIF('3月'!X14:Y14,"六本木ー夜勤")+COUNTIF('3月'!AC14:AD14,"六本木ー夜勤")+COUNTIF('3月'!AH14:AI14,"六本木ー夜勤")+COUNTIF('3月'!AM14:AN14,"六本木ー夜勤")+COUNTIF('3月'!AR14:AS14,"六本木ー夜勤")+COUNTIF('3月'!AW14:AX14,"六本木ー夜勤")+COUNTIF('3月'!BB14:BC14,"六本木ー夜勤")+COUNTIF('3月'!BG14:BH14,"六本木ー夜勤")+COUNTIF('3月'!BL14:BM14,"六本木ー夜勤")+COUNTIF('3月'!BQ14:BR14,"六本木ー夜勤")+COUNTIF('3月'!BV14:BW14,"六本木ー夜勤")+COUNTIF('3月'!CA14:CB14,"六本木ー夜勤")+COUNTIF('3月'!CF14:CG14,"六本木ー夜勤")+COUNTIF('3月'!CK14:CL14,"六本木ー夜勤")+COUNTIF('3月'!CP14:CQ14,"六本木ー夜勤")+COUNTIF('3月'!CU14:CV14,"六本木ー夜勤")+COUNTIF('3月'!CZ14:DA14,"六本木ー夜勤")+COUNTIF('3月'!DE14:DF14,"六本木ー夜勤")+COUNTIF('3月'!DJ14:DK14,"六本木ー夜勤")+COUNTIF('3月'!DO14:DP14,"六本木ー夜勤")+COUNTIF('3月'!DT14:DU14,"六本木ー夜勤")+COUNTIF('3月'!DY14:DZ14,"六本木ー夜勤")+COUNTIF('3月'!ED14:EE14,"六本木ー夜勤")+COUNTIF('3月'!EI14:EJ14,"六本木ー夜勤")+COUNTIF('3月'!EN14:EO14,"六本木ー夜勤")+COUNTIF('3月'!ES14:ET14,"六本木ー夜勤")</f>
        <v>0</v>
      </c>
      <c r="K90" s="76">
        <f t="shared" si="28"/>
        <v>0</v>
      </c>
      <c r="L90" s="76">
        <f>COUNTIF('3月'!D14:E14,L$78)+COUNTIF('3月'!I14:J14,L$78)+COUNTIF('3月'!N14:O14,L$78)+COUNTIF('3月'!S14:T14,L$78)+COUNTIF('3月'!X14:Y14,L$78)+COUNTIF('3月'!AC14:AD14,L$78)+COUNTIF('3月'!AH14:AI14,L$78)+COUNTIF('3月'!AM14:AN14,L$78)+COUNTIF('3月'!AR14:AS14,L$78)+COUNTIF('3月'!AW14:AX14,L$78)+COUNTIF('3月'!BB14:BC14,L$78)+COUNTIF('3月'!BG14:BH14,L$78)+COUNTIF('3月'!BL14:BM14,L$78)+COUNTIF('3月'!BQ14:BR14,L$78)+COUNTIF('3月'!BV14:BW14,L$78)+COUNTIF('3月'!CA14:CB14,L$78)+COUNTIF('3月'!CF14:CG14,L$78)+COUNTIF('3月'!CK14:CL14,L$78)+COUNTIF('3月'!CP14:CQ14,L$78)+COUNTIF('3月'!CU14:CV14,L$78)+COUNTIF('3月'!CZ14:DA14,L$78)+COUNTIF('3月'!DE14:DF14,L$78)+COUNTIF('3月'!DJ14:DK14,L$78)+COUNTIF('3月'!DO14:DP14,L$78)+COUNTIF('3月'!DT14:DU14,L$78)+COUNTIF('3月'!DY14:DZ14,L$78)+COUNTIF('3月'!ED14:EE14,L$78)+COUNTIF('3月'!EI14:EJ14,L$78)+COUNTIF('3月'!EN14:EO14,L$78)+COUNTIF('3月'!ES14:ET14,L$78)</f>
        <v>0</v>
      </c>
      <c r="M90" s="76">
        <f t="shared" si="29"/>
        <v>0</v>
      </c>
      <c r="N90" s="76">
        <f>COUNTIF('3月'!D14:E14,N$78)+COUNTIF('3月'!I14:J14,N$78)+COUNTIF('3月'!N14:O14,N$78)+COUNTIF('3月'!S14:T14,N$78)+COUNTIF('3月'!X14:Y14,N$78)+COUNTIF('3月'!AC14:AD14,N$78)+COUNTIF('3月'!AH14:AI14,N$78)+COUNTIF('3月'!AM14:AN14,N$78)+COUNTIF('3月'!AR14:AS14,N$78)+COUNTIF('3月'!AW14:AX14,N$78)+COUNTIF('3月'!BB14:BC14,N$78)+COUNTIF('3月'!BG14:BH14,N$78)+COUNTIF('3月'!BL14:BM14,N$78)+COUNTIF('3月'!BQ14:BR14,N$78)+COUNTIF('3月'!BV14:BW14,N$78)+COUNTIF('3月'!CA14:CB14,N$78)+COUNTIF('3月'!CF14:CG14,N$78)+COUNTIF('3月'!CK14:CL14,N$78)+COUNTIF('3月'!CP14:CQ14,N$78)+COUNTIF('3月'!CU14:CV14,N$78)+COUNTIF('3月'!CZ14:DA14,N$78)+COUNTIF('3月'!DE14:DF14,N$78)+COUNTIF('3月'!DJ14:DK14,N$78)+COUNTIF('3月'!DO14:DP14,N$78)+COUNTIF('3月'!DT14:DU14,N$78)+COUNTIF('3月'!DY14:DZ14,N$78)+COUNTIF('3月'!ED14:EE14,N$78)+COUNTIF('3月'!EI14:EJ14,N$78)+COUNTIF('3月'!EN14:EO14,N$78)+COUNTIF('3月'!ES14:ET14,N$78)+COUNTIF('3月'!D14:E14,"三軒茶屋－夜勤")+COUNTIF('3月'!I14:J14,"三軒茶屋－夜勤")+COUNTIF('3月'!N14:O14,"三軒茶屋－夜勤")+COUNTIF('3月'!S14:T14,"三軒茶屋－夜勤")+COUNTIF('3月'!X14:Y14,"三軒茶屋－夜勤")+COUNTIF('3月'!AC14:AD14,"三軒茶屋－夜勤")+COUNTIF('3月'!AH14:AI14,"三軒茶屋－夜勤")+COUNTIF('3月'!AM14:AN14,"三軒茶屋－夜勤")+COUNTIF('3月'!AR14:AS14,"三軒茶屋－夜勤")+COUNTIF('3月'!AW14:AX14,"三軒茶屋－夜勤")+COUNTIF('3月'!BB14:BC14,"三軒茶屋－夜勤")+COUNTIF('3月'!BG14:BH14,"三軒茶屋－夜勤")+COUNTIF('3月'!BL14:BM14,"三軒茶屋－夜勤")+COUNTIF('3月'!BQ14:BR14,"三軒茶屋－夜勤")+COUNTIF('3月'!BV14:BW14,"三軒茶屋－夜勤")+COUNTIF('3月'!CA14:CB14,"三軒茶屋－夜勤")+COUNTIF('3月'!CF14:CG14,"三軒茶屋－夜勤")+COUNTIF('3月'!CK14:CL14,"三軒茶屋－夜勤")+COUNTIF('3月'!CP14:CQ14,"三軒茶屋－夜勤")+COUNTIF('3月'!CU14:CV14,"三軒茶屋－夜勤")+COUNTIF('3月'!CZ14:DA14,"三軒茶屋－夜勤")+COUNTIF('3月'!DE14:DF14,"三軒茶屋－夜勤")+COUNTIF('3月'!DJ14:DK14,"三軒茶屋－夜勤")+COUNTIF('3月'!DO14:DP14,"三軒茶屋－夜勤")+COUNTIF('3月'!DT14:DU14,"三軒茶屋－夜勤")+COUNTIF('3月'!DY14:DZ14,"三軒茶屋－夜勤")+COUNTIF('3月'!ED14:EE14,"三軒茶屋－夜勤")+COUNTIF('3月'!EI14:EJ14,"三軒茶屋－夜勤")+COUNTIF('3月'!EN14:EO14,"三軒茶屋－夜勤")+COUNTIF('3月'!ES14:ET14,"三軒茶屋－夜勤")</f>
        <v>0</v>
      </c>
      <c r="O90" s="76">
        <f t="shared" si="30"/>
        <v>0</v>
      </c>
      <c r="P90" s="76">
        <f>COUNTIF('3月'!D14:E14,P$78)+COUNTIF('3月'!I14:J14,P$78)+COUNTIF('3月'!N14:O14,P$78)+COUNTIF('3月'!S14:T14,P$78)+COUNTIF('3月'!X14:Y14,P$78)+COUNTIF('3月'!AC14:AD14,P$78)+COUNTIF('3月'!AH14:AI14,P$78)+COUNTIF('3月'!AM14:AN14,P$78)+COUNTIF('3月'!AR14:AS14,P$78)+COUNTIF('3月'!AW14:AX14,P$78)+COUNTIF('3月'!BB14:BC14,P$78)+COUNTIF('3月'!BG14:BH14,P$78)+COUNTIF('3月'!BL14:BM14,P$78)+COUNTIF('3月'!BQ14:BR14,P$78)+COUNTIF('3月'!BV14:BW14,P$78)+COUNTIF('3月'!CA14:CB14,P$78)+COUNTIF('3月'!CF14:CG14,P$78)+COUNTIF('3月'!CK14:CL14,P$78)+COUNTIF('3月'!CP14:CQ14,P$78)+COUNTIF('3月'!CU14:CV14,P$78)+COUNTIF('3月'!CZ14:DA14,P$78)+COUNTIF('3月'!DE14:DF14,P$78)+COUNTIF('3月'!DJ14:DK14,P$78)+COUNTIF('3月'!DO14:DP14,P$78)+COUNTIF('3月'!DT14:DU14,P$78)+COUNTIF('3月'!DY14:DZ14,P$78)+COUNTIF('3月'!ED14:EE14,P$78)+COUNTIF('3月'!EI14:EJ14,P$78)+COUNTIF('3月'!EN14:EO14,P$78)+COUNTIF('3月'!ES14:ET14,P$78)+COUNTIF('3月'!D14:E14,"荻窪ー夜勤")+COUNTIF('3月'!I14:J14,"荻窪ー夜勤")+COUNTIF('3月'!N14:O14,"荻窪ー夜勤")+COUNTIF('3月'!S14:T14,"荻窪ー夜勤")+COUNTIF('3月'!X14:Y14,"荻窪ー夜勤")+COUNTIF('3月'!AC14:AD14,"荻窪ー夜勤")+COUNTIF('3月'!AH14:AI14,"荻窪ー夜勤")+COUNTIF('3月'!AM14:AN14,"荻窪ー夜勤")+COUNTIF('3月'!AR14:AS14,"荻窪ー夜勤")+COUNTIF('3月'!AW14:AX14,"荻窪ー夜勤")+COUNTIF('3月'!BB14:BC14,"荻窪ー夜勤")+COUNTIF('3月'!BG14:BH14,"荻窪ー夜勤")+COUNTIF('3月'!BL14:BM14,"荻窪ー夜勤")+COUNTIF('3月'!BQ14:BR14,"荻窪ー夜勤")+COUNTIF('3月'!BV14:BW14,"荻窪ー夜勤")+COUNTIF('3月'!CA14:CB14,"荻窪ー夜勤")+COUNTIF('3月'!CF14:CG14,"荻窪ー夜勤")+COUNTIF('3月'!CK14:CL14,"荻窪ー夜勤")+COUNTIF('3月'!CP14:CQ14,"荻窪ー夜勤")+COUNTIF('3月'!CU14:CV14,"荻窪ー夜勤")+COUNTIF('3月'!CZ14:DA14,"荻窪ー夜勤")+COUNTIF('3月'!DE14:DF14,"荻窪ー夜勤")+COUNTIF('3月'!DJ14:DK14,"荻窪ー夜勤")+COUNTIF('3月'!DO14:DP14,"荻窪ー夜勤")+COUNTIF('3月'!DT14:DU14,"荻窪ー夜勤")+COUNTIF('3月'!DY14:DZ14,"荻窪ー夜勤")+COUNTIF('3月'!ED14:EE14,"荻窪ー夜勤")+COUNTIF('3月'!EI14:EJ14,"荻窪ー夜勤")+COUNTIF('3月'!EN14:EO14,"荻窪ー夜勤")+COUNTIF('3月'!ES14:ET14,"荻窪ー夜勤")</f>
        <v>0</v>
      </c>
      <c r="Q90" s="76">
        <f t="shared" si="31"/>
        <v>0</v>
      </c>
      <c r="R90" s="76">
        <f>COUNTIF('3月'!D14:E14,R$78)+COUNTIF('3月'!I14:J14,R$78)+COUNTIF('3月'!N14:O14,R$78)+COUNTIF('3月'!S14:T14,R$78)+COUNTIF('3月'!X14:Y14,R$78)+COUNTIF('3月'!AC14:AD14,R$78)+COUNTIF('3月'!AH14:AI14,R$78)+COUNTIF('3月'!AM14:AN14,R$78)+COUNTIF('3月'!AR14:AS14,R$78)+COUNTIF('3月'!AW14:AX14,R$78)+COUNTIF('3月'!BB14:BC14,R$78)+COUNTIF('3月'!BG14:BH14,R$78)+COUNTIF('3月'!BL14:BM14,R$78)+COUNTIF('3月'!BQ14:BR14,R$78)+COUNTIF('3月'!BV14:BW14,R$78)+COUNTIF('3月'!CA14:CB14,R$78)+COUNTIF('3月'!CF14:CG14,R$78)+COUNTIF('3月'!CK14:CL14,R$78)+COUNTIF('3月'!CP14:CQ14,R$78)+COUNTIF('3月'!CU14:CV14,R$78)+COUNTIF('3月'!CZ14:DA14,R$78)+COUNTIF('3月'!DE14:DF14,R$78)+COUNTIF('3月'!DJ14:DK14,R$78)+COUNTIF('3月'!DO14:DP14,R$78)+COUNTIF('3月'!DT14:DU14,R$78)+COUNTIF('3月'!DY14:DZ14,R$78)+COUNTIF('3月'!ED14:EE14,R$78)+COUNTIF('3月'!EI14:EJ14,R$78)+COUNTIF('3月'!EN14:EO14,R$78)+COUNTIF('3月'!ES14:ET14,R$78)</f>
        <v>0</v>
      </c>
      <c r="S90" s="76">
        <f t="shared" si="32"/>
        <v>0</v>
      </c>
      <c r="T90" s="76">
        <f>COUNTIF('3月'!D14:E14,T$78)+COUNTIF('3月'!I14:J14,T$78)+COUNTIF('3月'!N14:O14,T$78)+COUNTIF('3月'!S14:T14,T$78)+COUNTIF('3月'!X14:Y14,T$78)+COUNTIF('3月'!AC14:AD14,T$78)+COUNTIF('3月'!AH14:AI14,T$78)+COUNTIF('3月'!AM14:AN14,T$78)+COUNTIF('3月'!AR14:AS14,T$78)+COUNTIF('3月'!AW14:AX14,T$78)+COUNTIF('3月'!BB14:BC14,T$78)+COUNTIF('3月'!BG14:BH14,T$78)+COUNTIF('3月'!BL14:BM14,T$78)+COUNTIF('3月'!BQ14:BR14,T$78)+COUNTIF('3月'!BV14:BW14,T$78)+COUNTIF('3月'!CA14:CB14,T$78)+COUNTIF('3月'!CF14:CG14,T$78)+COUNTIF('3月'!CK14:CL14,T$78)+COUNTIF('3月'!CP14:CQ14,T$78)+COUNTIF('3月'!CU14:CV14,T$78)+COUNTIF('3月'!CZ14:DA14,T$78)+COUNTIF('3月'!DE14:DF14,T$78)+COUNTIF('3月'!DJ14:DK14,T$78)+COUNTIF('3月'!DO14:DP14,T$78)+COUNTIF('3月'!DT14:DU14,T$78)+COUNTIF('3月'!DY14:DZ14,T$78)+COUNTIF('3月'!ED14:EE14,T$78)+COUNTIF('3月'!EI14:EJ14,T$78)+COUNTIF('3月'!EN14:EO14,T$78)+COUNTIF('3月'!ES14:ET14,T$78)</f>
        <v>0</v>
      </c>
      <c r="U90" s="76">
        <f t="shared" si="33"/>
        <v>0</v>
      </c>
      <c r="V90" s="76">
        <f>COUNTIF('3月'!D14:E14,V$78)+COUNTIF('3月'!I14:J14,V$78)+COUNTIF('3月'!N14:O14,V$78)+COUNTIF('3月'!S14:T14,V$78)+COUNTIF('3月'!X14:Y14,V$78)+COUNTIF('3月'!AC14:AD14,V$78)+COUNTIF('3月'!AH14:AI14,V$78)+COUNTIF('3月'!AM14:AN14,V$78)+COUNTIF('3月'!AR14:AS14,V$78)+COUNTIF('3月'!AW14:AX14,V$78)+COUNTIF('3月'!BB14:BC14,V$78)+COUNTIF('3月'!BG14:BH14,V$78)+COUNTIF('3月'!BL14:BM14,V$78)+COUNTIF('3月'!BQ14:BR14,V$78)+COUNTIF('3月'!BV14:BW14,V$78)+COUNTIF('3月'!CA14:CB14,V$78)+COUNTIF('3月'!CF14:CG14,V$78)+COUNTIF('3月'!CK14:CL14,V$78)+COUNTIF('3月'!CP14:CQ14,V$78)+COUNTIF('3月'!CU14:CV14,V$78)+COUNTIF('3月'!CZ14:DA14,V$78)+COUNTIF('3月'!DE14:DF14,V$78)+COUNTIF('3月'!DJ14:DK14,V$78)+COUNTIF('3月'!DO14:DP14,V$78)+COUNTIF('3月'!DT14:DU14,V$78)+COUNTIF('3月'!DY14:DZ14,V$78)+COUNTIF('3月'!ED14:EE14,V$78)+COUNTIF('3月'!EI14:EJ14,V$78)+COUNTIF('3月'!EN14:EO14,V$78)+COUNTIF('3月'!ES14:ET14,V$78)</f>
        <v>0</v>
      </c>
      <c r="W90" s="76">
        <f t="shared" si="34"/>
        <v>0</v>
      </c>
      <c r="X90" s="76">
        <f>COUNTIF('3月'!D14:E14,X$78)+COUNTIF('3月'!I14:J14,X$78)+COUNTIF('3月'!N14:O14,X$78)+COUNTIF('3月'!S14:T14,X$78)+COUNTIF('3月'!X14:Y14,X$78)+COUNTIF('3月'!AC14:AD14,X$78)+COUNTIF('3月'!AH14:AI14,X$78)+COUNTIF('3月'!AM14:AN14,X$78)+COUNTIF('3月'!AR14:AS14,X$78)+COUNTIF('3月'!AW14:AX14,X$78)+COUNTIF('3月'!BB14:BC14,X$78)+COUNTIF('3月'!BG14:BH14,X$78)+COUNTIF('3月'!BL14:BM14,X$78)+COUNTIF('3月'!BQ14:BR14,X$78)+COUNTIF('3月'!BV14:BW14,X$78)+COUNTIF('3月'!CA14:CB14,X$78)+COUNTIF('3月'!CF14:CG14,X$78)+COUNTIF('3月'!CK14:CL14,X$78)+COUNTIF('3月'!CP14:CQ14,X$78)+COUNTIF('3月'!CU14:CV14,X$78)+COUNTIF('3月'!CZ14:DA14,X$78)+COUNTIF('3月'!DE14:DF14,X$78)+COUNTIF('3月'!DJ14:DK14,X$78)+COUNTIF('3月'!DO14:DP14,X$78)+COUNTIF('3月'!DT14:DU14,X$78)+COUNTIF('3月'!DY14:DZ14,X$78)+COUNTIF('3月'!ED14:EE14,X$78)+COUNTIF('3月'!EI14:EJ14,X$78)+COUNTIF('3月'!EN14:EO14,X$78)+COUNTIF('3月'!ES14:ET14,X$78)</f>
        <v>0</v>
      </c>
      <c r="Y90" s="76">
        <f t="shared" si="35"/>
        <v>0</v>
      </c>
    </row>
    <row r="91" spans="1:25" ht="18" customHeight="1">
      <c r="A91" s="76">
        <v>12</v>
      </c>
      <c r="B91" s="76">
        <f>COUNTIF('3月'!D15:E15,B$78)+COUNTIF('3月'!I15:J15,B$78)+COUNTIF('3月'!N15:O15,B$78)+COUNTIF('3月'!S15:T15,B$78)+COUNTIF('3月'!X15:Y15,B$78)+COUNTIF('3月'!AC15:AD15,B$78)+COUNTIF('3月'!AH15:AI15,B$78)+COUNTIF('3月'!AM15:AN15,B$78)+COUNTIF('3月'!AR15:AS15,B$78)+COUNTIF('3月'!AW15:AX15,B$78)+COUNTIF('3月'!BB15:BC15,B$78)+COUNTIF('3月'!BG15:BH15,B$78)+COUNTIF('3月'!BL15:BM15,B$78)+COUNTIF('3月'!BQ15:BR15,B$78)+COUNTIF('3月'!BV15:BW15,B$78)+COUNTIF('3月'!CA15:CB15,B$78)+COUNTIF('3月'!CF15:CG15,B$78)+COUNTIF('3月'!CK15:CL15,B$78)+COUNTIF('3月'!CP15:CQ15,B$78)+COUNTIF('3月'!CU15:CV15,B$78)+COUNTIF('3月'!CZ15:DA15,B$78)+COUNTIF('3月'!DE15:DF15,B$78)+COUNTIF('3月'!DJ15:DK15,B$78)+COUNTIF('3月'!DO15:DP15,B$78)+COUNTIF('3月'!DT15:DU15,B$78)+COUNTIF('3月'!DY15:DZ15,B$78)+COUNTIF('3月'!ED15:EE15,B$78)+COUNTIF('3月'!EI15:EJ15,B$78)+COUNTIF('3月'!EN15:EO15,B$78)+COUNTIF('3月'!ES15:ET15,B$78)</f>
        <v>0</v>
      </c>
      <c r="C91" s="76">
        <f t="shared" si="24"/>
        <v>0</v>
      </c>
      <c r="D91" s="76">
        <f>COUNTIF('3月'!D15:E15,D$78)+COUNTIF('3月'!I15:J15,D$78)+COUNTIF('3月'!N15:O15,D$78)+COUNTIF('3月'!S15:T15,D$78)+COUNTIF('3月'!X15:Y15,D$78)+COUNTIF('3月'!AC15:AD15,D$78)+COUNTIF('3月'!AH15:AI15,D$78)+COUNTIF('3月'!AM15:AN15,D$78)+COUNTIF('3月'!AR15:AS15,D$78)+COUNTIF('3月'!AW15:AX15,D$78)+COUNTIF('3月'!BB15:BC15,D$78)+COUNTIF('3月'!BG15:BH15,D$78)+COUNTIF('3月'!BL15:BM15,D$78)+COUNTIF('3月'!BQ15:BR15,D$78)+COUNTIF('3月'!BV15:BW15,D$78)+COUNTIF('3月'!CA15:CB15,D$78)+COUNTIF('3月'!CF15:CG15,D$78)+COUNTIF('3月'!CK15:CL15,D$78)+COUNTIF('3月'!CP15:CQ15,D$78)+COUNTIF('3月'!CU15:CV15,D$78)+COUNTIF('3月'!CZ15:DA15,D$78)+COUNTIF('3月'!DE15:DF15,D$78)+COUNTIF('3月'!DJ15:DK15,D$78)+COUNTIF('3月'!DO15:DP15,D$78)+COUNTIF('3月'!DT15:DU15,D$78)+COUNTIF('3月'!DY15:DZ15,D$78)+COUNTIF('3月'!ED15:EE15,D$78)+COUNTIF('3月'!EI15:EJ15,D$78)+COUNTIF('3月'!EN15:EO15,D$78)+COUNTIF('3月'!ES15:ET15,D$78)</f>
        <v>0</v>
      </c>
      <c r="E91" s="76">
        <f t="shared" si="25"/>
        <v>0</v>
      </c>
      <c r="F91" s="76">
        <f>COUNTIF('3月'!D15:E15,F$78)+COUNTIF('3月'!I15:J15,F$78)+COUNTIF('3月'!N15:O15,F$78)+COUNTIF('3月'!S15:T15,F$78)+COUNTIF('3月'!X15:Y15,F$78)+COUNTIF('3月'!AC15:AD15,F$78)+COUNTIF('3月'!AH15:AI15,F$78)+COUNTIF('3月'!AM15:AN15,F$78)+COUNTIF('3月'!AR15:AS15,F$78)+COUNTIF('3月'!AW15:AX15,F$78)+COUNTIF('3月'!BB15:BC15,F$78)+COUNTIF('3月'!BG15:BH15,F$78)+COUNTIF('3月'!BL15:BM15,F$78)+COUNTIF('3月'!BQ15:BR15,F$78)+COUNTIF('3月'!BV15:BW15,F$78)+COUNTIF('3月'!CA15:CB15,F$78)+COUNTIF('3月'!CF15:CG15,F$78)+COUNTIF('3月'!CK15:CL15,F$78)+COUNTIF('3月'!CP15:CQ15,F$78)+COUNTIF('3月'!CU15:CV15,F$78)+COUNTIF('3月'!CZ15:DA15,F$78)+COUNTIF('3月'!DE15:DF15,F$78)+COUNTIF('3月'!DJ15:DK15,F$78)+COUNTIF('3月'!DO15:DP15,F$78)+COUNTIF('3月'!DT15:DU15,F$78)+COUNTIF('3月'!DY15:DZ15,F$78)+COUNTIF('3月'!ED15:EE15,F$78)+COUNTIF('3月'!EI15:EJ15,F$78)+COUNTIF('3月'!EN15:EO15,F$78)+COUNTIF('3月'!ES15:ET15,F$78)</f>
        <v>0</v>
      </c>
      <c r="G91" s="76">
        <f t="shared" si="26"/>
        <v>0</v>
      </c>
      <c r="H91" s="76">
        <f>COUNTIF('3月'!D15:E15,H$78)+COUNTIF('3月'!I15:J15,H$78)+COUNTIF('3月'!N15:O15,H$78)+COUNTIF('3月'!S15:T15,H$78)+COUNTIF('3月'!X15:Y15,H$78)+COUNTIF('3月'!AC15:AD15,H$78)+COUNTIF('3月'!AH15:AI15,H$78)+COUNTIF('3月'!AM15:AN15,H$78)+COUNTIF('3月'!AR15:AS15,H$78)+COUNTIF('3月'!AW15:AX15,H$78)+COUNTIF('3月'!BB15:BC15,H$78)+COUNTIF('3月'!BG15:BH15,H$78)+COUNTIF('3月'!BL15:BM15,H$78)+COUNTIF('3月'!BQ15:BR15,H$78)+COUNTIF('3月'!BV15:BW15,H$78)+COUNTIF('3月'!CA15:CB15,H$78)+COUNTIF('3月'!CF15:CG15,H$78)+COUNTIF('3月'!CK15:CL15,H$78)+COUNTIF('3月'!CP15:CQ15,H$78)+COUNTIF('3月'!CU15:CV15,H$78)+COUNTIF('3月'!CZ15:DA15,H$78)+COUNTIF('3月'!DE15:DF15,H$78)+COUNTIF('3月'!DJ15:DK15,H$78)+COUNTIF('3月'!DO15:DP15,H$78)+COUNTIF('3月'!DT15:DU15,H$78)+COUNTIF('3月'!DY15:DZ15,H$78)+COUNTIF('3月'!ED15:EE15,H$78)+COUNTIF('3月'!EI15:EJ15,H$78)+COUNTIF('3月'!EN15:EO15,H$78)+COUNTIF('3月'!ES15:ET15,H$78)+COUNTIF('3月'!D15:E15,"渋谷-夜勤")+COUNTIF('3月'!I15:J15,"渋谷-夜勤")+COUNTIF('3月'!N15:O15,"渋谷-夜勤")+COUNTIF('3月'!S15:T15,"渋谷-夜勤")+COUNTIF('3月'!X15:Y15,"渋谷-夜勤")+COUNTIF('3月'!AC15:AD15,"渋谷-夜勤")+COUNTIF('3月'!AH15:AI15,"渋谷-夜勤")+COUNTIF('3月'!AM15:AN15,"渋谷-夜勤")+COUNTIF('3月'!AR15:AS15,"渋谷-夜勤")+COUNTIF('3月'!AW15:AX15,"渋谷-夜勤")+COUNTIF('3月'!BB15:BC15,"渋谷-夜勤")+COUNTIF('3月'!BG15:BH15,"渋谷-夜勤")+COUNTIF('3月'!BL15:BM15,"渋谷-夜勤")+COUNTIF('3月'!BQ15:BR15,"渋谷-夜勤")+COUNTIF('3月'!BV15:BW15,"渋谷-夜勤")+COUNTIF('3月'!CA15:CB15,"渋谷-夜勤")+COUNTIF('3月'!CF15:CG15,"渋谷-夜勤")+COUNTIF('3月'!CK15:CL15,"渋谷-夜勤")+COUNTIF('3月'!CP15:CQ15,"渋谷-夜勤")+COUNTIF('3月'!CU15:CV15,"渋谷-夜勤")+COUNTIF('3月'!CZ15:DA15,"渋谷-夜勤")+COUNTIF('3月'!DE15:DF15,"渋谷-夜勤")+COUNTIF('3月'!DJ15:DK15,"渋谷-夜勤")+COUNTIF('3月'!DO15:DP15,"渋谷-夜勤")+COUNTIF('3月'!DT15:DU15,"渋谷-夜勤")+COUNTIF('3月'!DY15:DZ15,"渋谷-夜勤")+COUNTIF('3月'!ED15:EE15,"渋谷-夜勤")+COUNTIF('3月'!EI15:EJ15,"渋谷-夜勤")+COUNTIF('3月'!EN15:EO15,"渋谷-夜勤")+COUNTIF('3月'!ES15:ET15,"渋谷-夜勤")</f>
        <v>0</v>
      </c>
      <c r="I91" s="76">
        <f t="shared" si="27"/>
        <v>0</v>
      </c>
      <c r="J91" s="76">
        <f>COUNTIF('3月'!D15:E15,J$78)+COUNTIF('3月'!I15:J15,J$78)+COUNTIF('3月'!N15:O15,J$78)+COUNTIF('3月'!S15:T15,J$78)+COUNTIF('3月'!X15:Y15,J$78)+COUNTIF('3月'!AC15:AD15,J$78)+COUNTIF('3月'!AH15:AI15,J$78)+COUNTIF('3月'!AM15:AN15,J$78)+COUNTIF('3月'!AR15:AS15,J$78)+COUNTIF('3月'!AW15:AX15,J$78)+COUNTIF('3月'!BB15:BC15,J$78)+COUNTIF('3月'!BG15:BH15,J$78)+COUNTIF('3月'!BL15:BM15,J$78)+COUNTIF('3月'!BQ15:BR15,J$78)+COUNTIF('3月'!BV15:BW15,J$78)+COUNTIF('3月'!CA15:CB15,J$78)+COUNTIF('3月'!CF15:CG15,J$78)+COUNTIF('3月'!CK15:CL15,J$78)+COUNTIF('3月'!CP15:CQ15,J$78)+COUNTIF('3月'!CU15:CV15,J$78)+COUNTIF('3月'!CZ15:DA15,J$78)+COUNTIF('3月'!DE15:DF15,J$78)+COUNTIF('3月'!DJ15:DK15,J$78)+COUNTIF('3月'!DO15:DP15,J$78)+COUNTIF('3月'!DT15:DU15,J$78)+COUNTIF('3月'!DY15:DZ15,J$78)+COUNTIF('3月'!ED15:EE15,J$78)+COUNTIF('3月'!EI15:EJ15,J$78)+COUNTIF('3月'!EN15:EO15,J$78)+COUNTIF('3月'!ES15:ET15,J$78)+COUNTIF('3月'!D15:E15,"六本木-夜勤")+COUNTIF('3月'!I15:J15,"六本木-夜勤")+COUNTIF('3月'!N15:O15,"六本木-夜勤")+COUNTIF('3月'!S15:T15,"六本木-夜勤")+COUNTIF('3月'!X15:Y15,"六本木-夜勤")+COUNTIF('3月'!AC15:AD15,"六本木-夜勤")+COUNTIF('3月'!AH15:AI15,"六本木-夜勤")+COUNTIF('3月'!AM15:AN15,"六本木-夜勤")+COUNTIF('3月'!AR15:AS15,"六本木-夜勤")+COUNTIF('3月'!AW15:AX15,"六本木-夜勤")+COUNTIF('3月'!BB15:BC15,"六本木-夜勤")+COUNTIF('3月'!BG15:BH15,"六本木-夜勤")+COUNTIF('3月'!BL15:BM15,"六本木-夜勤")+COUNTIF('3月'!BQ15:BR15,"六本木-夜勤")+COUNTIF('3月'!BV15:BW15,"六本木-夜勤")+COUNTIF('3月'!CA15:CB15,"六本木-夜勤")+COUNTIF('3月'!CF15:CG15,"六本木-夜勤")+COUNTIF('3月'!CK15:CL15,"六本木-夜勤")+COUNTIF('3月'!CP15:CQ15,"六本木-夜勤")+COUNTIF('3月'!CU15:CV15,"六本木-夜勤")+COUNTIF('3月'!CZ15:DA15,"六本木-夜勤")+COUNTIF('3月'!DE15:DF15,"六本木-夜勤")+COUNTIF('3月'!DJ15:DK15,"六本木-夜勤")+COUNTIF('3月'!DO15:DP15,"六本木-夜勤")+COUNTIF('3月'!DT15:DU15,"六本木-夜勤")+COUNTIF('3月'!DY15:DZ15,"六本木-夜勤")+COUNTIF('3月'!ED15:EE15,"六本木-夜勤")+COUNTIF('3月'!EI15:EJ15,"六本木-夜勤")+COUNTIF('3月'!EN15:EO15,"六本木-夜勤")+COUNTIF('3月'!ES15:ET15,"六本木-夜勤")+COUNTIF('3月'!D15:E15,"六本木ー夜勤")+COUNTIF('3月'!I15:J15,"六本木ー夜勤")+COUNTIF('3月'!N15:O15,"六本木ー夜勤")+COUNTIF('3月'!S15:T15,"六本木ー夜勤")+COUNTIF('3月'!X15:Y15,"六本木ー夜勤")+COUNTIF('3月'!AC15:AD15,"六本木ー夜勤")+COUNTIF('3月'!AH15:AI15,"六本木ー夜勤")+COUNTIF('3月'!AM15:AN15,"六本木ー夜勤")+COUNTIF('3月'!AR15:AS15,"六本木ー夜勤")+COUNTIF('3月'!AW15:AX15,"六本木ー夜勤")+COUNTIF('3月'!BB15:BC15,"六本木ー夜勤")+COUNTIF('3月'!BG15:BH15,"六本木ー夜勤")+COUNTIF('3月'!BL15:BM15,"六本木ー夜勤")+COUNTIF('3月'!BQ15:BR15,"六本木ー夜勤")+COUNTIF('3月'!BV15:BW15,"六本木ー夜勤")+COUNTIF('3月'!CA15:CB15,"六本木ー夜勤")+COUNTIF('3月'!CF15:CG15,"六本木ー夜勤")+COUNTIF('3月'!CK15:CL15,"六本木ー夜勤")+COUNTIF('3月'!CP15:CQ15,"六本木ー夜勤")+COUNTIF('3月'!CU15:CV15,"六本木ー夜勤")+COUNTIF('3月'!CZ15:DA15,"六本木ー夜勤")+COUNTIF('3月'!DE15:DF15,"六本木ー夜勤")+COUNTIF('3月'!DJ15:DK15,"六本木ー夜勤")+COUNTIF('3月'!DO15:DP15,"六本木ー夜勤")+COUNTIF('3月'!DT15:DU15,"六本木ー夜勤")+COUNTIF('3月'!DY15:DZ15,"六本木ー夜勤")+COUNTIF('3月'!ED15:EE15,"六本木ー夜勤")+COUNTIF('3月'!EI15:EJ15,"六本木ー夜勤")+COUNTIF('3月'!EN15:EO15,"六本木ー夜勤")+COUNTIF('3月'!ES15:ET15,"六本木ー夜勤")</f>
        <v>0</v>
      </c>
      <c r="K91" s="76">
        <f t="shared" si="28"/>
        <v>0</v>
      </c>
      <c r="L91" s="76">
        <f>COUNTIF('3月'!D15:E15,L$78)+COUNTIF('3月'!I15:J15,L$78)+COUNTIF('3月'!N15:O15,L$78)+COUNTIF('3月'!S15:T15,L$78)+COUNTIF('3月'!X15:Y15,L$78)+COUNTIF('3月'!AC15:AD15,L$78)+COUNTIF('3月'!AH15:AI15,L$78)+COUNTIF('3月'!AM15:AN15,L$78)+COUNTIF('3月'!AR15:AS15,L$78)+COUNTIF('3月'!AW15:AX15,L$78)+COUNTIF('3月'!BB15:BC15,L$78)+COUNTIF('3月'!BG15:BH15,L$78)+COUNTIF('3月'!BL15:BM15,L$78)+COUNTIF('3月'!BQ15:BR15,L$78)+COUNTIF('3月'!BV15:BW15,L$78)+COUNTIF('3月'!CA15:CB15,L$78)+COUNTIF('3月'!CF15:CG15,L$78)+COUNTIF('3月'!CK15:CL15,L$78)+COUNTIF('3月'!CP15:CQ15,L$78)+COUNTIF('3月'!CU15:CV15,L$78)+COUNTIF('3月'!CZ15:DA15,L$78)+COUNTIF('3月'!DE15:DF15,L$78)+COUNTIF('3月'!DJ15:DK15,L$78)+COUNTIF('3月'!DO15:DP15,L$78)+COUNTIF('3月'!DT15:DU15,L$78)+COUNTIF('3月'!DY15:DZ15,L$78)+COUNTIF('3月'!ED15:EE15,L$78)+COUNTIF('3月'!EI15:EJ15,L$78)+COUNTIF('3月'!EN15:EO15,L$78)+COUNTIF('3月'!ES15:ET15,L$78)</f>
        <v>0</v>
      </c>
      <c r="M91" s="76">
        <f t="shared" si="29"/>
        <v>0</v>
      </c>
      <c r="N91" s="76">
        <f>COUNTIF('3月'!D15:E15,N$78)+COUNTIF('3月'!I15:J15,N$78)+COUNTIF('3月'!N15:O15,N$78)+COUNTIF('3月'!S15:T15,N$78)+COUNTIF('3月'!X15:Y15,N$78)+COUNTIF('3月'!AC15:AD15,N$78)+COUNTIF('3月'!AH15:AI15,N$78)+COUNTIF('3月'!AM15:AN15,N$78)+COUNTIF('3月'!AR15:AS15,N$78)+COUNTIF('3月'!AW15:AX15,N$78)+COUNTIF('3月'!BB15:BC15,N$78)+COUNTIF('3月'!BG15:BH15,N$78)+COUNTIF('3月'!BL15:BM15,N$78)+COUNTIF('3月'!BQ15:BR15,N$78)+COUNTIF('3月'!BV15:BW15,N$78)+COUNTIF('3月'!CA15:CB15,N$78)+COUNTIF('3月'!CF15:CG15,N$78)+COUNTIF('3月'!CK15:CL15,N$78)+COUNTIF('3月'!CP15:CQ15,N$78)+COUNTIF('3月'!CU15:CV15,N$78)+COUNTIF('3月'!CZ15:DA15,N$78)+COUNTIF('3月'!DE15:DF15,N$78)+COUNTIF('3月'!DJ15:DK15,N$78)+COUNTIF('3月'!DO15:DP15,N$78)+COUNTIF('3月'!DT15:DU15,N$78)+COUNTIF('3月'!DY15:DZ15,N$78)+COUNTIF('3月'!ED15:EE15,N$78)+COUNTIF('3月'!EI15:EJ15,N$78)+COUNTIF('3月'!EN15:EO15,N$78)+COUNTIF('3月'!ES15:ET15,N$78)+COUNTIF('3月'!D15:E15,"三軒茶屋－夜勤")+COUNTIF('3月'!I15:J15,"三軒茶屋－夜勤")+COUNTIF('3月'!N15:O15,"三軒茶屋－夜勤")+COUNTIF('3月'!S15:T15,"三軒茶屋－夜勤")+COUNTIF('3月'!X15:Y15,"三軒茶屋－夜勤")+COUNTIF('3月'!AC15:AD15,"三軒茶屋－夜勤")+COUNTIF('3月'!AH15:AI15,"三軒茶屋－夜勤")+COUNTIF('3月'!AM15:AN15,"三軒茶屋－夜勤")+COUNTIF('3月'!AR15:AS15,"三軒茶屋－夜勤")+COUNTIF('3月'!AW15:AX15,"三軒茶屋－夜勤")+COUNTIF('3月'!BB15:BC15,"三軒茶屋－夜勤")+COUNTIF('3月'!BG15:BH15,"三軒茶屋－夜勤")+COUNTIF('3月'!BL15:BM15,"三軒茶屋－夜勤")+COUNTIF('3月'!BQ15:BR15,"三軒茶屋－夜勤")+COUNTIF('3月'!BV15:BW15,"三軒茶屋－夜勤")+COUNTIF('3月'!CA15:CB15,"三軒茶屋－夜勤")+COUNTIF('3月'!CF15:CG15,"三軒茶屋－夜勤")+COUNTIF('3月'!CK15:CL15,"三軒茶屋－夜勤")+COUNTIF('3月'!CP15:CQ15,"三軒茶屋－夜勤")+COUNTIF('3月'!CU15:CV15,"三軒茶屋－夜勤")+COUNTIF('3月'!CZ15:DA15,"三軒茶屋－夜勤")+COUNTIF('3月'!DE15:DF15,"三軒茶屋－夜勤")+COUNTIF('3月'!DJ15:DK15,"三軒茶屋－夜勤")+COUNTIF('3月'!DO15:DP15,"三軒茶屋－夜勤")+COUNTIF('3月'!DT15:DU15,"三軒茶屋－夜勤")+COUNTIF('3月'!DY15:DZ15,"三軒茶屋－夜勤")+COUNTIF('3月'!ED15:EE15,"三軒茶屋－夜勤")+COUNTIF('3月'!EI15:EJ15,"三軒茶屋－夜勤")+COUNTIF('3月'!EN15:EO15,"三軒茶屋－夜勤")+COUNTIF('3月'!ES15:ET15,"三軒茶屋－夜勤")</f>
        <v>0</v>
      </c>
      <c r="O91" s="76">
        <f t="shared" si="30"/>
        <v>0</v>
      </c>
      <c r="P91" s="76">
        <f>COUNTIF('3月'!D15:E15,P$78)+COUNTIF('3月'!I15:J15,P$78)+COUNTIF('3月'!N15:O15,P$78)+COUNTIF('3月'!S15:T15,P$78)+COUNTIF('3月'!X15:Y15,P$78)+COUNTIF('3月'!AC15:AD15,P$78)+COUNTIF('3月'!AH15:AI15,P$78)+COUNTIF('3月'!AM15:AN15,P$78)+COUNTIF('3月'!AR15:AS15,P$78)+COUNTIF('3月'!AW15:AX15,P$78)+COUNTIF('3月'!BB15:BC15,P$78)+COUNTIF('3月'!BG15:BH15,P$78)+COUNTIF('3月'!BL15:BM15,P$78)+COUNTIF('3月'!BQ15:BR15,P$78)+COUNTIF('3月'!BV15:BW15,P$78)+COUNTIF('3月'!CA15:CB15,P$78)+COUNTIF('3月'!CF15:CG15,P$78)+COUNTIF('3月'!CK15:CL15,P$78)+COUNTIF('3月'!CP15:CQ15,P$78)+COUNTIF('3月'!CU15:CV15,P$78)+COUNTIF('3月'!CZ15:DA15,P$78)+COUNTIF('3月'!DE15:DF15,P$78)+COUNTIF('3月'!DJ15:DK15,P$78)+COUNTIF('3月'!DO15:DP15,P$78)+COUNTIF('3月'!DT15:DU15,P$78)+COUNTIF('3月'!DY15:DZ15,P$78)+COUNTIF('3月'!ED15:EE15,P$78)+COUNTIF('3月'!EI15:EJ15,P$78)+COUNTIF('3月'!EN15:EO15,P$78)+COUNTIF('3月'!ES15:ET15,P$78)+COUNTIF('3月'!D15:E15,"荻窪ー夜勤")+COUNTIF('3月'!I15:J15,"荻窪ー夜勤")+COUNTIF('3月'!N15:O15,"荻窪ー夜勤")+COUNTIF('3月'!S15:T15,"荻窪ー夜勤")+COUNTIF('3月'!X15:Y15,"荻窪ー夜勤")+COUNTIF('3月'!AC15:AD15,"荻窪ー夜勤")+COUNTIF('3月'!AH15:AI15,"荻窪ー夜勤")+COUNTIF('3月'!AM15:AN15,"荻窪ー夜勤")+COUNTIF('3月'!AR15:AS15,"荻窪ー夜勤")+COUNTIF('3月'!AW15:AX15,"荻窪ー夜勤")+COUNTIF('3月'!BB15:BC15,"荻窪ー夜勤")+COUNTIF('3月'!BG15:BH15,"荻窪ー夜勤")+COUNTIF('3月'!BL15:BM15,"荻窪ー夜勤")+COUNTIF('3月'!BQ15:BR15,"荻窪ー夜勤")+COUNTIF('3月'!BV15:BW15,"荻窪ー夜勤")+COUNTIF('3月'!CA15:CB15,"荻窪ー夜勤")+COUNTIF('3月'!CF15:CG15,"荻窪ー夜勤")+COUNTIF('3月'!CK15:CL15,"荻窪ー夜勤")+COUNTIF('3月'!CP15:CQ15,"荻窪ー夜勤")+COUNTIF('3月'!CU15:CV15,"荻窪ー夜勤")+COUNTIF('3月'!CZ15:DA15,"荻窪ー夜勤")+COUNTIF('3月'!DE15:DF15,"荻窪ー夜勤")+COUNTIF('3月'!DJ15:DK15,"荻窪ー夜勤")+COUNTIF('3月'!DO15:DP15,"荻窪ー夜勤")+COUNTIF('3月'!DT15:DU15,"荻窪ー夜勤")+COUNTIF('3月'!DY15:DZ15,"荻窪ー夜勤")+COUNTIF('3月'!ED15:EE15,"荻窪ー夜勤")+COUNTIF('3月'!EI15:EJ15,"荻窪ー夜勤")+COUNTIF('3月'!EN15:EO15,"荻窪ー夜勤")+COUNTIF('3月'!ES15:ET15,"荻窪ー夜勤")</f>
        <v>0</v>
      </c>
      <c r="Q91" s="76">
        <f t="shared" si="31"/>
        <v>0</v>
      </c>
      <c r="R91" s="76">
        <f>COUNTIF('3月'!D15:E15,R$78)+COUNTIF('3月'!I15:J15,R$78)+COUNTIF('3月'!N15:O15,R$78)+COUNTIF('3月'!S15:T15,R$78)+COUNTIF('3月'!X15:Y15,R$78)+COUNTIF('3月'!AC15:AD15,R$78)+COUNTIF('3月'!AH15:AI15,R$78)+COUNTIF('3月'!AM15:AN15,R$78)+COUNTIF('3月'!AR15:AS15,R$78)+COUNTIF('3月'!AW15:AX15,R$78)+COUNTIF('3月'!BB15:BC15,R$78)+COUNTIF('3月'!BG15:BH15,R$78)+COUNTIF('3月'!BL15:BM15,R$78)+COUNTIF('3月'!BQ15:BR15,R$78)+COUNTIF('3月'!BV15:BW15,R$78)+COUNTIF('3月'!CA15:CB15,R$78)+COUNTIF('3月'!CF15:CG15,R$78)+COUNTIF('3月'!CK15:CL15,R$78)+COUNTIF('3月'!CP15:CQ15,R$78)+COUNTIF('3月'!CU15:CV15,R$78)+COUNTIF('3月'!CZ15:DA15,R$78)+COUNTIF('3月'!DE15:DF15,R$78)+COUNTIF('3月'!DJ15:DK15,R$78)+COUNTIF('3月'!DO15:DP15,R$78)+COUNTIF('3月'!DT15:DU15,R$78)+COUNTIF('3月'!DY15:DZ15,R$78)+COUNTIF('3月'!ED15:EE15,R$78)+COUNTIF('3月'!EI15:EJ15,R$78)+COUNTIF('3月'!EN15:EO15,R$78)+COUNTIF('3月'!ES15:ET15,R$78)</f>
        <v>0</v>
      </c>
      <c r="S91" s="76">
        <f t="shared" si="32"/>
        <v>0</v>
      </c>
      <c r="T91" s="76">
        <f>COUNTIF('3月'!D15:E15,T$78)+COUNTIF('3月'!I15:J15,T$78)+COUNTIF('3月'!N15:O15,T$78)+COUNTIF('3月'!S15:T15,T$78)+COUNTIF('3月'!X15:Y15,T$78)+COUNTIF('3月'!AC15:AD15,T$78)+COUNTIF('3月'!AH15:AI15,T$78)+COUNTIF('3月'!AM15:AN15,T$78)+COUNTIF('3月'!AR15:AS15,T$78)+COUNTIF('3月'!AW15:AX15,T$78)+COUNTIF('3月'!BB15:BC15,T$78)+COUNTIF('3月'!BG15:BH15,T$78)+COUNTIF('3月'!BL15:BM15,T$78)+COUNTIF('3月'!BQ15:BR15,T$78)+COUNTIF('3月'!BV15:BW15,T$78)+COUNTIF('3月'!CA15:CB15,T$78)+COUNTIF('3月'!CF15:CG15,T$78)+COUNTIF('3月'!CK15:CL15,T$78)+COUNTIF('3月'!CP15:CQ15,T$78)+COUNTIF('3月'!CU15:CV15,T$78)+COUNTIF('3月'!CZ15:DA15,T$78)+COUNTIF('3月'!DE15:DF15,T$78)+COUNTIF('3月'!DJ15:DK15,T$78)+COUNTIF('3月'!DO15:DP15,T$78)+COUNTIF('3月'!DT15:DU15,T$78)+COUNTIF('3月'!DY15:DZ15,T$78)+COUNTIF('3月'!ED15:EE15,T$78)+COUNTIF('3月'!EI15:EJ15,T$78)+COUNTIF('3月'!EN15:EO15,T$78)+COUNTIF('3月'!ES15:ET15,T$78)</f>
        <v>0</v>
      </c>
      <c r="U91" s="76">
        <f t="shared" si="33"/>
        <v>0</v>
      </c>
      <c r="V91" s="76">
        <f>COUNTIF('3月'!D15:E15,V$78)+COUNTIF('3月'!I15:J15,V$78)+COUNTIF('3月'!N15:O15,V$78)+COUNTIF('3月'!S15:T15,V$78)+COUNTIF('3月'!X15:Y15,V$78)+COUNTIF('3月'!AC15:AD15,V$78)+COUNTIF('3月'!AH15:AI15,V$78)+COUNTIF('3月'!AM15:AN15,V$78)+COUNTIF('3月'!AR15:AS15,V$78)+COUNTIF('3月'!AW15:AX15,V$78)+COUNTIF('3月'!BB15:BC15,V$78)+COUNTIF('3月'!BG15:BH15,V$78)+COUNTIF('3月'!BL15:BM15,V$78)+COUNTIF('3月'!BQ15:BR15,V$78)+COUNTIF('3月'!BV15:BW15,V$78)+COUNTIF('3月'!CA15:CB15,V$78)+COUNTIF('3月'!CF15:CG15,V$78)+COUNTIF('3月'!CK15:CL15,V$78)+COUNTIF('3月'!CP15:CQ15,V$78)+COUNTIF('3月'!CU15:CV15,V$78)+COUNTIF('3月'!CZ15:DA15,V$78)+COUNTIF('3月'!DE15:DF15,V$78)+COUNTIF('3月'!DJ15:DK15,V$78)+COUNTIF('3月'!DO15:DP15,V$78)+COUNTIF('3月'!DT15:DU15,V$78)+COUNTIF('3月'!DY15:DZ15,V$78)+COUNTIF('3月'!ED15:EE15,V$78)+COUNTIF('3月'!EI15:EJ15,V$78)+COUNTIF('3月'!EN15:EO15,V$78)+COUNTIF('3月'!ES15:ET15,V$78)</f>
        <v>0</v>
      </c>
      <c r="W91" s="76">
        <f t="shared" si="34"/>
        <v>0</v>
      </c>
      <c r="X91" s="76">
        <f>COUNTIF('3月'!D15:E15,X$78)+COUNTIF('3月'!I15:J15,X$78)+COUNTIF('3月'!N15:O15,X$78)+COUNTIF('3月'!S15:T15,X$78)+COUNTIF('3月'!X15:Y15,X$78)+COUNTIF('3月'!AC15:AD15,X$78)+COUNTIF('3月'!AH15:AI15,X$78)+COUNTIF('3月'!AM15:AN15,X$78)+COUNTIF('3月'!AR15:AS15,X$78)+COUNTIF('3月'!AW15:AX15,X$78)+COUNTIF('3月'!BB15:BC15,X$78)+COUNTIF('3月'!BG15:BH15,X$78)+COUNTIF('3月'!BL15:BM15,X$78)+COUNTIF('3月'!BQ15:BR15,X$78)+COUNTIF('3月'!BV15:BW15,X$78)+COUNTIF('3月'!CA15:CB15,X$78)+COUNTIF('3月'!CF15:CG15,X$78)+COUNTIF('3月'!CK15:CL15,X$78)+COUNTIF('3月'!CP15:CQ15,X$78)+COUNTIF('3月'!CU15:CV15,X$78)+COUNTIF('3月'!CZ15:DA15,X$78)+COUNTIF('3月'!DE15:DF15,X$78)+COUNTIF('3月'!DJ15:DK15,X$78)+COUNTIF('3月'!DO15:DP15,X$78)+COUNTIF('3月'!DT15:DU15,X$78)+COUNTIF('3月'!DY15:DZ15,X$78)+COUNTIF('3月'!ED15:EE15,X$78)+COUNTIF('3月'!EI15:EJ15,X$78)+COUNTIF('3月'!EN15:EO15,X$78)+COUNTIF('3月'!ES15:ET15,X$78)</f>
        <v>0</v>
      </c>
      <c r="Y91" s="76">
        <f t="shared" si="35"/>
        <v>0</v>
      </c>
    </row>
    <row r="92" spans="1:25" ht="18" customHeight="1">
      <c r="A92" s="76">
        <v>13</v>
      </c>
      <c r="B92" s="76">
        <f>COUNTIF('3月'!D16:E16,B$78)+COUNTIF('3月'!I16:J16,B$78)+COUNTIF('3月'!N16:O16,B$78)+COUNTIF('3月'!S16:T16,B$78)+COUNTIF('3月'!X16:Y16,B$78)+COUNTIF('3月'!AC16:AD16,B$78)+COUNTIF('3月'!AH16:AI16,B$78)+COUNTIF('3月'!AM16:AN16,B$78)+COUNTIF('3月'!AR16:AS16,B$78)+COUNTIF('3月'!AW16:AX16,B$78)+COUNTIF('3月'!BB16:BC16,B$78)+COUNTIF('3月'!BG16:BH16,B$78)+COUNTIF('3月'!BL16:BM16,B$78)+COUNTIF('3月'!BQ16:BR16,B$78)+COUNTIF('3月'!BV16:BW16,B$78)+COUNTIF('3月'!CA16:CB16,B$78)+COUNTIF('3月'!CF16:CG16,B$78)+COUNTIF('3月'!CK16:CL16,B$78)+COUNTIF('3月'!CP16:CQ16,B$78)+COUNTIF('3月'!CU16:CV16,B$78)+COUNTIF('3月'!CZ16:DA16,B$78)+COUNTIF('3月'!DE16:DF16,B$78)+COUNTIF('3月'!DJ16:DK16,B$78)+COUNTIF('3月'!DO16:DP16,B$78)+COUNTIF('3月'!DT16:DU16,B$78)+COUNTIF('3月'!DY16:DZ16,B$78)+COUNTIF('3月'!ED16:EE16,B$78)+COUNTIF('3月'!EI16:EJ16,B$78)+COUNTIF('3月'!EN16:EO16,B$78)+COUNTIF('3月'!ES16:ET16,B$78)</f>
        <v>0</v>
      </c>
      <c r="C92" s="76">
        <f t="shared" si="24"/>
        <v>0</v>
      </c>
      <c r="D92" s="76">
        <f>COUNTIF('3月'!D16:E16,D$78)+COUNTIF('3月'!I16:J16,D$78)+COUNTIF('3月'!N16:O16,D$78)+COUNTIF('3月'!S16:T16,D$78)+COUNTIF('3月'!X16:Y16,D$78)+COUNTIF('3月'!AC16:AD16,D$78)+COUNTIF('3月'!AH16:AI16,D$78)+COUNTIF('3月'!AM16:AN16,D$78)+COUNTIF('3月'!AR16:AS16,D$78)+COUNTIF('3月'!AW16:AX16,D$78)+COUNTIF('3月'!BB16:BC16,D$78)+COUNTIF('3月'!BG16:BH16,D$78)+COUNTIF('3月'!BL16:BM16,D$78)+COUNTIF('3月'!BQ16:BR16,D$78)+COUNTIF('3月'!BV16:BW16,D$78)+COUNTIF('3月'!CA16:CB16,D$78)+COUNTIF('3月'!CF16:CG16,D$78)+COUNTIF('3月'!CK16:CL16,D$78)+COUNTIF('3月'!CP16:CQ16,D$78)+COUNTIF('3月'!CU16:CV16,D$78)+COUNTIF('3月'!CZ16:DA16,D$78)+COUNTIF('3月'!DE16:DF16,D$78)+COUNTIF('3月'!DJ16:DK16,D$78)+COUNTIF('3月'!DO16:DP16,D$78)+COUNTIF('3月'!DT16:DU16,D$78)+COUNTIF('3月'!DY16:DZ16,D$78)+COUNTIF('3月'!ED16:EE16,D$78)+COUNTIF('3月'!EI16:EJ16,D$78)+COUNTIF('3月'!EN16:EO16,D$78)+COUNTIF('3月'!ES16:ET16,D$78)</f>
        <v>0</v>
      </c>
      <c r="E92" s="76">
        <f t="shared" si="25"/>
        <v>0</v>
      </c>
      <c r="F92" s="76">
        <f>COUNTIF('3月'!D16:E16,F$78)+COUNTIF('3月'!I16:J16,F$78)+COUNTIF('3月'!N16:O16,F$78)+COUNTIF('3月'!S16:T16,F$78)+COUNTIF('3月'!X16:Y16,F$78)+COUNTIF('3月'!AC16:AD16,F$78)+COUNTIF('3月'!AH16:AI16,F$78)+COUNTIF('3月'!AM16:AN16,F$78)+COUNTIF('3月'!AR16:AS16,F$78)+COUNTIF('3月'!AW16:AX16,F$78)+COUNTIF('3月'!BB16:BC16,F$78)+COUNTIF('3月'!BG16:BH16,F$78)+COUNTIF('3月'!BL16:BM16,F$78)+COUNTIF('3月'!BQ16:BR16,F$78)+COUNTIF('3月'!BV16:BW16,F$78)+COUNTIF('3月'!CA16:CB16,F$78)+COUNTIF('3月'!CF16:CG16,F$78)+COUNTIF('3月'!CK16:CL16,F$78)+COUNTIF('3月'!CP16:CQ16,F$78)+COUNTIF('3月'!CU16:CV16,F$78)+COUNTIF('3月'!CZ16:DA16,F$78)+COUNTIF('3月'!DE16:DF16,F$78)+COUNTIF('3月'!DJ16:DK16,F$78)+COUNTIF('3月'!DO16:DP16,F$78)+COUNTIF('3月'!DT16:DU16,F$78)+COUNTIF('3月'!DY16:DZ16,F$78)+COUNTIF('3月'!ED16:EE16,F$78)+COUNTIF('3月'!EI16:EJ16,F$78)+COUNTIF('3月'!EN16:EO16,F$78)+COUNTIF('3月'!ES16:ET16,F$78)</f>
        <v>0</v>
      </c>
      <c r="G92" s="76">
        <f t="shared" si="26"/>
        <v>0</v>
      </c>
      <c r="H92" s="76">
        <f>COUNTIF('3月'!D16:E16,H$78)+COUNTIF('3月'!I16:J16,H$78)+COUNTIF('3月'!N16:O16,H$78)+COUNTIF('3月'!S16:T16,H$78)+COUNTIF('3月'!X16:Y16,H$78)+COUNTIF('3月'!AC16:AD16,H$78)+COUNTIF('3月'!AH16:AI16,H$78)+COUNTIF('3月'!AM16:AN16,H$78)+COUNTIF('3月'!AR16:AS16,H$78)+COUNTIF('3月'!AW16:AX16,H$78)+COUNTIF('3月'!BB16:BC16,H$78)+COUNTIF('3月'!BG16:BH16,H$78)+COUNTIF('3月'!BL16:BM16,H$78)+COUNTIF('3月'!BQ16:BR16,H$78)+COUNTIF('3月'!BV16:BW16,H$78)+COUNTIF('3月'!CA16:CB16,H$78)+COUNTIF('3月'!CF16:CG16,H$78)+COUNTIF('3月'!CK16:CL16,H$78)+COUNTIF('3月'!CP16:CQ16,H$78)+COUNTIF('3月'!CU16:CV16,H$78)+COUNTIF('3月'!CZ16:DA16,H$78)+COUNTIF('3月'!DE16:DF16,H$78)+COUNTIF('3月'!DJ16:DK16,H$78)+COUNTIF('3月'!DO16:DP16,H$78)+COUNTIF('3月'!DT16:DU16,H$78)+COUNTIF('3月'!DY16:DZ16,H$78)+COUNTIF('3月'!ED16:EE16,H$78)+COUNTIF('3月'!EI16:EJ16,H$78)+COUNTIF('3月'!EN16:EO16,H$78)+COUNTIF('3月'!ES16:ET16,H$78)+COUNTIF('3月'!D16:E16,"渋谷-夜勤")+COUNTIF('3月'!I16:J16,"渋谷-夜勤")+COUNTIF('3月'!N16:O16,"渋谷-夜勤")+COUNTIF('3月'!S16:T16,"渋谷-夜勤")+COUNTIF('3月'!X16:Y16,"渋谷-夜勤")+COUNTIF('3月'!AC16:AD16,"渋谷-夜勤")+COUNTIF('3月'!AH16:AI16,"渋谷-夜勤")+COUNTIF('3月'!AM16:AN16,"渋谷-夜勤")+COUNTIF('3月'!AR16:AS16,"渋谷-夜勤")+COUNTIF('3月'!AW16:AX16,"渋谷-夜勤")+COUNTIF('3月'!BB16:BC16,"渋谷-夜勤")+COUNTIF('3月'!BG16:BH16,"渋谷-夜勤")+COUNTIF('3月'!BL16:BM16,"渋谷-夜勤")+COUNTIF('3月'!BQ16:BR16,"渋谷-夜勤")+COUNTIF('3月'!BV16:BW16,"渋谷-夜勤")+COUNTIF('3月'!CA16:CB16,"渋谷-夜勤")+COUNTIF('3月'!CF16:CG16,"渋谷-夜勤")+COUNTIF('3月'!CK16:CL16,"渋谷-夜勤")+COUNTIF('3月'!CP16:CQ16,"渋谷-夜勤")+COUNTIF('3月'!CU16:CV16,"渋谷-夜勤")+COUNTIF('3月'!CZ16:DA16,"渋谷-夜勤")+COUNTIF('3月'!DE16:DF16,"渋谷-夜勤")+COUNTIF('3月'!DJ16:DK16,"渋谷-夜勤")+COUNTIF('3月'!DO16:DP16,"渋谷-夜勤")+COUNTIF('3月'!DT16:DU16,"渋谷-夜勤")+COUNTIF('3月'!DY16:DZ16,"渋谷-夜勤")+COUNTIF('3月'!ED16:EE16,"渋谷-夜勤")+COUNTIF('3月'!EI16:EJ16,"渋谷-夜勤")+COUNTIF('3月'!EN16:EO16,"渋谷-夜勤")+COUNTIF('3月'!ES16:ET16,"渋谷-夜勤")</f>
        <v>0</v>
      </c>
      <c r="I92" s="76">
        <f t="shared" si="27"/>
        <v>0</v>
      </c>
      <c r="J92" s="76">
        <f>COUNTIF('3月'!D16:E16,J$78)+COUNTIF('3月'!I16:J16,J$78)+COUNTIF('3月'!N16:O16,J$78)+COUNTIF('3月'!S16:T16,J$78)+COUNTIF('3月'!X16:Y16,J$78)+COUNTIF('3月'!AC16:AD16,J$78)+COUNTIF('3月'!AH16:AI16,J$78)+COUNTIF('3月'!AM16:AN16,J$78)+COUNTIF('3月'!AR16:AS16,J$78)+COUNTIF('3月'!AW16:AX16,J$78)+COUNTIF('3月'!BB16:BC16,J$78)+COUNTIF('3月'!BG16:BH16,J$78)+COUNTIF('3月'!BL16:BM16,J$78)+COUNTIF('3月'!BQ16:BR16,J$78)+COUNTIF('3月'!BV16:BW16,J$78)+COUNTIF('3月'!CA16:CB16,J$78)+COUNTIF('3月'!CF16:CG16,J$78)+COUNTIF('3月'!CK16:CL16,J$78)+COUNTIF('3月'!CP16:CQ16,J$78)+COUNTIF('3月'!CU16:CV16,J$78)+COUNTIF('3月'!CZ16:DA16,J$78)+COUNTIF('3月'!DE16:DF16,J$78)+COUNTIF('3月'!DJ16:DK16,J$78)+COUNTIF('3月'!DO16:DP16,J$78)+COUNTIF('3月'!DT16:DU16,J$78)+COUNTIF('3月'!DY16:DZ16,J$78)+COUNTIF('3月'!ED16:EE16,J$78)+COUNTIF('3月'!EI16:EJ16,J$78)+COUNTIF('3月'!EN16:EO16,J$78)+COUNTIF('3月'!ES16:ET16,J$78)+COUNTIF('3月'!D16:E16,"六本木-夜勤")+COUNTIF('3月'!I16:J16,"六本木-夜勤")+COUNTIF('3月'!N16:O16,"六本木-夜勤")+COUNTIF('3月'!S16:T16,"六本木-夜勤")+COUNTIF('3月'!X16:Y16,"六本木-夜勤")+COUNTIF('3月'!AC16:AD16,"六本木-夜勤")+COUNTIF('3月'!AH16:AI16,"六本木-夜勤")+COUNTIF('3月'!AM16:AN16,"六本木-夜勤")+COUNTIF('3月'!AR16:AS16,"六本木-夜勤")+COUNTIF('3月'!AW16:AX16,"六本木-夜勤")+COUNTIF('3月'!BB16:BC16,"六本木-夜勤")+COUNTIF('3月'!BG16:BH16,"六本木-夜勤")+COUNTIF('3月'!BL16:BM16,"六本木-夜勤")+COUNTIF('3月'!BQ16:BR16,"六本木-夜勤")+COUNTIF('3月'!BV16:BW16,"六本木-夜勤")+COUNTIF('3月'!CA16:CB16,"六本木-夜勤")+COUNTIF('3月'!CF16:CG16,"六本木-夜勤")+COUNTIF('3月'!CK16:CL16,"六本木-夜勤")+COUNTIF('3月'!CP16:CQ16,"六本木-夜勤")+COUNTIF('3月'!CU16:CV16,"六本木-夜勤")+COUNTIF('3月'!CZ16:DA16,"六本木-夜勤")+COUNTIF('3月'!DE16:DF16,"六本木-夜勤")+COUNTIF('3月'!DJ16:DK16,"六本木-夜勤")+COUNTIF('3月'!DO16:DP16,"六本木-夜勤")+COUNTIF('3月'!DT16:DU16,"六本木-夜勤")+COUNTIF('3月'!DY16:DZ16,"六本木-夜勤")+COUNTIF('3月'!ED16:EE16,"六本木-夜勤")+COUNTIF('3月'!EI16:EJ16,"六本木-夜勤")+COUNTIF('3月'!EN16:EO16,"六本木-夜勤")+COUNTIF('3月'!ES16:ET16,"六本木-夜勤")+COUNTIF('3月'!D16:E16,"六本木ー夜勤")+COUNTIF('3月'!I16:J16,"六本木ー夜勤")+COUNTIF('3月'!N16:O16,"六本木ー夜勤")+COUNTIF('3月'!S16:T16,"六本木ー夜勤")+COUNTIF('3月'!X16:Y16,"六本木ー夜勤")+COUNTIF('3月'!AC16:AD16,"六本木ー夜勤")+COUNTIF('3月'!AH16:AI16,"六本木ー夜勤")+COUNTIF('3月'!AM16:AN16,"六本木ー夜勤")+COUNTIF('3月'!AR16:AS16,"六本木ー夜勤")+COUNTIF('3月'!AW16:AX16,"六本木ー夜勤")+COUNTIF('3月'!BB16:BC16,"六本木ー夜勤")+COUNTIF('3月'!BG16:BH16,"六本木ー夜勤")+COUNTIF('3月'!BL16:BM16,"六本木ー夜勤")+COUNTIF('3月'!BQ16:BR16,"六本木ー夜勤")+COUNTIF('3月'!BV16:BW16,"六本木ー夜勤")+COUNTIF('3月'!CA16:CB16,"六本木ー夜勤")+COUNTIF('3月'!CF16:CG16,"六本木ー夜勤")+COUNTIF('3月'!CK16:CL16,"六本木ー夜勤")+COUNTIF('3月'!CP16:CQ16,"六本木ー夜勤")+COUNTIF('3月'!CU16:CV16,"六本木ー夜勤")+COUNTIF('3月'!CZ16:DA16,"六本木ー夜勤")+COUNTIF('3月'!DE16:DF16,"六本木ー夜勤")+COUNTIF('3月'!DJ16:DK16,"六本木ー夜勤")+COUNTIF('3月'!DO16:DP16,"六本木ー夜勤")+COUNTIF('3月'!DT16:DU16,"六本木ー夜勤")+COUNTIF('3月'!DY16:DZ16,"六本木ー夜勤")+COUNTIF('3月'!ED16:EE16,"六本木ー夜勤")+COUNTIF('3月'!EI16:EJ16,"六本木ー夜勤")+COUNTIF('3月'!EN16:EO16,"六本木ー夜勤")+COUNTIF('3月'!ES16:ET16,"六本木ー夜勤")</f>
        <v>0</v>
      </c>
      <c r="K92" s="76">
        <f t="shared" si="28"/>
        <v>0</v>
      </c>
      <c r="L92" s="76">
        <f>COUNTIF('3月'!D16:E16,L$78)+COUNTIF('3月'!I16:J16,L$78)+COUNTIF('3月'!N16:O16,L$78)+COUNTIF('3月'!S16:T16,L$78)+COUNTIF('3月'!X16:Y16,L$78)+COUNTIF('3月'!AC16:AD16,L$78)+COUNTIF('3月'!AH16:AI16,L$78)+COUNTIF('3月'!AM16:AN16,L$78)+COUNTIF('3月'!AR16:AS16,L$78)+COUNTIF('3月'!AW16:AX16,L$78)+COUNTIF('3月'!BB16:BC16,L$78)+COUNTIF('3月'!BG16:BH16,L$78)+COUNTIF('3月'!BL16:BM16,L$78)+COUNTIF('3月'!BQ16:BR16,L$78)+COUNTIF('3月'!BV16:BW16,L$78)+COUNTIF('3月'!CA16:CB16,L$78)+COUNTIF('3月'!CF16:CG16,L$78)+COUNTIF('3月'!CK16:CL16,L$78)+COUNTIF('3月'!CP16:CQ16,L$78)+COUNTIF('3月'!CU16:CV16,L$78)+COUNTIF('3月'!CZ16:DA16,L$78)+COUNTIF('3月'!DE16:DF16,L$78)+COUNTIF('3月'!DJ16:DK16,L$78)+COUNTIF('3月'!DO16:DP16,L$78)+COUNTIF('3月'!DT16:DU16,L$78)+COUNTIF('3月'!DY16:DZ16,L$78)+COUNTIF('3月'!ED16:EE16,L$78)+COUNTIF('3月'!EI16:EJ16,L$78)+COUNTIF('3月'!EN16:EO16,L$78)+COUNTIF('3月'!ES16:ET16,L$78)</f>
        <v>0</v>
      </c>
      <c r="M92" s="76">
        <f t="shared" si="29"/>
        <v>0</v>
      </c>
      <c r="N92" s="76">
        <f>COUNTIF('3月'!D16:E16,N$78)+COUNTIF('3月'!I16:J16,N$78)+COUNTIF('3月'!N16:O16,N$78)+COUNTIF('3月'!S16:T16,N$78)+COUNTIF('3月'!X16:Y16,N$78)+COUNTIF('3月'!AC16:AD16,N$78)+COUNTIF('3月'!AH16:AI16,N$78)+COUNTIF('3月'!AM16:AN16,N$78)+COUNTIF('3月'!AR16:AS16,N$78)+COUNTIF('3月'!AW16:AX16,N$78)+COUNTIF('3月'!BB16:BC16,N$78)+COUNTIF('3月'!BG16:BH16,N$78)+COUNTIF('3月'!BL16:BM16,N$78)+COUNTIF('3月'!BQ16:BR16,N$78)+COUNTIF('3月'!BV16:BW16,N$78)+COUNTIF('3月'!CA16:CB16,N$78)+COUNTIF('3月'!CF16:CG16,N$78)+COUNTIF('3月'!CK16:CL16,N$78)+COUNTIF('3月'!CP16:CQ16,N$78)+COUNTIF('3月'!CU16:CV16,N$78)+COUNTIF('3月'!CZ16:DA16,N$78)+COUNTIF('3月'!DE16:DF16,N$78)+COUNTIF('3月'!DJ16:DK16,N$78)+COUNTIF('3月'!DO16:DP16,N$78)+COUNTIF('3月'!DT16:DU16,N$78)+COUNTIF('3月'!DY16:DZ16,N$78)+COUNTIF('3月'!ED16:EE16,N$78)+COUNTIF('3月'!EI16:EJ16,N$78)+COUNTIF('3月'!EN16:EO16,N$78)+COUNTIF('3月'!ES16:ET16,N$78)+COUNTIF('3月'!D16:E16,"三軒茶屋－夜勤")+COUNTIF('3月'!I16:J16,"三軒茶屋－夜勤")+COUNTIF('3月'!N16:O16,"三軒茶屋－夜勤")+COUNTIF('3月'!S16:T16,"三軒茶屋－夜勤")+COUNTIF('3月'!X16:Y16,"三軒茶屋－夜勤")+COUNTIF('3月'!AC16:AD16,"三軒茶屋－夜勤")+COUNTIF('3月'!AH16:AI16,"三軒茶屋－夜勤")+COUNTIF('3月'!AM16:AN16,"三軒茶屋－夜勤")+COUNTIF('3月'!AR16:AS16,"三軒茶屋－夜勤")+COUNTIF('3月'!AW16:AX16,"三軒茶屋－夜勤")+COUNTIF('3月'!BB16:BC16,"三軒茶屋－夜勤")+COUNTIF('3月'!BG16:BH16,"三軒茶屋－夜勤")+COUNTIF('3月'!BL16:BM16,"三軒茶屋－夜勤")+COUNTIF('3月'!BQ16:BR16,"三軒茶屋－夜勤")+COUNTIF('3月'!BV16:BW16,"三軒茶屋－夜勤")+COUNTIF('3月'!CA16:CB16,"三軒茶屋－夜勤")+COUNTIF('3月'!CF16:CG16,"三軒茶屋－夜勤")+COUNTIF('3月'!CK16:CL16,"三軒茶屋－夜勤")+COUNTIF('3月'!CP16:CQ16,"三軒茶屋－夜勤")+COUNTIF('3月'!CU16:CV16,"三軒茶屋－夜勤")+COUNTIF('3月'!CZ16:DA16,"三軒茶屋－夜勤")+COUNTIF('3月'!DE16:DF16,"三軒茶屋－夜勤")+COUNTIF('3月'!DJ16:DK16,"三軒茶屋－夜勤")+COUNTIF('3月'!DO16:DP16,"三軒茶屋－夜勤")+COUNTIF('3月'!DT16:DU16,"三軒茶屋－夜勤")+COUNTIF('3月'!DY16:DZ16,"三軒茶屋－夜勤")+COUNTIF('3月'!ED16:EE16,"三軒茶屋－夜勤")+COUNTIF('3月'!EI16:EJ16,"三軒茶屋－夜勤")+COUNTIF('3月'!EN16:EO16,"三軒茶屋－夜勤")+COUNTIF('3月'!ES16:ET16,"三軒茶屋－夜勤")</f>
        <v>0</v>
      </c>
      <c r="O92" s="76">
        <f t="shared" si="30"/>
        <v>0</v>
      </c>
      <c r="P92" s="76">
        <f>COUNTIF('3月'!D16:E16,P$78)+COUNTIF('3月'!I16:J16,P$78)+COUNTIF('3月'!N16:O16,P$78)+COUNTIF('3月'!S16:T16,P$78)+COUNTIF('3月'!X16:Y16,P$78)+COUNTIF('3月'!AC16:AD16,P$78)+COUNTIF('3月'!AH16:AI16,P$78)+COUNTIF('3月'!AM16:AN16,P$78)+COUNTIF('3月'!AR16:AS16,P$78)+COUNTIF('3月'!AW16:AX16,P$78)+COUNTIF('3月'!BB16:BC16,P$78)+COUNTIF('3月'!BG16:BH16,P$78)+COUNTIF('3月'!BL16:BM16,P$78)+COUNTIF('3月'!BQ16:BR16,P$78)+COUNTIF('3月'!BV16:BW16,P$78)+COUNTIF('3月'!CA16:CB16,P$78)+COUNTIF('3月'!CF16:CG16,P$78)+COUNTIF('3月'!CK16:CL16,P$78)+COUNTIF('3月'!CP16:CQ16,P$78)+COUNTIF('3月'!CU16:CV16,P$78)+COUNTIF('3月'!CZ16:DA16,P$78)+COUNTIF('3月'!DE16:DF16,P$78)+COUNTIF('3月'!DJ16:DK16,P$78)+COUNTIF('3月'!DO16:DP16,P$78)+COUNTIF('3月'!DT16:DU16,P$78)+COUNTIF('3月'!DY16:DZ16,P$78)+COUNTIF('3月'!ED16:EE16,P$78)+COUNTIF('3月'!EI16:EJ16,P$78)+COUNTIF('3月'!EN16:EO16,P$78)+COUNTIF('3月'!ES16:ET16,P$78)+COUNTIF('3月'!D16:E16,"荻窪ー夜勤")+COUNTIF('3月'!I16:J16,"荻窪ー夜勤")+COUNTIF('3月'!N16:O16,"荻窪ー夜勤")+COUNTIF('3月'!S16:T16,"荻窪ー夜勤")+COUNTIF('3月'!X16:Y16,"荻窪ー夜勤")+COUNTIF('3月'!AC16:AD16,"荻窪ー夜勤")+COUNTIF('3月'!AH16:AI16,"荻窪ー夜勤")+COUNTIF('3月'!AM16:AN16,"荻窪ー夜勤")+COUNTIF('3月'!AR16:AS16,"荻窪ー夜勤")+COUNTIF('3月'!AW16:AX16,"荻窪ー夜勤")+COUNTIF('3月'!BB16:BC16,"荻窪ー夜勤")+COUNTIF('3月'!BG16:BH16,"荻窪ー夜勤")+COUNTIF('3月'!BL16:BM16,"荻窪ー夜勤")+COUNTIF('3月'!BQ16:BR16,"荻窪ー夜勤")+COUNTIF('3月'!BV16:BW16,"荻窪ー夜勤")+COUNTIF('3月'!CA16:CB16,"荻窪ー夜勤")+COUNTIF('3月'!CF16:CG16,"荻窪ー夜勤")+COUNTIF('3月'!CK16:CL16,"荻窪ー夜勤")+COUNTIF('3月'!CP16:CQ16,"荻窪ー夜勤")+COUNTIF('3月'!CU16:CV16,"荻窪ー夜勤")+COUNTIF('3月'!CZ16:DA16,"荻窪ー夜勤")+COUNTIF('3月'!DE16:DF16,"荻窪ー夜勤")+COUNTIF('3月'!DJ16:DK16,"荻窪ー夜勤")+COUNTIF('3月'!DO16:DP16,"荻窪ー夜勤")+COUNTIF('3月'!DT16:DU16,"荻窪ー夜勤")+COUNTIF('3月'!DY16:DZ16,"荻窪ー夜勤")+COUNTIF('3月'!ED16:EE16,"荻窪ー夜勤")+COUNTIF('3月'!EI16:EJ16,"荻窪ー夜勤")+COUNTIF('3月'!EN16:EO16,"荻窪ー夜勤")+COUNTIF('3月'!ES16:ET16,"荻窪ー夜勤")</f>
        <v>0</v>
      </c>
      <c r="Q92" s="76">
        <f t="shared" si="31"/>
        <v>0</v>
      </c>
      <c r="R92" s="76">
        <f>COUNTIF('3月'!D16:E16,R$78)+COUNTIF('3月'!I16:J16,R$78)+COUNTIF('3月'!N16:O16,R$78)+COUNTIF('3月'!S16:T16,R$78)+COUNTIF('3月'!X16:Y16,R$78)+COUNTIF('3月'!AC16:AD16,R$78)+COUNTIF('3月'!AH16:AI16,R$78)+COUNTIF('3月'!AM16:AN16,R$78)+COUNTIF('3月'!AR16:AS16,R$78)+COUNTIF('3月'!AW16:AX16,R$78)+COUNTIF('3月'!BB16:BC16,R$78)+COUNTIF('3月'!BG16:BH16,R$78)+COUNTIF('3月'!BL16:BM16,R$78)+COUNTIF('3月'!BQ16:BR16,R$78)+COUNTIF('3月'!BV16:BW16,R$78)+COUNTIF('3月'!CA16:CB16,R$78)+COUNTIF('3月'!CF16:CG16,R$78)+COUNTIF('3月'!CK16:CL16,R$78)+COUNTIF('3月'!CP16:CQ16,R$78)+COUNTIF('3月'!CU16:CV16,R$78)+COUNTIF('3月'!CZ16:DA16,R$78)+COUNTIF('3月'!DE16:DF16,R$78)+COUNTIF('3月'!DJ16:DK16,R$78)+COUNTIF('3月'!DO16:DP16,R$78)+COUNTIF('3月'!DT16:DU16,R$78)+COUNTIF('3月'!DY16:DZ16,R$78)+COUNTIF('3月'!ED16:EE16,R$78)+COUNTIF('3月'!EI16:EJ16,R$78)+COUNTIF('3月'!EN16:EO16,R$78)+COUNTIF('3月'!ES16:ET16,R$78)</f>
        <v>0</v>
      </c>
      <c r="S92" s="76">
        <f t="shared" si="32"/>
        <v>0</v>
      </c>
      <c r="T92" s="76">
        <f>COUNTIF('3月'!D16:E16,T$78)+COUNTIF('3月'!I16:J16,T$78)+COUNTIF('3月'!N16:O16,T$78)+COUNTIF('3月'!S16:T16,T$78)+COUNTIF('3月'!X16:Y16,T$78)+COUNTIF('3月'!AC16:AD16,T$78)+COUNTIF('3月'!AH16:AI16,T$78)+COUNTIF('3月'!AM16:AN16,T$78)+COUNTIF('3月'!AR16:AS16,T$78)+COUNTIF('3月'!AW16:AX16,T$78)+COUNTIF('3月'!BB16:BC16,T$78)+COUNTIF('3月'!BG16:BH16,T$78)+COUNTIF('3月'!BL16:BM16,T$78)+COUNTIF('3月'!BQ16:BR16,T$78)+COUNTIF('3月'!BV16:BW16,T$78)+COUNTIF('3月'!CA16:CB16,T$78)+COUNTIF('3月'!CF16:CG16,T$78)+COUNTIF('3月'!CK16:CL16,T$78)+COUNTIF('3月'!CP16:CQ16,T$78)+COUNTIF('3月'!CU16:CV16,T$78)+COUNTIF('3月'!CZ16:DA16,T$78)+COUNTIF('3月'!DE16:DF16,T$78)+COUNTIF('3月'!DJ16:DK16,T$78)+COUNTIF('3月'!DO16:DP16,T$78)+COUNTIF('3月'!DT16:DU16,T$78)+COUNTIF('3月'!DY16:DZ16,T$78)+COUNTIF('3月'!ED16:EE16,T$78)+COUNTIF('3月'!EI16:EJ16,T$78)+COUNTIF('3月'!EN16:EO16,T$78)+COUNTIF('3月'!ES16:ET16,T$78)</f>
        <v>0</v>
      </c>
      <c r="U92" s="76">
        <f t="shared" si="33"/>
        <v>0</v>
      </c>
      <c r="V92" s="76">
        <f>COUNTIF('3月'!D16:E16,V$78)+COUNTIF('3月'!I16:J16,V$78)+COUNTIF('3月'!N16:O16,V$78)+COUNTIF('3月'!S16:T16,V$78)+COUNTIF('3月'!X16:Y16,V$78)+COUNTIF('3月'!AC16:AD16,V$78)+COUNTIF('3月'!AH16:AI16,V$78)+COUNTIF('3月'!AM16:AN16,V$78)+COUNTIF('3月'!AR16:AS16,V$78)+COUNTIF('3月'!AW16:AX16,V$78)+COUNTIF('3月'!BB16:BC16,V$78)+COUNTIF('3月'!BG16:BH16,V$78)+COUNTIF('3月'!BL16:BM16,V$78)+COUNTIF('3月'!BQ16:BR16,V$78)+COUNTIF('3月'!BV16:BW16,V$78)+COUNTIF('3月'!CA16:CB16,V$78)+COUNTIF('3月'!CF16:CG16,V$78)+COUNTIF('3月'!CK16:CL16,V$78)+COUNTIF('3月'!CP16:CQ16,V$78)+COUNTIF('3月'!CU16:CV16,V$78)+COUNTIF('3月'!CZ16:DA16,V$78)+COUNTIF('3月'!DE16:DF16,V$78)+COUNTIF('3月'!DJ16:DK16,V$78)+COUNTIF('3月'!DO16:DP16,V$78)+COUNTIF('3月'!DT16:DU16,V$78)+COUNTIF('3月'!DY16:DZ16,V$78)+COUNTIF('3月'!ED16:EE16,V$78)+COUNTIF('3月'!EI16:EJ16,V$78)+COUNTIF('3月'!EN16:EO16,V$78)+COUNTIF('3月'!ES16:ET16,V$78)</f>
        <v>0</v>
      </c>
      <c r="W92" s="76">
        <f t="shared" si="34"/>
        <v>0</v>
      </c>
      <c r="X92" s="76">
        <f>COUNTIF('3月'!D16:E16,X$78)+COUNTIF('3月'!I16:J16,X$78)+COUNTIF('3月'!N16:O16,X$78)+COUNTIF('3月'!S16:T16,X$78)+COUNTIF('3月'!X16:Y16,X$78)+COUNTIF('3月'!AC16:AD16,X$78)+COUNTIF('3月'!AH16:AI16,X$78)+COUNTIF('3月'!AM16:AN16,X$78)+COUNTIF('3月'!AR16:AS16,X$78)+COUNTIF('3月'!AW16:AX16,X$78)+COUNTIF('3月'!BB16:BC16,X$78)+COUNTIF('3月'!BG16:BH16,X$78)+COUNTIF('3月'!BL16:BM16,X$78)+COUNTIF('3月'!BQ16:BR16,X$78)+COUNTIF('3月'!BV16:BW16,X$78)+COUNTIF('3月'!CA16:CB16,X$78)+COUNTIF('3月'!CF16:CG16,X$78)+COUNTIF('3月'!CK16:CL16,X$78)+COUNTIF('3月'!CP16:CQ16,X$78)+COUNTIF('3月'!CU16:CV16,X$78)+COUNTIF('3月'!CZ16:DA16,X$78)+COUNTIF('3月'!DE16:DF16,X$78)+COUNTIF('3月'!DJ16:DK16,X$78)+COUNTIF('3月'!DO16:DP16,X$78)+COUNTIF('3月'!DT16:DU16,X$78)+COUNTIF('3月'!DY16:DZ16,X$78)+COUNTIF('3月'!ED16:EE16,X$78)+COUNTIF('3月'!EI16:EJ16,X$78)+COUNTIF('3月'!EN16:EO16,X$78)+COUNTIF('3月'!ES16:ET16,X$78)</f>
        <v>0</v>
      </c>
      <c r="Y92" s="76">
        <f t="shared" si="35"/>
        <v>0</v>
      </c>
    </row>
    <row r="93" spans="1:25" ht="18" customHeight="1">
      <c r="A93" s="76">
        <v>14</v>
      </c>
      <c r="B93" s="76">
        <f>COUNTIF('3月'!D17:E17,B$78)+COUNTIF('3月'!I17:J17,B$78)+COUNTIF('3月'!N17:O17,B$78)+COUNTIF('3月'!S17:T17,B$78)+COUNTIF('3月'!X17:Y17,B$78)+COUNTIF('3月'!AC17:AD17,B$78)+COUNTIF('3月'!AH17:AI17,B$78)+COUNTIF('3月'!AM17:AN17,B$78)+COUNTIF('3月'!AR17:AS17,B$78)+COUNTIF('3月'!AW17:AX17,B$78)+COUNTIF('3月'!BB17:BC17,B$78)+COUNTIF('3月'!BG17:BH17,B$78)+COUNTIF('3月'!BL17:BM17,B$78)+COUNTIF('3月'!BQ17:BR17,B$78)+COUNTIF('3月'!BV17:BW17,B$78)+COUNTIF('3月'!CA17:CB17,B$78)+COUNTIF('3月'!CF17:CG17,B$78)+COUNTIF('3月'!CK17:CL17,B$78)+COUNTIF('3月'!CP17:CQ17,B$78)+COUNTIF('3月'!CU17:CV17,B$78)+COUNTIF('3月'!CZ17:DA17,B$78)+COUNTIF('3月'!DE17:DF17,B$78)+COUNTIF('3月'!DJ17:DK17,B$78)+COUNTIF('3月'!DO17:DP17,B$78)+COUNTIF('3月'!DT17:DU17,B$78)+COUNTIF('3月'!DY17:DZ17,B$78)+COUNTIF('3月'!ED17:EE17,B$78)+COUNTIF('3月'!EI17:EJ17,B$78)+COUNTIF('3月'!EN17:EO17,B$78)+COUNTIF('3月'!ES17:ET17,B$78)</f>
        <v>0</v>
      </c>
      <c r="C93" s="76">
        <f t="shared" si="24"/>
        <v>0</v>
      </c>
      <c r="D93" s="76">
        <f>COUNTIF('3月'!D17:E17,D$78)+COUNTIF('3月'!I17:J17,D$78)+COUNTIF('3月'!N17:O17,D$78)+COUNTIF('3月'!S17:T17,D$78)+COUNTIF('3月'!X17:Y17,D$78)+COUNTIF('3月'!AC17:AD17,D$78)+COUNTIF('3月'!AH17:AI17,D$78)+COUNTIF('3月'!AM17:AN17,D$78)+COUNTIF('3月'!AR17:AS17,D$78)+COUNTIF('3月'!AW17:AX17,D$78)+COUNTIF('3月'!BB17:BC17,D$78)+COUNTIF('3月'!BG17:BH17,D$78)+COUNTIF('3月'!BL17:BM17,D$78)+COUNTIF('3月'!BQ17:BR17,D$78)+COUNTIF('3月'!BV17:BW17,D$78)+COUNTIF('3月'!CA17:CB17,D$78)+COUNTIF('3月'!CF17:CG17,D$78)+COUNTIF('3月'!CK17:CL17,D$78)+COUNTIF('3月'!CP17:CQ17,D$78)+COUNTIF('3月'!CU17:CV17,D$78)+COUNTIF('3月'!CZ17:DA17,D$78)+COUNTIF('3月'!DE17:DF17,D$78)+COUNTIF('3月'!DJ17:DK17,D$78)+COUNTIF('3月'!DO17:DP17,D$78)+COUNTIF('3月'!DT17:DU17,D$78)+COUNTIF('3月'!DY17:DZ17,D$78)+COUNTIF('3月'!ED17:EE17,D$78)+COUNTIF('3月'!EI17:EJ17,D$78)+COUNTIF('3月'!EN17:EO17,D$78)+COUNTIF('3月'!ES17:ET17,D$78)</f>
        <v>0</v>
      </c>
      <c r="E93" s="76">
        <f t="shared" si="25"/>
        <v>0</v>
      </c>
      <c r="F93" s="76">
        <f>COUNTIF('3月'!D17:E17,F$78)+COUNTIF('3月'!I17:J17,F$78)+COUNTIF('3月'!N17:O17,F$78)+COUNTIF('3月'!S17:T17,F$78)+COUNTIF('3月'!X17:Y17,F$78)+COUNTIF('3月'!AC17:AD17,F$78)+COUNTIF('3月'!AH17:AI17,F$78)+COUNTIF('3月'!AM17:AN17,F$78)+COUNTIF('3月'!AR17:AS17,F$78)+COUNTIF('3月'!AW17:AX17,F$78)+COUNTIF('3月'!BB17:BC17,F$78)+COUNTIF('3月'!BG17:BH17,F$78)+COUNTIF('3月'!BL17:BM17,F$78)+COUNTIF('3月'!BQ17:BR17,F$78)+COUNTIF('3月'!BV17:BW17,F$78)+COUNTIF('3月'!CA17:CB17,F$78)+COUNTIF('3月'!CF17:CG17,F$78)+COUNTIF('3月'!CK17:CL17,F$78)+COUNTIF('3月'!CP17:CQ17,F$78)+COUNTIF('3月'!CU17:CV17,F$78)+COUNTIF('3月'!CZ17:DA17,F$78)+COUNTIF('3月'!DE17:DF17,F$78)+COUNTIF('3月'!DJ17:DK17,F$78)+COUNTIF('3月'!DO17:DP17,F$78)+COUNTIF('3月'!DT17:DU17,F$78)+COUNTIF('3月'!DY17:DZ17,F$78)+COUNTIF('3月'!ED17:EE17,F$78)+COUNTIF('3月'!EI17:EJ17,F$78)+COUNTIF('3月'!EN17:EO17,F$78)+COUNTIF('3月'!ES17:ET17,F$78)</f>
        <v>0</v>
      </c>
      <c r="G93" s="76">
        <f t="shared" si="26"/>
        <v>0</v>
      </c>
      <c r="H93" s="76">
        <f>COUNTIF('3月'!D17:E17,H$78)+COUNTIF('3月'!I17:J17,H$78)+COUNTIF('3月'!N17:O17,H$78)+COUNTIF('3月'!S17:T17,H$78)+COUNTIF('3月'!X17:Y17,H$78)+COUNTIF('3月'!AC17:AD17,H$78)+COUNTIF('3月'!AH17:AI17,H$78)+COUNTIF('3月'!AM17:AN17,H$78)+COUNTIF('3月'!AR17:AS17,H$78)+COUNTIF('3月'!AW17:AX17,H$78)+COUNTIF('3月'!BB17:BC17,H$78)+COUNTIF('3月'!BG17:BH17,H$78)+COUNTIF('3月'!BL17:BM17,H$78)+COUNTIF('3月'!BQ17:BR17,H$78)+COUNTIF('3月'!BV17:BW17,H$78)+COUNTIF('3月'!CA17:CB17,H$78)+COUNTIF('3月'!CF17:CG17,H$78)+COUNTIF('3月'!CK17:CL17,H$78)+COUNTIF('3月'!CP17:CQ17,H$78)+COUNTIF('3月'!CU17:CV17,H$78)+COUNTIF('3月'!CZ17:DA17,H$78)+COUNTIF('3月'!DE17:DF17,H$78)+COUNTIF('3月'!DJ17:DK17,H$78)+COUNTIF('3月'!DO17:DP17,H$78)+COUNTIF('3月'!DT17:DU17,H$78)+COUNTIF('3月'!DY17:DZ17,H$78)+COUNTIF('3月'!ED17:EE17,H$78)+COUNTIF('3月'!EI17:EJ17,H$78)+COUNTIF('3月'!EN17:EO17,H$78)+COUNTIF('3月'!ES17:ET17,H$78)+COUNTIF('3月'!D17:E17,"渋谷-夜勤")+COUNTIF('3月'!I17:J17,"渋谷-夜勤")+COUNTIF('3月'!N17:O17,"渋谷-夜勤")+COUNTIF('3月'!S17:T17,"渋谷-夜勤")+COUNTIF('3月'!X17:Y17,"渋谷-夜勤")+COUNTIF('3月'!AC17:AD17,"渋谷-夜勤")+COUNTIF('3月'!AH17:AI17,"渋谷-夜勤")+COUNTIF('3月'!AM17:AN17,"渋谷-夜勤")+COUNTIF('3月'!AR17:AS17,"渋谷-夜勤")+COUNTIF('3月'!AW17:AX17,"渋谷-夜勤")+COUNTIF('3月'!BB17:BC17,"渋谷-夜勤")+COUNTIF('3月'!BG17:BH17,"渋谷-夜勤")+COUNTIF('3月'!BL17:BM17,"渋谷-夜勤")+COUNTIF('3月'!BQ17:BR17,"渋谷-夜勤")+COUNTIF('3月'!BV17:BW17,"渋谷-夜勤")+COUNTIF('3月'!CA17:CB17,"渋谷-夜勤")+COUNTIF('3月'!CF17:CG17,"渋谷-夜勤")+COUNTIF('3月'!CK17:CL17,"渋谷-夜勤")+COUNTIF('3月'!CP17:CQ17,"渋谷-夜勤")+COUNTIF('3月'!CU17:CV17,"渋谷-夜勤")+COUNTIF('3月'!CZ17:DA17,"渋谷-夜勤")+COUNTIF('3月'!DE17:DF17,"渋谷-夜勤")+COUNTIF('3月'!DJ17:DK17,"渋谷-夜勤")+COUNTIF('3月'!DO17:DP17,"渋谷-夜勤")+COUNTIF('3月'!DT17:DU17,"渋谷-夜勤")+COUNTIF('3月'!DY17:DZ17,"渋谷-夜勤")+COUNTIF('3月'!ED17:EE17,"渋谷-夜勤")+COUNTIF('3月'!EI17:EJ17,"渋谷-夜勤")+COUNTIF('3月'!EN17:EO17,"渋谷-夜勤")+COUNTIF('3月'!ES17:ET17,"渋谷-夜勤")</f>
        <v>0</v>
      </c>
      <c r="I93" s="76">
        <f t="shared" si="27"/>
        <v>0</v>
      </c>
      <c r="J93" s="76">
        <f>COUNTIF('3月'!D17:E17,J$78)+COUNTIF('3月'!I17:J17,J$78)+COUNTIF('3月'!N17:O17,J$78)+COUNTIF('3月'!S17:T17,J$78)+COUNTIF('3月'!X17:Y17,J$78)+COUNTIF('3月'!AC17:AD17,J$78)+COUNTIF('3月'!AH17:AI17,J$78)+COUNTIF('3月'!AM17:AN17,J$78)+COUNTIF('3月'!AR17:AS17,J$78)+COUNTIF('3月'!AW17:AX17,J$78)+COUNTIF('3月'!BB17:BC17,J$78)+COUNTIF('3月'!BG17:BH17,J$78)+COUNTIF('3月'!BL17:BM17,J$78)+COUNTIF('3月'!BQ17:BR17,J$78)+COUNTIF('3月'!BV17:BW17,J$78)+COUNTIF('3月'!CA17:CB17,J$78)+COUNTIF('3月'!CF17:CG17,J$78)+COUNTIF('3月'!CK17:CL17,J$78)+COUNTIF('3月'!CP17:CQ17,J$78)+COUNTIF('3月'!CU17:CV17,J$78)+COUNTIF('3月'!CZ17:DA17,J$78)+COUNTIF('3月'!DE17:DF17,J$78)+COUNTIF('3月'!DJ17:DK17,J$78)+COUNTIF('3月'!DO17:DP17,J$78)+COUNTIF('3月'!DT17:DU17,J$78)+COUNTIF('3月'!DY17:DZ17,J$78)+COUNTIF('3月'!ED17:EE17,J$78)+COUNTIF('3月'!EI17:EJ17,J$78)+COUNTIF('3月'!EN17:EO17,J$78)+COUNTIF('3月'!ES17:ET17,J$78)+COUNTIF('3月'!D17:E17,"六本木-夜勤")+COUNTIF('3月'!I17:J17,"六本木-夜勤")+COUNTIF('3月'!N17:O17,"六本木-夜勤")+COUNTIF('3月'!S17:T17,"六本木-夜勤")+COUNTIF('3月'!X17:Y17,"六本木-夜勤")+COUNTIF('3月'!AC17:AD17,"六本木-夜勤")+COUNTIF('3月'!AH17:AI17,"六本木-夜勤")+COUNTIF('3月'!AM17:AN17,"六本木-夜勤")+COUNTIF('3月'!AR17:AS17,"六本木-夜勤")+COUNTIF('3月'!AW17:AX17,"六本木-夜勤")+COUNTIF('3月'!BB17:BC17,"六本木-夜勤")+COUNTIF('3月'!BG17:BH17,"六本木-夜勤")+COUNTIF('3月'!BL17:BM17,"六本木-夜勤")+COUNTIF('3月'!BQ17:BR17,"六本木-夜勤")+COUNTIF('3月'!BV17:BW17,"六本木-夜勤")+COUNTIF('3月'!CA17:CB17,"六本木-夜勤")+COUNTIF('3月'!CF17:CG17,"六本木-夜勤")+COUNTIF('3月'!CK17:CL17,"六本木-夜勤")+COUNTIF('3月'!CP17:CQ17,"六本木-夜勤")+COUNTIF('3月'!CU17:CV17,"六本木-夜勤")+COUNTIF('3月'!CZ17:DA17,"六本木-夜勤")+COUNTIF('3月'!DE17:DF17,"六本木-夜勤")+COUNTIF('3月'!DJ17:DK17,"六本木-夜勤")+COUNTIF('3月'!DO17:DP17,"六本木-夜勤")+COUNTIF('3月'!DT17:DU17,"六本木-夜勤")+COUNTIF('3月'!DY17:DZ17,"六本木-夜勤")+COUNTIF('3月'!ED17:EE17,"六本木-夜勤")+COUNTIF('3月'!EI17:EJ17,"六本木-夜勤")+COUNTIF('3月'!EN17:EO17,"六本木-夜勤")+COUNTIF('3月'!ES17:ET17,"六本木-夜勤")+COUNTIF('3月'!D17:E17,"六本木ー夜勤")+COUNTIF('3月'!I17:J17,"六本木ー夜勤")+COUNTIF('3月'!N17:O17,"六本木ー夜勤")+COUNTIF('3月'!S17:T17,"六本木ー夜勤")+COUNTIF('3月'!X17:Y17,"六本木ー夜勤")+COUNTIF('3月'!AC17:AD17,"六本木ー夜勤")+COUNTIF('3月'!AH17:AI17,"六本木ー夜勤")+COUNTIF('3月'!AM17:AN17,"六本木ー夜勤")+COUNTIF('3月'!AR17:AS17,"六本木ー夜勤")+COUNTIF('3月'!AW17:AX17,"六本木ー夜勤")+COUNTIF('3月'!BB17:BC17,"六本木ー夜勤")+COUNTIF('3月'!BG17:BH17,"六本木ー夜勤")+COUNTIF('3月'!BL17:BM17,"六本木ー夜勤")+COUNTIF('3月'!BQ17:BR17,"六本木ー夜勤")+COUNTIF('3月'!BV17:BW17,"六本木ー夜勤")+COUNTIF('3月'!CA17:CB17,"六本木ー夜勤")+COUNTIF('3月'!CF17:CG17,"六本木ー夜勤")+COUNTIF('3月'!CK17:CL17,"六本木ー夜勤")+COUNTIF('3月'!CP17:CQ17,"六本木ー夜勤")+COUNTIF('3月'!CU17:CV17,"六本木ー夜勤")+COUNTIF('3月'!CZ17:DA17,"六本木ー夜勤")+COUNTIF('3月'!DE17:DF17,"六本木ー夜勤")+COUNTIF('3月'!DJ17:DK17,"六本木ー夜勤")+COUNTIF('3月'!DO17:DP17,"六本木ー夜勤")+COUNTIF('3月'!DT17:DU17,"六本木ー夜勤")+COUNTIF('3月'!DY17:DZ17,"六本木ー夜勤")+COUNTIF('3月'!ED17:EE17,"六本木ー夜勤")+COUNTIF('3月'!EI17:EJ17,"六本木ー夜勤")+COUNTIF('3月'!EN17:EO17,"六本木ー夜勤")+COUNTIF('3月'!ES17:ET17,"六本木ー夜勤")</f>
        <v>0</v>
      </c>
      <c r="K93" s="76">
        <f t="shared" si="28"/>
        <v>0</v>
      </c>
      <c r="L93" s="76">
        <f>COUNTIF('3月'!D17:E17,L$78)+COUNTIF('3月'!I17:J17,L$78)+COUNTIF('3月'!N17:O17,L$78)+COUNTIF('3月'!S17:T17,L$78)+COUNTIF('3月'!X17:Y17,L$78)+COUNTIF('3月'!AC17:AD17,L$78)+COUNTIF('3月'!AH17:AI17,L$78)+COUNTIF('3月'!AM17:AN17,L$78)+COUNTIF('3月'!AR17:AS17,L$78)+COUNTIF('3月'!AW17:AX17,L$78)+COUNTIF('3月'!BB17:BC17,L$78)+COUNTIF('3月'!BG17:BH17,L$78)+COUNTIF('3月'!BL17:BM17,L$78)+COUNTIF('3月'!BQ17:BR17,L$78)+COUNTIF('3月'!BV17:BW17,L$78)+COUNTIF('3月'!CA17:CB17,L$78)+COUNTIF('3月'!CF17:CG17,L$78)+COUNTIF('3月'!CK17:CL17,L$78)+COUNTIF('3月'!CP17:CQ17,L$78)+COUNTIF('3月'!CU17:CV17,L$78)+COUNTIF('3月'!CZ17:DA17,L$78)+COUNTIF('3月'!DE17:DF17,L$78)+COUNTIF('3月'!DJ17:DK17,L$78)+COUNTIF('3月'!DO17:DP17,L$78)+COUNTIF('3月'!DT17:DU17,L$78)+COUNTIF('3月'!DY17:DZ17,L$78)+COUNTIF('3月'!ED17:EE17,L$78)+COUNTIF('3月'!EI17:EJ17,L$78)+COUNTIF('3月'!EN17:EO17,L$78)+COUNTIF('3月'!ES17:ET17,L$78)</f>
        <v>0</v>
      </c>
      <c r="M93" s="76">
        <f t="shared" si="29"/>
        <v>0</v>
      </c>
      <c r="N93" s="76">
        <f>COUNTIF('3月'!D17:E17,N$78)+COUNTIF('3月'!I17:J17,N$78)+COUNTIF('3月'!N17:O17,N$78)+COUNTIF('3月'!S17:T17,N$78)+COUNTIF('3月'!X17:Y17,N$78)+COUNTIF('3月'!AC17:AD17,N$78)+COUNTIF('3月'!AH17:AI17,N$78)+COUNTIF('3月'!AM17:AN17,N$78)+COUNTIF('3月'!AR17:AS17,N$78)+COUNTIF('3月'!AW17:AX17,N$78)+COUNTIF('3月'!BB17:BC17,N$78)+COUNTIF('3月'!BG17:BH17,N$78)+COUNTIF('3月'!BL17:BM17,N$78)+COUNTIF('3月'!BQ17:BR17,N$78)+COUNTIF('3月'!BV17:BW17,N$78)+COUNTIF('3月'!CA17:CB17,N$78)+COUNTIF('3月'!CF17:CG17,N$78)+COUNTIF('3月'!CK17:CL17,N$78)+COUNTIF('3月'!CP17:CQ17,N$78)+COUNTIF('3月'!CU17:CV17,N$78)+COUNTIF('3月'!CZ17:DA17,N$78)+COUNTIF('3月'!DE17:DF17,N$78)+COUNTIF('3月'!DJ17:DK17,N$78)+COUNTIF('3月'!DO17:DP17,N$78)+COUNTIF('3月'!DT17:DU17,N$78)+COUNTIF('3月'!DY17:DZ17,N$78)+COUNTIF('3月'!ED17:EE17,N$78)+COUNTIF('3月'!EI17:EJ17,N$78)+COUNTIF('3月'!EN17:EO17,N$78)+COUNTIF('3月'!ES17:ET17,N$78)+COUNTIF('3月'!D17:E17,"三軒茶屋－夜勤")+COUNTIF('3月'!I17:J17,"三軒茶屋－夜勤")+COUNTIF('3月'!N17:O17,"三軒茶屋－夜勤")+COUNTIF('3月'!S17:T17,"三軒茶屋－夜勤")+COUNTIF('3月'!X17:Y17,"三軒茶屋－夜勤")+COUNTIF('3月'!AC17:AD17,"三軒茶屋－夜勤")+COUNTIF('3月'!AH17:AI17,"三軒茶屋－夜勤")+COUNTIF('3月'!AM17:AN17,"三軒茶屋－夜勤")+COUNTIF('3月'!AR17:AS17,"三軒茶屋－夜勤")+COUNTIF('3月'!AW17:AX17,"三軒茶屋－夜勤")+COUNTIF('3月'!BB17:BC17,"三軒茶屋－夜勤")+COUNTIF('3月'!BG17:BH17,"三軒茶屋－夜勤")+COUNTIF('3月'!BL17:BM17,"三軒茶屋－夜勤")+COUNTIF('3月'!BQ17:BR17,"三軒茶屋－夜勤")+COUNTIF('3月'!BV17:BW17,"三軒茶屋－夜勤")+COUNTIF('3月'!CA17:CB17,"三軒茶屋－夜勤")+COUNTIF('3月'!CF17:CG17,"三軒茶屋－夜勤")+COUNTIF('3月'!CK17:CL17,"三軒茶屋－夜勤")+COUNTIF('3月'!CP17:CQ17,"三軒茶屋－夜勤")+COUNTIF('3月'!CU17:CV17,"三軒茶屋－夜勤")+COUNTIF('3月'!CZ17:DA17,"三軒茶屋－夜勤")+COUNTIF('3月'!DE17:DF17,"三軒茶屋－夜勤")+COUNTIF('3月'!DJ17:DK17,"三軒茶屋－夜勤")+COUNTIF('3月'!DO17:DP17,"三軒茶屋－夜勤")+COUNTIF('3月'!DT17:DU17,"三軒茶屋－夜勤")+COUNTIF('3月'!DY17:DZ17,"三軒茶屋－夜勤")+COUNTIF('3月'!ED17:EE17,"三軒茶屋－夜勤")+COUNTIF('3月'!EI17:EJ17,"三軒茶屋－夜勤")+COUNTIF('3月'!EN17:EO17,"三軒茶屋－夜勤")+COUNTIF('3月'!ES17:ET17,"三軒茶屋－夜勤")</f>
        <v>0</v>
      </c>
      <c r="O93" s="76">
        <f t="shared" si="30"/>
        <v>0</v>
      </c>
      <c r="P93" s="76">
        <f>COUNTIF('3月'!D17:E17,P$78)+COUNTIF('3月'!I17:J17,P$78)+COUNTIF('3月'!N17:O17,P$78)+COUNTIF('3月'!S17:T17,P$78)+COUNTIF('3月'!X17:Y17,P$78)+COUNTIF('3月'!AC17:AD17,P$78)+COUNTIF('3月'!AH17:AI17,P$78)+COUNTIF('3月'!AM17:AN17,P$78)+COUNTIF('3月'!AR17:AS17,P$78)+COUNTIF('3月'!AW17:AX17,P$78)+COUNTIF('3月'!BB17:BC17,P$78)+COUNTIF('3月'!BG17:BH17,P$78)+COUNTIF('3月'!BL17:BM17,P$78)+COUNTIF('3月'!BQ17:BR17,P$78)+COUNTIF('3月'!BV17:BW17,P$78)+COUNTIF('3月'!CA17:CB17,P$78)+COUNTIF('3月'!CF17:CG17,P$78)+COUNTIF('3月'!CK17:CL17,P$78)+COUNTIF('3月'!CP17:CQ17,P$78)+COUNTIF('3月'!CU17:CV17,P$78)+COUNTIF('3月'!CZ17:DA17,P$78)+COUNTIF('3月'!DE17:DF17,P$78)+COUNTIF('3月'!DJ17:DK17,P$78)+COUNTIF('3月'!DO17:DP17,P$78)+COUNTIF('3月'!DT17:DU17,P$78)+COUNTIF('3月'!DY17:DZ17,P$78)+COUNTIF('3月'!ED17:EE17,P$78)+COUNTIF('3月'!EI17:EJ17,P$78)+COUNTIF('3月'!EN17:EO17,P$78)+COUNTIF('3月'!ES17:ET17,P$78)+COUNTIF('3月'!D17:E17,"荻窪ー夜勤")+COUNTIF('3月'!I17:J17,"荻窪ー夜勤")+COUNTIF('3月'!N17:O17,"荻窪ー夜勤")+COUNTIF('3月'!S17:T17,"荻窪ー夜勤")+COUNTIF('3月'!X17:Y17,"荻窪ー夜勤")+COUNTIF('3月'!AC17:AD17,"荻窪ー夜勤")+COUNTIF('3月'!AH17:AI17,"荻窪ー夜勤")+COUNTIF('3月'!AM17:AN17,"荻窪ー夜勤")+COUNTIF('3月'!AR17:AS17,"荻窪ー夜勤")+COUNTIF('3月'!AW17:AX17,"荻窪ー夜勤")+COUNTIF('3月'!BB17:BC17,"荻窪ー夜勤")+COUNTIF('3月'!BG17:BH17,"荻窪ー夜勤")+COUNTIF('3月'!BL17:BM17,"荻窪ー夜勤")+COUNTIF('3月'!BQ17:BR17,"荻窪ー夜勤")+COUNTIF('3月'!BV17:BW17,"荻窪ー夜勤")+COUNTIF('3月'!CA17:CB17,"荻窪ー夜勤")+COUNTIF('3月'!CF17:CG17,"荻窪ー夜勤")+COUNTIF('3月'!CK17:CL17,"荻窪ー夜勤")+COUNTIF('3月'!CP17:CQ17,"荻窪ー夜勤")+COUNTIF('3月'!CU17:CV17,"荻窪ー夜勤")+COUNTIF('3月'!CZ17:DA17,"荻窪ー夜勤")+COUNTIF('3月'!DE17:DF17,"荻窪ー夜勤")+COUNTIF('3月'!DJ17:DK17,"荻窪ー夜勤")+COUNTIF('3月'!DO17:DP17,"荻窪ー夜勤")+COUNTIF('3月'!DT17:DU17,"荻窪ー夜勤")+COUNTIF('3月'!DY17:DZ17,"荻窪ー夜勤")+COUNTIF('3月'!ED17:EE17,"荻窪ー夜勤")+COUNTIF('3月'!EI17:EJ17,"荻窪ー夜勤")+COUNTIF('3月'!EN17:EO17,"荻窪ー夜勤")+COUNTIF('3月'!ES17:ET17,"荻窪ー夜勤")</f>
        <v>0</v>
      </c>
      <c r="Q93" s="76">
        <f t="shared" si="31"/>
        <v>0</v>
      </c>
      <c r="R93" s="76">
        <f>COUNTIF('3月'!D17:E17,R$78)+COUNTIF('3月'!I17:J17,R$78)+COUNTIF('3月'!N17:O17,R$78)+COUNTIF('3月'!S17:T17,R$78)+COUNTIF('3月'!X17:Y17,R$78)+COUNTIF('3月'!AC17:AD17,R$78)+COUNTIF('3月'!AH17:AI17,R$78)+COUNTIF('3月'!AM17:AN17,R$78)+COUNTIF('3月'!AR17:AS17,R$78)+COUNTIF('3月'!AW17:AX17,R$78)+COUNTIF('3月'!BB17:BC17,R$78)+COUNTIF('3月'!BG17:BH17,R$78)+COUNTIF('3月'!BL17:BM17,R$78)+COUNTIF('3月'!BQ17:BR17,R$78)+COUNTIF('3月'!BV17:BW17,R$78)+COUNTIF('3月'!CA17:CB17,R$78)+COUNTIF('3月'!CF17:CG17,R$78)+COUNTIF('3月'!CK17:CL17,R$78)+COUNTIF('3月'!CP17:CQ17,R$78)+COUNTIF('3月'!CU17:CV17,R$78)+COUNTIF('3月'!CZ17:DA17,R$78)+COUNTIF('3月'!DE17:DF17,R$78)+COUNTIF('3月'!DJ17:DK17,R$78)+COUNTIF('3月'!DO17:DP17,R$78)+COUNTIF('3月'!DT17:DU17,R$78)+COUNTIF('3月'!DY17:DZ17,R$78)+COUNTIF('3月'!ED17:EE17,R$78)+COUNTIF('3月'!EI17:EJ17,R$78)+COUNTIF('3月'!EN17:EO17,R$78)+COUNTIF('3月'!ES17:ET17,R$78)</f>
        <v>0</v>
      </c>
      <c r="S93" s="76">
        <f t="shared" si="32"/>
        <v>0</v>
      </c>
      <c r="T93" s="76">
        <f>COUNTIF('3月'!D17:E17,T$78)+COUNTIF('3月'!I17:J17,T$78)+COUNTIF('3月'!N17:O17,T$78)+COUNTIF('3月'!S17:T17,T$78)+COUNTIF('3月'!X17:Y17,T$78)+COUNTIF('3月'!AC17:AD17,T$78)+COUNTIF('3月'!AH17:AI17,T$78)+COUNTIF('3月'!AM17:AN17,T$78)+COUNTIF('3月'!AR17:AS17,T$78)+COUNTIF('3月'!AW17:AX17,T$78)+COUNTIF('3月'!BB17:BC17,T$78)+COUNTIF('3月'!BG17:BH17,T$78)+COUNTIF('3月'!BL17:BM17,T$78)+COUNTIF('3月'!BQ17:BR17,T$78)+COUNTIF('3月'!BV17:BW17,T$78)+COUNTIF('3月'!CA17:CB17,T$78)+COUNTIF('3月'!CF17:CG17,T$78)+COUNTIF('3月'!CK17:CL17,T$78)+COUNTIF('3月'!CP17:CQ17,T$78)+COUNTIF('3月'!CU17:CV17,T$78)+COUNTIF('3月'!CZ17:DA17,T$78)+COUNTIF('3月'!DE17:DF17,T$78)+COUNTIF('3月'!DJ17:DK17,T$78)+COUNTIF('3月'!DO17:DP17,T$78)+COUNTIF('3月'!DT17:DU17,T$78)+COUNTIF('3月'!DY17:DZ17,T$78)+COUNTIF('3月'!ED17:EE17,T$78)+COUNTIF('3月'!EI17:EJ17,T$78)+COUNTIF('3月'!EN17:EO17,T$78)+COUNTIF('3月'!ES17:ET17,T$78)</f>
        <v>0</v>
      </c>
      <c r="U93" s="76">
        <f t="shared" si="33"/>
        <v>0</v>
      </c>
      <c r="V93" s="76">
        <f>COUNTIF('3月'!D17:E17,V$78)+COUNTIF('3月'!I17:J17,V$78)+COUNTIF('3月'!N17:O17,V$78)+COUNTIF('3月'!S17:T17,V$78)+COUNTIF('3月'!X17:Y17,V$78)+COUNTIF('3月'!AC17:AD17,V$78)+COUNTIF('3月'!AH17:AI17,V$78)+COUNTIF('3月'!AM17:AN17,V$78)+COUNTIF('3月'!AR17:AS17,V$78)+COUNTIF('3月'!AW17:AX17,V$78)+COUNTIF('3月'!BB17:BC17,V$78)+COUNTIF('3月'!BG17:BH17,V$78)+COUNTIF('3月'!BL17:BM17,V$78)+COUNTIF('3月'!BQ17:BR17,V$78)+COUNTIF('3月'!BV17:BW17,V$78)+COUNTIF('3月'!CA17:CB17,V$78)+COUNTIF('3月'!CF17:CG17,V$78)+COUNTIF('3月'!CK17:CL17,V$78)+COUNTIF('3月'!CP17:CQ17,V$78)+COUNTIF('3月'!CU17:CV17,V$78)+COUNTIF('3月'!CZ17:DA17,V$78)+COUNTIF('3月'!DE17:DF17,V$78)+COUNTIF('3月'!DJ17:DK17,V$78)+COUNTIF('3月'!DO17:DP17,V$78)+COUNTIF('3月'!DT17:DU17,V$78)+COUNTIF('3月'!DY17:DZ17,V$78)+COUNTIF('3月'!ED17:EE17,V$78)+COUNTIF('3月'!EI17:EJ17,V$78)+COUNTIF('3月'!EN17:EO17,V$78)+COUNTIF('3月'!ES17:ET17,V$78)</f>
        <v>0</v>
      </c>
      <c r="W93" s="76">
        <f t="shared" si="34"/>
        <v>0</v>
      </c>
      <c r="X93" s="76">
        <f>COUNTIF('3月'!D17:E17,X$78)+COUNTIF('3月'!I17:J17,X$78)+COUNTIF('3月'!N17:O17,X$78)+COUNTIF('3月'!S17:T17,X$78)+COUNTIF('3月'!X17:Y17,X$78)+COUNTIF('3月'!AC17:AD17,X$78)+COUNTIF('3月'!AH17:AI17,X$78)+COUNTIF('3月'!AM17:AN17,X$78)+COUNTIF('3月'!AR17:AS17,X$78)+COUNTIF('3月'!AW17:AX17,X$78)+COUNTIF('3月'!BB17:BC17,X$78)+COUNTIF('3月'!BG17:BH17,X$78)+COUNTIF('3月'!BL17:BM17,X$78)+COUNTIF('3月'!BQ17:BR17,X$78)+COUNTIF('3月'!BV17:BW17,X$78)+COUNTIF('3月'!CA17:CB17,X$78)+COUNTIF('3月'!CF17:CG17,X$78)+COUNTIF('3月'!CK17:CL17,X$78)+COUNTIF('3月'!CP17:CQ17,X$78)+COUNTIF('3月'!CU17:CV17,X$78)+COUNTIF('3月'!CZ17:DA17,X$78)+COUNTIF('3月'!DE17:DF17,X$78)+COUNTIF('3月'!DJ17:DK17,X$78)+COUNTIF('3月'!DO17:DP17,X$78)+COUNTIF('3月'!DT17:DU17,X$78)+COUNTIF('3月'!DY17:DZ17,X$78)+COUNTIF('3月'!ED17:EE17,X$78)+COUNTIF('3月'!EI17:EJ17,X$78)+COUNTIF('3月'!EN17:EO17,X$78)+COUNTIF('3月'!ES17:ET17,X$78)</f>
        <v>0</v>
      </c>
      <c r="Y93" s="76">
        <f t="shared" si="35"/>
        <v>0</v>
      </c>
    </row>
    <row r="94" spans="1:25" ht="18" customHeight="1">
      <c r="A94" s="76">
        <v>15</v>
      </c>
      <c r="B94" s="76">
        <f>COUNTIF('3月'!D18:E18,B$78)+COUNTIF('3月'!I18:J18,B$78)+COUNTIF('3月'!N18:O18,B$78)+COUNTIF('3月'!S18:T18,B$78)+COUNTIF('3月'!X18:Y18,B$78)+COUNTIF('3月'!AC18:AD18,B$78)+COUNTIF('3月'!AH18:AI18,B$78)+COUNTIF('3月'!AM18:AN18,B$78)+COUNTIF('3月'!AR18:AS18,B$78)+COUNTIF('3月'!AW18:AX18,B$78)+COUNTIF('3月'!BB18:BC18,B$78)+COUNTIF('3月'!BG18:BH18,B$78)+COUNTIF('3月'!BL18:BM18,B$78)+COUNTIF('3月'!BQ18:BR18,B$78)+COUNTIF('3月'!BV18:BW18,B$78)+COUNTIF('3月'!CA18:CB18,B$78)+COUNTIF('3月'!CF18:CG18,B$78)+COUNTIF('3月'!CK18:CL18,B$78)+COUNTIF('3月'!CP18:CQ18,B$78)+COUNTIF('3月'!CU18:CV18,B$78)+COUNTIF('3月'!CZ18:DA18,B$78)+COUNTIF('3月'!DE18:DF18,B$78)+COUNTIF('3月'!DJ18:DK18,B$78)+COUNTIF('3月'!DO18:DP18,B$78)+COUNTIF('3月'!DT18:DU18,B$78)+COUNTIF('3月'!DY18:DZ18,B$78)+COUNTIF('3月'!ED18:EE18,B$78)+COUNTIF('3月'!EI18:EJ18,B$78)+COUNTIF('3月'!EN18:EO18,B$78)+COUNTIF('3月'!ES18:ET18,B$78)</f>
        <v>0</v>
      </c>
      <c r="C94" s="76">
        <f t="shared" si="24"/>
        <v>0</v>
      </c>
      <c r="D94" s="76">
        <f>COUNTIF('3月'!D18:E18,D$78)+COUNTIF('3月'!I18:J18,D$78)+COUNTIF('3月'!N18:O18,D$78)+COUNTIF('3月'!S18:T18,D$78)+COUNTIF('3月'!X18:Y18,D$78)+COUNTIF('3月'!AC18:AD18,D$78)+COUNTIF('3月'!AH18:AI18,D$78)+COUNTIF('3月'!AM18:AN18,D$78)+COUNTIF('3月'!AR18:AS18,D$78)+COUNTIF('3月'!AW18:AX18,D$78)+COUNTIF('3月'!BB18:BC18,D$78)+COUNTIF('3月'!BG18:BH18,D$78)+COUNTIF('3月'!BL18:BM18,D$78)+COUNTIF('3月'!BQ18:BR18,D$78)+COUNTIF('3月'!BV18:BW18,D$78)+COUNTIF('3月'!CA18:CB18,D$78)+COUNTIF('3月'!CF18:CG18,D$78)+COUNTIF('3月'!CK18:CL18,D$78)+COUNTIF('3月'!CP18:CQ18,D$78)+COUNTIF('3月'!CU18:CV18,D$78)+COUNTIF('3月'!CZ18:DA18,D$78)+COUNTIF('3月'!DE18:DF18,D$78)+COUNTIF('3月'!DJ18:DK18,D$78)+COUNTIF('3月'!DO18:DP18,D$78)+COUNTIF('3月'!DT18:DU18,D$78)+COUNTIF('3月'!DY18:DZ18,D$78)+COUNTIF('3月'!ED18:EE18,D$78)+COUNTIF('3月'!EI18:EJ18,D$78)+COUNTIF('3月'!EN18:EO18,D$78)+COUNTIF('3月'!ES18:ET18,D$78)</f>
        <v>0</v>
      </c>
      <c r="E94" s="76">
        <f t="shared" si="25"/>
        <v>0</v>
      </c>
      <c r="F94" s="76">
        <f>COUNTIF('3月'!D18:E18,F$78)+COUNTIF('3月'!I18:J18,F$78)+COUNTIF('3月'!N18:O18,F$78)+COUNTIF('3月'!S18:T18,F$78)+COUNTIF('3月'!X18:Y18,F$78)+COUNTIF('3月'!AC18:AD18,F$78)+COUNTIF('3月'!AH18:AI18,F$78)+COUNTIF('3月'!AM18:AN18,F$78)+COUNTIF('3月'!AR18:AS18,F$78)+COUNTIF('3月'!AW18:AX18,F$78)+COUNTIF('3月'!BB18:BC18,F$78)+COUNTIF('3月'!BG18:BH18,F$78)+COUNTIF('3月'!BL18:BM18,F$78)+COUNTIF('3月'!BQ18:BR18,F$78)+COUNTIF('3月'!BV18:BW18,F$78)+COUNTIF('3月'!CA18:CB18,F$78)+COUNTIF('3月'!CF18:CG18,F$78)+COUNTIF('3月'!CK18:CL18,F$78)+COUNTIF('3月'!CP18:CQ18,F$78)+COUNTIF('3月'!CU18:CV18,F$78)+COUNTIF('3月'!CZ18:DA18,F$78)+COUNTIF('3月'!DE18:DF18,F$78)+COUNTIF('3月'!DJ18:DK18,F$78)+COUNTIF('3月'!DO18:DP18,F$78)+COUNTIF('3月'!DT18:DU18,F$78)+COUNTIF('3月'!DY18:DZ18,F$78)+COUNTIF('3月'!ED18:EE18,F$78)+COUNTIF('3月'!EI18:EJ18,F$78)+COUNTIF('3月'!EN18:EO18,F$78)+COUNTIF('3月'!ES18:ET18,F$78)</f>
        <v>0</v>
      </c>
      <c r="G94" s="76">
        <f t="shared" si="26"/>
        <v>0</v>
      </c>
      <c r="H94" s="76">
        <f>COUNTIF('3月'!D18:E18,H$78)+COUNTIF('3月'!I18:J18,H$78)+COUNTIF('3月'!N18:O18,H$78)+COUNTIF('3月'!S18:T18,H$78)+COUNTIF('3月'!X18:Y18,H$78)+COUNTIF('3月'!AC18:AD18,H$78)+COUNTIF('3月'!AH18:AI18,H$78)+COUNTIF('3月'!AM18:AN18,H$78)+COUNTIF('3月'!AR18:AS18,H$78)+COUNTIF('3月'!AW18:AX18,H$78)+COUNTIF('3月'!BB18:BC18,H$78)+COUNTIF('3月'!BG18:BH18,H$78)+COUNTIF('3月'!BL18:BM18,H$78)+COUNTIF('3月'!BQ18:BR18,H$78)+COUNTIF('3月'!BV18:BW18,H$78)+COUNTIF('3月'!CA18:CB18,H$78)+COUNTIF('3月'!CF18:CG18,H$78)+COUNTIF('3月'!CK18:CL18,H$78)+COUNTIF('3月'!CP18:CQ18,H$78)+COUNTIF('3月'!CU18:CV18,H$78)+COUNTIF('3月'!CZ18:DA18,H$78)+COUNTIF('3月'!DE18:DF18,H$78)+COUNTIF('3月'!DJ18:DK18,H$78)+COUNTIF('3月'!DO18:DP18,H$78)+COUNTIF('3月'!DT18:DU18,H$78)+COUNTIF('3月'!DY18:DZ18,H$78)+COUNTIF('3月'!ED18:EE18,H$78)+COUNTIF('3月'!EI18:EJ18,H$78)+COUNTIF('3月'!EN18:EO18,H$78)+COUNTIF('3月'!ES18:ET18,H$78)+COUNTIF('3月'!D18:E18,"渋谷-夜勤")+COUNTIF('3月'!I18:J18,"渋谷-夜勤")+COUNTIF('3月'!N18:O18,"渋谷-夜勤")+COUNTIF('3月'!S18:T18,"渋谷-夜勤")+COUNTIF('3月'!X18:Y18,"渋谷-夜勤")+COUNTIF('3月'!AC18:AD18,"渋谷-夜勤")+COUNTIF('3月'!AH18:AI18,"渋谷-夜勤")+COUNTIF('3月'!AM18:AN18,"渋谷-夜勤")+COUNTIF('3月'!AR18:AS18,"渋谷-夜勤")+COUNTIF('3月'!AW18:AX18,"渋谷-夜勤")+COUNTIF('3月'!BB18:BC18,"渋谷-夜勤")+COUNTIF('3月'!BG18:BH18,"渋谷-夜勤")+COUNTIF('3月'!BL18:BM18,"渋谷-夜勤")+COUNTIF('3月'!BQ18:BR18,"渋谷-夜勤")+COUNTIF('3月'!BV18:BW18,"渋谷-夜勤")+COUNTIF('3月'!CA18:CB18,"渋谷-夜勤")+COUNTIF('3月'!CF18:CG18,"渋谷-夜勤")+COUNTIF('3月'!CK18:CL18,"渋谷-夜勤")+COUNTIF('3月'!CP18:CQ18,"渋谷-夜勤")+COUNTIF('3月'!CU18:CV18,"渋谷-夜勤")+COUNTIF('3月'!CZ18:DA18,"渋谷-夜勤")+COUNTIF('3月'!DE18:DF18,"渋谷-夜勤")+COUNTIF('3月'!DJ18:DK18,"渋谷-夜勤")+COUNTIF('3月'!DO18:DP18,"渋谷-夜勤")+COUNTIF('3月'!DT18:DU18,"渋谷-夜勤")+COUNTIF('3月'!DY18:DZ18,"渋谷-夜勤")+COUNTIF('3月'!ED18:EE18,"渋谷-夜勤")+COUNTIF('3月'!EI18:EJ18,"渋谷-夜勤")+COUNTIF('3月'!EN18:EO18,"渋谷-夜勤")+COUNTIF('3月'!ES18:ET18,"渋谷-夜勤")</f>
        <v>0</v>
      </c>
      <c r="I94" s="76">
        <f t="shared" si="27"/>
        <v>0</v>
      </c>
      <c r="J94" s="76">
        <f>COUNTIF('3月'!D18:E18,J$78)+COUNTIF('3月'!I18:J18,J$78)+COUNTIF('3月'!N18:O18,J$78)+COUNTIF('3月'!S18:T18,J$78)+COUNTIF('3月'!X18:Y18,J$78)+COUNTIF('3月'!AC18:AD18,J$78)+COUNTIF('3月'!AH18:AI18,J$78)+COUNTIF('3月'!AM18:AN18,J$78)+COUNTIF('3月'!AR18:AS18,J$78)+COUNTIF('3月'!AW18:AX18,J$78)+COUNTIF('3月'!BB18:BC18,J$78)+COUNTIF('3月'!BG18:BH18,J$78)+COUNTIF('3月'!BL18:BM18,J$78)+COUNTIF('3月'!BQ18:BR18,J$78)+COUNTIF('3月'!BV18:BW18,J$78)+COUNTIF('3月'!CA18:CB18,J$78)+COUNTIF('3月'!CF18:CG18,J$78)+COUNTIF('3月'!CK18:CL18,J$78)+COUNTIF('3月'!CP18:CQ18,J$78)+COUNTIF('3月'!CU18:CV18,J$78)+COUNTIF('3月'!CZ18:DA18,J$78)+COUNTIF('3月'!DE18:DF18,J$78)+COUNTIF('3月'!DJ18:DK18,J$78)+COUNTIF('3月'!DO18:DP18,J$78)+COUNTIF('3月'!DT18:DU18,J$78)+COUNTIF('3月'!DY18:DZ18,J$78)+COUNTIF('3月'!ED18:EE18,J$78)+COUNTIF('3月'!EI18:EJ18,J$78)+COUNTIF('3月'!EN18:EO18,J$78)+COUNTIF('3月'!ES18:ET18,J$78)+COUNTIF('3月'!D18:E18,"六本木-夜勤")+COUNTIF('3月'!I18:J18,"六本木-夜勤")+COUNTIF('3月'!N18:O18,"六本木-夜勤")+COUNTIF('3月'!S18:T18,"六本木-夜勤")+COUNTIF('3月'!X18:Y18,"六本木-夜勤")+COUNTIF('3月'!AC18:AD18,"六本木-夜勤")+COUNTIF('3月'!AH18:AI18,"六本木-夜勤")+COUNTIF('3月'!AM18:AN18,"六本木-夜勤")+COUNTIF('3月'!AR18:AS18,"六本木-夜勤")+COUNTIF('3月'!AW18:AX18,"六本木-夜勤")+COUNTIF('3月'!BB18:BC18,"六本木-夜勤")+COUNTIF('3月'!BG18:BH18,"六本木-夜勤")+COUNTIF('3月'!BL18:BM18,"六本木-夜勤")+COUNTIF('3月'!BQ18:BR18,"六本木-夜勤")+COUNTIF('3月'!BV18:BW18,"六本木-夜勤")+COUNTIF('3月'!CA18:CB18,"六本木-夜勤")+COUNTIF('3月'!CF18:CG18,"六本木-夜勤")+COUNTIF('3月'!CK18:CL18,"六本木-夜勤")+COUNTIF('3月'!CP18:CQ18,"六本木-夜勤")+COUNTIF('3月'!CU18:CV18,"六本木-夜勤")+COUNTIF('3月'!CZ18:DA18,"六本木-夜勤")+COUNTIF('3月'!DE18:DF18,"六本木-夜勤")+COUNTIF('3月'!DJ18:DK18,"六本木-夜勤")+COUNTIF('3月'!DO18:DP18,"六本木-夜勤")+COUNTIF('3月'!DT18:DU18,"六本木-夜勤")+COUNTIF('3月'!DY18:DZ18,"六本木-夜勤")+COUNTIF('3月'!ED18:EE18,"六本木-夜勤")+COUNTIF('3月'!EI18:EJ18,"六本木-夜勤")+COUNTIF('3月'!EN18:EO18,"六本木-夜勤")+COUNTIF('3月'!ES18:ET18,"六本木-夜勤")+COUNTIF('3月'!D18:E18,"六本木ー夜勤")+COUNTIF('3月'!I18:J18,"六本木ー夜勤")+COUNTIF('3月'!N18:O18,"六本木ー夜勤")+COUNTIF('3月'!S18:T18,"六本木ー夜勤")+COUNTIF('3月'!X18:Y18,"六本木ー夜勤")+COUNTIF('3月'!AC18:AD18,"六本木ー夜勤")+COUNTIF('3月'!AH18:AI18,"六本木ー夜勤")+COUNTIF('3月'!AM18:AN18,"六本木ー夜勤")+COUNTIF('3月'!AR18:AS18,"六本木ー夜勤")+COUNTIF('3月'!AW18:AX18,"六本木ー夜勤")+COUNTIF('3月'!BB18:BC18,"六本木ー夜勤")+COUNTIF('3月'!BG18:BH18,"六本木ー夜勤")+COUNTIF('3月'!BL18:BM18,"六本木ー夜勤")+COUNTIF('3月'!BQ18:BR18,"六本木ー夜勤")+COUNTIF('3月'!BV18:BW18,"六本木ー夜勤")+COUNTIF('3月'!CA18:CB18,"六本木ー夜勤")+COUNTIF('3月'!CF18:CG18,"六本木ー夜勤")+COUNTIF('3月'!CK18:CL18,"六本木ー夜勤")+COUNTIF('3月'!CP18:CQ18,"六本木ー夜勤")+COUNTIF('3月'!CU18:CV18,"六本木ー夜勤")+COUNTIF('3月'!CZ18:DA18,"六本木ー夜勤")+COUNTIF('3月'!DE18:DF18,"六本木ー夜勤")+COUNTIF('3月'!DJ18:DK18,"六本木ー夜勤")+COUNTIF('3月'!DO18:DP18,"六本木ー夜勤")+COUNTIF('3月'!DT18:DU18,"六本木ー夜勤")+COUNTIF('3月'!DY18:DZ18,"六本木ー夜勤")+COUNTIF('3月'!ED18:EE18,"六本木ー夜勤")+COUNTIF('3月'!EI18:EJ18,"六本木ー夜勤")+COUNTIF('3月'!EN18:EO18,"六本木ー夜勤")+COUNTIF('3月'!ES18:ET18,"六本木ー夜勤")</f>
        <v>0</v>
      </c>
      <c r="K94" s="76">
        <f t="shared" si="28"/>
        <v>0</v>
      </c>
      <c r="L94" s="76">
        <f>COUNTIF('3月'!D18:E18,L$78)+COUNTIF('3月'!I18:J18,L$78)+COUNTIF('3月'!N18:O18,L$78)+COUNTIF('3月'!S18:T18,L$78)+COUNTIF('3月'!X18:Y18,L$78)+COUNTIF('3月'!AC18:AD18,L$78)+COUNTIF('3月'!AH18:AI18,L$78)+COUNTIF('3月'!AM18:AN18,L$78)+COUNTIF('3月'!AR18:AS18,L$78)+COUNTIF('3月'!AW18:AX18,L$78)+COUNTIF('3月'!BB18:BC18,L$78)+COUNTIF('3月'!BG18:BH18,L$78)+COUNTIF('3月'!BL18:BM18,L$78)+COUNTIF('3月'!BQ18:BR18,L$78)+COUNTIF('3月'!BV18:BW18,L$78)+COUNTIF('3月'!CA18:CB18,L$78)+COUNTIF('3月'!CF18:CG18,L$78)+COUNTIF('3月'!CK18:CL18,L$78)+COUNTIF('3月'!CP18:CQ18,L$78)+COUNTIF('3月'!CU18:CV18,L$78)+COUNTIF('3月'!CZ18:DA18,L$78)+COUNTIF('3月'!DE18:DF18,L$78)+COUNTIF('3月'!DJ18:DK18,L$78)+COUNTIF('3月'!DO18:DP18,L$78)+COUNTIF('3月'!DT18:DU18,L$78)+COUNTIF('3月'!DY18:DZ18,L$78)+COUNTIF('3月'!ED18:EE18,L$78)+COUNTIF('3月'!EI18:EJ18,L$78)+COUNTIF('3月'!EN18:EO18,L$78)+COUNTIF('3月'!ES18:ET18,L$78)</f>
        <v>0</v>
      </c>
      <c r="M94" s="76">
        <f t="shared" si="29"/>
        <v>0</v>
      </c>
      <c r="N94" s="76">
        <f>COUNTIF('3月'!D18:E18,N$78)+COUNTIF('3月'!I18:J18,N$78)+COUNTIF('3月'!N18:O18,N$78)+COUNTIF('3月'!S18:T18,N$78)+COUNTIF('3月'!X18:Y18,N$78)+COUNTIF('3月'!AC18:AD18,N$78)+COUNTIF('3月'!AH18:AI18,N$78)+COUNTIF('3月'!AM18:AN18,N$78)+COUNTIF('3月'!AR18:AS18,N$78)+COUNTIF('3月'!AW18:AX18,N$78)+COUNTIF('3月'!BB18:BC18,N$78)+COUNTIF('3月'!BG18:BH18,N$78)+COUNTIF('3月'!BL18:BM18,N$78)+COUNTIF('3月'!BQ18:BR18,N$78)+COUNTIF('3月'!BV18:BW18,N$78)+COUNTIF('3月'!CA18:CB18,N$78)+COUNTIF('3月'!CF18:CG18,N$78)+COUNTIF('3月'!CK18:CL18,N$78)+COUNTIF('3月'!CP18:CQ18,N$78)+COUNTIF('3月'!CU18:CV18,N$78)+COUNTIF('3月'!CZ18:DA18,N$78)+COUNTIF('3月'!DE18:DF18,N$78)+COUNTIF('3月'!DJ18:DK18,N$78)+COUNTIF('3月'!DO18:DP18,N$78)+COUNTIF('3月'!DT18:DU18,N$78)+COUNTIF('3月'!DY18:DZ18,N$78)+COUNTIF('3月'!ED18:EE18,N$78)+COUNTIF('3月'!EI18:EJ18,N$78)+COUNTIF('3月'!EN18:EO18,N$78)+COUNTIF('3月'!ES18:ET18,N$78)+COUNTIF('3月'!D18:E18,"三軒茶屋－夜勤")+COUNTIF('3月'!I18:J18,"三軒茶屋－夜勤")+COUNTIF('3月'!N18:O18,"三軒茶屋－夜勤")+COUNTIF('3月'!S18:T18,"三軒茶屋－夜勤")+COUNTIF('3月'!X18:Y18,"三軒茶屋－夜勤")+COUNTIF('3月'!AC18:AD18,"三軒茶屋－夜勤")+COUNTIF('3月'!AH18:AI18,"三軒茶屋－夜勤")+COUNTIF('3月'!AM18:AN18,"三軒茶屋－夜勤")+COUNTIF('3月'!AR18:AS18,"三軒茶屋－夜勤")+COUNTIF('3月'!AW18:AX18,"三軒茶屋－夜勤")+COUNTIF('3月'!BB18:BC18,"三軒茶屋－夜勤")+COUNTIF('3月'!BG18:BH18,"三軒茶屋－夜勤")+COUNTIF('3月'!BL18:BM18,"三軒茶屋－夜勤")+COUNTIF('3月'!BQ18:BR18,"三軒茶屋－夜勤")+COUNTIF('3月'!BV18:BW18,"三軒茶屋－夜勤")+COUNTIF('3月'!CA18:CB18,"三軒茶屋－夜勤")+COUNTIF('3月'!CF18:CG18,"三軒茶屋－夜勤")+COUNTIF('3月'!CK18:CL18,"三軒茶屋－夜勤")+COUNTIF('3月'!CP18:CQ18,"三軒茶屋－夜勤")+COUNTIF('3月'!CU18:CV18,"三軒茶屋－夜勤")+COUNTIF('3月'!CZ18:DA18,"三軒茶屋－夜勤")+COUNTIF('3月'!DE18:DF18,"三軒茶屋－夜勤")+COUNTIF('3月'!DJ18:DK18,"三軒茶屋－夜勤")+COUNTIF('3月'!DO18:DP18,"三軒茶屋－夜勤")+COUNTIF('3月'!DT18:DU18,"三軒茶屋－夜勤")+COUNTIF('3月'!DY18:DZ18,"三軒茶屋－夜勤")+COUNTIF('3月'!ED18:EE18,"三軒茶屋－夜勤")+COUNTIF('3月'!EI18:EJ18,"三軒茶屋－夜勤")+COUNTIF('3月'!EN18:EO18,"三軒茶屋－夜勤")+COUNTIF('3月'!ES18:ET18,"三軒茶屋－夜勤")</f>
        <v>0</v>
      </c>
      <c r="O94" s="76">
        <f t="shared" si="30"/>
        <v>0</v>
      </c>
      <c r="P94" s="76">
        <f>COUNTIF('3月'!D18:E18,P$78)+COUNTIF('3月'!I18:J18,P$78)+COUNTIF('3月'!N18:O18,P$78)+COUNTIF('3月'!S18:T18,P$78)+COUNTIF('3月'!X18:Y18,P$78)+COUNTIF('3月'!AC18:AD18,P$78)+COUNTIF('3月'!AH18:AI18,P$78)+COUNTIF('3月'!AM18:AN18,P$78)+COUNTIF('3月'!AR18:AS18,P$78)+COUNTIF('3月'!AW18:AX18,P$78)+COUNTIF('3月'!BB18:BC18,P$78)+COUNTIF('3月'!BG18:BH18,P$78)+COUNTIF('3月'!BL18:BM18,P$78)+COUNTIF('3月'!BQ18:BR18,P$78)+COUNTIF('3月'!BV18:BW18,P$78)+COUNTIF('3月'!CA18:CB18,P$78)+COUNTIF('3月'!CF18:CG18,P$78)+COUNTIF('3月'!CK18:CL18,P$78)+COUNTIF('3月'!CP18:CQ18,P$78)+COUNTIF('3月'!CU18:CV18,P$78)+COUNTIF('3月'!CZ18:DA18,P$78)+COUNTIF('3月'!DE18:DF18,P$78)+COUNTIF('3月'!DJ18:DK18,P$78)+COUNTIF('3月'!DO18:DP18,P$78)+COUNTIF('3月'!DT18:DU18,P$78)+COUNTIF('3月'!DY18:DZ18,P$78)+COUNTIF('3月'!ED18:EE18,P$78)+COUNTIF('3月'!EI18:EJ18,P$78)+COUNTIF('3月'!EN18:EO18,P$78)+COUNTIF('3月'!ES18:ET18,P$78)+COUNTIF('3月'!D18:E18,"荻窪ー夜勤")+COUNTIF('3月'!I18:J18,"荻窪ー夜勤")+COUNTIF('3月'!N18:O18,"荻窪ー夜勤")+COUNTIF('3月'!S18:T18,"荻窪ー夜勤")+COUNTIF('3月'!X18:Y18,"荻窪ー夜勤")+COUNTIF('3月'!AC18:AD18,"荻窪ー夜勤")+COUNTIF('3月'!AH18:AI18,"荻窪ー夜勤")+COUNTIF('3月'!AM18:AN18,"荻窪ー夜勤")+COUNTIF('3月'!AR18:AS18,"荻窪ー夜勤")+COUNTIF('3月'!AW18:AX18,"荻窪ー夜勤")+COUNTIF('3月'!BB18:BC18,"荻窪ー夜勤")+COUNTIF('3月'!BG18:BH18,"荻窪ー夜勤")+COUNTIF('3月'!BL18:BM18,"荻窪ー夜勤")+COUNTIF('3月'!BQ18:BR18,"荻窪ー夜勤")+COUNTIF('3月'!BV18:BW18,"荻窪ー夜勤")+COUNTIF('3月'!CA18:CB18,"荻窪ー夜勤")+COUNTIF('3月'!CF18:CG18,"荻窪ー夜勤")+COUNTIF('3月'!CK18:CL18,"荻窪ー夜勤")+COUNTIF('3月'!CP18:CQ18,"荻窪ー夜勤")+COUNTIF('3月'!CU18:CV18,"荻窪ー夜勤")+COUNTIF('3月'!CZ18:DA18,"荻窪ー夜勤")+COUNTIF('3月'!DE18:DF18,"荻窪ー夜勤")+COUNTIF('3月'!DJ18:DK18,"荻窪ー夜勤")+COUNTIF('3月'!DO18:DP18,"荻窪ー夜勤")+COUNTIF('3月'!DT18:DU18,"荻窪ー夜勤")+COUNTIF('3月'!DY18:DZ18,"荻窪ー夜勤")+COUNTIF('3月'!ED18:EE18,"荻窪ー夜勤")+COUNTIF('3月'!EI18:EJ18,"荻窪ー夜勤")+COUNTIF('3月'!EN18:EO18,"荻窪ー夜勤")+COUNTIF('3月'!ES18:ET18,"荻窪ー夜勤")</f>
        <v>0</v>
      </c>
      <c r="Q94" s="76">
        <f t="shared" si="31"/>
        <v>0</v>
      </c>
      <c r="R94" s="76">
        <f>COUNTIF('3月'!D18:E18,R$78)+COUNTIF('3月'!I18:J18,R$78)+COUNTIF('3月'!N18:O18,R$78)+COUNTIF('3月'!S18:T18,R$78)+COUNTIF('3月'!X18:Y18,R$78)+COUNTIF('3月'!AC18:AD18,R$78)+COUNTIF('3月'!AH18:AI18,R$78)+COUNTIF('3月'!AM18:AN18,R$78)+COUNTIF('3月'!AR18:AS18,R$78)+COUNTIF('3月'!AW18:AX18,R$78)+COUNTIF('3月'!BB18:BC18,R$78)+COUNTIF('3月'!BG18:BH18,R$78)+COUNTIF('3月'!BL18:BM18,R$78)+COUNTIF('3月'!BQ18:BR18,R$78)+COUNTIF('3月'!BV18:BW18,R$78)+COUNTIF('3月'!CA18:CB18,R$78)+COUNTIF('3月'!CF18:CG18,R$78)+COUNTIF('3月'!CK18:CL18,R$78)+COUNTIF('3月'!CP18:CQ18,R$78)+COUNTIF('3月'!CU18:CV18,R$78)+COUNTIF('3月'!CZ18:DA18,R$78)+COUNTIF('3月'!DE18:DF18,R$78)+COUNTIF('3月'!DJ18:DK18,R$78)+COUNTIF('3月'!DO18:DP18,R$78)+COUNTIF('3月'!DT18:DU18,R$78)+COUNTIF('3月'!DY18:DZ18,R$78)+COUNTIF('3月'!ED18:EE18,R$78)+COUNTIF('3月'!EI18:EJ18,R$78)+COUNTIF('3月'!EN18:EO18,R$78)+COUNTIF('3月'!ES18:ET18,R$78)</f>
        <v>0</v>
      </c>
      <c r="S94" s="76">
        <f t="shared" si="32"/>
        <v>0</v>
      </c>
      <c r="T94" s="76">
        <f>COUNTIF('3月'!D18:E18,T$78)+COUNTIF('3月'!I18:J18,T$78)+COUNTIF('3月'!N18:O18,T$78)+COUNTIF('3月'!S18:T18,T$78)+COUNTIF('3月'!X18:Y18,T$78)+COUNTIF('3月'!AC18:AD18,T$78)+COUNTIF('3月'!AH18:AI18,T$78)+COUNTIF('3月'!AM18:AN18,T$78)+COUNTIF('3月'!AR18:AS18,T$78)+COUNTIF('3月'!AW18:AX18,T$78)+COUNTIF('3月'!BB18:BC18,T$78)+COUNTIF('3月'!BG18:BH18,T$78)+COUNTIF('3月'!BL18:BM18,T$78)+COUNTIF('3月'!BQ18:BR18,T$78)+COUNTIF('3月'!BV18:BW18,T$78)+COUNTIF('3月'!CA18:CB18,T$78)+COUNTIF('3月'!CF18:CG18,T$78)+COUNTIF('3月'!CK18:CL18,T$78)+COUNTIF('3月'!CP18:CQ18,T$78)+COUNTIF('3月'!CU18:CV18,T$78)+COUNTIF('3月'!CZ18:DA18,T$78)+COUNTIF('3月'!DE18:DF18,T$78)+COUNTIF('3月'!DJ18:DK18,T$78)+COUNTIF('3月'!DO18:DP18,T$78)+COUNTIF('3月'!DT18:DU18,T$78)+COUNTIF('3月'!DY18:DZ18,T$78)+COUNTIF('3月'!ED18:EE18,T$78)+COUNTIF('3月'!EI18:EJ18,T$78)+COUNTIF('3月'!EN18:EO18,T$78)+COUNTIF('3月'!ES18:ET18,T$78)</f>
        <v>0</v>
      </c>
      <c r="U94" s="76">
        <f t="shared" si="33"/>
        <v>0</v>
      </c>
      <c r="V94" s="76">
        <f>COUNTIF('3月'!D18:E18,V$78)+COUNTIF('3月'!I18:J18,V$78)+COUNTIF('3月'!N18:O18,V$78)+COUNTIF('3月'!S18:T18,V$78)+COUNTIF('3月'!X18:Y18,V$78)+COUNTIF('3月'!AC18:AD18,V$78)+COUNTIF('3月'!AH18:AI18,V$78)+COUNTIF('3月'!AM18:AN18,V$78)+COUNTIF('3月'!AR18:AS18,V$78)+COUNTIF('3月'!AW18:AX18,V$78)+COUNTIF('3月'!BB18:BC18,V$78)+COUNTIF('3月'!BG18:BH18,V$78)+COUNTIF('3月'!BL18:BM18,V$78)+COUNTIF('3月'!BQ18:BR18,V$78)+COUNTIF('3月'!BV18:BW18,V$78)+COUNTIF('3月'!CA18:CB18,V$78)+COUNTIF('3月'!CF18:CG18,V$78)+COUNTIF('3月'!CK18:CL18,V$78)+COUNTIF('3月'!CP18:CQ18,V$78)+COUNTIF('3月'!CU18:CV18,V$78)+COUNTIF('3月'!CZ18:DA18,V$78)+COUNTIF('3月'!DE18:DF18,V$78)+COUNTIF('3月'!DJ18:DK18,V$78)+COUNTIF('3月'!DO18:DP18,V$78)+COUNTIF('3月'!DT18:DU18,V$78)+COUNTIF('3月'!DY18:DZ18,V$78)+COUNTIF('3月'!ED18:EE18,V$78)+COUNTIF('3月'!EI18:EJ18,V$78)+COUNTIF('3月'!EN18:EO18,V$78)+COUNTIF('3月'!ES18:ET18,V$78)</f>
        <v>0</v>
      </c>
      <c r="W94" s="76">
        <f t="shared" si="34"/>
        <v>0</v>
      </c>
      <c r="X94" s="76">
        <f>COUNTIF('3月'!D18:E18,X$78)+COUNTIF('3月'!I18:J18,X$78)+COUNTIF('3月'!N18:O18,X$78)+COUNTIF('3月'!S18:T18,X$78)+COUNTIF('3月'!X18:Y18,X$78)+COUNTIF('3月'!AC18:AD18,X$78)+COUNTIF('3月'!AH18:AI18,X$78)+COUNTIF('3月'!AM18:AN18,X$78)+COUNTIF('3月'!AR18:AS18,X$78)+COUNTIF('3月'!AW18:AX18,X$78)+COUNTIF('3月'!BB18:BC18,X$78)+COUNTIF('3月'!BG18:BH18,X$78)+COUNTIF('3月'!BL18:BM18,X$78)+COUNTIF('3月'!BQ18:BR18,X$78)+COUNTIF('3月'!BV18:BW18,X$78)+COUNTIF('3月'!CA18:CB18,X$78)+COUNTIF('3月'!CF18:CG18,X$78)+COUNTIF('3月'!CK18:CL18,X$78)+COUNTIF('3月'!CP18:CQ18,X$78)+COUNTIF('3月'!CU18:CV18,X$78)+COUNTIF('3月'!CZ18:DA18,X$78)+COUNTIF('3月'!DE18:DF18,X$78)+COUNTIF('3月'!DJ18:DK18,X$78)+COUNTIF('3月'!DO18:DP18,X$78)+COUNTIF('3月'!DT18:DU18,X$78)+COUNTIF('3月'!DY18:DZ18,X$78)+COUNTIF('3月'!ED18:EE18,X$78)+COUNTIF('3月'!EI18:EJ18,X$78)+COUNTIF('3月'!EN18:EO18,X$78)+COUNTIF('3月'!ES18:ET18,X$78)</f>
        <v>0</v>
      </c>
      <c r="Y94" s="76">
        <f t="shared" si="35"/>
        <v>0</v>
      </c>
    </row>
    <row r="95" spans="1:25" ht="18" customHeight="1">
      <c r="A95" s="76">
        <v>16</v>
      </c>
      <c r="B95" s="76">
        <f>COUNTIF('3月'!D19:E19,B$78)+COUNTIF('3月'!I19:J19,B$78)+COUNTIF('3月'!N19:O19,B$78)+COUNTIF('3月'!S19:T19,B$78)+COUNTIF('3月'!X19:Y19,B$78)+COUNTIF('3月'!AC19:AD19,B$78)+COUNTIF('3月'!AH19:AI19,B$78)+COUNTIF('3月'!AM19:AN19,B$78)+COUNTIF('3月'!AR19:AS19,B$78)+COUNTIF('3月'!AW19:AX19,B$78)+COUNTIF('3月'!BB19:BC19,B$78)+COUNTIF('3月'!BG19:BH19,B$78)+COUNTIF('3月'!BL19:BM19,B$78)+COUNTIF('3月'!BQ19:BR19,B$78)+COUNTIF('3月'!BV19:BW19,B$78)+COUNTIF('3月'!CA19:CB19,B$78)+COUNTIF('3月'!CF19:CG19,B$78)+COUNTIF('3月'!CK19:CL19,B$78)+COUNTIF('3月'!CP19:CQ19,B$78)+COUNTIF('3月'!CU19:CV19,B$78)+COUNTIF('3月'!CZ19:DA19,B$78)+COUNTIF('3月'!DE19:DF19,B$78)+COUNTIF('3月'!DJ19:DK19,B$78)+COUNTIF('3月'!DO19:DP19,B$78)+COUNTIF('3月'!DT19:DU19,B$78)+COUNTIF('3月'!DY19:DZ19,B$78)+COUNTIF('3月'!ED19:EE19,B$78)+COUNTIF('3月'!EI19:EJ19,B$78)+COUNTIF('3月'!EN19:EO19,B$78)+COUNTIF('3月'!ES19:ET19,B$78)</f>
        <v>0</v>
      </c>
      <c r="C95" s="76">
        <f t="shared" si="24"/>
        <v>0</v>
      </c>
      <c r="D95" s="76">
        <f>COUNTIF('3月'!D19:E19,D$78)+COUNTIF('3月'!I19:J19,D$78)+COUNTIF('3月'!N19:O19,D$78)+COUNTIF('3月'!S19:T19,D$78)+COUNTIF('3月'!X19:Y19,D$78)+COUNTIF('3月'!AC19:AD19,D$78)+COUNTIF('3月'!AH19:AI19,D$78)+COUNTIF('3月'!AM19:AN19,D$78)+COUNTIF('3月'!AR19:AS19,D$78)+COUNTIF('3月'!AW19:AX19,D$78)+COUNTIF('3月'!BB19:BC19,D$78)+COUNTIF('3月'!BG19:BH19,D$78)+COUNTIF('3月'!BL19:BM19,D$78)+COUNTIF('3月'!BQ19:BR19,D$78)+COUNTIF('3月'!BV19:BW19,D$78)+COUNTIF('3月'!CA19:CB19,D$78)+COUNTIF('3月'!CF19:CG19,D$78)+COUNTIF('3月'!CK19:CL19,D$78)+COUNTIF('3月'!CP19:CQ19,D$78)+COUNTIF('3月'!CU19:CV19,D$78)+COUNTIF('3月'!CZ19:DA19,D$78)+COUNTIF('3月'!DE19:DF19,D$78)+COUNTIF('3月'!DJ19:DK19,D$78)+COUNTIF('3月'!DO19:DP19,D$78)+COUNTIF('3月'!DT19:DU19,D$78)+COUNTIF('3月'!DY19:DZ19,D$78)+COUNTIF('3月'!ED19:EE19,D$78)+COUNTIF('3月'!EI19:EJ19,D$78)+COUNTIF('3月'!EN19:EO19,D$78)+COUNTIF('3月'!ES19:ET19,D$78)</f>
        <v>0</v>
      </c>
      <c r="E95" s="76">
        <f t="shared" si="25"/>
        <v>0</v>
      </c>
      <c r="F95" s="76">
        <f>COUNTIF('3月'!D19:E19,F$78)+COUNTIF('3月'!I19:J19,F$78)+COUNTIF('3月'!N19:O19,F$78)+COUNTIF('3月'!S19:T19,F$78)+COUNTIF('3月'!X19:Y19,F$78)+COUNTIF('3月'!AC19:AD19,F$78)+COUNTIF('3月'!AH19:AI19,F$78)+COUNTIF('3月'!AM19:AN19,F$78)+COUNTIF('3月'!AR19:AS19,F$78)+COUNTIF('3月'!AW19:AX19,F$78)+COUNTIF('3月'!BB19:BC19,F$78)+COUNTIF('3月'!BG19:BH19,F$78)+COUNTIF('3月'!BL19:BM19,F$78)+COUNTIF('3月'!BQ19:BR19,F$78)+COUNTIF('3月'!BV19:BW19,F$78)+COUNTIF('3月'!CA19:CB19,F$78)+COUNTIF('3月'!CF19:CG19,F$78)+COUNTIF('3月'!CK19:CL19,F$78)+COUNTIF('3月'!CP19:CQ19,F$78)+COUNTIF('3月'!CU19:CV19,F$78)+COUNTIF('3月'!CZ19:DA19,F$78)+COUNTIF('3月'!DE19:DF19,F$78)+COUNTIF('3月'!DJ19:DK19,F$78)+COUNTIF('3月'!DO19:DP19,F$78)+COUNTIF('3月'!DT19:DU19,F$78)+COUNTIF('3月'!DY19:DZ19,F$78)+COUNTIF('3月'!ED19:EE19,F$78)+COUNTIF('3月'!EI19:EJ19,F$78)+COUNTIF('3月'!EN19:EO19,F$78)+COUNTIF('3月'!ES19:ET19,F$78)</f>
        <v>0</v>
      </c>
      <c r="G95" s="76">
        <f t="shared" si="26"/>
        <v>0</v>
      </c>
      <c r="H95" s="76">
        <f>COUNTIF('3月'!D19:E19,H$78)+COUNTIF('3月'!I19:J19,H$78)+COUNTIF('3月'!N19:O19,H$78)+COUNTIF('3月'!S19:T19,H$78)+COUNTIF('3月'!X19:Y19,H$78)+COUNTIF('3月'!AC19:AD19,H$78)+COUNTIF('3月'!AH19:AI19,H$78)+COUNTIF('3月'!AM19:AN19,H$78)+COUNTIF('3月'!AR19:AS19,H$78)+COUNTIF('3月'!AW19:AX19,H$78)+COUNTIF('3月'!BB19:BC19,H$78)+COUNTIF('3月'!BG19:BH19,H$78)+COUNTIF('3月'!BL19:BM19,H$78)+COUNTIF('3月'!BQ19:BR19,H$78)+COUNTIF('3月'!BV19:BW19,H$78)+COUNTIF('3月'!CA19:CB19,H$78)+COUNTIF('3月'!CF19:CG19,H$78)+COUNTIF('3月'!CK19:CL19,H$78)+COUNTIF('3月'!CP19:CQ19,H$78)+COUNTIF('3月'!CU19:CV19,H$78)+COUNTIF('3月'!CZ19:DA19,H$78)+COUNTIF('3月'!DE19:DF19,H$78)+COUNTIF('3月'!DJ19:DK19,H$78)+COUNTIF('3月'!DO19:DP19,H$78)+COUNTIF('3月'!DT19:DU19,H$78)+COUNTIF('3月'!DY19:DZ19,H$78)+COUNTIF('3月'!ED19:EE19,H$78)+COUNTIF('3月'!EI19:EJ19,H$78)+COUNTIF('3月'!EN19:EO19,H$78)+COUNTIF('3月'!ES19:ET19,H$78)+COUNTIF('3月'!D19:E19,"渋谷-夜勤")+COUNTIF('3月'!I19:J19,"渋谷-夜勤")+COUNTIF('3月'!N19:O19,"渋谷-夜勤")+COUNTIF('3月'!S19:T19,"渋谷-夜勤")+COUNTIF('3月'!X19:Y19,"渋谷-夜勤")+COUNTIF('3月'!AC19:AD19,"渋谷-夜勤")+COUNTIF('3月'!AH19:AI19,"渋谷-夜勤")+COUNTIF('3月'!AM19:AN19,"渋谷-夜勤")+COUNTIF('3月'!AR19:AS19,"渋谷-夜勤")+COUNTIF('3月'!AW19:AX19,"渋谷-夜勤")+COUNTIF('3月'!BB19:BC19,"渋谷-夜勤")+COUNTIF('3月'!BG19:BH19,"渋谷-夜勤")+COUNTIF('3月'!BL19:BM19,"渋谷-夜勤")+COUNTIF('3月'!BQ19:BR19,"渋谷-夜勤")+COUNTIF('3月'!BV19:BW19,"渋谷-夜勤")+COUNTIF('3月'!CA19:CB19,"渋谷-夜勤")+COUNTIF('3月'!CF19:CG19,"渋谷-夜勤")+COUNTIF('3月'!CK19:CL19,"渋谷-夜勤")+COUNTIF('3月'!CP19:CQ19,"渋谷-夜勤")+COUNTIF('3月'!CU19:CV19,"渋谷-夜勤")+COUNTIF('3月'!CZ19:DA19,"渋谷-夜勤")+COUNTIF('3月'!DE19:DF19,"渋谷-夜勤")+COUNTIF('3月'!DJ19:DK19,"渋谷-夜勤")+COUNTIF('3月'!DO19:DP19,"渋谷-夜勤")+COUNTIF('3月'!DT19:DU19,"渋谷-夜勤")+COUNTIF('3月'!DY19:DZ19,"渋谷-夜勤")+COUNTIF('3月'!ED19:EE19,"渋谷-夜勤")+COUNTIF('3月'!EI19:EJ19,"渋谷-夜勤")+COUNTIF('3月'!EN19:EO19,"渋谷-夜勤")+COUNTIF('3月'!ES19:ET19,"渋谷-夜勤")</f>
        <v>0</v>
      </c>
      <c r="I95" s="76">
        <f t="shared" si="27"/>
        <v>0</v>
      </c>
      <c r="J95" s="76">
        <f>COUNTIF('3月'!D19:E19,J$78)+COUNTIF('3月'!I19:J19,J$78)+COUNTIF('3月'!N19:O19,J$78)+COUNTIF('3月'!S19:T19,J$78)+COUNTIF('3月'!X19:Y19,J$78)+COUNTIF('3月'!AC19:AD19,J$78)+COUNTIF('3月'!AH19:AI19,J$78)+COUNTIF('3月'!AM19:AN19,J$78)+COUNTIF('3月'!AR19:AS19,J$78)+COUNTIF('3月'!AW19:AX19,J$78)+COUNTIF('3月'!BB19:BC19,J$78)+COUNTIF('3月'!BG19:BH19,J$78)+COUNTIF('3月'!BL19:BM19,J$78)+COUNTIF('3月'!BQ19:BR19,J$78)+COUNTIF('3月'!BV19:BW19,J$78)+COUNTIF('3月'!CA19:CB19,J$78)+COUNTIF('3月'!CF19:CG19,J$78)+COUNTIF('3月'!CK19:CL19,J$78)+COUNTIF('3月'!CP19:CQ19,J$78)+COUNTIF('3月'!CU19:CV19,J$78)+COUNTIF('3月'!CZ19:DA19,J$78)+COUNTIF('3月'!DE19:DF19,J$78)+COUNTIF('3月'!DJ19:DK19,J$78)+COUNTIF('3月'!DO19:DP19,J$78)+COUNTIF('3月'!DT19:DU19,J$78)+COUNTIF('3月'!DY19:DZ19,J$78)+COUNTIF('3月'!ED19:EE19,J$78)+COUNTIF('3月'!EI19:EJ19,J$78)+COUNTIF('3月'!EN19:EO19,J$78)+COUNTIF('3月'!ES19:ET19,J$78)+COUNTIF('3月'!D19:E19,"六本木-夜勤")+COUNTIF('3月'!I19:J19,"六本木-夜勤")+COUNTIF('3月'!N19:O19,"六本木-夜勤")+COUNTIF('3月'!S19:T19,"六本木-夜勤")+COUNTIF('3月'!X19:Y19,"六本木-夜勤")+COUNTIF('3月'!AC19:AD19,"六本木-夜勤")+COUNTIF('3月'!AH19:AI19,"六本木-夜勤")+COUNTIF('3月'!AM19:AN19,"六本木-夜勤")+COUNTIF('3月'!AR19:AS19,"六本木-夜勤")+COUNTIF('3月'!AW19:AX19,"六本木-夜勤")+COUNTIF('3月'!BB19:BC19,"六本木-夜勤")+COUNTIF('3月'!BG19:BH19,"六本木-夜勤")+COUNTIF('3月'!BL19:BM19,"六本木-夜勤")+COUNTIF('3月'!BQ19:BR19,"六本木-夜勤")+COUNTIF('3月'!BV19:BW19,"六本木-夜勤")+COUNTIF('3月'!CA19:CB19,"六本木-夜勤")+COUNTIF('3月'!CF19:CG19,"六本木-夜勤")+COUNTIF('3月'!CK19:CL19,"六本木-夜勤")+COUNTIF('3月'!CP19:CQ19,"六本木-夜勤")+COUNTIF('3月'!CU19:CV19,"六本木-夜勤")+COUNTIF('3月'!CZ19:DA19,"六本木-夜勤")+COUNTIF('3月'!DE19:DF19,"六本木-夜勤")+COUNTIF('3月'!DJ19:DK19,"六本木-夜勤")+COUNTIF('3月'!DO19:DP19,"六本木-夜勤")+COUNTIF('3月'!DT19:DU19,"六本木-夜勤")+COUNTIF('3月'!DY19:DZ19,"六本木-夜勤")+COUNTIF('3月'!ED19:EE19,"六本木-夜勤")+COUNTIF('3月'!EI19:EJ19,"六本木-夜勤")+COUNTIF('3月'!EN19:EO19,"六本木-夜勤")+COUNTIF('3月'!ES19:ET19,"六本木-夜勤")+COUNTIF('3月'!D19:E19,"六本木ー夜勤")+COUNTIF('3月'!I19:J19,"六本木ー夜勤")+COUNTIF('3月'!N19:O19,"六本木ー夜勤")+COUNTIF('3月'!S19:T19,"六本木ー夜勤")+COUNTIF('3月'!X19:Y19,"六本木ー夜勤")+COUNTIF('3月'!AC19:AD19,"六本木ー夜勤")+COUNTIF('3月'!AH19:AI19,"六本木ー夜勤")+COUNTIF('3月'!AM19:AN19,"六本木ー夜勤")+COUNTIF('3月'!AR19:AS19,"六本木ー夜勤")+COUNTIF('3月'!AW19:AX19,"六本木ー夜勤")+COUNTIF('3月'!BB19:BC19,"六本木ー夜勤")+COUNTIF('3月'!BG19:BH19,"六本木ー夜勤")+COUNTIF('3月'!BL19:BM19,"六本木ー夜勤")+COUNTIF('3月'!BQ19:BR19,"六本木ー夜勤")+COUNTIF('3月'!BV19:BW19,"六本木ー夜勤")+COUNTIF('3月'!CA19:CB19,"六本木ー夜勤")+COUNTIF('3月'!CF19:CG19,"六本木ー夜勤")+COUNTIF('3月'!CK19:CL19,"六本木ー夜勤")+COUNTIF('3月'!CP19:CQ19,"六本木ー夜勤")+COUNTIF('3月'!CU19:CV19,"六本木ー夜勤")+COUNTIF('3月'!CZ19:DA19,"六本木ー夜勤")+COUNTIF('3月'!DE19:DF19,"六本木ー夜勤")+COUNTIF('3月'!DJ19:DK19,"六本木ー夜勤")+COUNTIF('3月'!DO19:DP19,"六本木ー夜勤")+COUNTIF('3月'!DT19:DU19,"六本木ー夜勤")+COUNTIF('3月'!DY19:DZ19,"六本木ー夜勤")+COUNTIF('3月'!ED19:EE19,"六本木ー夜勤")+COUNTIF('3月'!EI19:EJ19,"六本木ー夜勤")+COUNTIF('3月'!EN19:EO19,"六本木ー夜勤")+COUNTIF('3月'!ES19:ET19,"六本木ー夜勤")</f>
        <v>0</v>
      </c>
      <c r="K95" s="76">
        <f t="shared" si="28"/>
        <v>0</v>
      </c>
      <c r="L95" s="76">
        <f>COUNTIF('3月'!D19:E19,L$78)+COUNTIF('3月'!I19:J19,L$78)+COUNTIF('3月'!N19:O19,L$78)+COUNTIF('3月'!S19:T19,L$78)+COUNTIF('3月'!X19:Y19,L$78)+COUNTIF('3月'!AC19:AD19,L$78)+COUNTIF('3月'!AH19:AI19,L$78)+COUNTIF('3月'!AM19:AN19,L$78)+COUNTIF('3月'!AR19:AS19,L$78)+COUNTIF('3月'!AW19:AX19,L$78)+COUNTIF('3月'!BB19:BC19,L$78)+COUNTIF('3月'!BG19:BH19,L$78)+COUNTIF('3月'!BL19:BM19,L$78)+COUNTIF('3月'!BQ19:BR19,L$78)+COUNTIF('3月'!BV19:BW19,L$78)+COUNTIF('3月'!CA19:CB19,L$78)+COUNTIF('3月'!CF19:CG19,L$78)+COUNTIF('3月'!CK19:CL19,L$78)+COUNTIF('3月'!CP19:CQ19,L$78)+COUNTIF('3月'!CU19:CV19,L$78)+COUNTIF('3月'!CZ19:DA19,L$78)+COUNTIF('3月'!DE19:DF19,L$78)+COUNTIF('3月'!DJ19:DK19,L$78)+COUNTIF('3月'!DO19:DP19,L$78)+COUNTIF('3月'!DT19:DU19,L$78)+COUNTIF('3月'!DY19:DZ19,L$78)+COUNTIF('3月'!ED19:EE19,L$78)+COUNTIF('3月'!EI19:EJ19,L$78)+COUNTIF('3月'!EN19:EO19,L$78)+COUNTIF('3月'!ES19:ET19,L$78)</f>
        <v>0</v>
      </c>
      <c r="M95" s="76">
        <f t="shared" si="29"/>
        <v>0</v>
      </c>
      <c r="N95" s="76">
        <f>COUNTIF('3月'!D19:E19,N$78)+COUNTIF('3月'!I19:J19,N$78)+COUNTIF('3月'!N19:O19,N$78)+COUNTIF('3月'!S19:T19,N$78)+COUNTIF('3月'!X19:Y19,N$78)+COUNTIF('3月'!AC19:AD19,N$78)+COUNTIF('3月'!AH19:AI19,N$78)+COUNTIF('3月'!AM19:AN19,N$78)+COUNTIF('3月'!AR19:AS19,N$78)+COUNTIF('3月'!AW19:AX19,N$78)+COUNTIF('3月'!BB19:BC19,N$78)+COUNTIF('3月'!BG19:BH19,N$78)+COUNTIF('3月'!BL19:BM19,N$78)+COUNTIF('3月'!BQ19:BR19,N$78)+COUNTIF('3月'!BV19:BW19,N$78)+COUNTIF('3月'!CA19:CB19,N$78)+COUNTIF('3月'!CF19:CG19,N$78)+COUNTIF('3月'!CK19:CL19,N$78)+COUNTIF('3月'!CP19:CQ19,N$78)+COUNTIF('3月'!CU19:CV19,N$78)+COUNTIF('3月'!CZ19:DA19,N$78)+COUNTIF('3月'!DE19:DF19,N$78)+COUNTIF('3月'!DJ19:DK19,N$78)+COUNTIF('3月'!DO19:DP19,N$78)+COUNTIF('3月'!DT19:DU19,N$78)+COUNTIF('3月'!DY19:DZ19,N$78)+COUNTIF('3月'!ED19:EE19,N$78)+COUNTIF('3月'!EI19:EJ19,N$78)+COUNTIF('3月'!EN19:EO19,N$78)+COUNTIF('3月'!ES19:ET19,N$78)+COUNTIF('3月'!D19:E19,"三軒茶屋－夜勤")+COUNTIF('3月'!I19:J19,"三軒茶屋－夜勤")+COUNTIF('3月'!N19:O19,"三軒茶屋－夜勤")+COUNTIF('3月'!S19:T19,"三軒茶屋－夜勤")+COUNTIF('3月'!X19:Y19,"三軒茶屋－夜勤")+COUNTIF('3月'!AC19:AD19,"三軒茶屋－夜勤")+COUNTIF('3月'!AH19:AI19,"三軒茶屋－夜勤")+COUNTIF('3月'!AM19:AN19,"三軒茶屋－夜勤")+COUNTIF('3月'!AR19:AS19,"三軒茶屋－夜勤")+COUNTIF('3月'!AW19:AX19,"三軒茶屋－夜勤")+COUNTIF('3月'!BB19:BC19,"三軒茶屋－夜勤")+COUNTIF('3月'!BG19:BH19,"三軒茶屋－夜勤")+COUNTIF('3月'!BL19:BM19,"三軒茶屋－夜勤")+COUNTIF('3月'!BQ19:BR19,"三軒茶屋－夜勤")+COUNTIF('3月'!BV19:BW19,"三軒茶屋－夜勤")+COUNTIF('3月'!CA19:CB19,"三軒茶屋－夜勤")+COUNTIF('3月'!CF19:CG19,"三軒茶屋－夜勤")+COUNTIF('3月'!CK19:CL19,"三軒茶屋－夜勤")+COUNTIF('3月'!CP19:CQ19,"三軒茶屋－夜勤")+COUNTIF('3月'!CU19:CV19,"三軒茶屋－夜勤")+COUNTIF('3月'!CZ19:DA19,"三軒茶屋－夜勤")+COUNTIF('3月'!DE19:DF19,"三軒茶屋－夜勤")+COUNTIF('3月'!DJ19:DK19,"三軒茶屋－夜勤")+COUNTIF('3月'!DO19:DP19,"三軒茶屋－夜勤")+COUNTIF('3月'!DT19:DU19,"三軒茶屋－夜勤")+COUNTIF('3月'!DY19:DZ19,"三軒茶屋－夜勤")+COUNTIF('3月'!ED19:EE19,"三軒茶屋－夜勤")+COUNTIF('3月'!EI19:EJ19,"三軒茶屋－夜勤")+COUNTIF('3月'!EN19:EO19,"三軒茶屋－夜勤")+COUNTIF('3月'!ES19:ET19,"三軒茶屋－夜勤")</f>
        <v>0</v>
      </c>
      <c r="O95" s="76">
        <f t="shared" si="30"/>
        <v>0</v>
      </c>
      <c r="P95" s="76">
        <f>COUNTIF('3月'!D19:E19,P$78)+COUNTIF('3月'!I19:J19,P$78)+COUNTIF('3月'!N19:O19,P$78)+COUNTIF('3月'!S19:T19,P$78)+COUNTIF('3月'!X19:Y19,P$78)+COUNTIF('3月'!AC19:AD19,P$78)+COUNTIF('3月'!AH19:AI19,P$78)+COUNTIF('3月'!AM19:AN19,P$78)+COUNTIF('3月'!AR19:AS19,P$78)+COUNTIF('3月'!AW19:AX19,P$78)+COUNTIF('3月'!BB19:BC19,P$78)+COUNTIF('3月'!BG19:BH19,P$78)+COUNTIF('3月'!BL19:BM19,P$78)+COUNTIF('3月'!BQ19:BR19,P$78)+COUNTIF('3月'!BV19:BW19,P$78)+COUNTIF('3月'!CA19:CB19,P$78)+COUNTIF('3月'!CF19:CG19,P$78)+COUNTIF('3月'!CK19:CL19,P$78)+COUNTIF('3月'!CP19:CQ19,P$78)+COUNTIF('3月'!CU19:CV19,P$78)+COUNTIF('3月'!CZ19:DA19,P$78)+COUNTIF('3月'!DE19:DF19,P$78)+COUNTIF('3月'!DJ19:DK19,P$78)+COUNTIF('3月'!DO19:DP19,P$78)+COUNTIF('3月'!DT19:DU19,P$78)+COUNTIF('3月'!DY19:DZ19,P$78)+COUNTIF('3月'!ED19:EE19,P$78)+COUNTIF('3月'!EI19:EJ19,P$78)+COUNTIF('3月'!EN19:EO19,P$78)+COUNTIF('3月'!ES19:ET19,P$78)+COUNTIF('3月'!D19:E19,"荻窪ー夜勤")+COUNTIF('3月'!I19:J19,"荻窪ー夜勤")+COUNTIF('3月'!N19:O19,"荻窪ー夜勤")+COUNTIF('3月'!S19:T19,"荻窪ー夜勤")+COUNTIF('3月'!X19:Y19,"荻窪ー夜勤")+COUNTIF('3月'!AC19:AD19,"荻窪ー夜勤")+COUNTIF('3月'!AH19:AI19,"荻窪ー夜勤")+COUNTIF('3月'!AM19:AN19,"荻窪ー夜勤")+COUNTIF('3月'!AR19:AS19,"荻窪ー夜勤")+COUNTIF('3月'!AW19:AX19,"荻窪ー夜勤")+COUNTIF('3月'!BB19:BC19,"荻窪ー夜勤")+COUNTIF('3月'!BG19:BH19,"荻窪ー夜勤")+COUNTIF('3月'!BL19:BM19,"荻窪ー夜勤")+COUNTIF('3月'!BQ19:BR19,"荻窪ー夜勤")+COUNTIF('3月'!BV19:BW19,"荻窪ー夜勤")+COUNTIF('3月'!CA19:CB19,"荻窪ー夜勤")+COUNTIF('3月'!CF19:CG19,"荻窪ー夜勤")+COUNTIF('3月'!CK19:CL19,"荻窪ー夜勤")+COUNTIF('3月'!CP19:CQ19,"荻窪ー夜勤")+COUNTIF('3月'!CU19:CV19,"荻窪ー夜勤")+COUNTIF('3月'!CZ19:DA19,"荻窪ー夜勤")+COUNTIF('3月'!DE19:DF19,"荻窪ー夜勤")+COUNTIF('3月'!DJ19:DK19,"荻窪ー夜勤")+COUNTIF('3月'!DO19:DP19,"荻窪ー夜勤")+COUNTIF('3月'!DT19:DU19,"荻窪ー夜勤")+COUNTIF('3月'!DY19:DZ19,"荻窪ー夜勤")+COUNTIF('3月'!ED19:EE19,"荻窪ー夜勤")+COUNTIF('3月'!EI19:EJ19,"荻窪ー夜勤")+COUNTIF('3月'!EN19:EO19,"荻窪ー夜勤")+COUNTIF('3月'!ES19:ET19,"荻窪ー夜勤")</f>
        <v>0</v>
      </c>
      <c r="Q95" s="76">
        <f t="shared" si="31"/>
        <v>0</v>
      </c>
      <c r="R95" s="76">
        <f>COUNTIF('3月'!D19:E19,R$78)+COUNTIF('3月'!I19:J19,R$78)+COUNTIF('3月'!N19:O19,R$78)+COUNTIF('3月'!S19:T19,R$78)+COUNTIF('3月'!X19:Y19,R$78)+COUNTIF('3月'!AC19:AD19,R$78)+COUNTIF('3月'!AH19:AI19,R$78)+COUNTIF('3月'!AM19:AN19,R$78)+COUNTIF('3月'!AR19:AS19,R$78)+COUNTIF('3月'!AW19:AX19,R$78)+COUNTIF('3月'!BB19:BC19,R$78)+COUNTIF('3月'!BG19:BH19,R$78)+COUNTIF('3月'!BL19:BM19,R$78)+COUNTIF('3月'!BQ19:BR19,R$78)+COUNTIF('3月'!BV19:BW19,R$78)+COUNTIF('3月'!CA19:CB19,R$78)+COUNTIF('3月'!CF19:CG19,R$78)+COUNTIF('3月'!CK19:CL19,R$78)+COUNTIF('3月'!CP19:CQ19,R$78)+COUNTIF('3月'!CU19:CV19,R$78)+COUNTIF('3月'!CZ19:DA19,R$78)+COUNTIF('3月'!DE19:DF19,R$78)+COUNTIF('3月'!DJ19:DK19,R$78)+COUNTIF('3月'!DO19:DP19,R$78)+COUNTIF('3月'!DT19:DU19,R$78)+COUNTIF('3月'!DY19:DZ19,R$78)+COUNTIF('3月'!ED19:EE19,R$78)+COUNTIF('3月'!EI19:EJ19,R$78)+COUNTIF('3月'!EN19:EO19,R$78)+COUNTIF('3月'!ES19:ET19,R$78)</f>
        <v>0</v>
      </c>
      <c r="S95" s="76">
        <f t="shared" si="32"/>
        <v>0</v>
      </c>
      <c r="T95" s="76">
        <f>COUNTIF('3月'!D19:E19,T$78)+COUNTIF('3月'!I19:J19,T$78)+COUNTIF('3月'!N19:O19,T$78)+COUNTIF('3月'!S19:T19,T$78)+COUNTIF('3月'!X19:Y19,T$78)+COUNTIF('3月'!AC19:AD19,T$78)+COUNTIF('3月'!AH19:AI19,T$78)+COUNTIF('3月'!AM19:AN19,T$78)+COUNTIF('3月'!AR19:AS19,T$78)+COUNTIF('3月'!AW19:AX19,T$78)+COUNTIF('3月'!BB19:BC19,T$78)+COUNTIF('3月'!BG19:BH19,T$78)+COUNTIF('3月'!BL19:BM19,T$78)+COUNTIF('3月'!BQ19:BR19,T$78)+COUNTIF('3月'!BV19:BW19,T$78)+COUNTIF('3月'!CA19:CB19,T$78)+COUNTIF('3月'!CF19:CG19,T$78)+COUNTIF('3月'!CK19:CL19,T$78)+COUNTIF('3月'!CP19:CQ19,T$78)+COUNTIF('3月'!CU19:CV19,T$78)+COUNTIF('3月'!CZ19:DA19,T$78)+COUNTIF('3月'!DE19:DF19,T$78)+COUNTIF('3月'!DJ19:DK19,T$78)+COUNTIF('3月'!DO19:DP19,T$78)+COUNTIF('3月'!DT19:DU19,T$78)+COUNTIF('3月'!DY19:DZ19,T$78)+COUNTIF('3月'!ED19:EE19,T$78)+COUNTIF('3月'!EI19:EJ19,T$78)+COUNTIF('3月'!EN19:EO19,T$78)+COUNTIF('3月'!ES19:ET19,T$78)</f>
        <v>0</v>
      </c>
      <c r="U95" s="76">
        <f t="shared" si="33"/>
        <v>0</v>
      </c>
      <c r="V95" s="76">
        <f>COUNTIF('3月'!D19:E19,V$78)+COUNTIF('3月'!I19:J19,V$78)+COUNTIF('3月'!N19:O19,V$78)+COUNTIF('3月'!S19:T19,V$78)+COUNTIF('3月'!X19:Y19,V$78)+COUNTIF('3月'!AC19:AD19,V$78)+COUNTIF('3月'!AH19:AI19,V$78)+COUNTIF('3月'!AM19:AN19,V$78)+COUNTIF('3月'!AR19:AS19,V$78)+COUNTIF('3月'!AW19:AX19,V$78)+COUNTIF('3月'!BB19:BC19,V$78)+COUNTIF('3月'!BG19:BH19,V$78)+COUNTIF('3月'!BL19:BM19,V$78)+COUNTIF('3月'!BQ19:BR19,V$78)+COUNTIF('3月'!BV19:BW19,V$78)+COUNTIF('3月'!CA19:CB19,V$78)+COUNTIF('3月'!CF19:CG19,V$78)+COUNTIF('3月'!CK19:CL19,V$78)+COUNTIF('3月'!CP19:CQ19,V$78)+COUNTIF('3月'!CU19:CV19,V$78)+COUNTIF('3月'!CZ19:DA19,V$78)+COUNTIF('3月'!DE19:DF19,V$78)+COUNTIF('3月'!DJ19:DK19,V$78)+COUNTIF('3月'!DO19:DP19,V$78)+COUNTIF('3月'!DT19:DU19,V$78)+COUNTIF('3月'!DY19:DZ19,V$78)+COUNTIF('3月'!ED19:EE19,V$78)+COUNTIF('3月'!EI19:EJ19,V$78)+COUNTIF('3月'!EN19:EO19,V$78)+COUNTIF('3月'!ES19:ET19,V$78)</f>
        <v>0</v>
      </c>
      <c r="W95" s="76">
        <f t="shared" si="34"/>
        <v>0</v>
      </c>
      <c r="X95" s="76">
        <f>COUNTIF('3月'!D19:E19,X$78)+COUNTIF('3月'!I19:J19,X$78)+COUNTIF('3月'!N19:O19,X$78)+COUNTIF('3月'!S19:T19,X$78)+COUNTIF('3月'!X19:Y19,X$78)+COUNTIF('3月'!AC19:AD19,X$78)+COUNTIF('3月'!AH19:AI19,X$78)+COUNTIF('3月'!AM19:AN19,X$78)+COUNTIF('3月'!AR19:AS19,X$78)+COUNTIF('3月'!AW19:AX19,X$78)+COUNTIF('3月'!BB19:BC19,X$78)+COUNTIF('3月'!BG19:BH19,X$78)+COUNTIF('3月'!BL19:BM19,X$78)+COUNTIF('3月'!BQ19:BR19,X$78)+COUNTIF('3月'!BV19:BW19,X$78)+COUNTIF('3月'!CA19:CB19,X$78)+COUNTIF('3月'!CF19:CG19,X$78)+COUNTIF('3月'!CK19:CL19,X$78)+COUNTIF('3月'!CP19:CQ19,X$78)+COUNTIF('3月'!CU19:CV19,X$78)+COUNTIF('3月'!CZ19:DA19,X$78)+COUNTIF('3月'!DE19:DF19,X$78)+COUNTIF('3月'!DJ19:DK19,X$78)+COUNTIF('3月'!DO19:DP19,X$78)+COUNTIF('3月'!DT19:DU19,X$78)+COUNTIF('3月'!DY19:DZ19,X$78)+COUNTIF('3月'!ED19:EE19,X$78)+COUNTIF('3月'!EI19:EJ19,X$78)+COUNTIF('3月'!EN19:EO19,X$78)+COUNTIF('3月'!ES19:ET19,X$78)</f>
        <v>0</v>
      </c>
      <c r="Y95" s="76">
        <f t="shared" si="35"/>
        <v>0</v>
      </c>
    </row>
    <row r="96" spans="1:25" ht="18" customHeight="1">
      <c r="A96" s="76">
        <v>17</v>
      </c>
      <c r="B96" s="76">
        <f>COUNTIF('3月'!D20:E20,B$78)+COUNTIF('3月'!I20:J20,B$78)+COUNTIF('3月'!N20:O20,B$78)+COUNTIF('3月'!S20:T20,B$78)+COUNTIF('3月'!X20:Y20,B$78)+COUNTIF('3月'!AC20:AD20,B$78)+COUNTIF('3月'!AH20:AI20,B$78)+COUNTIF('3月'!AM20:AN20,B$78)+COUNTIF('3月'!AR20:AS20,B$78)+COUNTIF('3月'!AW20:AX20,B$78)+COUNTIF('3月'!BB20:BC20,B$78)+COUNTIF('3月'!BG20:BH20,B$78)+COUNTIF('3月'!BL20:BM20,B$78)+COUNTIF('3月'!BQ20:BR20,B$78)+COUNTIF('3月'!BV20:BW20,B$78)+COUNTIF('3月'!CA20:CB20,B$78)+COUNTIF('3月'!CF20:CG20,B$78)+COUNTIF('3月'!CK20:CL20,B$78)+COUNTIF('3月'!CP20:CQ20,B$78)+COUNTIF('3月'!CU20:CV20,B$78)+COUNTIF('3月'!CZ20:DA20,B$78)+COUNTIF('3月'!DE20:DF20,B$78)+COUNTIF('3月'!DJ20:DK20,B$78)+COUNTIF('3月'!DO20:DP20,B$78)+COUNTIF('3月'!DT20:DU20,B$78)+COUNTIF('3月'!DY20:DZ20,B$78)+COUNTIF('3月'!ED20:EE20,B$78)+COUNTIF('3月'!EI20:EJ20,B$78)+COUNTIF('3月'!EN20:EO20,B$78)+COUNTIF('3月'!ES20:ET20,B$78)</f>
        <v>0</v>
      </c>
      <c r="C96" s="76">
        <f t="shared" si="24"/>
        <v>0</v>
      </c>
      <c r="D96" s="76">
        <f>COUNTIF('3月'!D20:E20,D$78)+COUNTIF('3月'!I20:J20,D$78)+COUNTIF('3月'!N20:O20,D$78)+COUNTIF('3月'!S20:T20,D$78)+COUNTIF('3月'!X20:Y20,D$78)+COUNTIF('3月'!AC20:AD20,D$78)+COUNTIF('3月'!AH20:AI20,D$78)+COUNTIF('3月'!AM20:AN20,D$78)+COUNTIF('3月'!AR20:AS20,D$78)+COUNTIF('3月'!AW20:AX20,D$78)+COUNTIF('3月'!BB20:BC20,D$78)+COUNTIF('3月'!BG20:BH20,D$78)+COUNTIF('3月'!BL20:BM20,D$78)+COUNTIF('3月'!BQ20:BR20,D$78)+COUNTIF('3月'!BV20:BW20,D$78)+COUNTIF('3月'!CA20:CB20,D$78)+COUNTIF('3月'!CF20:CG20,D$78)+COUNTIF('3月'!CK20:CL20,D$78)+COUNTIF('3月'!CP20:CQ20,D$78)+COUNTIF('3月'!CU20:CV20,D$78)+COUNTIF('3月'!CZ20:DA20,D$78)+COUNTIF('3月'!DE20:DF20,D$78)+COUNTIF('3月'!DJ20:DK20,D$78)+COUNTIF('3月'!DO20:DP20,D$78)+COUNTIF('3月'!DT20:DU20,D$78)+COUNTIF('3月'!DY20:DZ20,D$78)+COUNTIF('3月'!ED20:EE20,D$78)+COUNTIF('3月'!EI20:EJ20,D$78)+COUNTIF('3月'!EN20:EO20,D$78)+COUNTIF('3月'!ES20:ET20,D$78)</f>
        <v>0</v>
      </c>
      <c r="E96" s="76">
        <f t="shared" si="25"/>
        <v>0</v>
      </c>
      <c r="F96" s="76">
        <f>COUNTIF('3月'!D20:E20,F$78)+COUNTIF('3月'!I20:J20,F$78)+COUNTIF('3月'!N20:O20,F$78)+COUNTIF('3月'!S20:T20,F$78)+COUNTIF('3月'!X20:Y20,F$78)+COUNTIF('3月'!AC20:AD20,F$78)+COUNTIF('3月'!AH20:AI20,F$78)+COUNTIF('3月'!AM20:AN20,F$78)+COUNTIF('3月'!AR20:AS20,F$78)+COUNTIF('3月'!AW20:AX20,F$78)+COUNTIF('3月'!BB20:BC20,F$78)+COUNTIF('3月'!BG20:BH20,F$78)+COUNTIF('3月'!BL20:BM20,F$78)+COUNTIF('3月'!BQ20:BR20,F$78)+COUNTIF('3月'!BV20:BW20,F$78)+COUNTIF('3月'!CA20:CB20,F$78)+COUNTIF('3月'!CF20:CG20,F$78)+COUNTIF('3月'!CK20:CL20,F$78)+COUNTIF('3月'!CP20:CQ20,F$78)+COUNTIF('3月'!CU20:CV20,F$78)+COUNTIF('3月'!CZ20:DA20,F$78)+COUNTIF('3月'!DE20:DF20,F$78)+COUNTIF('3月'!DJ20:DK20,F$78)+COUNTIF('3月'!DO20:DP20,F$78)+COUNTIF('3月'!DT20:DU20,F$78)+COUNTIF('3月'!DY20:DZ20,F$78)+COUNTIF('3月'!ED20:EE20,F$78)+COUNTIF('3月'!EI20:EJ20,F$78)+COUNTIF('3月'!EN20:EO20,F$78)+COUNTIF('3月'!ES20:ET20,F$78)</f>
        <v>0</v>
      </c>
      <c r="G96" s="76">
        <f t="shared" si="26"/>
        <v>0</v>
      </c>
      <c r="H96" s="76">
        <f>COUNTIF('3月'!D20:E20,H$78)+COUNTIF('3月'!I20:J20,H$78)+COUNTIF('3月'!N20:O20,H$78)+COUNTIF('3月'!S20:T20,H$78)+COUNTIF('3月'!X20:Y20,H$78)+COUNTIF('3月'!AC20:AD20,H$78)+COUNTIF('3月'!AH20:AI20,H$78)+COUNTIF('3月'!AM20:AN20,H$78)+COUNTIF('3月'!AR20:AS20,H$78)+COUNTIF('3月'!AW20:AX20,H$78)+COUNTIF('3月'!BB20:BC20,H$78)+COUNTIF('3月'!BG20:BH20,H$78)+COUNTIF('3月'!BL20:BM20,H$78)+COUNTIF('3月'!BQ20:BR20,H$78)+COUNTIF('3月'!BV20:BW20,H$78)+COUNTIF('3月'!CA20:CB20,H$78)+COUNTIF('3月'!CF20:CG20,H$78)+COUNTIF('3月'!CK20:CL20,H$78)+COUNTIF('3月'!CP20:CQ20,H$78)+COUNTIF('3月'!CU20:CV20,H$78)+COUNTIF('3月'!CZ20:DA20,H$78)+COUNTIF('3月'!DE20:DF20,H$78)+COUNTIF('3月'!DJ20:DK20,H$78)+COUNTIF('3月'!DO20:DP20,H$78)+COUNTIF('3月'!DT20:DU20,H$78)+COUNTIF('3月'!DY20:DZ20,H$78)+COUNTIF('3月'!ED20:EE20,H$78)+COUNTIF('3月'!EI20:EJ20,H$78)+COUNTIF('3月'!EN20:EO20,H$78)+COUNTIF('3月'!ES20:ET20,H$78)+COUNTIF('3月'!D20:E20,"渋谷-夜勤")+COUNTIF('3月'!I20:J20,"渋谷-夜勤")+COUNTIF('3月'!N20:O20,"渋谷-夜勤")+COUNTIF('3月'!S20:T20,"渋谷-夜勤")+COUNTIF('3月'!X20:Y20,"渋谷-夜勤")+COUNTIF('3月'!AC20:AD20,"渋谷-夜勤")+COUNTIF('3月'!AH20:AI20,"渋谷-夜勤")+COUNTIF('3月'!AM20:AN20,"渋谷-夜勤")+COUNTIF('3月'!AR20:AS20,"渋谷-夜勤")+COUNTIF('3月'!AW20:AX20,"渋谷-夜勤")+COUNTIF('3月'!BB20:BC20,"渋谷-夜勤")+COUNTIF('3月'!BG20:BH20,"渋谷-夜勤")+COUNTIF('3月'!BL20:BM20,"渋谷-夜勤")+COUNTIF('3月'!BQ20:BR20,"渋谷-夜勤")+COUNTIF('3月'!BV20:BW20,"渋谷-夜勤")+COUNTIF('3月'!CA20:CB20,"渋谷-夜勤")+COUNTIF('3月'!CF20:CG20,"渋谷-夜勤")+COUNTIF('3月'!CK20:CL20,"渋谷-夜勤")+COUNTIF('3月'!CP20:CQ20,"渋谷-夜勤")+COUNTIF('3月'!CU20:CV20,"渋谷-夜勤")+COUNTIF('3月'!CZ20:DA20,"渋谷-夜勤")+COUNTIF('3月'!DE20:DF20,"渋谷-夜勤")+COUNTIF('3月'!DJ20:DK20,"渋谷-夜勤")+COUNTIF('3月'!DO20:DP20,"渋谷-夜勤")+COUNTIF('3月'!DT20:DU20,"渋谷-夜勤")+COUNTIF('3月'!DY20:DZ20,"渋谷-夜勤")+COUNTIF('3月'!ED20:EE20,"渋谷-夜勤")+COUNTIF('3月'!EI20:EJ20,"渋谷-夜勤")+COUNTIF('3月'!EN20:EO20,"渋谷-夜勤")+COUNTIF('3月'!ES20:ET20,"渋谷-夜勤")</f>
        <v>0</v>
      </c>
      <c r="I96" s="76">
        <f t="shared" si="27"/>
        <v>0</v>
      </c>
      <c r="J96" s="76">
        <f>COUNTIF('3月'!D20:E20,J$78)+COUNTIF('3月'!I20:J20,J$78)+COUNTIF('3月'!N20:O20,J$78)+COUNTIF('3月'!S20:T20,J$78)+COUNTIF('3月'!X20:Y20,J$78)+COUNTIF('3月'!AC20:AD20,J$78)+COUNTIF('3月'!AH20:AI20,J$78)+COUNTIF('3月'!AM20:AN20,J$78)+COUNTIF('3月'!AR20:AS20,J$78)+COUNTIF('3月'!AW20:AX20,J$78)+COUNTIF('3月'!BB20:BC20,J$78)+COUNTIF('3月'!BG20:BH20,J$78)+COUNTIF('3月'!BL20:BM20,J$78)+COUNTIF('3月'!BQ20:BR20,J$78)+COUNTIF('3月'!BV20:BW20,J$78)+COUNTIF('3月'!CA20:CB20,J$78)+COUNTIF('3月'!CF20:CG20,J$78)+COUNTIF('3月'!CK20:CL20,J$78)+COUNTIF('3月'!CP20:CQ20,J$78)+COUNTIF('3月'!CU20:CV20,J$78)+COUNTIF('3月'!CZ20:DA20,J$78)+COUNTIF('3月'!DE20:DF20,J$78)+COUNTIF('3月'!DJ20:DK20,J$78)+COUNTIF('3月'!DO20:DP20,J$78)+COUNTIF('3月'!DT20:DU20,J$78)+COUNTIF('3月'!DY20:DZ20,J$78)+COUNTIF('3月'!ED20:EE20,J$78)+COUNTIF('3月'!EI20:EJ20,J$78)+COUNTIF('3月'!EN20:EO20,J$78)+COUNTIF('3月'!ES20:ET20,J$78)+COUNTIF('3月'!D20:E20,"六本木-夜勤")+COUNTIF('3月'!I20:J20,"六本木-夜勤")+COUNTIF('3月'!N20:O20,"六本木-夜勤")+COUNTIF('3月'!S20:T20,"六本木-夜勤")+COUNTIF('3月'!X20:Y20,"六本木-夜勤")+COUNTIF('3月'!AC20:AD20,"六本木-夜勤")+COUNTIF('3月'!AH20:AI20,"六本木-夜勤")+COUNTIF('3月'!AM20:AN20,"六本木-夜勤")+COUNTIF('3月'!AR20:AS20,"六本木-夜勤")+COUNTIF('3月'!AW20:AX20,"六本木-夜勤")+COUNTIF('3月'!BB20:BC20,"六本木-夜勤")+COUNTIF('3月'!BG20:BH20,"六本木-夜勤")+COUNTIF('3月'!BL20:BM20,"六本木-夜勤")+COUNTIF('3月'!BQ20:BR20,"六本木-夜勤")+COUNTIF('3月'!BV20:BW20,"六本木-夜勤")+COUNTIF('3月'!CA20:CB20,"六本木-夜勤")+COUNTIF('3月'!CF20:CG20,"六本木-夜勤")+COUNTIF('3月'!CK20:CL20,"六本木-夜勤")+COUNTIF('3月'!CP20:CQ20,"六本木-夜勤")+COUNTIF('3月'!CU20:CV20,"六本木-夜勤")+COUNTIF('3月'!CZ20:DA20,"六本木-夜勤")+COUNTIF('3月'!DE20:DF20,"六本木-夜勤")+COUNTIF('3月'!DJ20:DK20,"六本木-夜勤")+COUNTIF('3月'!DO20:DP20,"六本木-夜勤")+COUNTIF('3月'!DT20:DU20,"六本木-夜勤")+COUNTIF('3月'!DY20:DZ20,"六本木-夜勤")+COUNTIF('3月'!ED20:EE20,"六本木-夜勤")+COUNTIF('3月'!EI20:EJ20,"六本木-夜勤")+COUNTIF('3月'!EN20:EO20,"六本木-夜勤")+COUNTIF('3月'!ES20:ET20,"六本木-夜勤")+COUNTIF('3月'!D20:E20,"六本木ー夜勤")+COUNTIF('3月'!I20:J20,"六本木ー夜勤")+COUNTIF('3月'!N20:O20,"六本木ー夜勤")+COUNTIF('3月'!S20:T20,"六本木ー夜勤")+COUNTIF('3月'!X20:Y20,"六本木ー夜勤")+COUNTIF('3月'!AC20:AD20,"六本木ー夜勤")+COUNTIF('3月'!AH20:AI20,"六本木ー夜勤")+COUNTIF('3月'!AM20:AN20,"六本木ー夜勤")+COUNTIF('3月'!AR20:AS20,"六本木ー夜勤")+COUNTIF('3月'!AW20:AX20,"六本木ー夜勤")+COUNTIF('3月'!BB20:BC20,"六本木ー夜勤")+COUNTIF('3月'!BG20:BH20,"六本木ー夜勤")+COUNTIF('3月'!BL20:BM20,"六本木ー夜勤")+COUNTIF('3月'!BQ20:BR20,"六本木ー夜勤")+COUNTIF('3月'!BV20:BW20,"六本木ー夜勤")+COUNTIF('3月'!CA20:CB20,"六本木ー夜勤")+COUNTIF('3月'!CF20:CG20,"六本木ー夜勤")+COUNTIF('3月'!CK20:CL20,"六本木ー夜勤")+COUNTIF('3月'!CP20:CQ20,"六本木ー夜勤")+COUNTIF('3月'!CU20:CV20,"六本木ー夜勤")+COUNTIF('3月'!CZ20:DA20,"六本木ー夜勤")+COUNTIF('3月'!DE20:DF20,"六本木ー夜勤")+COUNTIF('3月'!DJ20:DK20,"六本木ー夜勤")+COUNTIF('3月'!DO20:DP20,"六本木ー夜勤")+COUNTIF('3月'!DT20:DU20,"六本木ー夜勤")+COUNTIF('3月'!DY20:DZ20,"六本木ー夜勤")+COUNTIF('3月'!ED20:EE20,"六本木ー夜勤")+COUNTIF('3月'!EI20:EJ20,"六本木ー夜勤")+COUNTIF('3月'!EN20:EO20,"六本木ー夜勤")+COUNTIF('3月'!ES20:ET20,"六本木ー夜勤")</f>
        <v>0</v>
      </c>
      <c r="K96" s="76">
        <f t="shared" si="28"/>
        <v>0</v>
      </c>
      <c r="L96" s="76">
        <f>COUNTIF('3月'!D20:E20,L$78)+COUNTIF('3月'!I20:J20,L$78)+COUNTIF('3月'!N20:O20,L$78)+COUNTIF('3月'!S20:T20,L$78)+COUNTIF('3月'!X20:Y20,L$78)+COUNTIF('3月'!AC20:AD20,L$78)+COUNTIF('3月'!AH20:AI20,L$78)+COUNTIF('3月'!AM20:AN20,L$78)+COUNTIF('3月'!AR20:AS20,L$78)+COUNTIF('3月'!AW20:AX20,L$78)+COUNTIF('3月'!BB20:BC20,L$78)+COUNTIF('3月'!BG20:BH20,L$78)+COUNTIF('3月'!BL20:BM20,L$78)+COUNTIF('3月'!BQ20:BR20,L$78)+COUNTIF('3月'!BV20:BW20,L$78)+COUNTIF('3月'!CA20:CB20,L$78)+COUNTIF('3月'!CF20:CG20,L$78)+COUNTIF('3月'!CK20:CL20,L$78)+COUNTIF('3月'!CP20:CQ20,L$78)+COUNTIF('3月'!CU20:CV20,L$78)+COUNTIF('3月'!CZ20:DA20,L$78)+COUNTIF('3月'!DE20:DF20,L$78)+COUNTIF('3月'!DJ20:DK20,L$78)+COUNTIF('3月'!DO20:DP20,L$78)+COUNTIF('3月'!DT20:DU20,L$78)+COUNTIF('3月'!DY20:DZ20,L$78)+COUNTIF('3月'!ED20:EE20,L$78)+COUNTIF('3月'!EI20:EJ20,L$78)+COUNTIF('3月'!EN20:EO20,L$78)+COUNTIF('3月'!ES20:ET20,L$78)</f>
        <v>0</v>
      </c>
      <c r="M96" s="76">
        <f t="shared" si="29"/>
        <v>0</v>
      </c>
      <c r="N96" s="76">
        <f>COUNTIF('3月'!D20:E20,N$78)+COUNTIF('3月'!I20:J20,N$78)+COUNTIF('3月'!N20:O20,N$78)+COUNTIF('3月'!S20:T20,N$78)+COUNTIF('3月'!X20:Y20,N$78)+COUNTIF('3月'!AC20:AD20,N$78)+COUNTIF('3月'!AH20:AI20,N$78)+COUNTIF('3月'!AM20:AN20,N$78)+COUNTIF('3月'!AR20:AS20,N$78)+COUNTIF('3月'!AW20:AX20,N$78)+COUNTIF('3月'!BB20:BC20,N$78)+COUNTIF('3月'!BG20:BH20,N$78)+COUNTIF('3月'!BL20:BM20,N$78)+COUNTIF('3月'!BQ20:BR20,N$78)+COUNTIF('3月'!BV20:BW20,N$78)+COUNTIF('3月'!CA20:CB20,N$78)+COUNTIF('3月'!CF20:CG20,N$78)+COUNTIF('3月'!CK20:CL20,N$78)+COUNTIF('3月'!CP20:CQ20,N$78)+COUNTIF('3月'!CU20:CV20,N$78)+COUNTIF('3月'!CZ20:DA20,N$78)+COUNTIF('3月'!DE20:DF20,N$78)+COUNTIF('3月'!DJ20:DK20,N$78)+COUNTIF('3月'!DO20:DP20,N$78)+COUNTIF('3月'!DT20:DU20,N$78)+COUNTIF('3月'!DY20:DZ20,N$78)+COUNTIF('3月'!ED20:EE20,N$78)+COUNTIF('3月'!EI20:EJ20,N$78)+COUNTIF('3月'!EN20:EO20,N$78)+COUNTIF('3月'!ES20:ET20,N$78)+COUNTIF('3月'!D20:E20,"三軒茶屋－夜勤")+COUNTIF('3月'!I20:J20,"三軒茶屋－夜勤")+COUNTIF('3月'!N20:O20,"三軒茶屋－夜勤")+COUNTIF('3月'!S20:T20,"三軒茶屋－夜勤")+COUNTIF('3月'!X20:Y20,"三軒茶屋－夜勤")+COUNTIF('3月'!AC20:AD20,"三軒茶屋－夜勤")+COUNTIF('3月'!AH20:AI20,"三軒茶屋－夜勤")+COUNTIF('3月'!AM20:AN20,"三軒茶屋－夜勤")+COUNTIF('3月'!AR20:AS20,"三軒茶屋－夜勤")+COUNTIF('3月'!AW20:AX20,"三軒茶屋－夜勤")+COUNTIF('3月'!BB20:BC20,"三軒茶屋－夜勤")+COUNTIF('3月'!BG20:BH20,"三軒茶屋－夜勤")+COUNTIF('3月'!BL20:BM20,"三軒茶屋－夜勤")+COUNTIF('3月'!BQ20:BR20,"三軒茶屋－夜勤")+COUNTIF('3月'!BV20:BW20,"三軒茶屋－夜勤")+COUNTIF('3月'!CA20:CB20,"三軒茶屋－夜勤")+COUNTIF('3月'!CF20:CG20,"三軒茶屋－夜勤")+COUNTIF('3月'!CK20:CL20,"三軒茶屋－夜勤")+COUNTIF('3月'!CP20:CQ20,"三軒茶屋－夜勤")+COUNTIF('3月'!CU20:CV20,"三軒茶屋－夜勤")+COUNTIF('3月'!CZ20:DA20,"三軒茶屋－夜勤")+COUNTIF('3月'!DE20:DF20,"三軒茶屋－夜勤")+COUNTIF('3月'!DJ20:DK20,"三軒茶屋－夜勤")+COUNTIF('3月'!DO20:DP20,"三軒茶屋－夜勤")+COUNTIF('3月'!DT20:DU20,"三軒茶屋－夜勤")+COUNTIF('3月'!DY20:DZ20,"三軒茶屋－夜勤")+COUNTIF('3月'!ED20:EE20,"三軒茶屋－夜勤")+COUNTIF('3月'!EI20:EJ20,"三軒茶屋－夜勤")+COUNTIF('3月'!EN20:EO20,"三軒茶屋－夜勤")+COUNTIF('3月'!ES20:ET20,"三軒茶屋－夜勤")</f>
        <v>0</v>
      </c>
      <c r="O96" s="76">
        <f t="shared" si="30"/>
        <v>0</v>
      </c>
      <c r="P96" s="76">
        <f>COUNTIF('3月'!D20:E20,P$78)+COUNTIF('3月'!I20:J20,P$78)+COUNTIF('3月'!N20:O20,P$78)+COUNTIF('3月'!S20:T20,P$78)+COUNTIF('3月'!X20:Y20,P$78)+COUNTIF('3月'!AC20:AD20,P$78)+COUNTIF('3月'!AH20:AI20,P$78)+COUNTIF('3月'!AM20:AN20,P$78)+COUNTIF('3月'!AR20:AS20,P$78)+COUNTIF('3月'!AW20:AX20,P$78)+COUNTIF('3月'!BB20:BC20,P$78)+COUNTIF('3月'!BG20:BH20,P$78)+COUNTIF('3月'!BL20:BM20,P$78)+COUNTIF('3月'!BQ20:BR20,P$78)+COUNTIF('3月'!BV20:BW20,P$78)+COUNTIF('3月'!CA20:CB20,P$78)+COUNTIF('3月'!CF20:CG20,P$78)+COUNTIF('3月'!CK20:CL20,P$78)+COUNTIF('3月'!CP20:CQ20,P$78)+COUNTIF('3月'!CU20:CV20,P$78)+COUNTIF('3月'!CZ20:DA20,P$78)+COUNTIF('3月'!DE20:DF20,P$78)+COUNTIF('3月'!DJ20:DK20,P$78)+COUNTIF('3月'!DO20:DP20,P$78)+COUNTIF('3月'!DT20:DU20,P$78)+COUNTIF('3月'!DY20:DZ20,P$78)+COUNTIF('3月'!ED20:EE20,P$78)+COUNTIF('3月'!EI20:EJ20,P$78)+COUNTIF('3月'!EN20:EO20,P$78)+COUNTIF('3月'!ES20:ET20,P$78)+COUNTIF('3月'!D20:E20,"荻窪ー夜勤")+COUNTIF('3月'!I20:J20,"荻窪ー夜勤")+COUNTIF('3月'!N20:O20,"荻窪ー夜勤")+COUNTIF('3月'!S20:T20,"荻窪ー夜勤")+COUNTIF('3月'!X20:Y20,"荻窪ー夜勤")+COUNTIF('3月'!AC20:AD20,"荻窪ー夜勤")+COUNTIF('3月'!AH20:AI20,"荻窪ー夜勤")+COUNTIF('3月'!AM20:AN20,"荻窪ー夜勤")+COUNTIF('3月'!AR20:AS20,"荻窪ー夜勤")+COUNTIF('3月'!AW20:AX20,"荻窪ー夜勤")+COUNTIF('3月'!BB20:BC20,"荻窪ー夜勤")+COUNTIF('3月'!BG20:BH20,"荻窪ー夜勤")+COUNTIF('3月'!BL20:BM20,"荻窪ー夜勤")+COUNTIF('3月'!BQ20:BR20,"荻窪ー夜勤")+COUNTIF('3月'!BV20:BW20,"荻窪ー夜勤")+COUNTIF('3月'!CA20:CB20,"荻窪ー夜勤")+COUNTIF('3月'!CF20:CG20,"荻窪ー夜勤")+COUNTIF('3月'!CK20:CL20,"荻窪ー夜勤")+COUNTIF('3月'!CP20:CQ20,"荻窪ー夜勤")+COUNTIF('3月'!CU20:CV20,"荻窪ー夜勤")+COUNTIF('3月'!CZ20:DA20,"荻窪ー夜勤")+COUNTIF('3月'!DE20:DF20,"荻窪ー夜勤")+COUNTIF('3月'!DJ20:DK20,"荻窪ー夜勤")+COUNTIF('3月'!DO20:DP20,"荻窪ー夜勤")+COUNTIF('3月'!DT20:DU20,"荻窪ー夜勤")+COUNTIF('3月'!DY20:DZ20,"荻窪ー夜勤")+COUNTIF('3月'!ED20:EE20,"荻窪ー夜勤")+COUNTIF('3月'!EI20:EJ20,"荻窪ー夜勤")+COUNTIF('3月'!EN20:EO20,"荻窪ー夜勤")+COUNTIF('3月'!ES20:ET20,"荻窪ー夜勤")</f>
        <v>0</v>
      </c>
      <c r="Q96" s="76">
        <f t="shared" si="31"/>
        <v>0</v>
      </c>
      <c r="R96" s="76">
        <f>COUNTIF('3月'!D20:E20,R$78)+COUNTIF('3月'!I20:J20,R$78)+COUNTIF('3月'!N20:O20,R$78)+COUNTIF('3月'!S20:T20,R$78)+COUNTIF('3月'!X20:Y20,R$78)+COUNTIF('3月'!AC20:AD20,R$78)+COUNTIF('3月'!AH20:AI20,R$78)+COUNTIF('3月'!AM20:AN20,R$78)+COUNTIF('3月'!AR20:AS20,R$78)+COUNTIF('3月'!AW20:AX20,R$78)+COUNTIF('3月'!BB20:BC20,R$78)+COUNTIF('3月'!BG20:BH20,R$78)+COUNTIF('3月'!BL20:BM20,R$78)+COUNTIF('3月'!BQ20:BR20,R$78)+COUNTIF('3月'!BV20:BW20,R$78)+COUNTIF('3月'!CA20:CB20,R$78)+COUNTIF('3月'!CF20:CG20,R$78)+COUNTIF('3月'!CK20:CL20,R$78)+COUNTIF('3月'!CP20:CQ20,R$78)+COUNTIF('3月'!CU20:CV20,R$78)+COUNTIF('3月'!CZ20:DA20,R$78)+COUNTIF('3月'!DE20:DF20,R$78)+COUNTIF('3月'!DJ20:DK20,R$78)+COUNTIF('3月'!DO20:DP20,R$78)+COUNTIF('3月'!DT20:DU20,R$78)+COUNTIF('3月'!DY20:DZ20,R$78)+COUNTIF('3月'!ED20:EE20,R$78)+COUNTIF('3月'!EI20:EJ20,R$78)+COUNTIF('3月'!EN20:EO20,R$78)+COUNTIF('3月'!ES20:ET20,R$78)</f>
        <v>0</v>
      </c>
      <c r="S96" s="76">
        <f t="shared" si="32"/>
        <v>0</v>
      </c>
      <c r="T96" s="76">
        <f>COUNTIF('3月'!D20:E20,T$78)+COUNTIF('3月'!I20:J20,T$78)+COUNTIF('3月'!N20:O20,T$78)+COUNTIF('3月'!S20:T20,T$78)+COUNTIF('3月'!X20:Y20,T$78)+COUNTIF('3月'!AC20:AD20,T$78)+COUNTIF('3月'!AH20:AI20,T$78)+COUNTIF('3月'!AM20:AN20,T$78)+COUNTIF('3月'!AR20:AS20,T$78)+COUNTIF('3月'!AW20:AX20,T$78)+COUNTIF('3月'!BB20:BC20,T$78)+COUNTIF('3月'!BG20:BH20,T$78)+COUNTIF('3月'!BL20:BM20,T$78)+COUNTIF('3月'!BQ20:BR20,T$78)+COUNTIF('3月'!BV20:BW20,T$78)+COUNTIF('3月'!CA20:CB20,T$78)+COUNTIF('3月'!CF20:CG20,T$78)+COUNTIF('3月'!CK20:CL20,T$78)+COUNTIF('3月'!CP20:CQ20,T$78)+COUNTIF('3月'!CU20:CV20,T$78)+COUNTIF('3月'!CZ20:DA20,T$78)+COUNTIF('3月'!DE20:DF20,T$78)+COUNTIF('3月'!DJ20:DK20,T$78)+COUNTIF('3月'!DO20:DP20,T$78)+COUNTIF('3月'!DT20:DU20,T$78)+COUNTIF('3月'!DY20:DZ20,T$78)+COUNTIF('3月'!ED20:EE20,T$78)+COUNTIF('3月'!EI20:EJ20,T$78)+COUNTIF('3月'!EN20:EO20,T$78)+COUNTIF('3月'!ES20:ET20,T$78)</f>
        <v>0</v>
      </c>
      <c r="U96" s="76">
        <f t="shared" si="33"/>
        <v>0</v>
      </c>
      <c r="V96" s="76">
        <f>COUNTIF('3月'!D20:E20,V$78)+COUNTIF('3月'!I20:J20,V$78)+COUNTIF('3月'!N20:O20,V$78)+COUNTIF('3月'!S20:T20,V$78)+COUNTIF('3月'!X20:Y20,V$78)+COUNTIF('3月'!AC20:AD20,V$78)+COUNTIF('3月'!AH20:AI20,V$78)+COUNTIF('3月'!AM20:AN20,V$78)+COUNTIF('3月'!AR20:AS20,V$78)+COUNTIF('3月'!AW20:AX20,V$78)+COUNTIF('3月'!BB20:BC20,V$78)+COUNTIF('3月'!BG20:BH20,V$78)+COUNTIF('3月'!BL20:BM20,V$78)+COUNTIF('3月'!BQ20:BR20,V$78)+COUNTIF('3月'!BV20:BW20,V$78)+COUNTIF('3月'!CA20:CB20,V$78)+COUNTIF('3月'!CF20:CG20,V$78)+COUNTIF('3月'!CK20:CL20,V$78)+COUNTIF('3月'!CP20:CQ20,V$78)+COUNTIF('3月'!CU20:CV20,V$78)+COUNTIF('3月'!CZ20:DA20,V$78)+COUNTIF('3月'!DE20:DF20,V$78)+COUNTIF('3月'!DJ20:DK20,V$78)+COUNTIF('3月'!DO20:DP20,V$78)+COUNTIF('3月'!DT20:DU20,V$78)+COUNTIF('3月'!DY20:DZ20,V$78)+COUNTIF('3月'!ED20:EE20,V$78)+COUNTIF('3月'!EI20:EJ20,V$78)+COUNTIF('3月'!EN20:EO20,V$78)+COUNTIF('3月'!ES20:ET20,V$78)</f>
        <v>0</v>
      </c>
      <c r="W96" s="76">
        <f t="shared" si="34"/>
        <v>0</v>
      </c>
      <c r="X96" s="76">
        <f>COUNTIF('3月'!D20:E20,X$78)+COUNTIF('3月'!I20:J20,X$78)+COUNTIF('3月'!N20:O20,X$78)+COUNTIF('3月'!S20:T20,X$78)+COUNTIF('3月'!X20:Y20,X$78)+COUNTIF('3月'!AC20:AD20,X$78)+COUNTIF('3月'!AH20:AI20,X$78)+COUNTIF('3月'!AM20:AN20,X$78)+COUNTIF('3月'!AR20:AS20,X$78)+COUNTIF('3月'!AW20:AX20,X$78)+COUNTIF('3月'!BB20:BC20,X$78)+COUNTIF('3月'!BG20:BH20,X$78)+COUNTIF('3月'!BL20:BM20,X$78)+COUNTIF('3月'!BQ20:BR20,X$78)+COUNTIF('3月'!BV20:BW20,X$78)+COUNTIF('3月'!CA20:CB20,X$78)+COUNTIF('3月'!CF20:CG20,X$78)+COUNTIF('3月'!CK20:CL20,X$78)+COUNTIF('3月'!CP20:CQ20,X$78)+COUNTIF('3月'!CU20:CV20,X$78)+COUNTIF('3月'!CZ20:DA20,X$78)+COUNTIF('3月'!DE20:DF20,X$78)+COUNTIF('3月'!DJ20:DK20,X$78)+COUNTIF('3月'!DO20:DP20,X$78)+COUNTIF('3月'!DT20:DU20,X$78)+COUNTIF('3月'!DY20:DZ20,X$78)+COUNTIF('3月'!ED20:EE20,X$78)+COUNTIF('3月'!EI20:EJ20,X$78)+COUNTIF('3月'!EN20:EO20,X$78)+COUNTIF('3月'!ES20:ET20,X$78)</f>
        <v>0</v>
      </c>
      <c r="Y96" s="76">
        <f t="shared" si="35"/>
        <v>0</v>
      </c>
    </row>
    <row r="97" spans="1:25" ht="18" customHeight="1">
      <c r="A97" s="76">
        <v>18</v>
      </c>
      <c r="B97" s="76">
        <f>COUNTIF('3月'!D21:E21,B$78)+COUNTIF('3月'!I21:J21,B$78)+COUNTIF('3月'!N21:O21,B$78)+COUNTIF('3月'!S21:T21,B$78)+COUNTIF('3月'!X21:Y21,B$78)+COUNTIF('3月'!AC21:AD21,B$78)+COUNTIF('3月'!AH21:AI21,B$78)+COUNTIF('3月'!AM21:AN21,B$78)+COUNTIF('3月'!AR21:AS21,B$78)+COUNTIF('3月'!AW21:AX21,B$78)+COUNTIF('3月'!BB21:BC21,B$78)+COUNTIF('3月'!BG21:BH21,B$78)+COUNTIF('3月'!BL21:BM21,B$78)+COUNTIF('3月'!BQ21:BR21,B$78)+COUNTIF('3月'!BV21:BW21,B$78)+COUNTIF('3月'!CA21:CB21,B$78)+COUNTIF('3月'!CF21:CG21,B$78)+COUNTIF('3月'!CK21:CL21,B$78)+COUNTIF('3月'!CP21:CQ21,B$78)+COUNTIF('3月'!CU21:CV21,B$78)+COUNTIF('3月'!CZ21:DA21,B$78)+COUNTIF('3月'!DE21:DF21,B$78)+COUNTIF('3月'!DJ21:DK21,B$78)+COUNTIF('3月'!DO21:DP21,B$78)+COUNTIF('3月'!DT21:DU21,B$78)+COUNTIF('3月'!DY21:DZ21,B$78)+COUNTIF('3月'!ED21:EE21,B$78)+COUNTIF('3月'!EI21:EJ21,B$78)+COUNTIF('3月'!EN21:EO21,B$78)+COUNTIF('3月'!ES21:ET21,B$78)</f>
        <v>0</v>
      </c>
      <c r="C97" s="76">
        <f t="shared" si="24"/>
        <v>0</v>
      </c>
      <c r="D97" s="76">
        <f>COUNTIF('3月'!D21:E21,D$78)+COUNTIF('3月'!I21:J21,D$78)+COUNTIF('3月'!N21:O21,D$78)+COUNTIF('3月'!S21:T21,D$78)+COUNTIF('3月'!X21:Y21,D$78)+COUNTIF('3月'!AC21:AD21,D$78)+COUNTIF('3月'!AH21:AI21,D$78)+COUNTIF('3月'!AM21:AN21,D$78)+COUNTIF('3月'!AR21:AS21,D$78)+COUNTIF('3月'!AW21:AX21,D$78)+COUNTIF('3月'!BB21:BC21,D$78)+COUNTIF('3月'!BG21:BH21,D$78)+COUNTIF('3月'!BL21:BM21,D$78)+COUNTIF('3月'!BQ21:BR21,D$78)+COUNTIF('3月'!BV21:BW21,D$78)+COUNTIF('3月'!CA21:CB21,D$78)+COUNTIF('3月'!CF21:CG21,D$78)+COUNTIF('3月'!CK21:CL21,D$78)+COUNTIF('3月'!CP21:CQ21,D$78)+COUNTIF('3月'!CU21:CV21,D$78)+COUNTIF('3月'!CZ21:DA21,D$78)+COUNTIF('3月'!DE21:DF21,D$78)+COUNTIF('3月'!DJ21:DK21,D$78)+COUNTIF('3月'!DO21:DP21,D$78)+COUNTIF('3月'!DT21:DU21,D$78)+COUNTIF('3月'!DY21:DZ21,D$78)+COUNTIF('3月'!ED21:EE21,D$78)+COUNTIF('3月'!EI21:EJ21,D$78)+COUNTIF('3月'!EN21:EO21,D$78)+COUNTIF('3月'!ES21:ET21,D$78)</f>
        <v>0</v>
      </c>
      <c r="E97" s="76">
        <f t="shared" si="25"/>
        <v>0</v>
      </c>
      <c r="F97" s="76">
        <f>COUNTIF('3月'!D21:E21,F$78)+COUNTIF('3月'!I21:J21,F$78)+COUNTIF('3月'!N21:O21,F$78)+COUNTIF('3月'!S21:T21,F$78)+COUNTIF('3月'!X21:Y21,F$78)+COUNTIF('3月'!AC21:AD21,F$78)+COUNTIF('3月'!AH21:AI21,F$78)+COUNTIF('3月'!AM21:AN21,F$78)+COUNTIF('3月'!AR21:AS21,F$78)+COUNTIF('3月'!AW21:AX21,F$78)+COUNTIF('3月'!BB21:BC21,F$78)+COUNTIF('3月'!BG21:BH21,F$78)+COUNTIF('3月'!BL21:BM21,F$78)+COUNTIF('3月'!BQ21:BR21,F$78)+COUNTIF('3月'!BV21:BW21,F$78)+COUNTIF('3月'!CA21:CB21,F$78)+COUNTIF('3月'!CF21:CG21,F$78)+COUNTIF('3月'!CK21:CL21,F$78)+COUNTIF('3月'!CP21:CQ21,F$78)+COUNTIF('3月'!CU21:CV21,F$78)+COUNTIF('3月'!CZ21:DA21,F$78)+COUNTIF('3月'!DE21:DF21,F$78)+COUNTIF('3月'!DJ21:DK21,F$78)+COUNTIF('3月'!DO21:DP21,F$78)+COUNTIF('3月'!DT21:DU21,F$78)+COUNTIF('3月'!DY21:DZ21,F$78)+COUNTIF('3月'!ED21:EE21,F$78)+COUNTIF('3月'!EI21:EJ21,F$78)+COUNTIF('3月'!EN21:EO21,F$78)+COUNTIF('3月'!ES21:ET21,F$78)</f>
        <v>0</v>
      </c>
      <c r="G97" s="76">
        <f t="shared" si="26"/>
        <v>0</v>
      </c>
      <c r="H97" s="76">
        <f>COUNTIF('3月'!D21:E21,H$78)+COUNTIF('3月'!I21:J21,H$78)+COUNTIF('3月'!N21:O21,H$78)+COUNTIF('3月'!S21:T21,H$78)+COUNTIF('3月'!X21:Y21,H$78)+COUNTIF('3月'!AC21:AD21,H$78)+COUNTIF('3月'!AH21:AI21,H$78)+COUNTIF('3月'!AM21:AN21,H$78)+COUNTIF('3月'!AR21:AS21,H$78)+COUNTIF('3月'!AW21:AX21,H$78)+COUNTIF('3月'!BB21:BC21,H$78)+COUNTIF('3月'!BG21:BH21,H$78)+COUNTIF('3月'!BL21:BM21,H$78)+COUNTIF('3月'!BQ21:BR21,H$78)+COUNTIF('3月'!BV21:BW21,H$78)+COUNTIF('3月'!CA21:CB21,H$78)+COUNTIF('3月'!CF21:CG21,H$78)+COUNTIF('3月'!CK21:CL21,H$78)+COUNTIF('3月'!CP21:CQ21,H$78)+COUNTIF('3月'!CU21:CV21,H$78)+COUNTIF('3月'!CZ21:DA21,H$78)+COUNTIF('3月'!DE21:DF21,H$78)+COUNTIF('3月'!DJ21:DK21,H$78)+COUNTIF('3月'!DO21:DP21,H$78)+COUNTIF('3月'!DT21:DU21,H$78)+COUNTIF('3月'!DY21:DZ21,H$78)+COUNTIF('3月'!ED21:EE21,H$78)+COUNTIF('3月'!EI21:EJ21,H$78)+COUNTIF('3月'!EN21:EO21,H$78)+COUNTIF('3月'!ES21:ET21,H$78)+COUNTIF('3月'!D21:E21,"渋谷-夜勤")+COUNTIF('3月'!I21:J21,"渋谷-夜勤")+COUNTIF('3月'!N21:O21,"渋谷-夜勤")+COUNTIF('3月'!S21:T21,"渋谷-夜勤")+COUNTIF('3月'!X21:Y21,"渋谷-夜勤")+COUNTIF('3月'!AC21:AD21,"渋谷-夜勤")+COUNTIF('3月'!AH21:AI21,"渋谷-夜勤")+COUNTIF('3月'!AM21:AN21,"渋谷-夜勤")+COUNTIF('3月'!AR21:AS21,"渋谷-夜勤")+COUNTIF('3月'!AW21:AX21,"渋谷-夜勤")+COUNTIF('3月'!BB21:BC21,"渋谷-夜勤")+COUNTIF('3月'!BG21:BH21,"渋谷-夜勤")+COUNTIF('3月'!BL21:BM21,"渋谷-夜勤")+COUNTIF('3月'!BQ21:BR21,"渋谷-夜勤")+COUNTIF('3月'!BV21:BW21,"渋谷-夜勤")+COUNTIF('3月'!CA21:CB21,"渋谷-夜勤")+COUNTIF('3月'!CF21:CG21,"渋谷-夜勤")+COUNTIF('3月'!CK21:CL21,"渋谷-夜勤")+COUNTIF('3月'!CP21:CQ21,"渋谷-夜勤")+COUNTIF('3月'!CU21:CV21,"渋谷-夜勤")+COUNTIF('3月'!CZ21:DA21,"渋谷-夜勤")+COUNTIF('3月'!DE21:DF21,"渋谷-夜勤")+COUNTIF('3月'!DJ21:DK21,"渋谷-夜勤")+COUNTIF('3月'!DO21:DP21,"渋谷-夜勤")+COUNTIF('3月'!DT21:DU21,"渋谷-夜勤")+COUNTIF('3月'!DY21:DZ21,"渋谷-夜勤")+COUNTIF('3月'!ED21:EE21,"渋谷-夜勤")+COUNTIF('3月'!EI21:EJ21,"渋谷-夜勤")+COUNTIF('3月'!EN21:EO21,"渋谷-夜勤")+COUNTIF('3月'!ES21:ET21,"渋谷-夜勤")</f>
        <v>0</v>
      </c>
      <c r="I97" s="76">
        <f t="shared" si="27"/>
        <v>0</v>
      </c>
      <c r="J97" s="76">
        <f>COUNTIF('3月'!D21:E21,J$78)+COUNTIF('3月'!I21:J21,J$78)+COUNTIF('3月'!N21:O21,J$78)+COUNTIF('3月'!S21:T21,J$78)+COUNTIF('3月'!X21:Y21,J$78)+COUNTIF('3月'!AC21:AD21,J$78)+COUNTIF('3月'!AH21:AI21,J$78)+COUNTIF('3月'!AM21:AN21,J$78)+COUNTIF('3月'!AR21:AS21,J$78)+COUNTIF('3月'!AW21:AX21,J$78)+COUNTIF('3月'!BB21:BC21,J$78)+COUNTIF('3月'!BG21:BH21,J$78)+COUNTIF('3月'!BL21:BM21,J$78)+COUNTIF('3月'!BQ21:BR21,J$78)+COUNTIF('3月'!BV21:BW21,J$78)+COUNTIF('3月'!CA21:CB21,J$78)+COUNTIF('3月'!CF21:CG21,J$78)+COUNTIF('3月'!CK21:CL21,J$78)+COUNTIF('3月'!CP21:CQ21,J$78)+COUNTIF('3月'!CU21:CV21,J$78)+COUNTIF('3月'!CZ21:DA21,J$78)+COUNTIF('3月'!DE21:DF21,J$78)+COUNTIF('3月'!DJ21:DK21,J$78)+COUNTIF('3月'!DO21:DP21,J$78)+COUNTIF('3月'!DT21:DU21,J$78)+COUNTIF('3月'!DY21:DZ21,J$78)+COUNTIF('3月'!ED21:EE21,J$78)+COUNTIF('3月'!EI21:EJ21,J$78)+COUNTIF('3月'!EN21:EO21,J$78)+COUNTIF('3月'!ES21:ET21,J$78)+COUNTIF('3月'!D21:E21,"六本木-夜勤")+COUNTIF('3月'!I21:J21,"六本木-夜勤")+COUNTIF('3月'!N21:O21,"六本木-夜勤")+COUNTIF('3月'!S21:T21,"六本木-夜勤")+COUNTIF('3月'!X21:Y21,"六本木-夜勤")+COUNTIF('3月'!AC21:AD21,"六本木-夜勤")+COUNTIF('3月'!AH21:AI21,"六本木-夜勤")+COUNTIF('3月'!AM21:AN21,"六本木-夜勤")+COUNTIF('3月'!AR21:AS21,"六本木-夜勤")+COUNTIF('3月'!AW21:AX21,"六本木-夜勤")+COUNTIF('3月'!BB21:BC21,"六本木-夜勤")+COUNTIF('3月'!BG21:BH21,"六本木-夜勤")+COUNTIF('3月'!BL21:BM21,"六本木-夜勤")+COUNTIF('3月'!BQ21:BR21,"六本木-夜勤")+COUNTIF('3月'!BV21:BW21,"六本木-夜勤")+COUNTIF('3月'!CA21:CB21,"六本木-夜勤")+COUNTIF('3月'!CF21:CG21,"六本木-夜勤")+COUNTIF('3月'!CK21:CL21,"六本木-夜勤")+COUNTIF('3月'!CP21:CQ21,"六本木-夜勤")+COUNTIF('3月'!CU21:CV21,"六本木-夜勤")+COUNTIF('3月'!CZ21:DA21,"六本木-夜勤")+COUNTIF('3月'!DE21:DF21,"六本木-夜勤")+COUNTIF('3月'!DJ21:DK21,"六本木-夜勤")+COUNTIF('3月'!DO21:DP21,"六本木-夜勤")+COUNTIF('3月'!DT21:DU21,"六本木-夜勤")+COUNTIF('3月'!DY21:DZ21,"六本木-夜勤")+COUNTIF('3月'!ED21:EE21,"六本木-夜勤")+COUNTIF('3月'!EI21:EJ21,"六本木-夜勤")+COUNTIF('3月'!EN21:EO21,"六本木-夜勤")+COUNTIF('3月'!ES21:ET21,"六本木-夜勤")+COUNTIF('3月'!D21:E21,"六本木ー夜勤")+COUNTIF('3月'!I21:J21,"六本木ー夜勤")+COUNTIF('3月'!N21:O21,"六本木ー夜勤")+COUNTIF('3月'!S21:T21,"六本木ー夜勤")+COUNTIF('3月'!X21:Y21,"六本木ー夜勤")+COUNTIF('3月'!AC21:AD21,"六本木ー夜勤")+COUNTIF('3月'!AH21:AI21,"六本木ー夜勤")+COUNTIF('3月'!AM21:AN21,"六本木ー夜勤")+COUNTIF('3月'!AR21:AS21,"六本木ー夜勤")+COUNTIF('3月'!AW21:AX21,"六本木ー夜勤")+COUNTIF('3月'!BB21:BC21,"六本木ー夜勤")+COUNTIF('3月'!BG21:BH21,"六本木ー夜勤")+COUNTIF('3月'!BL21:BM21,"六本木ー夜勤")+COUNTIF('3月'!BQ21:BR21,"六本木ー夜勤")+COUNTIF('3月'!BV21:BW21,"六本木ー夜勤")+COUNTIF('3月'!CA21:CB21,"六本木ー夜勤")+COUNTIF('3月'!CF21:CG21,"六本木ー夜勤")+COUNTIF('3月'!CK21:CL21,"六本木ー夜勤")+COUNTIF('3月'!CP21:CQ21,"六本木ー夜勤")+COUNTIF('3月'!CU21:CV21,"六本木ー夜勤")+COUNTIF('3月'!CZ21:DA21,"六本木ー夜勤")+COUNTIF('3月'!DE21:DF21,"六本木ー夜勤")+COUNTIF('3月'!DJ21:DK21,"六本木ー夜勤")+COUNTIF('3月'!DO21:DP21,"六本木ー夜勤")+COUNTIF('3月'!DT21:DU21,"六本木ー夜勤")+COUNTIF('3月'!DY21:DZ21,"六本木ー夜勤")+COUNTIF('3月'!ED21:EE21,"六本木ー夜勤")+COUNTIF('3月'!EI21:EJ21,"六本木ー夜勤")+COUNTIF('3月'!EN21:EO21,"六本木ー夜勤")+COUNTIF('3月'!ES21:ET21,"六本木ー夜勤")</f>
        <v>0</v>
      </c>
      <c r="K97" s="76">
        <f t="shared" si="28"/>
        <v>0</v>
      </c>
      <c r="L97" s="76">
        <f>COUNTIF('3月'!D21:E21,L$78)+COUNTIF('3月'!I21:J21,L$78)+COUNTIF('3月'!N21:O21,L$78)+COUNTIF('3月'!S21:T21,L$78)+COUNTIF('3月'!X21:Y21,L$78)+COUNTIF('3月'!AC21:AD21,L$78)+COUNTIF('3月'!AH21:AI21,L$78)+COUNTIF('3月'!AM21:AN21,L$78)+COUNTIF('3月'!AR21:AS21,L$78)+COUNTIF('3月'!AW21:AX21,L$78)+COUNTIF('3月'!BB21:BC21,L$78)+COUNTIF('3月'!BG21:BH21,L$78)+COUNTIF('3月'!BL21:BM21,L$78)+COUNTIF('3月'!BQ21:BR21,L$78)+COUNTIF('3月'!BV21:BW21,L$78)+COUNTIF('3月'!CA21:CB21,L$78)+COUNTIF('3月'!CF21:CG21,L$78)+COUNTIF('3月'!CK21:CL21,L$78)+COUNTIF('3月'!CP21:CQ21,L$78)+COUNTIF('3月'!CU21:CV21,L$78)+COUNTIF('3月'!CZ21:DA21,L$78)+COUNTIF('3月'!DE21:DF21,L$78)+COUNTIF('3月'!DJ21:DK21,L$78)+COUNTIF('3月'!DO21:DP21,L$78)+COUNTIF('3月'!DT21:DU21,L$78)+COUNTIF('3月'!DY21:DZ21,L$78)+COUNTIF('3月'!ED21:EE21,L$78)+COUNTIF('3月'!EI21:EJ21,L$78)+COUNTIF('3月'!EN21:EO21,L$78)+COUNTIF('3月'!ES21:ET21,L$78)</f>
        <v>0</v>
      </c>
      <c r="M97" s="76">
        <f t="shared" si="29"/>
        <v>0</v>
      </c>
      <c r="N97" s="76">
        <f>COUNTIF('3月'!D21:E21,N$78)+COUNTIF('3月'!I21:J21,N$78)+COUNTIF('3月'!N21:O21,N$78)+COUNTIF('3月'!S21:T21,N$78)+COUNTIF('3月'!X21:Y21,N$78)+COUNTIF('3月'!AC21:AD21,N$78)+COUNTIF('3月'!AH21:AI21,N$78)+COUNTIF('3月'!AM21:AN21,N$78)+COUNTIF('3月'!AR21:AS21,N$78)+COUNTIF('3月'!AW21:AX21,N$78)+COUNTIF('3月'!BB21:BC21,N$78)+COUNTIF('3月'!BG21:BH21,N$78)+COUNTIF('3月'!BL21:BM21,N$78)+COUNTIF('3月'!BQ21:BR21,N$78)+COUNTIF('3月'!BV21:BW21,N$78)+COUNTIF('3月'!CA21:CB21,N$78)+COUNTIF('3月'!CF21:CG21,N$78)+COUNTIF('3月'!CK21:CL21,N$78)+COUNTIF('3月'!CP21:CQ21,N$78)+COUNTIF('3月'!CU21:CV21,N$78)+COUNTIF('3月'!CZ21:DA21,N$78)+COUNTIF('3月'!DE21:DF21,N$78)+COUNTIF('3月'!DJ21:DK21,N$78)+COUNTIF('3月'!DO21:DP21,N$78)+COUNTIF('3月'!DT21:DU21,N$78)+COUNTIF('3月'!DY21:DZ21,N$78)+COUNTIF('3月'!ED21:EE21,N$78)+COUNTIF('3月'!EI21:EJ21,N$78)+COUNTIF('3月'!EN21:EO21,N$78)+COUNTIF('3月'!ES21:ET21,N$78)+COUNTIF('3月'!D21:E21,"三軒茶屋－夜勤")+COUNTIF('3月'!I21:J21,"三軒茶屋－夜勤")+COUNTIF('3月'!N21:O21,"三軒茶屋－夜勤")+COUNTIF('3月'!S21:T21,"三軒茶屋－夜勤")+COUNTIF('3月'!X21:Y21,"三軒茶屋－夜勤")+COUNTIF('3月'!AC21:AD21,"三軒茶屋－夜勤")+COUNTIF('3月'!AH21:AI21,"三軒茶屋－夜勤")+COUNTIF('3月'!AM21:AN21,"三軒茶屋－夜勤")+COUNTIF('3月'!AR21:AS21,"三軒茶屋－夜勤")+COUNTIF('3月'!AW21:AX21,"三軒茶屋－夜勤")+COUNTIF('3月'!BB21:BC21,"三軒茶屋－夜勤")+COUNTIF('3月'!BG21:BH21,"三軒茶屋－夜勤")+COUNTIF('3月'!BL21:BM21,"三軒茶屋－夜勤")+COUNTIF('3月'!BQ21:BR21,"三軒茶屋－夜勤")+COUNTIF('3月'!BV21:BW21,"三軒茶屋－夜勤")+COUNTIF('3月'!CA21:CB21,"三軒茶屋－夜勤")+COUNTIF('3月'!CF21:CG21,"三軒茶屋－夜勤")+COUNTIF('3月'!CK21:CL21,"三軒茶屋－夜勤")+COUNTIF('3月'!CP21:CQ21,"三軒茶屋－夜勤")+COUNTIF('3月'!CU21:CV21,"三軒茶屋－夜勤")+COUNTIF('3月'!CZ21:DA21,"三軒茶屋－夜勤")+COUNTIF('3月'!DE21:DF21,"三軒茶屋－夜勤")+COUNTIF('3月'!DJ21:DK21,"三軒茶屋－夜勤")+COUNTIF('3月'!DO21:DP21,"三軒茶屋－夜勤")+COUNTIF('3月'!DT21:DU21,"三軒茶屋－夜勤")+COUNTIF('3月'!DY21:DZ21,"三軒茶屋－夜勤")+COUNTIF('3月'!ED21:EE21,"三軒茶屋－夜勤")+COUNTIF('3月'!EI21:EJ21,"三軒茶屋－夜勤")+COUNTIF('3月'!EN21:EO21,"三軒茶屋－夜勤")+COUNTIF('3月'!ES21:ET21,"三軒茶屋－夜勤")</f>
        <v>0</v>
      </c>
      <c r="O97" s="76">
        <f t="shared" si="30"/>
        <v>0</v>
      </c>
      <c r="P97" s="76">
        <f>COUNTIF('3月'!D21:E21,P$78)+COUNTIF('3月'!I21:J21,P$78)+COUNTIF('3月'!N21:O21,P$78)+COUNTIF('3月'!S21:T21,P$78)+COUNTIF('3月'!X21:Y21,P$78)+COUNTIF('3月'!AC21:AD21,P$78)+COUNTIF('3月'!AH21:AI21,P$78)+COUNTIF('3月'!AM21:AN21,P$78)+COUNTIF('3月'!AR21:AS21,P$78)+COUNTIF('3月'!AW21:AX21,P$78)+COUNTIF('3月'!BB21:BC21,P$78)+COUNTIF('3月'!BG21:BH21,P$78)+COUNTIF('3月'!BL21:BM21,P$78)+COUNTIF('3月'!BQ21:BR21,P$78)+COUNTIF('3月'!BV21:BW21,P$78)+COUNTIF('3月'!CA21:CB21,P$78)+COUNTIF('3月'!CF21:CG21,P$78)+COUNTIF('3月'!CK21:CL21,P$78)+COUNTIF('3月'!CP21:CQ21,P$78)+COUNTIF('3月'!CU21:CV21,P$78)+COUNTIF('3月'!CZ21:DA21,P$78)+COUNTIF('3月'!DE21:DF21,P$78)+COUNTIF('3月'!DJ21:DK21,P$78)+COUNTIF('3月'!DO21:DP21,P$78)+COUNTIF('3月'!DT21:DU21,P$78)+COUNTIF('3月'!DY21:DZ21,P$78)+COUNTIF('3月'!ED21:EE21,P$78)+COUNTIF('3月'!EI21:EJ21,P$78)+COUNTIF('3月'!EN21:EO21,P$78)+COUNTIF('3月'!ES21:ET21,P$78)+COUNTIF('3月'!D21:E21,"荻窪ー夜勤")+COUNTIF('3月'!I21:J21,"荻窪ー夜勤")+COUNTIF('3月'!N21:O21,"荻窪ー夜勤")+COUNTIF('3月'!S21:T21,"荻窪ー夜勤")+COUNTIF('3月'!X21:Y21,"荻窪ー夜勤")+COUNTIF('3月'!AC21:AD21,"荻窪ー夜勤")+COUNTIF('3月'!AH21:AI21,"荻窪ー夜勤")+COUNTIF('3月'!AM21:AN21,"荻窪ー夜勤")+COUNTIF('3月'!AR21:AS21,"荻窪ー夜勤")+COUNTIF('3月'!AW21:AX21,"荻窪ー夜勤")+COUNTIF('3月'!BB21:BC21,"荻窪ー夜勤")+COUNTIF('3月'!BG21:BH21,"荻窪ー夜勤")+COUNTIF('3月'!BL21:BM21,"荻窪ー夜勤")+COUNTIF('3月'!BQ21:BR21,"荻窪ー夜勤")+COUNTIF('3月'!BV21:BW21,"荻窪ー夜勤")+COUNTIF('3月'!CA21:CB21,"荻窪ー夜勤")+COUNTIF('3月'!CF21:CG21,"荻窪ー夜勤")+COUNTIF('3月'!CK21:CL21,"荻窪ー夜勤")+COUNTIF('3月'!CP21:CQ21,"荻窪ー夜勤")+COUNTIF('3月'!CU21:CV21,"荻窪ー夜勤")+COUNTIF('3月'!CZ21:DA21,"荻窪ー夜勤")+COUNTIF('3月'!DE21:DF21,"荻窪ー夜勤")+COUNTIF('3月'!DJ21:DK21,"荻窪ー夜勤")+COUNTIF('3月'!DO21:DP21,"荻窪ー夜勤")+COUNTIF('3月'!DT21:DU21,"荻窪ー夜勤")+COUNTIF('3月'!DY21:DZ21,"荻窪ー夜勤")+COUNTIF('3月'!ED21:EE21,"荻窪ー夜勤")+COUNTIF('3月'!EI21:EJ21,"荻窪ー夜勤")+COUNTIF('3月'!EN21:EO21,"荻窪ー夜勤")+COUNTIF('3月'!ES21:ET21,"荻窪ー夜勤")</f>
        <v>0</v>
      </c>
      <c r="Q97" s="76">
        <f t="shared" si="31"/>
        <v>0</v>
      </c>
      <c r="R97" s="76">
        <f>COUNTIF('3月'!D21:E21,R$78)+COUNTIF('3月'!I21:J21,R$78)+COUNTIF('3月'!N21:O21,R$78)+COUNTIF('3月'!S21:T21,R$78)+COUNTIF('3月'!X21:Y21,R$78)+COUNTIF('3月'!AC21:AD21,R$78)+COUNTIF('3月'!AH21:AI21,R$78)+COUNTIF('3月'!AM21:AN21,R$78)+COUNTIF('3月'!AR21:AS21,R$78)+COUNTIF('3月'!AW21:AX21,R$78)+COUNTIF('3月'!BB21:BC21,R$78)+COUNTIF('3月'!BG21:BH21,R$78)+COUNTIF('3月'!BL21:BM21,R$78)+COUNTIF('3月'!BQ21:BR21,R$78)+COUNTIF('3月'!BV21:BW21,R$78)+COUNTIF('3月'!CA21:CB21,R$78)+COUNTIF('3月'!CF21:CG21,R$78)+COUNTIF('3月'!CK21:CL21,R$78)+COUNTIF('3月'!CP21:CQ21,R$78)+COUNTIF('3月'!CU21:CV21,R$78)+COUNTIF('3月'!CZ21:DA21,R$78)+COUNTIF('3月'!DE21:DF21,R$78)+COUNTIF('3月'!DJ21:DK21,R$78)+COUNTIF('3月'!DO21:DP21,R$78)+COUNTIF('3月'!DT21:DU21,R$78)+COUNTIF('3月'!DY21:DZ21,R$78)+COUNTIF('3月'!ED21:EE21,R$78)+COUNTIF('3月'!EI21:EJ21,R$78)+COUNTIF('3月'!EN21:EO21,R$78)+COUNTIF('3月'!ES21:ET21,R$78)</f>
        <v>0</v>
      </c>
      <c r="S97" s="76">
        <f t="shared" si="32"/>
        <v>0</v>
      </c>
      <c r="T97" s="76">
        <f>COUNTIF('3月'!D21:E21,T$78)+COUNTIF('3月'!I21:J21,T$78)+COUNTIF('3月'!N21:O21,T$78)+COUNTIF('3月'!S21:T21,T$78)+COUNTIF('3月'!X21:Y21,T$78)+COUNTIF('3月'!AC21:AD21,T$78)+COUNTIF('3月'!AH21:AI21,T$78)+COUNTIF('3月'!AM21:AN21,T$78)+COUNTIF('3月'!AR21:AS21,T$78)+COUNTIF('3月'!AW21:AX21,T$78)+COUNTIF('3月'!BB21:BC21,T$78)+COUNTIF('3月'!BG21:BH21,T$78)+COUNTIF('3月'!BL21:BM21,T$78)+COUNTIF('3月'!BQ21:BR21,T$78)+COUNTIF('3月'!BV21:BW21,T$78)+COUNTIF('3月'!CA21:CB21,T$78)+COUNTIF('3月'!CF21:CG21,T$78)+COUNTIF('3月'!CK21:CL21,T$78)+COUNTIF('3月'!CP21:CQ21,T$78)+COUNTIF('3月'!CU21:CV21,T$78)+COUNTIF('3月'!CZ21:DA21,T$78)+COUNTIF('3月'!DE21:DF21,T$78)+COUNTIF('3月'!DJ21:DK21,T$78)+COUNTIF('3月'!DO21:DP21,T$78)+COUNTIF('3月'!DT21:DU21,T$78)+COUNTIF('3月'!DY21:DZ21,T$78)+COUNTIF('3月'!ED21:EE21,T$78)+COUNTIF('3月'!EI21:EJ21,T$78)+COUNTIF('3月'!EN21:EO21,T$78)+COUNTIF('3月'!ES21:ET21,T$78)</f>
        <v>0</v>
      </c>
      <c r="U97" s="76">
        <f t="shared" si="33"/>
        <v>0</v>
      </c>
      <c r="V97" s="76">
        <f>COUNTIF('3月'!D21:E21,V$78)+COUNTIF('3月'!I21:J21,V$78)+COUNTIF('3月'!N21:O21,V$78)+COUNTIF('3月'!S21:T21,V$78)+COUNTIF('3月'!X21:Y21,V$78)+COUNTIF('3月'!AC21:AD21,V$78)+COUNTIF('3月'!AH21:AI21,V$78)+COUNTIF('3月'!AM21:AN21,V$78)+COUNTIF('3月'!AR21:AS21,V$78)+COUNTIF('3月'!AW21:AX21,V$78)+COUNTIF('3月'!BB21:BC21,V$78)+COUNTIF('3月'!BG21:BH21,V$78)+COUNTIF('3月'!BL21:BM21,V$78)+COUNTIF('3月'!BQ21:BR21,V$78)+COUNTIF('3月'!BV21:BW21,V$78)+COUNTIF('3月'!CA21:CB21,V$78)+COUNTIF('3月'!CF21:CG21,V$78)+COUNTIF('3月'!CK21:CL21,V$78)+COUNTIF('3月'!CP21:CQ21,V$78)+COUNTIF('3月'!CU21:CV21,V$78)+COUNTIF('3月'!CZ21:DA21,V$78)+COUNTIF('3月'!DE21:DF21,V$78)+COUNTIF('3月'!DJ21:DK21,V$78)+COUNTIF('3月'!DO21:DP21,V$78)+COUNTIF('3月'!DT21:DU21,V$78)+COUNTIF('3月'!DY21:DZ21,V$78)+COUNTIF('3月'!ED21:EE21,V$78)+COUNTIF('3月'!EI21:EJ21,V$78)+COUNTIF('3月'!EN21:EO21,V$78)+COUNTIF('3月'!ES21:ET21,V$78)</f>
        <v>0</v>
      </c>
      <c r="W97" s="76">
        <f t="shared" si="34"/>
        <v>0</v>
      </c>
      <c r="X97" s="76">
        <f>COUNTIF('3月'!D21:E21,X$78)+COUNTIF('3月'!I21:J21,X$78)+COUNTIF('3月'!N21:O21,X$78)+COUNTIF('3月'!S21:T21,X$78)+COUNTIF('3月'!X21:Y21,X$78)+COUNTIF('3月'!AC21:AD21,X$78)+COUNTIF('3月'!AH21:AI21,X$78)+COUNTIF('3月'!AM21:AN21,X$78)+COUNTIF('3月'!AR21:AS21,X$78)+COUNTIF('3月'!AW21:AX21,X$78)+COUNTIF('3月'!BB21:BC21,X$78)+COUNTIF('3月'!BG21:BH21,X$78)+COUNTIF('3月'!BL21:BM21,X$78)+COUNTIF('3月'!BQ21:BR21,X$78)+COUNTIF('3月'!BV21:BW21,X$78)+COUNTIF('3月'!CA21:CB21,X$78)+COUNTIF('3月'!CF21:CG21,X$78)+COUNTIF('3月'!CK21:CL21,X$78)+COUNTIF('3月'!CP21:CQ21,X$78)+COUNTIF('3月'!CU21:CV21,X$78)+COUNTIF('3月'!CZ21:DA21,X$78)+COUNTIF('3月'!DE21:DF21,X$78)+COUNTIF('3月'!DJ21:DK21,X$78)+COUNTIF('3月'!DO21:DP21,X$78)+COUNTIF('3月'!DT21:DU21,X$78)+COUNTIF('3月'!DY21:DZ21,X$78)+COUNTIF('3月'!ED21:EE21,X$78)+COUNTIF('3月'!EI21:EJ21,X$78)+COUNTIF('3月'!EN21:EO21,X$78)+COUNTIF('3月'!ES21:ET21,X$78)</f>
        <v>0</v>
      </c>
      <c r="Y97" s="76">
        <f t="shared" si="35"/>
        <v>0</v>
      </c>
    </row>
    <row r="98" spans="1:25" ht="18" customHeight="1">
      <c r="A98" s="76">
        <v>19</v>
      </c>
      <c r="B98" s="76">
        <f>COUNTIF('3月'!D22:E22,B$78)+COUNTIF('3月'!I22:J22,B$78)+COUNTIF('3月'!N22:O22,B$78)+COUNTIF('3月'!S22:T22,B$78)+COUNTIF('3月'!X22:Y22,B$78)+COUNTIF('3月'!AC22:AD22,B$78)+COUNTIF('3月'!AH22:AI22,B$78)+COUNTIF('3月'!AM22:AN22,B$78)+COUNTIF('3月'!AR22:AS22,B$78)+COUNTIF('3月'!AW22:AX22,B$78)+COUNTIF('3月'!BB22:BC22,B$78)+COUNTIF('3月'!BG22:BH22,B$78)+COUNTIF('3月'!BL22:BM22,B$78)+COUNTIF('3月'!BQ22:BR22,B$78)+COUNTIF('3月'!BV22:BW22,B$78)+COUNTIF('3月'!CA22:CB22,B$78)+COUNTIF('3月'!CF22:CG22,B$78)+COUNTIF('3月'!CK22:CL22,B$78)+COUNTIF('3月'!CP22:CQ22,B$78)+COUNTIF('3月'!CU22:CV22,B$78)+COUNTIF('3月'!CZ22:DA22,B$78)+COUNTIF('3月'!DE22:DF22,B$78)+COUNTIF('3月'!DJ22:DK22,B$78)+COUNTIF('3月'!DO22:DP22,B$78)+COUNTIF('3月'!DT22:DU22,B$78)+COUNTIF('3月'!DY22:DZ22,B$78)+COUNTIF('3月'!ED22:EE22,B$78)+COUNTIF('3月'!EI22:EJ22,B$78)+COUNTIF('3月'!EN22:EO22,B$78)+COUNTIF('3月'!ES22:ET22,B$78)</f>
        <v>0</v>
      </c>
      <c r="C98" s="76">
        <f t="shared" si="24"/>
        <v>0</v>
      </c>
      <c r="D98" s="76">
        <f>COUNTIF('3月'!D22:E22,D$78)+COUNTIF('3月'!I22:J22,D$78)+COUNTIF('3月'!N22:O22,D$78)+COUNTIF('3月'!S22:T22,D$78)+COUNTIF('3月'!X22:Y22,D$78)+COUNTIF('3月'!AC22:AD22,D$78)+COUNTIF('3月'!AH22:AI22,D$78)+COUNTIF('3月'!AM22:AN22,D$78)+COUNTIF('3月'!AR22:AS22,D$78)+COUNTIF('3月'!AW22:AX22,D$78)+COUNTIF('3月'!BB22:BC22,D$78)+COUNTIF('3月'!BG22:BH22,D$78)+COUNTIF('3月'!BL22:BM22,D$78)+COUNTIF('3月'!BQ22:BR22,D$78)+COUNTIF('3月'!BV22:BW22,D$78)+COUNTIF('3月'!CA22:CB22,D$78)+COUNTIF('3月'!CF22:CG22,D$78)+COUNTIF('3月'!CK22:CL22,D$78)+COUNTIF('3月'!CP22:CQ22,D$78)+COUNTIF('3月'!CU22:CV22,D$78)+COUNTIF('3月'!CZ22:DA22,D$78)+COUNTIF('3月'!DE22:DF22,D$78)+COUNTIF('3月'!DJ22:DK22,D$78)+COUNTIF('3月'!DO22:DP22,D$78)+COUNTIF('3月'!DT22:DU22,D$78)+COUNTIF('3月'!DY22:DZ22,D$78)+COUNTIF('3月'!ED22:EE22,D$78)+COUNTIF('3月'!EI22:EJ22,D$78)+COUNTIF('3月'!EN22:EO22,D$78)+COUNTIF('3月'!ES22:ET22,D$78)</f>
        <v>0</v>
      </c>
      <c r="E98" s="76">
        <f t="shared" si="25"/>
        <v>0</v>
      </c>
      <c r="F98" s="76">
        <f>COUNTIF('3月'!D22:E22,F$78)+COUNTIF('3月'!I22:J22,F$78)+COUNTIF('3月'!N22:O22,F$78)+COUNTIF('3月'!S22:T22,F$78)+COUNTIF('3月'!X22:Y22,F$78)+COUNTIF('3月'!AC22:AD22,F$78)+COUNTIF('3月'!AH22:AI22,F$78)+COUNTIF('3月'!AM22:AN22,F$78)+COUNTIF('3月'!AR22:AS22,F$78)+COUNTIF('3月'!AW22:AX22,F$78)+COUNTIF('3月'!BB22:BC22,F$78)+COUNTIF('3月'!BG22:BH22,F$78)+COUNTIF('3月'!BL22:BM22,F$78)+COUNTIF('3月'!BQ22:BR22,F$78)+COUNTIF('3月'!BV22:BW22,F$78)+COUNTIF('3月'!CA22:CB22,F$78)+COUNTIF('3月'!CF22:CG22,F$78)+COUNTIF('3月'!CK22:CL22,F$78)+COUNTIF('3月'!CP22:CQ22,F$78)+COUNTIF('3月'!CU22:CV22,F$78)+COUNTIF('3月'!CZ22:DA22,F$78)+COUNTIF('3月'!DE22:DF22,F$78)+COUNTIF('3月'!DJ22:DK22,F$78)+COUNTIF('3月'!DO22:DP22,F$78)+COUNTIF('3月'!DT22:DU22,F$78)+COUNTIF('3月'!DY22:DZ22,F$78)+COUNTIF('3月'!ED22:EE22,F$78)+COUNTIF('3月'!EI22:EJ22,F$78)+COUNTIF('3月'!EN22:EO22,F$78)+COUNTIF('3月'!ES22:ET22,F$78)</f>
        <v>0</v>
      </c>
      <c r="G98" s="76">
        <f t="shared" si="26"/>
        <v>0</v>
      </c>
      <c r="H98" s="76">
        <f>COUNTIF('3月'!D22:E22,H$78)+COUNTIF('3月'!I22:J22,H$78)+COUNTIF('3月'!N22:O22,H$78)+COUNTIF('3月'!S22:T22,H$78)+COUNTIF('3月'!X22:Y22,H$78)+COUNTIF('3月'!AC22:AD22,H$78)+COUNTIF('3月'!AH22:AI22,H$78)+COUNTIF('3月'!AM22:AN22,H$78)+COUNTIF('3月'!AR22:AS22,H$78)+COUNTIF('3月'!AW22:AX22,H$78)+COUNTIF('3月'!BB22:BC22,H$78)+COUNTIF('3月'!BG22:BH22,H$78)+COUNTIF('3月'!BL22:BM22,H$78)+COUNTIF('3月'!BQ22:BR22,H$78)+COUNTIF('3月'!BV22:BW22,H$78)+COUNTIF('3月'!CA22:CB22,H$78)+COUNTIF('3月'!CF22:CG22,H$78)+COUNTIF('3月'!CK22:CL22,H$78)+COUNTIF('3月'!CP22:CQ22,H$78)+COUNTIF('3月'!CU22:CV22,H$78)+COUNTIF('3月'!CZ22:DA22,H$78)+COUNTIF('3月'!DE22:DF22,H$78)+COUNTIF('3月'!DJ22:DK22,H$78)+COUNTIF('3月'!DO22:DP22,H$78)+COUNTIF('3月'!DT22:DU22,H$78)+COUNTIF('3月'!DY22:DZ22,H$78)+COUNTIF('3月'!ED22:EE22,H$78)+COUNTIF('3月'!EI22:EJ22,H$78)+COUNTIF('3月'!EN22:EO22,H$78)+COUNTIF('3月'!ES22:ET22,H$78)+COUNTIF('3月'!D22:E22,"渋谷-夜勤")+COUNTIF('3月'!I22:J22,"渋谷-夜勤")+COUNTIF('3月'!N22:O22,"渋谷-夜勤")+COUNTIF('3月'!S22:T22,"渋谷-夜勤")+COUNTIF('3月'!X22:Y22,"渋谷-夜勤")+COUNTIF('3月'!AC22:AD22,"渋谷-夜勤")+COUNTIF('3月'!AH22:AI22,"渋谷-夜勤")+COUNTIF('3月'!AM22:AN22,"渋谷-夜勤")+COUNTIF('3月'!AR22:AS22,"渋谷-夜勤")+COUNTIF('3月'!AW22:AX22,"渋谷-夜勤")+COUNTIF('3月'!BB22:BC22,"渋谷-夜勤")+COUNTIF('3月'!BG22:BH22,"渋谷-夜勤")+COUNTIF('3月'!BL22:BM22,"渋谷-夜勤")+COUNTIF('3月'!BQ22:BR22,"渋谷-夜勤")+COUNTIF('3月'!BV22:BW22,"渋谷-夜勤")+COUNTIF('3月'!CA22:CB22,"渋谷-夜勤")+COUNTIF('3月'!CF22:CG22,"渋谷-夜勤")+COUNTIF('3月'!CK22:CL22,"渋谷-夜勤")+COUNTIF('3月'!CP22:CQ22,"渋谷-夜勤")+COUNTIF('3月'!CU22:CV22,"渋谷-夜勤")+COUNTIF('3月'!CZ22:DA22,"渋谷-夜勤")+COUNTIF('3月'!DE22:DF22,"渋谷-夜勤")+COUNTIF('3月'!DJ22:DK22,"渋谷-夜勤")+COUNTIF('3月'!DO22:DP22,"渋谷-夜勤")+COUNTIF('3月'!DT22:DU22,"渋谷-夜勤")+COUNTIF('3月'!DY22:DZ22,"渋谷-夜勤")+COUNTIF('3月'!ED22:EE22,"渋谷-夜勤")+COUNTIF('3月'!EI22:EJ22,"渋谷-夜勤")+COUNTIF('3月'!EN22:EO22,"渋谷-夜勤")+COUNTIF('3月'!ES22:ET22,"渋谷-夜勤")</f>
        <v>0</v>
      </c>
      <c r="I98" s="76">
        <f t="shared" si="27"/>
        <v>0</v>
      </c>
      <c r="J98" s="76">
        <f>COUNTIF('3月'!D22:E22,J$78)+COUNTIF('3月'!I22:J22,J$78)+COUNTIF('3月'!N22:O22,J$78)+COUNTIF('3月'!S22:T22,J$78)+COUNTIF('3月'!X22:Y22,J$78)+COUNTIF('3月'!AC22:AD22,J$78)+COUNTIF('3月'!AH22:AI22,J$78)+COUNTIF('3月'!AM22:AN22,J$78)+COUNTIF('3月'!AR22:AS22,J$78)+COUNTIF('3月'!AW22:AX22,J$78)+COUNTIF('3月'!BB22:BC22,J$78)+COUNTIF('3月'!BG22:BH22,J$78)+COUNTIF('3月'!BL22:BM22,J$78)+COUNTIF('3月'!BQ22:BR22,J$78)+COUNTIF('3月'!BV22:BW22,J$78)+COUNTIF('3月'!CA22:CB22,J$78)+COUNTIF('3月'!CF22:CG22,J$78)+COUNTIF('3月'!CK22:CL22,J$78)+COUNTIF('3月'!CP22:CQ22,J$78)+COUNTIF('3月'!CU22:CV22,J$78)+COUNTIF('3月'!CZ22:DA22,J$78)+COUNTIF('3月'!DE22:DF22,J$78)+COUNTIF('3月'!DJ22:DK22,J$78)+COUNTIF('3月'!DO22:DP22,J$78)+COUNTIF('3月'!DT22:DU22,J$78)+COUNTIF('3月'!DY22:DZ22,J$78)+COUNTIF('3月'!ED22:EE22,J$78)+COUNTIF('3月'!EI22:EJ22,J$78)+COUNTIF('3月'!EN22:EO22,J$78)+COUNTIF('3月'!ES22:ET22,J$78)+COUNTIF('3月'!D22:E22,"六本木-夜勤")+COUNTIF('3月'!I22:J22,"六本木-夜勤")+COUNTIF('3月'!N22:O22,"六本木-夜勤")+COUNTIF('3月'!S22:T22,"六本木-夜勤")+COUNTIF('3月'!X22:Y22,"六本木-夜勤")+COUNTIF('3月'!AC22:AD22,"六本木-夜勤")+COUNTIF('3月'!AH22:AI22,"六本木-夜勤")+COUNTIF('3月'!AM22:AN22,"六本木-夜勤")+COUNTIF('3月'!AR22:AS22,"六本木-夜勤")+COUNTIF('3月'!AW22:AX22,"六本木-夜勤")+COUNTIF('3月'!BB22:BC22,"六本木-夜勤")+COUNTIF('3月'!BG22:BH22,"六本木-夜勤")+COUNTIF('3月'!BL22:BM22,"六本木-夜勤")+COUNTIF('3月'!BQ22:BR22,"六本木-夜勤")+COUNTIF('3月'!BV22:BW22,"六本木-夜勤")+COUNTIF('3月'!CA22:CB22,"六本木-夜勤")+COUNTIF('3月'!CF22:CG22,"六本木-夜勤")+COUNTIF('3月'!CK22:CL22,"六本木-夜勤")+COUNTIF('3月'!CP22:CQ22,"六本木-夜勤")+COUNTIF('3月'!CU22:CV22,"六本木-夜勤")+COUNTIF('3月'!CZ22:DA22,"六本木-夜勤")+COUNTIF('3月'!DE22:DF22,"六本木-夜勤")+COUNTIF('3月'!DJ22:DK22,"六本木-夜勤")+COUNTIF('3月'!DO22:DP22,"六本木-夜勤")+COUNTIF('3月'!DT22:DU22,"六本木-夜勤")+COUNTIF('3月'!DY22:DZ22,"六本木-夜勤")+COUNTIF('3月'!ED22:EE22,"六本木-夜勤")+COUNTIF('3月'!EI22:EJ22,"六本木-夜勤")+COUNTIF('3月'!EN22:EO22,"六本木-夜勤")+COUNTIF('3月'!ES22:ET22,"六本木-夜勤")+COUNTIF('3月'!D22:E22,"六本木ー夜勤")+COUNTIF('3月'!I22:J22,"六本木ー夜勤")+COUNTIF('3月'!N22:O22,"六本木ー夜勤")+COUNTIF('3月'!S22:T22,"六本木ー夜勤")+COUNTIF('3月'!X22:Y22,"六本木ー夜勤")+COUNTIF('3月'!AC22:AD22,"六本木ー夜勤")+COUNTIF('3月'!AH22:AI22,"六本木ー夜勤")+COUNTIF('3月'!AM22:AN22,"六本木ー夜勤")+COUNTIF('3月'!AR22:AS22,"六本木ー夜勤")+COUNTIF('3月'!AW22:AX22,"六本木ー夜勤")+COUNTIF('3月'!BB22:BC22,"六本木ー夜勤")+COUNTIF('3月'!BG22:BH22,"六本木ー夜勤")+COUNTIF('3月'!BL22:BM22,"六本木ー夜勤")+COUNTIF('3月'!BQ22:BR22,"六本木ー夜勤")+COUNTIF('3月'!BV22:BW22,"六本木ー夜勤")+COUNTIF('3月'!CA22:CB22,"六本木ー夜勤")+COUNTIF('3月'!CF22:CG22,"六本木ー夜勤")+COUNTIF('3月'!CK22:CL22,"六本木ー夜勤")+COUNTIF('3月'!CP22:CQ22,"六本木ー夜勤")+COUNTIF('3月'!CU22:CV22,"六本木ー夜勤")+COUNTIF('3月'!CZ22:DA22,"六本木ー夜勤")+COUNTIF('3月'!DE22:DF22,"六本木ー夜勤")+COUNTIF('3月'!DJ22:DK22,"六本木ー夜勤")+COUNTIF('3月'!DO22:DP22,"六本木ー夜勤")+COUNTIF('3月'!DT22:DU22,"六本木ー夜勤")+COUNTIF('3月'!DY22:DZ22,"六本木ー夜勤")+COUNTIF('3月'!ED22:EE22,"六本木ー夜勤")+COUNTIF('3月'!EI22:EJ22,"六本木ー夜勤")+COUNTIF('3月'!EN22:EO22,"六本木ー夜勤")+COUNTIF('3月'!ES22:ET22,"六本木ー夜勤")</f>
        <v>0</v>
      </c>
      <c r="K98" s="76">
        <f t="shared" si="28"/>
        <v>0</v>
      </c>
      <c r="L98" s="76">
        <f>COUNTIF('3月'!D22:E22,L$78)+COUNTIF('3月'!I22:J22,L$78)+COUNTIF('3月'!N22:O22,L$78)+COUNTIF('3月'!S22:T22,L$78)+COUNTIF('3月'!X22:Y22,L$78)+COUNTIF('3月'!AC22:AD22,L$78)+COUNTIF('3月'!AH22:AI22,L$78)+COUNTIF('3月'!AM22:AN22,L$78)+COUNTIF('3月'!AR22:AS22,L$78)+COUNTIF('3月'!AW22:AX22,L$78)+COUNTIF('3月'!BB22:BC22,L$78)+COUNTIF('3月'!BG22:BH22,L$78)+COUNTIF('3月'!BL22:BM22,L$78)+COUNTIF('3月'!BQ22:BR22,L$78)+COUNTIF('3月'!BV22:BW22,L$78)+COUNTIF('3月'!CA22:CB22,L$78)+COUNTIF('3月'!CF22:CG22,L$78)+COUNTIF('3月'!CK22:CL22,L$78)+COUNTIF('3月'!CP22:CQ22,L$78)+COUNTIF('3月'!CU22:CV22,L$78)+COUNTIF('3月'!CZ22:DA22,L$78)+COUNTIF('3月'!DE22:DF22,L$78)+COUNTIF('3月'!DJ22:DK22,L$78)+COUNTIF('3月'!DO22:DP22,L$78)+COUNTIF('3月'!DT22:DU22,L$78)+COUNTIF('3月'!DY22:DZ22,L$78)+COUNTIF('3月'!ED22:EE22,L$78)+COUNTIF('3月'!EI22:EJ22,L$78)+COUNTIF('3月'!EN22:EO22,L$78)+COUNTIF('3月'!ES22:ET22,L$78)</f>
        <v>0</v>
      </c>
      <c r="M98" s="76">
        <f t="shared" si="29"/>
        <v>0</v>
      </c>
      <c r="N98" s="76">
        <f>COUNTIF('3月'!D22:E22,N$78)+COUNTIF('3月'!I22:J22,N$78)+COUNTIF('3月'!N22:O22,N$78)+COUNTIF('3月'!S22:T22,N$78)+COUNTIF('3月'!X22:Y22,N$78)+COUNTIF('3月'!AC22:AD22,N$78)+COUNTIF('3月'!AH22:AI22,N$78)+COUNTIF('3月'!AM22:AN22,N$78)+COUNTIF('3月'!AR22:AS22,N$78)+COUNTIF('3月'!AW22:AX22,N$78)+COUNTIF('3月'!BB22:BC22,N$78)+COUNTIF('3月'!BG22:BH22,N$78)+COUNTIF('3月'!BL22:BM22,N$78)+COUNTIF('3月'!BQ22:BR22,N$78)+COUNTIF('3月'!BV22:BW22,N$78)+COUNTIF('3月'!CA22:CB22,N$78)+COUNTIF('3月'!CF22:CG22,N$78)+COUNTIF('3月'!CK22:CL22,N$78)+COUNTIF('3月'!CP22:CQ22,N$78)+COUNTIF('3月'!CU22:CV22,N$78)+COUNTIF('3月'!CZ22:DA22,N$78)+COUNTIF('3月'!DE22:DF22,N$78)+COUNTIF('3月'!DJ22:DK22,N$78)+COUNTIF('3月'!DO22:DP22,N$78)+COUNTIF('3月'!DT22:DU22,N$78)+COUNTIF('3月'!DY22:DZ22,N$78)+COUNTIF('3月'!ED22:EE22,N$78)+COUNTIF('3月'!EI22:EJ22,N$78)+COUNTIF('3月'!EN22:EO22,N$78)+COUNTIF('3月'!ES22:ET22,N$78)+COUNTIF('3月'!D22:E22,"三軒茶屋－夜勤")+COUNTIF('3月'!I22:J22,"三軒茶屋－夜勤")+COUNTIF('3月'!N22:O22,"三軒茶屋－夜勤")+COUNTIF('3月'!S22:T22,"三軒茶屋－夜勤")+COUNTIF('3月'!X22:Y22,"三軒茶屋－夜勤")+COUNTIF('3月'!AC22:AD22,"三軒茶屋－夜勤")+COUNTIF('3月'!AH22:AI22,"三軒茶屋－夜勤")+COUNTIF('3月'!AM22:AN22,"三軒茶屋－夜勤")+COUNTIF('3月'!AR22:AS22,"三軒茶屋－夜勤")+COUNTIF('3月'!AW22:AX22,"三軒茶屋－夜勤")+COUNTIF('3月'!BB22:BC22,"三軒茶屋－夜勤")+COUNTIF('3月'!BG22:BH22,"三軒茶屋－夜勤")+COUNTIF('3月'!BL22:BM22,"三軒茶屋－夜勤")+COUNTIF('3月'!BQ22:BR22,"三軒茶屋－夜勤")+COUNTIF('3月'!BV22:BW22,"三軒茶屋－夜勤")+COUNTIF('3月'!CA22:CB22,"三軒茶屋－夜勤")+COUNTIF('3月'!CF22:CG22,"三軒茶屋－夜勤")+COUNTIF('3月'!CK22:CL22,"三軒茶屋－夜勤")+COUNTIF('3月'!CP22:CQ22,"三軒茶屋－夜勤")+COUNTIF('3月'!CU22:CV22,"三軒茶屋－夜勤")+COUNTIF('3月'!CZ22:DA22,"三軒茶屋－夜勤")+COUNTIF('3月'!DE22:DF22,"三軒茶屋－夜勤")+COUNTIF('3月'!DJ22:DK22,"三軒茶屋－夜勤")+COUNTIF('3月'!DO22:DP22,"三軒茶屋－夜勤")+COUNTIF('3月'!DT22:DU22,"三軒茶屋－夜勤")+COUNTIF('3月'!DY22:DZ22,"三軒茶屋－夜勤")+COUNTIF('3月'!ED22:EE22,"三軒茶屋－夜勤")+COUNTIF('3月'!EI22:EJ22,"三軒茶屋－夜勤")+COUNTIF('3月'!EN22:EO22,"三軒茶屋－夜勤")+COUNTIF('3月'!ES22:ET22,"三軒茶屋－夜勤")</f>
        <v>0</v>
      </c>
      <c r="O98" s="76">
        <f t="shared" si="30"/>
        <v>0</v>
      </c>
      <c r="P98" s="76">
        <f>COUNTIF('3月'!D22:E22,P$78)+COUNTIF('3月'!I22:J22,P$78)+COUNTIF('3月'!N22:O22,P$78)+COUNTIF('3月'!S22:T22,P$78)+COUNTIF('3月'!X22:Y22,P$78)+COUNTIF('3月'!AC22:AD22,P$78)+COUNTIF('3月'!AH22:AI22,P$78)+COUNTIF('3月'!AM22:AN22,P$78)+COUNTIF('3月'!AR22:AS22,P$78)+COUNTIF('3月'!AW22:AX22,P$78)+COUNTIF('3月'!BB22:BC22,P$78)+COUNTIF('3月'!BG22:BH22,P$78)+COUNTIF('3月'!BL22:BM22,P$78)+COUNTIF('3月'!BQ22:BR22,P$78)+COUNTIF('3月'!BV22:BW22,P$78)+COUNTIF('3月'!CA22:CB22,P$78)+COUNTIF('3月'!CF22:CG22,P$78)+COUNTIF('3月'!CK22:CL22,P$78)+COUNTIF('3月'!CP22:CQ22,P$78)+COUNTIF('3月'!CU22:CV22,P$78)+COUNTIF('3月'!CZ22:DA22,P$78)+COUNTIF('3月'!DE22:DF22,P$78)+COUNTIF('3月'!DJ22:DK22,P$78)+COUNTIF('3月'!DO22:DP22,P$78)+COUNTIF('3月'!DT22:DU22,P$78)+COUNTIF('3月'!DY22:DZ22,P$78)+COUNTIF('3月'!ED22:EE22,P$78)+COUNTIF('3月'!EI22:EJ22,P$78)+COUNTIF('3月'!EN22:EO22,P$78)+COUNTIF('3月'!ES22:ET22,P$78)+COUNTIF('3月'!D22:E22,"荻窪ー夜勤")+COUNTIF('3月'!I22:J22,"荻窪ー夜勤")+COUNTIF('3月'!N22:O22,"荻窪ー夜勤")+COUNTIF('3月'!S22:T22,"荻窪ー夜勤")+COUNTIF('3月'!X22:Y22,"荻窪ー夜勤")+COUNTIF('3月'!AC22:AD22,"荻窪ー夜勤")+COUNTIF('3月'!AH22:AI22,"荻窪ー夜勤")+COUNTIF('3月'!AM22:AN22,"荻窪ー夜勤")+COUNTIF('3月'!AR22:AS22,"荻窪ー夜勤")+COUNTIF('3月'!AW22:AX22,"荻窪ー夜勤")+COUNTIF('3月'!BB22:BC22,"荻窪ー夜勤")+COUNTIF('3月'!BG22:BH22,"荻窪ー夜勤")+COUNTIF('3月'!BL22:BM22,"荻窪ー夜勤")+COUNTIF('3月'!BQ22:BR22,"荻窪ー夜勤")+COUNTIF('3月'!BV22:BW22,"荻窪ー夜勤")+COUNTIF('3月'!CA22:CB22,"荻窪ー夜勤")+COUNTIF('3月'!CF22:CG22,"荻窪ー夜勤")+COUNTIF('3月'!CK22:CL22,"荻窪ー夜勤")+COUNTIF('3月'!CP22:CQ22,"荻窪ー夜勤")+COUNTIF('3月'!CU22:CV22,"荻窪ー夜勤")+COUNTIF('3月'!CZ22:DA22,"荻窪ー夜勤")+COUNTIF('3月'!DE22:DF22,"荻窪ー夜勤")+COUNTIF('3月'!DJ22:DK22,"荻窪ー夜勤")+COUNTIF('3月'!DO22:DP22,"荻窪ー夜勤")+COUNTIF('3月'!DT22:DU22,"荻窪ー夜勤")+COUNTIF('3月'!DY22:DZ22,"荻窪ー夜勤")+COUNTIF('3月'!ED22:EE22,"荻窪ー夜勤")+COUNTIF('3月'!EI22:EJ22,"荻窪ー夜勤")+COUNTIF('3月'!EN22:EO22,"荻窪ー夜勤")+COUNTIF('3月'!ES22:ET22,"荻窪ー夜勤")</f>
        <v>0</v>
      </c>
      <c r="Q98" s="76">
        <f t="shared" si="31"/>
        <v>0</v>
      </c>
      <c r="R98" s="76">
        <f>COUNTIF('3月'!D22:E22,R$78)+COUNTIF('3月'!I22:J22,R$78)+COUNTIF('3月'!N22:O22,R$78)+COUNTIF('3月'!S22:T22,R$78)+COUNTIF('3月'!X22:Y22,R$78)+COUNTIF('3月'!AC22:AD22,R$78)+COUNTIF('3月'!AH22:AI22,R$78)+COUNTIF('3月'!AM22:AN22,R$78)+COUNTIF('3月'!AR22:AS22,R$78)+COUNTIF('3月'!AW22:AX22,R$78)+COUNTIF('3月'!BB22:BC22,R$78)+COUNTIF('3月'!BG22:BH22,R$78)+COUNTIF('3月'!BL22:BM22,R$78)+COUNTIF('3月'!BQ22:BR22,R$78)+COUNTIF('3月'!BV22:BW22,R$78)+COUNTIF('3月'!CA22:CB22,R$78)+COUNTIF('3月'!CF22:CG22,R$78)+COUNTIF('3月'!CK22:CL22,R$78)+COUNTIF('3月'!CP22:CQ22,R$78)+COUNTIF('3月'!CU22:CV22,R$78)+COUNTIF('3月'!CZ22:DA22,R$78)+COUNTIF('3月'!DE22:DF22,R$78)+COUNTIF('3月'!DJ22:DK22,R$78)+COUNTIF('3月'!DO22:DP22,R$78)+COUNTIF('3月'!DT22:DU22,R$78)+COUNTIF('3月'!DY22:DZ22,R$78)+COUNTIF('3月'!ED22:EE22,R$78)+COUNTIF('3月'!EI22:EJ22,R$78)+COUNTIF('3月'!EN22:EO22,R$78)+COUNTIF('3月'!ES22:ET22,R$78)</f>
        <v>0</v>
      </c>
      <c r="S98" s="76">
        <f t="shared" si="32"/>
        <v>0</v>
      </c>
      <c r="T98" s="76">
        <f>COUNTIF('3月'!D22:E22,T$78)+COUNTIF('3月'!I22:J22,T$78)+COUNTIF('3月'!N22:O22,T$78)+COUNTIF('3月'!S22:T22,T$78)+COUNTIF('3月'!X22:Y22,T$78)+COUNTIF('3月'!AC22:AD22,T$78)+COUNTIF('3月'!AH22:AI22,T$78)+COUNTIF('3月'!AM22:AN22,T$78)+COUNTIF('3月'!AR22:AS22,T$78)+COUNTIF('3月'!AW22:AX22,T$78)+COUNTIF('3月'!BB22:BC22,T$78)+COUNTIF('3月'!BG22:BH22,T$78)+COUNTIF('3月'!BL22:BM22,T$78)+COUNTIF('3月'!BQ22:BR22,T$78)+COUNTIF('3月'!BV22:BW22,T$78)+COUNTIF('3月'!CA22:CB22,T$78)+COUNTIF('3月'!CF22:CG22,T$78)+COUNTIF('3月'!CK22:CL22,T$78)+COUNTIF('3月'!CP22:CQ22,T$78)+COUNTIF('3月'!CU22:CV22,T$78)+COUNTIF('3月'!CZ22:DA22,T$78)+COUNTIF('3月'!DE22:DF22,T$78)+COUNTIF('3月'!DJ22:DK22,T$78)+COUNTIF('3月'!DO22:DP22,T$78)+COUNTIF('3月'!DT22:DU22,T$78)+COUNTIF('3月'!DY22:DZ22,T$78)+COUNTIF('3月'!ED22:EE22,T$78)+COUNTIF('3月'!EI22:EJ22,T$78)+COUNTIF('3月'!EN22:EO22,T$78)+COUNTIF('3月'!ES22:ET22,T$78)</f>
        <v>0</v>
      </c>
      <c r="U98" s="76">
        <f t="shared" si="33"/>
        <v>0</v>
      </c>
      <c r="V98" s="76">
        <f>COUNTIF('3月'!D22:E22,V$78)+COUNTIF('3月'!I22:J22,V$78)+COUNTIF('3月'!N22:O22,V$78)+COUNTIF('3月'!S22:T22,V$78)+COUNTIF('3月'!X22:Y22,V$78)+COUNTIF('3月'!AC22:AD22,V$78)+COUNTIF('3月'!AH22:AI22,V$78)+COUNTIF('3月'!AM22:AN22,V$78)+COUNTIF('3月'!AR22:AS22,V$78)+COUNTIF('3月'!AW22:AX22,V$78)+COUNTIF('3月'!BB22:BC22,V$78)+COUNTIF('3月'!BG22:BH22,V$78)+COUNTIF('3月'!BL22:BM22,V$78)+COUNTIF('3月'!BQ22:BR22,V$78)+COUNTIF('3月'!BV22:BW22,V$78)+COUNTIF('3月'!CA22:CB22,V$78)+COUNTIF('3月'!CF22:CG22,V$78)+COUNTIF('3月'!CK22:CL22,V$78)+COUNTIF('3月'!CP22:CQ22,V$78)+COUNTIF('3月'!CU22:CV22,V$78)+COUNTIF('3月'!CZ22:DA22,V$78)+COUNTIF('3月'!DE22:DF22,V$78)+COUNTIF('3月'!DJ22:DK22,V$78)+COUNTIF('3月'!DO22:DP22,V$78)+COUNTIF('3月'!DT22:DU22,V$78)+COUNTIF('3月'!DY22:DZ22,V$78)+COUNTIF('3月'!ED22:EE22,V$78)+COUNTIF('3月'!EI22:EJ22,V$78)+COUNTIF('3月'!EN22:EO22,V$78)+COUNTIF('3月'!ES22:ET22,V$78)</f>
        <v>0</v>
      </c>
      <c r="W98" s="76">
        <f t="shared" si="34"/>
        <v>0</v>
      </c>
      <c r="X98" s="76">
        <f>COUNTIF('3月'!D22:E22,X$78)+COUNTIF('3月'!I22:J22,X$78)+COUNTIF('3月'!N22:O22,X$78)+COUNTIF('3月'!S22:T22,X$78)+COUNTIF('3月'!X22:Y22,X$78)+COUNTIF('3月'!AC22:AD22,X$78)+COUNTIF('3月'!AH22:AI22,X$78)+COUNTIF('3月'!AM22:AN22,X$78)+COUNTIF('3月'!AR22:AS22,X$78)+COUNTIF('3月'!AW22:AX22,X$78)+COUNTIF('3月'!BB22:BC22,X$78)+COUNTIF('3月'!BG22:BH22,X$78)+COUNTIF('3月'!BL22:BM22,X$78)+COUNTIF('3月'!BQ22:BR22,X$78)+COUNTIF('3月'!BV22:BW22,X$78)+COUNTIF('3月'!CA22:CB22,X$78)+COUNTIF('3月'!CF22:CG22,X$78)+COUNTIF('3月'!CK22:CL22,X$78)+COUNTIF('3月'!CP22:CQ22,X$78)+COUNTIF('3月'!CU22:CV22,X$78)+COUNTIF('3月'!CZ22:DA22,X$78)+COUNTIF('3月'!DE22:DF22,X$78)+COUNTIF('3月'!DJ22:DK22,X$78)+COUNTIF('3月'!DO22:DP22,X$78)+COUNTIF('3月'!DT22:DU22,X$78)+COUNTIF('3月'!DY22:DZ22,X$78)+COUNTIF('3月'!ED22:EE22,X$78)+COUNTIF('3月'!EI22:EJ22,X$78)+COUNTIF('3月'!EN22:EO22,X$78)+COUNTIF('3月'!ES22:ET22,X$78)</f>
        <v>0</v>
      </c>
      <c r="Y98" s="76">
        <f t="shared" si="35"/>
        <v>0</v>
      </c>
    </row>
    <row r="99" spans="1:25" ht="18" customHeight="1">
      <c r="A99" s="76">
        <v>20</v>
      </c>
      <c r="B99" s="76">
        <f>COUNTIF('3月'!D23:E23,B$78)+COUNTIF('3月'!I23:J23,B$78)+COUNTIF('3月'!N23:O23,B$78)+COUNTIF('3月'!S23:T23,B$78)+COUNTIF('3月'!X23:Y23,B$78)+COUNTIF('3月'!AC23:AD23,B$78)+COUNTIF('3月'!AH23:AI23,B$78)+COUNTIF('3月'!AM23:AN23,B$78)+COUNTIF('3月'!AR23:AS23,B$78)+COUNTIF('3月'!AW23:AX23,B$78)+COUNTIF('3月'!BB23:BC23,B$78)+COUNTIF('3月'!BG23:BH23,B$78)+COUNTIF('3月'!BL23:BM23,B$78)+COUNTIF('3月'!BQ23:BR23,B$78)+COUNTIF('3月'!BV23:BW23,B$78)+COUNTIF('3月'!CA23:CB23,B$78)+COUNTIF('3月'!CF23:CG23,B$78)+COUNTIF('3月'!CK23:CL23,B$78)+COUNTIF('3月'!CP23:CQ23,B$78)+COUNTIF('3月'!CU23:CV23,B$78)+COUNTIF('3月'!CZ23:DA23,B$78)+COUNTIF('3月'!DE23:DF23,B$78)+COUNTIF('3月'!DJ23:DK23,B$78)+COUNTIF('3月'!DO23:DP23,B$78)+COUNTIF('3月'!DT23:DU23,B$78)+COUNTIF('3月'!DY23:DZ23,B$78)+COUNTIF('3月'!ED23:EE23,B$78)+COUNTIF('3月'!EI23:EJ23,B$78)+COUNTIF('3月'!EN23:EO23,B$78)+COUNTIF('3月'!ES23:ET23,B$78)</f>
        <v>0</v>
      </c>
      <c r="C99" s="76">
        <f t="shared" si="24"/>
        <v>0</v>
      </c>
      <c r="D99" s="76">
        <f>COUNTIF('3月'!D23:E23,D$78)+COUNTIF('3月'!I23:J23,D$78)+COUNTIF('3月'!N23:O23,D$78)+COUNTIF('3月'!S23:T23,D$78)+COUNTIF('3月'!X23:Y23,D$78)+COUNTIF('3月'!AC23:AD23,D$78)+COUNTIF('3月'!AH23:AI23,D$78)+COUNTIF('3月'!AM23:AN23,D$78)+COUNTIF('3月'!AR23:AS23,D$78)+COUNTIF('3月'!AW23:AX23,D$78)+COUNTIF('3月'!BB23:BC23,D$78)+COUNTIF('3月'!BG23:BH23,D$78)+COUNTIF('3月'!BL23:BM23,D$78)+COUNTIF('3月'!BQ23:BR23,D$78)+COUNTIF('3月'!BV23:BW23,D$78)+COUNTIF('3月'!CA23:CB23,D$78)+COUNTIF('3月'!CF23:CG23,D$78)+COUNTIF('3月'!CK23:CL23,D$78)+COUNTIF('3月'!CP23:CQ23,D$78)+COUNTIF('3月'!CU23:CV23,D$78)+COUNTIF('3月'!CZ23:DA23,D$78)+COUNTIF('3月'!DE23:DF23,D$78)+COUNTIF('3月'!DJ23:DK23,D$78)+COUNTIF('3月'!DO23:DP23,D$78)+COUNTIF('3月'!DT23:DU23,D$78)+COUNTIF('3月'!DY23:DZ23,D$78)+COUNTIF('3月'!ED23:EE23,D$78)+COUNTIF('3月'!EI23:EJ23,D$78)+COUNTIF('3月'!EN23:EO23,D$78)+COUNTIF('3月'!ES23:ET23,D$78)</f>
        <v>0</v>
      </c>
      <c r="E99" s="76">
        <f t="shared" si="25"/>
        <v>0</v>
      </c>
      <c r="F99" s="76">
        <f>COUNTIF('3月'!D23:E23,F$78)+COUNTIF('3月'!I23:J23,F$78)+COUNTIF('3月'!N23:O23,F$78)+COUNTIF('3月'!S23:T23,F$78)+COUNTIF('3月'!X23:Y23,F$78)+COUNTIF('3月'!AC23:AD23,F$78)+COUNTIF('3月'!AH23:AI23,F$78)+COUNTIF('3月'!AM23:AN23,F$78)+COUNTIF('3月'!AR23:AS23,F$78)+COUNTIF('3月'!AW23:AX23,F$78)+COUNTIF('3月'!BB23:BC23,F$78)+COUNTIF('3月'!BG23:BH23,F$78)+COUNTIF('3月'!BL23:BM23,F$78)+COUNTIF('3月'!BQ23:BR23,F$78)+COUNTIF('3月'!BV23:BW23,F$78)+COUNTIF('3月'!CA23:CB23,F$78)+COUNTIF('3月'!CF23:CG23,F$78)+COUNTIF('3月'!CK23:CL23,F$78)+COUNTIF('3月'!CP23:CQ23,F$78)+COUNTIF('3月'!CU23:CV23,F$78)+COUNTIF('3月'!CZ23:DA23,F$78)+COUNTIF('3月'!DE23:DF23,F$78)+COUNTIF('3月'!DJ23:DK23,F$78)+COUNTIF('3月'!DO23:DP23,F$78)+COUNTIF('3月'!DT23:DU23,F$78)+COUNTIF('3月'!DY23:DZ23,F$78)+COUNTIF('3月'!ED23:EE23,F$78)+COUNTIF('3月'!EI23:EJ23,F$78)+COUNTIF('3月'!EN23:EO23,F$78)+COUNTIF('3月'!ES23:ET23,F$78)</f>
        <v>0</v>
      </c>
      <c r="G99" s="76">
        <f t="shared" si="26"/>
        <v>0</v>
      </c>
      <c r="H99" s="76">
        <f>COUNTIF('3月'!D23:E23,H$78)+COUNTIF('3月'!I23:J23,H$78)+COUNTIF('3月'!N23:O23,H$78)+COUNTIF('3月'!S23:T23,H$78)+COUNTIF('3月'!X23:Y23,H$78)+COUNTIF('3月'!AC23:AD23,H$78)+COUNTIF('3月'!AH23:AI23,H$78)+COUNTIF('3月'!AM23:AN23,H$78)+COUNTIF('3月'!AR23:AS23,H$78)+COUNTIF('3月'!AW23:AX23,H$78)+COUNTIF('3月'!BB23:BC23,H$78)+COUNTIF('3月'!BG23:BH23,H$78)+COUNTIF('3月'!BL23:BM23,H$78)+COUNTIF('3月'!BQ23:BR23,H$78)+COUNTIF('3月'!BV23:BW23,H$78)+COUNTIF('3月'!CA23:CB23,H$78)+COUNTIF('3月'!CF23:CG23,H$78)+COUNTIF('3月'!CK23:CL23,H$78)+COUNTIF('3月'!CP23:CQ23,H$78)+COUNTIF('3月'!CU23:CV23,H$78)+COUNTIF('3月'!CZ23:DA23,H$78)+COUNTIF('3月'!DE23:DF23,H$78)+COUNTIF('3月'!DJ23:DK23,H$78)+COUNTIF('3月'!DO23:DP23,H$78)+COUNTIF('3月'!DT23:DU23,H$78)+COUNTIF('3月'!DY23:DZ23,H$78)+COUNTIF('3月'!ED23:EE23,H$78)+COUNTIF('3月'!EI23:EJ23,H$78)+COUNTIF('3月'!EN23:EO23,H$78)+COUNTIF('3月'!ES23:ET23,H$78)+COUNTIF('3月'!D23:E23,"渋谷-夜勤")+COUNTIF('3月'!I23:J23,"渋谷-夜勤")+COUNTIF('3月'!N23:O23,"渋谷-夜勤")+COUNTIF('3月'!S23:T23,"渋谷-夜勤")+COUNTIF('3月'!X23:Y23,"渋谷-夜勤")+COUNTIF('3月'!AC23:AD23,"渋谷-夜勤")+COUNTIF('3月'!AH23:AI23,"渋谷-夜勤")+COUNTIF('3月'!AM23:AN23,"渋谷-夜勤")+COUNTIF('3月'!AR23:AS23,"渋谷-夜勤")+COUNTIF('3月'!AW23:AX23,"渋谷-夜勤")+COUNTIF('3月'!BB23:BC23,"渋谷-夜勤")+COUNTIF('3月'!BG23:BH23,"渋谷-夜勤")+COUNTIF('3月'!BL23:BM23,"渋谷-夜勤")+COUNTIF('3月'!BQ23:BR23,"渋谷-夜勤")+COUNTIF('3月'!BV23:BW23,"渋谷-夜勤")+COUNTIF('3月'!CA23:CB23,"渋谷-夜勤")+COUNTIF('3月'!CF23:CG23,"渋谷-夜勤")+COUNTIF('3月'!CK23:CL23,"渋谷-夜勤")+COUNTIF('3月'!CP23:CQ23,"渋谷-夜勤")+COUNTIF('3月'!CU23:CV23,"渋谷-夜勤")+COUNTIF('3月'!CZ23:DA23,"渋谷-夜勤")+COUNTIF('3月'!DE23:DF23,"渋谷-夜勤")+COUNTIF('3月'!DJ23:DK23,"渋谷-夜勤")+COUNTIF('3月'!DO23:DP23,"渋谷-夜勤")+COUNTIF('3月'!DT23:DU23,"渋谷-夜勤")+COUNTIF('3月'!DY23:DZ23,"渋谷-夜勤")+COUNTIF('3月'!ED23:EE23,"渋谷-夜勤")+COUNTIF('3月'!EI23:EJ23,"渋谷-夜勤")+COUNTIF('3月'!EN23:EO23,"渋谷-夜勤")+COUNTIF('3月'!ES23:ET23,"渋谷-夜勤")</f>
        <v>0</v>
      </c>
      <c r="I99" s="76">
        <f t="shared" si="27"/>
        <v>0</v>
      </c>
      <c r="J99" s="76">
        <f>COUNTIF('3月'!D23:E23,J$78)+COUNTIF('3月'!I23:J23,J$78)+COUNTIF('3月'!N23:O23,J$78)+COUNTIF('3月'!S23:T23,J$78)+COUNTIF('3月'!X23:Y23,J$78)+COUNTIF('3月'!AC23:AD23,J$78)+COUNTIF('3月'!AH23:AI23,J$78)+COUNTIF('3月'!AM23:AN23,J$78)+COUNTIF('3月'!AR23:AS23,J$78)+COUNTIF('3月'!AW23:AX23,J$78)+COUNTIF('3月'!BB23:BC23,J$78)+COUNTIF('3月'!BG23:BH23,J$78)+COUNTIF('3月'!BL23:BM23,J$78)+COUNTIF('3月'!BQ23:BR23,J$78)+COUNTIF('3月'!BV23:BW23,J$78)+COUNTIF('3月'!CA23:CB23,J$78)+COUNTIF('3月'!CF23:CG23,J$78)+COUNTIF('3月'!CK23:CL23,J$78)+COUNTIF('3月'!CP23:CQ23,J$78)+COUNTIF('3月'!CU23:CV23,J$78)+COUNTIF('3月'!CZ23:DA23,J$78)+COUNTIF('3月'!DE23:DF23,J$78)+COUNTIF('3月'!DJ23:DK23,J$78)+COUNTIF('3月'!DO23:DP23,J$78)+COUNTIF('3月'!DT23:DU23,J$78)+COUNTIF('3月'!DY23:DZ23,J$78)+COUNTIF('3月'!ED23:EE23,J$78)+COUNTIF('3月'!EI23:EJ23,J$78)+COUNTIF('3月'!EN23:EO23,J$78)+COUNTIF('3月'!ES23:ET23,J$78)+COUNTIF('3月'!D23:E23,"六本木-夜勤")+COUNTIF('3月'!I23:J23,"六本木-夜勤")+COUNTIF('3月'!N23:O23,"六本木-夜勤")+COUNTIF('3月'!S23:T23,"六本木-夜勤")+COUNTIF('3月'!X23:Y23,"六本木-夜勤")+COUNTIF('3月'!AC23:AD23,"六本木-夜勤")+COUNTIF('3月'!AH23:AI23,"六本木-夜勤")+COUNTIF('3月'!AM23:AN23,"六本木-夜勤")+COUNTIF('3月'!AR23:AS23,"六本木-夜勤")+COUNTIF('3月'!AW23:AX23,"六本木-夜勤")+COUNTIF('3月'!BB23:BC23,"六本木-夜勤")+COUNTIF('3月'!BG23:BH23,"六本木-夜勤")+COUNTIF('3月'!BL23:BM23,"六本木-夜勤")+COUNTIF('3月'!BQ23:BR23,"六本木-夜勤")+COUNTIF('3月'!BV23:BW23,"六本木-夜勤")+COUNTIF('3月'!CA23:CB23,"六本木-夜勤")+COUNTIF('3月'!CF23:CG23,"六本木-夜勤")+COUNTIF('3月'!CK23:CL23,"六本木-夜勤")+COUNTIF('3月'!CP23:CQ23,"六本木-夜勤")+COUNTIF('3月'!CU23:CV23,"六本木-夜勤")+COUNTIF('3月'!CZ23:DA23,"六本木-夜勤")+COUNTIF('3月'!DE23:DF23,"六本木-夜勤")+COUNTIF('3月'!DJ23:DK23,"六本木-夜勤")+COUNTIF('3月'!DO23:DP23,"六本木-夜勤")+COUNTIF('3月'!DT23:DU23,"六本木-夜勤")+COUNTIF('3月'!DY23:DZ23,"六本木-夜勤")+COUNTIF('3月'!ED23:EE23,"六本木-夜勤")+COUNTIF('3月'!EI23:EJ23,"六本木-夜勤")+COUNTIF('3月'!EN23:EO23,"六本木-夜勤")+COUNTIF('3月'!ES23:ET23,"六本木-夜勤")+COUNTIF('3月'!D23:E23,"六本木ー夜勤")+COUNTIF('3月'!I23:J23,"六本木ー夜勤")+COUNTIF('3月'!N23:O23,"六本木ー夜勤")+COUNTIF('3月'!S23:T23,"六本木ー夜勤")+COUNTIF('3月'!X23:Y23,"六本木ー夜勤")+COUNTIF('3月'!AC23:AD23,"六本木ー夜勤")+COUNTIF('3月'!AH23:AI23,"六本木ー夜勤")+COUNTIF('3月'!AM23:AN23,"六本木ー夜勤")+COUNTIF('3月'!AR23:AS23,"六本木ー夜勤")+COUNTIF('3月'!AW23:AX23,"六本木ー夜勤")+COUNTIF('3月'!BB23:BC23,"六本木ー夜勤")+COUNTIF('3月'!BG23:BH23,"六本木ー夜勤")+COUNTIF('3月'!BL23:BM23,"六本木ー夜勤")+COUNTIF('3月'!BQ23:BR23,"六本木ー夜勤")+COUNTIF('3月'!BV23:BW23,"六本木ー夜勤")+COUNTIF('3月'!CA23:CB23,"六本木ー夜勤")+COUNTIF('3月'!CF23:CG23,"六本木ー夜勤")+COUNTIF('3月'!CK23:CL23,"六本木ー夜勤")+COUNTIF('3月'!CP23:CQ23,"六本木ー夜勤")+COUNTIF('3月'!CU23:CV23,"六本木ー夜勤")+COUNTIF('3月'!CZ23:DA23,"六本木ー夜勤")+COUNTIF('3月'!DE23:DF23,"六本木ー夜勤")+COUNTIF('3月'!DJ23:DK23,"六本木ー夜勤")+COUNTIF('3月'!DO23:DP23,"六本木ー夜勤")+COUNTIF('3月'!DT23:DU23,"六本木ー夜勤")+COUNTIF('3月'!DY23:DZ23,"六本木ー夜勤")+COUNTIF('3月'!ED23:EE23,"六本木ー夜勤")+COUNTIF('3月'!EI23:EJ23,"六本木ー夜勤")+COUNTIF('3月'!EN23:EO23,"六本木ー夜勤")+COUNTIF('3月'!ES23:ET23,"六本木ー夜勤")</f>
        <v>0</v>
      </c>
      <c r="K99" s="76">
        <f t="shared" si="28"/>
        <v>0</v>
      </c>
      <c r="L99" s="76">
        <f>COUNTIF('3月'!D23:E23,L$78)+COUNTIF('3月'!I23:J23,L$78)+COUNTIF('3月'!N23:O23,L$78)+COUNTIF('3月'!S23:T23,L$78)+COUNTIF('3月'!X23:Y23,L$78)+COUNTIF('3月'!AC23:AD23,L$78)+COUNTIF('3月'!AH23:AI23,L$78)+COUNTIF('3月'!AM23:AN23,L$78)+COUNTIF('3月'!AR23:AS23,L$78)+COUNTIF('3月'!AW23:AX23,L$78)+COUNTIF('3月'!BB23:BC23,L$78)+COUNTIF('3月'!BG23:BH23,L$78)+COUNTIF('3月'!BL23:BM23,L$78)+COUNTIF('3月'!BQ23:BR23,L$78)+COUNTIF('3月'!BV23:BW23,L$78)+COUNTIF('3月'!CA23:CB23,L$78)+COUNTIF('3月'!CF23:CG23,L$78)+COUNTIF('3月'!CK23:CL23,L$78)+COUNTIF('3月'!CP23:CQ23,L$78)+COUNTIF('3月'!CU23:CV23,L$78)+COUNTIF('3月'!CZ23:DA23,L$78)+COUNTIF('3月'!DE23:DF23,L$78)+COUNTIF('3月'!DJ23:DK23,L$78)+COUNTIF('3月'!DO23:DP23,L$78)+COUNTIF('3月'!DT23:DU23,L$78)+COUNTIF('3月'!DY23:DZ23,L$78)+COUNTIF('3月'!ED23:EE23,L$78)+COUNTIF('3月'!EI23:EJ23,L$78)+COUNTIF('3月'!EN23:EO23,L$78)+COUNTIF('3月'!ES23:ET23,L$78)</f>
        <v>0</v>
      </c>
      <c r="M99" s="76">
        <f t="shared" si="29"/>
        <v>0</v>
      </c>
      <c r="N99" s="76">
        <f>COUNTIF('3月'!D23:E23,N$78)+COUNTIF('3月'!I23:J23,N$78)+COUNTIF('3月'!N23:O23,N$78)+COUNTIF('3月'!S23:T23,N$78)+COUNTIF('3月'!X23:Y23,N$78)+COUNTIF('3月'!AC23:AD23,N$78)+COUNTIF('3月'!AH23:AI23,N$78)+COUNTIF('3月'!AM23:AN23,N$78)+COUNTIF('3月'!AR23:AS23,N$78)+COUNTIF('3月'!AW23:AX23,N$78)+COUNTIF('3月'!BB23:BC23,N$78)+COUNTIF('3月'!BG23:BH23,N$78)+COUNTIF('3月'!BL23:BM23,N$78)+COUNTIF('3月'!BQ23:BR23,N$78)+COUNTIF('3月'!BV23:BW23,N$78)+COUNTIF('3月'!CA23:CB23,N$78)+COUNTIF('3月'!CF23:CG23,N$78)+COUNTIF('3月'!CK23:CL23,N$78)+COUNTIF('3月'!CP23:CQ23,N$78)+COUNTIF('3月'!CU23:CV23,N$78)+COUNTIF('3月'!CZ23:DA23,N$78)+COUNTIF('3月'!DE23:DF23,N$78)+COUNTIF('3月'!DJ23:DK23,N$78)+COUNTIF('3月'!DO23:DP23,N$78)+COUNTIF('3月'!DT23:DU23,N$78)+COUNTIF('3月'!DY23:DZ23,N$78)+COUNTIF('3月'!ED23:EE23,N$78)+COUNTIF('3月'!EI23:EJ23,N$78)+COUNTIF('3月'!EN23:EO23,N$78)+COUNTIF('3月'!ES23:ET23,N$78)+COUNTIF('3月'!D23:E23,"三軒茶屋－夜勤")+COUNTIF('3月'!I23:J23,"三軒茶屋－夜勤")+COUNTIF('3月'!N23:O23,"三軒茶屋－夜勤")+COUNTIF('3月'!S23:T23,"三軒茶屋－夜勤")+COUNTIF('3月'!X23:Y23,"三軒茶屋－夜勤")+COUNTIF('3月'!AC23:AD23,"三軒茶屋－夜勤")+COUNTIF('3月'!AH23:AI23,"三軒茶屋－夜勤")+COUNTIF('3月'!AM23:AN23,"三軒茶屋－夜勤")+COUNTIF('3月'!AR23:AS23,"三軒茶屋－夜勤")+COUNTIF('3月'!AW23:AX23,"三軒茶屋－夜勤")+COUNTIF('3月'!BB23:BC23,"三軒茶屋－夜勤")+COUNTIF('3月'!BG23:BH23,"三軒茶屋－夜勤")+COUNTIF('3月'!BL23:BM23,"三軒茶屋－夜勤")+COUNTIF('3月'!BQ23:BR23,"三軒茶屋－夜勤")+COUNTIF('3月'!BV23:BW23,"三軒茶屋－夜勤")+COUNTIF('3月'!CA23:CB23,"三軒茶屋－夜勤")+COUNTIF('3月'!CF23:CG23,"三軒茶屋－夜勤")+COUNTIF('3月'!CK23:CL23,"三軒茶屋－夜勤")+COUNTIF('3月'!CP23:CQ23,"三軒茶屋－夜勤")+COUNTIF('3月'!CU23:CV23,"三軒茶屋－夜勤")+COUNTIF('3月'!CZ23:DA23,"三軒茶屋－夜勤")+COUNTIF('3月'!DE23:DF23,"三軒茶屋－夜勤")+COUNTIF('3月'!DJ23:DK23,"三軒茶屋－夜勤")+COUNTIF('3月'!DO23:DP23,"三軒茶屋－夜勤")+COUNTIF('3月'!DT23:DU23,"三軒茶屋－夜勤")+COUNTIF('3月'!DY23:DZ23,"三軒茶屋－夜勤")+COUNTIF('3月'!ED23:EE23,"三軒茶屋－夜勤")+COUNTIF('3月'!EI23:EJ23,"三軒茶屋－夜勤")+COUNTIF('3月'!EN23:EO23,"三軒茶屋－夜勤")+COUNTIF('3月'!ES23:ET23,"三軒茶屋－夜勤")</f>
        <v>0</v>
      </c>
      <c r="O99" s="76">
        <f t="shared" si="30"/>
        <v>0</v>
      </c>
      <c r="P99" s="76">
        <f>COUNTIF('3月'!D23:E23,P$78)+COUNTIF('3月'!I23:J23,P$78)+COUNTIF('3月'!N23:O23,P$78)+COUNTIF('3月'!S23:T23,P$78)+COUNTIF('3月'!X23:Y23,P$78)+COUNTIF('3月'!AC23:AD23,P$78)+COUNTIF('3月'!AH23:AI23,P$78)+COUNTIF('3月'!AM23:AN23,P$78)+COUNTIF('3月'!AR23:AS23,P$78)+COUNTIF('3月'!AW23:AX23,P$78)+COUNTIF('3月'!BB23:BC23,P$78)+COUNTIF('3月'!BG23:BH23,P$78)+COUNTIF('3月'!BL23:BM23,P$78)+COUNTIF('3月'!BQ23:BR23,P$78)+COUNTIF('3月'!BV23:BW23,P$78)+COUNTIF('3月'!CA23:CB23,P$78)+COUNTIF('3月'!CF23:CG23,P$78)+COUNTIF('3月'!CK23:CL23,P$78)+COUNTIF('3月'!CP23:CQ23,P$78)+COUNTIF('3月'!CU23:CV23,P$78)+COUNTIF('3月'!CZ23:DA23,P$78)+COUNTIF('3月'!DE23:DF23,P$78)+COUNTIF('3月'!DJ23:DK23,P$78)+COUNTIF('3月'!DO23:DP23,P$78)+COUNTIF('3月'!DT23:DU23,P$78)+COUNTIF('3月'!DY23:DZ23,P$78)+COUNTIF('3月'!ED23:EE23,P$78)+COUNTIF('3月'!EI23:EJ23,P$78)+COUNTIF('3月'!EN23:EO23,P$78)+COUNTIF('3月'!ES23:ET23,P$78)+COUNTIF('3月'!D23:E23,"荻窪ー夜勤")+COUNTIF('3月'!I23:J23,"荻窪ー夜勤")+COUNTIF('3月'!N23:O23,"荻窪ー夜勤")+COUNTIF('3月'!S23:T23,"荻窪ー夜勤")+COUNTIF('3月'!X23:Y23,"荻窪ー夜勤")+COUNTIF('3月'!AC23:AD23,"荻窪ー夜勤")+COUNTIF('3月'!AH23:AI23,"荻窪ー夜勤")+COUNTIF('3月'!AM23:AN23,"荻窪ー夜勤")+COUNTIF('3月'!AR23:AS23,"荻窪ー夜勤")+COUNTIF('3月'!AW23:AX23,"荻窪ー夜勤")+COUNTIF('3月'!BB23:BC23,"荻窪ー夜勤")+COUNTIF('3月'!BG23:BH23,"荻窪ー夜勤")+COUNTIF('3月'!BL23:BM23,"荻窪ー夜勤")+COUNTIF('3月'!BQ23:BR23,"荻窪ー夜勤")+COUNTIF('3月'!BV23:BW23,"荻窪ー夜勤")+COUNTIF('3月'!CA23:CB23,"荻窪ー夜勤")+COUNTIF('3月'!CF23:CG23,"荻窪ー夜勤")+COUNTIF('3月'!CK23:CL23,"荻窪ー夜勤")+COUNTIF('3月'!CP23:CQ23,"荻窪ー夜勤")+COUNTIF('3月'!CU23:CV23,"荻窪ー夜勤")+COUNTIF('3月'!CZ23:DA23,"荻窪ー夜勤")+COUNTIF('3月'!DE23:DF23,"荻窪ー夜勤")+COUNTIF('3月'!DJ23:DK23,"荻窪ー夜勤")+COUNTIF('3月'!DO23:DP23,"荻窪ー夜勤")+COUNTIF('3月'!DT23:DU23,"荻窪ー夜勤")+COUNTIF('3月'!DY23:DZ23,"荻窪ー夜勤")+COUNTIF('3月'!ED23:EE23,"荻窪ー夜勤")+COUNTIF('3月'!EI23:EJ23,"荻窪ー夜勤")+COUNTIF('3月'!EN23:EO23,"荻窪ー夜勤")+COUNTIF('3月'!ES23:ET23,"荻窪ー夜勤")</f>
        <v>0</v>
      </c>
      <c r="Q99" s="76">
        <f t="shared" si="31"/>
        <v>0</v>
      </c>
      <c r="R99" s="76">
        <f>COUNTIF('3月'!D23:E23,R$78)+COUNTIF('3月'!I23:J23,R$78)+COUNTIF('3月'!N23:O23,R$78)+COUNTIF('3月'!S23:T23,R$78)+COUNTIF('3月'!X23:Y23,R$78)+COUNTIF('3月'!AC23:AD23,R$78)+COUNTIF('3月'!AH23:AI23,R$78)+COUNTIF('3月'!AM23:AN23,R$78)+COUNTIF('3月'!AR23:AS23,R$78)+COUNTIF('3月'!AW23:AX23,R$78)+COUNTIF('3月'!BB23:BC23,R$78)+COUNTIF('3月'!BG23:BH23,R$78)+COUNTIF('3月'!BL23:BM23,R$78)+COUNTIF('3月'!BQ23:BR23,R$78)+COUNTIF('3月'!BV23:BW23,R$78)+COUNTIF('3月'!CA23:CB23,R$78)+COUNTIF('3月'!CF23:CG23,R$78)+COUNTIF('3月'!CK23:CL23,R$78)+COUNTIF('3月'!CP23:CQ23,R$78)+COUNTIF('3月'!CU23:CV23,R$78)+COUNTIF('3月'!CZ23:DA23,R$78)+COUNTIF('3月'!DE23:DF23,R$78)+COUNTIF('3月'!DJ23:DK23,R$78)+COUNTIF('3月'!DO23:DP23,R$78)+COUNTIF('3月'!DT23:DU23,R$78)+COUNTIF('3月'!DY23:DZ23,R$78)+COUNTIF('3月'!ED23:EE23,R$78)+COUNTIF('3月'!EI23:EJ23,R$78)+COUNTIF('3月'!EN23:EO23,R$78)+COUNTIF('3月'!ES23:ET23,R$78)</f>
        <v>0</v>
      </c>
      <c r="S99" s="76">
        <f t="shared" si="32"/>
        <v>0</v>
      </c>
      <c r="T99" s="76">
        <f>COUNTIF('3月'!D23:E23,T$78)+COUNTIF('3月'!I23:J23,T$78)+COUNTIF('3月'!N23:O23,T$78)+COUNTIF('3月'!S23:T23,T$78)+COUNTIF('3月'!X23:Y23,T$78)+COUNTIF('3月'!AC23:AD23,T$78)+COUNTIF('3月'!AH23:AI23,T$78)+COUNTIF('3月'!AM23:AN23,T$78)+COUNTIF('3月'!AR23:AS23,T$78)+COUNTIF('3月'!AW23:AX23,T$78)+COUNTIF('3月'!BB23:BC23,T$78)+COUNTIF('3月'!BG23:BH23,T$78)+COUNTIF('3月'!BL23:BM23,T$78)+COUNTIF('3月'!BQ23:BR23,T$78)+COUNTIF('3月'!BV23:BW23,T$78)+COUNTIF('3月'!CA23:CB23,T$78)+COUNTIF('3月'!CF23:CG23,T$78)+COUNTIF('3月'!CK23:CL23,T$78)+COUNTIF('3月'!CP23:CQ23,T$78)+COUNTIF('3月'!CU23:CV23,T$78)+COUNTIF('3月'!CZ23:DA23,T$78)+COUNTIF('3月'!DE23:DF23,T$78)+COUNTIF('3月'!DJ23:DK23,T$78)+COUNTIF('3月'!DO23:DP23,T$78)+COUNTIF('3月'!DT23:DU23,T$78)+COUNTIF('3月'!DY23:DZ23,T$78)+COUNTIF('3月'!ED23:EE23,T$78)+COUNTIF('3月'!EI23:EJ23,T$78)+COUNTIF('3月'!EN23:EO23,T$78)+COUNTIF('3月'!ES23:ET23,T$78)</f>
        <v>0</v>
      </c>
      <c r="U99" s="76">
        <f t="shared" si="33"/>
        <v>0</v>
      </c>
      <c r="V99" s="76">
        <f>COUNTIF('3月'!D23:E23,V$78)+COUNTIF('3月'!I23:J23,V$78)+COUNTIF('3月'!N23:O23,V$78)+COUNTIF('3月'!S23:T23,V$78)+COUNTIF('3月'!X23:Y23,V$78)+COUNTIF('3月'!AC23:AD23,V$78)+COUNTIF('3月'!AH23:AI23,V$78)+COUNTIF('3月'!AM23:AN23,V$78)+COUNTIF('3月'!AR23:AS23,V$78)+COUNTIF('3月'!AW23:AX23,V$78)+COUNTIF('3月'!BB23:BC23,V$78)+COUNTIF('3月'!BG23:BH23,V$78)+COUNTIF('3月'!BL23:BM23,V$78)+COUNTIF('3月'!BQ23:BR23,V$78)+COUNTIF('3月'!BV23:BW23,V$78)+COUNTIF('3月'!CA23:CB23,V$78)+COUNTIF('3月'!CF23:CG23,V$78)+COUNTIF('3月'!CK23:CL23,V$78)+COUNTIF('3月'!CP23:CQ23,V$78)+COUNTIF('3月'!CU23:CV23,V$78)+COUNTIF('3月'!CZ23:DA23,V$78)+COUNTIF('3月'!DE23:DF23,V$78)+COUNTIF('3月'!DJ23:DK23,V$78)+COUNTIF('3月'!DO23:DP23,V$78)+COUNTIF('3月'!DT23:DU23,V$78)+COUNTIF('3月'!DY23:DZ23,V$78)+COUNTIF('3月'!ED23:EE23,V$78)+COUNTIF('3月'!EI23:EJ23,V$78)+COUNTIF('3月'!EN23:EO23,V$78)+COUNTIF('3月'!ES23:ET23,V$78)</f>
        <v>0</v>
      </c>
      <c r="W99" s="76">
        <f t="shared" si="34"/>
        <v>0</v>
      </c>
      <c r="X99" s="76">
        <f>COUNTIF('3月'!D23:E23,X$78)+COUNTIF('3月'!I23:J23,X$78)+COUNTIF('3月'!N23:O23,X$78)+COUNTIF('3月'!S23:T23,X$78)+COUNTIF('3月'!X23:Y23,X$78)+COUNTIF('3月'!AC23:AD23,X$78)+COUNTIF('3月'!AH23:AI23,X$78)+COUNTIF('3月'!AM23:AN23,X$78)+COUNTIF('3月'!AR23:AS23,X$78)+COUNTIF('3月'!AW23:AX23,X$78)+COUNTIF('3月'!BB23:BC23,X$78)+COUNTIF('3月'!BG23:BH23,X$78)+COUNTIF('3月'!BL23:BM23,X$78)+COUNTIF('3月'!BQ23:BR23,X$78)+COUNTIF('3月'!BV23:BW23,X$78)+COUNTIF('3月'!CA23:CB23,X$78)+COUNTIF('3月'!CF23:CG23,X$78)+COUNTIF('3月'!CK23:CL23,X$78)+COUNTIF('3月'!CP23:CQ23,X$78)+COUNTIF('3月'!CU23:CV23,X$78)+COUNTIF('3月'!CZ23:DA23,X$78)+COUNTIF('3月'!DE23:DF23,X$78)+COUNTIF('3月'!DJ23:DK23,X$78)+COUNTIF('3月'!DO23:DP23,X$78)+COUNTIF('3月'!DT23:DU23,X$78)+COUNTIF('3月'!DY23:DZ23,X$78)+COUNTIF('3月'!ED23:EE23,X$78)+COUNTIF('3月'!EI23:EJ23,X$78)+COUNTIF('3月'!EN23:EO23,X$78)+COUNTIF('3月'!ES23:ET23,X$78)</f>
        <v>0</v>
      </c>
      <c r="Y99" s="76">
        <f t="shared" si="35"/>
        <v>0</v>
      </c>
    </row>
    <row r="100" spans="1:25" ht="18" customHeight="1">
      <c r="A100" s="76">
        <v>21</v>
      </c>
      <c r="B100" s="76">
        <f>COUNTIF('3月'!D24:E24,B$78)+COUNTIF('3月'!I24:J24,B$78)+COUNTIF('3月'!N24:O24,B$78)+COUNTIF('3月'!S24:T24,B$78)+COUNTIF('3月'!X24:Y24,B$78)+COUNTIF('3月'!AC24:AD24,B$78)+COUNTIF('3月'!AH24:AI24,B$78)+COUNTIF('3月'!AM24:AN24,B$78)+COUNTIF('3月'!AR24:AS24,B$78)+COUNTIF('3月'!AW24:AX24,B$78)+COUNTIF('3月'!BB24:BC24,B$78)+COUNTIF('3月'!BG24:BH24,B$78)+COUNTIF('3月'!BL24:BM24,B$78)+COUNTIF('3月'!BQ24:BR24,B$78)+COUNTIF('3月'!BV24:BW24,B$78)+COUNTIF('3月'!CA24:CB24,B$78)+COUNTIF('3月'!CF24:CG24,B$78)+COUNTIF('3月'!CK24:CL24,B$78)+COUNTIF('3月'!CP24:CQ24,B$78)+COUNTIF('3月'!CU24:CV24,B$78)+COUNTIF('3月'!CZ24:DA24,B$78)+COUNTIF('3月'!DE24:DF24,B$78)+COUNTIF('3月'!DJ24:DK24,B$78)+COUNTIF('3月'!DO24:DP24,B$78)+COUNTIF('3月'!DT24:DU24,B$78)+COUNTIF('3月'!DY24:DZ24,B$78)+COUNTIF('3月'!ED24:EE24,B$78)+COUNTIF('3月'!EI24:EJ24,B$78)+COUNTIF('3月'!EN24:EO24,B$78)+COUNTIF('3月'!ES24:ET24,B$78)</f>
        <v>0</v>
      </c>
      <c r="C100" s="76">
        <f t="shared" si="24"/>
        <v>0</v>
      </c>
      <c r="D100" s="76">
        <f>COUNTIF('3月'!D24:E24,D$78)+COUNTIF('3月'!I24:J24,D$78)+COUNTIF('3月'!N24:O24,D$78)+COUNTIF('3月'!S24:T24,D$78)+COUNTIF('3月'!X24:Y24,D$78)+COUNTIF('3月'!AC24:AD24,D$78)+COUNTIF('3月'!AH24:AI24,D$78)+COUNTIF('3月'!AM24:AN24,D$78)+COUNTIF('3月'!AR24:AS24,D$78)+COUNTIF('3月'!AW24:AX24,D$78)+COUNTIF('3月'!BB24:BC24,D$78)+COUNTIF('3月'!BG24:BH24,D$78)+COUNTIF('3月'!BL24:BM24,D$78)+COUNTIF('3月'!BQ24:BR24,D$78)+COUNTIF('3月'!BV24:BW24,D$78)+COUNTIF('3月'!CA24:CB24,D$78)+COUNTIF('3月'!CF24:CG24,D$78)+COUNTIF('3月'!CK24:CL24,D$78)+COUNTIF('3月'!CP24:CQ24,D$78)+COUNTIF('3月'!CU24:CV24,D$78)+COUNTIF('3月'!CZ24:DA24,D$78)+COUNTIF('3月'!DE24:DF24,D$78)+COUNTIF('3月'!DJ24:DK24,D$78)+COUNTIF('3月'!DO24:DP24,D$78)+COUNTIF('3月'!DT24:DU24,D$78)+COUNTIF('3月'!DY24:DZ24,D$78)+COUNTIF('3月'!ED24:EE24,D$78)+COUNTIF('3月'!EI24:EJ24,D$78)+COUNTIF('3月'!EN24:EO24,D$78)+COUNTIF('3月'!ES24:ET24,D$78)</f>
        <v>0</v>
      </c>
      <c r="E100" s="76">
        <f t="shared" si="25"/>
        <v>0</v>
      </c>
      <c r="F100" s="76">
        <f>COUNTIF('3月'!D24:E24,F$78)+COUNTIF('3月'!I24:J24,F$78)+COUNTIF('3月'!N24:O24,F$78)+COUNTIF('3月'!S24:T24,F$78)+COUNTIF('3月'!X24:Y24,F$78)+COUNTIF('3月'!AC24:AD24,F$78)+COUNTIF('3月'!AH24:AI24,F$78)+COUNTIF('3月'!AM24:AN24,F$78)+COUNTIF('3月'!AR24:AS24,F$78)+COUNTIF('3月'!AW24:AX24,F$78)+COUNTIF('3月'!BB24:BC24,F$78)+COUNTIF('3月'!BG24:BH24,F$78)+COUNTIF('3月'!BL24:BM24,F$78)+COUNTIF('3月'!BQ24:BR24,F$78)+COUNTIF('3月'!BV24:BW24,F$78)+COUNTIF('3月'!CA24:CB24,F$78)+COUNTIF('3月'!CF24:CG24,F$78)+COUNTIF('3月'!CK24:CL24,F$78)+COUNTIF('3月'!CP24:CQ24,F$78)+COUNTIF('3月'!CU24:CV24,F$78)+COUNTIF('3月'!CZ24:DA24,F$78)+COUNTIF('3月'!DE24:DF24,F$78)+COUNTIF('3月'!DJ24:DK24,F$78)+COUNTIF('3月'!DO24:DP24,F$78)+COUNTIF('3月'!DT24:DU24,F$78)+COUNTIF('3月'!DY24:DZ24,F$78)+COUNTIF('3月'!ED24:EE24,F$78)+COUNTIF('3月'!EI24:EJ24,F$78)+COUNTIF('3月'!EN24:EO24,F$78)+COUNTIF('3月'!ES24:ET24,F$78)</f>
        <v>0</v>
      </c>
      <c r="G100" s="76">
        <f t="shared" si="26"/>
        <v>0</v>
      </c>
      <c r="H100" s="76">
        <f>COUNTIF('3月'!D24:E24,H$78)+COUNTIF('3月'!I24:J24,H$78)+COUNTIF('3月'!N24:O24,H$78)+COUNTIF('3月'!S24:T24,H$78)+COUNTIF('3月'!X24:Y24,H$78)+COUNTIF('3月'!AC24:AD24,H$78)+COUNTIF('3月'!AH24:AI24,H$78)+COUNTIF('3月'!AM24:AN24,H$78)+COUNTIF('3月'!AR24:AS24,H$78)+COUNTIF('3月'!AW24:AX24,H$78)+COUNTIF('3月'!BB24:BC24,H$78)+COUNTIF('3月'!BG24:BH24,H$78)+COUNTIF('3月'!BL24:BM24,H$78)+COUNTIF('3月'!BQ24:BR24,H$78)+COUNTIF('3月'!BV24:BW24,H$78)+COUNTIF('3月'!CA24:CB24,H$78)+COUNTIF('3月'!CF24:CG24,H$78)+COUNTIF('3月'!CK24:CL24,H$78)+COUNTIF('3月'!CP24:CQ24,H$78)+COUNTIF('3月'!CU24:CV24,H$78)+COUNTIF('3月'!CZ24:DA24,H$78)+COUNTIF('3月'!DE24:DF24,H$78)+COUNTIF('3月'!DJ24:DK24,H$78)+COUNTIF('3月'!DO24:DP24,H$78)+COUNTIF('3月'!DT24:DU24,H$78)+COUNTIF('3月'!DY24:DZ24,H$78)+COUNTIF('3月'!ED24:EE24,H$78)+COUNTIF('3月'!EI24:EJ24,H$78)+COUNTIF('3月'!EN24:EO24,H$78)+COUNTIF('3月'!ES24:ET24,H$78)+COUNTIF('3月'!D24:E24,"渋谷-夜勤")+COUNTIF('3月'!I24:J24,"渋谷-夜勤")+COUNTIF('3月'!N24:O24,"渋谷-夜勤")+COUNTIF('3月'!S24:T24,"渋谷-夜勤")+COUNTIF('3月'!X24:Y24,"渋谷-夜勤")+COUNTIF('3月'!AC24:AD24,"渋谷-夜勤")+COUNTIF('3月'!AH24:AI24,"渋谷-夜勤")+COUNTIF('3月'!AM24:AN24,"渋谷-夜勤")+COUNTIF('3月'!AR24:AS24,"渋谷-夜勤")+COUNTIF('3月'!AW24:AX24,"渋谷-夜勤")+COUNTIF('3月'!BB24:BC24,"渋谷-夜勤")+COUNTIF('3月'!BG24:BH24,"渋谷-夜勤")+COUNTIF('3月'!BL24:BM24,"渋谷-夜勤")+COUNTIF('3月'!BQ24:BR24,"渋谷-夜勤")+COUNTIF('3月'!BV24:BW24,"渋谷-夜勤")+COUNTIF('3月'!CA24:CB24,"渋谷-夜勤")+COUNTIF('3月'!CF24:CG24,"渋谷-夜勤")+COUNTIF('3月'!CK24:CL24,"渋谷-夜勤")+COUNTIF('3月'!CP24:CQ24,"渋谷-夜勤")+COUNTIF('3月'!CU24:CV24,"渋谷-夜勤")+COUNTIF('3月'!CZ24:DA24,"渋谷-夜勤")+COUNTIF('3月'!DE24:DF24,"渋谷-夜勤")+COUNTIF('3月'!DJ24:DK24,"渋谷-夜勤")+COUNTIF('3月'!DO24:DP24,"渋谷-夜勤")+COUNTIF('3月'!DT24:DU24,"渋谷-夜勤")+COUNTIF('3月'!DY24:DZ24,"渋谷-夜勤")+COUNTIF('3月'!ED24:EE24,"渋谷-夜勤")+COUNTIF('3月'!EI24:EJ24,"渋谷-夜勤")+COUNTIF('3月'!EN24:EO24,"渋谷-夜勤")+COUNTIF('3月'!ES24:ET24,"渋谷-夜勤")</f>
        <v>0</v>
      </c>
      <c r="I100" s="76">
        <f t="shared" si="27"/>
        <v>0</v>
      </c>
      <c r="J100" s="76">
        <f>COUNTIF('3月'!D24:E24,J$78)+COUNTIF('3月'!I24:J24,J$78)+COUNTIF('3月'!N24:O24,J$78)+COUNTIF('3月'!S24:T24,J$78)+COUNTIF('3月'!X24:Y24,J$78)+COUNTIF('3月'!AC24:AD24,J$78)+COUNTIF('3月'!AH24:AI24,J$78)+COUNTIF('3月'!AM24:AN24,J$78)+COUNTIF('3月'!AR24:AS24,J$78)+COUNTIF('3月'!AW24:AX24,J$78)+COUNTIF('3月'!BB24:BC24,J$78)+COUNTIF('3月'!BG24:BH24,J$78)+COUNTIF('3月'!BL24:BM24,J$78)+COUNTIF('3月'!BQ24:BR24,J$78)+COUNTIF('3月'!BV24:BW24,J$78)+COUNTIF('3月'!CA24:CB24,J$78)+COUNTIF('3月'!CF24:CG24,J$78)+COUNTIF('3月'!CK24:CL24,J$78)+COUNTIF('3月'!CP24:CQ24,J$78)+COUNTIF('3月'!CU24:CV24,J$78)+COUNTIF('3月'!CZ24:DA24,J$78)+COUNTIF('3月'!DE24:DF24,J$78)+COUNTIF('3月'!DJ24:DK24,J$78)+COUNTIF('3月'!DO24:DP24,J$78)+COUNTIF('3月'!DT24:DU24,J$78)+COUNTIF('3月'!DY24:DZ24,J$78)+COUNTIF('3月'!ED24:EE24,J$78)+COUNTIF('3月'!EI24:EJ24,J$78)+COUNTIF('3月'!EN24:EO24,J$78)+COUNTIF('3月'!ES24:ET24,J$78)+COUNTIF('3月'!D24:E24,"六本木-夜勤")+COUNTIF('3月'!I24:J24,"六本木-夜勤")+COUNTIF('3月'!N24:O24,"六本木-夜勤")+COUNTIF('3月'!S24:T24,"六本木-夜勤")+COUNTIF('3月'!X24:Y24,"六本木-夜勤")+COUNTIF('3月'!AC24:AD24,"六本木-夜勤")+COUNTIF('3月'!AH24:AI24,"六本木-夜勤")+COUNTIF('3月'!AM24:AN24,"六本木-夜勤")+COUNTIF('3月'!AR24:AS24,"六本木-夜勤")+COUNTIF('3月'!AW24:AX24,"六本木-夜勤")+COUNTIF('3月'!BB24:BC24,"六本木-夜勤")+COUNTIF('3月'!BG24:BH24,"六本木-夜勤")+COUNTIF('3月'!BL24:BM24,"六本木-夜勤")+COUNTIF('3月'!BQ24:BR24,"六本木-夜勤")+COUNTIF('3月'!BV24:BW24,"六本木-夜勤")+COUNTIF('3月'!CA24:CB24,"六本木-夜勤")+COUNTIF('3月'!CF24:CG24,"六本木-夜勤")+COUNTIF('3月'!CK24:CL24,"六本木-夜勤")+COUNTIF('3月'!CP24:CQ24,"六本木-夜勤")+COUNTIF('3月'!CU24:CV24,"六本木-夜勤")+COUNTIF('3月'!CZ24:DA24,"六本木-夜勤")+COUNTIF('3月'!DE24:DF24,"六本木-夜勤")+COUNTIF('3月'!DJ24:DK24,"六本木-夜勤")+COUNTIF('3月'!DO24:DP24,"六本木-夜勤")+COUNTIF('3月'!DT24:DU24,"六本木-夜勤")+COUNTIF('3月'!DY24:DZ24,"六本木-夜勤")+COUNTIF('3月'!ED24:EE24,"六本木-夜勤")+COUNTIF('3月'!EI24:EJ24,"六本木-夜勤")+COUNTIF('3月'!EN24:EO24,"六本木-夜勤")+COUNTIF('3月'!ES24:ET24,"六本木-夜勤")+COUNTIF('3月'!D24:E24,"六本木ー夜勤")+COUNTIF('3月'!I24:J24,"六本木ー夜勤")+COUNTIF('3月'!N24:O24,"六本木ー夜勤")+COUNTIF('3月'!S24:T24,"六本木ー夜勤")+COUNTIF('3月'!X24:Y24,"六本木ー夜勤")+COUNTIF('3月'!AC24:AD24,"六本木ー夜勤")+COUNTIF('3月'!AH24:AI24,"六本木ー夜勤")+COUNTIF('3月'!AM24:AN24,"六本木ー夜勤")+COUNTIF('3月'!AR24:AS24,"六本木ー夜勤")+COUNTIF('3月'!AW24:AX24,"六本木ー夜勤")+COUNTIF('3月'!BB24:BC24,"六本木ー夜勤")+COUNTIF('3月'!BG24:BH24,"六本木ー夜勤")+COUNTIF('3月'!BL24:BM24,"六本木ー夜勤")+COUNTIF('3月'!BQ24:BR24,"六本木ー夜勤")+COUNTIF('3月'!BV24:BW24,"六本木ー夜勤")+COUNTIF('3月'!CA24:CB24,"六本木ー夜勤")+COUNTIF('3月'!CF24:CG24,"六本木ー夜勤")+COUNTIF('3月'!CK24:CL24,"六本木ー夜勤")+COUNTIF('3月'!CP24:CQ24,"六本木ー夜勤")+COUNTIF('3月'!CU24:CV24,"六本木ー夜勤")+COUNTIF('3月'!CZ24:DA24,"六本木ー夜勤")+COUNTIF('3月'!DE24:DF24,"六本木ー夜勤")+COUNTIF('3月'!DJ24:DK24,"六本木ー夜勤")+COUNTIF('3月'!DO24:DP24,"六本木ー夜勤")+COUNTIF('3月'!DT24:DU24,"六本木ー夜勤")+COUNTIF('3月'!DY24:DZ24,"六本木ー夜勤")+COUNTIF('3月'!ED24:EE24,"六本木ー夜勤")+COUNTIF('3月'!EI24:EJ24,"六本木ー夜勤")+COUNTIF('3月'!EN24:EO24,"六本木ー夜勤")+COUNTIF('3月'!ES24:ET24,"六本木ー夜勤")</f>
        <v>0</v>
      </c>
      <c r="K100" s="76">
        <f t="shared" si="28"/>
        <v>0</v>
      </c>
      <c r="L100" s="76">
        <f>COUNTIF('3月'!D24:E24,L$78)+COUNTIF('3月'!I24:J24,L$78)+COUNTIF('3月'!N24:O24,L$78)+COUNTIF('3月'!S24:T24,L$78)+COUNTIF('3月'!X24:Y24,L$78)+COUNTIF('3月'!AC24:AD24,L$78)+COUNTIF('3月'!AH24:AI24,L$78)+COUNTIF('3月'!AM24:AN24,L$78)+COUNTIF('3月'!AR24:AS24,L$78)+COUNTIF('3月'!AW24:AX24,L$78)+COUNTIF('3月'!BB24:BC24,L$78)+COUNTIF('3月'!BG24:BH24,L$78)+COUNTIF('3月'!BL24:BM24,L$78)+COUNTIF('3月'!BQ24:BR24,L$78)+COUNTIF('3月'!BV24:BW24,L$78)+COUNTIF('3月'!CA24:CB24,L$78)+COUNTIF('3月'!CF24:CG24,L$78)+COUNTIF('3月'!CK24:CL24,L$78)+COUNTIF('3月'!CP24:CQ24,L$78)+COUNTIF('3月'!CU24:CV24,L$78)+COUNTIF('3月'!CZ24:DA24,L$78)+COUNTIF('3月'!DE24:DF24,L$78)+COUNTIF('3月'!DJ24:DK24,L$78)+COUNTIF('3月'!DO24:DP24,L$78)+COUNTIF('3月'!DT24:DU24,L$78)+COUNTIF('3月'!DY24:DZ24,L$78)+COUNTIF('3月'!ED24:EE24,L$78)+COUNTIF('3月'!EI24:EJ24,L$78)+COUNTIF('3月'!EN24:EO24,L$78)+COUNTIF('3月'!ES24:ET24,L$78)</f>
        <v>0</v>
      </c>
      <c r="M100" s="76">
        <f t="shared" si="29"/>
        <v>0</v>
      </c>
      <c r="N100" s="76">
        <f>COUNTIF('3月'!D24:E24,N$78)+COUNTIF('3月'!I24:J24,N$78)+COUNTIF('3月'!N24:O24,N$78)+COUNTIF('3月'!S24:T24,N$78)+COUNTIF('3月'!X24:Y24,N$78)+COUNTIF('3月'!AC24:AD24,N$78)+COUNTIF('3月'!AH24:AI24,N$78)+COUNTIF('3月'!AM24:AN24,N$78)+COUNTIF('3月'!AR24:AS24,N$78)+COUNTIF('3月'!AW24:AX24,N$78)+COUNTIF('3月'!BB24:BC24,N$78)+COUNTIF('3月'!BG24:BH24,N$78)+COUNTIF('3月'!BL24:BM24,N$78)+COUNTIF('3月'!BQ24:BR24,N$78)+COUNTIF('3月'!BV24:BW24,N$78)+COUNTIF('3月'!CA24:CB24,N$78)+COUNTIF('3月'!CF24:CG24,N$78)+COUNTIF('3月'!CK24:CL24,N$78)+COUNTIF('3月'!CP24:CQ24,N$78)+COUNTIF('3月'!CU24:CV24,N$78)+COUNTIF('3月'!CZ24:DA24,N$78)+COUNTIF('3月'!DE24:DF24,N$78)+COUNTIF('3月'!DJ24:DK24,N$78)+COUNTIF('3月'!DO24:DP24,N$78)+COUNTIF('3月'!DT24:DU24,N$78)+COUNTIF('3月'!DY24:DZ24,N$78)+COUNTIF('3月'!ED24:EE24,N$78)+COUNTIF('3月'!EI24:EJ24,N$78)+COUNTIF('3月'!EN24:EO24,N$78)+COUNTIF('3月'!ES24:ET24,N$78)+COUNTIF('3月'!D24:E24,"三軒茶屋－夜勤")+COUNTIF('3月'!I24:J24,"三軒茶屋－夜勤")+COUNTIF('3月'!N24:O24,"三軒茶屋－夜勤")+COUNTIF('3月'!S24:T24,"三軒茶屋－夜勤")+COUNTIF('3月'!X24:Y24,"三軒茶屋－夜勤")+COUNTIF('3月'!AC24:AD24,"三軒茶屋－夜勤")+COUNTIF('3月'!AH24:AI24,"三軒茶屋－夜勤")+COUNTIF('3月'!AM24:AN24,"三軒茶屋－夜勤")+COUNTIF('3月'!AR24:AS24,"三軒茶屋－夜勤")+COUNTIF('3月'!AW24:AX24,"三軒茶屋－夜勤")+COUNTIF('3月'!BB24:BC24,"三軒茶屋－夜勤")+COUNTIF('3月'!BG24:BH24,"三軒茶屋－夜勤")+COUNTIF('3月'!BL24:BM24,"三軒茶屋－夜勤")+COUNTIF('3月'!BQ24:BR24,"三軒茶屋－夜勤")+COUNTIF('3月'!BV24:BW24,"三軒茶屋－夜勤")+COUNTIF('3月'!CA24:CB24,"三軒茶屋－夜勤")+COUNTIF('3月'!CF24:CG24,"三軒茶屋－夜勤")+COUNTIF('3月'!CK24:CL24,"三軒茶屋－夜勤")+COUNTIF('3月'!CP24:CQ24,"三軒茶屋－夜勤")+COUNTIF('3月'!CU24:CV24,"三軒茶屋－夜勤")+COUNTIF('3月'!CZ24:DA24,"三軒茶屋－夜勤")+COUNTIF('3月'!DE24:DF24,"三軒茶屋－夜勤")+COUNTIF('3月'!DJ24:DK24,"三軒茶屋－夜勤")+COUNTIF('3月'!DO24:DP24,"三軒茶屋－夜勤")+COUNTIF('3月'!DT24:DU24,"三軒茶屋－夜勤")+COUNTIF('3月'!DY24:DZ24,"三軒茶屋－夜勤")+COUNTIF('3月'!ED24:EE24,"三軒茶屋－夜勤")+COUNTIF('3月'!EI24:EJ24,"三軒茶屋－夜勤")+COUNTIF('3月'!EN24:EO24,"三軒茶屋－夜勤")+COUNTIF('3月'!ES24:ET24,"三軒茶屋－夜勤")</f>
        <v>0</v>
      </c>
      <c r="O100" s="76">
        <f t="shared" si="30"/>
        <v>0</v>
      </c>
      <c r="P100" s="76">
        <f>COUNTIF('3月'!D24:E24,P$78)+COUNTIF('3月'!I24:J24,P$78)+COUNTIF('3月'!N24:O24,P$78)+COUNTIF('3月'!S24:T24,P$78)+COUNTIF('3月'!X24:Y24,P$78)+COUNTIF('3月'!AC24:AD24,P$78)+COUNTIF('3月'!AH24:AI24,P$78)+COUNTIF('3月'!AM24:AN24,P$78)+COUNTIF('3月'!AR24:AS24,P$78)+COUNTIF('3月'!AW24:AX24,P$78)+COUNTIF('3月'!BB24:BC24,P$78)+COUNTIF('3月'!BG24:BH24,P$78)+COUNTIF('3月'!BL24:BM24,P$78)+COUNTIF('3月'!BQ24:BR24,P$78)+COUNTIF('3月'!BV24:BW24,P$78)+COUNTIF('3月'!CA24:CB24,P$78)+COUNTIF('3月'!CF24:CG24,P$78)+COUNTIF('3月'!CK24:CL24,P$78)+COUNTIF('3月'!CP24:CQ24,P$78)+COUNTIF('3月'!CU24:CV24,P$78)+COUNTIF('3月'!CZ24:DA24,P$78)+COUNTIF('3月'!DE24:DF24,P$78)+COUNTIF('3月'!DJ24:DK24,P$78)+COUNTIF('3月'!DO24:DP24,P$78)+COUNTIF('3月'!DT24:DU24,P$78)+COUNTIF('3月'!DY24:DZ24,P$78)+COUNTIF('3月'!ED24:EE24,P$78)+COUNTIF('3月'!EI24:EJ24,P$78)+COUNTIF('3月'!EN24:EO24,P$78)+COUNTIF('3月'!ES24:ET24,P$78)+COUNTIF('3月'!D24:E24,"荻窪ー夜勤")+COUNTIF('3月'!I24:J24,"荻窪ー夜勤")+COUNTIF('3月'!N24:O24,"荻窪ー夜勤")+COUNTIF('3月'!S24:T24,"荻窪ー夜勤")+COUNTIF('3月'!X24:Y24,"荻窪ー夜勤")+COUNTIF('3月'!AC24:AD24,"荻窪ー夜勤")+COUNTIF('3月'!AH24:AI24,"荻窪ー夜勤")+COUNTIF('3月'!AM24:AN24,"荻窪ー夜勤")+COUNTIF('3月'!AR24:AS24,"荻窪ー夜勤")+COUNTIF('3月'!AW24:AX24,"荻窪ー夜勤")+COUNTIF('3月'!BB24:BC24,"荻窪ー夜勤")+COUNTIF('3月'!BG24:BH24,"荻窪ー夜勤")+COUNTIF('3月'!BL24:BM24,"荻窪ー夜勤")+COUNTIF('3月'!BQ24:BR24,"荻窪ー夜勤")+COUNTIF('3月'!BV24:BW24,"荻窪ー夜勤")+COUNTIF('3月'!CA24:CB24,"荻窪ー夜勤")+COUNTIF('3月'!CF24:CG24,"荻窪ー夜勤")+COUNTIF('3月'!CK24:CL24,"荻窪ー夜勤")+COUNTIF('3月'!CP24:CQ24,"荻窪ー夜勤")+COUNTIF('3月'!CU24:CV24,"荻窪ー夜勤")+COUNTIF('3月'!CZ24:DA24,"荻窪ー夜勤")+COUNTIF('3月'!DE24:DF24,"荻窪ー夜勤")+COUNTIF('3月'!DJ24:DK24,"荻窪ー夜勤")+COUNTIF('3月'!DO24:DP24,"荻窪ー夜勤")+COUNTIF('3月'!DT24:DU24,"荻窪ー夜勤")+COUNTIF('3月'!DY24:DZ24,"荻窪ー夜勤")+COUNTIF('3月'!ED24:EE24,"荻窪ー夜勤")+COUNTIF('3月'!EI24:EJ24,"荻窪ー夜勤")+COUNTIF('3月'!EN24:EO24,"荻窪ー夜勤")+COUNTIF('3月'!ES24:ET24,"荻窪ー夜勤")</f>
        <v>0</v>
      </c>
      <c r="Q100" s="76">
        <f t="shared" si="31"/>
        <v>0</v>
      </c>
      <c r="R100" s="76">
        <f>COUNTIF('3月'!D24:E24,R$78)+COUNTIF('3月'!I24:J24,R$78)+COUNTIF('3月'!N24:O24,R$78)+COUNTIF('3月'!S24:T24,R$78)+COUNTIF('3月'!X24:Y24,R$78)+COUNTIF('3月'!AC24:AD24,R$78)+COUNTIF('3月'!AH24:AI24,R$78)+COUNTIF('3月'!AM24:AN24,R$78)+COUNTIF('3月'!AR24:AS24,R$78)+COUNTIF('3月'!AW24:AX24,R$78)+COUNTIF('3月'!BB24:BC24,R$78)+COUNTIF('3月'!BG24:BH24,R$78)+COUNTIF('3月'!BL24:BM24,R$78)+COUNTIF('3月'!BQ24:BR24,R$78)+COUNTIF('3月'!BV24:BW24,R$78)+COUNTIF('3月'!CA24:CB24,R$78)+COUNTIF('3月'!CF24:CG24,R$78)+COUNTIF('3月'!CK24:CL24,R$78)+COUNTIF('3月'!CP24:CQ24,R$78)+COUNTIF('3月'!CU24:CV24,R$78)+COUNTIF('3月'!CZ24:DA24,R$78)+COUNTIF('3月'!DE24:DF24,R$78)+COUNTIF('3月'!DJ24:DK24,R$78)+COUNTIF('3月'!DO24:DP24,R$78)+COUNTIF('3月'!DT24:DU24,R$78)+COUNTIF('3月'!DY24:DZ24,R$78)+COUNTIF('3月'!ED24:EE24,R$78)+COUNTIF('3月'!EI24:EJ24,R$78)+COUNTIF('3月'!EN24:EO24,R$78)+COUNTIF('3月'!ES24:ET24,R$78)</f>
        <v>0</v>
      </c>
      <c r="S100" s="76">
        <f t="shared" si="32"/>
        <v>0</v>
      </c>
      <c r="T100" s="76">
        <f>COUNTIF('3月'!D24:E24,T$78)+COUNTIF('3月'!I24:J24,T$78)+COUNTIF('3月'!N24:O24,T$78)+COUNTIF('3月'!S24:T24,T$78)+COUNTIF('3月'!X24:Y24,T$78)+COUNTIF('3月'!AC24:AD24,T$78)+COUNTIF('3月'!AH24:AI24,T$78)+COUNTIF('3月'!AM24:AN24,T$78)+COUNTIF('3月'!AR24:AS24,T$78)+COUNTIF('3月'!AW24:AX24,T$78)+COUNTIF('3月'!BB24:BC24,T$78)+COUNTIF('3月'!BG24:BH24,T$78)+COUNTIF('3月'!BL24:BM24,T$78)+COUNTIF('3月'!BQ24:BR24,T$78)+COUNTIF('3月'!BV24:BW24,T$78)+COUNTIF('3月'!CA24:CB24,T$78)+COUNTIF('3月'!CF24:CG24,T$78)+COUNTIF('3月'!CK24:CL24,T$78)+COUNTIF('3月'!CP24:CQ24,T$78)+COUNTIF('3月'!CU24:CV24,T$78)+COUNTIF('3月'!CZ24:DA24,T$78)+COUNTIF('3月'!DE24:DF24,T$78)+COUNTIF('3月'!DJ24:DK24,T$78)+COUNTIF('3月'!DO24:DP24,T$78)+COUNTIF('3月'!DT24:DU24,T$78)+COUNTIF('3月'!DY24:DZ24,T$78)+COUNTIF('3月'!ED24:EE24,T$78)+COUNTIF('3月'!EI24:EJ24,T$78)+COUNTIF('3月'!EN24:EO24,T$78)+COUNTIF('3月'!ES24:ET24,T$78)</f>
        <v>0</v>
      </c>
      <c r="U100" s="76">
        <f t="shared" si="33"/>
        <v>0</v>
      </c>
      <c r="V100" s="76">
        <f>COUNTIF('3月'!D24:E24,V$78)+COUNTIF('3月'!I24:J24,V$78)+COUNTIF('3月'!N24:O24,V$78)+COUNTIF('3月'!S24:T24,V$78)+COUNTIF('3月'!X24:Y24,V$78)+COUNTIF('3月'!AC24:AD24,V$78)+COUNTIF('3月'!AH24:AI24,V$78)+COUNTIF('3月'!AM24:AN24,V$78)+COUNTIF('3月'!AR24:AS24,V$78)+COUNTIF('3月'!AW24:AX24,V$78)+COUNTIF('3月'!BB24:BC24,V$78)+COUNTIF('3月'!BG24:BH24,V$78)+COUNTIF('3月'!BL24:BM24,V$78)+COUNTIF('3月'!BQ24:BR24,V$78)+COUNTIF('3月'!BV24:BW24,V$78)+COUNTIF('3月'!CA24:CB24,V$78)+COUNTIF('3月'!CF24:CG24,V$78)+COUNTIF('3月'!CK24:CL24,V$78)+COUNTIF('3月'!CP24:CQ24,V$78)+COUNTIF('3月'!CU24:CV24,V$78)+COUNTIF('3月'!CZ24:DA24,V$78)+COUNTIF('3月'!DE24:DF24,V$78)+COUNTIF('3月'!DJ24:DK24,V$78)+COUNTIF('3月'!DO24:DP24,V$78)+COUNTIF('3月'!DT24:DU24,V$78)+COUNTIF('3月'!DY24:DZ24,V$78)+COUNTIF('3月'!ED24:EE24,V$78)+COUNTIF('3月'!EI24:EJ24,V$78)+COUNTIF('3月'!EN24:EO24,V$78)+COUNTIF('3月'!ES24:ET24,V$78)</f>
        <v>0</v>
      </c>
      <c r="W100" s="76">
        <f t="shared" si="34"/>
        <v>0</v>
      </c>
      <c r="X100" s="76">
        <f>COUNTIF('3月'!D24:E24,X$78)+COUNTIF('3月'!I24:J24,X$78)+COUNTIF('3月'!N24:O24,X$78)+COUNTIF('3月'!S24:T24,X$78)+COUNTIF('3月'!X24:Y24,X$78)+COUNTIF('3月'!AC24:AD24,X$78)+COUNTIF('3月'!AH24:AI24,X$78)+COUNTIF('3月'!AM24:AN24,X$78)+COUNTIF('3月'!AR24:AS24,X$78)+COUNTIF('3月'!AW24:AX24,X$78)+COUNTIF('3月'!BB24:BC24,X$78)+COUNTIF('3月'!BG24:BH24,X$78)+COUNTIF('3月'!BL24:BM24,X$78)+COUNTIF('3月'!BQ24:BR24,X$78)+COUNTIF('3月'!BV24:BW24,X$78)+COUNTIF('3月'!CA24:CB24,X$78)+COUNTIF('3月'!CF24:CG24,X$78)+COUNTIF('3月'!CK24:CL24,X$78)+COUNTIF('3月'!CP24:CQ24,X$78)+COUNTIF('3月'!CU24:CV24,X$78)+COUNTIF('3月'!CZ24:DA24,X$78)+COUNTIF('3月'!DE24:DF24,X$78)+COUNTIF('3月'!DJ24:DK24,X$78)+COUNTIF('3月'!DO24:DP24,X$78)+COUNTIF('3月'!DT24:DU24,X$78)+COUNTIF('3月'!DY24:DZ24,X$78)+COUNTIF('3月'!ED24:EE24,X$78)+COUNTIF('3月'!EI24:EJ24,X$78)+COUNTIF('3月'!EN24:EO24,X$78)+COUNTIF('3月'!ES24:ET24,X$78)</f>
        <v>0</v>
      </c>
      <c r="Y100" s="76">
        <f t="shared" si="35"/>
        <v>0</v>
      </c>
    </row>
    <row r="101" spans="1:25" ht="18" customHeight="1">
      <c r="A101" s="76">
        <v>22</v>
      </c>
      <c r="B101" s="76">
        <f>COUNTIF('3月'!D25:E25,B$78)+COUNTIF('3月'!I25:J25,B$78)+COUNTIF('3月'!N25:O25,B$78)+COUNTIF('3月'!S25:T25,B$78)+COUNTIF('3月'!X25:Y25,B$78)+COUNTIF('3月'!AC25:AD25,B$78)+COUNTIF('3月'!AH25:AI25,B$78)+COUNTIF('3月'!AM25:AN25,B$78)+COUNTIF('3月'!AR25:AS25,B$78)+COUNTIF('3月'!AW25:AX25,B$78)+COUNTIF('3月'!BB25:BC25,B$78)+COUNTIF('3月'!BG25:BH25,B$78)+COUNTIF('3月'!BL25:BM25,B$78)+COUNTIF('3月'!BQ25:BR25,B$78)+COUNTIF('3月'!BV25:BW25,B$78)+COUNTIF('3月'!CA25:CB25,B$78)+COUNTIF('3月'!CF25:CG25,B$78)+COUNTIF('3月'!CK25:CL25,B$78)+COUNTIF('3月'!CP25:CQ25,B$78)+COUNTIF('3月'!CU25:CV25,B$78)+COUNTIF('3月'!CZ25:DA25,B$78)+COUNTIF('3月'!DE25:DF25,B$78)+COUNTIF('3月'!DJ25:DK25,B$78)+COUNTIF('3月'!DO25:DP25,B$78)+COUNTIF('3月'!DT25:DU25,B$78)+COUNTIF('3月'!DY25:DZ25,B$78)+COUNTIF('3月'!ED25:EE25,B$78)+COUNTIF('3月'!EI25:EJ25,B$78)+COUNTIF('3月'!EN25:EO25,B$78)+COUNTIF('3月'!ES25:ET25,B$78)</f>
        <v>0</v>
      </c>
      <c r="C101" s="76">
        <f t="shared" si="24"/>
        <v>0</v>
      </c>
      <c r="D101" s="76">
        <f>COUNTIF('3月'!D25:E25,D$78)+COUNTIF('3月'!I25:J25,D$78)+COUNTIF('3月'!N25:O25,D$78)+COUNTIF('3月'!S25:T25,D$78)+COUNTIF('3月'!X25:Y25,D$78)+COUNTIF('3月'!AC25:AD25,D$78)+COUNTIF('3月'!AH25:AI25,D$78)+COUNTIF('3月'!AM25:AN25,D$78)+COUNTIF('3月'!AR25:AS25,D$78)+COUNTIF('3月'!AW25:AX25,D$78)+COUNTIF('3月'!BB25:BC25,D$78)+COUNTIF('3月'!BG25:BH25,D$78)+COUNTIF('3月'!BL25:BM25,D$78)+COUNTIF('3月'!BQ25:BR25,D$78)+COUNTIF('3月'!BV25:BW25,D$78)+COUNTIF('3月'!CA25:CB25,D$78)+COUNTIF('3月'!CF25:CG25,D$78)+COUNTIF('3月'!CK25:CL25,D$78)+COUNTIF('3月'!CP25:CQ25,D$78)+COUNTIF('3月'!CU25:CV25,D$78)+COUNTIF('3月'!CZ25:DA25,D$78)+COUNTIF('3月'!DE25:DF25,D$78)+COUNTIF('3月'!DJ25:DK25,D$78)+COUNTIF('3月'!DO25:DP25,D$78)+COUNTIF('3月'!DT25:DU25,D$78)+COUNTIF('3月'!DY25:DZ25,D$78)+COUNTIF('3月'!ED25:EE25,D$78)+COUNTIF('3月'!EI25:EJ25,D$78)+COUNTIF('3月'!EN25:EO25,D$78)+COUNTIF('3月'!ES25:ET25,D$78)</f>
        <v>0</v>
      </c>
      <c r="E101" s="76">
        <f t="shared" si="25"/>
        <v>0</v>
      </c>
      <c r="F101" s="76">
        <f>COUNTIF('3月'!D25:E25,F$78)+COUNTIF('3月'!I25:J25,F$78)+COUNTIF('3月'!N25:O25,F$78)+COUNTIF('3月'!S25:T25,F$78)+COUNTIF('3月'!X25:Y25,F$78)+COUNTIF('3月'!AC25:AD25,F$78)+COUNTIF('3月'!AH25:AI25,F$78)+COUNTIF('3月'!AM25:AN25,F$78)+COUNTIF('3月'!AR25:AS25,F$78)+COUNTIF('3月'!AW25:AX25,F$78)+COUNTIF('3月'!BB25:BC25,F$78)+COUNTIF('3月'!BG25:BH25,F$78)+COUNTIF('3月'!BL25:BM25,F$78)+COUNTIF('3月'!BQ25:BR25,F$78)+COUNTIF('3月'!BV25:BW25,F$78)+COUNTIF('3月'!CA25:CB25,F$78)+COUNTIF('3月'!CF25:CG25,F$78)+COUNTIF('3月'!CK25:CL25,F$78)+COUNTIF('3月'!CP25:CQ25,F$78)+COUNTIF('3月'!CU25:CV25,F$78)+COUNTIF('3月'!CZ25:DA25,F$78)+COUNTIF('3月'!DE25:DF25,F$78)+COUNTIF('3月'!DJ25:DK25,F$78)+COUNTIF('3月'!DO25:DP25,F$78)+COUNTIF('3月'!DT25:DU25,F$78)+COUNTIF('3月'!DY25:DZ25,F$78)+COUNTIF('3月'!ED25:EE25,F$78)+COUNTIF('3月'!EI25:EJ25,F$78)+COUNTIF('3月'!EN25:EO25,F$78)+COUNTIF('3月'!ES25:ET25,F$78)</f>
        <v>0</v>
      </c>
      <c r="G101" s="76">
        <f t="shared" si="26"/>
        <v>0</v>
      </c>
      <c r="H101" s="76">
        <f>COUNTIF('3月'!D25:E25,H$78)+COUNTIF('3月'!I25:J25,H$78)+COUNTIF('3月'!N25:O25,H$78)+COUNTIF('3月'!S25:T25,H$78)+COUNTIF('3月'!X25:Y25,H$78)+COUNTIF('3月'!AC25:AD25,H$78)+COUNTIF('3月'!AH25:AI25,H$78)+COUNTIF('3月'!AM25:AN25,H$78)+COUNTIF('3月'!AR25:AS25,H$78)+COUNTIF('3月'!AW25:AX25,H$78)+COUNTIF('3月'!BB25:BC25,H$78)+COUNTIF('3月'!BG25:BH25,H$78)+COUNTIF('3月'!BL25:BM25,H$78)+COUNTIF('3月'!BQ25:BR25,H$78)+COUNTIF('3月'!BV25:BW25,H$78)+COUNTIF('3月'!CA25:CB25,H$78)+COUNTIF('3月'!CF25:CG25,H$78)+COUNTIF('3月'!CK25:CL25,H$78)+COUNTIF('3月'!CP25:CQ25,H$78)+COUNTIF('3月'!CU25:CV25,H$78)+COUNTIF('3月'!CZ25:DA25,H$78)+COUNTIF('3月'!DE25:DF25,H$78)+COUNTIF('3月'!DJ25:DK25,H$78)+COUNTIF('3月'!DO25:DP25,H$78)+COUNTIF('3月'!DT25:DU25,H$78)+COUNTIF('3月'!DY25:DZ25,H$78)+COUNTIF('3月'!ED25:EE25,H$78)+COUNTIF('3月'!EI25:EJ25,H$78)+COUNTIF('3月'!EN25:EO25,H$78)+COUNTIF('3月'!ES25:ET25,H$78)+COUNTIF('3月'!D25:E25,"渋谷-夜勤")+COUNTIF('3月'!I25:J25,"渋谷-夜勤")+COUNTIF('3月'!N25:O25,"渋谷-夜勤")+COUNTIF('3月'!S25:T25,"渋谷-夜勤")+COUNTIF('3月'!X25:Y25,"渋谷-夜勤")+COUNTIF('3月'!AC25:AD25,"渋谷-夜勤")+COUNTIF('3月'!AH25:AI25,"渋谷-夜勤")+COUNTIF('3月'!AM25:AN25,"渋谷-夜勤")+COUNTIF('3月'!AR25:AS25,"渋谷-夜勤")+COUNTIF('3月'!AW25:AX25,"渋谷-夜勤")+COUNTIF('3月'!BB25:BC25,"渋谷-夜勤")+COUNTIF('3月'!BG25:BH25,"渋谷-夜勤")+COUNTIF('3月'!BL25:BM25,"渋谷-夜勤")+COUNTIF('3月'!BQ25:BR25,"渋谷-夜勤")+COUNTIF('3月'!BV25:BW25,"渋谷-夜勤")+COUNTIF('3月'!CA25:CB25,"渋谷-夜勤")+COUNTIF('3月'!CF25:CG25,"渋谷-夜勤")+COUNTIF('3月'!CK25:CL25,"渋谷-夜勤")+COUNTIF('3月'!CP25:CQ25,"渋谷-夜勤")+COUNTIF('3月'!CU25:CV25,"渋谷-夜勤")+COUNTIF('3月'!CZ25:DA25,"渋谷-夜勤")+COUNTIF('3月'!DE25:DF25,"渋谷-夜勤")+COUNTIF('3月'!DJ25:DK25,"渋谷-夜勤")+COUNTIF('3月'!DO25:DP25,"渋谷-夜勤")+COUNTIF('3月'!DT25:DU25,"渋谷-夜勤")+COUNTIF('3月'!DY25:DZ25,"渋谷-夜勤")+COUNTIF('3月'!ED25:EE25,"渋谷-夜勤")+COUNTIF('3月'!EI25:EJ25,"渋谷-夜勤")+COUNTIF('3月'!EN25:EO25,"渋谷-夜勤")+COUNTIF('3月'!ES25:ET25,"渋谷-夜勤")</f>
        <v>0</v>
      </c>
      <c r="I101" s="76">
        <f t="shared" si="27"/>
        <v>0</v>
      </c>
      <c r="J101" s="76">
        <f>COUNTIF('3月'!D25:E25,J$78)+COUNTIF('3月'!I25:J25,J$78)+COUNTIF('3月'!N25:O25,J$78)+COUNTIF('3月'!S25:T25,J$78)+COUNTIF('3月'!X25:Y25,J$78)+COUNTIF('3月'!AC25:AD25,J$78)+COUNTIF('3月'!AH25:AI25,J$78)+COUNTIF('3月'!AM25:AN25,J$78)+COUNTIF('3月'!AR25:AS25,J$78)+COUNTIF('3月'!AW25:AX25,J$78)+COUNTIF('3月'!BB25:BC25,J$78)+COUNTIF('3月'!BG25:BH25,J$78)+COUNTIF('3月'!BL25:BM25,J$78)+COUNTIF('3月'!BQ25:BR25,J$78)+COUNTIF('3月'!BV25:BW25,J$78)+COUNTIF('3月'!CA25:CB25,J$78)+COUNTIF('3月'!CF25:CG25,J$78)+COUNTIF('3月'!CK25:CL25,J$78)+COUNTIF('3月'!CP25:CQ25,J$78)+COUNTIF('3月'!CU25:CV25,J$78)+COUNTIF('3月'!CZ25:DA25,J$78)+COUNTIF('3月'!DE25:DF25,J$78)+COUNTIF('3月'!DJ25:DK25,J$78)+COUNTIF('3月'!DO25:DP25,J$78)+COUNTIF('3月'!DT25:DU25,J$78)+COUNTIF('3月'!DY25:DZ25,J$78)+COUNTIF('3月'!ED25:EE25,J$78)+COUNTIF('3月'!EI25:EJ25,J$78)+COUNTIF('3月'!EN25:EO25,J$78)+COUNTIF('3月'!ES25:ET25,J$78)+COUNTIF('3月'!D25:E25,"六本木-夜勤")+COUNTIF('3月'!I25:J25,"六本木-夜勤")+COUNTIF('3月'!N25:O25,"六本木-夜勤")+COUNTIF('3月'!S25:T25,"六本木-夜勤")+COUNTIF('3月'!X25:Y25,"六本木-夜勤")+COUNTIF('3月'!AC25:AD25,"六本木-夜勤")+COUNTIF('3月'!AH25:AI25,"六本木-夜勤")+COUNTIF('3月'!AM25:AN25,"六本木-夜勤")+COUNTIF('3月'!AR25:AS25,"六本木-夜勤")+COUNTIF('3月'!AW25:AX25,"六本木-夜勤")+COUNTIF('3月'!BB25:BC25,"六本木-夜勤")+COUNTIF('3月'!BG25:BH25,"六本木-夜勤")+COUNTIF('3月'!BL25:BM25,"六本木-夜勤")+COUNTIF('3月'!BQ25:BR25,"六本木-夜勤")+COUNTIF('3月'!BV25:BW25,"六本木-夜勤")+COUNTIF('3月'!CA25:CB25,"六本木-夜勤")+COUNTIF('3月'!CF25:CG25,"六本木-夜勤")+COUNTIF('3月'!CK25:CL25,"六本木-夜勤")+COUNTIF('3月'!CP25:CQ25,"六本木-夜勤")+COUNTIF('3月'!CU25:CV25,"六本木-夜勤")+COUNTIF('3月'!CZ25:DA25,"六本木-夜勤")+COUNTIF('3月'!DE25:DF25,"六本木-夜勤")+COUNTIF('3月'!DJ25:DK25,"六本木-夜勤")+COUNTIF('3月'!DO25:DP25,"六本木-夜勤")+COUNTIF('3月'!DT25:DU25,"六本木-夜勤")+COUNTIF('3月'!DY25:DZ25,"六本木-夜勤")+COUNTIF('3月'!ED25:EE25,"六本木-夜勤")+COUNTIF('3月'!EI25:EJ25,"六本木-夜勤")+COUNTIF('3月'!EN25:EO25,"六本木-夜勤")+COUNTIF('3月'!ES25:ET25,"六本木-夜勤")+COUNTIF('3月'!D25:E25,"六本木ー夜勤")+COUNTIF('3月'!I25:J25,"六本木ー夜勤")+COUNTIF('3月'!N25:O25,"六本木ー夜勤")+COUNTIF('3月'!S25:T25,"六本木ー夜勤")+COUNTIF('3月'!X25:Y25,"六本木ー夜勤")+COUNTIF('3月'!AC25:AD25,"六本木ー夜勤")+COUNTIF('3月'!AH25:AI25,"六本木ー夜勤")+COUNTIF('3月'!AM25:AN25,"六本木ー夜勤")+COUNTIF('3月'!AR25:AS25,"六本木ー夜勤")+COUNTIF('3月'!AW25:AX25,"六本木ー夜勤")+COUNTIF('3月'!BB25:BC25,"六本木ー夜勤")+COUNTIF('3月'!BG25:BH25,"六本木ー夜勤")+COUNTIF('3月'!BL25:BM25,"六本木ー夜勤")+COUNTIF('3月'!BQ25:BR25,"六本木ー夜勤")+COUNTIF('3月'!BV25:BW25,"六本木ー夜勤")+COUNTIF('3月'!CA25:CB25,"六本木ー夜勤")+COUNTIF('3月'!CF25:CG25,"六本木ー夜勤")+COUNTIF('3月'!CK25:CL25,"六本木ー夜勤")+COUNTIF('3月'!CP25:CQ25,"六本木ー夜勤")+COUNTIF('3月'!CU25:CV25,"六本木ー夜勤")+COUNTIF('3月'!CZ25:DA25,"六本木ー夜勤")+COUNTIF('3月'!DE25:DF25,"六本木ー夜勤")+COUNTIF('3月'!DJ25:DK25,"六本木ー夜勤")+COUNTIF('3月'!DO25:DP25,"六本木ー夜勤")+COUNTIF('3月'!DT25:DU25,"六本木ー夜勤")+COUNTIF('3月'!DY25:DZ25,"六本木ー夜勤")+COUNTIF('3月'!ED25:EE25,"六本木ー夜勤")+COUNTIF('3月'!EI25:EJ25,"六本木ー夜勤")+COUNTIF('3月'!EN25:EO25,"六本木ー夜勤")+COUNTIF('3月'!ES25:ET25,"六本木ー夜勤")</f>
        <v>0</v>
      </c>
      <c r="K101" s="76">
        <f t="shared" si="28"/>
        <v>0</v>
      </c>
      <c r="L101" s="76">
        <f>COUNTIF('3月'!D25:E25,L$78)+COUNTIF('3月'!I25:J25,L$78)+COUNTIF('3月'!N25:O25,L$78)+COUNTIF('3月'!S25:T25,L$78)+COUNTIF('3月'!X25:Y25,L$78)+COUNTIF('3月'!AC25:AD25,L$78)+COUNTIF('3月'!AH25:AI25,L$78)+COUNTIF('3月'!AM25:AN25,L$78)+COUNTIF('3月'!AR25:AS25,L$78)+COUNTIF('3月'!AW25:AX25,L$78)+COUNTIF('3月'!BB25:BC25,L$78)+COUNTIF('3月'!BG25:BH25,L$78)+COUNTIF('3月'!BL25:BM25,L$78)+COUNTIF('3月'!BQ25:BR25,L$78)+COUNTIF('3月'!BV25:BW25,L$78)+COUNTIF('3月'!CA25:CB25,L$78)+COUNTIF('3月'!CF25:CG25,L$78)+COUNTIF('3月'!CK25:CL25,L$78)+COUNTIF('3月'!CP25:CQ25,L$78)+COUNTIF('3月'!CU25:CV25,L$78)+COUNTIF('3月'!CZ25:DA25,L$78)+COUNTIF('3月'!DE25:DF25,L$78)+COUNTIF('3月'!DJ25:DK25,L$78)+COUNTIF('3月'!DO25:DP25,L$78)+COUNTIF('3月'!DT25:DU25,L$78)+COUNTIF('3月'!DY25:DZ25,L$78)+COUNTIF('3月'!ED25:EE25,L$78)+COUNTIF('3月'!EI25:EJ25,L$78)+COUNTIF('3月'!EN25:EO25,L$78)+COUNTIF('3月'!ES25:ET25,L$78)</f>
        <v>0</v>
      </c>
      <c r="M101" s="76">
        <f t="shared" si="29"/>
        <v>0</v>
      </c>
      <c r="N101" s="76">
        <f>COUNTIF('3月'!D25:E25,N$78)+COUNTIF('3月'!I25:J25,N$78)+COUNTIF('3月'!N25:O25,N$78)+COUNTIF('3月'!S25:T25,N$78)+COUNTIF('3月'!X25:Y25,N$78)+COUNTIF('3月'!AC25:AD25,N$78)+COUNTIF('3月'!AH25:AI25,N$78)+COUNTIF('3月'!AM25:AN25,N$78)+COUNTIF('3月'!AR25:AS25,N$78)+COUNTIF('3月'!AW25:AX25,N$78)+COUNTIF('3月'!BB25:BC25,N$78)+COUNTIF('3月'!BG25:BH25,N$78)+COUNTIF('3月'!BL25:BM25,N$78)+COUNTIF('3月'!BQ25:BR25,N$78)+COUNTIF('3月'!BV25:BW25,N$78)+COUNTIF('3月'!CA25:CB25,N$78)+COUNTIF('3月'!CF25:CG25,N$78)+COUNTIF('3月'!CK25:CL25,N$78)+COUNTIF('3月'!CP25:CQ25,N$78)+COUNTIF('3月'!CU25:CV25,N$78)+COUNTIF('3月'!CZ25:DA25,N$78)+COUNTIF('3月'!DE25:DF25,N$78)+COUNTIF('3月'!DJ25:DK25,N$78)+COUNTIF('3月'!DO25:DP25,N$78)+COUNTIF('3月'!DT25:DU25,N$78)+COUNTIF('3月'!DY25:DZ25,N$78)+COUNTIF('3月'!ED25:EE25,N$78)+COUNTIF('3月'!EI25:EJ25,N$78)+COUNTIF('3月'!EN25:EO25,N$78)+COUNTIF('3月'!ES25:ET25,N$78)+COUNTIF('3月'!D25:E25,"三軒茶屋－夜勤")+COUNTIF('3月'!I25:J25,"三軒茶屋－夜勤")+COUNTIF('3月'!N25:O25,"三軒茶屋－夜勤")+COUNTIF('3月'!S25:T25,"三軒茶屋－夜勤")+COUNTIF('3月'!X25:Y25,"三軒茶屋－夜勤")+COUNTIF('3月'!AC25:AD25,"三軒茶屋－夜勤")+COUNTIF('3月'!AH25:AI25,"三軒茶屋－夜勤")+COUNTIF('3月'!AM25:AN25,"三軒茶屋－夜勤")+COUNTIF('3月'!AR25:AS25,"三軒茶屋－夜勤")+COUNTIF('3月'!AW25:AX25,"三軒茶屋－夜勤")+COUNTIF('3月'!BB25:BC25,"三軒茶屋－夜勤")+COUNTIF('3月'!BG25:BH25,"三軒茶屋－夜勤")+COUNTIF('3月'!BL25:BM25,"三軒茶屋－夜勤")+COUNTIF('3月'!BQ25:BR25,"三軒茶屋－夜勤")+COUNTIF('3月'!BV25:BW25,"三軒茶屋－夜勤")+COUNTIF('3月'!CA25:CB25,"三軒茶屋－夜勤")+COUNTIF('3月'!CF25:CG25,"三軒茶屋－夜勤")+COUNTIF('3月'!CK25:CL25,"三軒茶屋－夜勤")+COUNTIF('3月'!CP25:CQ25,"三軒茶屋－夜勤")+COUNTIF('3月'!CU25:CV25,"三軒茶屋－夜勤")+COUNTIF('3月'!CZ25:DA25,"三軒茶屋－夜勤")+COUNTIF('3月'!DE25:DF25,"三軒茶屋－夜勤")+COUNTIF('3月'!DJ25:DK25,"三軒茶屋－夜勤")+COUNTIF('3月'!DO25:DP25,"三軒茶屋－夜勤")+COUNTIF('3月'!DT25:DU25,"三軒茶屋－夜勤")+COUNTIF('3月'!DY25:DZ25,"三軒茶屋－夜勤")+COUNTIF('3月'!ED25:EE25,"三軒茶屋－夜勤")+COUNTIF('3月'!EI25:EJ25,"三軒茶屋－夜勤")+COUNTIF('3月'!EN25:EO25,"三軒茶屋－夜勤")+COUNTIF('3月'!ES25:ET25,"三軒茶屋－夜勤")</f>
        <v>0</v>
      </c>
      <c r="O101" s="76">
        <f t="shared" si="30"/>
        <v>0</v>
      </c>
      <c r="P101" s="76">
        <f>COUNTIF('3月'!D25:E25,P$78)+COUNTIF('3月'!I25:J25,P$78)+COUNTIF('3月'!N25:O25,P$78)+COUNTIF('3月'!S25:T25,P$78)+COUNTIF('3月'!X25:Y25,P$78)+COUNTIF('3月'!AC25:AD25,P$78)+COUNTIF('3月'!AH25:AI25,P$78)+COUNTIF('3月'!AM25:AN25,P$78)+COUNTIF('3月'!AR25:AS25,P$78)+COUNTIF('3月'!AW25:AX25,P$78)+COUNTIF('3月'!BB25:BC25,P$78)+COUNTIF('3月'!BG25:BH25,P$78)+COUNTIF('3月'!BL25:BM25,P$78)+COUNTIF('3月'!BQ25:BR25,P$78)+COUNTIF('3月'!BV25:BW25,P$78)+COUNTIF('3月'!CA25:CB25,P$78)+COUNTIF('3月'!CF25:CG25,P$78)+COUNTIF('3月'!CK25:CL25,P$78)+COUNTIF('3月'!CP25:CQ25,P$78)+COUNTIF('3月'!CU25:CV25,P$78)+COUNTIF('3月'!CZ25:DA25,P$78)+COUNTIF('3月'!DE25:DF25,P$78)+COUNTIF('3月'!DJ25:DK25,P$78)+COUNTIF('3月'!DO25:DP25,P$78)+COUNTIF('3月'!DT25:DU25,P$78)+COUNTIF('3月'!DY25:DZ25,P$78)+COUNTIF('3月'!ED25:EE25,P$78)+COUNTIF('3月'!EI25:EJ25,P$78)+COUNTIF('3月'!EN25:EO25,P$78)+COUNTIF('3月'!ES25:ET25,P$78)+COUNTIF('3月'!D25:E25,"荻窪ー夜勤")+COUNTIF('3月'!I25:J25,"荻窪ー夜勤")+COUNTIF('3月'!N25:O25,"荻窪ー夜勤")+COUNTIF('3月'!S25:T25,"荻窪ー夜勤")+COUNTIF('3月'!X25:Y25,"荻窪ー夜勤")+COUNTIF('3月'!AC25:AD25,"荻窪ー夜勤")+COUNTIF('3月'!AH25:AI25,"荻窪ー夜勤")+COUNTIF('3月'!AM25:AN25,"荻窪ー夜勤")+COUNTIF('3月'!AR25:AS25,"荻窪ー夜勤")+COUNTIF('3月'!AW25:AX25,"荻窪ー夜勤")+COUNTIF('3月'!BB25:BC25,"荻窪ー夜勤")+COUNTIF('3月'!BG25:BH25,"荻窪ー夜勤")+COUNTIF('3月'!BL25:BM25,"荻窪ー夜勤")+COUNTIF('3月'!BQ25:BR25,"荻窪ー夜勤")+COUNTIF('3月'!BV25:BW25,"荻窪ー夜勤")+COUNTIF('3月'!CA25:CB25,"荻窪ー夜勤")+COUNTIF('3月'!CF25:CG25,"荻窪ー夜勤")+COUNTIF('3月'!CK25:CL25,"荻窪ー夜勤")+COUNTIF('3月'!CP25:CQ25,"荻窪ー夜勤")+COUNTIF('3月'!CU25:CV25,"荻窪ー夜勤")+COUNTIF('3月'!CZ25:DA25,"荻窪ー夜勤")+COUNTIF('3月'!DE25:DF25,"荻窪ー夜勤")+COUNTIF('3月'!DJ25:DK25,"荻窪ー夜勤")+COUNTIF('3月'!DO25:DP25,"荻窪ー夜勤")+COUNTIF('3月'!DT25:DU25,"荻窪ー夜勤")+COUNTIF('3月'!DY25:DZ25,"荻窪ー夜勤")+COUNTIF('3月'!ED25:EE25,"荻窪ー夜勤")+COUNTIF('3月'!EI25:EJ25,"荻窪ー夜勤")+COUNTIF('3月'!EN25:EO25,"荻窪ー夜勤")+COUNTIF('3月'!ES25:ET25,"荻窪ー夜勤")</f>
        <v>0</v>
      </c>
      <c r="Q101" s="76">
        <f t="shared" si="31"/>
        <v>0</v>
      </c>
      <c r="R101" s="76">
        <f>COUNTIF('3月'!D25:E25,R$78)+COUNTIF('3月'!I25:J25,R$78)+COUNTIF('3月'!N25:O25,R$78)+COUNTIF('3月'!S25:T25,R$78)+COUNTIF('3月'!X25:Y25,R$78)+COUNTIF('3月'!AC25:AD25,R$78)+COUNTIF('3月'!AH25:AI25,R$78)+COUNTIF('3月'!AM25:AN25,R$78)+COUNTIF('3月'!AR25:AS25,R$78)+COUNTIF('3月'!AW25:AX25,R$78)+COUNTIF('3月'!BB25:BC25,R$78)+COUNTIF('3月'!BG25:BH25,R$78)+COUNTIF('3月'!BL25:BM25,R$78)+COUNTIF('3月'!BQ25:BR25,R$78)+COUNTIF('3月'!BV25:BW25,R$78)+COUNTIF('3月'!CA25:CB25,R$78)+COUNTIF('3月'!CF25:CG25,R$78)+COUNTIF('3月'!CK25:CL25,R$78)+COUNTIF('3月'!CP25:CQ25,R$78)+COUNTIF('3月'!CU25:CV25,R$78)+COUNTIF('3月'!CZ25:DA25,R$78)+COUNTIF('3月'!DE25:DF25,R$78)+COUNTIF('3月'!DJ25:DK25,R$78)+COUNTIF('3月'!DO25:DP25,R$78)+COUNTIF('3月'!DT25:DU25,R$78)+COUNTIF('3月'!DY25:DZ25,R$78)+COUNTIF('3月'!ED25:EE25,R$78)+COUNTIF('3月'!EI25:EJ25,R$78)+COUNTIF('3月'!EN25:EO25,R$78)+COUNTIF('3月'!ES25:ET25,R$78)</f>
        <v>0</v>
      </c>
      <c r="S101" s="76">
        <f t="shared" si="32"/>
        <v>0</v>
      </c>
      <c r="T101" s="76">
        <f>COUNTIF('3月'!D25:E25,T$78)+COUNTIF('3月'!I25:J25,T$78)+COUNTIF('3月'!N25:O25,T$78)+COUNTIF('3月'!S25:T25,T$78)+COUNTIF('3月'!X25:Y25,T$78)+COUNTIF('3月'!AC25:AD25,T$78)+COUNTIF('3月'!AH25:AI25,T$78)+COUNTIF('3月'!AM25:AN25,T$78)+COUNTIF('3月'!AR25:AS25,T$78)+COUNTIF('3月'!AW25:AX25,T$78)+COUNTIF('3月'!BB25:BC25,T$78)+COUNTIF('3月'!BG25:BH25,T$78)+COUNTIF('3月'!BL25:BM25,T$78)+COUNTIF('3月'!BQ25:BR25,T$78)+COUNTIF('3月'!BV25:BW25,T$78)+COUNTIF('3月'!CA25:CB25,T$78)+COUNTIF('3月'!CF25:CG25,T$78)+COUNTIF('3月'!CK25:CL25,T$78)+COUNTIF('3月'!CP25:CQ25,T$78)+COUNTIF('3月'!CU25:CV25,T$78)+COUNTIF('3月'!CZ25:DA25,T$78)+COUNTIF('3月'!DE25:DF25,T$78)+COUNTIF('3月'!DJ25:DK25,T$78)+COUNTIF('3月'!DO25:DP25,T$78)+COUNTIF('3月'!DT25:DU25,T$78)+COUNTIF('3月'!DY25:DZ25,T$78)+COUNTIF('3月'!ED25:EE25,T$78)+COUNTIF('3月'!EI25:EJ25,T$78)+COUNTIF('3月'!EN25:EO25,T$78)+COUNTIF('3月'!ES25:ET25,T$78)</f>
        <v>0</v>
      </c>
      <c r="U101" s="76">
        <f t="shared" si="33"/>
        <v>0</v>
      </c>
      <c r="V101" s="76">
        <f>COUNTIF('3月'!D25:E25,V$78)+COUNTIF('3月'!I25:J25,V$78)+COUNTIF('3月'!N25:O25,V$78)+COUNTIF('3月'!S25:T25,V$78)+COUNTIF('3月'!X25:Y25,V$78)+COUNTIF('3月'!AC25:AD25,V$78)+COUNTIF('3月'!AH25:AI25,V$78)+COUNTIF('3月'!AM25:AN25,V$78)+COUNTIF('3月'!AR25:AS25,V$78)+COUNTIF('3月'!AW25:AX25,V$78)+COUNTIF('3月'!BB25:BC25,V$78)+COUNTIF('3月'!BG25:BH25,V$78)+COUNTIF('3月'!BL25:BM25,V$78)+COUNTIF('3月'!BQ25:BR25,V$78)+COUNTIF('3月'!BV25:BW25,V$78)+COUNTIF('3月'!CA25:CB25,V$78)+COUNTIF('3月'!CF25:CG25,V$78)+COUNTIF('3月'!CK25:CL25,V$78)+COUNTIF('3月'!CP25:CQ25,V$78)+COUNTIF('3月'!CU25:CV25,V$78)+COUNTIF('3月'!CZ25:DA25,V$78)+COUNTIF('3月'!DE25:DF25,V$78)+COUNTIF('3月'!DJ25:DK25,V$78)+COUNTIF('3月'!DO25:DP25,V$78)+COUNTIF('3月'!DT25:DU25,V$78)+COUNTIF('3月'!DY25:DZ25,V$78)+COUNTIF('3月'!ED25:EE25,V$78)+COUNTIF('3月'!EI25:EJ25,V$78)+COUNTIF('3月'!EN25:EO25,V$78)+COUNTIF('3月'!ES25:ET25,V$78)</f>
        <v>0</v>
      </c>
      <c r="W101" s="76">
        <f t="shared" si="34"/>
        <v>0</v>
      </c>
      <c r="X101" s="76">
        <f>COUNTIF('3月'!D25:E25,X$78)+COUNTIF('3月'!I25:J25,X$78)+COUNTIF('3月'!N25:O25,X$78)+COUNTIF('3月'!S25:T25,X$78)+COUNTIF('3月'!X25:Y25,X$78)+COUNTIF('3月'!AC25:AD25,X$78)+COUNTIF('3月'!AH25:AI25,X$78)+COUNTIF('3月'!AM25:AN25,X$78)+COUNTIF('3月'!AR25:AS25,X$78)+COUNTIF('3月'!AW25:AX25,X$78)+COUNTIF('3月'!BB25:BC25,X$78)+COUNTIF('3月'!BG25:BH25,X$78)+COUNTIF('3月'!BL25:BM25,X$78)+COUNTIF('3月'!BQ25:BR25,X$78)+COUNTIF('3月'!BV25:BW25,X$78)+COUNTIF('3月'!CA25:CB25,X$78)+COUNTIF('3月'!CF25:CG25,X$78)+COUNTIF('3月'!CK25:CL25,X$78)+COUNTIF('3月'!CP25:CQ25,X$78)+COUNTIF('3月'!CU25:CV25,X$78)+COUNTIF('3月'!CZ25:DA25,X$78)+COUNTIF('3月'!DE25:DF25,X$78)+COUNTIF('3月'!DJ25:DK25,X$78)+COUNTIF('3月'!DO25:DP25,X$78)+COUNTIF('3月'!DT25:DU25,X$78)+COUNTIF('3月'!DY25:DZ25,X$78)+COUNTIF('3月'!ED25:EE25,X$78)+COUNTIF('3月'!EI25:EJ25,X$78)+COUNTIF('3月'!EN25:EO25,X$78)+COUNTIF('3月'!ES25:ET25,X$78)</f>
        <v>0</v>
      </c>
      <c r="Y101" s="76">
        <f t="shared" si="35"/>
        <v>0</v>
      </c>
    </row>
    <row r="102" spans="1:25" ht="18" customHeight="1">
      <c r="A102" s="76">
        <v>23</v>
      </c>
      <c r="B102" s="76">
        <f>COUNTIF('3月'!D26:E26,B$78)+COUNTIF('3月'!I26:J26,B$78)+COUNTIF('3月'!N26:O26,B$78)+COUNTIF('3月'!S26:T26,B$78)+COUNTIF('3月'!X26:Y26,B$78)+COUNTIF('3月'!AC26:AD26,B$78)+COUNTIF('3月'!AH26:AI26,B$78)+COUNTIF('3月'!AM26:AN26,B$78)+COUNTIF('3月'!AR26:AS26,B$78)+COUNTIF('3月'!AW26:AX26,B$78)+COUNTIF('3月'!BB26:BC26,B$78)+COUNTIF('3月'!BG26:BH26,B$78)+COUNTIF('3月'!BL26:BM26,B$78)+COUNTIF('3月'!BQ26:BR26,B$78)+COUNTIF('3月'!BV26:BW26,B$78)+COUNTIF('3月'!CA26:CB26,B$78)+COUNTIF('3月'!CF26:CG26,B$78)+COUNTIF('3月'!CK26:CL26,B$78)+COUNTIF('3月'!CP26:CQ26,B$78)+COUNTIF('3月'!CU26:CV26,B$78)+COUNTIF('3月'!CZ26:DA26,B$78)+COUNTIF('3月'!DE26:DF26,B$78)+COUNTIF('3月'!DJ26:DK26,B$78)+COUNTIF('3月'!DO26:DP26,B$78)+COUNTIF('3月'!DT26:DU26,B$78)+COUNTIF('3月'!DY26:DZ26,B$78)+COUNTIF('3月'!ED26:EE26,B$78)+COUNTIF('3月'!EI26:EJ26,B$78)+COUNTIF('3月'!EN26:EO26,B$78)+COUNTIF('3月'!ES26:ET26,B$78)</f>
        <v>0</v>
      </c>
      <c r="C102" s="76">
        <f t="shared" si="24"/>
        <v>0</v>
      </c>
      <c r="D102" s="76">
        <f>COUNTIF('3月'!D26:E26,D$78)+COUNTIF('3月'!I26:J26,D$78)+COUNTIF('3月'!N26:O26,D$78)+COUNTIF('3月'!S26:T26,D$78)+COUNTIF('3月'!X26:Y26,D$78)+COUNTIF('3月'!AC26:AD26,D$78)+COUNTIF('3月'!AH26:AI26,D$78)+COUNTIF('3月'!AM26:AN26,D$78)+COUNTIF('3月'!AR26:AS26,D$78)+COUNTIF('3月'!AW26:AX26,D$78)+COUNTIF('3月'!BB26:BC26,D$78)+COUNTIF('3月'!BG26:BH26,D$78)+COUNTIF('3月'!BL26:BM26,D$78)+COUNTIF('3月'!BQ26:BR26,D$78)+COUNTIF('3月'!BV26:BW26,D$78)+COUNTIF('3月'!CA26:CB26,D$78)+COUNTIF('3月'!CF26:CG26,D$78)+COUNTIF('3月'!CK26:CL26,D$78)+COUNTIF('3月'!CP26:CQ26,D$78)+COUNTIF('3月'!CU26:CV26,D$78)+COUNTIF('3月'!CZ26:DA26,D$78)+COUNTIF('3月'!DE26:DF26,D$78)+COUNTIF('3月'!DJ26:DK26,D$78)+COUNTIF('3月'!DO26:DP26,D$78)+COUNTIF('3月'!DT26:DU26,D$78)+COUNTIF('3月'!DY26:DZ26,D$78)+COUNTIF('3月'!ED26:EE26,D$78)+COUNTIF('3月'!EI26:EJ26,D$78)+COUNTIF('3月'!EN26:EO26,D$78)+COUNTIF('3月'!ES26:ET26,D$78)</f>
        <v>0</v>
      </c>
      <c r="E102" s="76">
        <f t="shared" si="25"/>
        <v>0</v>
      </c>
      <c r="F102" s="76">
        <f>COUNTIF('3月'!D26:E26,F$78)+COUNTIF('3月'!I26:J26,F$78)+COUNTIF('3月'!N26:O26,F$78)+COUNTIF('3月'!S26:T26,F$78)+COUNTIF('3月'!X26:Y26,F$78)+COUNTIF('3月'!AC26:AD26,F$78)+COUNTIF('3月'!AH26:AI26,F$78)+COUNTIF('3月'!AM26:AN26,F$78)+COUNTIF('3月'!AR26:AS26,F$78)+COUNTIF('3月'!AW26:AX26,F$78)+COUNTIF('3月'!BB26:BC26,F$78)+COUNTIF('3月'!BG26:BH26,F$78)+COUNTIF('3月'!BL26:BM26,F$78)+COUNTIF('3月'!BQ26:BR26,F$78)+COUNTIF('3月'!BV26:BW26,F$78)+COUNTIF('3月'!CA26:CB26,F$78)+COUNTIF('3月'!CF26:CG26,F$78)+COUNTIF('3月'!CK26:CL26,F$78)+COUNTIF('3月'!CP26:CQ26,F$78)+COUNTIF('3月'!CU26:CV26,F$78)+COUNTIF('3月'!CZ26:DA26,F$78)+COUNTIF('3月'!DE26:DF26,F$78)+COUNTIF('3月'!DJ26:DK26,F$78)+COUNTIF('3月'!DO26:DP26,F$78)+COUNTIF('3月'!DT26:DU26,F$78)+COUNTIF('3月'!DY26:DZ26,F$78)+COUNTIF('3月'!ED26:EE26,F$78)+COUNTIF('3月'!EI26:EJ26,F$78)+COUNTIF('3月'!EN26:EO26,F$78)+COUNTIF('3月'!ES26:ET26,F$78)</f>
        <v>0</v>
      </c>
      <c r="G102" s="76">
        <f t="shared" si="26"/>
        <v>0</v>
      </c>
      <c r="H102" s="76">
        <f>COUNTIF('3月'!D26:E26,H$78)+COUNTIF('3月'!I26:J26,H$78)+COUNTIF('3月'!N26:O26,H$78)+COUNTIF('3月'!S26:T26,H$78)+COUNTIF('3月'!X26:Y26,H$78)+COUNTIF('3月'!AC26:AD26,H$78)+COUNTIF('3月'!AH26:AI26,H$78)+COUNTIF('3月'!AM26:AN26,H$78)+COUNTIF('3月'!AR26:AS26,H$78)+COUNTIF('3月'!AW26:AX26,H$78)+COUNTIF('3月'!BB26:BC26,H$78)+COUNTIF('3月'!BG26:BH26,H$78)+COUNTIF('3月'!BL26:BM26,H$78)+COUNTIF('3月'!BQ26:BR26,H$78)+COUNTIF('3月'!BV26:BW26,H$78)+COUNTIF('3月'!CA26:CB26,H$78)+COUNTIF('3月'!CF26:CG26,H$78)+COUNTIF('3月'!CK26:CL26,H$78)+COUNTIF('3月'!CP26:CQ26,H$78)+COUNTIF('3月'!CU26:CV26,H$78)+COUNTIF('3月'!CZ26:DA26,H$78)+COUNTIF('3月'!DE26:DF26,H$78)+COUNTIF('3月'!DJ26:DK26,H$78)+COUNTIF('3月'!DO26:DP26,H$78)+COUNTIF('3月'!DT26:DU26,H$78)+COUNTIF('3月'!DY26:DZ26,H$78)+COUNTIF('3月'!ED26:EE26,H$78)+COUNTIF('3月'!EI26:EJ26,H$78)+COUNTIF('3月'!EN26:EO26,H$78)+COUNTIF('3月'!ES26:ET26,H$78)+COUNTIF('3月'!D26:E26,"渋谷-夜勤")+COUNTIF('3月'!I26:J26,"渋谷-夜勤")+COUNTIF('3月'!N26:O26,"渋谷-夜勤")+COUNTIF('3月'!S26:T26,"渋谷-夜勤")+COUNTIF('3月'!X26:Y26,"渋谷-夜勤")+COUNTIF('3月'!AC26:AD26,"渋谷-夜勤")+COUNTIF('3月'!AH26:AI26,"渋谷-夜勤")+COUNTIF('3月'!AM26:AN26,"渋谷-夜勤")+COUNTIF('3月'!AR26:AS26,"渋谷-夜勤")+COUNTIF('3月'!AW26:AX26,"渋谷-夜勤")+COUNTIF('3月'!BB26:BC26,"渋谷-夜勤")+COUNTIF('3月'!BG26:BH26,"渋谷-夜勤")+COUNTIF('3月'!BL26:BM26,"渋谷-夜勤")+COUNTIF('3月'!BQ26:BR26,"渋谷-夜勤")+COUNTIF('3月'!BV26:BW26,"渋谷-夜勤")+COUNTIF('3月'!CA26:CB26,"渋谷-夜勤")+COUNTIF('3月'!CF26:CG26,"渋谷-夜勤")+COUNTIF('3月'!CK26:CL26,"渋谷-夜勤")+COUNTIF('3月'!CP26:CQ26,"渋谷-夜勤")+COUNTIF('3月'!CU26:CV26,"渋谷-夜勤")+COUNTIF('3月'!CZ26:DA26,"渋谷-夜勤")+COUNTIF('3月'!DE26:DF26,"渋谷-夜勤")+COUNTIF('3月'!DJ26:DK26,"渋谷-夜勤")+COUNTIF('3月'!DO26:DP26,"渋谷-夜勤")+COUNTIF('3月'!DT26:DU26,"渋谷-夜勤")+COUNTIF('3月'!DY26:DZ26,"渋谷-夜勤")+COUNTIF('3月'!ED26:EE26,"渋谷-夜勤")+COUNTIF('3月'!EI26:EJ26,"渋谷-夜勤")+COUNTIF('3月'!EN26:EO26,"渋谷-夜勤")+COUNTIF('3月'!ES26:ET26,"渋谷-夜勤")</f>
        <v>0</v>
      </c>
      <c r="I102" s="76">
        <f t="shared" si="27"/>
        <v>0</v>
      </c>
      <c r="J102" s="76">
        <f>COUNTIF('3月'!D26:E26,J$78)+COUNTIF('3月'!I26:J26,J$78)+COUNTIF('3月'!N26:O26,J$78)+COUNTIF('3月'!S26:T26,J$78)+COUNTIF('3月'!X26:Y26,J$78)+COUNTIF('3月'!AC26:AD26,J$78)+COUNTIF('3月'!AH26:AI26,J$78)+COUNTIF('3月'!AM26:AN26,J$78)+COUNTIF('3月'!AR26:AS26,J$78)+COUNTIF('3月'!AW26:AX26,J$78)+COUNTIF('3月'!BB26:BC26,J$78)+COUNTIF('3月'!BG26:BH26,J$78)+COUNTIF('3月'!BL26:BM26,J$78)+COUNTIF('3月'!BQ26:BR26,J$78)+COUNTIF('3月'!BV26:BW26,J$78)+COUNTIF('3月'!CA26:CB26,J$78)+COUNTIF('3月'!CF26:CG26,J$78)+COUNTIF('3月'!CK26:CL26,J$78)+COUNTIF('3月'!CP26:CQ26,J$78)+COUNTIF('3月'!CU26:CV26,J$78)+COUNTIF('3月'!CZ26:DA26,J$78)+COUNTIF('3月'!DE26:DF26,J$78)+COUNTIF('3月'!DJ26:DK26,J$78)+COUNTIF('3月'!DO26:DP26,J$78)+COUNTIF('3月'!DT26:DU26,J$78)+COUNTIF('3月'!DY26:DZ26,J$78)+COUNTIF('3月'!ED26:EE26,J$78)+COUNTIF('3月'!EI26:EJ26,J$78)+COUNTIF('3月'!EN26:EO26,J$78)+COUNTIF('3月'!ES26:ET26,J$78)+COUNTIF('3月'!D26:E26,"六本木-夜勤")+COUNTIF('3月'!I26:J26,"六本木-夜勤")+COUNTIF('3月'!N26:O26,"六本木-夜勤")+COUNTIF('3月'!S26:T26,"六本木-夜勤")+COUNTIF('3月'!X26:Y26,"六本木-夜勤")+COUNTIF('3月'!AC26:AD26,"六本木-夜勤")+COUNTIF('3月'!AH26:AI26,"六本木-夜勤")+COUNTIF('3月'!AM26:AN26,"六本木-夜勤")+COUNTIF('3月'!AR26:AS26,"六本木-夜勤")+COUNTIF('3月'!AW26:AX26,"六本木-夜勤")+COUNTIF('3月'!BB26:BC26,"六本木-夜勤")+COUNTIF('3月'!BG26:BH26,"六本木-夜勤")+COUNTIF('3月'!BL26:BM26,"六本木-夜勤")+COUNTIF('3月'!BQ26:BR26,"六本木-夜勤")+COUNTIF('3月'!BV26:BW26,"六本木-夜勤")+COUNTIF('3月'!CA26:CB26,"六本木-夜勤")+COUNTIF('3月'!CF26:CG26,"六本木-夜勤")+COUNTIF('3月'!CK26:CL26,"六本木-夜勤")+COUNTIF('3月'!CP26:CQ26,"六本木-夜勤")+COUNTIF('3月'!CU26:CV26,"六本木-夜勤")+COUNTIF('3月'!CZ26:DA26,"六本木-夜勤")+COUNTIF('3月'!DE26:DF26,"六本木-夜勤")+COUNTIF('3月'!DJ26:DK26,"六本木-夜勤")+COUNTIF('3月'!DO26:DP26,"六本木-夜勤")+COUNTIF('3月'!DT26:DU26,"六本木-夜勤")+COUNTIF('3月'!DY26:DZ26,"六本木-夜勤")+COUNTIF('3月'!ED26:EE26,"六本木-夜勤")+COUNTIF('3月'!EI26:EJ26,"六本木-夜勤")+COUNTIF('3月'!EN26:EO26,"六本木-夜勤")+COUNTIF('3月'!ES26:ET26,"六本木-夜勤")+COUNTIF('3月'!D26:E26,"六本木ー夜勤")+COUNTIF('3月'!I26:J26,"六本木ー夜勤")+COUNTIF('3月'!N26:O26,"六本木ー夜勤")+COUNTIF('3月'!S26:T26,"六本木ー夜勤")+COUNTIF('3月'!X26:Y26,"六本木ー夜勤")+COUNTIF('3月'!AC26:AD26,"六本木ー夜勤")+COUNTIF('3月'!AH26:AI26,"六本木ー夜勤")+COUNTIF('3月'!AM26:AN26,"六本木ー夜勤")+COUNTIF('3月'!AR26:AS26,"六本木ー夜勤")+COUNTIF('3月'!AW26:AX26,"六本木ー夜勤")+COUNTIF('3月'!BB26:BC26,"六本木ー夜勤")+COUNTIF('3月'!BG26:BH26,"六本木ー夜勤")+COUNTIF('3月'!BL26:BM26,"六本木ー夜勤")+COUNTIF('3月'!BQ26:BR26,"六本木ー夜勤")+COUNTIF('3月'!BV26:BW26,"六本木ー夜勤")+COUNTIF('3月'!CA26:CB26,"六本木ー夜勤")+COUNTIF('3月'!CF26:CG26,"六本木ー夜勤")+COUNTIF('3月'!CK26:CL26,"六本木ー夜勤")+COUNTIF('3月'!CP26:CQ26,"六本木ー夜勤")+COUNTIF('3月'!CU26:CV26,"六本木ー夜勤")+COUNTIF('3月'!CZ26:DA26,"六本木ー夜勤")+COUNTIF('3月'!DE26:DF26,"六本木ー夜勤")+COUNTIF('3月'!DJ26:DK26,"六本木ー夜勤")+COUNTIF('3月'!DO26:DP26,"六本木ー夜勤")+COUNTIF('3月'!DT26:DU26,"六本木ー夜勤")+COUNTIF('3月'!DY26:DZ26,"六本木ー夜勤")+COUNTIF('3月'!ED26:EE26,"六本木ー夜勤")+COUNTIF('3月'!EI26:EJ26,"六本木ー夜勤")+COUNTIF('3月'!EN26:EO26,"六本木ー夜勤")+COUNTIF('3月'!ES26:ET26,"六本木ー夜勤")</f>
        <v>0</v>
      </c>
      <c r="K102" s="76">
        <f t="shared" si="28"/>
        <v>0</v>
      </c>
      <c r="L102" s="76">
        <f>COUNTIF('3月'!D26:E26,L$78)+COUNTIF('3月'!I26:J26,L$78)+COUNTIF('3月'!N26:O26,L$78)+COUNTIF('3月'!S26:T26,L$78)+COUNTIF('3月'!X26:Y26,L$78)+COUNTIF('3月'!AC26:AD26,L$78)+COUNTIF('3月'!AH26:AI26,L$78)+COUNTIF('3月'!AM26:AN26,L$78)+COUNTIF('3月'!AR26:AS26,L$78)+COUNTIF('3月'!AW26:AX26,L$78)+COUNTIF('3月'!BB26:BC26,L$78)+COUNTIF('3月'!BG26:BH26,L$78)+COUNTIF('3月'!BL26:BM26,L$78)+COUNTIF('3月'!BQ26:BR26,L$78)+COUNTIF('3月'!BV26:BW26,L$78)+COUNTIF('3月'!CA26:CB26,L$78)+COUNTIF('3月'!CF26:CG26,L$78)+COUNTIF('3月'!CK26:CL26,L$78)+COUNTIF('3月'!CP26:CQ26,L$78)+COUNTIF('3月'!CU26:CV26,L$78)+COUNTIF('3月'!CZ26:DA26,L$78)+COUNTIF('3月'!DE26:DF26,L$78)+COUNTIF('3月'!DJ26:DK26,L$78)+COUNTIF('3月'!DO26:DP26,L$78)+COUNTIF('3月'!DT26:DU26,L$78)+COUNTIF('3月'!DY26:DZ26,L$78)+COUNTIF('3月'!ED26:EE26,L$78)+COUNTIF('3月'!EI26:EJ26,L$78)+COUNTIF('3月'!EN26:EO26,L$78)+COUNTIF('3月'!ES26:ET26,L$78)</f>
        <v>0</v>
      </c>
      <c r="M102" s="76">
        <f t="shared" si="29"/>
        <v>0</v>
      </c>
      <c r="N102" s="76">
        <f>COUNTIF('3月'!D26:E26,N$78)+COUNTIF('3月'!I26:J26,N$78)+COUNTIF('3月'!N26:O26,N$78)+COUNTIF('3月'!S26:T26,N$78)+COUNTIF('3月'!X26:Y26,N$78)+COUNTIF('3月'!AC26:AD26,N$78)+COUNTIF('3月'!AH26:AI26,N$78)+COUNTIF('3月'!AM26:AN26,N$78)+COUNTIF('3月'!AR26:AS26,N$78)+COUNTIF('3月'!AW26:AX26,N$78)+COUNTIF('3月'!BB26:BC26,N$78)+COUNTIF('3月'!BG26:BH26,N$78)+COUNTIF('3月'!BL26:BM26,N$78)+COUNTIF('3月'!BQ26:BR26,N$78)+COUNTIF('3月'!BV26:BW26,N$78)+COUNTIF('3月'!CA26:CB26,N$78)+COUNTIF('3月'!CF26:CG26,N$78)+COUNTIF('3月'!CK26:CL26,N$78)+COUNTIF('3月'!CP26:CQ26,N$78)+COUNTIF('3月'!CU26:CV26,N$78)+COUNTIF('3月'!CZ26:DA26,N$78)+COUNTIF('3月'!DE26:DF26,N$78)+COUNTIF('3月'!DJ26:DK26,N$78)+COUNTIF('3月'!DO26:DP26,N$78)+COUNTIF('3月'!DT26:DU26,N$78)+COUNTIF('3月'!DY26:DZ26,N$78)+COUNTIF('3月'!ED26:EE26,N$78)+COUNTIF('3月'!EI26:EJ26,N$78)+COUNTIF('3月'!EN26:EO26,N$78)+COUNTIF('3月'!ES26:ET26,N$78)+COUNTIF('3月'!D26:E26,"三軒茶屋－夜勤")+COUNTIF('3月'!I26:J26,"三軒茶屋－夜勤")+COUNTIF('3月'!N26:O26,"三軒茶屋－夜勤")+COUNTIF('3月'!S26:T26,"三軒茶屋－夜勤")+COUNTIF('3月'!X26:Y26,"三軒茶屋－夜勤")+COUNTIF('3月'!AC26:AD26,"三軒茶屋－夜勤")+COUNTIF('3月'!AH26:AI26,"三軒茶屋－夜勤")+COUNTIF('3月'!AM26:AN26,"三軒茶屋－夜勤")+COUNTIF('3月'!AR26:AS26,"三軒茶屋－夜勤")+COUNTIF('3月'!AW26:AX26,"三軒茶屋－夜勤")+COUNTIF('3月'!BB26:BC26,"三軒茶屋－夜勤")+COUNTIF('3月'!BG26:BH26,"三軒茶屋－夜勤")+COUNTIF('3月'!BL26:BM26,"三軒茶屋－夜勤")+COUNTIF('3月'!BQ26:BR26,"三軒茶屋－夜勤")+COUNTIF('3月'!BV26:BW26,"三軒茶屋－夜勤")+COUNTIF('3月'!CA26:CB26,"三軒茶屋－夜勤")+COUNTIF('3月'!CF26:CG26,"三軒茶屋－夜勤")+COUNTIF('3月'!CK26:CL26,"三軒茶屋－夜勤")+COUNTIF('3月'!CP26:CQ26,"三軒茶屋－夜勤")+COUNTIF('3月'!CU26:CV26,"三軒茶屋－夜勤")+COUNTIF('3月'!CZ26:DA26,"三軒茶屋－夜勤")+COUNTIF('3月'!DE26:DF26,"三軒茶屋－夜勤")+COUNTIF('3月'!DJ26:DK26,"三軒茶屋－夜勤")+COUNTIF('3月'!DO26:DP26,"三軒茶屋－夜勤")+COUNTIF('3月'!DT26:DU26,"三軒茶屋－夜勤")+COUNTIF('3月'!DY26:DZ26,"三軒茶屋－夜勤")+COUNTIF('3月'!ED26:EE26,"三軒茶屋－夜勤")+COUNTIF('3月'!EI26:EJ26,"三軒茶屋－夜勤")+COUNTIF('3月'!EN26:EO26,"三軒茶屋－夜勤")+COUNTIF('3月'!ES26:ET26,"三軒茶屋－夜勤")</f>
        <v>0</v>
      </c>
      <c r="O102" s="76">
        <f t="shared" si="30"/>
        <v>0</v>
      </c>
      <c r="P102" s="76">
        <f>COUNTIF('3月'!D26:E26,P$78)+COUNTIF('3月'!I26:J26,P$78)+COUNTIF('3月'!N26:O26,P$78)+COUNTIF('3月'!S26:T26,P$78)+COUNTIF('3月'!X26:Y26,P$78)+COUNTIF('3月'!AC26:AD26,P$78)+COUNTIF('3月'!AH26:AI26,P$78)+COUNTIF('3月'!AM26:AN26,P$78)+COUNTIF('3月'!AR26:AS26,P$78)+COUNTIF('3月'!AW26:AX26,P$78)+COUNTIF('3月'!BB26:BC26,P$78)+COUNTIF('3月'!BG26:BH26,P$78)+COUNTIF('3月'!BL26:BM26,P$78)+COUNTIF('3月'!BQ26:BR26,P$78)+COUNTIF('3月'!BV26:BW26,P$78)+COUNTIF('3月'!CA26:CB26,P$78)+COUNTIF('3月'!CF26:CG26,P$78)+COUNTIF('3月'!CK26:CL26,P$78)+COUNTIF('3月'!CP26:CQ26,P$78)+COUNTIF('3月'!CU26:CV26,P$78)+COUNTIF('3月'!CZ26:DA26,P$78)+COUNTIF('3月'!DE26:DF26,P$78)+COUNTIF('3月'!DJ26:DK26,P$78)+COUNTIF('3月'!DO26:DP26,P$78)+COUNTIF('3月'!DT26:DU26,P$78)+COUNTIF('3月'!DY26:DZ26,P$78)+COUNTIF('3月'!ED26:EE26,P$78)+COUNTIF('3月'!EI26:EJ26,P$78)+COUNTIF('3月'!EN26:EO26,P$78)+COUNTIF('3月'!ES26:ET26,P$78)+COUNTIF('3月'!D26:E26,"荻窪ー夜勤")+COUNTIF('3月'!I26:J26,"荻窪ー夜勤")+COUNTIF('3月'!N26:O26,"荻窪ー夜勤")+COUNTIF('3月'!S26:T26,"荻窪ー夜勤")+COUNTIF('3月'!X26:Y26,"荻窪ー夜勤")+COUNTIF('3月'!AC26:AD26,"荻窪ー夜勤")+COUNTIF('3月'!AH26:AI26,"荻窪ー夜勤")+COUNTIF('3月'!AM26:AN26,"荻窪ー夜勤")+COUNTIF('3月'!AR26:AS26,"荻窪ー夜勤")+COUNTIF('3月'!AW26:AX26,"荻窪ー夜勤")+COUNTIF('3月'!BB26:BC26,"荻窪ー夜勤")+COUNTIF('3月'!BG26:BH26,"荻窪ー夜勤")+COUNTIF('3月'!BL26:BM26,"荻窪ー夜勤")+COUNTIF('3月'!BQ26:BR26,"荻窪ー夜勤")+COUNTIF('3月'!BV26:BW26,"荻窪ー夜勤")+COUNTIF('3月'!CA26:CB26,"荻窪ー夜勤")+COUNTIF('3月'!CF26:CG26,"荻窪ー夜勤")+COUNTIF('3月'!CK26:CL26,"荻窪ー夜勤")+COUNTIF('3月'!CP26:CQ26,"荻窪ー夜勤")+COUNTIF('3月'!CU26:CV26,"荻窪ー夜勤")+COUNTIF('3月'!CZ26:DA26,"荻窪ー夜勤")+COUNTIF('3月'!DE26:DF26,"荻窪ー夜勤")+COUNTIF('3月'!DJ26:DK26,"荻窪ー夜勤")+COUNTIF('3月'!DO26:DP26,"荻窪ー夜勤")+COUNTIF('3月'!DT26:DU26,"荻窪ー夜勤")+COUNTIF('3月'!DY26:DZ26,"荻窪ー夜勤")+COUNTIF('3月'!ED26:EE26,"荻窪ー夜勤")+COUNTIF('3月'!EI26:EJ26,"荻窪ー夜勤")+COUNTIF('3月'!EN26:EO26,"荻窪ー夜勤")+COUNTIF('3月'!ES26:ET26,"荻窪ー夜勤")</f>
        <v>0</v>
      </c>
      <c r="Q102" s="76">
        <f t="shared" si="31"/>
        <v>0</v>
      </c>
      <c r="R102" s="76">
        <f>COUNTIF('3月'!D26:E26,R$78)+COUNTIF('3月'!I26:J26,R$78)+COUNTIF('3月'!N26:O26,R$78)+COUNTIF('3月'!S26:T26,R$78)+COUNTIF('3月'!X26:Y26,R$78)+COUNTIF('3月'!AC26:AD26,R$78)+COUNTIF('3月'!AH26:AI26,R$78)+COUNTIF('3月'!AM26:AN26,R$78)+COUNTIF('3月'!AR26:AS26,R$78)+COUNTIF('3月'!AW26:AX26,R$78)+COUNTIF('3月'!BB26:BC26,R$78)+COUNTIF('3月'!BG26:BH26,R$78)+COUNTIF('3月'!BL26:BM26,R$78)+COUNTIF('3月'!BQ26:BR26,R$78)+COUNTIF('3月'!BV26:BW26,R$78)+COUNTIF('3月'!CA26:CB26,R$78)+COUNTIF('3月'!CF26:CG26,R$78)+COUNTIF('3月'!CK26:CL26,R$78)+COUNTIF('3月'!CP26:CQ26,R$78)+COUNTIF('3月'!CU26:CV26,R$78)+COUNTIF('3月'!CZ26:DA26,R$78)+COUNTIF('3月'!DE26:DF26,R$78)+COUNTIF('3月'!DJ26:DK26,R$78)+COUNTIF('3月'!DO26:DP26,R$78)+COUNTIF('3月'!DT26:DU26,R$78)+COUNTIF('3月'!DY26:DZ26,R$78)+COUNTIF('3月'!ED26:EE26,R$78)+COUNTIF('3月'!EI26:EJ26,R$78)+COUNTIF('3月'!EN26:EO26,R$78)+COUNTIF('3月'!ES26:ET26,R$78)</f>
        <v>0</v>
      </c>
      <c r="S102" s="76">
        <f t="shared" si="32"/>
        <v>0</v>
      </c>
      <c r="T102" s="76">
        <f>COUNTIF('3月'!D26:E26,T$78)+COUNTIF('3月'!I26:J26,T$78)+COUNTIF('3月'!N26:O26,T$78)+COUNTIF('3月'!S26:T26,T$78)+COUNTIF('3月'!X26:Y26,T$78)+COUNTIF('3月'!AC26:AD26,T$78)+COUNTIF('3月'!AH26:AI26,T$78)+COUNTIF('3月'!AM26:AN26,T$78)+COUNTIF('3月'!AR26:AS26,T$78)+COUNTIF('3月'!AW26:AX26,T$78)+COUNTIF('3月'!BB26:BC26,T$78)+COUNTIF('3月'!BG26:BH26,T$78)+COUNTIF('3月'!BL26:BM26,T$78)+COUNTIF('3月'!BQ26:BR26,T$78)+COUNTIF('3月'!BV26:BW26,T$78)+COUNTIF('3月'!CA26:CB26,T$78)+COUNTIF('3月'!CF26:CG26,T$78)+COUNTIF('3月'!CK26:CL26,T$78)+COUNTIF('3月'!CP26:CQ26,T$78)+COUNTIF('3月'!CU26:CV26,T$78)+COUNTIF('3月'!CZ26:DA26,T$78)+COUNTIF('3月'!DE26:DF26,T$78)+COUNTIF('3月'!DJ26:DK26,T$78)+COUNTIF('3月'!DO26:DP26,T$78)+COUNTIF('3月'!DT26:DU26,T$78)+COUNTIF('3月'!DY26:DZ26,T$78)+COUNTIF('3月'!ED26:EE26,T$78)+COUNTIF('3月'!EI26:EJ26,T$78)+COUNTIF('3月'!EN26:EO26,T$78)+COUNTIF('3月'!ES26:ET26,T$78)</f>
        <v>0</v>
      </c>
      <c r="U102" s="76">
        <f t="shared" si="33"/>
        <v>0</v>
      </c>
      <c r="V102" s="76">
        <f>COUNTIF('3月'!D26:E26,V$78)+COUNTIF('3月'!I26:J26,V$78)+COUNTIF('3月'!N26:O26,V$78)+COUNTIF('3月'!S26:T26,V$78)+COUNTIF('3月'!X26:Y26,V$78)+COUNTIF('3月'!AC26:AD26,V$78)+COUNTIF('3月'!AH26:AI26,V$78)+COUNTIF('3月'!AM26:AN26,V$78)+COUNTIF('3月'!AR26:AS26,V$78)+COUNTIF('3月'!AW26:AX26,V$78)+COUNTIF('3月'!BB26:BC26,V$78)+COUNTIF('3月'!BG26:BH26,V$78)+COUNTIF('3月'!BL26:BM26,V$78)+COUNTIF('3月'!BQ26:BR26,V$78)+COUNTIF('3月'!BV26:BW26,V$78)+COUNTIF('3月'!CA26:CB26,V$78)+COUNTIF('3月'!CF26:CG26,V$78)+COUNTIF('3月'!CK26:CL26,V$78)+COUNTIF('3月'!CP26:CQ26,V$78)+COUNTIF('3月'!CU26:CV26,V$78)+COUNTIF('3月'!CZ26:DA26,V$78)+COUNTIF('3月'!DE26:DF26,V$78)+COUNTIF('3月'!DJ26:DK26,V$78)+COUNTIF('3月'!DO26:DP26,V$78)+COUNTIF('3月'!DT26:DU26,V$78)+COUNTIF('3月'!DY26:DZ26,V$78)+COUNTIF('3月'!ED26:EE26,V$78)+COUNTIF('3月'!EI26:EJ26,V$78)+COUNTIF('3月'!EN26:EO26,V$78)+COUNTIF('3月'!ES26:ET26,V$78)</f>
        <v>0</v>
      </c>
      <c r="W102" s="76">
        <f t="shared" si="34"/>
        <v>0</v>
      </c>
      <c r="X102" s="76">
        <f>COUNTIF('3月'!D26:E26,X$78)+COUNTIF('3月'!I26:J26,X$78)+COUNTIF('3月'!N26:O26,X$78)+COUNTIF('3月'!S26:T26,X$78)+COUNTIF('3月'!X26:Y26,X$78)+COUNTIF('3月'!AC26:AD26,X$78)+COUNTIF('3月'!AH26:AI26,X$78)+COUNTIF('3月'!AM26:AN26,X$78)+COUNTIF('3月'!AR26:AS26,X$78)+COUNTIF('3月'!AW26:AX26,X$78)+COUNTIF('3月'!BB26:BC26,X$78)+COUNTIF('3月'!BG26:BH26,X$78)+COUNTIF('3月'!BL26:BM26,X$78)+COUNTIF('3月'!BQ26:BR26,X$78)+COUNTIF('3月'!BV26:BW26,X$78)+COUNTIF('3月'!CA26:CB26,X$78)+COUNTIF('3月'!CF26:CG26,X$78)+COUNTIF('3月'!CK26:CL26,X$78)+COUNTIF('3月'!CP26:CQ26,X$78)+COUNTIF('3月'!CU26:CV26,X$78)+COUNTIF('3月'!CZ26:DA26,X$78)+COUNTIF('3月'!DE26:DF26,X$78)+COUNTIF('3月'!DJ26:DK26,X$78)+COUNTIF('3月'!DO26:DP26,X$78)+COUNTIF('3月'!DT26:DU26,X$78)+COUNTIF('3月'!DY26:DZ26,X$78)+COUNTIF('3月'!ED26:EE26,X$78)+COUNTIF('3月'!EI26:EJ26,X$78)+COUNTIF('3月'!EN26:EO26,X$78)+COUNTIF('3月'!ES26:ET26,X$78)</f>
        <v>0</v>
      </c>
      <c r="Y102" s="76">
        <f t="shared" si="35"/>
        <v>0</v>
      </c>
    </row>
    <row r="103" spans="1:25" ht="18" customHeight="1">
      <c r="A103" s="76">
        <v>24</v>
      </c>
      <c r="B103" s="76">
        <f>COUNTIF('3月'!D27:E27,B$78)+COUNTIF('3月'!I27:J27,B$78)+COUNTIF('3月'!N27:O27,B$78)+COUNTIF('3月'!S27:T27,B$78)+COUNTIF('3月'!X27:Y27,B$78)+COUNTIF('3月'!AC27:AD27,B$78)+COUNTIF('3月'!AH27:AI27,B$78)+COUNTIF('3月'!AM27:AN27,B$78)+COUNTIF('3月'!AR27:AS27,B$78)+COUNTIF('3月'!AW27:AX27,B$78)+COUNTIF('3月'!BB27:BC27,B$78)+COUNTIF('3月'!BG27:BH27,B$78)+COUNTIF('3月'!BL27:BM27,B$78)+COUNTIF('3月'!BQ27:BR27,B$78)+COUNTIF('3月'!BV27:BW27,B$78)+COUNTIF('3月'!CA27:CB27,B$78)+COUNTIF('3月'!CF27:CG27,B$78)+COUNTIF('3月'!CK27:CL27,B$78)+COUNTIF('3月'!CP27:CQ27,B$78)+COUNTIF('3月'!CU27:CV27,B$78)+COUNTIF('3月'!CZ27:DA27,B$78)+COUNTIF('3月'!DE27:DF27,B$78)+COUNTIF('3月'!DJ27:DK27,B$78)+COUNTIF('3月'!DO27:DP27,B$78)+COUNTIF('3月'!DT27:DU27,B$78)+COUNTIF('3月'!DY27:DZ27,B$78)+COUNTIF('3月'!ED27:EE27,B$78)+COUNTIF('3月'!EI27:EJ27,B$78)+COUNTIF('3月'!EN27:EO27,B$78)+COUNTIF('3月'!ES27:ET27,B$78)</f>
        <v>0</v>
      </c>
      <c r="C103" s="76">
        <f t="shared" si="24"/>
        <v>0</v>
      </c>
      <c r="D103" s="76">
        <f>COUNTIF('3月'!D27:E27,D$78)+COUNTIF('3月'!I27:J27,D$78)+COUNTIF('3月'!N27:O27,D$78)+COUNTIF('3月'!S27:T27,D$78)+COUNTIF('3月'!X27:Y27,D$78)+COUNTIF('3月'!AC27:AD27,D$78)+COUNTIF('3月'!AH27:AI27,D$78)+COUNTIF('3月'!AM27:AN27,D$78)+COUNTIF('3月'!AR27:AS27,D$78)+COUNTIF('3月'!AW27:AX27,D$78)+COUNTIF('3月'!BB27:BC27,D$78)+COUNTIF('3月'!BG27:BH27,D$78)+COUNTIF('3月'!BL27:BM27,D$78)+COUNTIF('3月'!BQ27:BR27,D$78)+COUNTIF('3月'!BV27:BW27,D$78)+COUNTIF('3月'!CA27:CB27,D$78)+COUNTIF('3月'!CF27:CG27,D$78)+COUNTIF('3月'!CK27:CL27,D$78)+COUNTIF('3月'!CP27:CQ27,D$78)+COUNTIF('3月'!CU27:CV27,D$78)+COUNTIF('3月'!CZ27:DA27,D$78)+COUNTIF('3月'!DE27:DF27,D$78)+COUNTIF('3月'!DJ27:DK27,D$78)+COUNTIF('3月'!DO27:DP27,D$78)+COUNTIF('3月'!DT27:DU27,D$78)+COUNTIF('3月'!DY27:DZ27,D$78)+COUNTIF('3月'!ED27:EE27,D$78)+COUNTIF('3月'!EI27:EJ27,D$78)+COUNTIF('3月'!EN27:EO27,D$78)+COUNTIF('3月'!ES27:ET27,D$78)</f>
        <v>0</v>
      </c>
      <c r="E103" s="76">
        <f t="shared" si="25"/>
        <v>0</v>
      </c>
      <c r="F103" s="76">
        <f>COUNTIF('3月'!D27:E27,F$78)+COUNTIF('3月'!I27:J27,F$78)+COUNTIF('3月'!N27:O27,F$78)+COUNTIF('3月'!S27:T27,F$78)+COUNTIF('3月'!X27:Y27,F$78)+COUNTIF('3月'!AC27:AD27,F$78)+COUNTIF('3月'!AH27:AI27,F$78)+COUNTIF('3月'!AM27:AN27,F$78)+COUNTIF('3月'!AR27:AS27,F$78)+COUNTIF('3月'!AW27:AX27,F$78)+COUNTIF('3月'!BB27:BC27,F$78)+COUNTIF('3月'!BG27:BH27,F$78)+COUNTIF('3月'!BL27:BM27,F$78)+COUNTIF('3月'!BQ27:BR27,F$78)+COUNTIF('3月'!BV27:BW27,F$78)+COUNTIF('3月'!CA27:CB27,F$78)+COUNTIF('3月'!CF27:CG27,F$78)+COUNTIF('3月'!CK27:CL27,F$78)+COUNTIF('3月'!CP27:CQ27,F$78)+COUNTIF('3月'!CU27:CV27,F$78)+COUNTIF('3月'!CZ27:DA27,F$78)+COUNTIF('3月'!DE27:DF27,F$78)+COUNTIF('3月'!DJ27:DK27,F$78)+COUNTIF('3月'!DO27:DP27,F$78)+COUNTIF('3月'!DT27:DU27,F$78)+COUNTIF('3月'!DY27:DZ27,F$78)+COUNTIF('3月'!ED27:EE27,F$78)+COUNTIF('3月'!EI27:EJ27,F$78)+COUNTIF('3月'!EN27:EO27,F$78)+COUNTIF('3月'!ES27:ET27,F$78)</f>
        <v>0</v>
      </c>
      <c r="G103" s="76">
        <f t="shared" si="26"/>
        <v>0</v>
      </c>
      <c r="H103" s="76">
        <f>COUNTIF('3月'!D27:E27,H$78)+COUNTIF('3月'!I27:J27,H$78)+COUNTIF('3月'!N27:O27,H$78)+COUNTIF('3月'!S27:T27,H$78)+COUNTIF('3月'!X27:Y27,H$78)+COUNTIF('3月'!AC27:AD27,H$78)+COUNTIF('3月'!AH27:AI27,H$78)+COUNTIF('3月'!AM27:AN27,H$78)+COUNTIF('3月'!AR27:AS27,H$78)+COUNTIF('3月'!AW27:AX27,H$78)+COUNTIF('3月'!BB27:BC27,H$78)+COUNTIF('3月'!BG27:BH27,H$78)+COUNTIF('3月'!BL27:BM27,H$78)+COUNTIF('3月'!BQ27:BR27,H$78)+COUNTIF('3月'!BV27:BW27,H$78)+COUNTIF('3月'!CA27:CB27,H$78)+COUNTIF('3月'!CF27:CG27,H$78)+COUNTIF('3月'!CK27:CL27,H$78)+COUNTIF('3月'!CP27:CQ27,H$78)+COUNTIF('3月'!CU27:CV27,H$78)+COUNTIF('3月'!CZ27:DA27,H$78)+COUNTIF('3月'!DE27:DF27,H$78)+COUNTIF('3月'!DJ27:DK27,H$78)+COUNTIF('3月'!DO27:DP27,H$78)+COUNTIF('3月'!DT27:DU27,H$78)+COUNTIF('3月'!DY27:DZ27,H$78)+COUNTIF('3月'!ED27:EE27,H$78)+COUNTIF('3月'!EI27:EJ27,H$78)+COUNTIF('3月'!EN27:EO27,H$78)+COUNTIF('3月'!ES27:ET27,H$78)+COUNTIF('3月'!D27:E27,"渋谷-夜勤")+COUNTIF('3月'!I27:J27,"渋谷-夜勤")+COUNTIF('3月'!N27:O27,"渋谷-夜勤")+COUNTIF('3月'!S27:T27,"渋谷-夜勤")+COUNTIF('3月'!X27:Y27,"渋谷-夜勤")+COUNTIF('3月'!AC27:AD27,"渋谷-夜勤")+COUNTIF('3月'!AH27:AI27,"渋谷-夜勤")+COUNTIF('3月'!AM27:AN27,"渋谷-夜勤")+COUNTIF('3月'!AR27:AS27,"渋谷-夜勤")+COUNTIF('3月'!AW27:AX27,"渋谷-夜勤")+COUNTIF('3月'!BB27:BC27,"渋谷-夜勤")+COUNTIF('3月'!BG27:BH27,"渋谷-夜勤")+COUNTIF('3月'!BL27:BM27,"渋谷-夜勤")+COUNTIF('3月'!BQ27:BR27,"渋谷-夜勤")+COUNTIF('3月'!BV27:BW27,"渋谷-夜勤")+COUNTIF('3月'!CA27:CB27,"渋谷-夜勤")+COUNTIF('3月'!CF27:CG27,"渋谷-夜勤")+COUNTIF('3月'!CK27:CL27,"渋谷-夜勤")+COUNTIF('3月'!CP27:CQ27,"渋谷-夜勤")+COUNTIF('3月'!CU27:CV27,"渋谷-夜勤")+COUNTIF('3月'!CZ27:DA27,"渋谷-夜勤")+COUNTIF('3月'!DE27:DF27,"渋谷-夜勤")+COUNTIF('3月'!DJ27:DK27,"渋谷-夜勤")+COUNTIF('3月'!DO27:DP27,"渋谷-夜勤")+COUNTIF('3月'!DT27:DU27,"渋谷-夜勤")+COUNTIF('3月'!DY27:DZ27,"渋谷-夜勤")+COUNTIF('3月'!ED27:EE27,"渋谷-夜勤")+COUNTIF('3月'!EI27:EJ27,"渋谷-夜勤")+COUNTIF('3月'!EN27:EO27,"渋谷-夜勤")+COUNTIF('3月'!ES27:ET27,"渋谷-夜勤")</f>
        <v>0</v>
      </c>
      <c r="I103" s="76">
        <f t="shared" si="27"/>
        <v>0</v>
      </c>
      <c r="J103" s="76">
        <f>COUNTIF('3月'!D27:E27,J$78)+COUNTIF('3月'!I27:J27,J$78)+COUNTIF('3月'!N27:O27,J$78)+COUNTIF('3月'!S27:T27,J$78)+COUNTIF('3月'!X27:Y27,J$78)+COUNTIF('3月'!AC27:AD27,J$78)+COUNTIF('3月'!AH27:AI27,J$78)+COUNTIF('3月'!AM27:AN27,J$78)+COUNTIF('3月'!AR27:AS27,J$78)+COUNTIF('3月'!AW27:AX27,J$78)+COUNTIF('3月'!BB27:BC27,J$78)+COUNTIF('3月'!BG27:BH27,J$78)+COUNTIF('3月'!BL27:BM27,J$78)+COUNTIF('3月'!BQ27:BR27,J$78)+COUNTIF('3月'!BV27:BW27,J$78)+COUNTIF('3月'!CA27:CB27,J$78)+COUNTIF('3月'!CF27:CG27,J$78)+COUNTIF('3月'!CK27:CL27,J$78)+COUNTIF('3月'!CP27:CQ27,J$78)+COUNTIF('3月'!CU27:CV27,J$78)+COUNTIF('3月'!CZ27:DA27,J$78)+COUNTIF('3月'!DE27:DF27,J$78)+COUNTIF('3月'!DJ27:DK27,J$78)+COUNTIF('3月'!DO27:DP27,J$78)+COUNTIF('3月'!DT27:DU27,J$78)+COUNTIF('3月'!DY27:DZ27,J$78)+COUNTIF('3月'!ED27:EE27,J$78)+COUNTIF('3月'!EI27:EJ27,J$78)+COUNTIF('3月'!EN27:EO27,J$78)+COUNTIF('3月'!ES27:ET27,J$78)+COUNTIF('3月'!D27:E27,"六本木-夜勤")+COUNTIF('3月'!I27:J27,"六本木-夜勤")+COUNTIF('3月'!N27:O27,"六本木-夜勤")+COUNTIF('3月'!S27:T27,"六本木-夜勤")+COUNTIF('3月'!X27:Y27,"六本木-夜勤")+COUNTIF('3月'!AC27:AD27,"六本木-夜勤")+COUNTIF('3月'!AH27:AI27,"六本木-夜勤")+COUNTIF('3月'!AM27:AN27,"六本木-夜勤")+COUNTIF('3月'!AR27:AS27,"六本木-夜勤")+COUNTIF('3月'!AW27:AX27,"六本木-夜勤")+COUNTIF('3月'!BB27:BC27,"六本木-夜勤")+COUNTIF('3月'!BG27:BH27,"六本木-夜勤")+COUNTIF('3月'!BL27:BM27,"六本木-夜勤")+COUNTIF('3月'!BQ27:BR27,"六本木-夜勤")+COUNTIF('3月'!BV27:BW27,"六本木-夜勤")+COUNTIF('3月'!CA27:CB27,"六本木-夜勤")+COUNTIF('3月'!CF27:CG27,"六本木-夜勤")+COUNTIF('3月'!CK27:CL27,"六本木-夜勤")+COUNTIF('3月'!CP27:CQ27,"六本木-夜勤")+COUNTIF('3月'!CU27:CV27,"六本木-夜勤")+COUNTIF('3月'!CZ27:DA27,"六本木-夜勤")+COUNTIF('3月'!DE27:DF27,"六本木-夜勤")+COUNTIF('3月'!DJ27:DK27,"六本木-夜勤")+COUNTIF('3月'!DO27:DP27,"六本木-夜勤")+COUNTIF('3月'!DT27:DU27,"六本木-夜勤")+COUNTIF('3月'!DY27:DZ27,"六本木-夜勤")+COUNTIF('3月'!ED27:EE27,"六本木-夜勤")+COUNTIF('3月'!EI27:EJ27,"六本木-夜勤")+COUNTIF('3月'!EN27:EO27,"六本木-夜勤")+COUNTIF('3月'!ES27:ET27,"六本木-夜勤")+COUNTIF('3月'!D27:E27,"六本木ー夜勤")+COUNTIF('3月'!I27:J27,"六本木ー夜勤")+COUNTIF('3月'!N27:O27,"六本木ー夜勤")+COUNTIF('3月'!S27:T27,"六本木ー夜勤")+COUNTIF('3月'!X27:Y27,"六本木ー夜勤")+COUNTIF('3月'!AC27:AD27,"六本木ー夜勤")+COUNTIF('3月'!AH27:AI27,"六本木ー夜勤")+COUNTIF('3月'!AM27:AN27,"六本木ー夜勤")+COUNTIF('3月'!AR27:AS27,"六本木ー夜勤")+COUNTIF('3月'!AW27:AX27,"六本木ー夜勤")+COUNTIF('3月'!BB27:BC27,"六本木ー夜勤")+COUNTIF('3月'!BG27:BH27,"六本木ー夜勤")+COUNTIF('3月'!BL27:BM27,"六本木ー夜勤")+COUNTIF('3月'!BQ27:BR27,"六本木ー夜勤")+COUNTIF('3月'!BV27:BW27,"六本木ー夜勤")+COUNTIF('3月'!CA27:CB27,"六本木ー夜勤")+COUNTIF('3月'!CF27:CG27,"六本木ー夜勤")+COUNTIF('3月'!CK27:CL27,"六本木ー夜勤")+COUNTIF('3月'!CP27:CQ27,"六本木ー夜勤")+COUNTIF('3月'!CU27:CV27,"六本木ー夜勤")+COUNTIF('3月'!CZ27:DA27,"六本木ー夜勤")+COUNTIF('3月'!DE27:DF27,"六本木ー夜勤")+COUNTIF('3月'!DJ27:DK27,"六本木ー夜勤")+COUNTIF('3月'!DO27:DP27,"六本木ー夜勤")+COUNTIF('3月'!DT27:DU27,"六本木ー夜勤")+COUNTIF('3月'!DY27:DZ27,"六本木ー夜勤")+COUNTIF('3月'!ED27:EE27,"六本木ー夜勤")+COUNTIF('3月'!EI27:EJ27,"六本木ー夜勤")+COUNTIF('3月'!EN27:EO27,"六本木ー夜勤")+COUNTIF('3月'!ES27:ET27,"六本木ー夜勤")</f>
        <v>0</v>
      </c>
      <c r="K103" s="76">
        <f t="shared" si="28"/>
        <v>0</v>
      </c>
      <c r="L103" s="76">
        <f>COUNTIF('3月'!D27:E27,L$78)+COUNTIF('3月'!I27:J27,L$78)+COUNTIF('3月'!N27:O27,L$78)+COUNTIF('3月'!S27:T27,L$78)+COUNTIF('3月'!X27:Y27,L$78)+COUNTIF('3月'!AC27:AD27,L$78)+COUNTIF('3月'!AH27:AI27,L$78)+COUNTIF('3月'!AM27:AN27,L$78)+COUNTIF('3月'!AR27:AS27,L$78)+COUNTIF('3月'!AW27:AX27,L$78)+COUNTIF('3月'!BB27:BC27,L$78)+COUNTIF('3月'!BG27:BH27,L$78)+COUNTIF('3月'!BL27:BM27,L$78)+COUNTIF('3月'!BQ27:BR27,L$78)+COUNTIF('3月'!BV27:BW27,L$78)+COUNTIF('3月'!CA27:CB27,L$78)+COUNTIF('3月'!CF27:CG27,L$78)+COUNTIF('3月'!CK27:CL27,L$78)+COUNTIF('3月'!CP27:CQ27,L$78)+COUNTIF('3月'!CU27:CV27,L$78)+COUNTIF('3月'!CZ27:DA27,L$78)+COUNTIF('3月'!DE27:DF27,L$78)+COUNTIF('3月'!DJ27:DK27,L$78)+COUNTIF('3月'!DO27:DP27,L$78)+COUNTIF('3月'!DT27:DU27,L$78)+COUNTIF('3月'!DY27:DZ27,L$78)+COUNTIF('3月'!ED27:EE27,L$78)+COUNTIF('3月'!EI27:EJ27,L$78)+COUNTIF('3月'!EN27:EO27,L$78)+COUNTIF('3月'!ES27:ET27,L$78)</f>
        <v>0</v>
      </c>
      <c r="M103" s="76">
        <f t="shared" si="29"/>
        <v>0</v>
      </c>
      <c r="N103" s="76">
        <f>COUNTIF('3月'!D27:E27,N$78)+COUNTIF('3月'!I27:J27,N$78)+COUNTIF('3月'!N27:O27,N$78)+COUNTIF('3月'!S27:T27,N$78)+COUNTIF('3月'!X27:Y27,N$78)+COUNTIF('3月'!AC27:AD27,N$78)+COUNTIF('3月'!AH27:AI27,N$78)+COUNTIF('3月'!AM27:AN27,N$78)+COUNTIF('3月'!AR27:AS27,N$78)+COUNTIF('3月'!AW27:AX27,N$78)+COUNTIF('3月'!BB27:BC27,N$78)+COUNTIF('3月'!BG27:BH27,N$78)+COUNTIF('3月'!BL27:BM27,N$78)+COUNTIF('3月'!BQ27:BR27,N$78)+COUNTIF('3月'!BV27:BW27,N$78)+COUNTIF('3月'!CA27:CB27,N$78)+COUNTIF('3月'!CF27:CG27,N$78)+COUNTIF('3月'!CK27:CL27,N$78)+COUNTIF('3月'!CP27:CQ27,N$78)+COUNTIF('3月'!CU27:CV27,N$78)+COUNTIF('3月'!CZ27:DA27,N$78)+COUNTIF('3月'!DE27:DF27,N$78)+COUNTIF('3月'!DJ27:DK27,N$78)+COUNTIF('3月'!DO27:DP27,N$78)+COUNTIF('3月'!DT27:DU27,N$78)+COUNTIF('3月'!DY27:DZ27,N$78)+COUNTIF('3月'!ED27:EE27,N$78)+COUNTIF('3月'!EI27:EJ27,N$78)+COUNTIF('3月'!EN27:EO27,N$78)+COUNTIF('3月'!ES27:ET27,N$78)+COUNTIF('3月'!D27:E27,"三軒茶屋－夜勤")+COUNTIF('3月'!I27:J27,"三軒茶屋－夜勤")+COUNTIF('3月'!N27:O27,"三軒茶屋－夜勤")+COUNTIF('3月'!S27:T27,"三軒茶屋－夜勤")+COUNTIF('3月'!X27:Y27,"三軒茶屋－夜勤")+COUNTIF('3月'!AC27:AD27,"三軒茶屋－夜勤")+COUNTIF('3月'!AH27:AI27,"三軒茶屋－夜勤")+COUNTIF('3月'!AM27:AN27,"三軒茶屋－夜勤")+COUNTIF('3月'!AR27:AS27,"三軒茶屋－夜勤")+COUNTIF('3月'!AW27:AX27,"三軒茶屋－夜勤")+COUNTIF('3月'!BB27:BC27,"三軒茶屋－夜勤")+COUNTIF('3月'!BG27:BH27,"三軒茶屋－夜勤")+COUNTIF('3月'!BL27:BM27,"三軒茶屋－夜勤")+COUNTIF('3月'!BQ27:BR27,"三軒茶屋－夜勤")+COUNTIF('3月'!BV27:BW27,"三軒茶屋－夜勤")+COUNTIF('3月'!CA27:CB27,"三軒茶屋－夜勤")+COUNTIF('3月'!CF27:CG27,"三軒茶屋－夜勤")+COUNTIF('3月'!CK27:CL27,"三軒茶屋－夜勤")+COUNTIF('3月'!CP27:CQ27,"三軒茶屋－夜勤")+COUNTIF('3月'!CU27:CV27,"三軒茶屋－夜勤")+COUNTIF('3月'!CZ27:DA27,"三軒茶屋－夜勤")+COUNTIF('3月'!DE27:DF27,"三軒茶屋－夜勤")+COUNTIF('3月'!DJ27:DK27,"三軒茶屋－夜勤")+COUNTIF('3月'!DO27:DP27,"三軒茶屋－夜勤")+COUNTIF('3月'!DT27:DU27,"三軒茶屋－夜勤")+COUNTIF('3月'!DY27:DZ27,"三軒茶屋－夜勤")+COUNTIF('3月'!ED27:EE27,"三軒茶屋－夜勤")+COUNTIF('3月'!EI27:EJ27,"三軒茶屋－夜勤")+COUNTIF('3月'!EN27:EO27,"三軒茶屋－夜勤")+COUNTIF('3月'!ES27:ET27,"三軒茶屋－夜勤")</f>
        <v>0</v>
      </c>
      <c r="O103" s="76">
        <f t="shared" si="30"/>
        <v>0</v>
      </c>
      <c r="P103" s="76">
        <f>COUNTIF('3月'!D27:E27,P$78)+COUNTIF('3月'!I27:J27,P$78)+COUNTIF('3月'!N27:O27,P$78)+COUNTIF('3月'!S27:T27,P$78)+COUNTIF('3月'!X27:Y27,P$78)+COUNTIF('3月'!AC27:AD27,P$78)+COUNTIF('3月'!AH27:AI27,P$78)+COUNTIF('3月'!AM27:AN27,P$78)+COUNTIF('3月'!AR27:AS27,P$78)+COUNTIF('3月'!AW27:AX27,P$78)+COUNTIF('3月'!BB27:BC27,P$78)+COUNTIF('3月'!BG27:BH27,P$78)+COUNTIF('3月'!BL27:BM27,P$78)+COUNTIF('3月'!BQ27:BR27,P$78)+COUNTIF('3月'!BV27:BW27,P$78)+COUNTIF('3月'!CA27:CB27,P$78)+COUNTIF('3月'!CF27:CG27,P$78)+COUNTIF('3月'!CK27:CL27,P$78)+COUNTIF('3月'!CP27:CQ27,P$78)+COUNTIF('3月'!CU27:CV27,P$78)+COUNTIF('3月'!CZ27:DA27,P$78)+COUNTIF('3月'!DE27:DF27,P$78)+COUNTIF('3月'!DJ27:DK27,P$78)+COUNTIF('3月'!DO27:DP27,P$78)+COUNTIF('3月'!DT27:DU27,P$78)+COUNTIF('3月'!DY27:DZ27,P$78)+COUNTIF('3月'!ED27:EE27,P$78)+COUNTIF('3月'!EI27:EJ27,P$78)+COUNTIF('3月'!EN27:EO27,P$78)+COUNTIF('3月'!ES27:ET27,P$78)+COUNTIF('3月'!D27:E27,"荻窪ー夜勤")+COUNTIF('3月'!I27:J27,"荻窪ー夜勤")+COUNTIF('3月'!N27:O27,"荻窪ー夜勤")+COUNTIF('3月'!S27:T27,"荻窪ー夜勤")+COUNTIF('3月'!X27:Y27,"荻窪ー夜勤")+COUNTIF('3月'!AC27:AD27,"荻窪ー夜勤")+COUNTIF('3月'!AH27:AI27,"荻窪ー夜勤")+COUNTIF('3月'!AM27:AN27,"荻窪ー夜勤")+COUNTIF('3月'!AR27:AS27,"荻窪ー夜勤")+COUNTIF('3月'!AW27:AX27,"荻窪ー夜勤")+COUNTIF('3月'!BB27:BC27,"荻窪ー夜勤")+COUNTIF('3月'!BG27:BH27,"荻窪ー夜勤")+COUNTIF('3月'!BL27:BM27,"荻窪ー夜勤")+COUNTIF('3月'!BQ27:BR27,"荻窪ー夜勤")+COUNTIF('3月'!BV27:BW27,"荻窪ー夜勤")+COUNTIF('3月'!CA27:CB27,"荻窪ー夜勤")+COUNTIF('3月'!CF27:CG27,"荻窪ー夜勤")+COUNTIF('3月'!CK27:CL27,"荻窪ー夜勤")+COUNTIF('3月'!CP27:CQ27,"荻窪ー夜勤")+COUNTIF('3月'!CU27:CV27,"荻窪ー夜勤")+COUNTIF('3月'!CZ27:DA27,"荻窪ー夜勤")+COUNTIF('3月'!DE27:DF27,"荻窪ー夜勤")+COUNTIF('3月'!DJ27:DK27,"荻窪ー夜勤")+COUNTIF('3月'!DO27:DP27,"荻窪ー夜勤")+COUNTIF('3月'!DT27:DU27,"荻窪ー夜勤")+COUNTIF('3月'!DY27:DZ27,"荻窪ー夜勤")+COUNTIF('3月'!ED27:EE27,"荻窪ー夜勤")+COUNTIF('3月'!EI27:EJ27,"荻窪ー夜勤")+COUNTIF('3月'!EN27:EO27,"荻窪ー夜勤")+COUNTIF('3月'!ES27:ET27,"荻窪ー夜勤")</f>
        <v>0</v>
      </c>
      <c r="Q103" s="76">
        <f t="shared" si="31"/>
        <v>0</v>
      </c>
      <c r="R103" s="76">
        <f>COUNTIF('3月'!D27:E27,R$78)+COUNTIF('3月'!I27:J27,R$78)+COUNTIF('3月'!N27:O27,R$78)+COUNTIF('3月'!S27:T27,R$78)+COUNTIF('3月'!X27:Y27,R$78)+COUNTIF('3月'!AC27:AD27,R$78)+COUNTIF('3月'!AH27:AI27,R$78)+COUNTIF('3月'!AM27:AN27,R$78)+COUNTIF('3月'!AR27:AS27,R$78)+COUNTIF('3月'!AW27:AX27,R$78)+COUNTIF('3月'!BB27:BC27,R$78)+COUNTIF('3月'!BG27:BH27,R$78)+COUNTIF('3月'!BL27:BM27,R$78)+COUNTIF('3月'!BQ27:BR27,R$78)+COUNTIF('3月'!BV27:BW27,R$78)+COUNTIF('3月'!CA27:CB27,R$78)+COUNTIF('3月'!CF27:CG27,R$78)+COUNTIF('3月'!CK27:CL27,R$78)+COUNTIF('3月'!CP27:CQ27,R$78)+COUNTIF('3月'!CU27:CV27,R$78)+COUNTIF('3月'!CZ27:DA27,R$78)+COUNTIF('3月'!DE27:DF27,R$78)+COUNTIF('3月'!DJ27:DK27,R$78)+COUNTIF('3月'!DO27:DP27,R$78)+COUNTIF('3月'!DT27:DU27,R$78)+COUNTIF('3月'!DY27:DZ27,R$78)+COUNTIF('3月'!ED27:EE27,R$78)+COUNTIF('3月'!EI27:EJ27,R$78)+COUNTIF('3月'!EN27:EO27,R$78)+COUNTIF('3月'!ES27:ET27,R$78)</f>
        <v>0</v>
      </c>
      <c r="S103" s="76">
        <f t="shared" si="32"/>
        <v>0</v>
      </c>
      <c r="T103" s="76">
        <f>COUNTIF('3月'!D27:E27,T$78)+COUNTIF('3月'!I27:J27,T$78)+COUNTIF('3月'!N27:O27,T$78)+COUNTIF('3月'!S27:T27,T$78)+COUNTIF('3月'!X27:Y27,T$78)+COUNTIF('3月'!AC27:AD27,T$78)+COUNTIF('3月'!AH27:AI27,T$78)+COUNTIF('3月'!AM27:AN27,T$78)+COUNTIF('3月'!AR27:AS27,T$78)+COUNTIF('3月'!AW27:AX27,T$78)+COUNTIF('3月'!BB27:BC27,T$78)+COUNTIF('3月'!BG27:BH27,T$78)+COUNTIF('3月'!BL27:BM27,T$78)+COUNTIF('3月'!BQ27:BR27,T$78)+COUNTIF('3月'!BV27:BW27,T$78)+COUNTIF('3月'!CA27:CB27,T$78)+COUNTIF('3月'!CF27:CG27,T$78)+COUNTIF('3月'!CK27:CL27,T$78)+COUNTIF('3月'!CP27:CQ27,T$78)+COUNTIF('3月'!CU27:CV27,T$78)+COUNTIF('3月'!CZ27:DA27,T$78)+COUNTIF('3月'!DE27:DF27,T$78)+COUNTIF('3月'!DJ27:DK27,T$78)+COUNTIF('3月'!DO27:DP27,T$78)+COUNTIF('3月'!DT27:DU27,T$78)+COUNTIF('3月'!DY27:DZ27,T$78)+COUNTIF('3月'!ED27:EE27,T$78)+COUNTIF('3月'!EI27:EJ27,T$78)+COUNTIF('3月'!EN27:EO27,T$78)+COUNTIF('3月'!ES27:ET27,T$78)</f>
        <v>0</v>
      </c>
      <c r="U103" s="76">
        <f t="shared" si="33"/>
        <v>0</v>
      </c>
      <c r="V103" s="76">
        <f>COUNTIF('3月'!D27:E27,V$78)+COUNTIF('3月'!I27:J27,V$78)+COUNTIF('3月'!N27:O27,V$78)+COUNTIF('3月'!S27:T27,V$78)+COUNTIF('3月'!X27:Y27,V$78)+COUNTIF('3月'!AC27:AD27,V$78)+COUNTIF('3月'!AH27:AI27,V$78)+COUNTIF('3月'!AM27:AN27,V$78)+COUNTIF('3月'!AR27:AS27,V$78)+COUNTIF('3月'!AW27:AX27,V$78)+COUNTIF('3月'!BB27:BC27,V$78)+COUNTIF('3月'!BG27:BH27,V$78)+COUNTIF('3月'!BL27:BM27,V$78)+COUNTIF('3月'!BQ27:BR27,V$78)+COUNTIF('3月'!BV27:BW27,V$78)+COUNTIF('3月'!CA27:CB27,V$78)+COUNTIF('3月'!CF27:CG27,V$78)+COUNTIF('3月'!CK27:CL27,V$78)+COUNTIF('3月'!CP27:CQ27,V$78)+COUNTIF('3月'!CU27:CV27,V$78)+COUNTIF('3月'!CZ27:DA27,V$78)+COUNTIF('3月'!DE27:DF27,V$78)+COUNTIF('3月'!DJ27:DK27,V$78)+COUNTIF('3月'!DO27:DP27,V$78)+COUNTIF('3月'!DT27:DU27,V$78)+COUNTIF('3月'!DY27:DZ27,V$78)+COUNTIF('3月'!ED27:EE27,V$78)+COUNTIF('3月'!EI27:EJ27,V$78)+COUNTIF('3月'!EN27:EO27,V$78)+COUNTIF('3月'!ES27:ET27,V$78)</f>
        <v>0</v>
      </c>
      <c r="W103" s="76">
        <f t="shared" si="34"/>
        <v>0</v>
      </c>
      <c r="X103" s="76">
        <f>COUNTIF('3月'!D27:E27,X$78)+COUNTIF('3月'!I27:J27,X$78)+COUNTIF('3月'!N27:O27,X$78)+COUNTIF('3月'!S27:T27,X$78)+COUNTIF('3月'!X27:Y27,X$78)+COUNTIF('3月'!AC27:AD27,X$78)+COUNTIF('3月'!AH27:AI27,X$78)+COUNTIF('3月'!AM27:AN27,X$78)+COUNTIF('3月'!AR27:AS27,X$78)+COUNTIF('3月'!AW27:AX27,X$78)+COUNTIF('3月'!BB27:BC27,X$78)+COUNTIF('3月'!BG27:BH27,X$78)+COUNTIF('3月'!BL27:BM27,X$78)+COUNTIF('3月'!BQ27:BR27,X$78)+COUNTIF('3月'!BV27:BW27,X$78)+COUNTIF('3月'!CA27:CB27,X$78)+COUNTIF('3月'!CF27:CG27,X$78)+COUNTIF('3月'!CK27:CL27,X$78)+COUNTIF('3月'!CP27:CQ27,X$78)+COUNTIF('3月'!CU27:CV27,X$78)+COUNTIF('3月'!CZ27:DA27,X$78)+COUNTIF('3月'!DE27:DF27,X$78)+COUNTIF('3月'!DJ27:DK27,X$78)+COUNTIF('3月'!DO27:DP27,X$78)+COUNTIF('3月'!DT27:DU27,X$78)+COUNTIF('3月'!DY27:DZ27,X$78)+COUNTIF('3月'!ED27:EE27,X$78)+COUNTIF('3月'!EI27:EJ27,X$78)+COUNTIF('3月'!EN27:EO27,X$78)+COUNTIF('3月'!ES27:ET27,X$78)</f>
        <v>0</v>
      </c>
      <c r="Y103" s="76">
        <f t="shared" si="35"/>
        <v>0</v>
      </c>
    </row>
    <row r="104" spans="1:25" ht="18" customHeight="1">
      <c r="A104" s="76">
        <v>25</v>
      </c>
      <c r="B104" s="76">
        <f>COUNTIF('3月'!D28:E28,B$78)+COUNTIF('3月'!I28:J28,B$78)+COUNTIF('3月'!N28:O28,B$78)+COUNTIF('3月'!S28:T28,B$78)+COUNTIF('3月'!X28:Y28,B$78)+COUNTIF('3月'!AC28:AD28,B$78)+COUNTIF('3月'!AH28:AI28,B$78)+COUNTIF('3月'!AM28:AN28,B$78)+COUNTIF('3月'!AR28:AS28,B$78)+COUNTIF('3月'!AW28:AX28,B$78)+COUNTIF('3月'!BB28:BC28,B$78)+COUNTIF('3月'!BG28:BH28,B$78)+COUNTIF('3月'!BL28:BM28,B$78)+COUNTIF('3月'!BQ28:BR28,B$78)+COUNTIF('3月'!BV28:BW28,B$78)+COUNTIF('3月'!CA28:CB28,B$78)+COUNTIF('3月'!CF28:CG28,B$78)+COUNTIF('3月'!CK28:CL28,B$78)+COUNTIF('3月'!CP28:CQ28,B$78)+COUNTIF('3月'!CU28:CV28,B$78)+COUNTIF('3月'!CZ28:DA28,B$78)+COUNTIF('3月'!DE28:DF28,B$78)+COUNTIF('3月'!DJ28:DK28,B$78)+COUNTIF('3月'!DO28:DP28,B$78)+COUNTIF('3月'!DT28:DU28,B$78)+COUNTIF('3月'!DY28:DZ28,B$78)+COUNTIF('3月'!ED28:EE28,B$78)+COUNTIF('3月'!EI28:EJ28,B$78)+COUNTIF('3月'!EN28:EO28,B$78)+COUNTIF('3月'!ES28:ET28,B$78)</f>
        <v>0</v>
      </c>
      <c r="C104" s="76">
        <f t="shared" si="24"/>
        <v>0</v>
      </c>
      <c r="D104" s="76">
        <f>COUNTIF('3月'!D28:E28,D$78)+COUNTIF('3月'!I28:J28,D$78)+COUNTIF('3月'!N28:O28,D$78)+COUNTIF('3月'!S28:T28,D$78)+COUNTIF('3月'!X28:Y28,D$78)+COUNTIF('3月'!AC28:AD28,D$78)+COUNTIF('3月'!AH28:AI28,D$78)+COUNTIF('3月'!AM28:AN28,D$78)+COUNTIF('3月'!AR28:AS28,D$78)+COUNTIF('3月'!AW28:AX28,D$78)+COUNTIF('3月'!BB28:BC28,D$78)+COUNTIF('3月'!BG28:BH28,D$78)+COUNTIF('3月'!BL28:BM28,D$78)+COUNTIF('3月'!BQ28:BR28,D$78)+COUNTIF('3月'!BV28:BW28,D$78)+COUNTIF('3月'!CA28:CB28,D$78)+COUNTIF('3月'!CF28:CG28,D$78)+COUNTIF('3月'!CK28:CL28,D$78)+COUNTIF('3月'!CP28:CQ28,D$78)+COUNTIF('3月'!CU28:CV28,D$78)+COUNTIF('3月'!CZ28:DA28,D$78)+COUNTIF('3月'!DE28:DF28,D$78)+COUNTIF('3月'!DJ28:DK28,D$78)+COUNTIF('3月'!DO28:DP28,D$78)+COUNTIF('3月'!DT28:DU28,D$78)+COUNTIF('3月'!DY28:DZ28,D$78)+COUNTIF('3月'!ED28:EE28,D$78)+COUNTIF('3月'!EI28:EJ28,D$78)+COUNTIF('3月'!EN28:EO28,D$78)+COUNTIF('3月'!ES28:ET28,D$78)</f>
        <v>0</v>
      </c>
      <c r="E104" s="76">
        <f t="shared" si="25"/>
        <v>0</v>
      </c>
      <c r="F104" s="76">
        <f>COUNTIF('3月'!D28:E28,F$78)+COUNTIF('3月'!I28:J28,F$78)+COUNTIF('3月'!N28:O28,F$78)+COUNTIF('3月'!S28:T28,F$78)+COUNTIF('3月'!X28:Y28,F$78)+COUNTIF('3月'!AC28:AD28,F$78)+COUNTIF('3月'!AH28:AI28,F$78)+COUNTIF('3月'!AM28:AN28,F$78)+COUNTIF('3月'!AR28:AS28,F$78)+COUNTIF('3月'!AW28:AX28,F$78)+COUNTIF('3月'!BB28:BC28,F$78)+COUNTIF('3月'!BG28:BH28,F$78)+COUNTIF('3月'!BL28:BM28,F$78)+COUNTIF('3月'!BQ28:BR28,F$78)+COUNTIF('3月'!BV28:BW28,F$78)+COUNTIF('3月'!CA28:CB28,F$78)+COUNTIF('3月'!CF28:CG28,F$78)+COUNTIF('3月'!CK28:CL28,F$78)+COUNTIF('3月'!CP28:CQ28,F$78)+COUNTIF('3月'!CU28:CV28,F$78)+COUNTIF('3月'!CZ28:DA28,F$78)+COUNTIF('3月'!DE28:DF28,F$78)+COUNTIF('3月'!DJ28:DK28,F$78)+COUNTIF('3月'!DO28:DP28,F$78)+COUNTIF('3月'!DT28:DU28,F$78)+COUNTIF('3月'!DY28:DZ28,F$78)+COUNTIF('3月'!ED28:EE28,F$78)+COUNTIF('3月'!EI28:EJ28,F$78)+COUNTIF('3月'!EN28:EO28,F$78)+COUNTIF('3月'!ES28:ET28,F$78)</f>
        <v>0</v>
      </c>
      <c r="G104" s="76">
        <f t="shared" si="26"/>
        <v>0</v>
      </c>
      <c r="H104" s="76">
        <f>COUNTIF('3月'!D28:E28,H$78)+COUNTIF('3月'!I28:J28,H$78)+COUNTIF('3月'!N28:O28,H$78)+COUNTIF('3月'!S28:T28,H$78)+COUNTIF('3月'!X28:Y28,H$78)+COUNTIF('3月'!AC28:AD28,H$78)+COUNTIF('3月'!AH28:AI28,H$78)+COUNTIF('3月'!AM28:AN28,H$78)+COUNTIF('3月'!AR28:AS28,H$78)+COUNTIF('3月'!AW28:AX28,H$78)+COUNTIF('3月'!BB28:BC28,H$78)+COUNTIF('3月'!BG28:BH28,H$78)+COUNTIF('3月'!BL28:BM28,H$78)+COUNTIF('3月'!BQ28:BR28,H$78)+COUNTIF('3月'!BV28:BW28,H$78)+COUNTIF('3月'!CA28:CB28,H$78)+COUNTIF('3月'!CF28:CG28,H$78)+COUNTIF('3月'!CK28:CL28,H$78)+COUNTIF('3月'!CP28:CQ28,H$78)+COUNTIF('3月'!CU28:CV28,H$78)+COUNTIF('3月'!CZ28:DA28,H$78)+COUNTIF('3月'!DE28:DF28,H$78)+COUNTIF('3月'!DJ28:DK28,H$78)+COUNTIF('3月'!DO28:DP28,H$78)+COUNTIF('3月'!DT28:DU28,H$78)+COUNTIF('3月'!DY28:DZ28,H$78)+COUNTIF('3月'!ED28:EE28,H$78)+COUNTIF('3月'!EI28:EJ28,H$78)+COUNTIF('3月'!EN28:EO28,H$78)+COUNTIF('3月'!ES28:ET28,H$78)+COUNTIF('3月'!D28:E28,"渋谷-夜勤")+COUNTIF('3月'!I28:J28,"渋谷-夜勤")+COUNTIF('3月'!N28:O28,"渋谷-夜勤")+COUNTIF('3月'!S28:T28,"渋谷-夜勤")+COUNTIF('3月'!X28:Y28,"渋谷-夜勤")+COUNTIF('3月'!AC28:AD28,"渋谷-夜勤")+COUNTIF('3月'!AH28:AI28,"渋谷-夜勤")+COUNTIF('3月'!AM28:AN28,"渋谷-夜勤")+COUNTIF('3月'!AR28:AS28,"渋谷-夜勤")+COUNTIF('3月'!AW28:AX28,"渋谷-夜勤")+COUNTIF('3月'!BB28:BC28,"渋谷-夜勤")+COUNTIF('3月'!BG28:BH28,"渋谷-夜勤")+COUNTIF('3月'!BL28:BM28,"渋谷-夜勤")+COUNTIF('3月'!BQ28:BR28,"渋谷-夜勤")+COUNTIF('3月'!BV28:BW28,"渋谷-夜勤")+COUNTIF('3月'!CA28:CB28,"渋谷-夜勤")+COUNTIF('3月'!CF28:CG28,"渋谷-夜勤")+COUNTIF('3月'!CK28:CL28,"渋谷-夜勤")+COUNTIF('3月'!CP28:CQ28,"渋谷-夜勤")+COUNTIF('3月'!CU28:CV28,"渋谷-夜勤")+COUNTIF('3月'!CZ28:DA28,"渋谷-夜勤")+COUNTIF('3月'!DE28:DF28,"渋谷-夜勤")+COUNTIF('3月'!DJ28:DK28,"渋谷-夜勤")+COUNTIF('3月'!DO28:DP28,"渋谷-夜勤")+COUNTIF('3月'!DT28:DU28,"渋谷-夜勤")+COUNTIF('3月'!DY28:DZ28,"渋谷-夜勤")+COUNTIF('3月'!ED28:EE28,"渋谷-夜勤")+COUNTIF('3月'!EI28:EJ28,"渋谷-夜勤")+COUNTIF('3月'!EN28:EO28,"渋谷-夜勤")+COUNTIF('3月'!ES28:ET28,"渋谷-夜勤")</f>
        <v>0</v>
      </c>
      <c r="I104" s="76">
        <f t="shared" si="27"/>
        <v>0</v>
      </c>
      <c r="J104" s="76">
        <f>COUNTIF('3月'!D28:E28,J$78)+COUNTIF('3月'!I28:J28,J$78)+COUNTIF('3月'!N28:O28,J$78)+COUNTIF('3月'!S28:T28,J$78)+COUNTIF('3月'!X28:Y28,J$78)+COUNTIF('3月'!AC28:AD28,J$78)+COUNTIF('3月'!AH28:AI28,J$78)+COUNTIF('3月'!AM28:AN28,J$78)+COUNTIF('3月'!AR28:AS28,J$78)+COUNTIF('3月'!AW28:AX28,J$78)+COUNTIF('3月'!BB28:BC28,J$78)+COUNTIF('3月'!BG28:BH28,J$78)+COUNTIF('3月'!BL28:BM28,J$78)+COUNTIF('3月'!BQ28:BR28,J$78)+COUNTIF('3月'!BV28:BW28,J$78)+COUNTIF('3月'!CA28:CB28,J$78)+COUNTIF('3月'!CF28:CG28,J$78)+COUNTIF('3月'!CK28:CL28,J$78)+COUNTIF('3月'!CP28:CQ28,J$78)+COUNTIF('3月'!CU28:CV28,J$78)+COUNTIF('3月'!CZ28:DA28,J$78)+COUNTIF('3月'!DE28:DF28,J$78)+COUNTIF('3月'!DJ28:DK28,J$78)+COUNTIF('3月'!DO28:DP28,J$78)+COUNTIF('3月'!DT28:DU28,J$78)+COUNTIF('3月'!DY28:DZ28,J$78)+COUNTIF('3月'!ED28:EE28,J$78)+COUNTIF('3月'!EI28:EJ28,J$78)+COUNTIF('3月'!EN28:EO28,J$78)+COUNTIF('3月'!ES28:ET28,J$78)+COUNTIF('3月'!D28:E28,"六本木-夜勤")+COUNTIF('3月'!I28:J28,"六本木-夜勤")+COUNTIF('3月'!N28:O28,"六本木-夜勤")+COUNTIF('3月'!S28:T28,"六本木-夜勤")+COUNTIF('3月'!X28:Y28,"六本木-夜勤")+COUNTIF('3月'!AC28:AD28,"六本木-夜勤")+COUNTIF('3月'!AH28:AI28,"六本木-夜勤")+COUNTIF('3月'!AM28:AN28,"六本木-夜勤")+COUNTIF('3月'!AR28:AS28,"六本木-夜勤")+COUNTIF('3月'!AW28:AX28,"六本木-夜勤")+COUNTIF('3月'!BB28:BC28,"六本木-夜勤")+COUNTIF('3月'!BG28:BH28,"六本木-夜勤")+COUNTIF('3月'!BL28:BM28,"六本木-夜勤")+COUNTIF('3月'!BQ28:BR28,"六本木-夜勤")+COUNTIF('3月'!BV28:BW28,"六本木-夜勤")+COUNTIF('3月'!CA28:CB28,"六本木-夜勤")+COUNTIF('3月'!CF28:CG28,"六本木-夜勤")+COUNTIF('3月'!CK28:CL28,"六本木-夜勤")+COUNTIF('3月'!CP28:CQ28,"六本木-夜勤")+COUNTIF('3月'!CU28:CV28,"六本木-夜勤")+COUNTIF('3月'!CZ28:DA28,"六本木-夜勤")+COUNTIF('3月'!DE28:DF28,"六本木-夜勤")+COUNTIF('3月'!DJ28:DK28,"六本木-夜勤")+COUNTIF('3月'!DO28:DP28,"六本木-夜勤")+COUNTIF('3月'!DT28:DU28,"六本木-夜勤")+COUNTIF('3月'!DY28:DZ28,"六本木-夜勤")+COUNTIF('3月'!ED28:EE28,"六本木-夜勤")+COUNTIF('3月'!EI28:EJ28,"六本木-夜勤")+COUNTIF('3月'!EN28:EO28,"六本木-夜勤")+COUNTIF('3月'!ES28:ET28,"六本木-夜勤")+COUNTIF('3月'!D28:E28,"六本木ー夜勤")+COUNTIF('3月'!I28:J28,"六本木ー夜勤")+COUNTIF('3月'!N28:O28,"六本木ー夜勤")+COUNTIF('3月'!S28:T28,"六本木ー夜勤")+COUNTIF('3月'!X28:Y28,"六本木ー夜勤")+COUNTIF('3月'!AC28:AD28,"六本木ー夜勤")+COUNTIF('3月'!AH28:AI28,"六本木ー夜勤")+COUNTIF('3月'!AM28:AN28,"六本木ー夜勤")+COUNTIF('3月'!AR28:AS28,"六本木ー夜勤")+COUNTIF('3月'!AW28:AX28,"六本木ー夜勤")+COUNTIF('3月'!BB28:BC28,"六本木ー夜勤")+COUNTIF('3月'!BG28:BH28,"六本木ー夜勤")+COUNTIF('3月'!BL28:BM28,"六本木ー夜勤")+COUNTIF('3月'!BQ28:BR28,"六本木ー夜勤")+COUNTIF('3月'!BV28:BW28,"六本木ー夜勤")+COUNTIF('3月'!CA28:CB28,"六本木ー夜勤")+COUNTIF('3月'!CF28:CG28,"六本木ー夜勤")+COUNTIF('3月'!CK28:CL28,"六本木ー夜勤")+COUNTIF('3月'!CP28:CQ28,"六本木ー夜勤")+COUNTIF('3月'!CU28:CV28,"六本木ー夜勤")+COUNTIF('3月'!CZ28:DA28,"六本木ー夜勤")+COUNTIF('3月'!DE28:DF28,"六本木ー夜勤")+COUNTIF('3月'!DJ28:DK28,"六本木ー夜勤")+COUNTIF('3月'!DO28:DP28,"六本木ー夜勤")+COUNTIF('3月'!DT28:DU28,"六本木ー夜勤")+COUNTIF('3月'!DY28:DZ28,"六本木ー夜勤")+COUNTIF('3月'!ED28:EE28,"六本木ー夜勤")+COUNTIF('3月'!EI28:EJ28,"六本木ー夜勤")+COUNTIF('3月'!EN28:EO28,"六本木ー夜勤")+COUNTIF('3月'!ES28:ET28,"六本木ー夜勤")</f>
        <v>0</v>
      </c>
      <c r="K104" s="76">
        <f t="shared" si="28"/>
        <v>0</v>
      </c>
      <c r="L104" s="76">
        <f>COUNTIF('3月'!D28:E28,L$78)+COUNTIF('3月'!I28:J28,L$78)+COUNTIF('3月'!N28:O28,L$78)+COUNTIF('3月'!S28:T28,L$78)+COUNTIF('3月'!X28:Y28,L$78)+COUNTIF('3月'!AC28:AD28,L$78)+COUNTIF('3月'!AH28:AI28,L$78)+COUNTIF('3月'!AM28:AN28,L$78)+COUNTIF('3月'!AR28:AS28,L$78)+COUNTIF('3月'!AW28:AX28,L$78)+COUNTIF('3月'!BB28:BC28,L$78)+COUNTIF('3月'!BG28:BH28,L$78)+COUNTIF('3月'!BL28:BM28,L$78)+COUNTIF('3月'!BQ28:BR28,L$78)+COUNTIF('3月'!BV28:BW28,L$78)+COUNTIF('3月'!CA28:CB28,L$78)+COUNTIF('3月'!CF28:CG28,L$78)+COUNTIF('3月'!CK28:CL28,L$78)+COUNTIF('3月'!CP28:CQ28,L$78)+COUNTIF('3月'!CU28:CV28,L$78)+COUNTIF('3月'!CZ28:DA28,L$78)+COUNTIF('3月'!DE28:DF28,L$78)+COUNTIF('3月'!DJ28:DK28,L$78)+COUNTIF('3月'!DO28:DP28,L$78)+COUNTIF('3月'!DT28:DU28,L$78)+COUNTIF('3月'!DY28:DZ28,L$78)+COUNTIF('3月'!ED28:EE28,L$78)+COUNTIF('3月'!EI28:EJ28,L$78)+COUNTIF('3月'!EN28:EO28,L$78)+COUNTIF('3月'!ES28:ET28,L$78)</f>
        <v>0</v>
      </c>
      <c r="M104" s="76">
        <f t="shared" si="29"/>
        <v>0</v>
      </c>
      <c r="N104" s="76">
        <f>COUNTIF('3月'!D28:E28,N$78)+COUNTIF('3月'!I28:J28,N$78)+COUNTIF('3月'!N28:O28,N$78)+COUNTIF('3月'!S28:T28,N$78)+COUNTIF('3月'!X28:Y28,N$78)+COUNTIF('3月'!AC28:AD28,N$78)+COUNTIF('3月'!AH28:AI28,N$78)+COUNTIF('3月'!AM28:AN28,N$78)+COUNTIF('3月'!AR28:AS28,N$78)+COUNTIF('3月'!AW28:AX28,N$78)+COUNTIF('3月'!BB28:BC28,N$78)+COUNTIF('3月'!BG28:BH28,N$78)+COUNTIF('3月'!BL28:BM28,N$78)+COUNTIF('3月'!BQ28:BR28,N$78)+COUNTIF('3月'!BV28:BW28,N$78)+COUNTIF('3月'!CA28:CB28,N$78)+COUNTIF('3月'!CF28:CG28,N$78)+COUNTIF('3月'!CK28:CL28,N$78)+COUNTIF('3月'!CP28:CQ28,N$78)+COUNTIF('3月'!CU28:CV28,N$78)+COUNTIF('3月'!CZ28:DA28,N$78)+COUNTIF('3月'!DE28:DF28,N$78)+COUNTIF('3月'!DJ28:DK28,N$78)+COUNTIF('3月'!DO28:DP28,N$78)+COUNTIF('3月'!DT28:DU28,N$78)+COUNTIF('3月'!DY28:DZ28,N$78)+COUNTIF('3月'!ED28:EE28,N$78)+COUNTIF('3月'!EI28:EJ28,N$78)+COUNTIF('3月'!EN28:EO28,N$78)+COUNTIF('3月'!ES28:ET28,N$78)+COUNTIF('3月'!D28:E28,"三軒茶屋－夜勤")+COUNTIF('3月'!I28:J28,"三軒茶屋－夜勤")+COUNTIF('3月'!N28:O28,"三軒茶屋－夜勤")+COUNTIF('3月'!S28:T28,"三軒茶屋－夜勤")+COUNTIF('3月'!X28:Y28,"三軒茶屋－夜勤")+COUNTIF('3月'!AC28:AD28,"三軒茶屋－夜勤")+COUNTIF('3月'!AH28:AI28,"三軒茶屋－夜勤")+COUNTIF('3月'!AM28:AN28,"三軒茶屋－夜勤")+COUNTIF('3月'!AR28:AS28,"三軒茶屋－夜勤")+COUNTIF('3月'!AW28:AX28,"三軒茶屋－夜勤")+COUNTIF('3月'!BB28:BC28,"三軒茶屋－夜勤")+COUNTIF('3月'!BG28:BH28,"三軒茶屋－夜勤")+COUNTIF('3月'!BL28:BM28,"三軒茶屋－夜勤")+COUNTIF('3月'!BQ28:BR28,"三軒茶屋－夜勤")+COUNTIF('3月'!BV28:BW28,"三軒茶屋－夜勤")+COUNTIF('3月'!CA28:CB28,"三軒茶屋－夜勤")+COUNTIF('3月'!CF28:CG28,"三軒茶屋－夜勤")+COUNTIF('3月'!CK28:CL28,"三軒茶屋－夜勤")+COUNTIF('3月'!CP28:CQ28,"三軒茶屋－夜勤")+COUNTIF('3月'!CU28:CV28,"三軒茶屋－夜勤")+COUNTIF('3月'!CZ28:DA28,"三軒茶屋－夜勤")+COUNTIF('3月'!DE28:DF28,"三軒茶屋－夜勤")+COUNTIF('3月'!DJ28:DK28,"三軒茶屋－夜勤")+COUNTIF('3月'!DO28:DP28,"三軒茶屋－夜勤")+COUNTIF('3月'!DT28:DU28,"三軒茶屋－夜勤")+COUNTIF('3月'!DY28:DZ28,"三軒茶屋－夜勤")+COUNTIF('3月'!ED28:EE28,"三軒茶屋－夜勤")+COUNTIF('3月'!EI28:EJ28,"三軒茶屋－夜勤")+COUNTIF('3月'!EN28:EO28,"三軒茶屋－夜勤")+COUNTIF('3月'!ES28:ET28,"三軒茶屋－夜勤")</f>
        <v>0</v>
      </c>
      <c r="O104" s="76">
        <f t="shared" si="30"/>
        <v>0</v>
      </c>
      <c r="P104" s="76">
        <f>COUNTIF('3月'!D28:E28,P$78)+COUNTIF('3月'!I28:J28,P$78)+COUNTIF('3月'!N28:O28,P$78)+COUNTIF('3月'!S28:T28,P$78)+COUNTIF('3月'!X28:Y28,P$78)+COUNTIF('3月'!AC28:AD28,P$78)+COUNTIF('3月'!AH28:AI28,P$78)+COUNTIF('3月'!AM28:AN28,P$78)+COUNTIF('3月'!AR28:AS28,P$78)+COUNTIF('3月'!AW28:AX28,P$78)+COUNTIF('3月'!BB28:BC28,P$78)+COUNTIF('3月'!BG28:BH28,P$78)+COUNTIF('3月'!BL28:BM28,P$78)+COUNTIF('3月'!BQ28:BR28,P$78)+COUNTIF('3月'!BV28:BW28,P$78)+COUNTIF('3月'!CA28:CB28,P$78)+COUNTIF('3月'!CF28:CG28,P$78)+COUNTIF('3月'!CK28:CL28,P$78)+COUNTIF('3月'!CP28:CQ28,P$78)+COUNTIF('3月'!CU28:CV28,P$78)+COUNTIF('3月'!CZ28:DA28,P$78)+COUNTIF('3月'!DE28:DF28,P$78)+COUNTIF('3月'!DJ28:DK28,P$78)+COUNTIF('3月'!DO28:DP28,P$78)+COUNTIF('3月'!DT28:DU28,P$78)+COUNTIF('3月'!DY28:DZ28,P$78)+COUNTIF('3月'!ED28:EE28,P$78)+COUNTIF('3月'!EI28:EJ28,P$78)+COUNTIF('3月'!EN28:EO28,P$78)+COUNTIF('3月'!ES28:ET28,P$78)+COUNTIF('3月'!D28:E28,"荻窪ー夜勤")+COUNTIF('3月'!I28:J28,"荻窪ー夜勤")+COUNTIF('3月'!N28:O28,"荻窪ー夜勤")+COUNTIF('3月'!S28:T28,"荻窪ー夜勤")+COUNTIF('3月'!X28:Y28,"荻窪ー夜勤")+COUNTIF('3月'!AC28:AD28,"荻窪ー夜勤")+COUNTIF('3月'!AH28:AI28,"荻窪ー夜勤")+COUNTIF('3月'!AM28:AN28,"荻窪ー夜勤")+COUNTIF('3月'!AR28:AS28,"荻窪ー夜勤")+COUNTIF('3月'!AW28:AX28,"荻窪ー夜勤")+COUNTIF('3月'!BB28:BC28,"荻窪ー夜勤")+COUNTIF('3月'!BG28:BH28,"荻窪ー夜勤")+COUNTIF('3月'!BL28:BM28,"荻窪ー夜勤")+COUNTIF('3月'!BQ28:BR28,"荻窪ー夜勤")+COUNTIF('3月'!BV28:BW28,"荻窪ー夜勤")+COUNTIF('3月'!CA28:CB28,"荻窪ー夜勤")+COUNTIF('3月'!CF28:CG28,"荻窪ー夜勤")+COUNTIF('3月'!CK28:CL28,"荻窪ー夜勤")+COUNTIF('3月'!CP28:CQ28,"荻窪ー夜勤")+COUNTIF('3月'!CU28:CV28,"荻窪ー夜勤")+COUNTIF('3月'!CZ28:DA28,"荻窪ー夜勤")+COUNTIF('3月'!DE28:DF28,"荻窪ー夜勤")+COUNTIF('3月'!DJ28:DK28,"荻窪ー夜勤")+COUNTIF('3月'!DO28:DP28,"荻窪ー夜勤")+COUNTIF('3月'!DT28:DU28,"荻窪ー夜勤")+COUNTIF('3月'!DY28:DZ28,"荻窪ー夜勤")+COUNTIF('3月'!ED28:EE28,"荻窪ー夜勤")+COUNTIF('3月'!EI28:EJ28,"荻窪ー夜勤")+COUNTIF('3月'!EN28:EO28,"荻窪ー夜勤")+COUNTIF('3月'!ES28:ET28,"荻窪ー夜勤")</f>
        <v>0</v>
      </c>
      <c r="Q104" s="76">
        <f t="shared" si="31"/>
        <v>0</v>
      </c>
      <c r="R104" s="76">
        <f>COUNTIF('3月'!D28:E28,R$78)+COUNTIF('3月'!I28:J28,R$78)+COUNTIF('3月'!N28:O28,R$78)+COUNTIF('3月'!S28:T28,R$78)+COUNTIF('3月'!X28:Y28,R$78)+COUNTIF('3月'!AC28:AD28,R$78)+COUNTIF('3月'!AH28:AI28,R$78)+COUNTIF('3月'!AM28:AN28,R$78)+COUNTIF('3月'!AR28:AS28,R$78)+COUNTIF('3月'!AW28:AX28,R$78)+COUNTIF('3月'!BB28:BC28,R$78)+COUNTIF('3月'!BG28:BH28,R$78)+COUNTIF('3月'!BL28:BM28,R$78)+COUNTIF('3月'!BQ28:BR28,R$78)+COUNTIF('3月'!BV28:BW28,R$78)+COUNTIF('3月'!CA28:CB28,R$78)+COUNTIF('3月'!CF28:CG28,R$78)+COUNTIF('3月'!CK28:CL28,R$78)+COUNTIF('3月'!CP28:CQ28,R$78)+COUNTIF('3月'!CU28:CV28,R$78)+COUNTIF('3月'!CZ28:DA28,R$78)+COUNTIF('3月'!DE28:DF28,R$78)+COUNTIF('3月'!DJ28:DK28,R$78)+COUNTIF('3月'!DO28:DP28,R$78)+COUNTIF('3月'!DT28:DU28,R$78)+COUNTIF('3月'!DY28:DZ28,R$78)+COUNTIF('3月'!ED28:EE28,R$78)+COUNTIF('3月'!EI28:EJ28,R$78)+COUNTIF('3月'!EN28:EO28,R$78)+COUNTIF('3月'!ES28:ET28,R$78)</f>
        <v>0</v>
      </c>
      <c r="S104" s="76">
        <f t="shared" si="32"/>
        <v>0</v>
      </c>
      <c r="T104" s="76">
        <f>COUNTIF('3月'!D28:E28,T$78)+COUNTIF('3月'!I28:J28,T$78)+COUNTIF('3月'!N28:O28,T$78)+COUNTIF('3月'!S28:T28,T$78)+COUNTIF('3月'!X28:Y28,T$78)+COUNTIF('3月'!AC28:AD28,T$78)+COUNTIF('3月'!AH28:AI28,T$78)+COUNTIF('3月'!AM28:AN28,T$78)+COUNTIF('3月'!AR28:AS28,T$78)+COUNTIF('3月'!AW28:AX28,T$78)+COUNTIF('3月'!BB28:BC28,T$78)+COUNTIF('3月'!BG28:BH28,T$78)+COUNTIF('3月'!BL28:BM28,T$78)+COUNTIF('3月'!BQ28:BR28,T$78)+COUNTIF('3月'!BV28:BW28,T$78)+COUNTIF('3月'!CA28:CB28,T$78)+COUNTIF('3月'!CF28:CG28,T$78)+COUNTIF('3月'!CK28:CL28,T$78)+COUNTIF('3月'!CP28:CQ28,T$78)+COUNTIF('3月'!CU28:CV28,T$78)+COUNTIF('3月'!CZ28:DA28,T$78)+COUNTIF('3月'!DE28:DF28,T$78)+COUNTIF('3月'!DJ28:DK28,T$78)+COUNTIF('3月'!DO28:DP28,T$78)+COUNTIF('3月'!DT28:DU28,T$78)+COUNTIF('3月'!DY28:DZ28,T$78)+COUNTIF('3月'!ED28:EE28,T$78)+COUNTIF('3月'!EI28:EJ28,T$78)+COUNTIF('3月'!EN28:EO28,T$78)+COUNTIF('3月'!ES28:ET28,T$78)</f>
        <v>0</v>
      </c>
      <c r="U104" s="76">
        <f t="shared" si="33"/>
        <v>0</v>
      </c>
      <c r="V104" s="76">
        <f>COUNTIF('3月'!D28:E28,V$78)+COUNTIF('3月'!I28:J28,V$78)+COUNTIF('3月'!N28:O28,V$78)+COUNTIF('3月'!S28:T28,V$78)+COUNTIF('3月'!X28:Y28,V$78)+COUNTIF('3月'!AC28:AD28,V$78)+COUNTIF('3月'!AH28:AI28,V$78)+COUNTIF('3月'!AM28:AN28,V$78)+COUNTIF('3月'!AR28:AS28,V$78)+COUNTIF('3月'!AW28:AX28,V$78)+COUNTIF('3月'!BB28:BC28,V$78)+COUNTIF('3月'!BG28:BH28,V$78)+COUNTIF('3月'!BL28:BM28,V$78)+COUNTIF('3月'!BQ28:BR28,V$78)+COUNTIF('3月'!BV28:BW28,V$78)+COUNTIF('3月'!CA28:CB28,V$78)+COUNTIF('3月'!CF28:CG28,V$78)+COUNTIF('3月'!CK28:CL28,V$78)+COUNTIF('3月'!CP28:CQ28,V$78)+COUNTIF('3月'!CU28:CV28,V$78)+COUNTIF('3月'!CZ28:DA28,V$78)+COUNTIF('3月'!DE28:DF28,V$78)+COUNTIF('3月'!DJ28:DK28,V$78)+COUNTIF('3月'!DO28:DP28,V$78)+COUNTIF('3月'!DT28:DU28,V$78)+COUNTIF('3月'!DY28:DZ28,V$78)+COUNTIF('3月'!ED28:EE28,V$78)+COUNTIF('3月'!EI28:EJ28,V$78)+COUNTIF('3月'!EN28:EO28,V$78)+COUNTIF('3月'!ES28:ET28,V$78)</f>
        <v>0</v>
      </c>
      <c r="W104" s="76">
        <f t="shared" si="34"/>
        <v>0</v>
      </c>
      <c r="X104" s="76">
        <f>COUNTIF('3月'!D28:E28,X$78)+COUNTIF('3月'!I28:J28,X$78)+COUNTIF('3月'!N28:O28,X$78)+COUNTIF('3月'!S28:T28,X$78)+COUNTIF('3月'!X28:Y28,X$78)+COUNTIF('3月'!AC28:AD28,X$78)+COUNTIF('3月'!AH28:AI28,X$78)+COUNTIF('3月'!AM28:AN28,X$78)+COUNTIF('3月'!AR28:AS28,X$78)+COUNTIF('3月'!AW28:AX28,X$78)+COUNTIF('3月'!BB28:BC28,X$78)+COUNTIF('3月'!BG28:BH28,X$78)+COUNTIF('3月'!BL28:BM28,X$78)+COUNTIF('3月'!BQ28:BR28,X$78)+COUNTIF('3月'!BV28:BW28,X$78)+COUNTIF('3月'!CA28:CB28,X$78)+COUNTIF('3月'!CF28:CG28,X$78)+COUNTIF('3月'!CK28:CL28,X$78)+COUNTIF('3月'!CP28:CQ28,X$78)+COUNTIF('3月'!CU28:CV28,X$78)+COUNTIF('3月'!CZ28:DA28,X$78)+COUNTIF('3月'!DE28:DF28,X$78)+COUNTIF('3月'!DJ28:DK28,X$78)+COUNTIF('3月'!DO28:DP28,X$78)+COUNTIF('3月'!DT28:DU28,X$78)+COUNTIF('3月'!DY28:DZ28,X$78)+COUNTIF('3月'!ED28:EE28,X$78)+COUNTIF('3月'!EI28:EJ28,X$78)+COUNTIF('3月'!EN28:EO28,X$78)+COUNTIF('3月'!ES28:ET28,X$78)</f>
        <v>0</v>
      </c>
      <c r="Y104" s="76">
        <f t="shared" si="35"/>
        <v>0</v>
      </c>
    </row>
    <row r="105" spans="1:25" ht="18" customHeight="1">
      <c r="A105" s="76">
        <v>26</v>
      </c>
      <c r="B105" s="76">
        <f>COUNTIF('3月'!D29:E29,B$78)+COUNTIF('3月'!I29:J29,B$78)+COUNTIF('3月'!N29:O29,B$78)+COUNTIF('3月'!S29:T29,B$78)+COUNTIF('3月'!X29:Y29,B$78)+COUNTIF('3月'!AC29:AD29,B$78)+COUNTIF('3月'!AH29:AI29,B$78)+COUNTIF('3月'!AM29:AN29,B$78)+COUNTIF('3月'!AR29:AS29,B$78)+COUNTIF('3月'!AW29:AX29,B$78)+COUNTIF('3月'!BB29:BC29,B$78)+COUNTIF('3月'!BG29:BH29,B$78)+COUNTIF('3月'!BL29:BM29,B$78)+COUNTIF('3月'!BQ29:BR29,B$78)+COUNTIF('3月'!BV29:BW29,B$78)+COUNTIF('3月'!CA29:CB29,B$78)+COUNTIF('3月'!CF29:CG29,B$78)+COUNTIF('3月'!CK29:CL29,B$78)+COUNTIF('3月'!CP29:CQ29,B$78)+COUNTIF('3月'!CU29:CV29,B$78)+COUNTIF('3月'!CZ29:DA29,B$78)+COUNTIF('3月'!DE29:DF29,B$78)+COUNTIF('3月'!DJ29:DK29,B$78)+COUNTIF('3月'!DO29:DP29,B$78)+COUNTIF('3月'!DT29:DU29,B$78)+COUNTIF('3月'!DY29:DZ29,B$78)+COUNTIF('3月'!ED29:EE29,B$78)+COUNTIF('3月'!EI29:EJ29,B$78)+COUNTIF('3月'!EN29:EO29,B$78)+COUNTIF('3月'!ES29:ET29,B$78)</f>
        <v>0</v>
      </c>
      <c r="C105" s="76">
        <f t="shared" si="24"/>
        <v>0</v>
      </c>
      <c r="D105" s="76">
        <f>COUNTIF('3月'!D29:E29,D$78)+COUNTIF('3月'!I29:J29,D$78)+COUNTIF('3月'!N29:O29,D$78)+COUNTIF('3月'!S29:T29,D$78)+COUNTIF('3月'!X29:Y29,D$78)+COUNTIF('3月'!AC29:AD29,D$78)+COUNTIF('3月'!AH29:AI29,D$78)+COUNTIF('3月'!AM29:AN29,D$78)+COUNTIF('3月'!AR29:AS29,D$78)+COUNTIF('3月'!AW29:AX29,D$78)+COUNTIF('3月'!BB29:BC29,D$78)+COUNTIF('3月'!BG29:BH29,D$78)+COUNTIF('3月'!BL29:BM29,D$78)+COUNTIF('3月'!BQ29:BR29,D$78)+COUNTIF('3月'!BV29:BW29,D$78)+COUNTIF('3月'!CA29:CB29,D$78)+COUNTIF('3月'!CF29:CG29,D$78)+COUNTIF('3月'!CK29:CL29,D$78)+COUNTIF('3月'!CP29:CQ29,D$78)+COUNTIF('3月'!CU29:CV29,D$78)+COUNTIF('3月'!CZ29:DA29,D$78)+COUNTIF('3月'!DE29:DF29,D$78)+COUNTIF('3月'!DJ29:DK29,D$78)+COUNTIF('3月'!DO29:DP29,D$78)+COUNTIF('3月'!DT29:DU29,D$78)+COUNTIF('3月'!DY29:DZ29,D$78)+COUNTIF('3月'!ED29:EE29,D$78)+COUNTIF('3月'!EI29:EJ29,D$78)+COUNTIF('3月'!EN29:EO29,D$78)+COUNTIF('3月'!ES29:ET29,D$78)</f>
        <v>0</v>
      </c>
      <c r="E105" s="76">
        <f t="shared" si="25"/>
        <v>0</v>
      </c>
      <c r="F105" s="76">
        <f>COUNTIF('3月'!D29:E29,F$78)+COUNTIF('3月'!I29:J29,F$78)+COUNTIF('3月'!N29:O29,F$78)+COUNTIF('3月'!S29:T29,F$78)+COUNTIF('3月'!X29:Y29,F$78)+COUNTIF('3月'!AC29:AD29,F$78)+COUNTIF('3月'!AH29:AI29,F$78)+COUNTIF('3月'!AM29:AN29,F$78)+COUNTIF('3月'!AR29:AS29,F$78)+COUNTIF('3月'!AW29:AX29,F$78)+COUNTIF('3月'!BB29:BC29,F$78)+COUNTIF('3月'!BG29:BH29,F$78)+COUNTIF('3月'!BL29:BM29,F$78)+COUNTIF('3月'!BQ29:BR29,F$78)+COUNTIF('3月'!BV29:BW29,F$78)+COUNTIF('3月'!CA29:CB29,F$78)+COUNTIF('3月'!CF29:CG29,F$78)+COUNTIF('3月'!CK29:CL29,F$78)+COUNTIF('3月'!CP29:CQ29,F$78)+COUNTIF('3月'!CU29:CV29,F$78)+COUNTIF('3月'!CZ29:DA29,F$78)+COUNTIF('3月'!DE29:DF29,F$78)+COUNTIF('3月'!DJ29:DK29,F$78)+COUNTIF('3月'!DO29:DP29,F$78)+COUNTIF('3月'!DT29:DU29,F$78)+COUNTIF('3月'!DY29:DZ29,F$78)+COUNTIF('3月'!ED29:EE29,F$78)+COUNTIF('3月'!EI29:EJ29,F$78)+COUNTIF('3月'!EN29:EO29,F$78)+COUNTIF('3月'!ES29:ET29,F$78)</f>
        <v>0</v>
      </c>
      <c r="G105" s="76">
        <f t="shared" si="26"/>
        <v>0</v>
      </c>
      <c r="H105" s="76">
        <f>COUNTIF('3月'!D29:E29,H$78)+COUNTIF('3月'!I29:J29,H$78)+COUNTIF('3月'!N29:O29,H$78)+COUNTIF('3月'!S29:T29,H$78)+COUNTIF('3月'!X29:Y29,H$78)+COUNTIF('3月'!AC29:AD29,H$78)+COUNTIF('3月'!AH29:AI29,H$78)+COUNTIF('3月'!AM29:AN29,H$78)+COUNTIF('3月'!AR29:AS29,H$78)+COUNTIF('3月'!AW29:AX29,H$78)+COUNTIF('3月'!BB29:BC29,H$78)+COUNTIF('3月'!BG29:BH29,H$78)+COUNTIF('3月'!BL29:BM29,H$78)+COUNTIF('3月'!BQ29:BR29,H$78)+COUNTIF('3月'!BV29:BW29,H$78)+COUNTIF('3月'!CA29:CB29,H$78)+COUNTIF('3月'!CF29:CG29,H$78)+COUNTIF('3月'!CK29:CL29,H$78)+COUNTIF('3月'!CP29:CQ29,H$78)+COUNTIF('3月'!CU29:CV29,H$78)+COUNTIF('3月'!CZ29:DA29,H$78)+COUNTIF('3月'!DE29:DF29,H$78)+COUNTIF('3月'!DJ29:DK29,H$78)+COUNTIF('3月'!DO29:DP29,H$78)+COUNTIF('3月'!DT29:DU29,H$78)+COUNTIF('3月'!DY29:DZ29,H$78)+COUNTIF('3月'!ED29:EE29,H$78)+COUNTIF('3月'!EI29:EJ29,H$78)+COUNTIF('3月'!EN29:EO29,H$78)+COUNTIF('3月'!ES29:ET29,H$78)+COUNTIF('3月'!D29:E29,"渋谷-夜勤")+COUNTIF('3月'!I29:J29,"渋谷-夜勤")+COUNTIF('3月'!N29:O29,"渋谷-夜勤")+COUNTIF('3月'!S29:T29,"渋谷-夜勤")+COUNTIF('3月'!X29:Y29,"渋谷-夜勤")+COUNTIF('3月'!AC29:AD29,"渋谷-夜勤")+COUNTIF('3月'!AH29:AI29,"渋谷-夜勤")+COUNTIF('3月'!AM29:AN29,"渋谷-夜勤")+COUNTIF('3月'!AR29:AS29,"渋谷-夜勤")+COUNTIF('3月'!AW29:AX29,"渋谷-夜勤")+COUNTIF('3月'!BB29:BC29,"渋谷-夜勤")+COUNTIF('3月'!BG29:BH29,"渋谷-夜勤")+COUNTIF('3月'!BL29:BM29,"渋谷-夜勤")+COUNTIF('3月'!BQ29:BR29,"渋谷-夜勤")+COUNTIF('3月'!BV29:BW29,"渋谷-夜勤")+COUNTIF('3月'!CA29:CB29,"渋谷-夜勤")+COUNTIF('3月'!CF29:CG29,"渋谷-夜勤")+COUNTIF('3月'!CK29:CL29,"渋谷-夜勤")+COUNTIF('3月'!CP29:CQ29,"渋谷-夜勤")+COUNTIF('3月'!CU29:CV29,"渋谷-夜勤")+COUNTIF('3月'!CZ29:DA29,"渋谷-夜勤")+COUNTIF('3月'!DE29:DF29,"渋谷-夜勤")+COUNTIF('3月'!DJ29:DK29,"渋谷-夜勤")+COUNTIF('3月'!DO29:DP29,"渋谷-夜勤")+COUNTIF('3月'!DT29:DU29,"渋谷-夜勤")+COUNTIF('3月'!DY29:DZ29,"渋谷-夜勤")+COUNTIF('3月'!ED29:EE29,"渋谷-夜勤")+COUNTIF('3月'!EI29:EJ29,"渋谷-夜勤")+COUNTIF('3月'!EN29:EO29,"渋谷-夜勤")+COUNTIF('3月'!ES29:ET29,"渋谷-夜勤")</f>
        <v>0</v>
      </c>
      <c r="I105" s="76">
        <f t="shared" si="27"/>
        <v>0</v>
      </c>
      <c r="J105" s="76">
        <f>COUNTIF('3月'!D29:E29,J$78)+COUNTIF('3月'!I29:J29,J$78)+COUNTIF('3月'!N29:O29,J$78)+COUNTIF('3月'!S29:T29,J$78)+COUNTIF('3月'!X29:Y29,J$78)+COUNTIF('3月'!AC29:AD29,J$78)+COUNTIF('3月'!AH29:AI29,J$78)+COUNTIF('3月'!AM29:AN29,J$78)+COUNTIF('3月'!AR29:AS29,J$78)+COUNTIF('3月'!AW29:AX29,J$78)+COUNTIF('3月'!BB29:BC29,J$78)+COUNTIF('3月'!BG29:BH29,J$78)+COUNTIF('3月'!BL29:BM29,J$78)+COUNTIF('3月'!BQ29:BR29,J$78)+COUNTIF('3月'!BV29:BW29,J$78)+COUNTIF('3月'!CA29:CB29,J$78)+COUNTIF('3月'!CF29:CG29,J$78)+COUNTIF('3月'!CK29:CL29,J$78)+COUNTIF('3月'!CP29:CQ29,J$78)+COUNTIF('3月'!CU29:CV29,J$78)+COUNTIF('3月'!CZ29:DA29,J$78)+COUNTIF('3月'!DE29:DF29,J$78)+COUNTIF('3月'!DJ29:DK29,J$78)+COUNTIF('3月'!DO29:DP29,J$78)+COUNTIF('3月'!DT29:DU29,J$78)+COUNTIF('3月'!DY29:DZ29,J$78)+COUNTIF('3月'!ED29:EE29,J$78)+COUNTIF('3月'!EI29:EJ29,J$78)+COUNTIF('3月'!EN29:EO29,J$78)+COUNTIF('3月'!ES29:ET29,J$78)+COUNTIF('3月'!D29:E29,"六本木-夜勤")+COUNTIF('3月'!I29:J29,"六本木-夜勤")+COUNTIF('3月'!N29:O29,"六本木-夜勤")+COUNTIF('3月'!S29:T29,"六本木-夜勤")+COUNTIF('3月'!X29:Y29,"六本木-夜勤")+COUNTIF('3月'!AC29:AD29,"六本木-夜勤")+COUNTIF('3月'!AH29:AI29,"六本木-夜勤")+COUNTIF('3月'!AM29:AN29,"六本木-夜勤")+COUNTIF('3月'!AR29:AS29,"六本木-夜勤")+COUNTIF('3月'!AW29:AX29,"六本木-夜勤")+COUNTIF('3月'!BB29:BC29,"六本木-夜勤")+COUNTIF('3月'!BG29:BH29,"六本木-夜勤")+COUNTIF('3月'!BL29:BM29,"六本木-夜勤")+COUNTIF('3月'!BQ29:BR29,"六本木-夜勤")+COUNTIF('3月'!BV29:BW29,"六本木-夜勤")+COUNTIF('3月'!CA29:CB29,"六本木-夜勤")+COUNTIF('3月'!CF29:CG29,"六本木-夜勤")+COUNTIF('3月'!CK29:CL29,"六本木-夜勤")+COUNTIF('3月'!CP29:CQ29,"六本木-夜勤")+COUNTIF('3月'!CU29:CV29,"六本木-夜勤")+COUNTIF('3月'!CZ29:DA29,"六本木-夜勤")+COUNTIF('3月'!DE29:DF29,"六本木-夜勤")+COUNTIF('3月'!DJ29:DK29,"六本木-夜勤")+COUNTIF('3月'!DO29:DP29,"六本木-夜勤")+COUNTIF('3月'!DT29:DU29,"六本木-夜勤")+COUNTIF('3月'!DY29:DZ29,"六本木-夜勤")+COUNTIF('3月'!ED29:EE29,"六本木-夜勤")+COUNTIF('3月'!EI29:EJ29,"六本木-夜勤")+COUNTIF('3月'!EN29:EO29,"六本木-夜勤")+COUNTIF('3月'!ES29:ET29,"六本木-夜勤")+COUNTIF('3月'!D29:E29,"六本木ー夜勤")+COUNTIF('3月'!I29:J29,"六本木ー夜勤")+COUNTIF('3月'!N29:O29,"六本木ー夜勤")+COUNTIF('3月'!S29:T29,"六本木ー夜勤")+COUNTIF('3月'!X29:Y29,"六本木ー夜勤")+COUNTIF('3月'!AC29:AD29,"六本木ー夜勤")+COUNTIF('3月'!AH29:AI29,"六本木ー夜勤")+COUNTIF('3月'!AM29:AN29,"六本木ー夜勤")+COUNTIF('3月'!AR29:AS29,"六本木ー夜勤")+COUNTIF('3月'!AW29:AX29,"六本木ー夜勤")+COUNTIF('3月'!BB29:BC29,"六本木ー夜勤")+COUNTIF('3月'!BG29:BH29,"六本木ー夜勤")+COUNTIF('3月'!BL29:BM29,"六本木ー夜勤")+COUNTIF('3月'!BQ29:BR29,"六本木ー夜勤")+COUNTIF('3月'!BV29:BW29,"六本木ー夜勤")+COUNTIF('3月'!CA29:CB29,"六本木ー夜勤")+COUNTIF('3月'!CF29:CG29,"六本木ー夜勤")+COUNTIF('3月'!CK29:CL29,"六本木ー夜勤")+COUNTIF('3月'!CP29:CQ29,"六本木ー夜勤")+COUNTIF('3月'!CU29:CV29,"六本木ー夜勤")+COUNTIF('3月'!CZ29:DA29,"六本木ー夜勤")+COUNTIF('3月'!DE29:DF29,"六本木ー夜勤")+COUNTIF('3月'!DJ29:DK29,"六本木ー夜勤")+COUNTIF('3月'!DO29:DP29,"六本木ー夜勤")+COUNTIF('3月'!DT29:DU29,"六本木ー夜勤")+COUNTIF('3月'!DY29:DZ29,"六本木ー夜勤")+COUNTIF('3月'!ED29:EE29,"六本木ー夜勤")+COUNTIF('3月'!EI29:EJ29,"六本木ー夜勤")+COUNTIF('3月'!EN29:EO29,"六本木ー夜勤")+COUNTIF('3月'!ES29:ET29,"六本木ー夜勤")</f>
        <v>0</v>
      </c>
      <c r="K105" s="76">
        <f t="shared" si="28"/>
        <v>0</v>
      </c>
      <c r="L105" s="76">
        <f>COUNTIF('3月'!D29:E29,L$78)+COUNTIF('3月'!I29:J29,L$78)+COUNTIF('3月'!N29:O29,L$78)+COUNTIF('3月'!S29:T29,L$78)+COUNTIF('3月'!X29:Y29,L$78)+COUNTIF('3月'!AC29:AD29,L$78)+COUNTIF('3月'!AH29:AI29,L$78)+COUNTIF('3月'!AM29:AN29,L$78)+COUNTIF('3月'!AR29:AS29,L$78)+COUNTIF('3月'!AW29:AX29,L$78)+COUNTIF('3月'!BB29:BC29,L$78)+COUNTIF('3月'!BG29:BH29,L$78)+COUNTIF('3月'!BL29:BM29,L$78)+COUNTIF('3月'!BQ29:BR29,L$78)+COUNTIF('3月'!BV29:BW29,L$78)+COUNTIF('3月'!CA29:CB29,L$78)+COUNTIF('3月'!CF29:CG29,L$78)+COUNTIF('3月'!CK29:CL29,L$78)+COUNTIF('3月'!CP29:CQ29,L$78)+COUNTIF('3月'!CU29:CV29,L$78)+COUNTIF('3月'!CZ29:DA29,L$78)+COUNTIF('3月'!DE29:DF29,L$78)+COUNTIF('3月'!DJ29:DK29,L$78)+COUNTIF('3月'!DO29:DP29,L$78)+COUNTIF('3月'!DT29:DU29,L$78)+COUNTIF('3月'!DY29:DZ29,L$78)+COUNTIF('3月'!ED29:EE29,L$78)+COUNTIF('3月'!EI29:EJ29,L$78)+COUNTIF('3月'!EN29:EO29,L$78)+COUNTIF('3月'!ES29:ET29,L$78)</f>
        <v>0</v>
      </c>
      <c r="M105" s="76">
        <f t="shared" si="29"/>
        <v>0</v>
      </c>
      <c r="N105" s="76">
        <f>COUNTIF('3月'!D29:E29,N$78)+COUNTIF('3月'!I29:J29,N$78)+COUNTIF('3月'!N29:O29,N$78)+COUNTIF('3月'!S29:T29,N$78)+COUNTIF('3月'!X29:Y29,N$78)+COUNTIF('3月'!AC29:AD29,N$78)+COUNTIF('3月'!AH29:AI29,N$78)+COUNTIF('3月'!AM29:AN29,N$78)+COUNTIF('3月'!AR29:AS29,N$78)+COUNTIF('3月'!AW29:AX29,N$78)+COUNTIF('3月'!BB29:BC29,N$78)+COUNTIF('3月'!BG29:BH29,N$78)+COUNTIF('3月'!BL29:BM29,N$78)+COUNTIF('3月'!BQ29:BR29,N$78)+COUNTIF('3月'!BV29:BW29,N$78)+COUNTIF('3月'!CA29:CB29,N$78)+COUNTIF('3月'!CF29:CG29,N$78)+COUNTIF('3月'!CK29:CL29,N$78)+COUNTIF('3月'!CP29:CQ29,N$78)+COUNTIF('3月'!CU29:CV29,N$78)+COUNTIF('3月'!CZ29:DA29,N$78)+COUNTIF('3月'!DE29:DF29,N$78)+COUNTIF('3月'!DJ29:DK29,N$78)+COUNTIF('3月'!DO29:DP29,N$78)+COUNTIF('3月'!DT29:DU29,N$78)+COUNTIF('3月'!DY29:DZ29,N$78)+COUNTIF('3月'!ED29:EE29,N$78)+COUNTIF('3月'!EI29:EJ29,N$78)+COUNTIF('3月'!EN29:EO29,N$78)+COUNTIF('3月'!ES29:ET29,N$78)+COUNTIF('3月'!D29:E29,"三軒茶屋－夜勤")+COUNTIF('3月'!I29:J29,"三軒茶屋－夜勤")+COUNTIF('3月'!N29:O29,"三軒茶屋－夜勤")+COUNTIF('3月'!S29:T29,"三軒茶屋－夜勤")+COUNTIF('3月'!X29:Y29,"三軒茶屋－夜勤")+COUNTIF('3月'!AC29:AD29,"三軒茶屋－夜勤")+COUNTIF('3月'!AH29:AI29,"三軒茶屋－夜勤")+COUNTIF('3月'!AM29:AN29,"三軒茶屋－夜勤")+COUNTIF('3月'!AR29:AS29,"三軒茶屋－夜勤")+COUNTIF('3月'!AW29:AX29,"三軒茶屋－夜勤")+COUNTIF('3月'!BB29:BC29,"三軒茶屋－夜勤")+COUNTIF('3月'!BG29:BH29,"三軒茶屋－夜勤")+COUNTIF('3月'!BL29:BM29,"三軒茶屋－夜勤")+COUNTIF('3月'!BQ29:BR29,"三軒茶屋－夜勤")+COUNTIF('3月'!BV29:BW29,"三軒茶屋－夜勤")+COUNTIF('3月'!CA29:CB29,"三軒茶屋－夜勤")+COUNTIF('3月'!CF29:CG29,"三軒茶屋－夜勤")+COUNTIF('3月'!CK29:CL29,"三軒茶屋－夜勤")+COUNTIF('3月'!CP29:CQ29,"三軒茶屋－夜勤")+COUNTIF('3月'!CU29:CV29,"三軒茶屋－夜勤")+COUNTIF('3月'!CZ29:DA29,"三軒茶屋－夜勤")+COUNTIF('3月'!DE29:DF29,"三軒茶屋－夜勤")+COUNTIF('3月'!DJ29:DK29,"三軒茶屋－夜勤")+COUNTIF('3月'!DO29:DP29,"三軒茶屋－夜勤")+COUNTIF('3月'!DT29:DU29,"三軒茶屋－夜勤")+COUNTIF('3月'!DY29:DZ29,"三軒茶屋－夜勤")+COUNTIF('3月'!ED29:EE29,"三軒茶屋－夜勤")+COUNTIF('3月'!EI29:EJ29,"三軒茶屋－夜勤")+COUNTIF('3月'!EN29:EO29,"三軒茶屋－夜勤")+COUNTIF('3月'!ES29:ET29,"三軒茶屋－夜勤")</f>
        <v>0</v>
      </c>
      <c r="O105" s="76">
        <f t="shared" si="30"/>
        <v>0</v>
      </c>
      <c r="P105" s="76">
        <f>COUNTIF('3月'!D29:E29,P$78)+COUNTIF('3月'!I29:J29,P$78)+COUNTIF('3月'!N29:O29,P$78)+COUNTIF('3月'!S29:T29,P$78)+COUNTIF('3月'!X29:Y29,P$78)+COUNTIF('3月'!AC29:AD29,P$78)+COUNTIF('3月'!AH29:AI29,P$78)+COUNTIF('3月'!AM29:AN29,P$78)+COUNTIF('3月'!AR29:AS29,P$78)+COUNTIF('3月'!AW29:AX29,P$78)+COUNTIF('3月'!BB29:BC29,P$78)+COUNTIF('3月'!BG29:BH29,P$78)+COUNTIF('3月'!BL29:BM29,P$78)+COUNTIF('3月'!BQ29:BR29,P$78)+COUNTIF('3月'!BV29:BW29,P$78)+COUNTIF('3月'!CA29:CB29,P$78)+COUNTIF('3月'!CF29:CG29,P$78)+COUNTIF('3月'!CK29:CL29,P$78)+COUNTIF('3月'!CP29:CQ29,P$78)+COUNTIF('3月'!CU29:CV29,P$78)+COUNTIF('3月'!CZ29:DA29,P$78)+COUNTIF('3月'!DE29:DF29,P$78)+COUNTIF('3月'!DJ29:DK29,P$78)+COUNTIF('3月'!DO29:DP29,P$78)+COUNTIF('3月'!DT29:DU29,P$78)+COUNTIF('3月'!DY29:DZ29,P$78)+COUNTIF('3月'!ED29:EE29,P$78)+COUNTIF('3月'!EI29:EJ29,P$78)+COUNTIF('3月'!EN29:EO29,P$78)+COUNTIF('3月'!ES29:ET29,P$78)+COUNTIF('3月'!D29:E29,"荻窪ー夜勤")+COUNTIF('3月'!I29:J29,"荻窪ー夜勤")+COUNTIF('3月'!N29:O29,"荻窪ー夜勤")+COUNTIF('3月'!S29:T29,"荻窪ー夜勤")+COUNTIF('3月'!X29:Y29,"荻窪ー夜勤")+COUNTIF('3月'!AC29:AD29,"荻窪ー夜勤")+COUNTIF('3月'!AH29:AI29,"荻窪ー夜勤")+COUNTIF('3月'!AM29:AN29,"荻窪ー夜勤")+COUNTIF('3月'!AR29:AS29,"荻窪ー夜勤")+COUNTIF('3月'!AW29:AX29,"荻窪ー夜勤")+COUNTIF('3月'!BB29:BC29,"荻窪ー夜勤")+COUNTIF('3月'!BG29:BH29,"荻窪ー夜勤")+COUNTIF('3月'!BL29:BM29,"荻窪ー夜勤")+COUNTIF('3月'!BQ29:BR29,"荻窪ー夜勤")+COUNTIF('3月'!BV29:BW29,"荻窪ー夜勤")+COUNTIF('3月'!CA29:CB29,"荻窪ー夜勤")+COUNTIF('3月'!CF29:CG29,"荻窪ー夜勤")+COUNTIF('3月'!CK29:CL29,"荻窪ー夜勤")+COUNTIF('3月'!CP29:CQ29,"荻窪ー夜勤")+COUNTIF('3月'!CU29:CV29,"荻窪ー夜勤")+COUNTIF('3月'!CZ29:DA29,"荻窪ー夜勤")+COUNTIF('3月'!DE29:DF29,"荻窪ー夜勤")+COUNTIF('3月'!DJ29:DK29,"荻窪ー夜勤")+COUNTIF('3月'!DO29:DP29,"荻窪ー夜勤")+COUNTIF('3月'!DT29:DU29,"荻窪ー夜勤")+COUNTIF('3月'!DY29:DZ29,"荻窪ー夜勤")+COUNTIF('3月'!ED29:EE29,"荻窪ー夜勤")+COUNTIF('3月'!EI29:EJ29,"荻窪ー夜勤")+COUNTIF('3月'!EN29:EO29,"荻窪ー夜勤")+COUNTIF('3月'!ES29:ET29,"荻窪ー夜勤")</f>
        <v>0</v>
      </c>
      <c r="Q105" s="76">
        <f t="shared" si="31"/>
        <v>0</v>
      </c>
      <c r="R105" s="76">
        <f>COUNTIF('3月'!D29:E29,R$78)+COUNTIF('3月'!I29:J29,R$78)+COUNTIF('3月'!N29:O29,R$78)+COUNTIF('3月'!S29:T29,R$78)+COUNTIF('3月'!X29:Y29,R$78)+COUNTIF('3月'!AC29:AD29,R$78)+COUNTIF('3月'!AH29:AI29,R$78)+COUNTIF('3月'!AM29:AN29,R$78)+COUNTIF('3月'!AR29:AS29,R$78)+COUNTIF('3月'!AW29:AX29,R$78)+COUNTIF('3月'!BB29:BC29,R$78)+COUNTIF('3月'!BG29:BH29,R$78)+COUNTIF('3月'!BL29:BM29,R$78)+COUNTIF('3月'!BQ29:BR29,R$78)+COUNTIF('3月'!BV29:BW29,R$78)+COUNTIF('3月'!CA29:CB29,R$78)+COUNTIF('3月'!CF29:CG29,R$78)+COUNTIF('3月'!CK29:CL29,R$78)+COUNTIF('3月'!CP29:CQ29,R$78)+COUNTIF('3月'!CU29:CV29,R$78)+COUNTIF('3月'!CZ29:DA29,R$78)+COUNTIF('3月'!DE29:DF29,R$78)+COUNTIF('3月'!DJ29:DK29,R$78)+COUNTIF('3月'!DO29:DP29,R$78)+COUNTIF('3月'!DT29:DU29,R$78)+COUNTIF('3月'!DY29:DZ29,R$78)+COUNTIF('3月'!ED29:EE29,R$78)+COUNTIF('3月'!EI29:EJ29,R$78)+COUNTIF('3月'!EN29:EO29,R$78)+COUNTIF('3月'!ES29:ET29,R$78)</f>
        <v>0</v>
      </c>
      <c r="S105" s="76">
        <f t="shared" si="32"/>
        <v>0</v>
      </c>
      <c r="T105" s="76">
        <f>COUNTIF('3月'!D29:E29,T$78)+COUNTIF('3月'!I29:J29,T$78)+COUNTIF('3月'!N29:O29,T$78)+COUNTIF('3月'!S29:T29,T$78)+COUNTIF('3月'!X29:Y29,T$78)+COUNTIF('3月'!AC29:AD29,T$78)+COUNTIF('3月'!AH29:AI29,T$78)+COUNTIF('3月'!AM29:AN29,T$78)+COUNTIF('3月'!AR29:AS29,T$78)+COUNTIF('3月'!AW29:AX29,T$78)+COUNTIF('3月'!BB29:BC29,T$78)+COUNTIF('3月'!BG29:BH29,T$78)+COUNTIF('3月'!BL29:BM29,T$78)+COUNTIF('3月'!BQ29:BR29,T$78)+COUNTIF('3月'!BV29:BW29,T$78)+COUNTIF('3月'!CA29:CB29,T$78)+COUNTIF('3月'!CF29:CG29,T$78)+COUNTIF('3月'!CK29:CL29,T$78)+COUNTIF('3月'!CP29:CQ29,T$78)+COUNTIF('3月'!CU29:CV29,T$78)+COUNTIF('3月'!CZ29:DA29,T$78)+COUNTIF('3月'!DE29:DF29,T$78)+COUNTIF('3月'!DJ29:DK29,T$78)+COUNTIF('3月'!DO29:DP29,T$78)+COUNTIF('3月'!DT29:DU29,T$78)+COUNTIF('3月'!DY29:DZ29,T$78)+COUNTIF('3月'!ED29:EE29,T$78)+COUNTIF('3月'!EI29:EJ29,T$78)+COUNTIF('3月'!EN29:EO29,T$78)+COUNTIF('3月'!ES29:ET29,T$78)</f>
        <v>0</v>
      </c>
      <c r="U105" s="76">
        <f t="shared" si="33"/>
        <v>0</v>
      </c>
      <c r="V105" s="76">
        <f>COUNTIF('3月'!D29:E29,V$78)+COUNTIF('3月'!I29:J29,V$78)+COUNTIF('3月'!N29:O29,V$78)+COUNTIF('3月'!S29:T29,V$78)+COUNTIF('3月'!X29:Y29,V$78)+COUNTIF('3月'!AC29:AD29,V$78)+COUNTIF('3月'!AH29:AI29,V$78)+COUNTIF('3月'!AM29:AN29,V$78)+COUNTIF('3月'!AR29:AS29,V$78)+COUNTIF('3月'!AW29:AX29,V$78)+COUNTIF('3月'!BB29:BC29,V$78)+COUNTIF('3月'!BG29:BH29,V$78)+COUNTIF('3月'!BL29:BM29,V$78)+COUNTIF('3月'!BQ29:BR29,V$78)+COUNTIF('3月'!BV29:BW29,V$78)+COUNTIF('3月'!CA29:CB29,V$78)+COUNTIF('3月'!CF29:CG29,V$78)+COUNTIF('3月'!CK29:CL29,V$78)+COUNTIF('3月'!CP29:CQ29,V$78)+COUNTIF('3月'!CU29:CV29,V$78)+COUNTIF('3月'!CZ29:DA29,V$78)+COUNTIF('3月'!DE29:DF29,V$78)+COUNTIF('3月'!DJ29:DK29,V$78)+COUNTIF('3月'!DO29:DP29,V$78)+COUNTIF('3月'!DT29:DU29,V$78)+COUNTIF('3月'!DY29:DZ29,V$78)+COUNTIF('3月'!ED29:EE29,V$78)+COUNTIF('3月'!EI29:EJ29,V$78)+COUNTIF('3月'!EN29:EO29,V$78)+COUNTIF('3月'!ES29:ET29,V$78)</f>
        <v>0</v>
      </c>
      <c r="W105" s="76">
        <f t="shared" si="34"/>
        <v>0</v>
      </c>
      <c r="X105" s="76">
        <f>COUNTIF('3月'!D29:E29,X$78)+COUNTIF('3月'!I29:J29,X$78)+COUNTIF('3月'!N29:O29,X$78)+COUNTIF('3月'!S29:T29,X$78)+COUNTIF('3月'!X29:Y29,X$78)+COUNTIF('3月'!AC29:AD29,X$78)+COUNTIF('3月'!AH29:AI29,X$78)+COUNTIF('3月'!AM29:AN29,X$78)+COUNTIF('3月'!AR29:AS29,X$78)+COUNTIF('3月'!AW29:AX29,X$78)+COUNTIF('3月'!BB29:BC29,X$78)+COUNTIF('3月'!BG29:BH29,X$78)+COUNTIF('3月'!BL29:BM29,X$78)+COUNTIF('3月'!BQ29:BR29,X$78)+COUNTIF('3月'!BV29:BW29,X$78)+COUNTIF('3月'!CA29:CB29,X$78)+COUNTIF('3月'!CF29:CG29,X$78)+COUNTIF('3月'!CK29:CL29,X$78)+COUNTIF('3月'!CP29:CQ29,X$78)+COUNTIF('3月'!CU29:CV29,X$78)+COUNTIF('3月'!CZ29:DA29,X$78)+COUNTIF('3月'!DE29:DF29,X$78)+COUNTIF('3月'!DJ29:DK29,X$78)+COUNTIF('3月'!DO29:DP29,X$78)+COUNTIF('3月'!DT29:DU29,X$78)+COUNTIF('3月'!DY29:DZ29,X$78)+COUNTIF('3月'!ED29:EE29,X$78)+COUNTIF('3月'!EI29:EJ29,X$78)+COUNTIF('3月'!EN29:EO29,X$78)+COUNTIF('3月'!ES29:ET29,X$78)</f>
        <v>0</v>
      </c>
      <c r="Y105" s="76">
        <f t="shared" si="35"/>
        <v>0</v>
      </c>
    </row>
    <row r="106" spans="1:25" ht="18" customHeight="1">
      <c r="A106" s="76">
        <v>27</v>
      </c>
      <c r="B106" s="76">
        <f>COUNTIF('3月'!D30:E30,B$78)+COUNTIF('3月'!I30:J30,B$78)+COUNTIF('3月'!N30:O30,B$78)+COUNTIF('3月'!S30:T30,B$78)+COUNTIF('3月'!X30:Y30,B$78)+COUNTIF('3月'!AC30:AD30,B$78)+COUNTIF('3月'!AH30:AI30,B$78)+COUNTIF('3月'!AM30:AN30,B$78)+COUNTIF('3月'!AR30:AS30,B$78)+COUNTIF('3月'!AW30:AX30,B$78)+COUNTIF('3月'!BB30:BC30,B$78)+COUNTIF('3月'!BG30:BH30,B$78)+COUNTIF('3月'!BL30:BM30,B$78)+COUNTIF('3月'!BQ30:BR30,B$78)+COUNTIF('3月'!BV30:BW30,B$78)+COUNTIF('3月'!CA30:CB30,B$78)+COUNTIF('3月'!CF30:CG30,B$78)+COUNTIF('3月'!CK30:CL30,B$78)+COUNTIF('3月'!CP30:CQ30,B$78)+COUNTIF('3月'!CU30:CV30,B$78)+COUNTIF('3月'!CZ30:DA30,B$78)+COUNTIF('3月'!DE30:DF30,B$78)+COUNTIF('3月'!DJ30:DK30,B$78)+COUNTIF('3月'!DO30:DP30,B$78)+COUNTIF('3月'!DT30:DU30,B$78)+COUNTIF('3月'!DY30:DZ30,B$78)+COUNTIF('3月'!ED30:EE30,B$78)+COUNTIF('3月'!EI30:EJ30,B$78)+COUNTIF('3月'!EN30:EO30,B$78)+COUNTIF('3月'!ES30:ET30,B$78)</f>
        <v>0</v>
      </c>
      <c r="C106" s="76">
        <f t="shared" si="24"/>
        <v>0</v>
      </c>
      <c r="D106" s="76">
        <f>COUNTIF('3月'!D30:E30,D$78)+COUNTIF('3月'!I30:J30,D$78)+COUNTIF('3月'!N30:O30,D$78)+COUNTIF('3月'!S30:T30,D$78)+COUNTIF('3月'!X30:Y30,D$78)+COUNTIF('3月'!AC30:AD30,D$78)+COUNTIF('3月'!AH30:AI30,D$78)+COUNTIF('3月'!AM30:AN30,D$78)+COUNTIF('3月'!AR30:AS30,D$78)+COUNTIF('3月'!AW30:AX30,D$78)+COUNTIF('3月'!BB30:BC30,D$78)+COUNTIF('3月'!BG30:BH30,D$78)+COUNTIF('3月'!BL30:BM30,D$78)+COUNTIF('3月'!BQ30:BR30,D$78)+COUNTIF('3月'!BV30:BW30,D$78)+COUNTIF('3月'!CA30:CB30,D$78)+COUNTIF('3月'!CF30:CG30,D$78)+COUNTIF('3月'!CK30:CL30,D$78)+COUNTIF('3月'!CP30:CQ30,D$78)+COUNTIF('3月'!CU30:CV30,D$78)+COUNTIF('3月'!CZ30:DA30,D$78)+COUNTIF('3月'!DE30:DF30,D$78)+COUNTIF('3月'!DJ30:DK30,D$78)+COUNTIF('3月'!DO30:DP30,D$78)+COUNTIF('3月'!DT30:DU30,D$78)+COUNTIF('3月'!DY30:DZ30,D$78)+COUNTIF('3月'!ED30:EE30,D$78)+COUNTIF('3月'!EI30:EJ30,D$78)+COUNTIF('3月'!EN30:EO30,D$78)+COUNTIF('3月'!ES30:ET30,D$78)</f>
        <v>0</v>
      </c>
      <c r="E106" s="76">
        <f t="shared" si="25"/>
        <v>0</v>
      </c>
      <c r="F106" s="76">
        <f>COUNTIF('3月'!D30:E30,F$78)+COUNTIF('3月'!I30:J30,F$78)+COUNTIF('3月'!N30:O30,F$78)+COUNTIF('3月'!S30:T30,F$78)+COUNTIF('3月'!X30:Y30,F$78)+COUNTIF('3月'!AC30:AD30,F$78)+COUNTIF('3月'!AH30:AI30,F$78)+COUNTIF('3月'!AM30:AN30,F$78)+COUNTIF('3月'!AR30:AS30,F$78)+COUNTIF('3月'!AW30:AX30,F$78)+COUNTIF('3月'!BB30:BC30,F$78)+COUNTIF('3月'!BG30:BH30,F$78)+COUNTIF('3月'!BL30:BM30,F$78)+COUNTIF('3月'!BQ30:BR30,F$78)+COUNTIF('3月'!BV30:BW30,F$78)+COUNTIF('3月'!CA30:CB30,F$78)+COUNTIF('3月'!CF30:CG30,F$78)+COUNTIF('3月'!CK30:CL30,F$78)+COUNTIF('3月'!CP30:CQ30,F$78)+COUNTIF('3月'!CU30:CV30,F$78)+COUNTIF('3月'!CZ30:DA30,F$78)+COUNTIF('3月'!DE30:DF30,F$78)+COUNTIF('3月'!DJ30:DK30,F$78)+COUNTIF('3月'!DO30:DP30,F$78)+COUNTIF('3月'!DT30:DU30,F$78)+COUNTIF('3月'!DY30:DZ30,F$78)+COUNTIF('3月'!ED30:EE30,F$78)+COUNTIF('3月'!EI30:EJ30,F$78)+COUNTIF('3月'!EN30:EO30,F$78)+COUNTIF('3月'!ES30:ET30,F$78)</f>
        <v>0</v>
      </c>
      <c r="G106" s="76">
        <f t="shared" si="26"/>
        <v>0</v>
      </c>
      <c r="H106" s="76">
        <f>COUNTIF('3月'!D30:E30,H$78)+COUNTIF('3月'!I30:J30,H$78)+COUNTIF('3月'!N30:O30,H$78)+COUNTIF('3月'!S30:T30,H$78)+COUNTIF('3月'!X30:Y30,H$78)+COUNTIF('3月'!AC30:AD30,H$78)+COUNTIF('3月'!AH30:AI30,H$78)+COUNTIF('3月'!AM30:AN30,H$78)+COUNTIF('3月'!AR30:AS30,H$78)+COUNTIF('3月'!AW30:AX30,H$78)+COUNTIF('3月'!BB30:BC30,H$78)+COUNTIF('3月'!BG30:BH30,H$78)+COUNTIF('3月'!BL30:BM30,H$78)+COUNTIF('3月'!BQ30:BR30,H$78)+COUNTIF('3月'!BV30:BW30,H$78)+COUNTIF('3月'!CA30:CB30,H$78)+COUNTIF('3月'!CF30:CG30,H$78)+COUNTIF('3月'!CK30:CL30,H$78)+COUNTIF('3月'!CP30:CQ30,H$78)+COUNTIF('3月'!CU30:CV30,H$78)+COUNTIF('3月'!CZ30:DA30,H$78)+COUNTIF('3月'!DE30:DF30,H$78)+COUNTIF('3月'!DJ30:DK30,H$78)+COUNTIF('3月'!DO30:DP30,H$78)+COUNTIF('3月'!DT30:DU30,H$78)+COUNTIF('3月'!DY30:DZ30,H$78)+COUNTIF('3月'!ED30:EE30,H$78)+COUNTIF('3月'!EI30:EJ30,H$78)+COUNTIF('3月'!EN30:EO30,H$78)+COUNTIF('3月'!ES30:ET30,H$78)+COUNTIF('3月'!D30:E30,"渋谷-夜勤")+COUNTIF('3月'!I30:J30,"渋谷-夜勤")+COUNTIF('3月'!N30:O30,"渋谷-夜勤")+COUNTIF('3月'!S30:T30,"渋谷-夜勤")+COUNTIF('3月'!X30:Y30,"渋谷-夜勤")+COUNTIF('3月'!AC30:AD30,"渋谷-夜勤")+COUNTIF('3月'!AH30:AI30,"渋谷-夜勤")+COUNTIF('3月'!AM30:AN30,"渋谷-夜勤")+COUNTIF('3月'!AR30:AS30,"渋谷-夜勤")+COUNTIF('3月'!AW30:AX30,"渋谷-夜勤")+COUNTIF('3月'!BB30:BC30,"渋谷-夜勤")+COUNTIF('3月'!BG30:BH30,"渋谷-夜勤")+COUNTIF('3月'!BL30:BM30,"渋谷-夜勤")+COUNTIF('3月'!BQ30:BR30,"渋谷-夜勤")+COUNTIF('3月'!BV30:BW30,"渋谷-夜勤")+COUNTIF('3月'!CA30:CB30,"渋谷-夜勤")+COUNTIF('3月'!CF30:CG30,"渋谷-夜勤")+COUNTIF('3月'!CK30:CL30,"渋谷-夜勤")+COUNTIF('3月'!CP30:CQ30,"渋谷-夜勤")+COUNTIF('3月'!CU30:CV30,"渋谷-夜勤")+COUNTIF('3月'!CZ30:DA30,"渋谷-夜勤")+COUNTIF('3月'!DE30:DF30,"渋谷-夜勤")+COUNTIF('3月'!DJ30:DK30,"渋谷-夜勤")+COUNTIF('3月'!DO30:DP30,"渋谷-夜勤")+COUNTIF('3月'!DT30:DU30,"渋谷-夜勤")+COUNTIF('3月'!DY30:DZ30,"渋谷-夜勤")+COUNTIF('3月'!ED30:EE30,"渋谷-夜勤")+COUNTIF('3月'!EI30:EJ30,"渋谷-夜勤")+COUNTIF('3月'!EN30:EO30,"渋谷-夜勤")+COUNTIF('3月'!ES30:ET30,"渋谷-夜勤")</f>
        <v>0</v>
      </c>
      <c r="I106" s="76">
        <f t="shared" si="27"/>
        <v>0</v>
      </c>
      <c r="J106" s="76">
        <f>COUNTIF('3月'!D30:E30,J$78)+COUNTIF('3月'!I30:J30,J$78)+COUNTIF('3月'!N30:O30,J$78)+COUNTIF('3月'!S30:T30,J$78)+COUNTIF('3月'!X30:Y30,J$78)+COUNTIF('3月'!AC30:AD30,J$78)+COUNTIF('3月'!AH30:AI30,J$78)+COUNTIF('3月'!AM30:AN30,J$78)+COUNTIF('3月'!AR30:AS30,J$78)+COUNTIF('3月'!AW30:AX30,J$78)+COUNTIF('3月'!BB30:BC30,J$78)+COUNTIF('3月'!BG30:BH30,J$78)+COUNTIF('3月'!BL30:BM30,J$78)+COUNTIF('3月'!BQ30:BR30,J$78)+COUNTIF('3月'!BV30:BW30,J$78)+COUNTIF('3月'!CA30:CB30,J$78)+COUNTIF('3月'!CF30:CG30,J$78)+COUNTIF('3月'!CK30:CL30,J$78)+COUNTIF('3月'!CP30:CQ30,J$78)+COUNTIF('3月'!CU30:CV30,J$78)+COUNTIF('3月'!CZ30:DA30,J$78)+COUNTIF('3月'!DE30:DF30,J$78)+COUNTIF('3月'!DJ30:DK30,J$78)+COUNTIF('3月'!DO30:DP30,J$78)+COUNTIF('3月'!DT30:DU30,J$78)+COUNTIF('3月'!DY30:DZ30,J$78)+COUNTIF('3月'!ED30:EE30,J$78)+COUNTIF('3月'!EI30:EJ30,J$78)+COUNTIF('3月'!EN30:EO30,J$78)+COUNTIF('3月'!ES30:ET30,J$78)+COUNTIF('3月'!D30:E30,"六本木-夜勤")+COUNTIF('3月'!I30:J30,"六本木-夜勤")+COUNTIF('3月'!N30:O30,"六本木-夜勤")+COUNTIF('3月'!S30:T30,"六本木-夜勤")+COUNTIF('3月'!X30:Y30,"六本木-夜勤")+COUNTIF('3月'!AC30:AD30,"六本木-夜勤")+COUNTIF('3月'!AH30:AI30,"六本木-夜勤")+COUNTIF('3月'!AM30:AN30,"六本木-夜勤")+COUNTIF('3月'!AR30:AS30,"六本木-夜勤")+COUNTIF('3月'!AW30:AX30,"六本木-夜勤")+COUNTIF('3月'!BB30:BC30,"六本木-夜勤")+COUNTIF('3月'!BG30:BH30,"六本木-夜勤")+COUNTIF('3月'!BL30:BM30,"六本木-夜勤")+COUNTIF('3月'!BQ30:BR30,"六本木-夜勤")+COUNTIF('3月'!BV30:BW30,"六本木-夜勤")+COUNTIF('3月'!CA30:CB30,"六本木-夜勤")+COUNTIF('3月'!CF30:CG30,"六本木-夜勤")+COUNTIF('3月'!CK30:CL30,"六本木-夜勤")+COUNTIF('3月'!CP30:CQ30,"六本木-夜勤")+COUNTIF('3月'!CU30:CV30,"六本木-夜勤")+COUNTIF('3月'!CZ30:DA30,"六本木-夜勤")+COUNTIF('3月'!DE30:DF30,"六本木-夜勤")+COUNTIF('3月'!DJ30:DK30,"六本木-夜勤")+COUNTIF('3月'!DO30:DP30,"六本木-夜勤")+COUNTIF('3月'!DT30:DU30,"六本木-夜勤")+COUNTIF('3月'!DY30:DZ30,"六本木-夜勤")+COUNTIF('3月'!ED30:EE30,"六本木-夜勤")+COUNTIF('3月'!EI30:EJ30,"六本木-夜勤")+COUNTIF('3月'!EN30:EO30,"六本木-夜勤")+COUNTIF('3月'!ES30:ET30,"六本木-夜勤")+COUNTIF('3月'!D30:E30,"六本木ー夜勤")+COUNTIF('3月'!I30:J30,"六本木ー夜勤")+COUNTIF('3月'!N30:O30,"六本木ー夜勤")+COUNTIF('3月'!S30:T30,"六本木ー夜勤")+COUNTIF('3月'!X30:Y30,"六本木ー夜勤")+COUNTIF('3月'!AC30:AD30,"六本木ー夜勤")+COUNTIF('3月'!AH30:AI30,"六本木ー夜勤")+COUNTIF('3月'!AM30:AN30,"六本木ー夜勤")+COUNTIF('3月'!AR30:AS30,"六本木ー夜勤")+COUNTIF('3月'!AW30:AX30,"六本木ー夜勤")+COUNTIF('3月'!BB30:BC30,"六本木ー夜勤")+COUNTIF('3月'!BG30:BH30,"六本木ー夜勤")+COUNTIF('3月'!BL30:BM30,"六本木ー夜勤")+COUNTIF('3月'!BQ30:BR30,"六本木ー夜勤")+COUNTIF('3月'!BV30:BW30,"六本木ー夜勤")+COUNTIF('3月'!CA30:CB30,"六本木ー夜勤")+COUNTIF('3月'!CF30:CG30,"六本木ー夜勤")+COUNTIF('3月'!CK30:CL30,"六本木ー夜勤")+COUNTIF('3月'!CP30:CQ30,"六本木ー夜勤")+COUNTIF('3月'!CU30:CV30,"六本木ー夜勤")+COUNTIF('3月'!CZ30:DA30,"六本木ー夜勤")+COUNTIF('3月'!DE30:DF30,"六本木ー夜勤")+COUNTIF('3月'!DJ30:DK30,"六本木ー夜勤")+COUNTIF('3月'!DO30:DP30,"六本木ー夜勤")+COUNTIF('3月'!DT30:DU30,"六本木ー夜勤")+COUNTIF('3月'!DY30:DZ30,"六本木ー夜勤")+COUNTIF('3月'!ED30:EE30,"六本木ー夜勤")+COUNTIF('3月'!EI30:EJ30,"六本木ー夜勤")+COUNTIF('3月'!EN30:EO30,"六本木ー夜勤")+COUNTIF('3月'!ES30:ET30,"六本木ー夜勤")</f>
        <v>0</v>
      </c>
      <c r="K106" s="76">
        <f t="shared" si="28"/>
        <v>0</v>
      </c>
      <c r="L106" s="76">
        <f>COUNTIF('3月'!D30:E30,L$78)+COUNTIF('3月'!I30:J30,L$78)+COUNTIF('3月'!N30:O30,L$78)+COUNTIF('3月'!S30:T30,L$78)+COUNTIF('3月'!X30:Y30,L$78)+COUNTIF('3月'!AC30:AD30,L$78)+COUNTIF('3月'!AH30:AI30,L$78)+COUNTIF('3月'!AM30:AN30,L$78)+COUNTIF('3月'!AR30:AS30,L$78)+COUNTIF('3月'!AW30:AX30,L$78)+COUNTIF('3月'!BB30:BC30,L$78)+COUNTIF('3月'!BG30:BH30,L$78)+COUNTIF('3月'!BL30:BM30,L$78)+COUNTIF('3月'!BQ30:BR30,L$78)+COUNTIF('3月'!BV30:BW30,L$78)+COUNTIF('3月'!CA30:CB30,L$78)+COUNTIF('3月'!CF30:CG30,L$78)+COUNTIF('3月'!CK30:CL30,L$78)+COUNTIF('3月'!CP30:CQ30,L$78)+COUNTIF('3月'!CU30:CV30,L$78)+COUNTIF('3月'!CZ30:DA30,L$78)+COUNTIF('3月'!DE30:DF30,L$78)+COUNTIF('3月'!DJ30:DK30,L$78)+COUNTIF('3月'!DO30:DP30,L$78)+COUNTIF('3月'!DT30:DU30,L$78)+COUNTIF('3月'!DY30:DZ30,L$78)+COUNTIF('3月'!ED30:EE30,L$78)+COUNTIF('3月'!EI30:EJ30,L$78)+COUNTIF('3月'!EN30:EO30,L$78)+COUNTIF('3月'!ES30:ET30,L$78)</f>
        <v>0</v>
      </c>
      <c r="M106" s="76">
        <f t="shared" si="29"/>
        <v>0</v>
      </c>
      <c r="N106" s="76">
        <f>COUNTIF('3月'!D30:E30,N$78)+COUNTIF('3月'!I30:J30,N$78)+COUNTIF('3月'!N30:O30,N$78)+COUNTIF('3月'!S30:T30,N$78)+COUNTIF('3月'!X30:Y30,N$78)+COUNTIF('3月'!AC30:AD30,N$78)+COUNTIF('3月'!AH30:AI30,N$78)+COUNTIF('3月'!AM30:AN30,N$78)+COUNTIF('3月'!AR30:AS30,N$78)+COUNTIF('3月'!AW30:AX30,N$78)+COUNTIF('3月'!BB30:BC30,N$78)+COUNTIF('3月'!BG30:BH30,N$78)+COUNTIF('3月'!BL30:BM30,N$78)+COUNTIF('3月'!BQ30:BR30,N$78)+COUNTIF('3月'!BV30:BW30,N$78)+COUNTIF('3月'!CA30:CB30,N$78)+COUNTIF('3月'!CF30:CG30,N$78)+COUNTIF('3月'!CK30:CL30,N$78)+COUNTIF('3月'!CP30:CQ30,N$78)+COUNTIF('3月'!CU30:CV30,N$78)+COUNTIF('3月'!CZ30:DA30,N$78)+COUNTIF('3月'!DE30:DF30,N$78)+COUNTIF('3月'!DJ30:DK30,N$78)+COUNTIF('3月'!DO30:DP30,N$78)+COUNTIF('3月'!DT30:DU30,N$78)+COUNTIF('3月'!DY30:DZ30,N$78)+COUNTIF('3月'!ED30:EE30,N$78)+COUNTIF('3月'!EI30:EJ30,N$78)+COUNTIF('3月'!EN30:EO30,N$78)+COUNTIF('3月'!ES30:ET30,N$78)+COUNTIF('3月'!D30:E30,"三軒茶屋－夜勤")+COUNTIF('3月'!I30:J30,"三軒茶屋－夜勤")+COUNTIF('3月'!N30:O30,"三軒茶屋－夜勤")+COUNTIF('3月'!S30:T30,"三軒茶屋－夜勤")+COUNTIF('3月'!X30:Y30,"三軒茶屋－夜勤")+COUNTIF('3月'!AC30:AD30,"三軒茶屋－夜勤")+COUNTIF('3月'!AH30:AI30,"三軒茶屋－夜勤")+COUNTIF('3月'!AM30:AN30,"三軒茶屋－夜勤")+COUNTIF('3月'!AR30:AS30,"三軒茶屋－夜勤")+COUNTIF('3月'!AW30:AX30,"三軒茶屋－夜勤")+COUNTIF('3月'!BB30:BC30,"三軒茶屋－夜勤")+COUNTIF('3月'!BG30:BH30,"三軒茶屋－夜勤")+COUNTIF('3月'!BL30:BM30,"三軒茶屋－夜勤")+COUNTIF('3月'!BQ30:BR30,"三軒茶屋－夜勤")+COUNTIF('3月'!BV30:BW30,"三軒茶屋－夜勤")+COUNTIF('3月'!CA30:CB30,"三軒茶屋－夜勤")+COUNTIF('3月'!CF30:CG30,"三軒茶屋－夜勤")+COUNTIF('3月'!CK30:CL30,"三軒茶屋－夜勤")+COUNTIF('3月'!CP30:CQ30,"三軒茶屋－夜勤")+COUNTIF('3月'!CU30:CV30,"三軒茶屋－夜勤")+COUNTIF('3月'!CZ30:DA30,"三軒茶屋－夜勤")+COUNTIF('3月'!DE30:DF30,"三軒茶屋－夜勤")+COUNTIF('3月'!DJ30:DK30,"三軒茶屋－夜勤")+COUNTIF('3月'!DO30:DP30,"三軒茶屋－夜勤")+COUNTIF('3月'!DT30:DU30,"三軒茶屋－夜勤")+COUNTIF('3月'!DY30:DZ30,"三軒茶屋－夜勤")+COUNTIF('3月'!ED30:EE30,"三軒茶屋－夜勤")+COUNTIF('3月'!EI30:EJ30,"三軒茶屋－夜勤")+COUNTIF('3月'!EN30:EO30,"三軒茶屋－夜勤")+COUNTIF('3月'!ES30:ET30,"三軒茶屋－夜勤")</f>
        <v>0</v>
      </c>
      <c r="O106" s="76">
        <f t="shared" si="30"/>
        <v>0</v>
      </c>
      <c r="P106" s="76">
        <f>COUNTIF('3月'!D30:E30,P$78)+COUNTIF('3月'!I30:J30,P$78)+COUNTIF('3月'!N30:O30,P$78)+COUNTIF('3月'!S30:T30,P$78)+COUNTIF('3月'!X30:Y30,P$78)+COUNTIF('3月'!AC30:AD30,P$78)+COUNTIF('3月'!AH30:AI30,P$78)+COUNTIF('3月'!AM30:AN30,P$78)+COUNTIF('3月'!AR30:AS30,P$78)+COUNTIF('3月'!AW30:AX30,P$78)+COUNTIF('3月'!BB30:BC30,P$78)+COUNTIF('3月'!BG30:BH30,P$78)+COUNTIF('3月'!BL30:BM30,P$78)+COUNTIF('3月'!BQ30:BR30,P$78)+COUNTIF('3月'!BV30:BW30,P$78)+COUNTIF('3月'!CA30:CB30,P$78)+COUNTIF('3月'!CF30:CG30,P$78)+COUNTIF('3月'!CK30:CL30,P$78)+COUNTIF('3月'!CP30:CQ30,P$78)+COUNTIF('3月'!CU30:CV30,P$78)+COUNTIF('3月'!CZ30:DA30,P$78)+COUNTIF('3月'!DE30:DF30,P$78)+COUNTIF('3月'!DJ30:DK30,P$78)+COUNTIF('3月'!DO30:DP30,P$78)+COUNTIF('3月'!DT30:DU30,P$78)+COUNTIF('3月'!DY30:DZ30,P$78)+COUNTIF('3月'!ED30:EE30,P$78)+COUNTIF('3月'!EI30:EJ30,P$78)+COUNTIF('3月'!EN30:EO30,P$78)+COUNTIF('3月'!ES30:ET30,P$78)+COUNTIF('3月'!D30:E30,"荻窪ー夜勤")+COUNTIF('3月'!I30:J30,"荻窪ー夜勤")+COUNTIF('3月'!N30:O30,"荻窪ー夜勤")+COUNTIF('3月'!S30:T30,"荻窪ー夜勤")+COUNTIF('3月'!X30:Y30,"荻窪ー夜勤")+COUNTIF('3月'!AC30:AD30,"荻窪ー夜勤")+COUNTIF('3月'!AH30:AI30,"荻窪ー夜勤")+COUNTIF('3月'!AM30:AN30,"荻窪ー夜勤")+COUNTIF('3月'!AR30:AS30,"荻窪ー夜勤")+COUNTIF('3月'!AW30:AX30,"荻窪ー夜勤")+COUNTIF('3月'!BB30:BC30,"荻窪ー夜勤")+COUNTIF('3月'!BG30:BH30,"荻窪ー夜勤")+COUNTIF('3月'!BL30:BM30,"荻窪ー夜勤")+COUNTIF('3月'!BQ30:BR30,"荻窪ー夜勤")+COUNTIF('3月'!BV30:BW30,"荻窪ー夜勤")+COUNTIF('3月'!CA30:CB30,"荻窪ー夜勤")+COUNTIF('3月'!CF30:CG30,"荻窪ー夜勤")+COUNTIF('3月'!CK30:CL30,"荻窪ー夜勤")+COUNTIF('3月'!CP30:CQ30,"荻窪ー夜勤")+COUNTIF('3月'!CU30:CV30,"荻窪ー夜勤")+COUNTIF('3月'!CZ30:DA30,"荻窪ー夜勤")+COUNTIF('3月'!DE30:DF30,"荻窪ー夜勤")+COUNTIF('3月'!DJ30:DK30,"荻窪ー夜勤")+COUNTIF('3月'!DO30:DP30,"荻窪ー夜勤")+COUNTIF('3月'!DT30:DU30,"荻窪ー夜勤")+COUNTIF('3月'!DY30:DZ30,"荻窪ー夜勤")+COUNTIF('3月'!ED30:EE30,"荻窪ー夜勤")+COUNTIF('3月'!EI30:EJ30,"荻窪ー夜勤")+COUNTIF('3月'!EN30:EO30,"荻窪ー夜勤")+COUNTIF('3月'!ES30:ET30,"荻窪ー夜勤")</f>
        <v>0</v>
      </c>
      <c r="Q106" s="76">
        <f t="shared" si="31"/>
        <v>0</v>
      </c>
      <c r="R106" s="76">
        <f>COUNTIF('3月'!D30:E30,R$78)+COUNTIF('3月'!I30:J30,R$78)+COUNTIF('3月'!N30:O30,R$78)+COUNTIF('3月'!S30:T30,R$78)+COUNTIF('3月'!X30:Y30,R$78)+COUNTIF('3月'!AC30:AD30,R$78)+COUNTIF('3月'!AH30:AI30,R$78)+COUNTIF('3月'!AM30:AN30,R$78)+COUNTIF('3月'!AR30:AS30,R$78)+COUNTIF('3月'!AW30:AX30,R$78)+COUNTIF('3月'!BB30:BC30,R$78)+COUNTIF('3月'!BG30:BH30,R$78)+COUNTIF('3月'!BL30:BM30,R$78)+COUNTIF('3月'!BQ30:BR30,R$78)+COUNTIF('3月'!BV30:BW30,R$78)+COUNTIF('3月'!CA30:CB30,R$78)+COUNTIF('3月'!CF30:CG30,R$78)+COUNTIF('3月'!CK30:CL30,R$78)+COUNTIF('3月'!CP30:CQ30,R$78)+COUNTIF('3月'!CU30:CV30,R$78)+COUNTIF('3月'!CZ30:DA30,R$78)+COUNTIF('3月'!DE30:DF30,R$78)+COUNTIF('3月'!DJ30:DK30,R$78)+COUNTIF('3月'!DO30:DP30,R$78)+COUNTIF('3月'!DT30:DU30,R$78)+COUNTIF('3月'!DY30:DZ30,R$78)+COUNTIF('3月'!ED30:EE30,R$78)+COUNTIF('3月'!EI30:EJ30,R$78)+COUNTIF('3月'!EN30:EO30,R$78)+COUNTIF('3月'!ES30:ET30,R$78)</f>
        <v>0</v>
      </c>
      <c r="S106" s="76">
        <f t="shared" si="32"/>
        <v>0</v>
      </c>
      <c r="T106" s="76">
        <f>COUNTIF('3月'!D30:E30,T$78)+COUNTIF('3月'!I30:J30,T$78)+COUNTIF('3月'!N30:O30,T$78)+COUNTIF('3月'!S30:T30,T$78)+COUNTIF('3月'!X30:Y30,T$78)+COUNTIF('3月'!AC30:AD30,T$78)+COUNTIF('3月'!AH30:AI30,T$78)+COUNTIF('3月'!AM30:AN30,T$78)+COUNTIF('3月'!AR30:AS30,T$78)+COUNTIF('3月'!AW30:AX30,T$78)+COUNTIF('3月'!BB30:BC30,T$78)+COUNTIF('3月'!BG30:BH30,T$78)+COUNTIF('3月'!BL30:BM30,T$78)+COUNTIF('3月'!BQ30:BR30,T$78)+COUNTIF('3月'!BV30:BW30,T$78)+COUNTIF('3月'!CA30:CB30,T$78)+COUNTIF('3月'!CF30:CG30,T$78)+COUNTIF('3月'!CK30:CL30,T$78)+COUNTIF('3月'!CP30:CQ30,T$78)+COUNTIF('3月'!CU30:CV30,T$78)+COUNTIF('3月'!CZ30:DA30,T$78)+COUNTIF('3月'!DE30:DF30,T$78)+COUNTIF('3月'!DJ30:DK30,T$78)+COUNTIF('3月'!DO30:DP30,T$78)+COUNTIF('3月'!DT30:DU30,T$78)+COUNTIF('3月'!DY30:DZ30,T$78)+COUNTIF('3月'!ED30:EE30,T$78)+COUNTIF('3月'!EI30:EJ30,T$78)+COUNTIF('3月'!EN30:EO30,T$78)+COUNTIF('3月'!ES30:ET30,T$78)</f>
        <v>0</v>
      </c>
      <c r="U106" s="76">
        <f t="shared" si="33"/>
        <v>0</v>
      </c>
      <c r="V106" s="76">
        <f>COUNTIF('3月'!D30:E30,V$78)+COUNTIF('3月'!I30:J30,V$78)+COUNTIF('3月'!N30:O30,V$78)+COUNTIF('3月'!S30:T30,V$78)+COUNTIF('3月'!X30:Y30,V$78)+COUNTIF('3月'!AC30:AD30,V$78)+COUNTIF('3月'!AH30:AI30,V$78)+COUNTIF('3月'!AM30:AN30,V$78)+COUNTIF('3月'!AR30:AS30,V$78)+COUNTIF('3月'!AW30:AX30,V$78)+COUNTIF('3月'!BB30:BC30,V$78)+COUNTIF('3月'!BG30:BH30,V$78)+COUNTIF('3月'!BL30:BM30,V$78)+COUNTIF('3月'!BQ30:BR30,V$78)+COUNTIF('3月'!BV30:BW30,V$78)+COUNTIF('3月'!CA30:CB30,V$78)+COUNTIF('3月'!CF30:CG30,V$78)+COUNTIF('3月'!CK30:CL30,V$78)+COUNTIF('3月'!CP30:CQ30,V$78)+COUNTIF('3月'!CU30:CV30,V$78)+COUNTIF('3月'!CZ30:DA30,V$78)+COUNTIF('3月'!DE30:DF30,V$78)+COUNTIF('3月'!DJ30:DK30,V$78)+COUNTIF('3月'!DO30:DP30,V$78)+COUNTIF('3月'!DT30:DU30,V$78)+COUNTIF('3月'!DY30:DZ30,V$78)+COUNTIF('3月'!ED30:EE30,V$78)+COUNTIF('3月'!EI30:EJ30,V$78)+COUNTIF('3月'!EN30:EO30,V$78)+COUNTIF('3月'!ES30:ET30,V$78)</f>
        <v>0</v>
      </c>
      <c r="W106" s="76">
        <f t="shared" si="34"/>
        <v>0</v>
      </c>
      <c r="X106" s="76">
        <f>COUNTIF('3月'!D30:E30,X$78)+COUNTIF('3月'!I30:J30,X$78)+COUNTIF('3月'!N30:O30,X$78)+COUNTIF('3月'!S30:T30,X$78)+COUNTIF('3月'!X30:Y30,X$78)+COUNTIF('3月'!AC30:AD30,X$78)+COUNTIF('3月'!AH30:AI30,X$78)+COUNTIF('3月'!AM30:AN30,X$78)+COUNTIF('3月'!AR30:AS30,X$78)+COUNTIF('3月'!AW30:AX30,X$78)+COUNTIF('3月'!BB30:BC30,X$78)+COUNTIF('3月'!BG30:BH30,X$78)+COUNTIF('3月'!BL30:BM30,X$78)+COUNTIF('3月'!BQ30:BR30,X$78)+COUNTIF('3月'!BV30:BW30,X$78)+COUNTIF('3月'!CA30:CB30,X$78)+COUNTIF('3月'!CF30:CG30,X$78)+COUNTIF('3月'!CK30:CL30,X$78)+COUNTIF('3月'!CP30:CQ30,X$78)+COUNTIF('3月'!CU30:CV30,X$78)+COUNTIF('3月'!CZ30:DA30,X$78)+COUNTIF('3月'!DE30:DF30,X$78)+COUNTIF('3月'!DJ30:DK30,X$78)+COUNTIF('3月'!DO30:DP30,X$78)+COUNTIF('3月'!DT30:DU30,X$78)+COUNTIF('3月'!DY30:DZ30,X$78)+COUNTIF('3月'!ED30:EE30,X$78)+COUNTIF('3月'!EI30:EJ30,X$78)+COUNTIF('3月'!EN30:EO30,X$78)+COUNTIF('3月'!ES30:ET30,X$78)</f>
        <v>0</v>
      </c>
      <c r="Y106" s="76">
        <f t="shared" si="35"/>
        <v>0</v>
      </c>
    </row>
    <row r="107" spans="1:25" ht="18" customHeight="1">
      <c r="A107" s="76">
        <v>28</v>
      </c>
      <c r="B107" s="76">
        <f>COUNTIF('3月'!D31:E31,B$78)+COUNTIF('3月'!I31:J31,B$78)+COUNTIF('3月'!N31:O31,B$78)+COUNTIF('3月'!S31:T31,B$78)+COUNTIF('3月'!X31:Y31,B$78)+COUNTIF('3月'!AC31:AD31,B$78)+COUNTIF('3月'!AH31:AI31,B$78)+COUNTIF('3月'!AM31:AN31,B$78)+COUNTIF('3月'!AR31:AS31,B$78)+COUNTIF('3月'!AW31:AX31,B$78)+COUNTIF('3月'!BB31:BC31,B$78)+COUNTIF('3月'!BG31:BH31,B$78)+COUNTIF('3月'!BL31:BM31,B$78)+COUNTIF('3月'!BQ31:BR31,B$78)+COUNTIF('3月'!BV31:BW31,B$78)+COUNTIF('3月'!CA31:CB31,B$78)+COUNTIF('3月'!CF31:CG31,B$78)+COUNTIF('3月'!CK31:CL31,B$78)+COUNTIF('3月'!CP31:CQ31,B$78)+COUNTIF('3月'!CU31:CV31,B$78)+COUNTIF('3月'!CZ31:DA31,B$78)+COUNTIF('3月'!DE31:DF31,B$78)+COUNTIF('3月'!DJ31:DK31,B$78)+COUNTIF('3月'!DO31:DP31,B$78)+COUNTIF('3月'!DT31:DU31,B$78)+COUNTIF('3月'!DY31:DZ31,B$78)+COUNTIF('3月'!ED31:EE31,B$78)+COUNTIF('3月'!EI31:EJ31,B$78)+COUNTIF('3月'!EN31:EO31,B$78)+COUNTIF('3月'!ES31:ET31,B$78)</f>
        <v>0</v>
      </c>
      <c r="C107" s="76">
        <f t="shared" si="24"/>
        <v>0</v>
      </c>
      <c r="D107" s="76">
        <f>COUNTIF('3月'!D31:E31,D$78)+COUNTIF('3月'!I31:J31,D$78)+COUNTIF('3月'!N31:O31,D$78)+COUNTIF('3月'!S31:T31,D$78)+COUNTIF('3月'!X31:Y31,D$78)+COUNTIF('3月'!AC31:AD31,D$78)+COUNTIF('3月'!AH31:AI31,D$78)+COUNTIF('3月'!AM31:AN31,D$78)+COUNTIF('3月'!AR31:AS31,D$78)+COUNTIF('3月'!AW31:AX31,D$78)+COUNTIF('3月'!BB31:BC31,D$78)+COUNTIF('3月'!BG31:BH31,D$78)+COUNTIF('3月'!BL31:BM31,D$78)+COUNTIF('3月'!BQ31:BR31,D$78)+COUNTIF('3月'!BV31:BW31,D$78)+COUNTIF('3月'!CA31:CB31,D$78)+COUNTIF('3月'!CF31:CG31,D$78)+COUNTIF('3月'!CK31:CL31,D$78)+COUNTIF('3月'!CP31:CQ31,D$78)+COUNTIF('3月'!CU31:CV31,D$78)+COUNTIF('3月'!CZ31:DA31,D$78)+COUNTIF('3月'!DE31:DF31,D$78)+COUNTIF('3月'!DJ31:DK31,D$78)+COUNTIF('3月'!DO31:DP31,D$78)+COUNTIF('3月'!DT31:DU31,D$78)+COUNTIF('3月'!DY31:DZ31,D$78)+COUNTIF('3月'!ED31:EE31,D$78)+COUNTIF('3月'!EI31:EJ31,D$78)+COUNTIF('3月'!EN31:EO31,D$78)+COUNTIF('3月'!ES31:ET31,D$78)</f>
        <v>0</v>
      </c>
      <c r="E107" s="76">
        <f t="shared" si="25"/>
        <v>0</v>
      </c>
      <c r="F107" s="76">
        <f>COUNTIF('3月'!D31:E31,F$78)+COUNTIF('3月'!I31:J31,F$78)+COUNTIF('3月'!N31:O31,F$78)+COUNTIF('3月'!S31:T31,F$78)+COUNTIF('3月'!X31:Y31,F$78)+COUNTIF('3月'!AC31:AD31,F$78)+COUNTIF('3月'!AH31:AI31,F$78)+COUNTIF('3月'!AM31:AN31,F$78)+COUNTIF('3月'!AR31:AS31,F$78)+COUNTIF('3月'!AW31:AX31,F$78)+COUNTIF('3月'!BB31:BC31,F$78)+COUNTIF('3月'!BG31:BH31,F$78)+COUNTIF('3月'!BL31:BM31,F$78)+COUNTIF('3月'!BQ31:BR31,F$78)+COUNTIF('3月'!BV31:BW31,F$78)+COUNTIF('3月'!CA31:CB31,F$78)+COUNTIF('3月'!CF31:CG31,F$78)+COUNTIF('3月'!CK31:CL31,F$78)+COUNTIF('3月'!CP31:CQ31,F$78)+COUNTIF('3月'!CU31:CV31,F$78)+COUNTIF('3月'!CZ31:DA31,F$78)+COUNTIF('3月'!DE31:DF31,F$78)+COUNTIF('3月'!DJ31:DK31,F$78)+COUNTIF('3月'!DO31:DP31,F$78)+COUNTIF('3月'!DT31:DU31,F$78)+COUNTIF('3月'!DY31:DZ31,F$78)+COUNTIF('3月'!ED31:EE31,F$78)+COUNTIF('3月'!EI31:EJ31,F$78)+COUNTIF('3月'!EN31:EO31,F$78)+COUNTIF('3月'!ES31:ET31,F$78)</f>
        <v>0</v>
      </c>
      <c r="G107" s="76">
        <f t="shared" si="26"/>
        <v>0</v>
      </c>
      <c r="H107" s="76">
        <f>COUNTIF('3月'!D31:E31,H$78)+COUNTIF('3月'!I31:J31,H$78)+COUNTIF('3月'!N31:O31,H$78)+COUNTIF('3月'!S31:T31,H$78)+COUNTIF('3月'!X31:Y31,H$78)+COUNTIF('3月'!AC31:AD31,H$78)+COUNTIF('3月'!AH31:AI31,H$78)+COUNTIF('3月'!AM31:AN31,H$78)+COUNTIF('3月'!AR31:AS31,H$78)+COUNTIF('3月'!AW31:AX31,H$78)+COUNTIF('3月'!BB31:BC31,H$78)+COUNTIF('3月'!BG31:BH31,H$78)+COUNTIF('3月'!BL31:BM31,H$78)+COUNTIF('3月'!BQ31:BR31,H$78)+COUNTIF('3月'!BV31:BW31,H$78)+COUNTIF('3月'!CA31:CB31,H$78)+COUNTIF('3月'!CF31:CG31,H$78)+COUNTIF('3月'!CK31:CL31,H$78)+COUNTIF('3月'!CP31:CQ31,H$78)+COUNTIF('3月'!CU31:CV31,H$78)+COUNTIF('3月'!CZ31:DA31,H$78)+COUNTIF('3月'!DE31:DF31,H$78)+COUNTIF('3月'!DJ31:DK31,H$78)+COUNTIF('3月'!DO31:DP31,H$78)+COUNTIF('3月'!DT31:DU31,H$78)+COUNTIF('3月'!DY31:DZ31,H$78)+COUNTIF('3月'!ED31:EE31,H$78)+COUNTIF('3月'!EI31:EJ31,H$78)+COUNTIF('3月'!EN31:EO31,H$78)+COUNTIF('3月'!ES31:ET31,H$78)+COUNTIF('3月'!D31:E31,"渋谷-夜勤")+COUNTIF('3月'!I31:J31,"渋谷-夜勤")+COUNTIF('3月'!N31:O31,"渋谷-夜勤")+COUNTIF('3月'!S31:T31,"渋谷-夜勤")+COUNTIF('3月'!X31:Y31,"渋谷-夜勤")+COUNTIF('3月'!AC31:AD31,"渋谷-夜勤")+COUNTIF('3月'!AH31:AI31,"渋谷-夜勤")+COUNTIF('3月'!AM31:AN31,"渋谷-夜勤")+COUNTIF('3月'!AR31:AS31,"渋谷-夜勤")+COUNTIF('3月'!AW31:AX31,"渋谷-夜勤")+COUNTIF('3月'!BB31:BC31,"渋谷-夜勤")+COUNTIF('3月'!BG31:BH31,"渋谷-夜勤")+COUNTIF('3月'!BL31:BM31,"渋谷-夜勤")+COUNTIF('3月'!BQ31:BR31,"渋谷-夜勤")+COUNTIF('3月'!BV31:BW31,"渋谷-夜勤")+COUNTIF('3月'!CA31:CB31,"渋谷-夜勤")+COUNTIF('3月'!CF31:CG31,"渋谷-夜勤")+COUNTIF('3月'!CK31:CL31,"渋谷-夜勤")+COUNTIF('3月'!CP31:CQ31,"渋谷-夜勤")+COUNTIF('3月'!CU31:CV31,"渋谷-夜勤")+COUNTIF('3月'!CZ31:DA31,"渋谷-夜勤")+COUNTIF('3月'!DE31:DF31,"渋谷-夜勤")+COUNTIF('3月'!DJ31:DK31,"渋谷-夜勤")+COUNTIF('3月'!DO31:DP31,"渋谷-夜勤")+COUNTIF('3月'!DT31:DU31,"渋谷-夜勤")+COUNTIF('3月'!DY31:DZ31,"渋谷-夜勤")+COUNTIF('3月'!ED31:EE31,"渋谷-夜勤")+COUNTIF('3月'!EI31:EJ31,"渋谷-夜勤")+COUNTIF('3月'!EN31:EO31,"渋谷-夜勤")+COUNTIF('3月'!ES31:ET31,"渋谷-夜勤")</f>
        <v>0</v>
      </c>
      <c r="I107" s="76">
        <f t="shared" si="27"/>
        <v>0</v>
      </c>
      <c r="J107" s="76">
        <f>COUNTIF('3月'!D31:E31,J$78)+COUNTIF('3月'!I31:J31,J$78)+COUNTIF('3月'!N31:O31,J$78)+COUNTIF('3月'!S31:T31,J$78)+COUNTIF('3月'!X31:Y31,J$78)+COUNTIF('3月'!AC31:AD31,J$78)+COUNTIF('3月'!AH31:AI31,J$78)+COUNTIF('3月'!AM31:AN31,J$78)+COUNTIF('3月'!AR31:AS31,J$78)+COUNTIF('3月'!AW31:AX31,J$78)+COUNTIF('3月'!BB31:BC31,J$78)+COUNTIF('3月'!BG31:BH31,J$78)+COUNTIF('3月'!BL31:BM31,J$78)+COUNTIF('3月'!BQ31:BR31,J$78)+COUNTIF('3月'!BV31:BW31,J$78)+COUNTIF('3月'!CA31:CB31,J$78)+COUNTIF('3月'!CF31:CG31,J$78)+COUNTIF('3月'!CK31:CL31,J$78)+COUNTIF('3月'!CP31:CQ31,J$78)+COUNTIF('3月'!CU31:CV31,J$78)+COUNTIF('3月'!CZ31:DA31,J$78)+COUNTIF('3月'!DE31:DF31,J$78)+COUNTIF('3月'!DJ31:DK31,J$78)+COUNTIF('3月'!DO31:DP31,J$78)+COUNTIF('3月'!DT31:DU31,J$78)+COUNTIF('3月'!DY31:DZ31,J$78)+COUNTIF('3月'!ED31:EE31,J$78)+COUNTIF('3月'!EI31:EJ31,J$78)+COUNTIF('3月'!EN31:EO31,J$78)+COUNTIF('3月'!ES31:ET31,J$78)+COUNTIF('3月'!D31:E31,"六本木-夜勤")+COUNTIF('3月'!I31:J31,"六本木-夜勤")+COUNTIF('3月'!N31:O31,"六本木-夜勤")+COUNTIF('3月'!S31:T31,"六本木-夜勤")+COUNTIF('3月'!X31:Y31,"六本木-夜勤")+COUNTIF('3月'!AC31:AD31,"六本木-夜勤")+COUNTIF('3月'!AH31:AI31,"六本木-夜勤")+COUNTIF('3月'!AM31:AN31,"六本木-夜勤")+COUNTIF('3月'!AR31:AS31,"六本木-夜勤")+COUNTIF('3月'!AW31:AX31,"六本木-夜勤")+COUNTIF('3月'!BB31:BC31,"六本木-夜勤")+COUNTIF('3月'!BG31:BH31,"六本木-夜勤")+COUNTIF('3月'!BL31:BM31,"六本木-夜勤")+COUNTIF('3月'!BQ31:BR31,"六本木-夜勤")+COUNTIF('3月'!BV31:BW31,"六本木-夜勤")+COUNTIF('3月'!CA31:CB31,"六本木-夜勤")+COUNTIF('3月'!CF31:CG31,"六本木-夜勤")+COUNTIF('3月'!CK31:CL31,"六本木-夜勤")+COUNTIF('3月'!CP31:CQ31,"六本木-夜勤")+COUNTIF('3月'!CU31:CV31,"六本木-夜勤")+COUNTIF('3月'!CZ31:DA31,"六本木-夜勤")+COUNTIF('3月'!DE31:DF31,"六本木-夜勤")+COUNTIF('3月'!DJ31:DK31,"六本木-夜勤")+COUNTIF('3月'!DO31:DP31,"六本木-夜勤")+COUNTIF('3月'!DT31:DU31,"六本木-夜勤")+COUNTIF('3月'!DY31:DZ31,"六本木-夜勤")+COUNTIF('3月'!ED31:EE31,"六本木-夜勤")+COUNTIF('3月'!EI31:EJ31,"六本木-夜勤")+COUNTIF('3月'!EN31:EO31,"六本木-夜勤")+COUNTIF('3月'!ES31:ET31,"六本木-夜勤")+COUNTIF('3月'!D31:E31,"六本木ー夜勤")+COUNTIF('3月'!I31:J31,"六本木ー夜勤")+COUNTIF('3月'!N31:O31,"六本木ー夜勤")+COUNTIF('3月'!S31:T31,"六本木ー夜勤")+COUNTIF('3月'!X31:Y31,"六本木ー夜勤")+COUNTIF('3月'!AC31:AD31,"六本木ー夜勤")+COUNTIF('3月'!AH31:AI31,"六本木ー夜勤")+COUNTIF('3月'!AM31:AN31,"六本木ー夜勤")+COUNTIF('3月'!AR31:AS31,"六本木ー夜勤")+COUNTIF('3月'!AW31:AX31,"六本木ー夜勤")+COUNTIF('3月'!BB31:BC31,"六本木ー夜勤")+COUNTIF('3月'!BG31:BH31,"六本木ー夜勤")+COUNTIF('3月'!BL31:BM31,"六本木ー夜勤")+COUNTIF('3月'!BQ31:BR31,"六本木ー夜勤")+COUNTIF('3月'!BV31:BW31,"六本木ー夜勤")+COUNTIF('3月'!CA31:CB31,"六本木ー夜勤")+COUNTIF('3月'!CF31:CG31,"六本木ー夜勤")+COUNTIF('3月'!CK31:CL31,"六本木ー夜勤")+COUNTIF('3月'!CP31:CQ31,"六本木ー夜勤")+COUNTIF('3月'!CU31:CV31,"六本木ー夜勤")+COUNTIF('3月'!CZ31:DA31,"六本木ー夜勤")+COUNTIF('3月'!DE31:DF31,"六本木ー夜勤")+COUNTIF('3月'!DJ31:DK31,"六本木ー夜勤")+COUNTIF('3月'!DO31:DP31,"六本木ー夜勤")+COUNTIF('3月'!DT31:DU31,"六本木ー夜勤")+COUNTIF('3月'!DY31:DZ31,"六本木ー夜勤")+COUNTIF('3月'!ED31:EE31,"六本木ー夜勤")+COUNTIF('3月'!EI31:EJ31,"六本木ー夜勤")+COUNTIF('3月'!EN31:EO31,"六本木ー夜勤")+COUNTIF('3月'!ES31:ET31,"六本木ー夜勤")</f>
        <v>0</v>
      </c>
      <c r="K107" s="76">
        <f t="shared" si="28"/>
        <v>0</v>
      </c>
      <c r="L107" s="76">
        <f>COUNTIF('3月'!D31:E31,L$78)+COUNTIF('3月'!I31:J31,L$78)+COUNTIF('3月'!N31:O31,L$78)+COUNTIF('3月'!S31:T31,L$78)+COUNTIF('3月'!X31:Y31,L$78)+COUNTIF('3月'!AC31:AD31,L$78)+COUNTIF('3月'!AH31:AI31,L$78)+COUNTIF('3月'!AM31:AN31,L$78)+COUNTIF('3月'!AR31:AS31,L$78)+COUNTIF('3月'!AW31:AX31,L$78)+COUNTIF('3月'!BB31:BC31,L$78)+COUNTIF('3月'!BG31:BH31,L$78)+COUNTIF('3月'!BL31:BM31,L$78)+COUNTIF('3月'!BQ31:BR31,L$78)+COUNTIF('3月'!BV31:BW31,L$78)+COUNTIF('3月'!CA31:CB31,L$78)+COUNTIF('3月'!CF31:CG31,L$78)+COUNTIF('3月'!CK31:CL31,L$78)+COUNTIF('3月'!CP31:CQ31,L$78)+COUNTIF('3月'!CU31:CV31,L$78)+COUNTIF('3月'!CZ31:DA31,L$78)+COUNTIF('3月'!DE31:DF31,L$78)+COUNTIF('3月'!DJ31:DK31,L$78)+COUNTIF('3月'!DO31:DP31,L$78)+COUNTIF('3月'!DT31:DU31,L$78)+COUNTIF('3月'!DY31:DZ31,L$78)+COUNTIF('3月'!ED31:EE31,L$78)+COUNTIF('3月'!EI31:EJ31,L$78)+COUNTIF('3月'!EN31:EO31,L$78)+COUNTIF('3月'!ES31:ET31,L$78)</f>
        <v>0</v>
      </c>
      <c r="M107" s="76">
        <f t="shared" si="29"/>
        <v>0</v>
      </c>
      <c r="N107" s="76">
        <f>COUNTIF('3月'!D31:E31,N$78)+COUNTIF('3月'!I31:J31,N$78)+COUNTIF('3月'!N31:O31,N$78)+COUNTIF('3月'!S31:T31,N$78)+COUNTIF('3月'!X31:Y31,N$78)+COUNTIF('3月'!AC31:AD31,N$78)+COUNTIF('3月'!AH31:AI31,N$78)+COUNTIF('3月'!AM31:AN31,N$78)+COUNTIF('3月'!AR31:AS31,N$78)+COUNTIF('3月'!AW31:AX31,N$78)+COUNTIF('3月'!BB31:BC31,N$78)+COUNTIF('3月'!BG31:BH31,N$78)+COUNTIF('3月'!BL31:BM31,N$78)+COUNTIF('3月'!BQ31:BR31,N$78)+COUNTIF('3月'!BV31:BW31,N$78)+COUNTIF('3月'!CA31:CB31,N$78)+COUNTIF('3月'!CF31:CG31,N$78)+COUNTIF('3月'!CK31:CL31,N$78)+COUNTIF('3月'!CP31:CQ31,N$78)+COUNTIF('3月'!CU31:CV31,N$78)+COUNTIF('3月'!CZ31:DA31,N$78)+COUNTIF('3月'!DE31:DF31,N$78)+COUNTIF('3月'!DJ31:DK31,N$78)+COUNTIF('3月'!DO31:DP31,N$78)+COUNTIF('3月'!DT31:DU31,N$78)+COUNTIF('3月'!DY31:DZ31,N$78)+COUNTIF('3月'!ED31:EE31,N$78)+COUNTIF('3月'!EI31:EJ31,N$78)+COUNTIF('3月'!EN31:EO31,N$78)+COUNTIF('3月'!ES31:ET31,N$78)+COUNTIF('3月'!D31:E31,"三軒茶屋－夜勤")+COUNTIF('3月'!I31:J31,"三軒茶屋－夜勤")+COUNTIF('3月'!N31:O31,"三軒茶屋－夜勤")+COUNTIF('3月'!S31:T31,"三軒茶屋－夜勤")+COUNTIF('3月'!X31:Y31,"三軒茶屋－夜勤")+COUNTIF('3月'!AC31:AD31,"三軒茶屋－夜勤")+COUNTIF('3月'!AH31:AI31,"三軒茶屋－夜勤")+COUNTIF('3月'!AM31:AN31,"三軒茶屋－夜勤")+COUNTIF('3月'!AR31:AS31,"三軒茶屋－夜勤")+COUNTIF('3月'!AW31:AX31,"三軒茶屋－夜勤")+COUNTIF('3月'!BB31:BC31,"三軒茶屋－夜勤")+COUNTIF('3月'!BG31:BH31,"三軒茶屋－夜勤")+COUNTIF('3月'!BL31:BM31,"三軒茶屋－夜勤")+COUNTIF('3月'!BQ31:BR31,"三軒茶屋－夜勤")+COUNTIF('3月'!BV31:BW31,"三軒茶屋－夜勤")+COUNTIF('3月'!CA31:CB31,"三軒茶屋－夜勤")+COUNTIF('3月'!CF31:CG31,"三軒茶屋－夜勤")+COUNTIF('3月'!CK31:CL31,"三軒茶屋－夜勤")+COUNTIF('3月'!CP31:CQ31,"三軒茶屋－夜勤")+COUNTIF('3月'!CU31:CV31,"三軒茶屋－夜勤")+COUNTIF('3月'!CZ31:DA31,"三軒茶屋－夜勤")+COUNTIF('3月'!DE31:DF31,"三軒茶屋－夜勤")+COUNTIF('3月'!DJ31:DK31,"三軒茶屋－夜勤")+COUNTIF('3月'!DO31:DP31,"三軒茶屋－夜勤")+COUNTIF('3月'!DT31:DU31,"三軒茶屋－夜勤")+COUNTIF('3月'!DY31:DZ31,"三軒茶屋－夜勤")+COUNTIF('3月'!ED31:EE31,"三軒茶屋－夜勤")+COUNTIF('3月'!EI31:EJ31,"三軒茶屋－夜勤")+COUNTIF('3月'!EN31:EO31,"三軒茶屋－夜勤")+COUNTIF('3月'!ES31:ET31,"三軒茶屋－夜勤")</f>
        <v>0</v>
      </c>
      <c r="O107" s="76">
        <f t="shared" si="30"/>
        <v>0</v>
      </c>
      <c r="P107" s="76">
        <f>COUNTIF('3月'!D31:E31,P$78)+COUNTIF('3月'!I31:J31,P$78)+COUNTIF('3月'!N31:O31,P$78)+COUNTIF('3月'!S31:T31,P$78)+COUNTIF('3月'!X31:Y31,P$78)+COUNTIF('3月'!AC31:AD31,P$78)+COUNTIF('3月'!AH31:AI31,P$78)+COUNTIF('3月'!AM31:AN31,P$78)+COUNTIF('3月'!AR31:AS31,P$78)+COUNTIF('3月'!AW31:AX31,P$78)+COUNTIF('3月'!BB31:BC31,P$78)+COUNTIF('3月'!BG31:BH31,P$78)+COUNTIF('3月'!BL31:BM31,P$78)+COUNTIF('3月'!BQ31:BR31,P$78)+COUNTIF('3月'!BV31:BW31,P$78)+COUNTIF('3月'!CA31:CB31,P$78)+COUNTIF('3月'!CF31:CG31,P$78)+COUNTIF('3月'!CK31:CL31,P$78)+COUNTIF('3月'!CP31:CQ31,P$78)+COUNTIF('3月'!CU31:CV31,P$78)+COUNTIF('3月'!CZ31:DA31,P$78)+COUNTIF('3月'!DE31:DF31,P$78)+COUNTIF('3月'!DJ31:DK31,P$78)+COUNTIF('3月'!DO31:DP31,P$78)+COUNTIF('3月'!DT31:DU31,P$78)+COUNTIF('3月'!DY31:DZ31,P$78)+COUNTIF('3月'!ED31:EE31,P$78)+COUNTIF('3月'!EI31:EJ31,P$78)+COUNTIF('3月'!EN31:EO31,P$78)+COUNTIF('3月'!ES31:ET31,P$78)+COUNTIF('3月'!D31:E31,"荻窪ー夜勤")+COUNTIF('3月'!I31:J31,"荻窪ー夜勤")+COUNTIF('3月'!N31:O31,"荻窪ー夜勤")+COUNTIF('3月'!S31:T31,"荻窪ー夜勤")+COUNTIF('3月'!X31:Y31,"荻窪ー夜勤")+COUNTIF('3月'!AC31:AD31,"荻窪ー夜勤")+COUNTIF('3月'!AH31:AI31,"荻窪ー夜勤")+COUNTIF('3月'!AM31:AN31,"荻窪ー夜勤")+COUNTIF('3月'!AR31:AS31,"荻窪ー夜勤")+COUNTIF('3月'!AW31:AX31,"荻窪ー夜勤")+COUNTIF('3月'!BB31:BC31,"荻窪ー夜勤")+COUNTIF('3月'!BG31:BH31,"荻窪ー夜勤")+COUNTIF('3月'!BL31:BM31,"荻窪ー夜勤")+COUNTIF('3月'!BQ31:BR31,"荻窪ー夜勤")+COUNTIF('3月'!BV31:BW31,"荻窪ー夜勤")+COUNTIF('3月'!CA31:CB31,"荻窪ー夜勤")+COUNTIF('3月'!CF31:CG31,"荻窪ー夜勤")+COUNTIF('3月'!CK31:CL31,"荻窪ー夜勤")+COUNTIF('3月'!CP31:CQ31,"荻窪ー夜勤")+COUNTIF('3月'!CU31:CV31,"荻窪ー夜勤")+COUNTIF('3月'!CZ31:DA31,"荻窪ー夜勤")+COUNTIF('3月'!DE31:DF31,"荻窪ー夜勤")+COUNTIF('3月'!DJ31:DK31,"荻窪ー夜勤")+COUNTIF('3月'!DO31:DP31,"荻窪ー夜勤")+COUNTIF('3月'!DT31:DU31,"荻窪ー夜勤")+COUNTIF('3月'!DY31:DZ31,"荻窪ー夜勤")+COUNTIF('3月'!ED31:EE31,"荻窪ー夜勤")+COUNTIF('3月'!EI31:EJ31,"荻窪ー夜勤")+COUNTIF('3月'!EN31:EO31,"荻窪ー夜勤")+COUNTIF('3月'!ES31:ET31,"荻窪ー夜勤")</f>
        <v>0</v>
      </c>
      <c r="Q107" s="76">
        <f t="shared" si="31"/>
        <v>0</v>
      </c>
      <c r="R107" s="76">
        <f>COUNTIF('3月'!D31:E31,R$78)+COUNTIF('3月'!I31:J31,R$78)+COUNTIF('3月'!N31:O31,R$78)+COUNTIF('3月'!S31:T31,R$78)+COUNTIF('3月'!X31:Y31,R$78)+COUNTIF('3月'!AC31:AD31,R$78)+COUNTIF('3月'!AH31:AI31,R$78)+COUNTIF('3月'!AM31:AN31,R$78)+COUNTIF('3月'!AR31:AS31,R$78)+COUNTIF('3月'!AW31:AX31,R$78)+COUNTIF('3月'!BB31:BC31,R$78)+COUNTIF('3月'!BG31:BH31,R$78)+COUNTIF('3月'!BL31:BM31,R$78)+COUNTIF('3月'!BQ31:BR31,R$78)+COUNTIF('3月'!BV31:BW31,R$78)+COUNTIF('3月'!CA31:CB31,R$78)+COUNTIF('3月'!CF31:CG31,R$78)+COUNTIF('3月'!CK31:CL31,R$78)+COUNTIF('3月'!CP31:CQ31,R$78)+COUNTIF('3月'!CU31:CV31,R$78)+COUNTIF('3月'!CZ31:DA31,R$78)+COUNTIF('3月'!DE31:DF31,R$78)+COUNTIF('3月'!DJ31:DK31,R$78)+COUNTIF('3月'!DO31:DP31,R$78)+COUNTIF('3月'!DT31:DU31,R$78)+COUNTIF('3月'!DY31:DZ31,R$78)+COUNTIF('3月'!ED31:EE31,R$78)+COUNTIF('3月'!EI31:EJ31,R$78)+COUNTIF('3月'!EN31:EO31,R$78)+COUNTIF('3月'!ES31:ET31,R$78)</f>
        <v>0</v>
      </c>
      <c r="S107" s="76">
        <f t="shared" si="32"/>
        <v>0</v>
      </c>
      <c r="T107" s="76">
        <f>COUNTIF('3月'!D31:E31,T$78)+COUNTIF('3月'!I31:J31,T$78)+COUNTIF('3月'!N31:O31,T$78)+COUNTIF('3月'!S31:T31,T$78)+COUNTIF('3月'!X31:Y31,T$78)+COUNTIF('3月'!AC31:AD31,T$78)+COUNTIF('3月'!AH31:AI31,T$78)+COUNTIF('3月'!AM31:AN31,T$78)+COUNTIF('3月'!AR31:AS31,T$78)+COUNTIF('3月'!AW31:AX31,T$78)+COUNTIF('3月'!BB31:BC31,T$78)+COUNTIF('3月'!BG31:BH31,T$78)+COUNTIF('3月'!BL31:BM31,T$78)+COUNTIF('3月'!BQ31:BR31,T$78)+COUNTIF('3月'!BV31:BW31,T$78)+COUNTIF('3月'!CA31:CB31,T$78)+COUNTIF('3月'!CF31:CG31,T$78)+COUNTIF('3月'!CK31:CL31,T$78)+COUNTIF('3月'!CP31:CQ31,T$78)+COUNTIF('3月'!CU31:CV31,T$78)+COUNTIF('3月'!CZ31:DA31,T$78)+COUNTIF('3月'!DE31:DF31,T$78)+COUNTIF('3月'!DJ31:DK31,T$78)+COUNTIF('3月'!DO31:DP31,T$78)+COUNTIF('3月'!DT31:DU31,T$78)+COUNTIF('3月'!DY31:DZ31,T$78)+COUNTIF('3月'!ED31:EE31,T$78)+COUNTIF('3月'!EI31:EJ31,T$78)+COUNTIF('3月'!EN31:EO31,T$78)+COUNTIF('3月'!ES31:ET31,T$78)</f>
        <v>0</v>
      </c>
      <c r="U107" s="76">
        <f t="shared" si="33"/>
        <v>0</v>
      </c>
      <c r="V107" s="76">
        <f>COUNTIF('3月'!D31:E31,V$78)+COUNTIF('3月'!I31:J31,V$78)+COUNTIF('3月'!N31:O31,V$78)+COUNTIF('3月'!S31:T31,V$78)+COUNTIF('3月'!X31:Y31,V$78)+COUNTIF('3月'!AC31:AD31,V$78)+COUNTIF('3月'!AH31:AI31,V$78)+COUNTIF('3月'!AM31:AN31,V$78)+COUNTIF('3月'!AR31:AS31,V$78)+COUNTIF('3月'!AW31:AX31,V$78)+COUNTIF('3月'!BB31:BC31,V$78)+COUNTIF('3月'!BG31:BH31,V$78)+COUNTIF('3月'!BL31:BM31,V$78)+COUNTIF('3月'!BQ31:BR31,V$78)+COUNTIF('3月'!BV31:BW31,V$78)+COUNTIF('3月'!CA31:CB31,V$78)+COUNTIF('3月'!CF31:CG31,V$78)+COUNTIF('3月'!CK31:CL31,V$78)+COUNTIF('3月'!CP31:CQ31,V$78)+COUNTIF('3月'!CU31:CV31,V$78)+COUNTIF('3月'!CZ31:DA31,V$78)+COUNTIF('3月'!DE31:DF31,V$78)+COUNTIF('3月'!DJ31:DK31,V$78)+COUNTIF('3月'!DO31:DP31,V$78)+COUNTIF('3月'!DT31:DU31,V$78)+COUNTIF('3月'!DY31:DZ31,V$78)+COUNTIF('3月'!ED31:EE31,V$78)+COUNTIF('3月'!EI31:EJ31,V$78)+COUNTIF('3月'!EN31:EO31,V$78)+COUNTIF('3月'!ES31:ET31,V$78)</f>
        <v>0</v>
      </c>
      <c r="W107" s="76">
        <f t="shared" si="34"/>
        <v>0</v>
      </c>
      <c r="X107" s="76">
        <f>COUNTIF('3月'!D31:E31,X$78)+COUNTIF('3月'!I31:J31,X$78)+COUNTIF('3月'!N31:O31,X$78)+COUNTIF('3月'!S31:T31,X$78)+COUNTIF('3月'!X31:Y31,X$78)+COUNTIF('3月'!AC31:AD31,X$78)+COUNTIF('3月'!AH31:AI31,X$78)+COUNTIF('3月'!AM31:AN31,X$78)+COUNTIF('3月'!AR31:AS31,X$78)+COUNTIF('3月'!AW31:AX31,X$78)+COUNTIF('3月'!BB31:BC31,X$78)+COUNTIF('3月'!BG31:BH31,X$78)+COUNTIF('3月'!BL31:BM31,X$78)+COUNTIF('3月'!BQ31:BR31,X$78)+COUNTIF('3月'!BV31:BW31,X$78)+COUNTIF('3月'!CA31:CB31,X$78)+COUNTIF('3月'!CF31:CG31,X$78)+COUNTIF('3月'!CK31:CL31,X$78)+COUNTIF('3月'!CP31:CQ31,X$78)+COUNTIF('3月'!CU31:CV31,X$78)+COUNTIF('3月'!CZ31:DA31,X$78)+COUNTIF('3月'!DE31:DF31,X$78)+COUNTIF('3月'!DJ31:DK31,X$78)+COUNTIF('3月'!DO31:DP31,X$78)+COUNTIF('3月'!DT31:DU31,X$78)+COUNTIF('3月'!DY31:DZ31,X$78)+COUNTIF('3月'!ED31:EE31,X$78)+COUNTIF('3月'!EI31:EJ31,X$78)+COUNTIF('3月'!EN31:EO31,X$78)+COUNTIF('3月'!ES31:ET31,X$78)</f>
        <v>0</v>
      </c>
      <c r="Y107" s="76">
        <f t="shared" si="35"/>
        <v>0</v>
      </c>
    </row>
    <row r="108" spans="1:25" ht="18" customHeight="1">
      <c r="A108" s="76">
        <v>29</v>
      </c>
      <c r="B108" s="76">
        <f>COUNTIF('3月'!D32:E32,B$78)+COUNTIF('3月'!I32:J32,B$78)+COUNTIF('3月'!N32:O32,B$78)+COUNTIF('3月'!S32:T32,B$78)+COUNTIF('3月'!X32:Y32,B$78)+COUNTIF('3月'!AC32:AD32,B$78)+COUNTIF('3月'!AH32:AI32,B$78)+COUNTIF('3月'!AM32:AN32,B$78)+COUNTIF('3月'!AR32:AS32,B$78)+COUNTIF('3月'!AW32:AX32,B$78)+COUNTIF('3月'!BB32:BC32,B$78)+COUNTIF('3月'!BG32:BH32,B$78)+COUNTIF('3月'!BL32:BM32,B$78)+COUNTIF('3月'!BQ32:BR32,B$78)+COUNTIF('3月'!BV32:BW32,B$78)+COUNTIF('3月'!CA32:CB32,B$78)+COUNTIF('3月'!CF32:CG32,B$78)+COUNTIF('3月'!CK32:CL32,B$78)+COUNTIF('3月'!CP32:CQ32,B$78)+COUNTIF('3月'!CU32:CV32,B$78)+COUNTIF('3月'!CZ32:DA32,B$78)+COUNTIF('3月'!DE32:DF32,B$78)+COUNTIF('3月'!DJ32:DK32,B$78)+COUNTIF('3月'!DO32:DP32,B$78)+COUNTIF('3月'!DT32:DU32,B$78)+COUNTIF('3月'!DY32:DZ32,B$78)+COUNTIF('3月'!ED32:EE32,B$78)+COUNTIF('3月'!EI32:EJ32,B$78)+COUNTIF('3月'!EN32:EO32,B$78)+COUNTIF('3月'!ES32:ET32,B$78)</f>
        <v>0</v>
      </c>
      <c r="C108" s="76">
        <f t="shared" si="24"/>
        <v>0</v>
      </c>
      <c r="D108" s="76">
        <f>COUNTIF('3月'!D32:E32,D$78)+COUNTIF('3月'!I32:J32,D$78)+COUNTIF('3月'!N32:O32,D$78)+COUNTIF('3月'!S32:T32,D$78)+COUNTIF('3月'!X32:Y32,D$78)+COUNTIF('3月'!AC32:AD32,D$78)+COUNTIF('3月'!AH32:AI32,D$78)+COUNTIF('3月'!AM32:AN32,D$78)+COUNTIF('3月'!AR32:AS32,D$78)+COUNTIF('3月'!AW32:AX32,D$78)+COUNTIF('3月'!BB32:BC32,D$78)+COUNTIF('3月'!BG32:BH32,D$78)+COUNTIF('3月'!BL32:BM32,D$78)+COUNTIF('3月'!BQ32:BR32,D$78)+COUNTIF('3月'!BV32:BW32,D$78)+COUNTIF('3月'!CA32:CB32,D$78)+COUNTIF('3月'!CF32:CG32,D$78)+COUNTIF('3月'!CK32:CL32,D$78)+COUNTIF('3月'!CP32:CQ32,D$78)+COUNTIF('3月'!CU32:CV32,D$78)+COUNTIF('3月'!CZ32:DA32,D$78)+COUNTIF('3月'!DE32:DF32,D$78)+COUNTIF('3月'!DJ32:DK32,D$78)+COUNTIF('3月'!DO32:DP32,D$78)+COUNTIF('3月'!DT32:DU32,D$78)+COUNTIF('3月'!DY32:DZ32,D$78)+COUNTIF('3月'!ED32:EE32,D$78)+COUNTIF('3月'!EI32:EJ32,D$78)+COUNTIF('3月'!EN32:EO32,D$78)+COUNTIF('3月'!ES32:ET32,D$78)</f>
        <v>0</v>
      </c>
      <c r="E108" s="76">
        <f t="shared" si="25"/>
        <v>0</v>
      </c>
      <c r="F108" s="76">
        <f>COUNTIF('3月'!D32:E32,F$78)+COUNTIF('3月'!I32:J32,F$78)+COUNTIF('3月'!N32:O32,F$78)+COUNTIF('3月'!S32:T32,F$78)+COUNTIF('3月'!X32:Y32,F$78)+COUNTIF('3月'!AC32:AD32,F$78)+COUNTIF('3月'!AH32:AI32,F$78)+COUNTIF('3月'!AM32:AN32,F$78)+COUNTIF('3月'!AR32:AS32,F$78)+COUNTIF('3月'!AW32:AX32,F$78)+COUNTIF('3月'!BB32:BC32,F$78)+COUNTIF('3月'!BG32:BH32,F$78)+COUNTIF('3月'!BL32:BM32,F$78)+COUNTIF('3月'!BQ32:BR32,F$78)+COUNTIF('3月'!BV32:BW32,F$78)+COUNTIF('3月'!CA32:CB32,F$78)+COUNTIF('3月'!CF32:CG32,F$78)+COUNTIF('3月'!CK32:CL32,F$78)+COUNTIF('3月'!CP32:CQ32,F$78)+COUNTIF('3月'!CU32:CV32,F$78)+COUNTIF('3月'!CZ32:DA32,F$78)+COUNTIF('3月'!DE32:DF32,F$78)+COUNTIF('3月'!DJ32:DK32,F$78)+COUNTIF('3月'!DO32:DP32,F$78)+COUNTIF('3月'!DT32:DU32,F$78)+COUNTIF('3月'!DY32:DZ32,F$78)+COUNTIF('3月'!ED32:EE32,F$78)+COUNTIF('3月'!EI32:EJ32,F$78)+COUNTIF('3月'!EN32:EO32,F$78)+COUNTIF('3月'!ES32:ET32,F$78)</f>
        <v>0</v>
      </c>
      <c r="G108" s="76">
        <f t="shared" si="26"/>
        <v>0</v>
      </c>
      <c r="H108" s="76">
        <f>COUNTIF('3月'!D32:E32,H$78)+COUNTIF('3月'!I32:J32,H$78)+COUNTIF('3月'!N32:O32,H$78)+COUNTIF('3月'!S32:T32,H$78)+COUNTIF('3月'!X32:Y32,H$78)+COUNTIF('3月'!AC32:AD32,H$78)+COUNTIF('3月'!AH32:AI32,H$78)+COUNTIF('3月'!AM32:AN32,H$78)+COUNTIF('3月'!AR32:AS32,H$78)+COUNTIF('3月'!AW32:AX32,H$78)+COUNTIF('3月'!BB32:BC32,H$78)+COUNTIF('3月'!BG32:BH32,H$78)+COUNTIF('3月'!BL32:BM32,H$78)+COUNTIF('3月'!BQ32:BR32,H$78)+COUNTIF('3月'!BV32:BW32,H$78)+COUNTIF('3月'!CA32:CB32,H$78)+COUNTIF('3月'!CF32:CG32,H$78)+COUNTIF('3月'!CK32:CL32,H$78)+COUNTIF('3月'!CP32:CQ32,H$78)+COUNTIF('3月'!CU32:CV32,H$78)+COUNTIF('3月'!CZ32:DA32,H$78)+COUNTIF('3月'!DE32:DF32,H$78)+COUNTIF('3月'!DJ32:DK32,H$78)+COUNTIF('3月'!DO32:DP32,H$78)+COUNTIF('3月'!DT32:DU32,H$78)+COUNTIF('3月'!DY32:DZ32,H$78)+COUNTIF('3月'!ED32:EE32,H$78)+COUNTIF('3月'!EI32:EJ32,H$78)+COUNTIF('3月'!EN32:EO32,H$78)+COUNTIF('3月'!ES32:ET32,H$78)+COUNTIF('3月'!D32:E32,"渋谷-夜勤")+COUNTIF('3月'!I32:J32,"渋谷-夜勤")+COUNTIF('3月'!N32:O32,"渋谷-夜勤")+COUNTIF('3月'!S32:T32,"渋谷-夜勤")+COUNTIF('3月'!X32:Y32,"渋谷-夜勤")+COUNTIF('3月'!AC32:AD32,"渋谷-夜勤")+COUNTIF('3月'!AH32:AI32,"渋谷-夜勤")+COUNTIF('3月'!AM32:AN32,"渋谷-夜勤")+COUNTIF('3月'!AR32:AS32,"渋谷-夜勤")+COUNTIF('3月'!AW32:AX32,"渋谷-夜勤")+COUNTIF('3月'!BB32:BC32,"渋谷-夜勤")+COUNTIF('3月'!BG32:BH32,"渋谷-夜勤")+COUNTIF('3月'!BL32:BM32,"渋谷-夜勤")+COUNTIF('3月'!BQ32:BR32,"渋谷-夜勤")+COUNTIF('3月'!BV32:BW32,"渋谷-夜勤")+COUNTIF('3月'!CA32:CB32,"渋谷-夜勤")+COUNTIF('3月'!CF32:CG32,"渋谷-夜勤")+COUNTIF('3月'!CK32:CL32,"渋谷-夜勤")+COUNTIF('3月'!CP32:CQ32,"渋谷-夜勤")+COUNTIF('3月'!CU32:CV32,"渋谷-夜勤")+COUNTIF('3月'!CZ32:DA32,"渋谷-夜勤")+COUNTIF('3月'!DE32:DF32,"渋谷-夜勤")+COUNTIF('3月'!DJ32:DK32,"渋谷-夜勤")+COUNTIF('3月'!DO32:DP32,"渋谷-夜勤")+COUNTIF('3月'!DT32:DU32,"渋谷-夜勤")+COUNTIF('3月'!DY32:DZ32,"渋谷-夜勤")+COUNTIF('3月'!ED32:EE32,"渋谷-夜勤")+COUNTIF('3月'!EI32:EJ32,"渋谷-夜勤")+COUNTIF('3月'!EN32:EO32,"渋谷-夜勤")+COUNTIF('3月'!ES32:ET32,"渋谷-夜勤")</f>
        <v>0</v>
      </c>
      <c r="I108" s="76">
        <f t="shared" si="27"/>
        <v>0</v>
      </c>
      <c r="J108" s="76">
        <f>COUNTIF('3月'!D32:E32,J$78)+COUNTIF('3月'!I32:J32,J$78)+COUNTIF('3月'!N32:O32,J$78)+COUNTIF('3月'!S32:T32,J$78)+COUNTIF('3月'!X32:Y32,J$78)+COUNTIF('3月'!AC32:AD32,J$78)+COUNTIF('3月'!AH32:AI32,J$78)+COUNTIF('3月'!AM32:AN32,J$78)+COUNTIF('3月'!AR32:AS32,J$78)+COUNTIF('3月'!AW32:AX32,J$78)+COUNTIF('3月'!BB32:BC32,J$78)+COUNTIF('3月'!BG32:BH32,J$78)+COUNTIF('3月'!BL32:BM32,J$78)+COUNTIF('3月'!BQ32:BR32,J$78)+COUNTIF('3月'!BV32:BW32,J$78)+COUNTIF('3月'!CA32:CB32,J$78)+COUNTIF('3月'!CF32:CG32,J$78)+COUNTIF('3月'!CK32:CL32,J$78)+COUNTIF('3月'!CP32:CQ32,J$78)+COUNTIF('3月'!CU32:CV32,J$78)+COUNTIF('3月'!CZ32:DA32,J$78)+COUNTIF('3月'!DE32:DF32,J$78)+COUNTIF('3月'!DJ32:DK32,J$78)+COUNTIF('3月'!DO32:DP32,J$78)+COUNTIF('3月'!DT32:DU32,J$78)+COUNTIF('3月'!DY32:DZ32,J$78)+COUNTIF('3月'!ED32:EE32,J$78)+COUNTIF('3月'!EI32:EJ32,J$78)+COUNTIF('3月'!EN32:EO32,J$78)+COUNTIF('3月'!ES32:ET32,J$78)+COUNTIF('3月'!D32:E32,"六本木-夜勤")+COUNTIF('3月'!I32:J32,"六本木-夜勤")+COUNTIF('3月'!N32:O32,"六本木-夜勤")+COUNTIF('3月'!S32:T32,"六本木-夜勤")+COUNTIF('3月'!X32:Y32,"六本木-夜勤")+COUNTIF('3月'!AC32:AD32,"六本木-夜勤")+COUNTIF('3月'!AH32:AI32,"六本木-夜勤")+COUNTIF('3月'!AM32:AN32,"六本木-夜勤")+COUNTIF('3月'!AR32:AS32,"六本木-夜勤")+COUNTIF('3月'!AW32:AX32,"六本木-夜勤")+COUNTIF('3月'!BB32:BC32,"六本木-夜勤")+COUNTIF('3月'!BG32:BH32,"六本木-夜勤")+COUNTIF('3月'!BL32:BM32,"六本木-夜勤")+COUNTIF('3月'!BQ32:BR32,"六本木-夜勤")+COUNTIF('3月'!BV32:BW32,"六本木-夜勤")+COUNTIF('3月'!CA32:CB32,"六本木-夜勤")+COUNTIF('3月'!CF32:CG32,"六本木-夜勤")+COUNTIF('3月'!CK32:CL32,"六本木-夜勤")+COUNTIF('3月'!CP32:CQ32,"六本木-夜勤")+COUNTIF('3月'!CU32:CV32,"六本木-夜勤")+COUNTIF('3月'!CZ32:DA32,"六本木-夜勤")+COUNTIF('3月'!DE32:DF32,"六本木-夜勤")+COUNTIF('3月'!DJ32:DK32,"六本木-夜勤")+COUNTIF('3月'!DO32:DP32,"六本木-夜勤")+COUNTIF('3月'!DT32:DU32,"六本木-夜勤")+COUNTIF('3月'!DY32:DZ32,"六本木-夜勤")+COUNTIF('3月'!ED32:EE32,"六本木-夜勤")+COUNTIF('3月'!EI32:EJ32,"六本木-夜勤")+COUNTIF('3月'!EN32:EO32,"六本木-夜勤")+COUNTIF('3月'!ES32:ET32,"六本木-夜勤")+COUNTIF('3月'!D32:E32,"六本木ー夜勤")+COUNTIF('3月'!I32:J32,"六本木ー夜勤")+COUNTIF('3月'!N32:O32,"六本木ー夜勤")+COUNTIF('3月'!S32:T32,"六本木ー夜勤")+COUNTIF('3月'!X32:Y32,"六本木ー夜勤")+COUNTIF('3月'!AC32:AD32,"六本木ー夜勤")+COUNTIF('3月'!AH32:AI32,"六本木ー夜勤")+COUNTIF('3月'!AM32:AN32,"六本木ー夜勤")+COUNTIF('3月'!AR32:AS32,"六本木ー夜勤")+COUNTIF('3月'!AW32:AX32,"六本木ー夜勤")+COUNTIF('3月'!BB32:BC32,"六本木ー夜勤")+COUNTIF('3月'!BG32:BH32,"六本木ー夜勤")+COUNTIF('3月'!BL32:BM32,"六本木ー夜勤")+COUNTIF('3月'!BQ32:BR32,"六本木ー夜勤")+COUNTIF('3月'!BV32:BW32,"六本木ー夜勤")+COUNTIF('3月'!CA32:CB32,"六本木ー夜勤")+COUNTIF('3月'!CF32:CG32,"六本木ー夜勤")+COUNTIF('3月'!CK32:CL32,"六本木ー夜勤")+COUNTIF('3月'!CP32:CQ32,"六本木ー夜勤")+COUNTIF('3月'!CU32:CV32,"六本木ー夜勤")+COUNTIF('3月'!CZ32:DA32,"六本木ー夜勤")+COUNTIF('3月'!DE32:DF32,"六本木ー夜勤")+COUNTIF('3月'!DJ32:DK32,"六本木ー夜勤")+COUNTIF('3月'!DO32:DP32,"六本木ー夜勤")+COUNTIF('3月'!DT32:DU32,"六本木ー夜勤")+COUNTIF('3月'!DY32:DZ32,"六本木ー夜勤")+COUNTIF('3月'!ED32:EE32,"六本木ー夜勤")+COUNTIF('3月'!EI32:EJ32,"六本木ー夜勤")+COUNTIF('3月'!EN32:EO32,"六本木ー夜勤")+COUNTIF('3月'!ES32:ET32,"六本木ー夜勤")</f>
        <v>0</v>
      </c>
      <c r="K108" s="76">
        <f t="shared" si="28"/>
        <v>0</v>
      </c>
      <c r="L108" s="76">
        <f>COUNTIF('3月'!D32:E32,L$78)+COUNTIF('3月'!I32:J32,L$78)+COUNTIF('3月'!N32:O32,L$78)+COUNTIF('3月'!S32:T32,L$78)+COUNTIF('3月'!X32:Y32,L$78)+COUNTIF('3月'!AC32:AD32,L$78)+COUNTIF('3月'!AH32:AI32,L$78)+COUNTIF('3月'!AM32:AN32,L$78)+COUNTIF('3月'!AR32:AS32,L$78)+COUNTIF('3月'!AW32:AX32,L$78)+COUNTIF('3月'!BB32:BC32,L$78)+COUNTIF('3月'!BG32:BH32,L$78)+COUNTIF('3月'!BL32:BM32,L$78)+COUNTIF('3月'!BQ32:BR32,L$78)+COUNTIF('3月'!BV32:BW32,L$78)+COUNTIF('3月'!CA32:CB32,L$78)+COUNTIF('3月'!CF32:CG32,L$78)+COUNTIF('3月'!CK32:CL32,L$78)+COUNTIF('3月'!CP32:CQ32,L$78)+COUNTIF('3月'!CU32:CV32,L$78)+COUNTIF('3月'!CZ32:DA32,L$78)+COUNTIF('3月'!DE32:DF32,L$78)+COUNTIF('3月'!DJ32:DK32,L$78)+COUNTIF('3月'!DO32:DP32,L$78)+COUNTIF('3月'!DT32:DU32,L$78)+COUNTIF('3月'!DY32:DZ32,L$78)+COUNTIF('3月'!ED32:EE32,L$78)+COUNTIF('3月'!EI32:EJ32,L$78)+COUNTIF('3月'!EN32:EO32,L$78)+COUNTIF('3月'!ES32:ET32,L$78)</f>
        <v>0</v>
      </c>
      <c r="M108" s="76">
        <f t="shared" si="29"/>
        <v>0</v>
      </c>
      <c r="N108" s="76">
        <f>COUNTIF('3月'!D32:E32,N$78)+COUNTIF('3月'!I32:J32,N$78)+COUNTIF('3月'!N32:O32,N$78)+COUNTIF('3月'!S32:T32,N$78)+COUNTIF('3月'!X32:Y32,N$78)+COUNTIF('3月'!AC32:AD32,N$78)+COUNTIF('3月'!AH32:AI32,N$78)+COUNTIF('3月'!AM32:AN32,N$78)+COUNTIF('3月'!AR32:AS32,N$78)+COUNTIF('3月'!AW32:AX32,N$78)+COUNTIF('3月'!BB32:BC32,N$78)+COUNTIF('3月'!BG32:BH32,N$78)+COUNTIF('3月'!BL32:BM32,N$78)+COUNTIF('3月'!BQ32:BR32,N$78)+COUNTIF('3月'!BV32:BW32,N$78)+COUNTIF('3月'!CA32:CB32,N$78)+COUNTIF('3月'!CF32:CG32,N$78)+COUNTIF('3月'!CK32:CL32,N$78)+COUNTIF('3月'!CP32:CQ32,N$78)+COUNTIF('3月'!CU32:CV32,N$78)+COUNTIF('3月'!CZ32:DA32,N$78)+COUNTIF('3月'!DE32:DF32,N$78)+COUNTIF('3月'!DJ32:DK32,N$78)+COUNTIF('3月'!DO32:DP32,N$78)+COUNTIF('3月'!DT32:DU32,N$78)+COUNTIF('3月'!DY32:DZ32,N$78)+COUNTIF('3月'!ED32:EE32,N$78)+COUNTIF('3月'!EI32:EJ32,N$78)+COUNTIF('3月'!EN32:EO32,N$78)+COUNTIF('3月'!ES32:ET32,N$78)+COUNTIF('3月'!D32:E32,"三軒茶屋－夜勤")+COUNTIF('3月'!I32:J32,"三軒茶屋－夜勤")+COUNTIF('3月'!N32:O32,"三軒茶屋－夜勤")+COUNTIF('3月'!S32:T32,"三軒茶屋－夜勤")+COUNTIF('3月'!X32:Y32,"三軒茶屋－夜勤")+COUNTIF('3月'!AC32:AD32,"三軒茶屋－夜勤")+COUNTIF('3月'!AH32:AI32,"三軒茶屋－夜勤")+COUNTIF('3月'!AM32:AN32,"三軒茶屋－夜勤")+COUNTIF('3月'!AR32:AS32,"三軒茶屋－夜勤")+COUNTIF('3月'!AW32:AX32,"三軒茶屋－夜勤")+COUNTIF('3月'!BB32:BC32,"三軒茶屋－夜勤")+COUNTIF('3月'!BG32:BH32,"三軒茶屋－夜勤")+COUNTIF('3月'!BL32:BM32,"三軒茶屋－夜勤")+COUNTIF('3月'!BQ32:BR32,"三軒茶屋－夜勤")+COUNTIF('3月'!BV32:BW32,"三軒茶屋－夜勤")+COUNTIF('3月'!CA32:CB32,"三軒茶屋－夜勤")+COUNTIF('3月'!CF32:CG32,"三軒茶屋－夜勤")+COUNTIF('3月'!CK32:CL32,"三軒茶屋－夜勤")+COUNTIF('3月'!CP32:CQ32,"三軒茶屋－夜勤")+COUNTIF('3月'!CU32:CV32,"三軒茶屋－夜勤")+COUNTIF('3月'!CZ32:DA32,"三軒茶屋－夜勤")+COUNTIF('3月'!DE32:DF32,"三軒茶屋－夜勤")+COUNTIF('3月'!DJ32:DK32,"三軒茶屋－夜勤")+COUNTIF('3月'!DO32:DP32,"三軒茶屋－夜勤")+COUNTIF('3月'!DT32:DU32,"三軒茶屋－夜勤")+COUNTIF('3月'!DY32:DZ32,"三軒茶屋－夜勤")+COUNTIF('3月'!ED32:EE32,"三軒茶屋－夜勤")+COUNTIF('3月'!EI32:EJ32,"三軒茶屋－夜勤")+COUNTIF('3月'!EN32:EO32,"三軒茶屋－夜勤")+COUNTIF('3月'!ES32:ET32,"三軒茶屋－夜勤")</f>
        <v>0</v>
      </c>
      <c r="O108" s="76">
        <f t="shared" si="30"/>
        <v>0</v>
      </c>
      <c r="P108" s="76">
        <f>COUNTIF('3月'!D32:E32,P$78)+COUNTIF('3月'!I32:J32,P$78)+COUNTIF('3月'!N32:O32,P$78)+COUNTIF('3月'!S32:T32,P$78)+COUNTIF('3月'!X32:Y32,P$78)+COUNTIF('3月'!AC32:AD32,P$78)+COUNTIF('3月'!AH32:AI32,P$78)+COUNTIF('3月'!AM32:AN32,P$78)+COUNTIF('3月'!AR32:AS32,P$78)+COUNTIF('3月'!AW32:AX32,P$78)+COUNTIF('3月'!BB32:BC32,P$78)+COUNTIF('3月'!BG32:BH32,P$78)+COUNTIF('3月'!BL32:BM32,P$78)+COUNTIF('3月'!BQ32:BR32,P$78)+COUNTIF('3月'!BV32:BW32,P$78)+COUNTIF('3月'!CA32:CB32,P$78)+COUNTIF('3月'!CF32:CG32,P$78)+COUNTIF('3月'!CK32:CL32,P$78)+COUNTIF('3月'!CP32:CQ32,P$78)+COUNTIF('3月'!CU32:CV32,P$78)+COUNTIF('3月'!CZ32:DA32,P$78)+COUNTIF('3月'!DE32:DF32,P$78)+COUNTIF('3月'!DJ32:DK32,P$78)+COUNTIF('3月'!DO32:DP32,P$78)+COUNTIF('3月'!DT32:DU32,P$78)+COUNTIF('3月'!DY32:DZ32,P$78)+COUNTIF('3月'!ED32:EE32,P$78)+COUNTIF('3月'!EI32:EJ32,P$78)+COUNTIF('3月'!EN32:EO32,P$78)+COUNTIF('3月'!ES32:ET32,P$78)+COUNTIF('3月'!D32:E32,"荻窪ー夜勤")+COUNTIF('3月'!I32:J32,"荻窪ー夜勤")+COUNTIF('3月'!N32:O32,"荻窪ー夜勤")+COUNTIF('3月'!S32:T32,"荻窪ー夜勤")+COUNTIF('3月'!X32:Y32,"荻窪ー夜勤")+COUNTIF('3月'!AC32:AD32,"荻窪ー夜勤")+COUNTIF('3月'!AH32:AI32,"荻窪ー夜勤")+COUNTIF('3月'!AM32:AN32,"荻窪ー夜勤")+COUNTIF('3月'!AR32:AS32,"荻窪ー夜勤")+COUNTIF('3月'!AW32:AX32,"荻窪ー夜勤")+COUNTIF('3月'!BB32:BC32,"荻窪ー夜勤")+COUNTIF('3月'!BG32:BH32,"荻窪ー夜勤")+COUNTIF('3月'!BL32:BM32,"荻窪ー夜勤")+COUNTIF('3月'!BQ32:BR32,"荻窪ー夜勤")+COUNTIF('3月'!BV32:BW32,"荻窪ー夜勤")+COUNTIF('3月'!CA32:CB32,"荻窪ー夜勤")+COUNTIF('3月'!CF32:CG32,"荻窪ー夜勤")+COUNTIF('3月'!CK32:CL32,"荻窪ー夜勤")+COUNTIF('3月'!CP32:CQ32,"荻窪ー夜勤")+COUNTIF('3月'!CU32:CV32,"荻窪ー夜勤")+COUNTIF('3月'!CZ32:DA32,"荻窪ー夜勤")+COUNTIF('3月'!DE32:DF32,"荻窪ー夜勤")+COUNTIF('3月'!DJ32:DK32,"荻窪ー夜勤")+COUNTIF('3月'!DO32:DP32,"荻窪ー夜勤")+COUNTIF('3月'!DT32:DU32,"荻窪ー夜勤")+COUNTIF('3月'!DY32:DZ32,"荻窪ー夜勤")+COUNTIF('3月'!ED32:EE32,"荻窪ー夜勤")+COUNTIF('3月'!EI32:EJ32,"荻窪ー夜勤")+COUNTIF('3月'!EN32:EO32,"荻窪ー夜勤")+COUNTIF('3月'!ES32:ET32,"荻窪ー夜勤")</f>
        <v>0</v>
      </c>
      <c r="Q108" s="76">
        <f t="shared" si="31"/>
        <v>0</v>
      </c>
      <c r="R108" s="76">
        <f>COUNTIF('3月'!D32:E32,R$78)+COUNTIF('3月'!I32:J32,R$78)+COUNTIF('3月'!N32:O32,R$78)+COUNTIF('3月'!S32:T32,R$78)+COUNTIF('3月'!X32:Y32,R$78)+COUNTIF('3月'!AC32:AD32,R$78)+COUNTIF('3月'!AH32:AI32,R$78)+COUNTIF('3月'!AM32:AN32,R$78)+COUNTIF('3月'!AR32:AS32,R$78)+COUNTIF('3月'!AW32:AX32,R$78)+COUNTIF('3月'!BB32:BC32,R$78)+COUNTIF('3月'!BG32:BH32,R$78)+COUNTIF('3月'!BL32:BM32,R$78)+COUNTIF('3月'!BQ32:BR32,R$78)+COUNTIF('3月'!BV32:BW32,R$78)+COUNTIF('3月'!CA32:CB32,R$78)+COUNTIF('3月'!CF32:CG32,R$78)+COUNTIF('3月'!CK32:CL32,R$78)+COUNTIF('3月'!CP32:CQ32,R$78)+COUNTIF('3月'!CU32:CV32,R$78)+COUNTIF('3月'!CZ32:DA32,R$78)+COUNTIF('3月'!DE32:DF32,R$78)+COUNTIF('3月'!DJ32:DK32,R$78)+COUNTIF('3月'!DO32:DP32,R$78)+COUNTIF('3月'!DT32:DU32,R$78)+COUNTIF('3月'!DY32:DZ32,R$78)+COUNTIF('3月'!ED32:EE32,R$78)+COUNTIF('3月'!EI32:EJ32,R$78)+COUNTIF('3月'!EN32:EO32,R$78)+COUNTIF('3月'!ES32:ET32,R$78)</f>
        <v>0</v>
      </c>
      <c r="S108" s="76">
        <f t="shared" si="32"/>
        <v>0</v>
      </c>
      <c r="T108" s="76">
        <f>COUNTIF('3月'!D32:E32,T$78)+COUNTIF('3月'!I32:J32,T$78)+COUNTIF('3月'!N32:O32,T$78)+COUNTIF('3月'!S32:T32,T$78)+COUNTIF('3月'!X32:Y32,T$78)+COUNTIF('3月'!AC32:AD32,T$78)+COUNTIF('3月'!AH32:AI32,T$78)+COUNTIF('3月'!AM32:AN32,T$78)+COUNTIF('3月'!AR32:AS32,T$78)+COUNTIF('3月'!AW32:AX32,T$78)+COUNTIF('3月'!BB32:BC32,T$78)+COUNTIF('3月'!BG32:BH32,T$78)+COUNTIF('3月'!BL32:BM32,T$78)+COUNTIF('3月'!BQ32:BR32,T$78)+COUNTIF('3月'!BV32:BW32,T$78)+COUNTIF('3月'!CA32:CB32,T$78)+COUNTIF('3月'!CF32:CG32,T$78)+COUNTIF('3月'!CK32:CL32,T$78)+COUNTIF('3月'!CP32:CQ32,T$78)+COUNTIF('3月'!CU32:CV32,T$78)+COUNTIF('3月'!CZ32:DA32,T$78)+COUNTIF('3月'!DE32:DF32,T$78)+COUNTIF('3月'!DJ32:DK32,T$78)+COUNTIF('3月'!DO32:DP32,T$78)+COUNTIF('3月'!DT32:DU32,T$78)+COUNTIF('3月'!DY32:DZ32,T$78)+COUNTIF('3月'!ED32:EE32,T$78)+COUNTIF('3月'!EI32:EJ32,T$78)+COUNTIF('3月'!EN32:EO32,T$78)+COUNTIF('3月'!ES32:ET32,T$78)</f>
        <v>0</v>
      </c>
      <c r="U108" s="76">
        <f t="shared" si="33"/>
        <v>0</v>
      </c>
      <c r="V108" s="76">
        <f>COUNTIF('3月'!D32:E32,V$78)+COUNTIF('3月'!I32:J32,V$78)+COUNTIF('3月'!N32:O32,V$78)+COUNTIF('3月'!S32:T32,V$78)+COUNTIF('3月'!X32:Y32,V$78)+COUNTIF('3月'!AC32:AD32,V$78)+COUNTIF('3月'!AH32:AI32,V$78)+COUNTIF('3月'!AM32:AN32,V$78)+COUNTIF('3月'!AR32:AS32,V$78)+COUNTIF('3月'!AW32:AX32,V$78)+COUNTIF('3月'!BB32:BC32,V$78)+COUNTIF('3月'!BG32:BH32,V$78)+COUNTIF('3月'!BL32:BM32,V$78)+COUNTIF('3月'!BQ32:BR32,V$78)+COUNTIF('3月'!BV32:BW32,V$78)+COUNTIF('3月'!CA32:CB32,V$78)+COUNTIF('3月'!CF32:CG32,V$78)+COUNTIF('3月'!CK32:CL32,V$78)+COUNTIF('3月'!CP32:CQ32,V$78)+COUNTIF('3月'!CU32:CV32,V$78)+COUNTIF('3月'!CZ32:DA32,V$78)+COUNTIF('3月'!DE32:DF32,V$78)+COUNTIF('3月'!DJ32:DK32,V$78)+COUNTIF('3月'!DO32:DP32,V$78)+COUNTIF('3月'!DT32:DU32,V$78)+COUNTIF('3月'!DY32:DZ32,V$78)+COUNTIF('3月'!ED32:EE32,V$78)+COUNTIF('3月'!EI32:EJ32,V$78)+COUNTIF('3月'!EN32:EO32,V$78)+COUNTIF('3月'!ES32:ET32,V$78)</f>
        <v>0</v>
      </c>
      <c r="W108" s="76">
        <f t="shared" si="34"/>
        <v>0</v>
      </c>
      <c r="X108" s="76">
        <f>COUNTIF('3月'!D32:E32,X$78)+COUNTIF('3月'!I32:J32,X$78)+COUNTIF('3月'!N32:O32,X$78)+COUNTIF('3月'!S32:T32,X$78)+COUNTIF('3月'!X32:Y32,X$78)+COUNTIF('3月'!AC32:AD32,X$78)+COUNTIF('3月'!AH32:AI32,X$78)+COUNTIF('3月'!AM32:AN32,X$78)+COUNTIF('3月'!AR32:AS32,X$78)+COUNTIF('3月'!AW32:AX32,X$78)+COUNTIF('3月'!BB32:BC32,X$78)+COUNTIF('3月'!BG32:BH32,X$78)+COUNTIF('3月'!BL32:BM32,X$78)+COUNTIF('3月'!BQ32:BR32,X$78)+COUNTIF('3月'!BV32:BW32,X$78)+COUNTIF('3月'!CA32:CB32,X$78)+COUNTIF('3月'!CF32:CG32,X$78)+COUNTIF('3月'!CK32:CL32,X$78)+COUNTIF('3月'!CP32:CQ32,X$78)+COUNTIF('3月'!CU32:CV32,X$78)+COUNTIF('3月'!CZ32:DA32,X$78)+COUNTIF('3月'!DE32:DF32,X$78)+COUNTIF('3月'!DJ32:DK32,X$78)+COUNTIF('3月'!DO32:DP32,X$78)+COUNTIF('3月'!DT32:DU32,X$78)+COUNTIF('3月'!DY32:DZ32,X$78)+COUNTIF('3月'!ED32:EE32,X$78)+COUNTIF('3月'!EI32:EJ32,X$78)+COUNTIF('3月'!EN32:EO32,X$78)+COUNTIF('3月'!ES32:ET32,X$78)</f>
        <v>0</v>
      </c>
      <c r="Y108" s="76">
        <f t="shared" si="35"/>
        <v>0</v>
      </c>
    </row>
    <row r="109" spans="1:25" ht="18" customHeight="1">
      <c r="A109" s="76">
        <v>30</v>
      </c>
      <c r="B109" s="76">
        <f>COUNTIF('3月'!D33:E33,B$78)+COUNTIF('3月'!I33:J33,B$78)+COUNTIF('3月'!N33:O33,B$78)+COUNTIF('3月'!S33:T33,B$78)+COUNTIF('3月'!X33:Y33,B$78)+COUNTIF('3月'!AC33:AD33,B$78)+COUNTIF('3月'!AH33:AI33,B$78)+COUNTIF('3月'!AM33:AN33,B$78)+COUNTIF('3月'!AR33:AS33,B$78)+COUNTIF('3月'!AW33:AX33,B$78)+COUNTIF('3月'!BB33:BC33,B$78)+COUNTIF('3月'!BG33:BH33,B$78)+COUNTIF('3月'!BL33:BM33,B$78)+COUNTIF('3月'!BQ33:BR33,B$78)+COUNTIF('3月'!BV33:BW33,B$78)+COUNTIF('3月'!CA33:CB33,B$78)+COUNTIF('3月'!CF33:CG33,B$78)+COUNTIF('3月'!CK33:CL33,B$78)+COUNTIF('3月'!CP33:CQ33,B$78)+COUNTIF('3月'!CU33:CV33,B$78)+COUNTIF('3月'!CZ33:DA33,B$78)+COUNTIF('3月'!DE33:DF33,B$78)+COUNTIF('3月'!DJ33:DK33,B$78)+COUNTIF('3月'!DO33:DP33,B$78)+COUNTIF('3月'!DT33:DU33,B$78)+COUNTIF('3月'!DY33:DZ33,B$78)+COUNTIF('3月'!ED33:EE33,B$78)+COUNTIF('3月'!EI33:EJ33,B$78)+COUNTIF('3月'!EN33:EO33,B$78)+COUNTIF('3月'!ES33:ET33,B$78)</f>
        <v>0</v>
      </c>
      <c r="C109" s="76">
        <f t="shared" si="24"/>
        <v>0</v>
      </c>
      <c r="D109" s="76">
        <f>COUNTIF('3月'!D33:E33,D$78)+COUNTIF('3月'!I33:J33,D$78)+COUNTIF('3月'!N33:O33,D$78)+COUNTIF('3月'!S33:T33,D$78)+COUNTIF('3月'!X33:Y33,D$78)+COUNTIF('3月'!AC33:AD33,D$78)+COUNTIF('3月'!AH33:AI33,D$78)+COUNTIF('3月'!AM33:AN33,D$78)+COUNTIF('3月'!AR33:AS33,D$78)+COUNTIF('3月'!AW33:AX33,D$78)+COUNTIF('3月'!BB33:BC33,D$78)+COUNTIF('3月'!BG33:BH33,D$78)+COUNTIF('3月'!BL33:BM33,D$78)+COUNTIF('3月'!BQ33:BR33,D$78)+COUNTIF('3月'!BV33:BW33,D$78)+COUNTIF('3月'!CA33:CB33,D$78)+COUNTIF('3月'!CF33:CG33,D$78)+COUNTIF('3月'!CK33:CL33,D$78)+COUNTIF('3月'!CP33:CQ33,D$78)+COUNTIF('3月'!CU33:CV33,D$78)+COUNTIF('3月'!CZ33:DA33,D$78)+COUNTIF('3月'!DE33:DF33,D$78)+COUNTIF('3月'!DJ33:DK33,D$78)+COUNTIF('3月'!DO33:DP33,D$78)+COUNTIF('3月'!DT33:DU33,D$78)+COUNTIF('3月'!DY33:DZ33,D$78)+COUNTIF('3月'!ED33:EE33,D$78)+COUNTIF('3月'!EI33:EJ33,D$78)+COUNTIF('3月'!EN33:EO33,D$78)+COUNTIF('3月'!ES33:ET33,D$78)</f>
        <v>0</v>
      </c>
      <c r="E109" s="76">
        <f t="shared" si="25"/>
        <v>0</v>
      </c>
      <c r="F109" s="76">
        <f>COUNTIF('3月'!D33:E33,F$78)+COUNTIF('3月'!I33:J33,F$78)+COUNTIF('3月'!N33:O33,F$78)+COUNTIF('3月'!S33:T33,F$78)+COUNTIF('3月'!X33:Y33,F$78)+COUNTIF('3月'!AC33:AD33,F$78)+COUNTIF('3月'!AH33:AI33,F$78)+COUNTIF('3月'!AM33:AN33,F$78)+COUNTIF('3月'!AR33:AS33,F$78)+COUNTIF('3月'!AW33:AX33,F$78)+COUNTIF('3月'!BB33:BC33,F$78)+COUNTIF('3月'!BG33:BH33,F$78)+COUNTIF('3月'!BL33:BM33,F$78)+COUNTIF('3月'!BQ33:BR33,F$78)+COUNTIF('3月'!BV33:BW33,F$78)+COUNTIF('3月'!CA33:CB33,F$78)+COUNTIF('3月'!CF33:CG33,F$78)+COUNTIF('3月'!CK33:CL33,F$78)+COUNTIF('3月'!CP33:CQ33,F$78)+COUNTIF('3月'!CU33:CV33,F$78)+COUNTIF('3月'!CZ33:DA33,F$78)+COUNTIF('3月'!DE33:DF33,F$78)+COUNTIF('3月'!DJ33:DK33,F$78)+COUNTIF('3月'!DO33:DP33,F$78)+COUNTIF('3月'!DT33:DU33,F$78)+COUNTIF('3月'!DY33:DZ33,F$78)+COUNTIF('3月'!ED33:EE33,F$78)+COUNTIF('3月'!EI33:EJ33,F$78)+COUNTIF('3月'!EN33:EO33,F$78)+COUNTIF('3月'!ES33:ET33,F$78)</f>
        <v>0</v>
      </c>
      <c r="G109" s="76">
        <f t="shared" si="26"/>
        <v>0</v>
      </c>
      <c r="H109" s="76">
        <f>COUNTIF('3月'!D33:E33,H$78)+COUNTIF('3月'!I33:J33,H$78)+COUNTIF('3月'!N33:O33,H$78)+COUNTIF('3月'!S33:T33,H$78)+COUNTIF('3月'!X33:Y33,H$78)+COUNTIF('3月'!AC33:AD33,H$78)+COUNTIF('3月'!AH33:AI33,H$78)+COUNTIF('3月'!AM33:AN33,H$78)+COUNTIF('3月'!AR33:AS33,H$78)+COUNTIF('3月'!AW33:AX33,H$78)+COUNTIF('3月'!BB33:BC33,H$78)+COUNTIF('3月'!BG33:BH33,H$78)+COUNTIF('3月'!BL33:BM33,H$78)+COUNTIF('3月'!BQ33:BR33,H$78)+COUNTIF('3月'!BV33:BW33,H$78)+COUNTIF('3月'!CA33:CB33,H$78)+COUNTIF('3月'!CF33:CG33,H$78)+COUNTIF('3月'!CK33:CL33,H$78)+COUNTIF('3月'!CP33:CQ33,H$78)+COUNTIF('3月'!CU33:CV33,H$78)+COUNTIF('3月'!CZ33:DA33,H$78)+COUNTIF('3月'!DE33:DF33,H$78)+COUNTIF('3月'!DJ33:DK33,H$78)+COUNTIF('3月'!DO33:DP33,H$78)+COUNTIF('3月'!DT33:DU33,H$78)+COUNTIF('3月'!DY33:DZ33,H$78)+COUNTIF('3月'!ED33:EE33,H$78)+COUNTIF('3月'!EI33:EJ33,H$78)+COUNTIF('3月'!EN33:EO33,H$78)+COUNTIF('3月'!ES33:ET33,H$78)+COUNTIF('3月'!D33:E33,"渋谷-夜勤")+COUNTIF('3月'!I33:J33,"渋谷-夜勤")+COUNTIF('3月'!N33:O33,"渋谷-夜勤")+COUNTIF('3月'!S33:T33,"渋谷-夜勤")+COUNTIF('3月'!X33:Y33,"渋谷-夜勤")+COUNTIF('3月'!AC33:AD33,"渋谷-夜勤")+COUNTIF('3月'!AH33:AI33,"渋谷-夜勤")+COUNTIF('3月'!AM33:AN33,"渋谷-夜勤")+COUNTIF('3月'!AR33:AS33,"渋谷-夜勤")+COUNTIF('3月'!AW33:AX33,"渋谷-夜勤")+COUNTIF('3月'!BB33:BC33,"渋谷-夜勤")+COUNTIF('3月'!BG33:BH33,"渋谷-夜勤")+COUNTIF('3月'!BL33:BM33,"渋谷-夜勤")+COUNTIF('3月'!BQ33:BR33,"渋谷-夜勤")+COUNTIF('3月'!BV33:BW33,"渋谷-夜勤")+COUNTIF('3月'!CA33:CB33,"渋谷-夜勤")+COUNTIF('3月'!CF33:CG33,"渋谷-夜勤")+COUNTIF('3月'!CK33:CL33,"渋谷-夜勤")+COUNTIF('3月'!CP33:CQ33,"渋谷-夜勤")+COUNTIF('3月'!CU33:CV33,"渋谷-夜勤")+COUNTIF('3月'!CZ33:DA33,"渋谷-夜勤")+COUNTIF('3月'!DE33:DF33,"渋谷-夜勤")+COUNTIF('3月'!DJ33:DK33,"渋谷-夜勤")+COUNTIF('3月'!DO33:DP33,"渋谷-夜勤")+COUNTIF('3月'!DT33:DU33,"渋谷-夜勤")+COUNTIF('3月'!DY33:DZ33,"渋谷-夜勤")+COUNTIF('3月'!ED33:EE33,"渋谷-夜勤")+COUNTIF('3月'!EI33:EJ33,"渋谷-夜勤")+COUNTIF('3月'!EN33:EO33,"渋谷-夜勤")+COUNTIF('3月'!ES33:ET33,"渋谷-夜勤")</f>
        <v>0</v>
      </c>
      <c r="I109" s="76">
        <f t="shared" si="27"/>
        <v>0</v>
      </c>
      <c r="J109" s="76">
        <f>COUNTIF('3月'!D33:E33,J$78)+COUNTIF('3月'!I33:J33,J$78)+COUNTIF('3月'!N33:O33,J$78)+COUNTIF('3月'!S33:T33,J$78)+COUNTIF('3月'!X33:Y33,J$78)+COUNTIF('3月'!AC33:AD33,J$78)+COUNTIF('3月'!AH33:AI33,J$78)+COUNTIF('3月'!AM33:AN33,J$78)+COUNTIF('3月'!AR33:AS33,J$78)+COUNTIF('3月'!AW33:AX33,J$78)+COUNTIF('3月'!BB33:BC33,J$78)+COUNTIF('3月'!BG33:BH33,J$78)+COUNTIF('3月'!BL33:BM33,J$78)+COUNTIF('3月'!BQ33:BR33,J$78)+COUNTIF('3月'!BV33:BW33,J$78)+COUNTIF('3月'!CA33:CB33,J$78)+COUNTIF('3月'!CF33:CG33,J$78)+COUNTIF('3月'!CK33:CL33,J$78)+COUNTIF('3月'!CP33:CQ33,J$78)+COUNTIF('3月'!CU33:CV33,J$78)+COUNTIF('3月'!CZ33:DA33,J$78)+COUNTIF('3月'!DE33:DF33,J$78)+COUNTIF('3月'!DJ33:DK33,J$78)+COUNTIF('3月'!DO33:DP33,J$78)+COUNTIF('3月'!DT33:DU33,J$78)+COUNTIF('3月'!DY33:DZ33,J$78)+COUNTIF('3月'!ED33:EE33,J$78)+COUNTIF('3月'!EI33:EJ33,J$78)+COUNTIF('3月'!EN33:EO33,J$78)+COUNTIF('3月'!ES33:ET33,J$78)+COUNTIF('3月'!D33:E33,"六本木-夜勤")+COUNTIF('3月'!I33:J33,"六本木-夜勤")+COUNTIF('3月'!N33:O33,"六本木-夜勤")+COUNTIF('3月'!S33:T33,"六本木-夜勤")+COUNTIF('3月'!X33:Y33,"六本木-夜勤")+COUNTIF('3月'!AC33:AD33,"六本木-夜勤")+COUNTIF('3月'!AH33:AI33,"六本木-夜勤")+COUNTIF('3月'!AM33:AN33,"六本木-夜勤")+COUNTIF('3月'!AR33:AS33,"六本木-夜勤")+COUNTIF('3月'!AW33:AX33,"六本木-夜勤")+COUNTIF('3月'!BB33:BC33,"六本木-夜勤")+COUNTIF('3月'!BG33:BH33,"六本木-夜勤")+COUNTIF('3月'!BL33:BM33,"六本木-夜勤")+COUNTIF('3月'!BQ33:BR33,"六本木-夜勤")+COUNTIF('3月'!BV33:BW33,"六本木-夜勤")+COUNTIF('3月'!CA33:CB33,"六本木-夜勤")+COUNTIF('3月'!CF33:CG33,"六本木-夜勤")+COUNTIF('3月'!CK33:CL33,"六本木-夜勤")+COUNTIF('3月'!CP33:CQ33,"六本木-夜勤")+COUNTIF('3月'!CU33:CV33,"六本木-夜勤")+COUNTIF('3月'!CZ33:DA33,"六本木-夜勤")+COUNTIF('3月'!DE33:DF33,"六本木-夜勤")+COUNTIF('3月'!DJ33:DK33,"六本木-夜勤")+COUNTIF('3月'!DO33:DP33,"六本木-夜勤")+COUNTIF('3月'!DT33:DU33,"六本木-夜勤")+COUNTIF('3月'!DY33:DZ33,"六本木-夜勤")+COUNTIF('3月'!ED33:EE33,"六本木-夜勤")+COUNTIF('3月'!EI33:EJ33,"六本木-夜勤")+COUNTIF('3月'!EN33:EO33,"六本木-夜勤")+COUNTIF('3月'!ES33:ET33,"六本木-夜勤")+COUNTIF('3月'!D33:E33,"六本木ー夜勤")+COUNTIF('3月'!I33:J33,"六本木ー夜勤")+COUNTIF('3月'!N33:O33,"六本木ー夜勤")+COUNTIF('3月'!S33:T33,"六本木ー夜勤")+COUNTIF('3月'!X33:Y33,"六本木ー夜勤")+COUNTIF('3月'!AC33:AD33,"六本木ー夜勤")+COUNTIF('3月'!AH33:AI33,"六本木ー夜勤")+COUNTIF('3月'!AM33:AN33,"六本木ー夜勤")+COUNTIF('3月'!AR33:AS33,"六本木ー夜勤")+COUNTIF('3月'!AW33:AX33,"六本木ー夜勤")+COUNTIF('3月'!BB33:BC33,"六本木ー夜勤")+COUNTIF('3月'!BG33:BH33,"六本木ー夜勤")+COUNTIF('3月'!BL33:BM33,"六本木ー夜勤")+COUNTIF('3月'!BQ33:BR33,"六本木ー夜勤")+COUNTIF('3月'!BV33:BW33,"六本木ー夜勤")+COUNTIF('3月'!CA33:CB33,"六本木ー夜勤")+COUNTIF('3月'!CF33:CG33,"六本木ー夜勤")+COUNTIF('3月'!CK33:CL33,"六本木ー夜勤")+COUNTIF('3月'!CP33:CQ33,"六本木ー夜勤")+COUNTIF('3月'!CU33:CV33,"六本木ー夜勤")+COUNTIF('3月'!CZ33:DA33,"六本木ー夜勤")+COUNTIF('3月'!DE33:DF33,"六本木ー夜勤")+COUNTIF('3月'!DJ33:DK33,"六本木ー夜勤")+COUNTIF('3月'!DO33:DP33,"六本木ー夜勤")+COUNTIF('3月'!DT33:DU33,"六本木ー夜勤")+COUNTIF('3月'!DY33:DZ33,"六本木ー夜勤")+COUNTIF('3月'!ED33:EE33,"六本木ー夜勤")+COUNTIF('3月'!EI33:EJ33,"六本木ー夜勤")+COUNTIF('3月'!EN33:EO33,"六本木ー夜勤")+COUNTIF('3月'!ES33:ET33,"六本木ー夜勤")</f>
        <v>0</v>
      </c>
      <c r="K109" s="76">
        <f t="shared" si="28"/>
        <v>0</v>
      </c>
      <c r="L109" s="76">
        <f>COUNTIF('3月'!D33:E33,L$78)+COUNTIF('3月'!I33:J33,L$78)+COUNTIF('3月'!N33:O33,L$78)+COUNTIF('3月'!S33:T33,L$78)+COUNTIF('3月'!X33:Y33,L$78)+COUNTIF('3月'!AC33:AD33,L$78)+COUNTIF('3月'!AH33:AI33,L$78)+COUNTIF('3月'!AM33:AN33,L$78)+COUNTIF('3月'!AR33:AS33,L$78)+COUNTIF('3月'!AW33:AX33,L$78)+COUNTIF('3月'!BB33:BC33,L$78)+COUNTIF('3月'!BG33:BH33,L$78)+COUNTIF('3月'!BL33:BM33,L$78)+COUNTIF('3月'!BQ33:BR33,L$78)+COUNTIF('3月'!BV33:BW33,L$78)+COUNTIF('3月'!CA33:CB33,L$78)+COUNTIF('3月'!CF33:CG33,L$78)+COUNTIF('3月'!CK33:CL33,L$78)+COUNTIF('3月'!CP33:CQ33,L$78)+COUNTIF('3月'!CU33:CV33,L$78)+COUNTIF('3月'!CZ33:DA33,L$78)+COUNTIF('3月'!DE33:DF33,L$78)+COUNTIF('3月'!DJ33:DK33,L$78)+COUNTIF('3月'!DO33:DP33,L$78)+COUNTIF('3月'!DT33:DU33,L$78)+COUNTIF('3月'!DY33:DZ33,L$78)+COUNTIF('3月'!ED33:EE33,L$78)+COUNTIF('3月'!EI33:EJ33,L$78)+COUNTIF('3月'!EN33:EO33,L$78)+COUNTIF('3月'!ES33:ET33,L$78)</f>
        <v>0</v>
      </c>
      <c r="M109" s="76">
        <f t="shared" si="29"/>
        <v>0</v>
      </c>
      <c r="N109" s="76">
        <f>COUNTIF('3月'!D33:E33,N$78)+COUNTIF('3月'!I33:J33,N$78)+COUNTIF('3月'!N33:O33,N$78)+COUNTIF('3月'!S33:T33,N$78)+COUNTIF('3月'!X33:Y33,N$78)+COUNTIF('3月'!AC33:AD33,N$78)+COUNTIF('3月'!AH33:AI33,N$78)+COUNTIF('3月'!AM33:AN33,N$78)+COUNTIF('3月'!AR33:AS33,N$78)+COUNTIF('3月'!AW33:AX33,N$78)+COUNTIF('3月'!BB33:BC33,N$78)+COUNTIF('3月'!BG33:BH33,N$78)+COUNTIF('3月'!BL33:BM33,N$78)+COUNTIF('3月'!BQ33:BR33,N$78)+COUNTIF('3月'!BV33:BW33,N$78)+COUNTIF('3月'!CA33:CB33,N$78)+COUNTIF('3月'!CF33:CG33,N$78)+COUNTIF('3月'!CK33:CL33,N$78)+COUNTIF('3月'!CP33:CQ33,N$78)+COUNTIF('3月'!CU33:CV33,N$78)+COUNTIF('3月'!CZ33:DA33,N$78)+COUNTIF('3月'!DE33:DF33,N$78)+COUNTIF('3月'!DJ33:DK33,N$78)+COUNTIF('3月'!DO33:DP33,N$78)+COUNTIF('3月'!DT33:DU33,N$78)+COUNTIF('3月'!DY33:DZ33,N$78)+COUNTIF('3月'!ED33:EE33,N$78)+COUNTIF('3月'!EI33:EJ33,N$78)+COUNTIF('3月'!EN33:EO33,N$78)+COUNTIF('3月'!ES33:ET33,N$78)+COUNTIF('3月'!D33:E33,"三軒茶屋－夜勤")+COUNTIF('3月'!I33:J33,"三軒茶屋－夜勤")+COUNTIF('3月'!N33:O33,"三軒茶屋－夜勤")+COUNTIF('3月'!S33:T33,"三軒茶屋－夜勤")+COUNTIF('3月'!X33:Y33,"三軒茶屋－夜勤")+COUNTIF('3月'!AC33:AD33,"三軒茶屋－夜勤")+COUNTIF('3月'!AH33:AI33,"三軒茶屋－夜勤")+COUNTIF('3月'!AM33:AN33,"三軒茶屋－夜勤")+COUNTIF('3月'!AR33:AS33,"三軒茶屋－夜勤")+COUNTIF('3月'!AW33:AX33,"三軒茶屋－夜勤")+COUNTIF('3月'!BB33:BC33,"三軒茶屋－夜勤")+COUNTIF('3月'!BG33:BH33,"三軒茶屋－夜勤")+COUNTIF('3月'!BL33:BM33,"三軒茶屋－夜勤")+COUNTIF('3月'!BQ33:BR33,"三軒茶屋－夜勤")+COUNTIF('3月'!BV33:BW33,"三軒茶屋－夜勤")+COUNTIF('3月'!CA33:CB33,"三軒茶屋－夜勤")+COUNTIF('3月'!CF33:CG33,"三軒茶屋－夜勤")+COUNTIF('3月'!CK33:CL33,"三軒茶屋－夜勤")+COUNTIF('3月'!CP33:CQ33,"三軒茶屋－夜勤")+COUNTIF('3月'!CU33:CV33,"三軒茶屋－夜勤")+COUNTIF('3月'!CZ33:DA33,"三軒茶屋－夜勤")+COUNTIF('3月'!DE33:DF33,"三軒茶屋－夜勤")+COUNTIF('3月'!DJ33:DK33,"三軒茶屋－夜勤")+COUNTIF('3月'!DO33:DP33,"三軒茶屋－夜勤")+COUNTIF('3月'!DT33:DU33,"三軒茶屋－夜勤")+COUNTIF('3月'!DY33:DZ33,"三軒茶屋－夜勤")+COUNTIF('3月'!ED33:EE33,"三軒茶屋－夜勤")+COUNTIF('3月'!EI33:EJ33,"三軒茶屋－夜勤")+COUNTIF('3月'!EN33:EO33,"三軒茶屋－夜勤")+COUNTIF('3月'!ES33:ET33,"三軒茶屋－夜勤")</f>
        <v>0</v>
      </c>
      <c r="O109" s="76">
        <f t="shared" si="30"/>
        <v>0</v>
      </c>
      <c r="P109" s="76">
        <f>COUNTIF('3月'!D33:E33,P$78)+COUNTIF('3月'!I33:J33,P$78)+COUNTIF('3月'!N33:O33,P$78)+COUNTIF('3月'!S33:T33,P$78)+COUNTIF('3月'!X33:Y33,P$78)+COUNTIF('3月'!AC33:AD33,P$78)+COUNTIF('3月'!AH33:AI33,P$78)+COUNTIF('3月'!AM33:AN33,P$78)+COUNTIF('3月'!AR33:AS33,P$78)+COUNTIF('3月'!AW33:AX33,P$78)+COUNTIF('3月'!BB33:BC33,P$78)+COUNTIF('3月'!BG33:BH33,P$78)+COUNTIF('3月'!BL33:BM33,P$78)+COUNTIF('3月'!BQ33:BR33,P$78)+COUNTIF('3月'!BV33:BW33,P$78)+COUNTIF('3月'!CA33:CB33,P$78)+COUNTIF('3月'!CF33:CG33,P$78)+COUNTIF('3月'!CK33:CL33,P$78)+COUNTIF('3月'!CP33:CQ33,P$78)+COUNTIF('3月'!CU33:CV33,P$78)+COUNTIF('3月'!CZ33:DA33,P$78)+COUNTIF('3月'!DE33:DF33,P$78)+COUNTIF('3月'!DJ33:DK33,P$78)+COUNTIF('3月'!DO33:DP33,P$78)+COUNTIF('3月'!DT33:DU33,P$78)+COUNTIF('3月'!DY33:DZ33,P$78)+COUNTIF('3月'!ED33:EE33,P$78)+COUNTIF('3月'!EI33:EJ33,P$78)+COUNTIF('3月'!EN33:EO33,P$78)+COUNTIF('3月'!ES33:ET33,P$78)+COUNTIF('3月'!D33:E33,"荻窪ー夜勤")+COUNTIF('3月'!I33:J33,"荻窪ー夜勤")+COUNTIF('3月'!N33:O33,"荻窪ー夜勤")+COUNTIF('3月'!S33:T33,"荻窪ー夜勤")+COUNTIF('3月'!X33:Y33,"荻窪ー夜勤")+COUNTIF('3月'!AC33:AD33,"荻窪ー夜勤")+COUNTIF('3月'!AH33:AI33,"荻窪ー夜勤")+COUNTIF('3月'!AM33:AN33,"荻窪ー夜勤")+COUNTIF('3月'!AR33:AS33,"荻窪ー夜勤")+COUNTIF('3月'!AW33:AX33,"荻窪ー夜勤")+COUNTIF('3月'!BB33:BC33,"荻窪ー夜勤")+COUNTIF('3月'!BG33:BH33,"荻窪ー夜勤")+COUNTIF('3月'!BL33:BM33,"荻窪ー夜勤")+COUNTIF('3月'!BQ33:BR33,"荻窪ー夜勤")+COUNTIF('3月'!BV33:BW33,"荻窪ー夜勤")+COUNTIF('3月'!CA33:CB33,"荻窪ー夜勤")+COUNTIF('3月'!CF33:CG33,"荻窪ー夜勤")+COUNTIF('3月'!CK33:CL33,"荻窪ー夜勤")+COUNTIF('3月'!CP33:CQ33,"荻窪ー夜勤")+COUNTIF('3月'!CU33:CV33,"荻窪ー夜勤")+COUNTIF('3月'!CZ33:DA33,"荻窪ー夜勤")+COUNTIF('3月'!DE33:DF33,"荻窪ー夜勤")+COUNTIF('3月'!DJ33:DK33,"荻窪ー夜勤")+COUNTIF('3月'!DO33:DP33,"荻窪ー夜勤")+COUNTIF('3月'!DT33:DU33,"荻窪ー夜勤")+COUNTIF('3月'!DY33:DZ33,"荻窪ー夜勤")+COUNTIF('3月'!ED33:EE33,"荻窪ー夜勤")+COUNTIF('3月'!EI33:EJ33,"荻窪ー夜勤")+COUNTIF('3月'!EN33:EO33,"荻窪ー夜勤")+COUNTIF('3月'!ES33:ET33,"荻窪ー夜勤")</f>
        <v>0</v>
      </c>
      <c r="Q109" s="76">
        <f t="shared" si="31"/>
        <v>0</v>
      </c>
      <c r="R109" s="76">
        <f>COUNTIF('3月'!D33:E33,R$78)+COUNTIF('3月'!I33:J33,R$78)+COUNTIF('3月'!N33:O33,R$78)+COUNTIF('3月'!S33:T33,R$78)+COUNTIF('3月'!X33:Y33,R$78)+COUNTIF('3月'!AC33:AD33,R$78)+COUNTIF('3月'!AH33:AI33,R$78)+COUNTIF('3月'!AM33:AN33,R$78)+COUNTIF('3月'!AR33:AS33,R$78)+COUNTIF('3月'!AW33:AX33,R$78)+COUNTIF('3月'!BB33:BC33,R$78)+COUNTIF('3月'!BG33:BH33,R$78)+COUNTIF('3月'!BL33:BM33,R$78)+COUNTIF('3月'!BQ33:BR33,R$78)+COUNTIF('3月'!BV33:BW33,R$78)+COUNTIF('3月'!CA33:CB33,R$78)+COUNTIF('3月'!CF33:CG33,R$78)+COUNTIF('3月'!CK33:CL33,R$78)+COUNTIF('3月'!CP33:CQ33,R$78)+COUNTIF('3月'!CU33:CV33,R$78)+COUNTIF('3月'!CZ33:DA33,R$78)+COUNTIF('3月'!DE33:DF33,R$78)+COUNTIF('3月'!DJ33:DK33,R$78)+COUNTIF('3月'!DO33:DP33,R$78)+COUNTIF('3月'!DT33:DU33,R$78)+COUNTIF('3月'!DY33:DZ33,R$78)+COUNTIF('3月'!ED33:EE33,R$78)+COUNTIF('3月'!EI33:EJ33,R$78)+COUNTIF('3月'!EN33:EO33,R$78)+COUNTIF('3月'!ES33:ET33,R$78)</f>
        <v>0</v>
      </c>
      <c r="S109" s="76">
        <f t="shared" si="32"/>
        <v>0</v>
      </c>
      <c r="T109" s="76">
        <f>COUNTIF('3月'!D33:E33,T$78)+COUNTIF('3月'!I33:J33,T$78)+COUNTIF('3月'!N33:O33,T$78)+COUNTIF('3月'!S33:T33,T$78)+COUNTIF('3月'!X33:Y33,T$78)+COUNTIF('3月'!AC33:AD33,T$78)+COUNTIF('3月'!AH33:AI33,T$78)+COUNTIF('3月'!AM33:AN33,T$78)+COUNTIF('3月'!AR33:AS33,T$78)+COUNTIF('3月'!AW33:AX33,T$78)+COUNTIF('3月'!BB33:BC33,T$78)+COUNTIF('3月'!BG33:BH33,T$78)+COUNTIF('3月'!BL33:BM33,T$78)+COUNTIF('3月'!BQ33:BR33,T$78)+COUNTIF('3月'!BV33:BW33,T$78)+COUNTIF('3月'!CA33:CB33,T$78)+COUNTIF('3月'!CF33:CG33,T$78)+COUNTIF('3月'!CK33:CL33,T$78)+COUNTIF('3月'!CP33:CQ33,T$78)+COUNTIF('3月'!CU33:CV33,T$78)+COUNTIF('3月'!CZ33:DA33,T$78)+COUNTIF('3月'!DE33:DF33,T$78)+COUNTIF('3月'!DJ33:DK33,T$78)+COUNTIF('3月'!DO33:DP33,T$78)+COUNTIF('3月'!DT33:DU33,T$78)+COUNTIF('3月'!DY33:DZ33,T$78)+COUNTIF('3月'!ED33:EE33,T$78)+COUNTIF('3月'!EI33:EJ33,T$78)+COUNTIF('3月'!EN33:EO33,T$78)+COUNTIF('3月'!ES33:ET33,T$78)</f>
        <v>0</v>
      </c>
      <c r="U109" s="76">
        <f t="shared" si="33"/>
        <v>0</v>
      </c>
      <c r="V109" s="76">
        <f>COUNTIF('3月'!D33:E33,V$78)+COUNTIF('3月'!I33:J33,V$78)+COUNTIF('3月'!N33:O33,V$78)+COUNTIF('3月'!S33:T33,V$78)+COUNTIF('3月'!X33:Y33,V$78)+COUNTIF('3月'!AC33:AD33,V$78)+COUNTIF('3月'!AH33:AI33,V$78)+COUNTIF('3月'!AM33:AN33,V$78)+COUNTIF('3月'!AR33:AS33,V$78)+COUNTIF('3月'!AW33:AX33,V$78)+COUNTIF('3月'!BB33:BC33,V$78)+COUNTIF('3月'!BG33:BH33,V$78)+COUNTIF('3月'!BL33:BM33,V$78)+COUNTIF('3月'!BQ33:BR33,V$78)+COUNTIF('3月'!BV33:BW33,V$78)+COUNTIF('3月'!CA33:CB33,V$78)+COUNTIF('3月'!CF33:CG33,V$78)+COUNTIF('3月'!CK33:CL33,V$78)+COUNTIF('3月'!CP33:CQ33,V$78)+COUNTIF('3月'!CU33:CV33,V$78)+COUNTIF('3月'!CZ33:DA33,V$78)+COUNTIF('3月'!DE33:DF33,V$78)+COUNTIF('3月'!DJ33:DK33,V$78)+COUNTIF('3月'!DO33:DP33,V$78)+COUNTIF('3月'!DT33:DU33,V$78)+COUNTIF('3月'!DY33:DZ33,V$78)+COUNTIF('3月'!ED33:EE33,V$78)+COUNTIF('3月'!EI33:EJ33,V$78)+COUNTIF('3月'!EN33:EO33,V$78)+COUNTIF('3月'!ES33:ET33,V$78)</f>
        <v>0</v>
      </c>
      <c r="W109" s="76">
        <f t="shared" si="34"/>
        <v>0</v>
      </c>
      <c r="X109" s="76">
        <f>COUNTIF('3月'!D33:E33,X$78)+COUNTIF('3月'!I33:J33,X$78)+COUNTIF('3月'!N33:O33,X$78)+COUNTIF('3月'!S33:T33,X$78)+COUNTIF('3月'!X33:Y33,X$78)+COUNTIF('3月'!AC33:AD33,X$78)+COUNTIF('3月'!AH33:AI33,X$78)+COUNTIF('3月'!AM33:AN33,X$78)+COUNTIF('3月'!AR33:AS33,X$78)+COUNTIF('3月'!AW33:AX33,X$78)+COUNTIF('3月'!BB33:BC33,X$78)+COUNTIF('3月'!BG33:BH33,X$78)+COUNTIF('3月'!BL33:BM33,X$78)+COUNTIF('3月'!BQ33:BR33,X$78)+COUNTIF('3月'!BV33:BW33,X$78)+COUNTIF('3月'!CA33:CB33,X$78)+COUNTIF('3月'!CF33:CG33,X$78)+COUNTIF('3月'!CK33:CL33,X$78)+COUNTIF('3月'!CP33:CQ33,X$78)+COUNTIF('3月'!CU33:CV33,X$78)+COUNTIF('3月'!CZ33:DA33,X$78)+COUNTIF('3月'!DE33:DF33,X$78)+COUNTIF('3月'!DJ33:DK33,X$78)+COUNTIF('3月'!DO33:DP33,X$78)+COUNTIF('3月'!DT33:DU33,X$78)+COUNTIF('3月'!DY33:DZ33,X$78)+COUNTIF('3月'!ED33:EE33,X$78)+COUNTIF('3月'!EI33:EJ33,X$78)+COUNTIF('3月'!EN33:EO33,X$78)+COUNTIF('3月'!ES33:ET33,X$78)</f>
        <v>0</v>
      </c>
      <c r="Y109" s="76">
        <f t="shared" si="35"/>
        <v>0</v>
      </c>
    </row>
    <row r="110" spans="1:25" ht="18" customHeight="1">
      <c r="A110" s="76">
        <v>31</v>
      </c>
      <c r="B110" s="76">
        <f>COUNTIF('3月'!D34:E34,B$78)+COUNTIF('3月'!I34:J34,B$78)+COUNTIF('3月'!N34:O34,B$78)+COUNTIF('3月'!S34:T34,B$78)+COUNTIF('3月'!X34:Y34,B$78)+COUNTIF('3月'!AC34:AD34,B$78)+COUNTIF('3月'!AH34:AI34,B$78)+COUNTIF('3月'!AM34:AN34,B$78)+COUNTIF('3月'!AR34:AS34,B$78)+COUNTIF('3月'!AW34:AX34,B$78)+COUNTIF('3月'!BB34:BC34,B$78)+COUNTIF('3月'!BG34:BH34,B$78)+COUNTIF('3月'!BL34:BM34,B$78)+COUNTIF('3月'!BQ34:BR34,B$78)+COUNTIF('3月'!BV34:BW34,B$78)+COUNTIF('3月'!CA34:CB34,B$78)+COUNTIF('3月'!CF34:CG34,B$78)+COUNTIF('3月'!CK34:CL34,B$78)+COUNTIF('3月'!CP34:CQ34,B$78)+COUNTIF('3月'!CU34:CV34,B$78)+COUNTIF('3月'!CZ34:DA34,B$78)+COUNTIF('3月'!DE34:DF34,B$78)+COUNTIF('3月'!DJ34:DK34,B$78)+COUNTIF('3月'!DO34:DP34,B$78)+COUNTIF('3月'!DT34:DU34,B$78)+COUNTIF('3月'!DY34:DZ34,B$78)+COUNTIF('3月'!ED34:EE34,B$78)+COUNTIF('3月'!EI34:EJ34,B$78)+COUNTIF('3月'!EN34:EO34,B$78)+COUNTIF('3月'!ES34:ET34,B$78)</f>
        <v>0</v>
      </c>
      <c r="C110" s="76">
        <f t="shared" si="24"/>
        <v>0</v>
      </c>
      <c r="D110" s="76">
        <f>COUNTIF('3月'!D34:E34,D$78)+COUNTIF('3月'!I34:J34,D$78)+COUNTIF('3月'!N34:O34,D$78)+COUNTIF('3月'!S34:T34,D$78)+COUNTIF('3月'!X34:Y34,D$78)+COUNTIF('3月'!AC34:AD34,D$78)+COUNTIF('3月'!AH34:AI34,D$78)+COUNTIF('3月'!AM34:AN34,D$78)+COUNTIF('3月'!AR34:AS34,D$78)+COUNTIF('3月'!AW34:AX34,D$78)+COUNTIF('3月'!BB34:BC34,D$78)+COUNTIF('3月'!BG34:BH34,D$78)+COUNTIF('3月'!BL34:BM34,D$78)+COUNTIF('3月'!BQ34:BR34,D$78)+COUNTIF('3月'!BV34:BW34,D$78)+COUNTIF('3月'!CA34:CB34,D$78)+COUNTIF('3月'!CF34:CG34,D$78)+COUNTIF('3月'!CK34:CL34,D$78)+COUNTIF('3月'!CP34:CQ34,D$78)+COUNTIF('3月'!CU34:CV34,D$78)+COUNTIF('3月'!CZ34:DA34,D$78)+COUNTIF('3月'!DE34:DF34,D$78)+COUNTIF('3月'!DJ34:DK34,D$78)+COUNTIF('3月'!DO34:DP34,D$78)+COUNTIF('3月'!DT34:DU34,D$78)+COUNTIF('3月'!DY34:DZ34,D$78)+COUNTIF('3月'!ED34:EE34,D$78)+COUNTIF('3月'!EI34:EJ34,D$78)+COUNTIF('3月'!EN34:EO34,D$78)+COUNTIF('3月'!ES34:ET34,D$78)</f>
        <v>0</v>
      </c>
      <c r="E110" s="76">
        <f t="shared" si="25"/>
        <v>0</v>
      </c>
      <c r="F110" s="76">
        <f>COUNTIF('3月'!D34:E34,F$78)+COUNTIF('3月'!I34:J34,F$78)+COUNTIF('3月'!N34:O34,F$78)+COUNTIF('3月'!S34:T34,F$78)+COUNTIF('3月'!X34:Y34,F$78)+COUNTIF('3月'!AC34:AD34,F$78)+COUNTIF('3月'!AH34:AI34,F$78)+COUNTIF('3月'!AM34:AN34,F$78)+COUNTIF('3月'!AR34:AS34,F$78)+COUNTIF('3月'!AW34:AX34,F$78)+COUNTIF('3月'!BB34:BC34,F$78)+COUNTIF('3月'!BG34:BH34,F$78)+COUNTIF('3月'!BL34:BM34,F$78)+COUNTIF('3月'!BQ34:BR34,F$78)+COUNTIF('3月'!BV34:BW34,F$78)+COUNTIF('3月'!CA34:CB34,F$78)+COUNTIF('3月'!CF34:CG34,F$78)+COUNTIF('3月'!CK34:CL34,F$78)+COUNTIF('3月'!CP34:CQ34,F$78)+COUNTIF('3月'!CU34:CV34,F$78)+COUNTIF('3月'!CZ34:DA34,F$78)+COUNTIF('3月'!DE34:DF34,F$78)+COUNTIF('3月'!DJ34:DK34,F$78)+COUNTIF('3月'!DO34:DP34,F$78)+COUNTIF('3月'!DT34:DU34,F$78)+COUNTIF('3月'!DY34:DZ34,F$78)+COUNTIF('3月'!ED34:EE34,F$78)+COUNTIF('3月'!EI34:EJ34,F$78)+COUNTIF('3月'!EN34:EO34,F$78)+COUNTIF('3月'!ES34:ET34,F$78)</f>
        <v>0</v>
      </c>
      <c r="G110" s="76">
        <f t="shared" si="26"/>
        <v>0</v>
      </c>
      <c r="H110" s="76">
        <f>COUNTIF('3月'!D34:E34,H$78)+COUNTIF('3月'!I34:J34,H$78)+COUNTIF('3月'!N34:O34,H$78)+COUNTIF('3月'!S34:T34,H$78)+COUNTIF('3月'!X34:Y34,H$78)+COUNTIF('3月'!AC34:AD34,H$78)+COUNTIF('3月'!AH34:AI34,H$78)+COUNTIF('3月'!AM34:AN34,H$78)+COUNTIF('3月'!AR34:AS34,H$78)+COUNTIF('3月'!AW34:AX34,H$78)+COUNTIF('3月'!BB34:BC34,H$78)+COUNTIF('3月'!BG34:BH34,H$78)+COUNTIF('3月'!BL34:BM34,H$78)+COUNTIF('3月'!BQ34:BR34,H$78)+COUNTIF('3月'!BV34:BW34,H$78)+COUNTIF('3月'!CA34:CB34,H$78)+COUNTIF('3月'!CF34:CG34,H$78)+COUNTIF('3月'!CK34:CL34,H$78)+COUNTIF('3月'!CP34:CQ34,H$78)+COUNTIF('3月'!CU34:CV34,H$78)+COUNTIF('3月'!CZ34:DA34,H$78)+COUNTIF('3月'!DE34:DF34,H$78)+COUNTIF('3月'!DJ34:DK34,H$78)+COUNTIF('3月'!DO34:DP34,H$78)+COUNTIF('3月'!DT34:DU34,H$78)+COUNTIF('3月'!DY34:DZ34,H$78)+COUNTIF('3月'!ED34:EE34,H$78)+COUNTIF('3月'!EI34:EJ34,H$78)+COUNTIF('3月'!EN34:EO34,H$78)+COUNTIF('3月'!ES34:ET34,H$78)+COUNTIF('3月'!D34:E34,"渋谷-夜勤")+COUNTIF('3月'!I34:J34,"渋谷-夜勤")+COUNTIF('3月'!N34:O34,"渋谷-夜勤")+COUNTIF('3月'!S34:T34,"渋谷-夜勤")+COUNTIF('3月'!X34:Y34,"渋谷-夜勤")+COUNTIF('3月'!AC34:AD34,"渋谷-夜勤")+COUNTIF('3月'!AH34:AI34,"渋谷-夜勤")+COUNTIF('3月'!AM34:AN34,"渋谷-夜勤")+COUNTIF('3月'!AR34:AS34,"渋谷-夜勤")+COUNTIF('3月'!AW34:AX34,"渋谷-夜勤")+COUNTIF('3月'!BB34:BC34,"渋谷-夜勤")+COUNTIF('3月'!BG34:BH34,"渋谷-夜勤")+COUNTIF('3月'!BL34:BM34,"渋谷-夜勤")+COUNTIF('3月'!BQ34:BR34,"渋谷-夜勤")+COUNTIF('3月'!BV34:BW34,"渋谷-夜勤")+COUNTIF('3月'!CA34:CB34,"渋谷-夜勤")+COUNTIF('3月'!CF34:CG34,"渋谷-夜勤")+COUNTIF('3月'!CK34:CL34,"渋谷-夜勤")+COUNTIF('3月'!CP34:CQ34,"渋谷-夜勤")+COUNTIF('3月'!CU34:CV34,"渋谷-夜勤")+COUNTIF('3月'!CZ34:DA34,"渋谷-夜勤")+COUNTIF('3月'!DE34:DF34,"渋谷-夜勤")+COUNTIF('3月'!DJ34:DK34,"渋谷-夜勤")+COUNTIF('3月'!DO34:DP34,"渋谷-夜勤")+COUNTIF('3月'!DT34:DU34,"渋谷-夜勤")+COUNTIF('3月'!DY34:DZ34,"渋谷-夜勤")+COUNTIF('3月'!ED34:EE34,"渋谷-夜勤")+COUNTIF('3月'!EI34:EJ34,"渋谷-夜勤")+COUNTIF('3月'!EN34:EO34,"渋谷-夜勤")+COUNTIF('3月'!ES34:ET34,"渋谷-夜勤")</f>
        <v>0</v>
      </c>
      <c r="I110" s="76">
        <f t="shared" si="27"/>
        <v>0</v>
      </c>
      <c r="J110" s="76">
        <f>COUNTIF('3月'!D34:E34,J$78)+COUNTIF('3月'!I34:J34,J$78)+COUNTIF('3月'!N34:O34,J$78)+COUNTIF('3月'!S34:T34,J$78)+COUNTIF('3月'!X34:Y34,J$78)+COUNTIF('3月'!AC34:AD34,J$78)+COUNTIF('3月'!AH34:AI34,J$78)+COUNTIF('3月'!AM34:AN34,J$78)+COUNTIF('3月'!AR34:AS34,J$78)+COUNTIF('3月'!AW34:AX34,J$78)+COUNTIF('3月'!BB34:BC34,J$78)+COUNTIF('3月'!BG34:BH34,J$78)+COUNTIF('3月'!BL34:BM34,J$78)+COUNTIF('3月'!BQ34:BR34,J$78)+COUNTIF('3月'!BV34:BW34,J$78)+COUNTIF('3月'!CA34:CB34,J$78)+COUNTIF('3月'!CF34:CG34,J$78)+COUNTIF('3月'!CK34:CL34,J$78)+COUNTIF('3月'!CP34:CQ34,J$78)+COUNTIF('3月'!CU34:CV34,J$78)+COUNTIF('3月'!CZ34:DA34,J$78)+COUNTIF('3月'!DE34:DF34,J$78)+COUNTIF('3月'!DJ34:DK34,J$78)+COUNTIF('3月'!DO34:DP34,J$78)+COUNTIF('3月'!DT34:DU34,J$78)+COUNTIF('3月'!DY34:DZ34,J$78)+COUNTIF('3月'!ED34:EE34,J$78)+COUNTIF('3月'!EI34:EJ34,J$78)+COUNTIF('3月'!EN34:EO34,J$78)+COUNTIF('3月'!ES34:ET34,J$78)+COUNTIF('3月'!D34:E34,"六本木-夜勤")+COUNTIF('3月'!I34:J34,"六本木-夜勤")+COUNTIF('3月'!N34:O34,"六本木-夜勤")+COUNTIF('3月'!S34:T34,"六本木-夜勤")+COUNTIF('3月'!X34:Y34,"六本木-夜勤")+COUNTIF('3月'!AC34:AD34,"六本木-夜勤")+COUNTIF('3月'!AH34:AI34,"六本木-夜勤")+COUNTIF('3月'!AM34:AN34,"六本木-夜勤")+COUNTIF('3月'!AR34:AS34,"六本木-夜勤")+COUNTIF('3月'!AW34:AX34,"六本木-夜勤")+COUNTIF('3月'!BB34:BC34,"六本木-夜勤")+COUNTIF('3月'!BG34:BH34,"六本木-夜勤")+COUNTIF('3月'!BL34:BM34,"六本木-夜勤")+COUNTIF('3月'!BQ34:BR34,"六本木-夜勤")+COUNTIF('3月'!BV34:BW34,"六本木-夜勤")+COUNTIF('3月'!CA34:CB34,"六本木-夜勤")+COUNTIF('3月'!CF34:CG34,"六本木-夜勤")+COUNTIF('3月'!CK34:CL34,"六本木-夜勤")+COUNTIF('3月'!CP34:CQ34,"六本木-夜勤")+COUNTIF('3月'!CU34:CV34,"六本木-夜勤")+COUNTIF('3月'!CZ34:DA34,"六本木-夜勤")+COUNTIF('3月'!DE34:DF34,"六本木-夜勤")+COUNTIF('3月'!DJ34:DK34,"六本木-夜勤")+COUNTIF('3月'!DO34:DP34,"六本木-夜勤")+COUNTIF('3月'!DT34:DU34,"六本木-夜勤")+COUNTIF('3月'!DY34:DZ34,"六本木-夜勤")+COUNTIF('3月'!ED34:EE34,"六本木-夜勤")+COUNTIF('3月'!EI34:EJ34,"六本木-夜勤")+COUNTIF('3月'!EN34:EO34,"六本木-夜勤")+COUNTIF('3月'!ES34:ET34,"六本木-夜勤")+COUNTIF('3月'!D34:E34,"六本木ー夜勤")+COUNTIF('3月'!I34:J34,"六本木ー夜勤")+COUNTIF('3月'!N34:O34,"六本木ー夜勤")+COUNTIF('3月'!S34:T34,"六本木ー夜勤")+COUNTIF('3月'!X34:Y34,"六本木ー夜勤")+COUNTIF('3月'!AC34:AD34,"六本木ー夜勤")+COUNTIF('3月'!AH34:AI34,"六本木ー夜勤")+COUNTIF('3月'!AM34:AN34,"六本木ー夜勤")+COUNTIF('3月'!AR34:AS34,"六本木ー夜勤")+COUNTIF('3月'!AW34:AX34,"六本木ー夜勤")+COUNTIF('3月'!BB34:BC34,"六本木ー夜勤")+COUNTIF('3月'!BG34:BH34,"六本木ー夜勤")+COUNTIF('3月'!BL34:BM34,"六本木ー夜勤")+COUNTIF('3月'!BQ34:BR34,"六本木ー夜勤")+COUNTIF('3月'!BV34:BW34,"六本木ー夜勤")+COUNTIF('3月'!CA34:CB34,"六本木ー夜勤")+COUNTIF('3月'!CF34:CG34,"六本木ー夜勤")+COUNTIF('3月'!CK34:CL34,"六本木ー夜勤")+COUNTIF('3月'!CP34:CQ34,"六本木ー夜勤")+COUNTIF('3月'!CU34:CV34,"六本木ー夜勤")+COUNTIF('3月'!CZ34:DA34,"六本木ー夜勤")+COUNTIF('3月'!DE34:DF34,"六本木ー夜勤")+COUNTIF('3月'!DJ34:DK34,"六本木ー夜勤")+COUNTIF('3月'!DO34:DP34,"六本木ー夜勤")+COUNTIF('3月'!DT34:DU34,"六本木ー夜勤")+COUNTIF('3月'!DY34:DZ34,"六本木ー夜勤")+COUNTIF('3月'!ED34:EE34,"六本木ー夜勤")+COUNTIF('3月'!EI34:EJ34,"六本木ー夜勤")+COUNTIF('3月'!EN34:EO34,"六本木ー夜勤")+COUNTIF('3月'!ES34:ET34,"六本木ー夜勤")</f>
        <v>0</v>
      </c>
      <c r="K110" s="76">
        <f t="shared" si="28"/>
        <v>0</v>
      </c>
      <c r="L110" s="76">
        <f>COUNTIF('3月'!D34:E34,L$78)+COUNTIF('3月'!I34:J34,L$78)+COUNTIF('3月'!N34:O34,L$78)+COUNTIF('3月'!S34:T34,L$78)+COUNTIF('3月'!X34:Y34,L$78)+COUNTIF('3月'!AC34:AD34,L$78)+COUNTIF('3月'!AH34:AI34,L$78)+COUNTIF('3月'!AM34:AN34,L$78)+COUNTIF('3月'!AR34:AS34,L$78)+COUNTIF('3月'!AW34:AX34,L$78)+COUNTIF('3月'!BB34:BC34,L$78)+COUNTIF('3月'!BG34:BH34,L$78)+COUNTIF('3月'!BL34:BM34,L$78)+COUNTIF('3月'!BQ34:BR34,L$78)+COUNTIF('3月'!BV34:BW34,L$78)+COUNTIF('3月'!CA34:CB34,L$78)+COUNTIF('3月'!CF34:CG34,L$78)+COUNTIF('3月'!CK34:CL34,L$78)+COUNTIF('3月'!CP34:CQ34,L$78)+COUNTIF('3月'!CU34:CV34,L$78)+COUNTIF('3月'!CZ34:DA34,L$78)+COUNTIF('3月'!DE34:DF34,L$78)+COUNTIF('3月'!DJ34:DK34,L$78)+COUNTIF('3月'!DO34:DP34,L$78)+COUNTIF('3月'!DT34:DU34,L$78)+COUNTIF('3月'!DY34:DZ34,L$78)+COUNTIF('3月'!ED34:EE34,L$78)+COUNTIF('3月'!EI34:EJ34,L$78)+COUNTIF('3月'!EN34:EO34,L$78)+COUNTIF('3月'!ES34:ET34,L$78)</f>
        <v>0</v>
      </c>
      <c r="M110" s="76">
        <f t="shared" si="29"/>
        <v>0</v>
      </c>
      <c r="N110" s="76">
        <f>COUNTIF('3月'!D34:E34,N$78)+COUNTIF('3月'!I34:J34,N$78)+COUNTIF('3月'!N34:O34,N$78)+COUNTIF('3月'!S34:T34,N$78)+COUNTIF('3月'!X34:Y34,N$78)+COUNTIF('3月'!AC34:AD34,N$78)+COUNTIF('3月'!AH34:AI34,N$78)+COUNTIF('3月'!AM34:AN34,N$78)+COUNTIF('3月'!AR34:AS34,N$78)+COUNTIF('3月'!AW34:AX34,N$78)+COUNTIF('3月'!BB34:BC34,N$78)+COUNTIF('3月'!BG34:BH34,N$78)+COUNTIF('3月'!BL34:BM34,N$78)+COUNTIF('3月'!BQ34:BR34,N$78)+COUNTIF('3月'!BV34:BW34,N$78)+COUNTIF('3月'!CA34:CB34,N$78)+COUNTIF('3月'!CF34:CG34,N$78)+COUNTIF('3月'!CK34:CL34,N$78)+COUNTIF('3月'!CP34:CQ34,N$78)+COUNTIF('3月'!CU34:CV34,N$78)+COUNTIF('3月'!CZ34:DA34,N$78)+COUNTIF('3月'!DE34:DF34,N$78)+COUNTIF('3月'!DJ34:DK34,N$78)+COUNTIF('3月'!DO34:DP34,N$78)+COUNTIF('3月'!DT34:DU34,N$78)+COUNTIF('3月'!DY34:DZ34,N$78)+COUNTIF('3月'!ED34:EE34,N$78)+COUNTIF('3月'!EI34:EJ34,N$78)+COUNTIF('3月'!EN34:EO34,N$78)+COUNTIF('3月'!ES34:ET34,N$78)+COUNTIF('3月'!D34:E34,"三軒茶屋－夜勤")+COUNTIF('3月'!I34:J34,"三軒茶屋－夜勤")+COUNTIF('3月'!N34:O34,"三軒茶屋－夜勤")+COUNTIF('3月'!S34:T34,"三軒茶屋－夜勤")+COUNTIF('3月'!X34:Y34,"三軒茶屋－夜勤")+COUNTIF('3月'!AC34:AD34,"三軒茶屋－夜勤")+COUNTIF('3月'!AH34:AI34,"三軒茶屋－夜勤")+COUNTIF('3月'!AM34:AN34,"三軒茶屋－夜勤")+COUNTIF('3月'!AR34:AS34,"三軒茶屋－夜勤")+COUNTIF('3月'!AW34:AX34,"三軒茶屋－夜勤")+COUNTIF('3月'!BB34:BC34,"三軒茶屋－夜勤")+COUNTIF('3月'!BG34:BH34,"三軒茶屋－夜勤")+COUNTIF('3月'!BL34:BM34,"三軒茶屋－夜勤")+COUNTIF('3月'!BQ34:BR34,"三軒茶屋－夜勤")+COUNTIF('3月'!BV34:BW34,"三軒茶屋－夜勤")+COUNTIF('3月'!CA34:CB34,"三軒茶屋－夜勤")+COUNTIF('3月'!CF34:CG34,"三軒茶屋－夜勤")+COUNTIF('3月'!CK34:CL34,"三軒茶屋－夜勤")+COUNTIF('3月'!CP34:CQ34,"三軒茶屋－夜勤")+COUNTIF('3月'!CU34:CV34,"三軒茶屋－夜勤")+COUNTIF('3月'!CZ34:DA34,"三軒茶屋－夜勤")+COUNTIF('3月'!DE34:DF34,"三軒茶屋－夜勤")+COUNTIF('3月'!DJ34:DK34,"三軒茶屋－夜勤")+COUNTIF('3月'!DO34:DP34,"三軒茶屋－夜勤")+COUNTIF('3月'!DT34:DU34,"三軒茶屋－夜勤")+COUNTIF('3月'!DY34:DZ34,"三軒茶屋－夜勤")+COUNTIF('3月'!ED34:EE34,"三軒茶屋－夜勤")+COUNTIF('3月'!EI34:EJ34,"三軒茶屋－夜勤")+COUNTIF('3月'!EN34:EO34,"三軒茶屋－夜勤")+COUNTIF('3月'!ES34:ET34,"三軒茶屋－夜勤")</f>
        <v>0</v>
      </c>
      <c r="O110" s="76">
        <f t="shared" si="30"/>
        <v>0</v>
      </c>
      <c r="P110" s="76">
        <f>COUNTIF('3月'!D34:E34,P$78)+COUNTIF('3月'!I34:J34,P$78)+COUNTIF('3月'!N34:O34,P$78)+COUNTIF('3月'!S34:T34,P$78)+COUNTIF('3月'!X34:Y34,P$78)+COUNTIF('3月'!AC34:AD34,P$78)+COUNTIF('3月'!AH34:AI34,P$78)+COUNTIF('3月'!AM34:AN34,P$78)+COUNTIF('3月'!AR34:AS34,P$78)+COUNTIF('3月'!AW34:AX34,P$78)+COUNTIF('3月'!BB34:BC34,P$78)+COUNTIF('3月'!BG34:BH34,P$78)+COUNTIF('3月'!BL34:BM34,P$78)+COUNTIF('3月'!BQ34:BR34,P$78)+COUNTIF('3月'!BV34:BW34,P$78)+COUNTIF('3月'!CA34:CB34,P$78)+COUNTIF('3月'!CF34:CG34,P$78)+COUNTIF('3月'!CK34:CL34,P$78)+COUNTIF('3月'!CP34:CQ34,P$78)+COUNTIF('3月'!CU34:CV34,P$78)+COUNTIF('3月'!CZ34:DA34,P$78)+COUNTIF('3月'!DE34:DF34,P$78)+COUNTIF('3月'!DJ34:DK34,P$78)+COUNTIF('3月'!DO34:DP34,P$78)+COUNTIF('3月'!DT34:DU34,P$78)+COUNTIF('3月'!DY34:DZ34,P$78)+COUNTIF('3月'!ED34:EE34,P$78)+COUNTIF('3月'!EI34:EJ34,P$78)+COUNTIF('3月'!EN34:EO34,P$78)+COUNTIF('3月'!ES34:ET34,P$78)+COUNTIF('3月'!D34:E34,"荻窪ー夜勤")+COUNTIF('3月'!I34:J34,"荻窪ー夜勤")+COUNTIF('3月'!N34:O34,"荻窪ー夜勤")+COUNTIF('3月'!S34:T34,"荻窪ー夜勤")+COUNTIF('3月'!X34:Y34,"荻窪ー夜勤")+COUNTIF('3月'!AC34:AD34,"荻窪ー夜勤")+COUNTIF('3月'!AH34:AI34,"荻窪ー夜勤")+COUNTIF('3月'!AM34:AN34,"荻窪ー夜勤")+COUNTIF('3月'!AR34:AS34,"荻窪ー夜勤")+COUNTIF('3月'!AW34:AX34,"荻窪ー夜勤")+COUNTIF('3月'!BB34:BC34,"荻窪ー夜勤")+COUNTIF('3月'!BG34:BH34,"荻窪ー夜勤")+COUNTIF('3月'!BL34:BM34,"荻窪ー夜勤")+COUNTIF('3月'!BQ34:BR34,"荻窪ー夜勤")+COUNTIF('3月'!BV34:BW34,"荻窪ー夜勤")+COUNTIF('3月'!CA34:CB34,"荻窪ー夜勤")+COUNTIF('3月'!CF34:CG34,"荻窪ー夜勤")+COUNTIF('3月'!CK34:CL34,"荻窪ー夜勤")+COUNTIF('3月'!CP34:CQ34,"荻窪ー夜勤")+COUNTIF('3月'!CU34:CV34,"荻窪ー夜勤")+COUNTIF('3月'!CZ34:DA34,"荻窪ー夜勤")+COUNTIF('3月'!DE34:DF34,"荻窪ー夜勤")+COUNTIF('3月'!DJ34:DK34,"荻窪ー夜勤")+COUNTIF('3月'!DO34:DP34,"荻窪ー夜勤")+COUNTIF('3月'!DT34:DU34,"荻窪ー夜勤")+COUNTIF('3月'!DY34:DZ34,"荻窪ー夜勤")+COUNTIF('3月'!ED34:EE34,"荻窪ー夜勤")+COUNTIF('3月'!EI34:EJ34,"荻窪ー夜勤")+COUNTIF('3月'!EN34:EO34,"荻窪ー夜勤")+COUNTIF('3月'!ES34:ET34,"荻窪ー夜勤")</f>
        <v>0</v>
      </c>
      <c r="Q110" s="76">
        <f t="shared" si="31"/>
        <v>0</v>
      </c>
      <c r="R110" s="76">
        <f>COUNTIF('3月'!D34:E34,R$78)+COUNTIF('3月'!I34:J34,R$78)+COUNTIF('3月'!N34:O34,R$78)+COUNTIF('3月'!S34:T34,R$78)+COUNTIF('3月'!X34:Y34,R$78)+COUNTIF('3月'!AC34:AD34,R$78)+COUNTIF('3月'!AH34:AI34,R$78)+COUNTIF('3月'!AM34:AN34,R$78)+COUNTIF('3月'!AR34:AS34,R$78)+COUNTIF('3月'!AW34:AX34,R$78)+COUNTIF('3月'!BB34:BC34,R$78)+COUNTIF('3月'!BG34:BH34,R$78)+COUNTIF('3月'!BL34:BM34,R$78)+COUNTIF('3月'!BQ34:BR34,R$78)+COUNTIF('3月'!BV34:BW34,R$78)+COUNTIF('3月'!CA34:CB34,R$78)+COUNTIF('3月'!CF34:CG34,R$78)+COUNTIF('3月'!CK34:CL34,R$78)+COUNTIF('3月'!CP34:CQ34,R$78)+COUNTIF('3月'!CU34:CV34,R$78)+COUNTIF('3月'!CZ34:DA34,R$78)+COUNTIF('3月'!DE34:DF34,R$78)+COUNTIF('3月'!DJ34:DK34,R$78)+COUNTIF('3月'!DO34:DP34,R$78)+COUNTIF('3月'!DT34:DU34,R$78)+COUNTIF('3月'!DY34:DZ34,R$78)+COUNTIF('3月'!ED34:EE34,R$78)+COUNTIF('3月'!EI34:EJ34,R$78)+COUNTIF('3月'!EN34:EO34,R$78)+COUNTIF('3月'!ES34:ET34,R$78)</f>
        <v>0</v>
      </c>
      <c r="S110" s="76">
        <f t="shared" si="32"/>
        <v>0</v>
      </c>
      <c r="T110" s="76">
        <f>COUNTIF('3月'!D34:E34,T$78)+COUNTIF('3月'!I34:J34,T$78)+COUNTIF('3月'!N34:O34,T$78)+COUNTIF('3月'!S34:T34,T$78)+COUNTIF('3月'!X34:Y34,T$78)+COUNTIF('3月'!AC34:AD34,T$78)+COUNTIF('3月'!AH34:AI34,T$78)+COUNTIF('3月'!AM34:AN34,T$78)+COUNTIF('3月'!AR34:AS34,T$78)+COUNTIF('3月'!AW34:AX34,T$78)+COUNTIF('3月'!BB34:BC34,T$78)+COUNTIF('3月'!BG34:BH34,T$78)+COUNTIF('3月'!BL34:BM34,T$78)+COUNTIF('3月'!BQ34:BR34,T$78)+COUNTIF('3月'!BV34:BW34,T$78)+COUNTIF('3月'!CA34:CB34,T$78)+COUNTIF('3月'!CF34:CG34,T$78)+COUNTIF('3月'!CK34:CL34,T$78)+COUNTIF('3月'!CP34:CQ34,T$78)+COUNTIF('3月'!CU34:CV34,T$78)+COUNTIF('3月'!CZ34:DA34,T$78)+COUNTIF('3月'!DE34:DF34,T$78)+COUNTIF('3月'!DJ34:DK34,T$78)+COUNTIF('3月'!DO34:DP34,T$78)+COUNTIF('3月'!DT34:DU34,T$78)+COUNTIF('3月'!DY34:DZ34,T$78)+COUNTIF('3月'!ED34:EE34,T$78)+COUNTIF('3月'!EI34:EJ34,T$78)+COUNTIF('3月'!EN34:EO34,T$78)+COUNTIF('3月'!ES34:ET34,T$78)</f>
        <v>0</v>
      </c>
      <c r="U110" s="76">
        <f t="shared" si="33"/>
        <v>0</v>
      </c>
      <c r="V110" s="76">
        <f>COUNTIF('3月'!D34:E34,V$78)+COUNTIF('3月'!I34:J34,V$78)+COUNTIF('3月'!N34:O34,V$78)+COUNTIF('3月'!S34:T34,V$78)+COUNTIF('3月'!X34:Y34,V$78)+COUNTIF('3月'!AC34:AD34,V$78)+COUNTIF('3月'!AH34:AI34,V$78)+COUNTIF('3月'!AM34:AN34,V$78)+COUNTIF('3月'!AR34:AS34,V$78)+COUNTIF('3月'!AW34:AX34,V$78)+COUNTIF('3月'!BB34:BC34,V$78)+COUNTIF('3月'!BG34:BH34,V$78)+COUNTIF('3月'!BL34:BM34,V$78)+COUNTIF('3月'!BQ34:BR34,V$78)+COUNTIF('3月'!BV34:BW34,V$78)+COUNTIF('3月'!CA34:CB34,V$78)+COUNTIF('3月'!CF34:CG34,V$78)+COUNTIF('3月'!CK34:CL34,V$78)+COUNTIF('3月'!CP34:CQ34,V$78)+COUNTIF('3月'!CU34:CV34,V$78)+COUNTIF('3月'!CZ34:DA34,V$78)+COUNTIF('3月'!DE34:DF34,V$78)+COUNTIF('3月'!DJ34:DK34,V$78)+COUNTIF('3月'!DO34:DP34,V$78)+COUNTIF('3月'!DT34:DU34,V$78)+COUNTIF('3月'!DY34:DZ34,V$78)+COUNTIF('3月'!ED34:EE34,V$78)+COUNTIF('3月'!EI34:EJ34,V$78)+COUNTIF('3月'!EN34:EO34,V$78)+COUNTIF('3月'!ES34:ET34,V$78)</f>
        <v>0</v>
      </c>
      <c r="W110" s="76">
        <f t="shared" si="34"/>
        <v>0</v>
      </c>
      <c r="X110" s="76">
        <f>COUNTIF('3月'!D34:E34,X$78)+COUNTIF('3月'!I34:J34,X$78)+COUNTIF('3月'!N34:O34,X$78)+COUNTIF('3月'!S34:T34,X$78)+COUNTIF('3月'!X34:Y34,X$78)+COUNTIF('3月'!AC34:AD34,X$78)+COUNTIF('3月'!AH34:AI34,X$78)+COUNTIF('3月'!AM34:AN34,X$78)+COUNTIF('3月'!AR34:AS34,X$78)+COUNTIF('3月'!AW34:AX34,X$78)+COUNTIF('3月'!BB34:BC34,X$78)+COUNTIF('3月'!BG34:BH34,X$78)+COUNTIF('3月'!BL34:BM34,X$78)+COUNTIF('3月'!BQ34:BR34,X$78)+COUNTIF('3月'!BV34:BW34,X$78)+COUNTIF('3月'!CA34:CB34,X$78)+COUNTIF('3月'!CF34:CG34,X$78)+COUNTIF('3月'!CK34:CL34,X$78)+COUNTIF('3月'!CP34:CQ34,X$78)+COUNTIF('3月'!CU34:CV34,X$78)+COUNTIF('3月'!CZ34:DA34,X$78)+COUNTIF('3月'!DE34:DF34,X$78)+COUNTIF('3月'!DJ34:DK34,X$78)+COUNTIF('3月'!DO34:DP34,X$78)+COUNTIF('3月'!DT34:DU34,X$78)+COUNTIF('3月'!DY34:DZ34,X$78)+COUNTIF('3月'!ED34:EE34,X$78)+COUNTIF('3月'!EI34:EJ34,X$78)+COUNTIF('3月'!EN34:EO34,X$78)+COUNTIF('3月'!ES34:ET34,X$78)</f>
        <v>0</v>
      </c>
      <c r="Y110" s="76">
        <f t="shared" si="35"/>
        <v>0</v>
      </c>
    </row>
    <row r="111" spans="1:25" ht="21.95" customHeight="1">
      <c r="A111" s="65" t="s">
        <v>116</v>
      </c>
      <c r="B111" s="65">
        <f>SUM(B80:B110)</f>
        <v>0</v>
      </c>
      <c r="C111" s="65"/>
      <c r="D111" s="65">
        <f>SUM(D80:D110)</f>
        <v>0</v>
      </c>
      <c r="E111" s="65"/>
      <c r="F111" s="65">
        <f>SUM(F80:F110)</f>
        <v>0</v>
      </c>
      <c r="G111" s="65"/>
      <c r="H111" s="65">
        <f>SUM(H80:H110)</f>
        <v>0</v>
      </c>
      <c r="I111" s="65"/>
      <c r="J111" s="65">
        <f>SUM(J80:J110)</f>
        <v>0</v>
      </c>
      <c r="K111" s="65"/>
      <c r="L111" s="65">
        <f>SUM(L80:L110)</f>
        <v>0</v>
      </c>
      <c r="M111" s="65"/>
      <c r="N111" s="65">
        <f>SUM(N80:N110)</f>
        <v>0</v>
      </c>
      <c r="O111" s="65"/>
      <c r="P111" s="65">
        <f>SUM(P80:P110)</f>
        <v>0</v>
      </c>
      <c r="Q111" s="65"/>
      <c r="R111" s="65">
        <f>SUM(R80:R110)</f>
        <v>0</v>
      </c>
      <c r="S111" s="65"/>
      <c r="T111" s="65">
        <f>SUM(T80:T110)</f>
        <v>0</v>
      </c>
      <c r="U111" s="65"/>
      <c r="V111" s="65">
        <f>SUM(V80:V110)</f>
        <v>0</v>
      </c>
      <c r="W111" s="65"/>
      <c r="X111" s="65">
        <f>SUM(X80:X110)</f>
        <v>0</v>
      </c>
      <c r="Y111" s="65"/>
    </row>
    <row r="112" spans="1:25" ht="21.95" customHeight="1">
      <c r="A112" s="65" t="s">
        <v>117</v>
      </c>
      <c r="B112" s="65">
        <f>SUM('3月'!H4:H34)+SUM('3月'!M4:M34)+SUM('3月'!R4:R34)+SUM('3月'!W4:W34)+SUM('3月'!AB4:AB34)+SUM('3月'!AG4:AG34)+SUM('3月'!AL4:AL34)+SUM('3月'!AQ4:AQ34)+SUM('3月'!AV4:AV34)+SUM('3月'!BA4:BA34)+SUM('3月'!BF4:BF34)+SUM('3月'!BK4:BK34)+SUM('3月'!BP4:BP34)+SUM('3月'!BU4:BU34)+SUM('3月'!BZ4:BZ34)+SUM('3月'!CE4:CE34)+SUM('3月'!CJ4:CJ34)+SUM('3月'!CO4:CO34)+SUM('3月'!CT4:CT34)+SUM('3月'!CY4:CY34)+SUM('3月'!DD4:DD34)+SUM('3月'!DI4:DI34)+SUM('3月'!DN4:DN34)+SUM('3月'!DS4:DS34)+SUM('3月'!DX4:DX34)+SUM('3月'!EC4:EC34)+SUM('3月'!EH4:EH34)+SUM('3月'!EM4:EM34)+SUM('3月'!ER4:ER34)+SUM('3月'!EW4:EW34)</f>
        <v>0</v>
      </c>
      <c r="C112" s="127" t="s">
        <v>118</v>
      </c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</row>
    <row r="113" spans="1:25" ht="9.9499999999999993" customHeight="1"/>
    <row r="114" spans="1:25" ht="21.95" customHeight="1">
      <c r="A114" s="112" t="str">
        <f>対象年度&amp;"年 4月分  30日締め"</f>
        <v>2026年 4月分  30日締め</v>
      </c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</row>
    <row r="115" spans="1:25" ht="21.95" customHeight="1">
      <c r="A115" s="60" t="s">
        <v>113</v>
      </c>
      <c r="B115" s="123" t="str">
        <f>IFERROR(現場マスタ!$C$4,"")</f>
        <v>新宿</v>
      </c>
      <c r="C115" s="123"/>
      <c r="D115" s="123" t="str">
        <f>IFERROR(現場マスタ!$C$5,"")</f>
        <v>赤坂</v>
      </c>
      <c r="E115" s="123"/>
      <c r="F115" s="123" t="str">
        <f>IFERROR(現場マスタ!$C$6,"")</f>
        <v>渋谷ヒカリエ</v>
      </c>
      <c r="G115" s="123"/>
      <c r="H115" s="123" t="str">
        <f>IFERROR(現場マスタ!$C$7,"")</f>
        <v>六本木ヒルズ</v>
      </c>
      <c r="I115" s="123"/>
      <c r="J115" s="123" t="str">
        <f>IFERROR(現場マスタ!$C$10,"")</f>
        <v>有給</v>
      </c>
      <c r="K115" s="123"/>
      <c r="L115" s="123">
        <f>IFERROR(現場マスタ!$C$12,"")</f>
        <v>0</v>
      </c>
      <c r="M115" s="123"/>
      <c r="N115" s="123">
        <f>IFERROR(現場マスタ!$C$16,"")</f>
        <v>0</v>
      </c>
      <c r="O115" s="123"/>
      <c r="P115" s="123">
        <f>IFERROR(現場マスタ!$C$17,"")</f>
        <v>0</v>
      </c>
      <c r="Q115" s="123"/>
      <c r="R115" s="123">
        <f>IFERROR(現場マスタ!$C$18,"")</f>
        <v>0</v>
      </c>
      <c r="S115" s="123"/>
      <c r="T115" s="123">
        <f>IFERROR(現場マスタ!$C$20,"")</f>
        <v>0</v>
      </c>
      <c r="U115" s="123"/>
      <c r="V115" s="123">
        <f>IFERROR(現場マスタ!$C$21,"")</f>
        <v>0</v>
      </c>
      <c r="W115" s="123"/>
      <c r="X115" s="123">
        <f>IFERROR(現場マスタ!$C$22,"")</f>
        <v>0</v>
      </c>
      <c r="Y115" s="123"/>
    </row>
    <row r="116" spans="1:25" ht="20.100000000000001" customHeight="1">
      <c r="A116" s="60" t="s">
        <v>4</v>
      </c>
      <c r="B116" s="65" t="s">
        <v>114</v>
      </c>
      <c r="C116" s="65" t="s">
        <v>115</v>
      </c>
      <c r="D116" s="65" t="s">
        <v>114</v>
      </c>
      <c r="E116" s="65" t="s">
        <v>115</v>
      </c>
      <c r="F116" s="65" t="s">
        <v>114</v>
      </c>
      <c r="G116" s="65" t="s">
        <v>115</v>
      </c>
      <c r="H116" s="65" t="s">
        <v>114</v>
      </c>
      <c r="I116" s="65" t="s">
        <v>115</v>
      </c>
      <c r="J116" s="65" t="s">
        <v>114</v>
      </c>
      <c r="K116" s="65" t="s">
        <v>115</v>
      </c>
      <c r="L116" s="65" t="s">
        <v>114</v>
      </c>
      <c r="M116" s="65" t="s">
        <v>115</v>
      </c>
      <c r="N116" s="65" t="s">
        <v>114</v>
      </c>
      <c r="O116" s="65" t="s">
        <v>115</v>
      </c>
      <c r="P116" s="65" t="s">
        <v>114</v>
      </c>
      <c r="Q116" s="65" t="s">
        <v>115</v>
      </c>
      <c r="R116" s="65" t="s">
        <v>114</v>
      </c>
      <c r="S116" s="65" t="s">
        <v>115</v>
      </c>
      <c r="T116" s="65" t="s">
        <v>114</v>
      </c>
      <c r="U116" s="65" t="s">
        <v>115</v>
      </c>
      <c r="V116" s="65" t="s">
        <v>114</v>
      </c>
      <c r="W116" s="65" t="s">
        <v>115</v>
      </c>
      <c r="X116" s="65" t="s">
        <v>114</v>
      </c>
      <c r="Y116" s="65" t="s">
        <v>115</v>
      </c>
    </row>
    <row r="117" spans="1:25" ht="18" customHeight="1">
      <c r="A117" s="76">
        <v>1</v>
      </c>
      <c r="B117" s="76">
        <f>COUNTIF('4月'!D4:E4,B$115)+COUNTIF('4月'!I4:J4,B$115)+COUNTIF('4月'!N4:O4,B$115)+COUNTIF('4月'!S4:T4,B$115)+COUNTIF('4月'!X4:Y4,B$115)+COUNTIF('4月'!AC4:AD4,B$115)+COUNTIF('4月'!AH4:AI4,B$115)+COUNTIF('4月'!AM4:AN4,B$115)+COUNTIF('4月'!AR4:AS4,B$115)+COUNTIF('4月'!AW4:AX4,B$115)+COUNTIF('4月'!BB4:BC4,B$115)+COUNTIF('4月'!BG4:BH4,B$115)+COUNTIF('4月'!BL4:BM4,B$115)+COUNTIF('4月'!BQ4:BR4,B$115)+COUNTIF('4月'!BV4:BW4,B$115)+COUNTIF('4月'!CA4:CB4,B$115)+COUNTIF('4月'!CF4:CG4,B$115)+COUNTIF('4月'!CK4:CL4,B$115)+COUNTIF('4月'!CP4:CQ4,B$115)+COUNTIF('4月'!CU4:CV4,B$115)+COUNTIF('4月'!CZ4:DA4,B$115)+COUNTIF('4月'!DE4:DF4,B$115)+COUNTIF('4月'!DJ4:DK4,B$115)+COUNTIF('4月'!DO4:DP4,B$115)+COUNTIF('4月'!DT4:DU4,B$115)+COUNTIF('4月'!DY4:DZ4,B$115)+COUNTIF('4月'!ED4:EE4,B$115)+COUNTIF('4月'!EI4:EJ4,B$115)+COUNTIF('4月'!EN4:EO4,B$115)+COUNTIF('4月'!ES4:ET4,B$115)</f>
        <v>0</v>
      </c>
      <c r="C117" s="76">
        <f>IF(B117=0,0,B117)</f>
        <v>0</v>
      </c>
      <c r="D117" s="76">
        <f>COUNTIF('4月'!D4:E4,D$115)+COUNTIF('4月'!I4:J4,D$115)+COUNTIF('4月'!N4:O4,D$115)+COUNTIF('4月'!S4:T4,D$115)+COUNTIF('4月'!X4:Y4,D$115)+COUNTIF('4月'!AC4:AD4,D$115)+COUNTIF('4月'!AH4:AI4,D$115)+COUNTIF('4月'!AM4:AN4,D$115)+COUNTIF('4月'!AR4:AS4,D$115)+COUNTIF('4月'!AW4:AX4,D$115)+COUNTIF('4月'!BB4:BC4,D$115)+COUNTIF('4月'!BG4:BH4,D$115)+COUNTIF('4月'!BL4:BM4,D$115)+COUNTIF('4月'!BQ4:BR4,D$115)+COUNTIF('4月'!BV4:BW4,D$115)+COUNTIF('4月'!CA4:CB4,D$115)+COUNTIF('4月'!CF4:CG4,D$115)+COUNTIF('4月'!CK4:CL4,D$115)+COUNTIF('4月'!CP4:CQ4,D$115)+COUNTIF('4月'!CU4:CV4,D$115)+COUNTIF('4月'!CZ4:DA4,D$115)+COUNTIF('4月'!DE4:DF4,D$115)+COUNTIF('4月'!DJ4:DK4,D$115)+COUNTIF('4月'!DO4:DP4,D$115)+COUNTIF('4月'!DT4:DU4,D$115)+COUNTIF('4月'!DY4:DZ4,D$115)+COUNTIF('4月'!ED4:EE4,D$115)+COUNTIF('4月'!EI4:EJ4,D$115)+COUNTIF('4月'!EN4:EO4,D$115)+COUNTIF('4月'!ES4:ET4,D$115)</f>
        <v>0</v>
      </c>
      <c r="E117" s="76">
        <f>IF(D117=0,0,D117)</f>
        <v>0</v>
      </c>
      <c r="F117" s="76">
        <f>COUNTIF('4月'!D4:E4,F$115)+COUNTIF('4月'!I4:J4,F$115)+COUNTIF('4月'!N4:O4,F$115)+COUNTIF('4月'!S4:T4,F$115)+COUNTIF('4月'!X4:Y4,F$115)+COUNTIF('4月'!AC4:AD4,F$115)+COUNTIF('4月'!AH4:AI4,F$115)+COUNTIF('4月'!AM4:AN4,F$115)+COUNTIF('4月'!AR4:AS4,F$115)+COUNTIF('4月'!AW4:AX4,F$115)+COUNTIF('4月'!BB4:BC4,F$115)+COUNTIF('4月'!BG4:BH4,F$115)+COUNTIF('4月'!BL4:BM4,F$115)+COUNTIF('4月'!BQ4:BR4,F$115)+COUNTIF('4月'!BV4:BW4,F$115)+COUNTIF('4月'!CA4:CB4,F$115)+COUNTIF('4月'!CF4:CG4,F$115)+COUNTIF('4月'!CK4:CL4,F$115)+COUNTIF('4月'!CP4:CQ4,F$115)+COUNTIF('4月'!CU4:CV4,F$115)+COUNTIF('4月'!CZ4:DA4,F$115)+COUNTIF('4月'!DE4:DF4,F$115)+COUNTIF('4月'!DJ4:DK4,F$115)+COUNTIF('4月'!DO4:DP4,F$115)+COUNTIF('4月'!DT4:DU4,F$115)+COUNTIF('4月'!DY4:DZ4,F$115)+COUNTIF('4月'!ED4:EE4,F$115)+COUNTIF('4月'!EI4:EJ4,F$115)+COUNTIF('4月'!EN4:EO4,F$115)+COUNTIF('4月'!ES4:ET4,F$115)</f>
        <v>0</v>
      </c>
      <c r="G117" s="76">
        <f>IF(F117=0,0,F117)</f>
        <v>0</v>
      </c>
      <c r="H117" s="76">
        <f>COUNTIF('4月'!D4:E4,H$115)+COUNTIF('4月'!I4:J4,H$115)+COUNTIF('4月'!N4:O4,H$115)+COUNTIF('4月'!S4:T4,H$115)+COUNTIF('4月'!X4:Y4,H$115)+COUNTIF('4月'!AC4:AD4,H$115)+COUNTIF('4月'!AH4:AI4,H$115)+COUNTIF('4月'!AM4:AN4,H$115)+COUNTIF('4月'!AR4:AS4,H$115)+COUNTIF('4月'!AW4:AX4,H$115)+COUNTIF('4月'!BB4:BC4,H$115)+COUNTIF('4月'!BG4:BH4,H$115)+COUNTIF('4月'!BL4:BM4,H$115)+COUNTIF('4月'!BQ4:BR4,H$115)+COUNTIF('4月'!BV4:BW4,H$115)+COUNTIF('4月'!CA4:CB4,H$115)+COUNTIF('4月'!CF4:CG4,H$115)+COUNTIF('4月'!CK4:CL4,H$115)+COUNTIF('4月'!CP4:CQ4,H$115)+COUNTIF('4月'!CU4:CV4,H$115)+COUNTIF('4月'!CZ4:DA4,H$115)+COUNTIF('4月'!DE4:DF4,H$115)+COUNTIF('4月'!DJ4:DK4,H$115)+COUNTIF('4月'!DO4:DP4,H$115)+COUNTIF('4月'!DT4:DU4,H$115)+COUNTIF('4月'!DY4:DZ4,H$115)+COUNTIF('4月'!ED4:EE4,H$115)+COUNTIF('4月'!EI4:EJ4,H$115)+COUNTIF('4月'!EN4:EO4,H$115)+COUNTIF('4月'!ES4:ET4,H$115)+COUNTIF('4月'!D4:E4,"渋谷-夜勤")+COUNTIF('4月'!I4:J4,"渋谷-夜勤")+COUNTIF('4月'!N4:O4,"渋谷-夜勤")+COUNTIF('4月'!S4:T4,"渋谷-夜勤")+COUNTIF('4月'!X4:Y4,"渋谷-夜勤")+COUNTIF('4月'!AC4:AD4,"渋谷-夜勤")+COUNTIF('4月'!AH4:AI4,"渋谷-夜勤")+COUNTIF('4月'!AM4:AN4,"渋谷-夜勤")+COUNTIF('4月'!AR4:AS4,"渋谷-夜勤")+COUNTIF('4月'!AW4:AX4,"渋谷-夜勤")+COUNTIF('4月'!BB4:BC4,"渋谷-夜勤")+COUNTIF('4月'!BG4:BH4,"渋谷-夜勤")+COUNTIF('4月'!BL4:BM4,"渋谷-夜勤")+COUNTIF('4月'!BQ4:BR4,"渋谷-夜勤")+COUNTIF('4月'!BV4:BW4,"渋谷-夜勤")+COUNTIF('4月'!CA4:CB4,"渋谷-夜勤")+COUNTIF('4月'!CF4:CG4,"渋谷-夜勤")+COUNTIF('4月'!CK4:CL4,"渋谷-夜勤")+COUNTIF('4月'!CP4:CQ4,"渋谷-夜勤")+COUNTIF('4月'!CU4:CV4,"渋谷-夜勤")+COUNTIF('4月'!CZ4:DA4,"渋谷-夜勤")+COUNTIF('4月'!DE4:DF4,"渋谷-夜勤")+COUNTIF('4月'!DJ4:DK4,"渋谷-夜勤")+COUNTIF('4月'!DO4:DP4,"渋谷-夜勤")+COUNTIF('4月'!DT4:DU4,"渋谷-夜勤")+COUNTIF('4月'!DY4:DZ4,"渋谷-夜勤")+COUNTIF('4月'!ED4:EE4,"渋谷-夜勤")+COUNTIF('4月'!EI4:EJ4,"渋谷-夜勤")+COUNTIF('4月'!EN4:EO4,"渋谷-夜勤")+COUNTIF('4月'!ES4:ET4,"渋谷-夜勤")</f>
        <v>0</v>
      </c>
      <c r="I117" s="76">
        <f>IF(H117=0,0,H117)</f>
        <v>0</v>
      </c>
      <c r="J117" s="76">
        <f>COUNTIF('4月'!D4:E4,J$115)+COUNTIF('4月'!I4:J4,J$115)+COUNTIF('4月'!N4:O4,J$115)+COUNTIF('4月'!S4:T4,J$115)+COUNTIF('4月'!X4:Y4,J$115)+COUNTIF('4月'!AC4:AD4,J$115)+COUNTIF('4月'!AH4:AI4,J$115)+COUNTIF('4月'!AM4:AN4,J$115)+COUNTIF('4月'!AR4:AS4,J$115)+COUNTIF('4月'!AW4:AX4,J$115)+COUNTIF('4月'!BB4:BC4,J$115)+COUNTIF('4月'!BG4:BH4,J$115)+COUNTIF('4月'!BL4:BM4,J$115)+COUNTIF('4月'!BQ4:BR4,J$115)+COUNTIF('4月'!BV4:BW4,J$115)+COUNTIF('4月'!CA4:CB4,J$115)+COUNTIF('4月'!CF4:CG4,J$115)+COUNTIF('4月'!CK4:CL4,J$115)+COUNTIF('4月'!CP4:CQ4,J$115)+COUNTIF('4月'!CU4:CV4,J$115)+COUNTIF('4月'!CZ4:DA4,J$115)+COUNTIF('4月'!DE4:DF4,J$115)+COUNTIF('4月'!DJ4:DK4,J$115)+COUNTIF('4月'!DO4:DP4,J$115)+COUNTIF('4月'!DT4:DU4,J$115)+COUNTIF('4月'!DY4:DZ4,J$115)+COUNTIF('4月'!ED4:EE4,J$115)+COUNTIF('4月'!EI4:EJ4,J$115)+COUNTIF('4月'!EN4:EO4,J$115)+COUNTIF('4月'!ES4:ET4,J$115)+COUNTIF('4月'!D4:E4,"六本木-夜勤")+COUNTIF('4月'!I4:J4,"六本木-夜勤")+COUNTIF('4月'!N4:O4,"六本木-夜勤")+COUNTIF('4月'!S4:T4,"六本木-夜勤")+COUNTIF('4月'!X4:Y4,"六本木-夜勤")+COUNTIF('4月'!AC4:AD4,"六本木-夜勤")+COUNTIF('4月'!AH4:AI4,"六本木-夜勤")+COUNTIF('4月'!AM4:AN4,"六本木-夜勤")+COUNTIF('4月'!AR4:AS4,"六本木-夜勤")+COUNTIF('4月'!AW4:AX4,"六本木-夜勤")+COUNTIF('4月'!BB4:BC4,"六本木-夜勤")+COUNTIF('4月'!BG4:BH4,"六本木-夜勤")+COUNTIF('4月'!BL4:BM4,"六本木-夜勤")+COUNTIF('4月'!BQ4:BR4,"六本木-夜勤")+COUNTIF('4月'!BV4:BW4,"六本木-夜勤")+COUNTIF('4月'!CA4:CB4,"六本木-夜勤")+COUNTIF('4月'!CF4:CG4,"六本木-夜勤")+COUNTIF('4月'!CK4:CL4,"六本木-夜勤")+COUNTIF('4月'!CP4:CQ4,"六本木-夜勤")+COUNTIF('4月'!CU4:CV4,"六本木-夜勤")+COUNTIF('4月'!CZ4:DA4,"六本木-夜勤")+COUNTIF('4月'!DE4:DF4,"六本木-夜勤")+COUNTIF('4月'!DJ4:DK4,"六本木-夜勤")+COUNTIF('4月'!DO4:DP4,"六本木-夜勤")+COUNTIF('4月'!DT4:DU4,"六本木-夜勤")+COUNTIF('4月'!DY4:DZ4,"六本木-夜勤")+COUNTIF('4月'!ED4:EE4,"六本木-夜勤")+COUNTIF('4月'!EI4:EJ4,"六本木-夜勤")+COUNTIF('4月'!EN4:EO4,"六本木-夜勤")+COUNTIF('4月'!ES4:ET4,"六本木-夜勤")+COUNTIF('4月'!D4:E4,"六本木ー夜勤")+COUNTIF('4月'!I4:J4,"六本木ー夜勤")+COUNTIF('4月'!N4:O4,"六本木ー夜勤")+COUNTIF('4月'!S4:T4,"六本木ー夜勤")+COUNTIF('4月'!X4:Y4,"六本木ー夜勤")+COUNTIF('4月'!AC4:AD4,"六本木ー夜勤")+COUNTIF('4月'!AH4:AI4,"六本木ー夜勤")+COUNTIF('4月'!AM4:AN4,"六本木ー夜勤")+COUNTIF('4月'!AR4:AS4,"六本木ー夜勤")+COUNTIF('4月'!AW4:AX4,"六本木ー夜勤")+COUNTIF('4月'!BB4:BC4,"六本木ー夜勤")+COUNTIF('4月'!BG4:BH4,"六本木ー夜勤")+COUNTIF('4月'!BL4:BM4,"六本木ー夜勤")+COUNTIF('4月'!BQ4:BR4,"六本木ー夜勤")+COUNTIF('4月'!BV4:BW4,"六本木ー夜勤")+COUNTIF('4月'!CA4:CB4,"六本木ー夜勤")+COUNTIF('4月'!CF4:CG4,"六本木ー夜勤")+COUNTIF('4月'!CK4:CL4,"六本木ー夜勤")+COUNTIF('4月'!CP4:CQ4,"六本木ー夜勤")+COUNTIF('4月'!CU4:CV4,"六本木ー夜勤")+COUNTIF('4月'!CZ4:DA4,"六本木ー夜勤")+COUNTIF('4月'!DE4:DF4,"六本木ー夜勤")+COUNTIF('4月'!DJ4:DK4,"六本木ー夜勤")+COUNTIF('4月'!DO4:DP4,"六本木ー夜勤")+COUNTIF('4月'!DT4:DU4,"六本木ー夜勤")+COUNTIF('4月'!DY4:DZ4,"六本木ー夜勤")+COUNTIF('4月'!ED4:EE4,"六本木ー夜勤")+COUNTIF('4月'!EI4:EJ4,"六本木ー夜勤")+COUNTIF('4月'!EN4:EO4,"六本木ー夜勤")+COUNTIF('4月'!ES4:ET4,"六本木ー夜勤")</f>
        <v>0</v>
      </c>
      <c r="K117" s="76">
        <f>IF(J117=0,0,J117)</f>
        <v>0</v>
      </c>
      <c r="L117" s="76">
        <f>COUNTIF('4月'!D4:E4,L$115)+COUNTIF('4月'!I4:J4,L$115)+COUNTIF('4月'!N4:O4,L$115)+COUNTIF('4月'!S4:T4,L$115)+COUNTIF('4月'!X4:Y4,L$115)+COUNTIF('4月'!AC4:AD4,L$115)+COUNTIF('4月'!AH4:AI4,L$115)+COUNTIF('4月'!AM4:AN4,L$115)+COUNTIF('4月'!AR4:AS4,L$115)+COUNTIF('4月'!AW4:AX4,L$115)+COUNTIF('4月'!BB4:BC4,L$115)+COUNTIF('4月'!BG4:BH4,L$115)+COUNTIF('4月'!BL4:BM4,L$115)+COUNTIF('4月'!BQ4:BR4,L$115)+COUNTIF('4月'!BV4:BW4,L$115)+COUNTIF('4月'!CA4:CB4,L$115)+COUNTIF('4月'!CF4:CG4,L$115)+COUNTIF('4月'!CK4:CL4,L$115)+COUNTIF('4月'!CP4:CQ4,L$115)+COUNTIF('4月'!CU4:CV4,L$115)+COUNTIF('4月'!CZ4:DA4,L$115)+COUNTIF('4月'!DE4:DF4,L$115)+COUNTIF('4月'!DJ4:DK4,L$115)+COUNTIF('4月'!DO4:DP4,L$115)+COUNTIF('4月'!DT4:DU4,L$115)+COUNTIF('4月'!DY4:DZ4,L$115)+COUNTIF('4月'!ED4:EE4,L$115)+COUNTIF('4月'!EI4:EJ4,L$115)+COUNTIF('4月'!EN4:EO4,L$115)+COUNTIF('4月'!ES4:ET4,L$115)</f>
        <v>0</v>
      </c>
      <c r="M117" s="76">
        <f>IF(L117=0,0,L117)</f>
        <v>0</v>
      </c>
      <c r="N117" s="76">
        <f>COUNTIF('4月'!D4:E4,N$115)+COUNTIF('4月'!I4:J4,N$115)+COUNTIF('4月'!N4:O4,N$115)+COUNTIF('4月'!S4:T4,N$115)+COUNTIF('4月'!X4:Y4,N$115)+COUNTIF('4月'!AC4:AD4,N$115)+COUNTIF('4月'!AH4:AI4,N$115)+COUNTIF('4月'!AM4:AN4,N$115)+COUNTIF('4月'!AR4:AS4,N$115)+COUNTIF('4月'!AW4:AX4,N$115)+COUNTIF('4月'!BB4:BC4,N$115)+COUNTIF('4月'!BG4:BH4,N$115)+COUNTIF('4月'!BL4:BM4,N$115)+COUNTIF('4月'!BQ4:BR4,N$115)+COUNTIF('4月'!BV4:BW4,N$115)+COUNTIF('4月'!CA4:CB4,N$115)+COUNTIF('4月'!CF4:CG4,N$115)+COUNTIF('4月'!CK4:CL4,N$115)+COUNTIF('4月'!CP4:CQ4,N$115)+COUNTIF('4月'!CU4:CV4,N$115)+COUNTIF('4月'!CZ4:DA4,N$115)+COUNTIF('4月'!DE4:DF4,N$115)+COUNTIF('4月'!DJ4:DK4,N$115)+COUNTIF('4月'!DO4:DP4,N$115)+COUNTIF('4月'!DT4:DU4,N$115)+COUNTIF('4月'!DY4:DZ4,N$115)+COUNTIF('4月'!ED4:EE4,N$115)+COUNTIF('4月'!EI4:EJ4,N$115)+COUNTIF('4月'!EN4:EO4,N$115)+COUNTIF('4月'!ES4:ET4,N$115)+COUNTIF('4月'!D4:E4,"三軒茶屋－夜勤")+COUNTIF('4月'!I4:J4,"三軒茶屋－夜勤")+COUNTIF('4月'!N4:O4,"三軒茶屋－夜勤")+COUNTIF('4月'!S4:T4,"三軒茶屋－夜勤")+COUNTIF('4月'!X4:Y4,"三軒茶屋－夜勤")+COUNTIF('4月'!AC4:AD4,"三軒茶屋－夜勤")+COUNTIF('4月'!AH4:AI4,"三軒茶屋－夜勤")+COUNTIF('4月'!AM4:AN4,"三軒茶屋－夜勤")+COUNTIF('4月'!AR4:AS4,"三軒茶屋－夜勤")+COUNTIF('4月'!AW4:AX4,"三軒茶屋－夜勤")+COUNTIF('4月'!BB4:BC4,"三軒茶屋－夜勤")+COUNTIF('4月'!BG4:BH4,"三軒茶屋－夜勤")+COUNTIF('4月'!BL4:BM4,"三軒茶屋－夜勤")+COUNTIF('4月'!BQ4:BR4,"三軒茶屋－夜勤")+COUNTIF('4月'!BV4:BW4,"三軒茶屋－夜勤")+COUNTIF('4月'!CA4:CB4,"三軒茶屋－夜勤")+COUNTIF('4月'!CF4:CG4,"三軒茶屋－夜勤")+COUNTIF('4月'!CK4:CL4,"三軒茶屋－夜勤")+COUNTIF('4月'!CP4:CQ4,"三軒茶屋－夜勤")+COUNTIF('4月'!CU4:CV4,"三軒茶屋－夜勤")+COUNTIF('4月'!CZ4:DA4,"三軒茶屋－夜勤")+COUNTIF('4月'!DE4:DF4,"三軒茶屋－夜勤")+COUNTIF('4月'!DJ4:DK4,"三軒茶屋－夜勤")+COUNTIF('4月'!DO4:DP4,"三軒茶屋－夜勤")+COUNTIF('4月'!DT4:DU4,"三軒茶屋－夜勤")+COUNTIF('4月'!DY4:DZ4,"三軒茶屋－夜勤")+COUNTIF('4月'!ED4:EE4,"三軒茶屋－夜勤")+COUNTIF('4月'!EI4:EJ4,"三軒茶屋－夜勤")+COUNTIF('4月'!EN4:EO4,"三軒茶屋－夜勤")+COUNTIF('4月'!ES4:ET4,"三軒茶屋－夜勤")</f>
        <v>0</v>
      </c>
      <c r="O117" s="76">
        <f>IF(N117=0,0,N117)</f>
        <v>0</v>
      </c>
      <c r="P117" s="76">
        <f>COUNTIF('4月'!D4:E4,P$115)+COUNTIF('4月'!I4:J4,P$115)+COUNTIF('4月'!N4:O4,P$115)+COUNTIF('4月'!S4:T4,P$115)+COUNTIF('4月'!X4:Y4,P$115)+COUNTIF('4月'!AC4:AD4,P$115)+COUNTIF('4月'!AH4:AI4,P$115)+COUNTIF('4月'!AM4:AN4,P$115)+COUNTIF('4月'!AR4:AS4,P$115)+COUNTIF('4月'!AW4:AX4,P$115)+COUNTIF('4月'!BB4:BC4,P$115)+COUNTIF('4月'!BG4:BH4,P$115)+COUNTIF('4月'!BL4:BM4,P$115)+COUNTIF('4月'!BQ4:BR4,P$115)+COUNTIF('4月'!BV4:BW4,P$115)+COUNTIF('4月'!CA4:CB4,P$115)+COUNTIF('4月'!CF4:CG4,P$115)+COUNTIF('4月'!CK4:CL4,P$115)+COUNTIF('4月'!CP4:CQ4,P$115)+COUNTIF('4月'!CU4:CV4,P$115)+COUNTIF('4月'!CZ4:DA4,P$115)+COUNTIF('4月'!DE4:DF4,P$115)+COUNTIF('4月'!DJ4:DK4,P$115)+COUNTIF('4月'!DO4:DP4,P$115)+COUNTIF('4月'!DT4:DU4,P$115)+COUNTIF('4月'!DY4:DZ4,P$115)+COUNTIF('4月'!ED4:EE4,P$115)+COUNTIF('4月'!EI4:EJ4,P$115)+COUNTIF('4月'!EN4:EO4,P$115)+COUNTIF('4月'!ES4:ET4,P$115)+COUNTIF('4月'!D4:E4,"荻窪ー夜勤")+COUNTIF('4月'!I4:J4,"荻窪ー夜勤")+COUNTIF('4月'!N4:O4,"荻窪ー夜勤")+COUNTIF('4月'!S4:T4,"荻窪ー夜勤")+COUNTIF('4月'!X4:Y4,"荻窪ー夜勤")+COUNTIF('4月'!AC4:AD4,"荻窪ー夜勤")+COUNTIF('4月'!AH4:AI4,"荻窪ー夜勤")+COUNTIF('4月'!AM4:AN4,"荻窪ー夜勤")+COUNTIF('4月'!AR4:AS4,"荻窪ー夜勤")+COUNTIF('4月'!AW4:AX4,"荻窪ー夜勤")+COUNTIF('4月'!BB4:BC4,"荻窪ー夜勤")+COUNTIF('4月'!BG4:BH4,"荻窪ー夜勤")+COUNTIF('4月'!BL4:BM4,"荻窪ー夜勤")+COUNTIF('4月'!BQ4:BR4,"荻窪ー夜勤")+COUNTIF('4月'!BV4:BW4,"荻窪ー夜勤")+COUNTIF('4月'!CA4:CB4,"荻窪ー夜勤")+COUNTIF('4月'!CF4:CG4,"荻窪ー夜勤")+COUNTIF('4月'!CK4:CL4,"荻窪ー夜勤")+COUNTIF('4月'!CP4:CQ4,"荻窪ー夜勤")+COUNTIF('4月'!CU4:CV4,"荻窪ー夜勤")+COUNTIF('4月'!CZ4:DA4,"荻窪ー夜勤")+COUNTIF('4月'!DE4:DF4,"荻窪ー夜勤")+COUNTIF('4月'!DJ4:DK4,"荻窪ー夜勤")+COUNTIF('4月'!DO4:DP4,"荻窪ー夜勤")+COUNTIF('4月'!DT4:DU4,"荻窪ー夜勤")+COUNTIF('4月'!DY4:DZ4,"荻窪ー夜勤")+COUNTIF('4月'!ED4:EE4,"荻窪ー夜勤")+COUNTIF('4月'!EI4:EJ4,"荻窪ー夜勤")+COUNTIF('4月'!EN4:EO4,"荻窪ー夜勤")+COUNTIF('4月'!ES4:ET4,"荻窪ー夜勤")</f>
        <v>0</v>
      </c>
      <c r="Q117" s="76">
        <f>IF(P117=0,0,P117)</f>
        <v>0</v>
      </c>
      <c r="R117" s="76">
        <f>COUNTIF('4月'!D4:E4,R$115)+COUNTIF('4月'!I4:J4,R$115)+COUNTIF('4月'!N4:O4,R$115)+COUNTIF('4月'!S4:T4,R$115)+COUNTIF('4月'!X4:Y4,R$115)+COUNTIF('4月'!AC4:AD4,R$115)+COUNTIF('4月'!AH4:AI4,R$115)+COUNTIF('4月'!AM4:AN4,R$115)+COUNTIF('4月'!AR4:AS4,R$115)+COUNTIF('4月'!AW4:AX4,R$115)+COUNTIF('4月'!BB4:BC4,R$115)+COUNTIF('4月'!BG4:BH4,R$115)+COUNTIF('4月'!BL4:BM4,R$115)+COUNTIF('4月'!BQ4:BR4,R$115)+COUNTIF('4月'!BV4:BW4,R$115)+COUNTIF('4月'!CA4:CB4,R$115)+COUNTIF('4月'!CF4:CG4,R$115)+COUNTIF('4月'!CK4:CL4,R$115)+COUNTIF('4月'!CP4:CQ4,R$115)+COUNTIF('4月'!CU4:CV4,R$115)+COUNTIF('4月'!CZ4:DA4,R$115)+COUNTIF('4月'!DE4:DF4,R$115)+COUNTIF('4月'!DJ4:DK4,R$115)+COUNTIF('4月'!DO4:DP4,R$115)+COUNTIF('4月'!DT4:DU4,R$115)+COUNTIF('4月'!DY4:DZ4,R$115)+COUNTIF('4月'!ED4:EE4,R$115)+COUNTIF('4月'!EI4:EJ4,R$115)+COUNTIF('4月'!EN4:EO4,R$115)+COUNTIF('4月'!ES4:ET4,R$115)</f>
        <v>0</v>
      </c>
      <c r="S117" s="76">
        <f>IF(R117=0,0,R117)</f>
        <v>0</v>
      </c>
      <c r="T117" s="76">
        <f>COUNTIF('4月'!D4:E4,T$115)+COUNTIF('4月'!I4:J4,T$115)+COUNTIF('4月'!N4:O4,T$115)+COUNTIF('4月'!S4:T4,T$115)+COUNTIF('4月'!X4:Y4,T$115)+COUNTIF('4月'!AC4:AD4,T$115)+COUNTIF('4月'!AH4:AI4,T$115)+COUNTIF('4月'!AM4:AN4,T$115)+COUNTIF('4月'!AR4:AS4,T$115)+COUNTIF('4月'!AW4:AX4,T$115)+COUNTIF('4月'!BB4:BC4,T$115)+COUNTIF('4月'!BG4:BH4,T$115)+COUNTIF('4月'!BL4:BM4,T$115)+COUNTIF('4月'!BQ4:BR4,T$115)+COUNTIF('4月'!BV4:BW4,T$115)+COUNTIF('4月'!CA4:CB4,T$115)+COUNTIF('4月'!CF4:CG4,T$115)+COUNTIF('4月'!CK4:CL4,T$115)+COUNTIF('4月'!CP4:CQ4,T$115)+COUNTIF('4月'!CU4:CV4,T$115)+COUNTIF('4月'!CZ4:DA4,T$115)+COUNTIF('4月'!DE4:DF4,T$115)+COUNTIF('4月'!DJ4:DK4,T$115)+COUNTIF('4月'!DO4:DP4,T$115)+COUNTIF('4月'!DT4:DU4,T$115)+COUNTIF('4月'!DY4:DZ4,T$115)+COUNTIF('4月'!ED4:EE4,T$115)+COUNTIF('4月'!EI4:EJ4,T$115)+COUNTIF('4月'!EN4:EO4,T$115)+COUNTIF('4月'!ES4:ET4,T$115)</f>
        <v>0</v>
      </c>
      <c r="U117" s="76">
        <f>IF(T117=0,0,T117)</f>
        <v>0</v>
      </c>
      <c r="V117" s="76">
        <f>COUNTIF('4月'!D4:E4,V$115)+COUNTIF('4月'!I4:J4,V$115)+COUNTIF('4月'!N4:O4,V$115)+COUNTIF('4月'!S4:T4,V$115)+COUNTIF('4月'!X4:Y4,V$115)+COUNTIF('4月'!AC4:AD4,V$115)+COUNTIF('4月'!AH4:AI4,V$115)+COUNTIF('4月'!AM4:AN4,V$115)+COUNTIF('4月'!AR4:AS4,V$115)+COUNTIF('4月'!AW4:AX4,V$115)+COUNTIF('4月'!BB4:BC4,V$115)+COUNTIF('4月'!BG4:BH4,V$115)+COUNTIF('4月'!BL4:BM4,V$115)+COUNTIF('4月'!BQ4:BR4,V$115)+COUNTIF('4月'!BV4:BW4,V$115)+COUNTIF('4月'!CA4:CB4,V$115)+COUNTIF('4月'!CF4:CG4,V$115)+COUNTIF('4月'!CK4:CL4,V$115)+COUNTIF('4月'!CP4:CQ4,V$115)+COUNTIF('4月'!CU4:CV4,V$115)+COUNTIF('4月'!CZ4:DA4,V$115)+COUNTIF('4月'!DE4:DF4,V$115)+COUNTIF('4月'!DJ4:DK4,V$115)+COUNTIF('4月'!DO4:DP4,V$115)+COUNTIF('4月'!DT4:DU4,V$115)+COUNTIF('4月'!DY4:DZ4,V$115)+COUNTIF('4月'!ED4:EE4,V$115)+COUNTIF('4月'!EI4:EJ4,V$115)+COUNTIF('4月'!EN4:EO4,V$115)+COUNTIF('4月'!ES4:ET4,V$115)</f>
        <v>0</v>
      </c>
      <c r="W117" s="76">
        <f>IF(V117=0,0,V117)</f>
        <v>0</v>
      </c>
      <c r="X117" s="76">
        <f>COUNTIF('4月'!D4:E4,X$115)+COUNTIF('4月'!I4:J4,X$115)+COUNTIF('4月'!N4:O4,X$115)+COUNTIF('4月'!S4:T4,X$115)+COUNTIF('4月'!X4:Y4,X$115)+COUNTIF('4月'!AC4:AD4,X$115)+COUNTIF('4月'!AH4:AI4,X$115)+COUNTIF('4月'!AM4:AN4,X$115)+COUNTIF('4月'!AR4:AS4,X$115)+COUNTIF('4月'!AW4:AX4,X$115)+COUNTIF('4月'!BB4:BC4,X$115)+COUNTIF('4月'!BG4:BH4,X$115)+COUNTIF('4月'!BL4:BM4,X$115)+COUNTIF('4月'!BQ4:BR4,X$115)+COUNTIF('4月'!BV4:BW4,X$115)+COUNTIF('4月'!CA4:CB4,X$115)+COUNTIF('4月'!CF4:CG4,X$115)+COUNTIF('4月'!CK4:CL4,X$115)+COUNTIF('4月'!CP4:CQ4,X$115)+COUNTIF('4月'!CU4:CV4,X$115)+COUNTIF('4月'!CZ4:DA4,X$115)+COUNTIF('4月'!DE4:DF4,X$115)+COUNTIF('4月'!DJ4:DK4,X$115)+COUNTIF('4月'!DO4:DP4,X$115)+COUNTIF('4月'!DT4:DU4,X$115)+COUNTIF('4月'!DY4:DZ4,X$115)+COUNTIF('4月'!ED4:EE4,X$115)+COUNTIF('4月'!EI4:EJ4,X$115)+COUNTIF('4月'!EN4:EO4,X$115)+COUNTIF('4月'!ES4:ET4,X$115)</f>
        <v>0</v>
      </c>
      <c r="Y117" s="76">
        <f>IF(X117=0,0,X117)</f>
        <v>0</v>
      </c>
    </row>
    <row r="118" spans="1:25" ht="18" customHeight="1">
      <c r="A118" s="76">
        <v>2</v>
      </c>
      <c r="B118" s="76">
        <f>COUNTIF('4月'!D5:E5,B$115)+COUNTIF('4月'!I5:J5,B$115)+COUNTIF('4月'!N5:O5,B$115)+COUNTIF('4月'!S5:T5,B$115)+COUNTIF('4月'!X5:Y5,B$115)+COUNTIF('4月'!AC5:AD5,B$115)+COUNTIF('4月'!AH5:AI5,B$115)+COUNTIF('4月'!AM5:AN5,B$115)+COUNTIF('4月'!AR5:AS5,B$115)+COUNTIF('4月'!AW5:AX5,B$115)+COUNTIF('4月'!BB5:BC5,B$115)+COUNTIF('4月'!BG5:BH5,B$115)+COUNTIF('4月'!BL5:BM5,B$115)+COUNTIF('4月'!BQ5:BR5,B$115)+COUNTIF('4月'!BV5:BW5,B$115)+COUNTIF('4月'!CA5:CB5,B$115)+COUNTIF('4月'!CF5:CG5,B$115)+COUNTIF('4月'!CK5:CL5,B$115)+COUNTIF('4月'!CP5:CQ5,B$115)+COUNTIF('4月'!CU5:CV5,B$115)+COUNTIF('4月'!CZ5:DA5,B$115)+COUNTIF('4月'!DE5:DF5,B$115)+COUNTIF('4月'!DJ5:DK5,B$115)+COUNTIF('4月'!DO5:DP5,B$115)+COUNTIF('4月'!DT5:DU5,B$115)+COUNTIF('4月'!DY5:DZ5,B$115)+COUNTIF('4月'!ED5:EE5,B$115)+COUNTIF('4月'!EI5:EJ5,B$115)+COUNTIF('4月'!EN5:EO5,B$115)+COUNTIF('4月'!ES5:ET5,B$115)</f>
        <v>0</v>
      </c>
      <c r="C118" s="76">
        <f t="shared" ref="C118:C147" si="36">IF(B118=0,C117,C117+B118)</f>
        <v>0</v>
      </c>
      <c r="D118" s="76">
        <f>COUNTIF('4月'!D5:E5,D$115)+COUNTIF('4月'!I5:J5,D$115)+COUNTIF('4月'!N5:O5,D$115)+COUNTIF('4月'!S5:T5,D$115)+COUNTIF('4月'!X5:Y5,D$115)+COUNTIF('4月'!AC5:AD5,D$115)+COUNTIF('4月'!AH5:AI5,D$115)+COUNTIF('4月'!AM5:AN5,D$115)+COUNTIF('4月'!AR5:AS5,D$115)+COUNTIF('4月'!AW5:AX5,D$115)+COUNTIF('4月'!BB5:BC5,D$115)+COUNTIF('4月'!BG5:BH5,D$115)+COUNTIF('4月'!BL5:BM5,D$115)+COUNTIF('4月'!BQ5:BR5,D$115)+COUNTIF('4月'!BV5:BW5,D$115)+COUNTIF('4月'!CA5:CB5,D$115)+COUNTIF('4月'!CF5:CG5,D$115)+COUNTIF('4月'!CK5:CL5,D$115)+COUNTIF('4月'!CP5:CQ5,D$115)+COUNTIF('4月'!CU5:CV5,D$115)+COUNTIF('4月'!CZ5:DA5,D$115)+COUNTIF('4月'!DE5:DF5,D$115)+COUNTIF('4月'!DJ5:DK5,D$115)+COUNTIF('4月'!DO5:DP5,D$115)+COUNTIF('4月'!DT5:DU5,D$115)+COUNTIF('4月'!DY5:DZ5,D$115)+COUNTIF('4月'!ED5:EE5,D$115)+COUNTIF('4月'!EI5:EJ5,D$115)+COUNTIF('4月'!EN5:EO5,D$115)+COUNTIF('4月'!ES5:ET5,D$115)</f>
        <v>0</v>
      </c>
      <c r="E118" s="76">
        <f t="shared" ref="E118:E147" si="37">IF(D118=0,E117,E117+D118)</f>
        <v>0</v>
      </c>
      <c r="F118" s="76">
        <f>COUNTIF('4月'!D5:E5,F$115)+COUNTIF('4月'!I5:J5,F$115)+COUNTIF('4月'!N5:O5,F$115)+COUNTIF('4月'!S5:T5,F$115)+COUNTIF('4月'!X5:Y5,F$115)+COUNTIF('4月'!AC5:AD5,F$115)+COUNTIF('4月'!AH5:AI5,F$115)+COUNTIF('4月'!AM5:AN5,F$115)+COUNTIF('4月'!AR5:AS5,F$115)+COUNTIF('4月'!AW5:AX5,F$115)+COUNTIF('4月'!BB5:BC5,F$115)+COUNTIF('4月'!BG5:BH5,F$115)+COUNTIF('4月'!BL5:BM5,F$115)+COUNTIF('4月'!BQ5:BR5,F$115)+COUNTIF('4月'!BV5:BW5,F$115)+COUNTIF('4月'!CA5:CB5,F$115)+COUNTIF('4月'!CF5:CG5,F$115)+COUNTIF('4月'!CK5:CL5,F$115)+COUNTIF('4月'!CP5:CQ5,F$115)+COUNTIF('4月'!CU5:CV5,F$115)+COUNTIF('4月'!CZ5:DA5,F$115)+COUNTIF('4月'!DE5:DF5,F$115)+COUNTIF('4月'!DJ5:DK5,F$115)+COUNTIF('4月'!DO5:DP5,F$115)+COUNTIF('4月'!DT5:DU5,F$115)+COUNTIF('4月'!DY5:DZ5,F$115)+COUNTIF('4月'!ED5:EE5,F$115)+COUNTIF('4月'!EI5:EJ5,F$115)+COUNTIF('4月'!EN5:EO5,F$115)+COUNTIF('4月'!ES5:ET5,F$115)</f>
        <v>0</v>
      </c>
      <c r="G118" s="76">
        <f t="shared" ref="G118:G147" si="38">IF(F118=0,G117,G117+F118)</f>
        <v>0</v>
      </c>
      <c r="H118" s="76">
        <f>COUNTIF('4月'!D5:E5,H$115)+COUNTIF('4月'!I5:J5,H$115)+COUNTIF('4月'!N5:O5,H$115)+COUNTIF('4月'!S5:T5,H$115)+COUNTIF('4月'!X5:Y5,H$115)+COUNTIF('4月'!AC5:AD5,H$115)+COUNTIF('4月'!AH5:AI5,H$115)+COUNTIF('4月'!AM5:AN5,H$115)+COUNTIF('4月'!AR5:AS5,H$115)+COUNTIF('4月'!AW5:AX5,H$115)+COUNTIF('4月'!BB5:BC5,H$115)+COUNTIF('4月'!BG5:BH5,H$115)+COUNTIF('4月'!BL5:BM5,H$115)+COUNTIF('4月'!BQ5:BR5,H$115)+COUNTIF('4月'!BV5:BW5,H$115)+COUNTIF('4月'!CA5:CB5,H$115)+COUNTIF('4月'!CF5:CG5,H$115)+COUNTIF('4月'!CK5:CL5,H$115)+COUNTIF('4月'!CP5:CQ5,H$115)+COUNTIF('4月'!CU5:CV5,H$115)+COUNTIF('4月'!CZ5:DA5,H$115)+COUNTIF('4月'!DE5:DF5,H$115)+COUNTIF('4月'!DJ5:DK5,H$115)+COUNTIF('4月'!DO5:DP5,H$115)+COUNTIF('4月'!DT5:DU5,H$115)+COUNTIF('4月'!DY5:DZ5,H$115)+COUNTIF('4月'!ED5:EE5,H$115)+COUNTIF('4月'!EI5:EJ5,H$115)+COUNTIF('4月'!EN5:EO5,H$115)+COUNTIF('4月'!ES5:ET5,H$115)+COUNTIF('4月'!D5:E5,"渋谷-夜勤")+COUNTIF('4月'!I5:J5,"渋谷-夜勤")+COUNTIF('4月'!N5:O5,"渋谷-夜勤")+COUNTIF('4月'!S5:T5,"渋谷-夜勤")+COUNTIF('4月'!X5:Y5,"渋谷-夜勤")+COUNTIF('4月'!AC5:AD5,"渋谷-夜勤")+COUNTIF('4月'!AH5:AI5,"渋谷-夜勤")+COUNTIF('4月'!AM5:AN5,"渋谷-夜勤")+COUNTIF('4月'!AR5:AS5,"渋谷-夜勤")+COUNTIF('4月'!AW5:AX5,"渋谷-夜勤")+COUNTIF('4月'!BB5:BC5,"渋谷-夜勤")+COUNTIF('4月'!BG5:BH5,"渋谷-夜勤")+COUNTIF('4月'!BL5:BM5,"渋谷-夜勤")+COUNTIF('4月'!BQ5:BR5,"渋谷-夜勤")+COUNTIF('4月'!BV5:BW5,"渋谷-夜勤")+COUNTIF('4月'!CA5:CB5,"渋谷-夜勤")+COUNTIF('4月'!CF5:CG5,"渋谷-夜勤")+COUNTIF('4月'!CK5:CL5,"渋谷-夜勤")+COUNTIF('4月'!CP5:CQ5,"渋谷-夜勤")+COUNTIF('4月'!CU5:CV5,"渋谷-夜勤")+COUNTIF('4月'!CZ5:DA5,"渋谷-夜勤")+COUNTIF('4月'!DE5:DF5,"渋谷-夜勤")+COUNTIF('4月'!DJ5:DK5,"渋谷-夜勤")+COUNTIF('4月'!DO5:DP5,"渋谷-夜勤")+COUNTIF('4月'!DT5:DU5,"渋谷-夜勤")+COUNTIF('4月'!DY5:DZ5,"渋谷-夜勤")+COUNTIF('4月'!ED5:EE5,"渋谷-夜勤")+COUNTIF('4月'!EI5:EJ5,"渋谷-夜勤")+COUNTIF('4月'!EN5:EO5,"渋谷-夜勤")+COUNTIF('4月'!ES5:ET5,"渋谷-夜勤")</f>
        <v>0</v>
      </c>
      <c r="I118" s="76">
        <f t="shared" ref="I118:I147" si="39">IF(H118=0,I117,I117+H118)</f>
        <v>0</v>
      </c>
      <c r="J118" s="76">
        <f>COUNTIF('4月'!D5:E5,J$115)+COUNTIF('4月'!I5:J5,J$115)+COUNTIF('4月'!N5:O5,J$115)+COUNTIF('4月'!S5:T5,J$115)+COUNTIF('4月'!X5:Y5,J$115)+COUNTIF('4月'!AC5:AD5,J$115)+COUNTIF('4月'!AH5:AI5,J$115)+COUNTIF('4月'!AM5:AN5,J$115)+COUNTIF('4月'!AR5:AS5,J$115)+COUNTIF('4月'!AW5:AX5,J$115)+COUNTIF('4月'!BB5:BC5,J$115)+COUNTIF('4月'!BG5:BH5,J$115)+COUNTIF('4月'!BL5:BM5,J$115)+COUNTIF('4月'!BQ5:BR5,J$115)+COUNTIF('4月'!BV5:BW5,J$115)+COUNTIF('4月'!CA5:CB5,J$115)+COUNTIF('4月'!CF5:CG5,J$115)+COUNTIF('4月'!CK5:CL5,J$115)+COUNTIF('4月'!CP5:CQ5,J$115)+COUNTIF('4月'!CU5:CV5,J$115)+COUNTIF('4月'!CZ5:DA5,J$115)+COUNTIF('4月'!DE5:DF5,J$115)+COUNTIF('4月'!DJ5:DK5,J$115)+COUNTIF('4月'!DO5:DP5,J$115)+COUNTIF('4月'!DT5:DU5,J$115)+COUNTIF('4月'!DY5:DZ5,J$115)+COUNTIF('4月'!ED5:EE5,J$115)+COUNTIF('4月'!EI5:EJ5,J$115)+COUNTIF('4月'!EN5:EO5,J$115)+COUNTIF('4月'!ES5:ET5,J$115)+COUNTIF('4月'!D5:E5,"六本木-夜勤")+COUNTIF('4月'!I5:J5,"六本木-夜勤")+COUNTIF('4月'!N5:O5,"六本木-夜勤")+COUNTIF('4月'!S5:T5,"六本木-夜勤")+COUNTIF('4月'!X5:Y5,"六本木-夜勤")+COUNTIF('4月'!AC5:AD5,"六本木-夜勤")+COUNTIF('4月'!AH5:AI5,"六本木-夜勤")+COUNTIF('4月'!AM5:AN5,"六本木-夜勤")+COUNTIF('4月'!AR5:AS5,"六本木-夜勤")+COUNTIF('4月'!AW5:AX5,"六本木-夜勤")+COUNTIF('4月'!BB5:BC5,"六本木-夜勤")+COUNTIF('4月'!BG5:BH5,"六本木-夜勤")+COUNTIF('4月'!BL5:BM5,"六本木-夜勤")+COUNTIF('4月'!BQ5:BR5,"六本木-夜勤")+COUNTIF('4月'!BV5:BW5,"六本木-夜勤")+COUNTIF('4月'!CA5:CB5,"六本木-夜勤")+COUNTIF('4月'!CF5:CG5,"六本木-夜勤")+COUNTIF('4月'!CK5:CL5,"六本木-夜勤")+COUNTIF('4月'!CP5:CQ5,"六本木-夜勤")+COUNTIF('4月'!CU5:CV5,"六本木-夜勤")+COUNTIF('4月'!CZ5:DA5,"六本木-夜勤")+COUNTIF('4月'!DE5:DF5,"六本木-夜勤")+COUNTIF('4月'!DJ5:DK5,"六本木-夜勤")+COUNTIF('4月'!DO5:DP5,"六本木-夜勤")+COUNTIF('4月'!DT5:DU5,"六本木-夜勤")+COUNTIF('4月'!DY5:DZ5,"六本木-夜勤")+COUNTIF('4月'!ED5:EE5,"六本木-夜勤")+COUNTIF('4月'!EI5:EJ5,"六本木-夜勤")+COUNTIF('4月'!EN5:EO5,"六本木-夜勤")+COUNTIF('4月'!ES5:ET5,"六本木-夜勤")+COUNTIF('4月'!D5:E5,"六本木ー夜勤")+COUNTIF('4月'!I5:J5,"六本木ー夜勤")+COUNTIF('4月'!N5:O5,"六本木ー夜勤")+COUNTIF('4月'!S5:T5,"六本木ー夜勤")+COUNTIF('4月'!X5:Y5,"六本木ー夜勤")+COUNTIF('4月'!AC5:AD5,"六本木ー夜勤")+COUNTIF('4月'!AH5:AI5,"六本木ー夜勤")+COUNTIF('4月'!AM5:AN5,"六本木ー夜勤")+COUNTIF('4月'!AR5:AS5,"六本木ー夜勤")+COUNTIF('4月'!AW5:AX5,"六本木ー夜勤")+COUNTIF('4月'!BB5:BC5,"六本木ー夜勤")+COUNTIF('4月'!BG5:BH5,"六本木ー夜勤")+COUNTIF('4月'!BL5:BM5,"六本木ー夜勤")+COUNTIF('4月'!BQ5:BR5,"六本木ー夜勤")+COUNTIF('4月'!BV5:BW5,"六本木ー夜勤")+COUNTIF('4月'!CA5:CB5,"六本木ー夜勤")+COUNTIF('4月'!CF5:CG5,"六本木ー夜勤")+COUNTIF('4月'!CK5:CL5,"六本木ー夜勤")+COUNTIF('4月'!CP5:CQ5,"六本木ー夜勤")+COUNTIF('4月'!CU5:CV5,"六本木ー夜勤")+COUNTIF('4月'!CZ5:DA5,"六本木ー夜勤")+COUNTIF('4月'!DE5:DF5,"六本木ー夜勤")+COUNTIF('4月'!DJ5:DK5,"六本木ー夜勤")+COUNTIF('4月'!DO5:DP5,"六本木ー夜勤")+COUNTIF('4月'!DT5:DU5,"六本木ー夜勤")+COUNTIF('4月'!DY5:DZ5,"六本木ー夜勤")+COUNTIF('4月'!ED5:EE5,"六本木ー夜勤")+COUNTIF('4月'!EI5:EJ5,"六本木ー夜勤")+COUNTIF('4月'!EN5:EO5,"六本木ー夜勤")+COUNTIF('4月'!ES5:ET5,"六本木ー夜勤")</f>
        <v>0</v>
      </c>
      <c r="K118" s="76">
        <f t="shared" ref="K118:K147" si="40">IF(J118=0,K117,K117+J118)</f>
        <v>0</v>
      </c>
      <c r="L118" s="76">
        <f>COUNTIF('4月'!D5:E5,L$115)+COUNTIF('4月'!I5:J5,L$115)+COUNTIF('4月'!N5:O5,L$115)+COUNTIF('4月'!S5:T5,L$115)+COUNTIF('4月'!X5:Y5,L$115)+COUNTIF('4月'!AC5:AD5,L$115)+COUNTIF('4月'!AH5:AI5,L$115)+COUNTIF('4月'!AM5:AN5,L$115)+COUNTIF('4月'!AR5:AS5,L$115)+COUNTIF('4月'!AW5:AX5,L$115)+COUNTIF('4月'!BB5:BC5,L$115)+COUNTIF('4月'!BG5:BH5,L$115)+COUNTIF('4月'!BL5:BM5,L$115)+COUNTIF('4月'!BQ5:BR5,L$115)+COUNTIF('4月'!BV5:BW5,L$115)+COUNTIF('4月'!CA5:CB5,L$115)+COUNTIF('4月'!CF5:CG5,L$115)+COUNTIF('4月'!CK5:CL5,L$115)+COUNTIF('4月'!CP5:CQ5,L$115)+COUNTIF('4月'!CU5:CV5,L$115)+COUNTIF('4月'!CZ5:DA5,L$115)+COUNTIF('4月'!DE5:DF5,L$115)+COUNTIF('4月'!DJ5:DK5,L$115)+COUNTIF('4月'!DO5:DP5,L$115)+COUNTIF('4月'!DT5:DU5,L$115)+COUNTIF('4月'!DY5:DZ5,L$115)+COUNTIF('4月'!ED5:EE5,L$115)+COUNTIF('4月'!EI5:EJ5,L$115)+COUNTIF('4月'!EN5:EO5,L$115)+COUNTIF('4月'!ES5:ET5,L$115)</f>
        <v>0</v>
      </c>
      <c r="M118" s="76">
        <f t="shared" ref="M118:M147" si="41">IF(L118=0,M117,M117+L118)</f>
        <v>0</v>
      </c>
      <c r="N118" s="76">
        <f>COUNTIF('4月'!D5:E5,N$115)+COUNTIF('4月'!I5:J5,N$115)+COUNTIF('4月'!N5:O5,N$115)+COUNTIF('4月'!S5:T5,N$115)+COUNTIF('4月'!X5:Y5,N$115)+COUNTIF('4月'!AC5:AD5,N$115)+COUNTIF('4月'!AH5:AI5,N$115)+COUNTIF('4月'!AM5:AN5,N$115)+COUNTIF('4月'!AR5:AS5,N$115)+COUNTIF('4月'!AW5:AX5,N$115)+COUNTIF('4月'!BB5:BC5,N$115)+COUNTIF('4月'!BG5:BH5,N$115)+COUNTIF('4月'!BL5:BM5,N$115)+COUNTIF('4月'!BQ5:BR5,N$115)+COUNTIF('4月'!BV5:BW5,N$115)+COUNTIF('4月'!CA5:CB5,N$115)+COUNTIF('4月'!CF5:CG5,N$115)+COUNTIF('4月'!CK5:CL5,N$115)+COUNTIF('4月'!CP5:CQ5,N$115)+COUNTIF('4月'!CU5:CV5,N$115)+COUNTIF('4月'!CZ5:DA5,N$115)+COUNTIF('4月'!DE5:DF5,N$115)+COUNTIF('4月'!DJ5:DK5,N$115)+COUNTIF('4月'!DO5:DP5,N$115)+COUNTIF('4月'!DT5:DU5,N$115)+COUNTIF('4月'!DY5:DZ5,N$115)+COUNTIF('4月'!ED5:EE5,N$115)+COUNTIF('4月'!EI5:EJ5,N$115)+COUNTIF('4月'!EN5:EO5,N$115)+COUNTIF('4月'!ES5:ET5,N$115)+COUNTIF('4月'!D5:E5,"三軒茶屋－夜勤")+COUNTIF('4月'!I5:J5,"三軒茶屋－夜勤")+COUNTIF('4月'!N5:O5,"三軒茶屋－夜勤")+COUNTIF('4月'!S5:T5,"三軒茶屋－夜勤")+COUNTIF('4月'!X5:Y5,"三軒茶屋－夜勤")+COUNTIF('4月'!AC5:AD5,"三軒茶屋－夜勤")+COUNTIF('4月'!AH5:AI5,"三軒茶屋－夜勤")+COUNTIF('4月'!AM5:AN5,"三軒茶屋－夜勤")+COUNTIF('4月'!AR5:AS5,"三軒茶屋－夜勤")+COUNTIF('4月'!AW5:AX5,"三軒茶屋－夜勤")+COUNTIF('4月'!BB5:BC5,"三軒茶屋－夜勤")+COUNTIF('4月'!BG5:BH5,"三軒茶屋－夜勤")+COUNTIF('4月'!BL5:BM5,"三軒茶屋－夜勤")+COUNTIF('4月'!BQ5:BR5,"三軒茶屋－夜勤")+COUNTIF('4月'!BV5:BW5,"三軒茶屋－夜勤")+COUNTIF('4月'!CA5:CB5,"三軒茶屋－夜勤")+COUNTIF('4月'!CF5:CG5,"三軒茶屋－夜勤")+COUNTIF('4月'!CK5:CL5,"三軒茶屋－夜勤")+COUNTIF('4月'!CP5:CQ5,"三軒茶屋－夜勤")+COUNTIF('4月'!CU5:CV5,"三軒茶屋－夜勤")+COUNTIF('4月'!CZ5:DA5,"三軒茶屋－夜勤")+COUNTIF('4月'!DE5:DF5,"三軒茶屋－夜勤")+COUNTIF('4月'!DJ5:DK5,"三軒茶屋－夜勤")+COUNTIF('4月'!DO5:DP5,"三軒茶屋－夜勤")+COUNTIF('4月'!DT5:DU5,"三軒茶屋－夜勤")+COUNTIF('4月'!DY5:DZ5,"三軒茶屋－夜勤")+COUNTIF('4月'!ED5:EE5,"三軒茶屋－夜勤")+COUNTIF('4月'!EI5:EJ5,"三軒茶屋－夜勤")+COUNTIF('4月'!EN5:EO5,"三軒茶屋－夜勤")+COUNTIF('4月'!ES5:ET5,"三軒茶屋－夜勤")</f>
        <v>0</v>
      </c>
      <c r="O118" s="76">
        <f t="shared" ref="O118:O147" si="42">IF(N118=0,O117,O117+N118)</f>
        <v>0</v>
      </c>
      <c r="P118" s="76">
        <f>COUNTIF('4月'!D5:E5,P$115)+COUNTIF('4月'!I5:J5,P$115)+COUNTIF('4月'!N5:O5,P$115)+COUNTIF('4月'!S5:T5,P$115)+COUNTIF('4月'!X5:Y5,P$115)+COUNTIF('4月'!AC5:AD5,P$115)+COUNTIF('4月'!AH5:AI5,P$115)+COUNTIF('4月'!AM5:AN5,P$115)+COUNTIF('4月'!AR5:AS5,P$115)+COUNTIF('4月'!AW5:AX5,P$115)+COUNTIF('4月'!BB5:BC5,P$115)+COUNTIF('4月'!BG5:BH5,P$115)+COUNTIF('4月'!BL5:BM5,P$115)+COUNTIF('4月'!BQ5:BR5,P$115)+COUNTIF('4月'!BV5:BW5,P$115)+COUNTIF('4月'!CA5:CB5,P$115)+COUNTIF('4月'!CF5:CG5,P$115)+COUNTIF('4月'!CK5:CL5,P$115)+COUNTIF('4月'!CP5:CQ5,P$115)+COUNTIF('4月'!CU5:CV5,P$115)+COUNTIF('4月'!CZ5:DA5,P$115)+COUNTIF('4月'!DE5:DF5,P$115)+COUNTIF('4月'!DJ5:DK5,P$115)+COUNTIF('4月'!DO5:DP5,P$115)+COUNTIF('4月'!DT5:DU5,P$115)+COUNTIF('4月'!DY5:DZ5,P$115)+COUNTIF('4月'!ED5:EE5,P$115)+COUNTIF('4月'!EI5:EJ5,P$115)+COUNTIF('4月'!EN5:EO5,P$115)+COUNTIF('4月'!ES5:ET5,P$115)+COUNTIF('4月'!D5:E5,"荻窪ー夜勤")+COUNTIF('4月'!I5:J5,"荻窪ー夜勤")+COUNTIF('4月'!N5:O5,"荻窪ー夜勤")+COUNTIF('4月'!S5:T5,"荻窪ー夜勤")+COUNTIF('4月'!X5:Y5,"荻窪ー夜勤")+COUNTIF('4月'!AC5:AD5,"荻窪ー夜勤")+COUNTIF('4月'!AH5:AI5,"荻窪ー夜勤")+COUNTIF('4月'!AM5:AN5,"荻窪ー夜勤")+COUNTIF('4月'!AR5:AS5,"荻窪ー夜勤")+COUNTIF('4月'!AW5:AX5,"荻窪ー夜勤")+COUNTIF('4月'!BB5:BC5,"荻窪ー夜勤")+COUNTIF('4月'!BG5:BH5,"荻窪ー夜勤")+COUNTIF('4月'!BL5:BM5,"荻窪ー夜勤")+COUNTIF('4月'!BQ5:BR5,"荻窪ー夜勤")+COUNTIF('4月'!BV5:BW5,"荻窪ー夜勤")+COUNTIF('4月'!CA5:CB5,"荻窪ー夜勤")+COUNTIF('4月'!CF5:CG5,"荻窪ー夜勤")+COUNTIF('4月'!CK5:CL5,"荻窪ー夜勤")+COUNTIF('4月'!CP5:CQ5,"荻窪ー夜勤")+COUNTIF('4月'!CU5:CV5,"荻窪ー夜勤")+COUNTIF('4月'!CZ5:DA5,"荻窪ー夜勤")+COUNTIF('4月'!DE5:DF5,"荻窪ー夜勤")+COUNTIF('4月'!DJ5:DK5,"荻窪ー夜勤")+COUNTIF('4月'!DO5:DP5,"荻窪ー夜勤")+COUNTIF('4月'!DT5:DU5,"荻窪ー夜勤")+COUNTIF('4月'!DY5:DZ5,"荻窪ー夜勤")+COUNTIF('4月'!ED5:EE5,"荻窪ー夜勤")+COUNTIF('4月'!EI5:EJ5,"荻窪ー夜勤")+COUNTIF('4月'!EN5:EO5,"荻窪ー夜勤")+COUNTIF('4月'!ES5:ET5,"荻窪ー夜勤")</f>
        <v>0</v>
      </c>
      <c r="Q118" s="76">
        <f t="shared" ref="Q118:Q147" si="43">IF(P118=0,Q117,Q117+P118)</f>
        <v>0</v>
      </c>
      <c r="R118" s="76">
        <f>COUNTIF('4月'!D5:E5,R$115)+COUNTIF('4月'!I5:J5,R$115)+COUNTIF('4月'!N5:O5,R$115)+COUNTIF('4月'!S5:T5,R$115)+COUNTIF('4月'!X5:Y5,R$115)+COUNTIF('4月'!AC5:AD5,R$115)+COUNTIF('4月'!AH5:AI5,R$115)+COUNTIF('4月'!AM5:AN5,R$115)+COUNTIF('4月'!AR5:AS5,R$115)+COUNTIF('4月'!AW5:AX5,R$115)+COUNTIF('4月'!BB5:BC5,R$115)+COUNTIF('4月'!BG5:BH5,R$115)+COUNTIF('4月'!BL5:BM5,R$115)+COUNTIF('4月'!BQ5:BR5,R$115)+COUNTIF('4月'!BV5:BW5,R$115)+COUNTIF('4月'!CA5:CB5,R$115)+COUNTIF('4月'!CF5:CG5,R$115)+COUNTIF('4月'!CK5:CL5,R$115)+COUNTIF('4月'!CP5:CQ5,R$115)+COUNTIF('4月'!CU5:CV5,R$115)+COUNTIF('4月'!CZ5:DA5,R$115)+COUNTIF('4月'!DE5:DF5,R$115)+COUNTIF('4月'!DJ5:DK5,R$115)+COUNTIF('4月'!DO5:DP5,R$115)+COUNTIF('4月'!DT5:DU5,R$115)+COUNTIF('4月'!DY5:DZ5,R$115)+COUNTIF('4月'!ED5:EE5,R$115)+COUNTIF('4月'!EI5:EJ5,R$115)+COUNTIF('4月'!EN5:EO5,R$115)+COUNTIF('4月'!ES5:ET5,R$115)</f>
        <v>0</v>
      </c>
      <c r="S118" s="76">
        <f t="shared" ref="S118:S147" si="44">IF(R118=0,S117,S117+R118)</f>
        <v>0</v>
      </c>
      <c r="T118" s="76">
        <f>COUNTIF('4月'!D5:E5,T$115)+COUNTIF('4月'!I5:J5,T$115)+COUNTIF('4月'!N5:O5,T$115)+COUNTIF('4月'!S5:T5,T$115)+COUNTIF('4月'!X5:Y5,T$115)+COUNTIF('4月'!AC5:AD5,T$115)+COUNTIF('4月'!AH5:AI5,T$115)+COUNTIF('4月'!AM5:AN5,T$115)+COUNTIF('4月'!AR5:AS5,T$115)+COUNTIF('4月'!AW5:AX5,T$115)+COUNTIF('4月'!BB5:BC5,T$115)+COUNTIF('4月'!BG5:BH5,T$115)+COUNTIF('4月'!BL5:BM5,T$115)+COUNTIF('4月'!BQ5:BR5,T$115)+COUNTIF('4月'!BV5:BW5,T$115)+COUNTIF('4月'!CA5:CB5,T$115)+COUNTIF('4月'!CF5:CG5,T$115)+COUNTIF('4月'!CK5:CL5,T$115)+COUNTIF('4月'!CP5:CQ5,T$115)+COUNTIF('4月'!CU5:CV5,T$115)+COUNTIF('4月'!CZ5:DA5,T$115)+COUNTIF('4月'!DE5:DF5,T$115)+COUNTIF('4月'!DJ5:DK5,T$115)+COUNTIF('4月'!DO5:DP5,T$115)+COUNTIF('4月'!DT5:DU5,T$115)+COUNTIF('4月'!DY5:DZ5,T$115)+COUNTIF('4月'!ED5:EE5,T$115)+COUNTIF('4月'!EI5:EJ5,T$115)+COUNTIF('4月'!EN5:EO5,T$115)+COUNTIF('4月'!ES5:ET5,T$115)</f>
        <v>0</v>
      </c>
      <c r="U118" s="76">
        <f t="shared" ref="U118:U147" si="45">IF(T118=0,U117,U117+T118)</f>
        <v>0</v>
      </c>
      <c r="V118" s="76">
        <f>COUNTIF('4月'!D5:E5,V$115)+COUNTIF('4月'!I5:J5,V$115)+COUNTIF('4月'!N5:O5,V$115)+COUNTIF('4月'!S5:T5,V$115)+COUNTIF('4月'!X5:Y5,V$115)+COUNTIF('4月'!AC5:AD5,V$115)+COUNTIF('4月'!AH5:AI5,V$115)+COUNTIF('4月'!AM5:AN5,V$115)+COUNTIF('4月'!AR5:AS5,V$115)+COUNTIF('4月'!AW5:AX5,V$115)+COUNTIF('4月'!BB5:BC5,V$115)+COUNTIF('4月'!BG5:BH5,V$115)+COUNTIF('4月'!BL5:BM5,V$115)+COUNTIF('4月'!BQ5:BR5,V$115)+COUNTIF('4月'!BV5:BW5,V$115)+COUNTIF('4月'!CA5:CB5,V$115)+COUNTIF('4月'!CF5:CG5,V$115)+COUNTIF('4月'!CK5:CL5,V$115)+COUNTIF('4月'!CP5:CQ5,V$115)+COUNTIF('4月'!CU5:CV5,V$115)+COUNTIF('4月'!CZ5:DA5,V$115)+COUNTIF('4月'!DE5:DF5,V$115)+COUNTIF('4月'!DJ5:DK5,V$115)+COUNTIF('4月'!DO5:DP5,V$115)+COUNTIF('4月'!DT5:DU5,V$115)+COUNTIF('4月'!DY5:DZ5,V$115)+COUNTIF('4月'!ED5:EE5,V$115)+COUNTIF('4月'!EI5:EJ5,V$115)+COUNTIF('4月'!EN5:EO5,V$115)+COUNTIF('4月'!ES5:ET5,V$115)</f>
        <v>0</v>
      </c>
      <c r="W118" s="76">
        <f t="shared" ref="W118:W147" si="46">IF(V118=0,W117,W117+V118)</f>
        <v>0</v>
      </c>
      <c r="X118" s="76">
        <f>COUNTIF('4月'!D5:E5,X$115)+COUNTIF('4月'!I5:J5,X$115)+COUNTIF('4月'!N5:O5,X$115)+COUNTIF('4月'!S5:T5,X$115)+COUNTIF('4月'!X5:Y5,X$115)+COUNTIF('4月'!AC5:AD5,X$115)+COUNTIF('4月'!AH5:AI5,X$115)+COUNTIF('4月'!AM5:AN5,X$115)+COUNTIF('4月'!AR5:AS5,X$115)+COUNTIF('4月'!AW5:AX5,X$115)+COUNTIF('4月'!BB5:BC5,X$115)+COUNTIF('4月'!BG5:BH5,X$115)+COUNTIF('4月'!BL5:BM5,X$115)+COUNTIF('4月'!BQ5:BR5,X$115)+COUNTIF('4月'!BV5:BW5,X$115)+COUNTIF('4月'!CA5:CB5,X$115)+COUNTIF('4月'!CF5:CG5,X$115)+COUNTIF('4月'!CK5:CL5,X$115)+COUNTIF('4月'!CP5:CQ5,X$115)+COUNTIF('4月'!CU5:CV5,X$115)+COUNTIF('4月'!CZ5:DA5,X$115)+COUNTIF('4月'!DE5:DF5,X$115)+COUNTIF('4月'!DJ5:DK5,X$115)+COUNTIF('4月'!DO5:DP5,X$115)+COUNTIF('4月'!DT5:DU5,X$115)+COUNTIF('4月'!DY5:DZ5,X$115)+COUNTIF('4月'!ED5:EE5,X$115)+COUNTIF('4月'!EI5:EJ5,X$115)+COUNTIF('4月'!EN5:EO5,X$115)+COUNTIF('4月'!ES5:ET5,X$115)</f>
        <v>0</v>
      </c>
      <c r="Y118" s="76">
        <f t="shared" ref="Y118:Y147" si="47">IF(X118=0,Y117,Y117+X118)</f>
        <v>0</v>
      </c>
    </row>
    <row r="119" spans="1:25" ht="18" customHeight="1">
      <c r="A119" s="76">
        <v>3</v>
      </c>
      <c r="B119" s="76">
        <f>COUNTIF('4月'!D6:E6,B$115)+COUNTIF('4月'!I6:J6,B$115)+COUNTIF('4月'!N6:O6,B$115)+COUNTIF('4月'!S6:T6,B$115)+COUNTIF('4月'!X6:Y6,B$115)+COUNTIF('4月'!AC6:AD6,B$115)+COUNTIF('4月'!AH6:AI6,B$115)+COUNTIF('4月'!AM6:AN6,B$115)+COUNTIF('4月'!AR6:AS6,B$115)+COUNTIF('4月'!AW6:AX6,B$115)+COUNTIF('4月'!BB6:BC6,B$115)+COUNTIF('4月'!BG6:BH6,B$115)+COUNTIF('4月'!BL6:BM6,B$115)+COUNTIF('4月'!BQ6:BR6,B$115)+COUNTIF('4月'!BV6:BW6,B$115)+COUNTIF('4月'!CA6:CB6,B$115)+COUNTIF('4月'!CF6:CG6,B$115)+COUNTIF('4月'!CK6:CL6,B$115)+COUNTIF('4月'!CP6:CQ6,B$115)+COUNTIF('4月'!CU6:CV6,B$115)+COUNTIF('4月'!CZ6:DA6,B$115)+COUNTIF('4月'!DE6:DF6,B$115)+COUNTIF('4月'!DJ6:DK6,B$115)+COUNTIF('4月'!DO6:DP6,B$115)+COUNTIF('4月'!DT6:DU6,B$115)+COUNTIF('4月'!DY6:DZ6,B$115)+COUNTIF('4月'!ED6:EE6,B$115)+COUNTIF('4月'!EI6:EJ6,B$115)+COUNTIF('4月'!EN6:EO6,B$115)+COUNTIF('4月'!ES6:ET6,B$115)</f>
        <v>0</v>
      </c>
      <c r="C119" s="76">
        <f t="shared" si="36"/>
        <v>0</v>
      </c>
      <c r="D119" s="76">
        <f>COUNTIF('4月'!D6:E6,D$115)+COUNTIF('4月'!I6:J6,D$115)+COUNTIF('4月'!N6:O6,D$115)+COUNTIF('4月'!S6:T6,D$115)+COUNTIF('4月'!X6:Y6,D$115)+COUNTIF('4月'!AC6:AD6,D$115)+COUNTIF('4月'!AH6:AI6,D$115)+COUNTIF('4月'!AM6:AN6,D$115)+COUNTIF('4月'!AR6:AS6,D$115)+COUNTIF('4月'!AW6:AX6,D$115)+COUNTIF('4月'!BB6:BC6,D$115)+COUNTIF('4月'!BG6:BH6,D$115)+COUNTIF('4月'!BL6:BM6,D$115)+COUNTIF('4月'!BQ6:BR6,D$115)+COUNTIF('4月'!BV6:BW6,D$115)+COUNTIF('4月'!CA6:CB6,D$115)+COUNTIF('4月'!CF6:CG6,D$115)+COUNTIF('4月'!CK6:CL6,D$115)+COUNTIF('4月'!CP6:CQ6,D$115)+COUNTIF('4月'!CU6:CV6,D$115)+COUNTIF('4月'!CZ6:DA6,D$115)+COUNTIF('4月'!DE6:DF6,D$115)+COUNTIF('4月'!DJ6:DK6,D$115)+COUNTIF('4月'!DO6:DP6,D$115)+COUNTIF('4月'!DT6:DU6,D$115)+COUNTIF('4月'!DY6:DZ6,D$115)+COUNTIF('4月'!ED6:EE6,D$115)+COUNTIF('4月'!EI6:EJ6,D$115)+COUNTIF('4月'!EN6:EO6,D$115)+COUNTIF('4月'!ES6:ET6,D$115)</f>
        <v>0</v>
      </c>
      <c r="E119" s="76">
        <f t="shared" si="37"/>
        <v>0</v>
      </c>
      <c r="F119" s="76">
        <f>COUNTIF('4月'!D6:E6,F$115)+COUNTIF('4月'!I6:J6,F$115)+COUNTIF('4月'!N6:O6,F$115)+COUNTIF('4月'!S6:T6,F$115)+COUNTIF('4月'!X6:Y6,F$115)+COUNTIF('4月'!AC6:AD6,F$115)+COUNTIF('4月'!AH6:AI6,F$115)+COUNTIF('4月'!AM6:AN6,F$115)+COUNTIF('4月'!AR6:AS6,F$115)+COUNTIF('4月'!AW6:AX6,F$115)+COUNTIF('4月'!BB6:BC6,F$115)+COUNTIF('4月'!BG6:BH6,F$115)+COUNTIF('4月'!BL6:BM6,F$115)+COUNTIF('4月'!BQ6:BR6,F$115)+COUNTIF('4月'!BV6:BW6,F$115)+COUNTIF('4月'!CA6:CB6,F$115)+COUNTIF('4月'!CF6:CG6,F$115)+COUNTIF('4月'!CK6:CL6,F$115)+COUNTIF('4月'!CP6:CQ6,F$115)+COUNTIF('4月'!CU6:CV6,F$115)+COUNTIF('4月'!CZ6:DA6,F$115)+COUNTIF('4月'!DE6:DF6,F$115)+COUNTIF('4月'!DJ6:DK6,F$115)+COUNTIF('4月'!DO6:DP6,F$115)+COUNTIF('4月'!DT6:DU6,F$115)+COUNTIF('4月'!DY6:DZ6,F$115)+COUNTIF('4月'!ED6:EE6,F$115)+COUNTIF('4月'!EI6:EJ6,F$115)+COUNTIF('4月'!EN6:EO6,F$115)+COUNTIF('4月'!ES6:ET6,F$115)</f>
        <v>0</v>
      </c>
      <c r="G119" s="76">
        <f t="shared" si="38"/>
        <v>0</v>
      </c>
      <c r="H119" s="76">
        <f>COUNTIF('4月'!D6:E6,H$115)+COUNTIF('4月'!I6:J6,H$115)+COUNTIF('4月'!N6:O6,H$115)+COUNTIF('4月'!S6:T6,H$115)+COUNTIF('4月'!X6:Y6,H$115)+COUNTIF('4月'!AC6:AD6,H$115)+COUNTIF('4月'!AH6:AI6,H$115)+COUNTIF('4月'!AM6:AN6,H$115)+COUNTIF('4月'!AR6:AS6,H$115)+COUNTIF('4月'!AW6:AX6,H$115)+COUNTIF('4月'!BB6:BC6,H$115)+COUNTIF('4月'!BG6:BH6,H$115)+COUNTIF('4月'!BL6:BM6,H$115)+COUNTIF('4月'!BQ6:BR6,H$115)+COUNTIF('4月'!BV6:BW6,H$115)+COUNTIF('4月'!CA6:CB6,H$115)+COUNTIF('4月'!CF6:CG6,H$115)+COUNTIF('4月'!CK6:CL6,H$115)+COUNTIF('4月'!CP6:CQ6,H$115)+COUNTIF('4月'!CU6:CV6,H$115)+COUNTIF('4月'!CZ6:DA6,H$115)+COUNTIF('4月'!DE6:DF6,H$115)+COUNTIF('4月'!DJ6:DK6,H$115)+COUNTIF('4月'!DO6:DP6,H$115)+COUNTIF('4月'!DT6:DU6,H$115)+COUNTIF('4月'!DY6:DZ6,H$115)+COUNTIF('4月'!ED6:EE6,H$115)+COUNTIF('4月'!EI6:EJ6,H$115)+COUNTIF('4月'!EN6:EO6,H$115)+COUNTIF('4月'!ES6:ET6,H$115)+COUNTIF('4月'!D6:E6,"渋谷-夜勤")+COUNTIF('4月'!I6:J6,"渋谷-夜勤")+COUNTIF('4月'!N6:O6,"渋谷-夜勤")+COUNTIF('4月'!S6:T6,"渋谷-夜勤")+COUNTIF('4月'!X6:Y6,"渋谷-夜勤")+COUNTIF('4月'!AC6:AD6,"渋谷-夜勤")+COUNTIF('4月'!AH6:AI6,"渋谷-夜勤")+COUNTIF('4月'!AM6:AN6,"渋谷-夜勤")+COUNTIF('4月'!AR6:AS6,"渋谷-夜勤")+COUNTIF('4月'!AW6:AX6,"渋谷-夜勤")+COUNTIF('4月'!BB6:BC6,"渋谷-夜勤")+COUNTIF('4月'!BG6:BH6,"渋谷-夜勤")+COUNTIF('4月'!BL6:BM6,"渋谷-夜勤")+COUNTIF('4月'!BQ6:BR6,"渋谷-夜勤")+COUNTIF('4月'!BV6:BW6,"渋谷-夜勤")+COUNTIF('4月'!CA6:CB6,"渋谷-夜勤")+COUNTIF('4月'!CF6:CG6,"渋谷-夜勤")+COUNTIF('4月'!CK6:CL6,"渋谷-夜勤")+COUNTIF('4月'!CP6:CQ6,"渋谷-夜勤")+COUNTIF('4月'!CU6:CV6,"渋谷-夜勤")+COUNTIF('4月'!CZ6:DA6,"渋谷-夜勤")+COUNTIF('4月'!DE6:DF6,"渋谷-夜勤")+COUNTIF('4月'!DJ6:DK6,"渋谷-夜勤")+COUNTIF('4月'!DO6:DP6,"渋谷-夜勤")+COUNTIF('4月'!DT6:DU6,"渋谷-夜勤")+COUNTIF('4月'!DY6:DZ6,"渋谷-夜勤")+COUNTIF('4月'!ED6:EE6,"渋谷-夜勤")+COUNTIF('4月'!EI6:EJ6,"渋谷-夜勤")+COUNTIF('4月'!EN6:EO6,"渋谷-夜勤")+COUNTIF('4月'!ES6:ET6,"渋谷-夜勤")</f>
        <v>0</v>
      </c>
      <c r="I119" s="76">
        <f t="shared" si="39"/>
        <v>0</v>
      </c>
      <c r="J119" s="76">
        <f>COUNTIF('4月'!D6:E6,J$115)+COUNTIF('4月'!I6:J6,J$115)+COUNTIF('4月'!N6:O6,J$115)+COUNTIF('4月'!S6:T6,J$115)+COUNTIF('4月'!X6:Y6,J$115)+COUNTIF('4月'!AC6:AD6,J$115)+COUNTIF('4月'!AH6:AI6,J$115)+COUNTIF('4月'!AM6:AN6,J$115)+COUNTIF('4月'!AR6:AS6,J$115)+COUNTIF('4月'!AW6:AX6,J$115)+COUNTIF('4月'!BB6:BC6,J$115)+COUNTIF('4月'!BG6:BH6,J$115)+COUNTIF('4月'!BL6:BM6,J$115)+COUNTIF('4月'!BQ6:BR6,J$115)+COUNTIF('4月'!BV6:BW6,J$115)+COUNTIF('4月'!CA6:CB6,J$115)+COUNTIF('4月'!CF6:CG6,J$115)+COUNTIF('4月'!CK6:CL6,J$115)+COUNTIF('4月'!CP6:CQ6,J$115)+COUNTIF('4月'!CU6:CV6,J$115)+COUNTIF('4月'!CZ6:DA6,J$115)+COUNTIF('4月'!DE6:DF6,J$115)+COUNTIF('4月'!DJ6:DK6,J$115)+COUNTIF('4月'!DO6:DP6,J$115)+COUNTIF('4月'!DT6:DU6,J$115)+COUNTIF('4月'!DY6:DZ6,J$115)+COUNTIF('4月'!ED6:EE6,J$115)+COUNTIF('4月'!EI6:EJ6,J$115)+COUNTIF('4月'!EN6:EO6,J$115)+COUNTIF('4月'!ES6:ET6,J$115)+COUNTIF('4月'!D6:E6,"六本木-夜勤")+COUNTIF('4月'!I6:J6,"六本木-夜勤")+COUNTIF('4月'!N6:O6,"六本木-夜勤")+COUNTIF('4月'!S6:T6,"六本木-夜勤")+COUNTIF('4月'!X6:Y6,"六本木-夜勤")+COUNTIF('4月'!AC6:AD6,"六本木-夜勤")+COUNTIF('4月'!AH6:AI6,"六本木-夜勤")+COUNTIF('4月'!AM6:AN6,"六本木-夜勤")+COUNTIF('4月'!AR6:AS6,"六本木-夜勤")+COUNTIF('4月'!AW6:AX6,"六本木-夜勤")+COUNTIF('4月'!BB6:BC6,"六本木-夜勤")+COUNTIF('4月'!BG6:BH6,"六本木-夜勤")+COUNTIF('4月'!BL6:BM6,"六本木-夜勤")+COUNTIF('4月'!BQ6:BR6,"六本木-夜勤")+COUNTIF('4月'!BV6:BW6,"六本木-夜勤")+COUNTIF('4月'!CA6:CB6,"六本木-夜勤")+COUNTIF('4月'!CF6:CG6,"六本木-夜勤")+COUNTIF('4月'!CK6:CL6,"六本木-夜勤")+COUNTIF('4月'!CP6:CQ6,"六本木-夜勤")+COUNTIF('4月'!CU6:CV6,"六本木-夜勤")+COUNTIF('4月'!CZ6:DA6,"六本木-夜勤")+COUNTIF('4月'!DE6:DF6,"六本木-夜勤")+COUNTIF('4月'!DJ6:DK6,"六本木-夜勤")+COUNTIF('4月'!DO6:DP6,"六本木-夜勤")+COUNTIF('4月'!DT6:DU6,"六本木-夜勤")+COUNTIF('4月'!DY6:DZ6,"六本木-夜勤")+COUNTIF('4月'!ED6:EE6,"六本木-夜勤")+COUNTIF('4月'!EI6:EJ6,"六本木-夜勤")+COUNTIF('4月'!EN6:EO6,"六本木-夜勤")+COUNTIF('4月'!ES6:ET6,"六本木-夜勤")+COUNTIF('4月'!D6:E6,"六本木ー夜勤")+COUNTIF('4月'!I6:J6,"六本木ー夜勤")+COUNTIF('4月'!N6:O6,"六本木ー夜勤")+COUNTIF('4月'!S6:T6,"六本木ー夜勤")+COUNTIF('4月'!X6:Y6,"六本木ー夜勤")+COUNTIF('4月'!AC6:AD6,"六本木ー夜勤")+COUNTIF('4月'!AH6:AI6,"六本木ー夜勤")+COUNTIF('4月'!AM6:AN6,"六本木ー夜勤")+COUNTIF('4月'!AR6:AS6,"六本木ー夜勤")+COUNTIF('4月'!AW6:AX6,"六本木ー夜勤")+COUNTIF('4月'!BB6:BC6,"六本木ー夜勤")+COUNTIF('4月'!BG6:BH6,"六本木ー夜勤")+COUNTIF('4月'!BL6:BM6,"六本木ー夜勤")+COUNTIF('4月'!BQ6:BR6,"六本木ー夜勤")+COUNTIF('4月'!BV6:BW6,"六本木ー夜勤")+COUNTIF('4月'!CA6:CB6,"六本木ー夜勤")+COUNTIF('4月'!CF6:CG6,"六本木ー夜勤")+COUNTIF('4月'!CK6:CL6,"六本木ー夜勤")+COUNTIF('4月'!CP6:CQ6,"六本木ー夜勤")+COUNTIF('4月'!CU6:CV6,"六本木ー夜勤")+COUNTIF('4月'!CZ6:DA6,"六本木ー夜勤")+COUNTIF('4月'!DE6:DF6,"六本木ー夜勤")+COUNTIF('4月'!DJ6:DK6,"六本木ー夜勤")+COUNTIF('4月'!DO6:DP6,"六本木ー夜勤")+COUNTIF('4月'!DT6:DU6,"六本木ー夜勤")+COUNTIF('4月'!DY6:DZ6,"六本木ー夜勤")+COUNTIF('4月'!ED6:EE6,"六本木ー夜勤")+COUNTIF('4月'!EI6:EJ6,"六本木ー夜勤")+COUNTIF('4月'!EN6:EO6,"六本木ー夜勤")+COUNTIF('4月'!ES6:ET6,"六本木ー夜勤")</f>
        <v>0</v>
      </c>
      <c r="K119" s="76">
        <f t="shared" si="40"/>
        <v>0</v>
      </c>
      <c r="L119" s="76">
        <f>COUNTIF('4月'!D6:E6,L$115)+COUNTIF('4月'!I6:J6,L$115)+COUNTIF('4月'!N6:O6,L$115)+COUNTIF('4月'!S6:T6,L$115)+COUNTIF('4月'!X6:Y6,L$115)+COUNTIF('4月'!AC6:AD6,L$115)+COUNTIF('4月'!AH6:AI6,L$115)+COUNTIF('4月'!AM6:AN6,L$115)+COUNTIF('4月'!AR6:AS6,L$115)+COUNTIF('4月'!AW6:AX6,L$115)+COUNTIF('4月'!BB6:BC6,L$115)+COUNTIF('4月'!BG6:BH6,L$115)+COUNTIF('4月'!BL6:BM6,L$115)+COUNTIF('4月'!BQ6:BR6,L$115)+COUNTIF('4月'!BV6:BW6,L$115)+COUNTIF('4月'!CA6:CB6,L$115)+COUNTIF('4月'!CF6:CG6,L$115)+COUNTIF('4月'!CK6:CL6,L$115)+COUNTIF('4月'!CP6:CQ6,L$115)+COUNTIF('4月'!CU6:CV6,L$115)+COUNTIF('4月'!CZ6:DA6,L$115)+COUNTIF('4月'!DE6:DF6,L$115)+COUNTIF('4月'!DJ6:DK6,L$115)+COUNTIF('4月'!DO6:DP6,L$115)+COUNTIF('4月'!DT6:DU6,L$115)+COUNTIF('4月'!DY6:DZ6,L$115)+COUNTIF('4月'!ED6:EE6,L$115)+COUNTIF('4月'!EI6:EJ6,L$115)+COUNTIF('4月'!EN6:EO6,L$115)+COUNTIF('4月'!ES6:ET6,L$115)</f>
        <v>0</v>
      </c>
      <c r="M119" s="76">
        <f t="shared" si="41"/>
        <v>0</v>
      </c>
      <c r="N119" s="76">
        <f>COUNTIF('4月'!D6:E6,N$115)+COUNTIF('4月'!I6:J6,N$115)+COUNTIF('4月'!N6:O6,N$115)+COUNTIF('4月'!S6:T6,N$115)+COUNTIF('4月'!X6:Y6,N$115)+COUNTIF('4月'!AC6:AD6,N$115)+COUNTIF('4月'!AH6:AI6,N$115)+COUNTIF('4月'!AM6:AN6,N$115)+COUNTIF('4月'!AR6:AS6,N$115)+COUNTIF('4月'!AW6:AX6,N$115)+COUNTIF('4月'!BB6:BC6,N$115)+COUNTIF('4月'!BG6:BH6,N$115)+COUNTIF('4月'!BL6:BM6,N$115)+COUNTIF('4月'!BQ6:BR6,N$115)+COUNTIF('4月'!BV6:BW6,N$115)+COUNTIF('4月'!CA6:CB6,N$115)+COUNTIF('4月'!CF6:CG6,N$115)+COUNTIF('4月'!CK6:CL6,N$115)+COUNTIF('4月'!CP6:CQ6,N$115)+COUNTIF('4月'!CU6:CV6,N$115)+COUNTIF('4月'!CZ6:DA6,N$115)+COUNTIF('4月'!DE6:DF6,N$115)+COUNTIF('4月'!DJ6:DK6,N$115)+COUNTIF('4月'!DO6:DP6,N$115)+COUNTIF('4月'!DT6:DU6,N$115)+COUNTIF('4月'!DY6:DZ6,N$115)+COUNTIF('4月'!ED6:EE6,N$115)+COUNTIF('4月'!EI6:EJ6,N$115)+COUNTIF('4月'!EN6:EO6,N$115)+COUNTIF('4月'!ES6:ET6,N$115)+COUNTIF('4月'!D6:E6,"三軒茶屋－夜勤")+COUNTIF('4月'!I6:J6,"三軒茶屋－夜勤")+COUNTIF('4月'!N6:O6,"三軒茶屋－夜勤")+COUNTIF('4月'!S6:T6,"三軒茶屋－夜勤")+COUNTIF('4月'!X6:Y6,"三軒茶屋－夜勤")+COUNTIF('4月'!AC6:AD6,"三軒茶屋－夜勤")+COUNTIF('4月'!AH6:AI6,"三軒茶屋－夜勤")+COUNTIF('4月'!AM6:AN6,"三軒茶屋－夜勤")+COUNTIF('4月'!AR6:AS6,"三軒茶屋－夜勤")+COUNTIF('4月'!AW6:AX6,"三軒茶屋－夜勤")+COUNTIF('4月'!BB6:BC6,"三軒茶屋－夜勤")+COUNTIF('4月'!BG6:BH6,"三軒茶屋－夜勤")+COUNTIF('4月'!BL6:BM6,"三軒茶屋－夜勤")+COUNTIF('4月'!BQ6:BR6,"三軒茶屋－夜勤")+COUNTIF('4月'!BV6:BW6,"三軒茶屋－夜勤")+COUNTIF('4月'!CA6:CB6,"三軒茶屋－夜勤")+COUNTIF('4月'!CF6:CG6,"三軒茶屋－夜勤")+COUNTIF('4月'!CK6:CL6,"三軒茶屋－夜勤")+COUNTIF('4月'!CP6:CQ6,"三軒茶屋－夜勤")+COUNTIF('4月'!CU6:CV6,"三軒茶屋－夜勤")+COUNTIF('4月'!CZ6:DA6,"三軒茶屋－夜勤")+COUNTIF('4月'!DE6:DF6,"三軒茶屋－夜勤")+COUNTIF('4月'!DJ6:DK6,"三軒茶屋－夜勤")+COUNTIF('4月'!DO6:DP6,"三軒茶屋－夜勤")+COUNTIF('4月'!DT6:DU6,"三軒茶屋－夜勤")+COUNTIF('4月'!DY6:DZ6,"三軒茶屋－夜勤")+COUNTIF('4月'!ED6:EE6,"三軒茶屋－夜勤")+COUNTIF('4月'!EI6:EJ6,"三軒茶屋－夜勤")+COUNTIF('4月'!EN6:EO6,"三軒茶屋－夜勤")+COUNTIF('4月'!ES6:ET6,"三軒茶屋－夜勤")</f>
        <v>0</v>
      </c>
      <c r="O119" s="76">
        <f t="shared" si="42"/>
        <v>0</v>
      </c>
      <c r="P119" s="76">
        <f>COUNTIF('4月'!D6:E6,P$115)+COUNTIF('4月'!I6:J6,P$115)+COUNTIF('4月'!N6:O6,P$115)+COUNTIF('4月'!S6:T6,P$115)+COUNTIF('4月'!X6:Y6,P$115)+COUNTIF('4月'!AC6:AD6,P$115)+COUNTIF('4月'!AH6:AI6,P$115)+COUNTIF('4月'!AM6:AN6,P$115)+COUNTIF('4月'!AR6:AS6,P$115)+COUNTIF('4月'!AW6:AX6,P$115)+COUNTIF('4月'!BB6:BC6,P$115)+COUNTIF('4月'!BG6:BH6,P$115)+COUNTIF('4月'!BL6:BM6,P$115)+COUNTIF('4月'!BQ6:BR6,P$115)+COUNTIF('4月'!BV6:BW6,P$115)+COUNTIF('4月'!CA6:CB6,P$115)+COUNTIF('4月'!CF6:CG6,P$115)+COUNTIF('4月'!CK6:CL6,P$115)+COUNTIF('4月'!CP6:CQ6,P$115)+COUNTIF('4月'!CU6:CV6,P$115)+COUNTIF('4月'!CZ6:DA6,P$115)+COUNTIF('4月'!DE6:DF6,P$115)+COUNTIF('4月'!DJ6:DK6,P$115)+COUNTIF('4月'!DO6:DP6,P$115)+COUNTIF('4月'!DT6:DU6,P$115)+COUNTIF('4月'!DY6:DZ6,P$115)+COUNTIF('4月'!ED6:EE6,P$115)+COUNTIF('4月'!EI6:EJ6,P$115)+COUNTIF('4月'!EN6:EO6,P$115)+COUNTIF('4月'!ES6:ET6,P$115)+COUNTIF('4月'!D6:E6,"荻窪ー夜勤")+COUNTIF('4月'!I6:J6,"荻窪ー夜勤")+COUNTIF('4月'!N6:O6,"荻窪ー夜勤")+COUNTIF('4月'!S6:T6,"荻窪ー夜勤")+COUNTIF('4月'!X6:Y6,"荻窪ー夜勤")+COUNTIF('4月'!AC6:AD6,"荻窪ー夜勤")+COUNTIF('4月'!AH6:AI6,"荻窪ー夜勤")+COUNTIF('4月'!AM6:AN6,"荻窪ー夜勤")+COUNTIF('4月'!AR6:AS6,"荻窪ー夜勤")+COUNTIF('4月'!AW6:AX6,"荻窪ー夜勤")+COUNTIF('4月'!BB6:BC6,"荻窪ー夜勤")+COUNTIF('4月'!BG6:BH6,"荻窪ー夜勤")+COUNTIF('4月'!BL6:BM6,"荻窪ー夜勤")+COUNTIF('4月'!BQ6:BR6,"荻窪ー夜勤")+COUNTIF('4月'!BV6:BW6,"荻窪ー夜勤")+COUNTIF('4月'!CA6:CB6,"荻窪ー夜勤")+COUNTIF('4月'!CF6:CG6,"荻窪ー夜勤")+COUNTIF('4月'!CK6:CL6,"荻窪ー夜勤")+COUNTIF('4月'!CP6:CQ6,"荻窪ー夜勤")+COUNTIF('4月'!CU6:CV6,"荻窪ー夜勤")+COUNTIF('4月'!CZ6:DA6,"荻窪ー夜勤")+COUNTIF('4月'!DE6:DF6,"荻窪ー夜勤")+COUNTIF('4月'!DJ6:DK6,"荻窪ー夜勤")+COUNTIF('4月'!DO6:DP6,"荻窪ー夜勤")+COUNTIF('4月'!DT6:DU6,"荻窪ー夜勤")+COUNTIF('4月'!DY6:DZ6,"荻窪ー夜勤")+COUNTIF('4月'!ED6:EE6,"荻窪ー夜勤")+COUNTIF('4月'!EI6:EJ6,"荻窪ー夜勤")+COUNTIF('4月'!EN6:EO6,"荻窪ー夜勤")+COUNTIF('4月'!ES6:ET6,"荻窪ー夜勤")</f>
        <v>0</v>
      </c>
      <c r="Q119" s="76">
        <f t="shared" si="43"/>
        <v>0</v>
      </c>
      <c r="R119" s="76">
        <f>COUNTIF('4月'!D6:E6,R$115)+COUNTIF('4月'!I6:J6,R$115)+COUNTIF('4月'!N6:O6,R$115)+COUNTIF('4月'!S6:T6,R$115)+COUNTIF('4月'!X6:Y6,R$115)+COUNTIF('4月'!AC6:AD6,R$115)+COUNTIF('4月'!AH6:AI6,R$115)+COUNTIF('4月'!AM6:AN6,R$115)+COUNTIF('4月'!AR6:AS6,R$115)+COUNTIF('4月'!AW6:AX6,R$115)+COUNTIF('4月'!BB6:BC6,R$115)+COUNTIF('4月'!BG6:BH6,R$115)+COUNTIF('4月'!BL6:BM6,R$115)+COUNTIF('4月'!BQ6:BR6,R$115)+COUNTIF('4月'!BV6:BW6,R$115)+COUNTIF('4月'!CA6:CB6,R$115)+COUNTIF('4月'!CF6:CG6,R$115)+COUNTIF('4月'!CK6:CL6,R$115)+COUNTIF('4月'!CP6:CQ6,R$115)+COUNTIF('4月'!CU6:CV6,R$115)+COUNTIF('4月'!CZ6:DA6,R$115)+COUNTIF('4月'!DE6:DF6,R$115)+COUNTIF('4月'!DJ6:DK6,R$115)+COUNTIF('4月'!DO6:DP6,R$115)+COUNTIF('4月'!DT6:DU6,R$115)+COUNTIF('4月'!DY6:DZ6,R$115)+COUNTIF('4月'!ED6:EE6,R$115)+COUNTIF('4月'!EI6:EJ6,R$115)+COUNTIF('4月'!EN6:EO6,R$115)+COUNTIF('4月'!ES6:ET6,R$115)</f>
        <v>0</v>
      </c>
      <c r="S119" s="76">
        <f t="shared" si="44"/>
        <v>0</v>
      </c>
      <c r="T119" s="76">
        <f>COUNTIF('4月'!D6:E6,T$115)+COUNTIF('4月'!I6:J6,T$115)+COUNTIF('4月'!N6:O6,T$115)+COUNTIF('4月'!S6:T6,T$115)+COUNTIF('4月'!X6:Y6,T$115)+COUNTIF('4月'!AC6:AD6,T$115)+COUNTIF('4月'!AH6:AI6,T$115)+COUNTIF('4月'!AM6:AN6,T$115)+COUNTIF('4月'!AR6:AS6,T$115)+COUNTIF('4月'!AW6:AX6,T$115)+COUNTIF('4月'!BB6:BC6,T$115)+COUNTIF('4月'!BG6:BH6,T$115)+COUNTIF('4月'!BL6:BM6,T$115)+COUNTIF('4月'!BQ6:BR6,T$115)+COUNTIF('4月'!BV6:BW6,T$115)+COUNTIF('4月'!CA6:CB6,T$115)+COUNTIF('4月'!CF6:CG6,T$115)+COUNTIF('4月'!CK6:CL6,T$115)+COUNTIF('4月'!CP6:CQ6,T$115)+COUNTIF('4月'!CU6:CV6,T$115)+COUNTIF('4月'!CZ6:DA6,T$115)+COUNTIF('4月'!DE6:DF6,T$115)+COUNTIF('4月'!DJ6:DK6,T$115)+COUNTIF('4月'!DO6:DP6,T$115)+COUNTIF('4月'!DT6:DU6,T$115)+COUNTIF('4月'!DY6:DZ6,T$115)+COUNTIF('4月'!ED6:EE6,T$115)+COUNTIF('4月'!EI6:EJ6,T$115)+COUNTIF('4月'!EN6:EO6,T$115)+COUNTIF('4月'!ES6:ET6,T$115)</f>
        <v>0</v>
      </c>
      <c r="U119" s="76">
        <f t="shared" si="45"/>
        <v>0</v>
      </c>
      <c r="V119" s="76">
        <f>COUNTIF('4月'!D6:E6,V$115)+COUNTIF('4月'!I6:J6,V$115)+COUNTIF('4月'!N6:O6,V$115)+COUNTIF('4月'!S6:T6,V$115)+COUNTIF('4月'!X6:Y6,V$115)+COUNTIF('4月'!AC6:AD6,V$115)+COUNTIF('4月'!AH6:AI6,V$115)+COUNTIF('4月'!AM6:AN6,V$115)+COUNTIF('4月'!AR6:AS6,V$115)+COUNTIF('4月'!AW6:AX6,V$115)+COUNTIF('4月'!BB6:BC6,V$115)+COUNTIF('4月'!BG6:BH6,V$115)+COUNTIF('4月'!BL6:BM6,V$115)+COUNTIF('4月'!BQ6:BR6,V$115)+COUNTIF('4月'!BV6:BW6,V$115)+COUNTIF('4月'!CA6:CB6,V$115)+COUNTIF('4月'!CF6:CG6,V$115)+COUNTIF('4月'!CK6:CL6,V$115)+COUNTIF('4月'!CP6:CQ6,V$115)+COUNTIF('4月'!CU6:CV6,V$115)+COUNTIF('4月'!CZ6:DA6,V$115)+COUNTIF('4月'!DE6:DF6,V$115)+COUNTIF('4月'!DJ6:DK6,V$115)+COUNTIF('4月'!DO6:DP6,V$115)+COUNTIF('4月'!DT6:DU6,V$115)+COUNTIF('4月'!DY6:DZ6,V$115)+COUNTIF('4月'!ED6:EE6,V$115)+COUNTIF('4月'!EI6:EJ6,V$115)+COUNTIF('4月'!EN6:EO6,V$115)+COUNTIF('4月'!ES6:ET6,V$115)</f>
        <v>0</v>
      </c>
      <c r="W119" s="76">
        <f t="shared" si="46"/>
        <v>0</v>
      </c>
      <c r="X119" s="76">
        <f>COUNTIF('4月'!D6:E6,X$115)+COUNTIF('4月'!I6:J6,X$115)+COUNTIF('4月'!N6:O6,X$115)+COUNTIF('4月'!S6:T6,X$115)+COUNTIF('4月'!X6:Y6,X$115)+COUNTIF('4月'!AC6:AD6,X$115)+COUNTIF('4月'!AH6:AI6,X$115)+COUNTIF('4月'!AM6:AN6,X$115)+COUNTIF('4月'!AR6:AS6,X$115)+COUNTIF('4月'!AW6:AX6,X$115)+COUNTIF('4月'!BB6:BC6,X$115)+COUNTIF('4月'!BG6:BH6,X$115)+COUNTIF('4月'!BL6:BM6,X$115)+COUNTIF('4月'!BQ6:BR6,X$115)+COUNTIF('4月'!BV6:BW6,X$115)+COUNTIF('4月'!CA6:CB6,X$115)+COUNTIF('4月'!CF6:CG6,X$115)+COUNTIF('4月'!CK6:CL6,X$115)+COUNTIF('4月'!CP6:CQ6,X$115)+COUNTIF('4月'!CU6:CV6,X$115)+COUNTIF('4月'!CZ6:DA6,X$115)+COUNTIF('4月'!DE6:DF6,X$115)+COUNTIF('4月'!DJ6:DK6,X$115)+COUNTIF('4月'!DO6:DP6,X$115)+COUNTIF('4月'!DT6:DU6,X$115)+COUNTIF('4月'!DY6:DZ6,X$115)+COUNTIF('4月'!ED6:EE6,X$115)+COUNTIF('4月'!EI6:EJ6,X$115)+COUNTIF('4月'!EN6:EO6,X$115)+COUNTIF('4月'!ES6:ET6,X$115)</f>
        <v>0</v>
      </c>
      <c r="Y119" s="76">
        <f t="shared" si="47"/>
        <v>0</v>
      </c>
    </row>
    <row r="120" spans="1:25" ht="18" customHeight="1">
      <c r="A120" s="76">
        <v>4</v>
      </c>
      <c r="B120" s="76">
        <f>COUNTIF('4月'!D7:E7,B$115)+COUNTIF('4月'!I7:J7,B$115)+COUNTIF('4月'!N7:O7,B$115)+COUNTIF('4月'!S7:T7,B$115)+COUNTIF('4月'!X7:Y7,B$115)+COUNTIF('4月'!AC7:AD7,B$115)+COUNTIF('4月'!AH7:AI7,B$115)+COUNTIF('4月'!AM7:AN7,B$115)+COUNTIF('4月'!AR7:AS7,B$115)+COUNTIF('4月'!AW7:AX7,B$115)+COUNTIF('4月'!BB7:BC7,B$115)+COUNTIF('4月'!BG7:BH7,B$115)+COUNTIF('4月'!BL7:BM7,B$115)+COUNTIF('4月'!BQ7:BR7,B$115)+COUNTIF('4月'!BV7:BW7,B$115)+COUNTIF('4月'!CA7:CB7,B$115)+COUNTIF('4月'!CF7:CG7,B$115)+COUNTIF('4月'!CK7:CL7,B$115)+COUNTIF('4月'!CP7:CQ7,B$115)+COUNTIF('4月'!CU7:CV7,B$115)+COUNTIF('4月'!CZ7:DA7,B$115)+COUNTIF('4月'!DE7:DF7,B$115)+COUNTIF('4月'!DJ7:DK7,B$115)+COUNTIF('4月'!DO7:DP7,B$115)+COUNTIF('4月'!DT7:DU7,B$115)+COUNTIF('4月'!DY7:DZ7,B$115)+COUNTIF('4月'!ED7:EE7,B$115)+COUNTIF('4月'!EI7:EJ7,B$115)+COUNTIF('4月'!EN7:EO7,B$115)+COUNTIF('4月'!ES7:ET7,B$115)</f>
        <v>0</v>
      </c>
      <c r="C120" s="76">
        <f t="shared" si="36"/>
        <v>0</v>
      </c>
      <c r="D120" s="76">
        <f>COUNTIF('4月'!D7:E7,D$115)+COUNTIF('4月'!I7:J7,D$115)+COUNTIF('4月'!N7:O7,D$115)+COUNTIF('4月'!S7:T7,D$115)+COUNTIF('4月'!X7:Y7,D$115)+COUNTIF('4月'!AC7:AD7,D$115)+COUNTIF('4月'!AH7:AI7,D$115)+COUNTIF('4月'!AM7:AN7,D$115)+COUNTIF('4月'!AR7:AS7,D$115)+COUNTIF('4月'!AW7:AX7,D$115)+COUNTIF('4月'!BB7:BC7,D$115)+COUNTIF('4月'!BG7:BH7,D$115)+COUNTIF('4月'!BL7:BM7,D$115)+COUNTIF('4月'!BQ7:BR7,D$115)+COUNTIF('4月'!BV7:BW7,D$115)+COUNTIF('4月'!CA7:CB7,D$115)+COUNTIF('4月'!CF7:CG7,D$115)+COUNTIF('4月'!CK7:CL7,D$115)+COUNTIF('4月'!CP7:CQ7,D$115)+COUNTIF('4月'!CU7:CV7,D$115)+COUNTIF('4月'!CZ7:DA7,D$115)+COUNTIF('4月'!DE7:DF7,D$115)+COUNTIF('4月'!DJ7:DK7,D$115)+COUNTIF('4月'!DO7:DP7,D$115)+COUNTIF('4月'!DT7:DU7,D$115)+COUNTIF('4月'!DY7:DZ7,D$115)+COUNTIF('4月'!ED7:EE7,D$115)+COUNTIF('4月'!EI7:EJ7,D$115)+COUNTIF('4月'!EN7:EO7,D$115)+COUNTIF('4月'!ES7:ET7,D$115)</f>
        <v>0</v>
      </c>
      <c r="E120" s="76">
        <f t="shared" si="37"/>
        <v>0</v>
      </c>
      <c r="F120" s="76">
        <f>COUNTIF('4月'!D7:E7,F$115)+COUNTIF('4月'!I7:J7,F$115)+COUNTIF('4月'!N7:O7,F$115)+COUNTIF('4月'!S7:T7,F$115)+COUNTIF('4月'!X7:Y7,F$115)+COUNTIF('4月'!AC7:AD7,F$115)+COUNTIF('4月'!AH7:AI7,F$115)+COUNTIF('4月'!AM7:AN7,F$115)+COUNTIF('4月'!AR7:AS7,F$115)+COUNTIF('4月'!AW7:AX7,F$115)+COUNTIF('4月'!BB7:BC7,F$115)+COUNTIF('4月'!BG7:BH7,F$115)+COUNTIF('4月'!BL7:BM7,F$115)+COUNTIF('4月'!BQ7:BR7,F$115)+COUNTIF('4月'!BV7:BW7,F$115)+COUNTIF('4月'!CA7:CB7,F$115)+COUNTIF('4月'!CF7:CG7,F$115)+COUNTIF('4月'!CK7:CL7,F$115)+COUNTIF('4月'!CP7:CQ7,F$115)+COUNTIF('4月'!CU7:CV7,F$115)+COUNTIF('4月'!CZ7:DA7,F$115)+COUNTIF('4月'!DE7:DF7,F$115)+COUNTIF('4月'!DJ7:DK7,F$115)+COUNTIF('4月'!DO7:DP7,F$115)+COUNTIF('4月'!DT7:DU7,F$115)+COUNTIF('4月'!DY7:DZ7,F$115)+COUNTIF('4月'!ED7:EE7,F$115)+COUNTIF('4月'!EI7:EJ7,F$115)+COUNTIF('4月'!EN7:EO7,F$115)+COUNTIF('4月'!ES7:ET7,F$115)</f>
        <v>0</v>
      </c>
      <c r="G120" s="76">
        <f t="shared" si="38"/>
        <v>0</v>
      </c>
      <c r="H120" s="76">
        <f>COUNTIF('4月'!D7:E7,H$115)+COUNTIF('4月'!I7:J7,H$115)+COUNTIF('4月'!N7:O7,H$115)+COUNTIF('4月'!S7:T7,H$115)+COUNTIF('4月'!X7:Y7,H$115)+COUNTIF('4月'!AC7:AD7,H$115)+COUNTIF('4月'!AH7:AI7,H$115)+COUNTIF('4月'!AM7:AN7,H$115)+COUNTIF('4月'!AR7:AS7,H$115)+COUNTIF('4月'!AW7:AX7,H$115)+COUNTIF('4月'!BB7:BC7,H$115)+COUNTIF('4月'!BG7:BH7,H$115)+COUNTIF('4月'!BL7:BM7,H$115)+COUNTIF('4月'!BQ7:BR7,H$115)+COUNTIF('4月'!BV7:BW7,H$115)+COUNTIF('4月'!CA7:CB7,H$115)+COUNTIF('4月'!CF7:CG7,H$115)+COUNTIF('4月'!CK7:CL7,H$115)+COUNTIF('4月'!CP7:CQ7,H$115)+COUNTIF('4月'!CU7:CV7,H$115)+COUNTIF('4月'!CZ7:DA7,H$115)+COUNTIF('4月'!DE7:DF7,H$115)+COUNTIF('4月'!DJ7:DK7,H$115)+COUNTIF('4月'!DO7:DP7,H$115)+COUNTIF('4月'!DT7:DU7,H$115)+COUNTIF('4月'!DY7:DZ7,H$115)+COUNTIF('4月'!ED7:EE7,H$115)+COUNTIF('4月'!EI7:EJ7,H$115)+COUNTIF('4月'!EN7:EO7,H$115)+COUNTIF('4月'!ES7:ET7,H$115)+COUNTIF('4月'!D7:E7,"渋谷-夜勤")+COUNTIF('4月'!I7:J7,"渋谷-夜勤")+COUNTIF('4月'!N7:O7,"渋谷-夜勤")+COUNTIF('4月'!S7:T7,"渋谷-夜勤")+COUNTIF('4月'!X7:Y7,"渋谷-夜勤")+COUNTIF('4月'!AC7:AD7,"渋谷-夜勤")+COUNTIF('4月'!AH7:AI7,"渋谷-夜勤")+COUNTIF('4月'!AM7:AN7,"渋谷-夜勤")+COUNTIF('4月'!AR7:AS7,"渋谷-夜勤")+COUNTIF('4月'!AW7:AX7,"渋谷-夜勤")+COUNTIF('4月'!BB7:BC7,"渋谷-夜勤")+COUNTIF('4月'!BG7:BH7,"渋谷-夜勤")+COUNTIF('4月'!BL7:BM7,"渋谷-夜勤")+COUNTIF('4月'!BQ7:BR7,"渋谷-夜勤")+COUNTIF('4月'!BV7:BW7,"渋谷-夜勤")+COUNTIF('4月'!CA7:CB7,"渋谷-夜勤")+COUNTIF('4月'!CF7:CG7,"渋谷-夜勤")+COUNTIF('4月'!CK7:CL7,"渋谷-夜勤")+COUNTIF('4月'!CP7:CQ7,"渋谷-夜勤")+COUNTIF('4月'!CU7:CV7,"渋谷-夜勤")+COUNTIF('4月'!CZ7:DA7,"渋谷-夜勤")+COUNTIF('4月'!DE7:DF7,"渋谷-夜勤")+COUNTIF('4月'!DJ7:DK7,"渋谷-夜勤")+COUNTIF('4月'!DO7:DP7,"渋谷-夜勤")+COUNTIF('4月'!DT7:DU7,"渋谷-夜勤")+COUNTIF('4月'!DY7:DZ7,"渋谷-夜勤")+COUNTIF('4月'!ED7:EE7,"渋谷-夜勤")+COUNTIF('4月'!EI7:EJ7,"渋谷-夜勤")+COUNTIF('4月'!EN7:EO7,"渋谷-夜勤")+COUNTIF('4月'!ES7:ET7,"渋谷-夜勤")</f>
        <v>0</v>
      </c>
      <c r="I120" s="76">
        <f t="shared" si="39"/>
        <v>0</v>
      </c>
      <c r="J120" s="76">
        <f>COUNTIF('4月'!D7:E7,J$115)+COUNTIF('4月'!I7:J7,J$115)+COUNTIF('4月'!N7:O7,J$115)+COUNTIF('4月'!S7:T7,J$115)+COUNTIF('4月'!X7:Y7,J$115)+COUNTIF('4月'!AC7:AD7,J$115)+COUNTIF('4月'!AH7:AI7,J$115)+COUNTIF('4月'!AM7:AN7,J$115)+COUNTIF('4月'!AR7:AS7,J$115)+COUNTIF('4月'!AW7:AX7,J$115)+COUNTIF('4月'!BB7:BC7,J$115)+COUNTIF('4月'!BG7:BH7,J$115)+COUNTIF('4月'!BL7:BM7,J$115)+COUNTIF('4月'!BQ7:BR7,J$115)+COUNTIF('4月'!BV7:BW7,J$115)+COUNTIF('4月'!CA7:CB7,J$115)+COUNTIF('4月'!CF7:CG7,J$115)+COUNTIF('4月'!CK7:CL7,J$115)+COUNTIF('4月'!CP7:CQ7,J$115)+COUNTIF('4月'!CU7:CV7,J$115)+COUNTIF('4月'!CZ7:DA7,J$115)+COUNTIF('4月'!DE7:DF7,J$115)+COUNTIF('4月'!DJ7:DK7,J$115)+COUNTIF('4月'!DO7:DP7,J$115)+COUNTIF('4月'!DT7:DU7,J$115)+COUNTIF('4月'!DY7:DZ7,J$115)+COUNTIF('4月'!ED7:EE7,J$115)+COUNTIF('4月'!EI7:EJ7,J$115)+COUNTIF('4月'!EN7:EO7,J$115)+COUNTIF('4月'!ES7:ET7,J$115)+COUNTIF('4月'!D7:E7,"六本木-夜勤")+COUNTIF('4月'!I7:J7,"六本木-夜勤")+COUNTIF('4月'!N7:O7,"六本木-夜勤")+COUNTIF('4月'!S7:T7,"六本木-夜勤")+COUNTIF('4月'!X7:Y7,"六本木-夜勤")+COUNTIF('4月'!AC7:AD7,"六本木-夜勤")+COUNTIF('4月'!AH7:AI7,"六本木-夜勤")+COUNTIF('4月'!AM7:AN7,"六本木-夜勤")+COUNTIF('4月'!AR7:AS7,"六本木-夜勤")+COUNTIF('4月'!AW7:AX7,"六本木-夜勤")+COUNTIF('4月'!BB7:BC7,"六本木-夜勤")+COUNTIF('4月'!BG7:BH7,"六本木-夜勤")+COUNTIF('4月'!BL7:BM7,"六本木-夜勤")+COUNTIF('4月'!BQ7:BR7,"六本木-夜勤")+COUNTIF('4月'!BV7:BW7,"六本木-夜勤")+COUNTIF('4月'!CA7:CB7,"六本木-夜勤")+COUNTIF('4月'!CF7:CG7,"六本木-夜勤")+COUNTIF('4月'!CK7:CL7,"六本木-夜勤")+COUNTIF('4月'!CP7:CQ7,"六本木-夜勤")+COUNTIF('4月'!CU7:CV7,"六本木-夜勤")+COUNTIF('4月'!CZ7:DA7,"六本木-夜勤")+COUNTIF('4月'!DE7:DF7,"六本木-夜勤")+COUNTIF('4月'!DJ7:DK7,"六本木-夜勤")+COUNTIF('4月'!DO7:DP7,"六本木-夜勤")+COUNTIF('4月'!DT7:DU7,"六本木-夜勤")+COUNTIF('4月'!DY7:DZ7,"六本木-夜勤")+COUNTIF('4月'!ED7:EE7,"六本木-夜勤")+COUNTIF('4月'!EI7:EJ7,"六本木-夜勤")+COUNTIF('4月'!EN7:EO7,"六本木-夜勤")+COUNTIF('4月'!ES7:ET7,"六本木-夜勤")+COUNTIF('4月'!D7:E7,"六本木ー夜勤")+COUNTIF('4月'!I7:J7,"六本木ー夜勤")+COUNTIF('4月'!N7:O7,"六本木ー夜勤")+COUNTIF('4月'!S7:T7,"六本木ー夜勤")+COUNTIF('4月'!X7:Y7,"六本木ー夜勤")+COUNTIF('4月'!AC7:AD7,"六本木ー夜勤")+COUNTIF('4月'!AH7:AI7,"六本木ー夜勤")+COUNTIF('4月'!AM7:AN7,"六本木ー夜勤")+COUNTIF('4月'!AR7:AS7,"六本木ー夜勤")+COUNTIF('4月'!AW7:AX7,"六本木ー夜勤")+COUNTIF('4月'!BB7:BC7,"六本木ー夜勤")+COUNTIF('4月'!BG7:BH7,"六本木ー夜勤")+COUNTIF('4月'!BL7:BM7,"六本木ー夜勤")+COUNTIF('4月'!BQ7:BR7,"六本木ー夜勤")+COUNTIF('4月'!BV7:BW7,"六本木ー夜勤")+COUNTIF('4月'!CA7:CB7,"六本木ー夜勤")+COUNTIF('4月'!CF7:CG7,"六本木ー夜勤")+COUNTIF('4月'!CK7:CL7,"六本木ー夜勤")+COUNTIF('4月'!CP7:CQ7,"六本木ー夜勤")+COUNTIF('4月'!CU7:CV7,"六本木ー夜勤")+COUNTIF('4月'!CZ7:DA7,"六本木ー夜勤")+COUNTIF('4月'!DE7:DF7,"六本木ー夜勤")+COUNTIF('4月'!DJ7:DK7,"六本木ー夜勤")+COUNTIF('4月'!DO7:DP7,"六本木ー夜勤")+COUNTIF('4月'!DT7:DU7,"六本木ー夜勤")+COUNTIF('4月'!DY7:DZ7,"六本木ー夜勤")+COUNTIF('4月'!ED7:EE7,"六本木ー夜勤")+COUNTIF('4月'!EI7:EJ7,"六本木ー夜勤")+COUNTIF('4月'!EN7:EO7,"六本木ー夜勤")+COUNTIF('4月'!ES7:ET7,"六本木ー夜勤")</f>
        <v>0</v>
      </c>
      <c r="K120" s="76">
        <f t="shared" si="40"/>
        <v>0</v>
      </c>
      <c r="L120" s="76">
        <f>COUNTIF('4月'!D7:E7,L$115)+COUNTIF('4月'!I7:J7,L$115)+COUNTIF('4月'!N7:O7,L$115)+COUNTIF('4月'!S7:T7,L$115)+COUNTIF('4月'!X7:Y7,L$115)+COUNTIF('4月'!AC7:AD7,L$115)+COUNTIF('4月'!AH7:AI7,L$115)+COUNTIF('4月'!AM7:AN7,L$115)+COUNTIF('4月'!AR7:AS7,L$115)+COUNTIF('4月'!AW7:AX7,L$115)+COUNTIF('4月'!BB7:BC7,L$115)+COUNTIF('4月'!BG7:BH7,L$115)+COUNTIF('4月'!BL7:BM7,L$115)+COUNTIF('4月'!BQ7:BR7,L$115)+COUNTIF('4月'!BV7:BW7,L$115)+COUNTIF('4月'!CA7:CB7,L$115)+COUNTIF('4月'!CF7:CG7,L$115)+COUNTIF('4月'!CK7:CL7,L$115)+COUNTIF('4月'!CP7:CQ7,L$115)+COUNTIF('4月'!CU7:CV7,L$115)+COUNTIF('4月'!CZ7:DA7,L$115)+COUNTIF('4月'!DE7:DF7,L$115)+COUNTIF('4月'!DJ7:DK7,L$115)+COUNTIF('4月'!DO7:DP7,L$115)+COUNTIF('4月'!DT7:DU7,L$115)+COUNTIF('4月'!DY7:DZ7,L$115)+COUNTIF('4月'!ED7:EE7,L$115)+COUNTIF('4月'!EI7:EJ7,L$115)+COUNTIF('4月'!EN7:EO7,L$115)+COUNTIF('4月'!ES7:ET7,L$115)</f>
        <v>0</v>
      </c>
      <c r="M120" s="76">
        <f t="shared" si="41"/>
        <v>0</v>
      </c>
      <c r="N120" s="76">
        <f>COUNTIF('4月'!D7:E7,N$115)+COUNTIF('4月'!I7:J7,N$115)+COUNTIF('4月'!N7:O7,N$115)+COUNTIF('4月'!S7:T7,N$115)+COUNTIF('4月'!X7:Y7,N$115)+COUNTIF('4月'!AC7:AD7,N$115)+COUNTIF('4月'!AH7:AI7,N$115)+COUNTIF('4月'!AM7:AN7,N$115)+COUNTIF('4月'!AR7:AS7,N$115)+COUNTIF('4月'!AW7:AX7,N$115)+COUNTIF('4月'!BB7:BC7,N$115)+COUNTIF('4月'!BG7:BH7,N$115)+COUNTIF('4月'!BL7:BM7,N$115)+COUNTIF('4月'!BQ7:BR7,N$115)+COUNTIF('4月'!BV7:BW7,N$115)+COUNTIF('4月'!CA7:CB7,N$115)+COUNTIF('4月'!CF7:CG7,N$115)+COUNTIF('4月'!CK7:CL7,N$115)+COUNTIF('4月'!CP7:CQ7,N$115)+COUNTIF('4月'!CU7:CV7,N$115)+COUNTIF('4月'!CZ7:DA7,N$115)+COUNTIF('4月'!DE7:DF7,N$115)+COUNTIF('4月'!DJ7:DK7,N$115)+COUNTIF('4月'!DO7:DP7,N$115)+COUNTIF('4月'!DT7:DU7,N$115)+COUNTIF('4月'!DY7:DZ7,N$115)+COUNTIF('4月'!ED7:EE7,N$115)+COUNTIF('4月'!EI7:EJ7,N$115)+COUNTIF('4月'!EN7:EO7,N$115)+COUNTIF('4月'!ES7:ET7,N$115)+COUNTIF('4月'!D7:E7,"三軒茶屋－夜勤")+COUNTIF('4月'!I7:J7,"三軒茶屋－夜勤")+COUNTIF('4月'!N7:O7,"三軒茶屋－夜勤")+COUNTIF('4月'!S7:T7,"三軒茶屋－夜勤")+COUNTIF('4月'!X7:Y7,"三軒茶屋－夜勤")+COUNTIF('4月'!AC7:AD7,"三軒茶屋－夜勤")+COUNTIF('4月'!AH7:AI7,"三軒茶屋－夜勤")+COUNTIF('4月'!AM7:AN7,"三軒茶屋－夜勤")+COUNTIF('4月'!AR7:AS7,"三軒茶屋－夜勤")+COUNTIF('4月'!AW7:AX7,"三軒茶屋－夜勤")+COUNTIF('4月'!BB7:BC7,"三軒茶屋－夜勤")+COUNTIF('4月'!BG7:BH7,"三軒茶屋－夜勤")+COUNTIF('4月'!BL7:BM7,"三軒茶屋－夜勤")+COUNTIF('4月'!BQ7:BR7,"三軒茶屋－夜勤")+COUNTIF('4月'!BV7:BW7,"三軒茶屋－夜勤")+COUNTIF('4月'!CA7:CB7,"三軒茶屋－夜勤")+COUNTIF('4月'!CF7:CG7,"三軒茶屋－夜勤")+COUNTIF('4月'!CK7:CL7,"三軒茶屋－夜勤")+COUNTIF('4月'!CP7:CQ7,"三軒茶屋－夜勤")+COUNTIF('4月'!CU7:CV7,"三軒茶屋－夜勤")+COUNTIF('4月'!CZ7:DA7,"三軒茶屋－夜勤")+COUNTIF('4月'!DE7:DF7,"三軒茶屋－夜勤")+COUNTIF('4月'!DJ7:DK7,"三軒茶屋－夜勤")+COUNTIF('4月'!DO7:DP7,"三軒茶屋－夜勤")+COUNTIF('4月'!DT7:DU7,"三軒茶屋－夜勤")+COUNTIF('4月'!DY7:DZ7,"三軒茶屋－夜勤")+COUNTIF('4月'!ED7:EE7,"三軒茶屋－夜勤")+COUNTIF('4月'!EI7:EJ7,"三軒茶屋－夜勤")+COUNTIF('4月'!EN7:EO7,"三軒茶屋－夜勤")+COUNTIF('4月'!ES7:ET7,"三軒茶屋－夜勤")</f>
        <v>0</v>
      </c>
      <c r="O120" s="76">
        <f t="shared" si="42"/>
        <v>0</v>
      </c>
      <c r="P120" s="76">
        <f>COUNTIF('4月'!D7:E7,P$115)+COUNTIF('4月'!I7:J7,P$115)+COUNTIF('4月'!N7:O7,P$115)+COUNTIF('4月'!S7:T7,P$115)+COUNTIF('4月'!X7:Y7,P$115)+COUNTIF('4月'!AC7:AD7,P$115)+COUNTIF('4月'!AH7:AI7,P$115)+COUNTIF('4月'!AM7:AN7,P$115)+COUNTIF('4月'!AR7:AS7,P$115)+COUNTIF('4月'!AW7:AX7,P$115)+COUNTIF('4月'!BB7:BC7,P$115)+COUNTIF('4月'!BG7:BH7,P$115)+COUNTIF('4月'!BL7:BM7,P$115)+COUNTIF('4月'!BQ7:BR7,P$115)+COUNTIF('4月'!BV7:BW7,P$115)+COUNTIF('4月'!CA7:CB7,P$115)+COUNTIF('4月'!CF7:CG7,P$115)+COUNTIF('4月'!CK7:CL7,P$115)+COUNTIF('4月'!CP7:CQ7,P$115)+COUNTIF('4月'!CU7:CV7,P$115)+COUNTIF('4月'!CZ7:DA7,P$115)+COUNTIF('4月'!DE7:DF7,P$115)+COUNTIF('4月'!DJ7:DK7,P$115)+COUNTIF('4月'!DO7:DP7,P$115)+COUNTIF('4月'!DT7:DU7,P$115)+COUNTIF('4月'!DY7:DZ7,P$115)+COUNTIF('4月'!ED7:EE7,P$115)+COUNTIF('4月'!EI7:EJ7,P$115)+COUNTIF('4月'!EN7:EO7,P$115)+COUNTIF('4月'!ES7:ET7,P$115)+COUNTIF('4月'!D7:E7,"荻窪ー夜勤")+COUNTIF('4月'!I7:J7,"荻窪ー夜勤")+COUNTIF('4月'!N7:O7,"荻窪ー夜勤")+COUNTIF('4月'!S7:T7,"荻窪ー夜勤")+COUNTIF('4月'!X7:Y7,"荻窪ー夜勤")+COUNTIF('4月'!AC7:AD7,"荻窪ー夜勤")+COUNTIF('4月'!AH7:AI7,"荻窪ー夜勤")+COUNTIF('4月'!AM7:AN7,"荻窪ー夜勤")+COUNTIF('4月'!AR7:AS7,"荻窪ー夜勤")+COUNTIF('4月'!AW7:AX7,"荻窪ー夜勤")+COUNTIF('4月'!BB7:BC7,"荻窪ー夜勤")+COUNTIF('4月'!BG7:BH7,"荻窪ー夜勤")+COUNTIF('4月'!BL7:BM7,"荻窪ー夜勤")+COUNTIF('4月'!BQ7:BR7,"荻窪ー夜勤")+COUNTIF('4月'!BV7:BW7,"荻窪ー夜勤")+COUNTIF('4月'!CA7:CB7,"荻窪ー夜勤")+COUNTIF('4月'!CF7:CG7,"荻窪ー夜勤")+COUNTIF('4月'!CK7:CL7,"荻窪ー夜勤")+COUNTIF('4月'!CP7:CQ7,"荻窪ー夜勤")+COUNTIF('4月'!CU7:CV7,"荻窪ー夜勤")+COUNTIF('4月'!CZ7:DA7,"荻窪ー夜勤")+COUNTIF('4月'!DE7:DF7,"荻窪ー夜勤")+COUNTIF('4月'!DJ7:DK7,"荻窪ー夜勤")+COUNTIF('4月'!DO7:DP7,"荻窪ー夜勤")+COUNTIF('4月'!DT7:DU7,"荻窪ー夜勤")+COUNTIF('4月'!DY7:DZ7,"荻窪ー夜勤")+COUNTIF('4月'!ED7:EE7,"荻窪ー夜勤")+COUNTIF('4月'!EI7:EJ7,"荻窪ー夜勤")+COUNTIF('4月'!EN7:EO7,"荻窪ー夜勤")+COUNTIF('4月'!ES7:ET7,"荻窪ー夜勤")</f>
        <v>0</v>
      </c>
      <c r="Q120" s="76">
        <f t="shared" si="43"/>
        <v>0</v>
      </c>
      <c r="R120" s="76">
        <f>COUNTIF('4月'!D7:E7,R$115)+COUNTIF('4月'!I7:J7,R$115)+COUNTIF('4月'!N7:O7,R$115)+COUNTIF('4月'!S7:T7,R$115)+COUNTIF('4月'!X7:Y7,R$115)+COUNTIF('4月'!AC7:AD7,R$115)+COUNTIF('4月'!AH7:AI7,R$115)+COUNTIF('4月'!AM7:AN7,R$115)+COUNTIF('4月'!AR7:AS7,R$115)+COUNTIF('4月'!AW7:AX7,R$115)+COUNTIF('4月'!BB7:BC7,R$115)+COUNTIF('4月'!BG7:BH7,R$115)+COUNTIF('4月'!BL7:BM7,R$115)+COUNTIF('4月'!BQ7:BR7,R$115)+COUNTIF('4月'!BV7:BW7,R$115)+COUNTIF('4月'!CA7:CB7,R$115)+COUNTIF('4月'!CF7:CG7,R$115)+COUNTIF('4月'!CK7:CL7,R$115)+COUNTIF('4月'!CP7:CQ7,R$115)+COUNTIF('4月'!CU7:CV7,R$115)+COUNTIF('4月'!CZ7:DA7,R$115)+COUNTIF('4月'!DE7:DF7,R$115)+COUNTIF('4月'!DJ7:DK7,R$115)+COUNTIF('4月'!DO7:DP7,R$115)+COUNTIF('4月'!DT7:DU7,R$115)+COUNTIF('4月'!DY7:DZ7,R$115)+COUNTIF('4月'!ED7:EE7,R$115)+COUNTIF('4月'!EI7:EJ7,R$115)+COUNTIF('4月'!EN7:EO7,R$115)+COUNTIF('4月'!ES7:ET7,R$115)</f>
        <v>0</v>
      </c>
      <c r="S120" s="76">
        <f t="shared" si="44"/>
        <v>0</v>
      </c>
      <c r="T120" s="76">
        <f>COUNTIF('4月'!D7:E7,T$115)+COUNTIF('4月'!I7:J7,T$115)+COUNTIF('4月'!N7:O7,T$115)+COUNTIF('4月'!S7:T7,T$115)+COUNTIF('4月'!X7:Y7,T$115)+COUNTIF('4月'!AC7:AD7,T$115)+COUNTIF('4月'!AH7:AI7,T$115)+COUNTIF('4月'!AM7:AN7,T$115)+COUNTIF('4月'!AR7:AS7,T$115)+COUNTIF('4月'!AW7:AX7,T$115)+COUNTIF('4月'!BB7:BC7,T$115)+COUNTIF('4月'!BG7:BH7,T$115)+COUNTIF('4月'!BL7:BM7,T$115)+COUNTIF('4月'!BQ7:BR7,T$115)+COUNTIF('4月'!BV7:BW7,T$115)+COUNTIF('4月'!CA7:CB7,T$115)+COUNTIF('4月'!CF7:CG7,T$115)+COUNTIF('4月'!CK7:CL7,T$115)+COUNTIF('4月'!CP7:CQ7,T$115)+COUNTIF('4月'!CU7:CV7,T$115)+COUNTIF('4月'!CZ7:DA7,T$115)+COUNTIF('4月'!DE7:DF7,T$115)+COUNTIF('4月'!DJ7:DK7,T$115)+COUNTIF('4月'!DO7:DP7,T$115)+COUNTIF('4月'!DT7:DU7,T$115)+COUNTIF('4月'!DY7:DZ7,T$115)+COUNTIF('4月'!ED7:EE7,T$115)+COUNTIF('4月'!EI7:EJ7,T$115)+COUNTIF('4月'!EN7:EO7,T$115)+COUNTIF('4月'!ES7:ET7,T$115)</f>
        <v>0</v>
      </c>
      <c r="U120" s="76">
        <f t="shared" si="45"/>
        <v>0</v>
      </c>
      <c r="V120" s="76">
        <f>COUNTIF('4月'!D7:E7,V$115)+COUNTIF('4月'!I7:J7,V$115)+COUNTIF('4月'!N7:O7,V$115)+COUNTIF('4月'!S7:T7,V$115)+COUNTIF('4月'!X7:Y7,V$115)+COUNTIF('4月'!AC7:AD7,V$115)+COUNTIF('4月'!AH7:AI7,V$115)+COUNTIF('4月'!AM7:AN7,V$115)+COUNTIF('4月'!AR7:AS7,V$115)+COUNTIF('4月'!AW7:AX7,V$115)+COUNTIF('4月'!BB7:BC7,V$115)+COUNTIF('4月'!BG7:BH7,V$115)+COUNTIF('4月'!BL7:BM7,V$115)+COUNTIF('4月'!BQ7:BR7,V$115)+COUNTIF('4月'!BV7:BW7,V$115)+COUNTIF('4月'!CA7:CB7,V$115)+COUNTIF('4月'!CF7:CG7,V$115)+COUNTIF('4月'!CK7:CL7,V$115)+COUNTIF('4月'!CP7:CQ7,V$115)+COUNTIF('4月'!CU7:CV7,V$115)+COUNTIF('4月'!CZ7:DA7,V$115)+COUNTIF('4月'!DE7:DF7,V$115)+COUNTIF('4月'!DJ7:DK7,V$115)+COUNTIF('4月'!DO7:DP7,V$115)+COUNTIF('4月'!DT7:DU7,V$115)+COUNTIF('4月'!DY7:DZ7,V$115)+COUNTIF('4月'!ED7:EE7,V$115)+COUNTIF('4月'!EI7:EJ7,V$115)+COUNTIF('4月'!EN7:EO7,V$115)+COUNTIF('4月'!ES7:ET7,V$115)</f>
        <v>0</v>
      </c>
      <c r="W120" s="76">
        <f t="shared" si="46"/>
        <v>0</v>
      </c>
      <c r="X120" s="76">
        <f>COUNTIF('4月'!D7:E7,X$115)+COUNTIF('4月'!I7:J7,X$115)+COUNTIF('4月'!N7:O7,X$115)+COUNTIF('4月'!S7:T7,X$115)+COUNTIF('4月'!X7:Y7,X$115)+COUNTIF('4月'!AC7:AD7,X$115)+COUNTIF('4月'!AH7:AI7,X$115)+COUNTIF('4月'!AM7:AN7,X$115)+COUNTIF('4月'!AR7:AS7,X$115)+COUNTIF('4月'!AW7:AX7,X$115)+COUNTIF('4月'!BB7:BC7,X$115)+COUNTIF('4月'!BG7:BH7,X$115)+COUNTIF('4月'!BL7:BM7,X$115)+COUNTIF('4月'!BQ7:BR7,X$115)+COUNTIF('4月'!BV7:BW7,X$115)+COUNTIF('4月'!CA7:CB7,X$115)+COUNTIF('4月'!CF7:CG7,X$115)+COUNTIF('4月'!CK7:CL7,X$115)+COUNTIF('4月'!CP7:CQ7,X$115)+COUNTIF('4月'!CU7:CV7,X$115)+COUNTIF('4月'!CZ7:DA7,X$115)+COUNTIF('4月'!DE7:DF7,X$115)+COUNTIF('4月'!DJ7:DK7,X$115)+COUNTIF('4月'!DO7:DP7,X$115)+COUNTIF('4月'!DT7:DU7,X$115)+COUNTIF('4月'!DY7:DZ7,X$115)+COUNTIF('4月'!ED7:EE7,X$115)+COUNTIF('4月'!EI7:EJ7,X$115)+COUNTIF('4月'!EN7:EO7,X$115)+COUNTIF('4月'!ES7:ET7,X$115)</f>
        <v>0</v>
      </c>
      <c r="Y120" s="76">
        <f t="shared" si="47"/>
        <v>0</v>
      </c>
    </row>
    <row r="121" spans="1:25" ht="18" customHeight="1">
      <c r="A121" s="76">
        <v>5</v>
      </c>
      <c r="B121" s="76">
        <f>COUNTIF('4月'!D8:E8,B$115)+COUNTIF('4月'!I8:J8,B$115)+COUNTIF('4月'!N8:O8,B$115)+COUNTIF('4月'!S8:T8,B$115)+COUNTIF('4月'!X8:Y8,B$115)+COUNTIF('4月'!AC8:AD8,B$115)+COUNTIF('4月'!AH8:AI8,B$115)+COUNTIF('4月'!AM8:AN8,B$115)+COUNTIF('4月'!AR8:AS8,B$115)+COUNTIF('4月'!AW8:AX8,B$115)+COUNTIF('4月'!BB8:BC8,B$115)+COUNTIF('4月'!BG8:BH8,B$115)+COUNTIF('4月'!BL8:BM8,B$115)+COUNTIF('4月'!BQ8:BR8,B$115)+COUNTIF('4月'!BV8:BW8,B$115)+COUNTIF('4月'!CA8:CB8,B$115)+COUNTIF('4月'!CF8:CG8,B$115)+COUNTIF('4月'!CK8:CL8,B$115)+COUNTIF('4月'!CP8:CQ8,B$115)+COUNTIF('4月'!CU8:CV8,B$115)+COUNTIF('4月'!CZ8:DA8,B$115)+COUNTIF('4月'!DE8:DF8,B$115)+COUNTIF('4月'!DJ8:DK8,B$115)+COUNTIF('4月'!DO8:DP8,B$115)+COUNTIF('4月'!DT8:DU8,B$115)+COUNTIF('4月'!DY8:DZ8,B$115)+COUNTIF('4月'!ED8:EE8,B$115)+COUNTIF('4月'!EI8:EJ8,B$115)+COUNTIF('4月'!EN8:EO8,B$115)+COUNTIF('4月'!ES8:ET8,B$115)</f>
        <v>0</v>
      </c>
      <c r="C121" s="76">
        <f t="shared" si="36"/>
        <v>0</v>
      </c>
      <c r="D121" s="76">
        <f>COUNTIF('4月'!D8:E8,D$115)+COUNTIF('4月'!I8:J8,D$115)+COUNTIF('4月'!N8:O8,D$115)+COUNTIF('4月'!S8:T8,D$115)+COUNTIF('4月'!X8:Y8,D$115)+COUNTIF('4月'!AC8:AD8,D$115)+COUNTIF('4月'!AH8:AI8,D$115)+COUNTIF('4月'!AM8:AN8,D$115)+COUNTIF('4月'!AR8:AS8,D$115)+COUNTIF('4月'!AW8:AX8,D$115)+COUNTIF('4月'!BB8:BC8,D$115)+COUNTIF('4月'!BG8:BH8,D$115)+COUNTIF('4月'!BL8:BM8,D$115)+COUNTIF('4月'!BQ8:BR8,D$115)+COUNTIF('4月'!BV8:BW8,D$115)+COUNTIF('4月'!CA8:CB8,D$115)+COUNTIF('4月'!CF8:CG8,D$115)+COUNTIF('4月'!CK8:CL8,D$115)+COUNTIF('4月'!CP8:CQ8,D$115)+COUNTIF('4月'!CU8:CV8,D$115)+COUNTIF('4月'!CZ8:DA8,D$115)+COUNTIF('4月'!DE8:DF8,D$115)+COUNTIF('4月'!DJ8:DK8,D$115)+COUNTIF('4月'!DO8:DP8,D$115)+COUNTIF('4月'!DT8:DU8,D$115)+COUNTIF('4月'!DY8:DZ8,D$115)+COUNTIF('4月'!ED8:EE8,D$115)+COUNTIF('4月'!EI8:EJ8,D$115)+COUNTIF('4月'!EN8:EO8,D$115)+COUNTIF('4月'!ES8:ET8,D$115)</f>
        <v>0</v>
      </c>
      <c r="E121" s="76">
        <f t="shared" si="37"/>
        <v>0</v>
      </c>
      <c r="F121" s="76">
        <f>COUNTIF('4月'!D8:E8,F$115)+COUNTIF('4月'!I8:J8,F$115)+COUNTIF('4月'!N8:O8,F$115)+COUNTIF('4月'!S8:T8,F$115)+COUNTIF('4月'!X8:Y8,F$115)+COUNTIF('4月'!AC8:AD8,F$115)+COUNTIF('4月'!AH8:AI8,F$115)+COUNTIF('4月'!AM8:AN8,F$115)+COUNTIF('4月'!AR8:AS8,F$115)+COUNTIF('4月'!AW8:AX8,F$115)+COUNTIF('4月'!BB8:BC8,F$115)+COUNTIF('4月'!BG8:BH8,F$115)+COUNTIF('4月'!BL8:BM8,F$115)+COUNTIF('4月'!BQ8:BR8,F$115)+COUNTIF('4月'!BV8:BW8,F$115)+COUNTIF('4月'!CA8:CB8,F$115)+COUNTIF('4月'!CF8:CG8,F$115)+COUNTIF('4月'!CK8:CL8,F$115)+COUNTIF('4月'!CP8:CQ8,F$115)+COUNTIF('4月'!CU8:CV8,F$115)+COUNTIF('4月'!CZ8:DA8,F$115)+COUNTIF('4月'!DE8:DF8,F$115)+COUNTIF('4月'!DJ8:DK8,F$115)+COUNTIF('4月'!DO8:DP8,F$115)+COUNTIF('4月'!DT8:DU8,F$115)+COUNTIF('4月'!DY8:DZ8,F$115)+COUNTIF('4月'!ED8:EE8,F$115)+COUNTIF('4月'!EI8:EJ8,F$115)+COUNTIF('4月'!EN8:EO8,F$115)+COUNTIF('4月'!ES8:ET8,F$115)</f>
        <v>0</v>
      </c>
      <c r="G121" s="76">
        <f t="shared" si="38"/>
        <v>0</v>
      </c>
      <c r="H121" s="76">
        <f>COUNTIF('4月'!D8:E8,H$115)+COUNTIF('4月'!I8:J8,H$115)+COUNTIF('4月'!N8:O8,H$115)+COUNTIF('4月'!S8:T8,H$115)+COUNTIF('4月'!X8:Y8,H$115)+COUNTIF('4月'!AC8:AD8,H$115)+COUNTIF('4月'!AH8:AI8,H$115)+COUNTIF('4月'!AM8:AN8,H$115)+COUNTIF('4月'!AR8:AS8,H$115)+COUNTIF('4月'!AW8:AX8,H$115)+COUNTIF('4月'!BB8:BC8,H$115)+COUNTIF('4月'!BG8:BH8,H$115)+COUNTIF('4月'!BL8:BM8,H$115)+COUNTIF('4月'!BQ8:BR8,H$115)+COUNTIF('4月'!BV8:BW8,H$115)+COUNTIF('4月'!CA8:CB8,H$115)+COUNTIF('4月'!CF8:CG8,H$115)+COUNTIF('4月'!CK8:CL8,H$115)+COUNTIF('4月'!CP8:CQ8,H$115)+COUNTIF('4月'!CU8:CV8,H$115)+COUNTIF('4月'!CZ8:DA8,H$115)+COUNTIF('4月'!DE8:DF8,H$115)+COUNTIF('4月'!DJ8:DK8,H$115)+COUNTIF('4月'!DO8:DP8,H$115)+COUNTIF('4月'!DT8:DU8,H$115)+COUNTIF('4月'!DY8:DZ8,H$115)+COUNTIF('4月'!ED8:EE8,H$115)+COUNTIF('4月'!EI8:EJ8,H$115)+COUNTIF('4月'!EN8:EO8,H$115)+COUNTIF('4月'!ES8:ET8,H$115)+COUNTIF('4月'!D8:E8,"渋谷-夜勤")+COUNTIF('4月'!I8:J8,"渋谷-夜勤")+COUNTIF('4月'!N8:O8,"渋谷-夜勤")+COUNTIF('4月'!S8:T8,"渋谷-夜勤")+COUNTIF('4月'!X8:Y8,"渋谷-夜勤")+COUNTIF('4月'!AC8:AD8,"渋谷-夜勤")+COUNTIF('4月'!AH8:AI8,"渋谷-夜勤")+COUNTIF('4月'!AM8:AN8,"渋谷-夜勤")+COUNTIF('4月'!AR8:AS8,"渋谷-夜勤")+COUNTIF('4月'!AW8:AX8,"渋谷-夜勤")+COUNTIF('4月'!BB8:BC8,"渋谷-夜勤")+COUNTIF('4月'!BG8:BH8,"渋谷-夜勤")+COUNTIF('4月'!BL8:BM8,"渋谷-夜勤")+COUNTIF('4月'!BQ8:BR8,"渋谷-夜勤")+COUNTIF('4月'!BV8:BW8,"渋谷-夜勤")+COUNTIF('4月'!CA8:CB8,"渋谷-夜勤")+COUNTIF('4月'!CF8:CG8,"渋谷-夜勤")+COUNTIF('4月'!CK8:CL8,"渋谷-夜勤")+COUNTIF('4月'!CP8:CQ8,"渋谷-夜勤")+COUNTIF('4月'!CU8:CV8,"渋谷-夜勤")+COUNTIF('4月'!CZ8:DA8,"渋谷-夜勤")+COUNTIF('4月'!DE8:DF8,"渋谷-夜勤")+COUNTIF('4月'!DJ8:DK8,"渋谷-夜勤")+COUNTIF('4月'!DO8:DP8,"渋谷-夜勤")+COUNTIF('4月'!DT8:DU8,"渋谷-夜勤")+COUNTIF('4月'!DY8:DZ8,"渋谷-夜勤")+COUNTIF('4月'!ED8:EE8,"渋谷-夜勤")+COUNTIF('4月'!EI8:EJ8,"渋谷-夜勤")+COUNTIF('4月'!EN8:EO8,"渋谷-夜勤")+COUNTIF('4月'!ES8:ET8,"渋谷-夜勤")</f>
        <v>0</v>
      </c>
      <c r="I121" s="76">
        <f t="shared" si="39"/>
        <v>0</v>
      </c>
      <c r="J121" s="76">
        <f>COUNTIF('4月'!D8:E8,J$115)+COUNTIF('4月'!I8:J8,J$115)+COUNTIF('4月'!N8:O8,J$115)+COUNTIF('4月'!S8:T8,J$115)+COUNTIF('4月'!X8:Y8,J$115)+COUNTIF('4月'!AC8:AD8,J$115)+COUNTIF('4月'!AH8:AI8,J$115)+COUNTIF('4月'!AM8:AN8,J$115)+COUNTIF('4月'!AR8:AS8,J$115)+COUNTIF('4月'!AW8:AX8,J$115)+COUNTIF('4月'!BB8:BC8,J$115)+COUNTIF('4月'!BG8:BH8,J$115)+COUNTIF('4月'!BL8:BM8,J$115)+COUNTIF('4月'!BQ8:BR8,J$115)+COUNTIF('4月'!BV8:BW8,J$115)+COUNTIF('4月'!CA8:CB8,J$115)+COUNTIF('4月'!CF8:CG8,J$115)+COUNTIF('4月'!CK8:CL8,J$115)+COUNTIF('4月'!CP8:CQ8,J$115)+COUNTIF('4月'!CU8:CV8,J$115)+COUNTIF('4月'!CZ8:DA8,J$115)+COUNTIF('4月'!DE8:DF8,J$115)+COUNTIF('4月'!DJ8:DK8,J$115)+COUNTIF('4月'!DO8:DP8,J$115)+COUNTIF('4月'!DT8:DU8,J$115)+COUNTIF('4月'!DY8:DZ8,J$115)+COUNTIF('4月'!ED8:EE8,J$115)+COUNTIF('4月'!EI8:EJ8,J$115)+COUNTIF('4月'!EN8:EO8,J$115)+COUNTIF('4月'!ES8:ET8,J$115)+COUNTIF('4月'!D8:E8,"六本木-夜勤")+COUNTIF('4月'!I8:J8,"六本木-夜勤")+COUNTIF('4月'!N8:O8,"六本木-夜勤")+COUNTIF('4月'!S8:T8,"六本木-夜勤")+COUNTIF('4月'!X8:Y8,"六本木-夜勤")+COUNTIF('4月'!AC8:AD8,"六本木-夜勤")+COUNTIF('4月'!AH8:AI8,"六本木-夜勤")+COUNTIF('4月'!AM8:AN8,"六本木-夜勤")+COUNTIF('4月'!AR8:AS8,"六本木-夜勤")+COUNTIF('4月'!AW8:AX8,"六本木-夜勤")+COUNTIF('4月'!BB8:BC8,"六本木-夜勤")+COUNTIF('4月'!BG8:BH8,"六本木-夜勤")+COUNTIF('4月'!BL8:BM8,"六本木-夜勤")+COUNTIF('4月'!BQ8:BR8,"六本木-夜勤")+COUNTIF('4月'!BV8:BW8,"六本木-夜勤")+COUNTIF('4月'!CA8:CB8,"六本木-夜勤")+COUNTIF('4月'!CF8:CG8,"六本木-夜勤")+COUNTIF('4月'!CK8:CL8,"六本木-夜勤")+COUNTIF('4月'!CP8:CQ8,"六本木-夜勤")+COUNTIF('4月'!CU8:CV8,"六本木-夜勤")+COUNTIF('4月'!CZ8:DA8,"六本木-夜勤")+COUNTIF('4月'!DE8:DF8,"六本木-夜勤")+COUNTIF('4月'!DJ8:DK8,"六本木-夜勤")+COUNTIF('4月'!DO8:DP8,"六本木-夜勤")+COUNTIF('4月'!DT8:DU8,"六本木-夜勤")+COUNTIF('4月'!DY8:DZ8,"六本木-夜勤")+COUNTIF('4月'!ED8:EE8,"六本木-夜勤")+COUNTIF('4月'!EI8:EJ8,"六本木-夜勤")+COUNTIF('4月'!EN8:EO8,"六本木-夜勤")+COUNTIF('4月'!ES8:ET8,"六本木-夜勤")+COUNTIF('4月'!D8:E8,"六本木ー夜勤")+COUNTIF('4月'!I8:J8,"六本木ー夜勤")+COUNTIF('4月'!N8:O8,"六本木ー夜勤")+COUNTIF('4月'!S8:T8,"六本木ー夜勤")+COUNTIF('4月'!X8:Y8,"六本木ー夜勤")+COUNTIF('4月'!AC8:AD8,"六本木ー夜勤")+COUNTIF('4月'!AH8:AI8,"六本木ー夜勤")+COUNTIF('4月'!AM8:AN8,"六本木ー夜勤")+COUNTIF('4月'!AR8:AS8,"六本木ー夜勤")+COUNTIF('4月'!AW8:AX8,"六本木ー夜勤")+COUNTIF('4月'!BB8:BC8,"六本木ー夜勤")+COUNTIF('4月'!BG8:BH8,"六本木ー夜勤")+COUNTIF('4月'!BL8:BM8,"六本木ー夜勤")+COUNTIF('4月'!BQ8:BR8,"六本木ー夜勤")+COUNTIF('4月'!BV8:BW8,"六本木ー夜勤")+COUNTIF('4月'!CA8:CB8,"六本木ー夜勤")+COUNTIF('4月'!CF8:CG8,"六本木ー夜勤")+COUNTIF('4月'!CK8:CL8,"六本木ー夜勤")+COUNTIF('4月'!CP8:CQ8,"六本木ー夜勤")+COUNTIF('4月'!CU8:CV8,"六本木ー夜勤")+COUNTIF('4月'!CZ8:DA8,"六本木ー夜勤")+COUNTIF('4月'!DE8:DF8,"六本木ー夜勤")+COUNTIF('4月'!DJ8:DK8,"六本木ー夜勤")+COUNTIF('4月'!DO8:DP8,"六本木ー夜勤")+COUNTIF('4月'!DT8:DU8,"六本木ー夜勤")+COUNTIF('4月'!DY8:DZ8,"六本木ー夜勤")+COUNTIF('4月'!ED8:EE8,"六本木ー夜勤")+COUNTIF('4月'!EI8:EJ8,"六本木ー夜勤")+COUNTIF('4月'!EN8:EO8,"六本木ー夜勤")+COUNTIF('4月'!ES8:ET8,"六本木ー夜勤")</f>
        <v>0</v>
      </c>
      <c r="K121" s="76">
        <f t="shared" si="40"/>
        <v>0</v>
      </c>
      <c r="L121" s="76">
        <f>COUNTIF('4月'!D8:E8,L$115)+COUNTIF('4月'!I8:J8,L$115)+COUNTIF('4月'!N8:O8,L$115)+COUNTIF('4月'!S8:T8,L$115)+COUNTIF('4月'!X8:Y8,L$115)+COUNTIF('4月'!AC8:AD8,L$115)+COUNTIF('4月'!AH8:AI8,L$115)+COUNTIF('4月'!AM8:AN8,L$115)+COUNTIF('4月'!AR8:AS8,L$115)+COUNTIF('4月'!AW8:AX8,L$115)+COUNTIF('4月'!BB8:BC8,L$115)+COUNTIF('4月'!BG8:BH8,L$115)+COUNTIF('4月'!BL8:BM8,L$115)+COUNTIF('4月'!BQ8:BR8,L$115)+COUNTIF('4月'!BV8:BW8,L$115)+COUNTIF('4月'!CA8:CB8,L$115)+COUNTIF('4月'!CF8:CG8,L$115)+COUNTIF('4月'!CK8:CL8,L$115)+COUNTIF('4月'!CP8:CQ8,L$115)+COUNTIF('4月'!CU8:CV8,L$115)+COUNTIF('4月'!CZ8:DA8,L$115)+COUNTIF('4月'!DE8:DF8,L$115)+COUNTIF('4月'!DJ8:DK8,L$115)+COUNTIF('4月'!DO8:DP8,L$115)+COUNTIF('4月'!DT8:DU8,L$115)+COUNTIF('4月'!DY8:DZ8,L$115)+COUNTIF('4月'!ED8:EE8,L$115)+COUNTIF('4月'!EI8:EJ8,L$115)+COUNTIF('4月'!EN8:EO8,L$115)+COUNTIF('4月'!ES8:ET8,L$115)</f>
        <v>0</v>
      </c>
      <c r="M121" s="76">
        <f t="shared" si="41"/>
        <v>0</v>
      </c>
      <c r="N121" s="76">
        <f>COUNTIF('4月'!D8:E8,N$115)+COUNTIF('4月'!I8:J8,N$115)+COUNTIF('4月'!N8:O8,N$115)+COUNTIF('4月'!S8:T8,N$115)+COUNTIF('4月'!X8:Y8,N$115)+COUNTIF('4月'!AC8:AD8,N$115)+COUNTIF('4月'!AH8:AI8,N$115)+COUNTIF('4月'!AM8:AN8,N$115)+COUNTIF('4月'!AR8:AS8,N$115)+COUNTIF('4月'!AW8:AX8,N$115)+COUNTIF('4月'!BB8:BC8,N$115)+COUNTIF('4月'!BG8:BH8,N$115)+COUNTIF('4月'!BL8:BM8,N$115)+COUNTIF('4月'!BQ8:BR8,N$115)+COUNTIF('4月'!BV8:BW8,N$115)+COUNTIF('4月'!CA8:CB8,N$115)+COUNTIF('4月'!CF8:CG8,N$115)+COUNTIF('4月'!CK8:CL8,N$115)+COUNTIF('4月'!CP8:CQ8,N$115)+COUNTIF('4月'!CU8:CV8,N$115)+COUNTIF('4月'!CZ8:DA8,N$115)+COUNTIF('4月'!DE8:DF8,N$115)+COUNTIF('4月'!DJ8:DK8,N$115)+COUNTIF('4月'!DO8:DP8,N$115)+COUNTIF('4月'!DT8:DU8,N$115)+COUNTIF('4月'!DY8:DZ8,N$115)+COUNTIF('4月'!ED8:EE8,N$115)+COUNTIF('4月'!EI8:EJ8,N$115)+COUNTIF('4月'!EN8:EO8,N$115)+COUNTIF('4月'!ES8:ET8,N$115)+COUNTIF('4月'!D8:E8,"三軒茶屋－夜勤")+COUNTIF('4月'!I8:J8,"三軒茶屋－夜勤")+COUNTIF('4月'!N8:O8,"三軒茶屋－夜勤")+COUNTIF('4月'!S8:T8,"三軒茶屋－夜勤")+COUNTIF('4月'!X8:Y8,"三軒茶屋－夜勤")+COUNTIF('4月'!AC8:AD8,"三軒茶屋－夜勤")+COUNTIF('4月'!AH8:AI8,"三軒茶屋－夜勤")+COUNTIF('4月'!AM8:AN8,"三軒茶屋－夜勤")+COUNTIF('4月'!AR8:AS8,"三軒茶屋－夜勤")+COUNTIF('4月'!AW8:AX8,"三軒茶屋－夜勤")+COUNTIF('4月'!BB8:BC8,"三軒茶屋－夜勤")+COUNTIF('4月'!BG8:BH8,"三軒茶屋－夜勤")+COUNTIF('4月'!BL8:BM8,"三軒茶屋－夜勤")+COUNTIF('4月'!BQ8:BR8,"三軒茶屋－夜勤")+COUNTIF('4月'!BV8:BW8,"三軒茶屋－夜勤")+COUNTIF('4月'!CA8:CB8,"三軒茶屋－夜勤")+COUNTIF('4月'!CF8:CG8,"三軒茶屋－夜勤")+COUNTIF('4月'!CK8:CL8,"三軒茶屋－夜勤")+COUNTIF('4月'!CP8:CQ8,"三軒茶屋－夜勤")+COUNTIF('4月'!CU8:CV8,"三軒茶屋－夜勤")+COUNTIF('4月'!CZ8:DA8,"三軒茶屋－夜勤")+COUNTIF('4月'!DE8:DF8,"三軒茶屋－夜勤")+COUNTIF('4月'!DJ8:DK8,"三軒茶屋－夜勤")+COUNTIF('4月'!DO8:DP8,"三軒茶屋－夜勤")+COUNTIF('4月'!DT8:DU8,"三軒茶屋－夜勤")+COUNTIF('4月'!DY8:DZ8,"三軒茶屋－夜勤")+COUNTIF('4月'!ED8:EE8,"三軒茶屋－夜勤")+COUNTIF('4月'!EI8:EJ8,"三軒茶屋－夜勤")+COUNTIF('4月'!EN8:EO8,"三軒茶屋－夜勤")+COUNTIF('4月'!ES8:ET8,"三軒茶屋－夜勤")</f>
        <v>0</v>
      </c>
      <c r="O121" s="76">
        <f t="shared" si="42"/>
        <v>0</v>
      </c>
      <c r="P121" s="76">
        <f>COUNTIF('4月'!D8:E8,P$115)+COUNTIF('4月'!I8:J8,P$115)+COUNTIF('4月'!N8:O8,P$115)+COUNTIF('4月'!S8:T8,P$115)+COUNTIF('4月'!X8:Y8,P$115)+COUNTIF('4月'!AC8:AD8,P$115)+COUNTIF('4月'!AH8:AI8,P$115)+COUNTIF('4月'!AM8:AN8,P$115)+COUNTIF('4月'!AR8:AS8,P$115)+COUNTIF('4月'!AW8:AX8,P$115)+COUNTIF('4月'!BB8:BC8,P$115)+COUNTIF('4月'!BG8:BH8,P$115)+COUNTIF('4月'!BL8:BM8,P$115)+COUNTIF('4月'!BQ8:BR8,P$115)+COUNTIF('4月'!BV8:BW8,P$115)+COUNTIF('4月'!CA8:CB8,P$115)+COUNTIF('4月'!CF8:CG8,P$115)+COUNTIF('4月'!CK8:CL8,P$115)+COUNTIF('4月'!CP8:CQ8,P$115)+COUNTIF('4月'!CU8:CV8,P$115)+COUNTIF('4月'!CZ8:DA8,P$115)+COUNTIF('4月'!DE8:DF8,P$115)+COUNTIF('4月'!DJ8:DK8,P$115)+COUNTIF('4月'!DO8:DP8,P$115)+COUNTIF('4月'!DT8:DU8,P$115)+COUNTIF('4月'!DY8:DZ8,P$115)+COUNTIF('4月'!ED8:EE8,P$115)+COUNTIF('4月'!EI8:EJ8,P$115)+COUNTIF('4月'!EN8:EO8,P$115)+COUNTIF('4月'!ES8:ET8,P$115)+COUNTIF('4月'!D8:E8,"荻窪ー夜勤")+COUNTIF('4月'!I8:J8,"荻窪ー夜勤")+COUNTIF('4月'!N8:O8,"荻窪ー夜勤")+COUNTIF('4月'!S8:T8,"荻窪ー夜勤")+COUNTIF('4月'!X8:Y8,"荻窪ー夜勤")+COUNTIF('4月'!AC8:AD8,"荻窪ー夜勤")+COUNTIF('4月'!AH8:AI8,"荻窪ー夜勤")+COUNTIF('4月'!AM8:AN8,"荻窪ー夜勤")+COUNTIF('4月'!AR8:AS8,"荻窪ー夜勤")+COUNTIF('4月'!AW8:AX8,"荻窪ー夜勤")+COUNTIF('4月'!BB8:BC8,"荻窪ー夜勤")+COUNTIF('4月'!BG8:BH8,"荻窪ー夜勤")+COUNTIF('4月'!BL8:BM8,"荻窪ー夜勤")+COUNTIF('4月'!BQ8:BR8,"荻窪ー夜勤")+COUNTIF('4月'!BV8:BW8,"荻窪ー夜勤")+COUNTIF('4月'!CA8:CB8,"荻窪ー夜勤")+COUNTIF('4月'!CF8:CG8,"荻窪ー夜勤")+COUNTIF('4月'!CK8:CL8,"荻窪ー夜勤")+COUNTIF('4月'!CP8:CQ8,"荻窪ー夜勤")+COUNTIF('4月'!CU8:CV8,"荻窪ー夜勤")+COUNTIF('4月'!CZ8:DA8,"荻窪ー夜勤")+COUNTIF('4月'!DE8:DF8,"荻窪ー夜勤")+COUNTIF('4月'!DJ8:DK8,"荻窪ー夜勤")+COUNTIF('4月'!DO8:DP8,"荻窪ー夜勤")+COUNTIF('4月'!DT8:DU8,"荻窪ー夜勤")+COUNTIF('4月'!DY8:DZ8,"荻窪ー夜勤")+COUNTIF('4月'!ED8:EE8,"荻窪ー夜勤")+COUNTIF('4月'!EI8:EJ8,"荻窪ー夜勤")+COUNTIF('4月'!EN8:EO8,"荻窪ー夜勤")+COUNTIF('4月'!ES8:ET8,"荻窪ー夜勤")</f>
        <v>0</v>
      </c>
      <c r="Q121" s="76">
        <f t="shared" si="43"/>
        <v>0</v>
      </c>
      <c r="R121" s="76">
        <f>COUNTIF('4月'!D8:E8,R$115)+COUNTIF('4月'!I8:J8,R$115)+COUNTIF('4月'!N8:O8,R$115)+COUNTIF('4月'!S8:T8,R$115)+COUNTIF('4月'!X8:Y8,R$115)+COUNTIF('4月'!AC8:AD8,R$115)+COUNTIF('4月'!AH8:AI8,R$115)+COUNTIF('4月'!AM8:AN8,R$115)+COUNTIF('4月'!AR8:AS8,R$115)+COUNTIF('4月'!AW8:AX8,R$115)+COUNTIF('4月'!BB8:BC8,R$115)+COUNTIF('4月'!BG8:BH8,R$115)+COUNTIF('4月'!BL8:BM8,R$115)+COUNTIF('4月'!BQ8:BR8,R$115)+COUNTIF('4月'!BV8:BW8,R$115)+COUNTIF('4月'!CA8:CB8,R$115)+COUNTIF('4月'!CF8:CG8,R$115)+COUNTIF('4月'!CK8:CL8,R$115)+COUNTIF('4月'!CP8:CQ8,R$115)+COUNTIF('4月'!CU8:CV8,R$115)+COUNTIF('4月'!CZ8:DA8,R$115)+COUNTIF('4月'!DE8:DF8,R$115)+COUNTIF('4月'!DJ8:DK8,R$115)+COUNTIF('4月'!DO8:DP8,R$115)+COUNTIF('4月'!DT8:DU8,R$115)+COUNTIF('4月'!DY8:DZ8,R$115)+COUNTIF('4月'!ED8:EE8,R$115)+COUNTIF('4月'!EI8:EJ8,R$115)+COUNTIF('4月'!EN8:EO8,R$115)+COUNTIF('4月'!ES8:ET8,R$115)</f>
        <v>0</v>
      </c>
      <c r="S121" s="76">
        <f t="shared" si="44"/>
        <v>0</v>
      </c>
      <c r="T121" s="76">
        <f>COUNTIF('4月'!D8:E8,T$115)+COUNTIF('4月'!I8:J8,T$115)+COUNTIF('4月'!N8:O8,T$115)+COUNTIF('4月'!S8:T8,T$115)+COUNTIF('4月'!X8:Y8,T$115)+COUNTIF('4月'!AC8:AD8,T$115)+COUNTIF('4月'!AH8:AI8,T$115)+COUNTIF('4月'!AM8:AN8,T$115)+COUNTIF('4月'!AR8:AS8,T$115)+COUNTIF('4月'!AW8:AX8,T$115)+COUNTIF('4月'!BB8:BC8,T$115)+COUNTIF('4月'!BG8:BH8,T$115)+COUNTIF('4月'!BL8:BM8,T$115)+COUNTIF('4月'!BQ8:BR8,T$115)+COUNTIF('4月'!BV8:BW8,T$115)+COUNTIF('4月'!CA8:CB8,T$115)+COUNTIF('4月'!CF8:CG8,T$115)+COUNTIF('4月'!CK8:CL8,T$115)+COUNTIF('4月'!CP8:CQ8,T$115)+COUNTIF('4月'!CU8:CV8,T$115)+COUNTIF('4月'!CZ8:DA8,T$115)+COUNTIF('4月'!DE8:DF8,T$115)+COUNTIF('4月'!DJ8:DK8,T$115)+COUNTIF('4月'!DO8:DP8,T$115)+COUNTIF('4月'!DT8:DU8,T$115)+COUNTIF('4月'!DY8:DZ8,T$115)+COUNTIF('4月'!ED8:EE8,T$115)+COUNTIF('4月'!EI8:EJ8,T$115)+COUNTIF('4月'!EN8:EO8,T$115)+COUNTIF('4月'!ES8:ET8,T$115)</f>
        <v>0</v>
      </c>
      <c r="U121" s="76">
        <f t="shared" si="45"/>
        <v>0</v>
      </c>
      <c r="V121" s="76">
        <f>COUNTIF('4月'!D8:E8,V$115)+COUNTIF('4月'!I8:J8,V$115)+COUNTIF('4月'!N8:O8,V$115)+COUNTIF('4月'!S8:T8,V$115)+COUNTIF('4月'!X8:Y8,V$115)+COUNTIF('4月'!AC8:AD8,V$115)+COUNTIF('4月'!AH8:AI8,V$115)+COUNTIF('4月'!AM8:AN8,V$115)+COUNTIF('4月'!AR8:AS8,V$115)+COUNTIF('4月'!AW8:AX8,V$115)+COUNTIF('4月'!BB8:BC8,V$115)+COUNTIF('4月'!BG8:BH8,V$115)+COUNTIF('4月'!BL8:BM8,V$115)+COUNTIF('4月'!BQ8:BR8,V$115)+COUNTIF('4月'!BV8:BW8,V$115)+COUNTIF('4月'!CA8:CB8,V$115)+COUNTIF('4月'!CF8:CG8,V$115)+COUNTIF('4月'!CK8:CL8,V$115)+COUNTIF('4月'!CP8:CQ8,V$115)+COUNTIF('4月'!CU8:CV8,V$115)+COUNTIF('4月'!CZ8:DA8,V$115)+COUNTIF('4月'!DE8:DF8,V$115)+COUNTIF('4月'!DJ8:DK8,V$115)+COUNTIF('4月'!DO8:DP8,V$115)+COUNTIF('4月'!DT8:DU8,V$115)+COUNTIF('4月'!DY8:DZ8,V$115)+COUNTIF('4月'!ED8:EE8,V$115)+COUNTIF('4月'!EI8:EJ8,V$115)+COUNTIF('4月'!EN8:EO8,V$115)+COUNTIF('4月'!ES8:ET8,V$115)</f>
        <v>0</v>
      </c>
      <c r="W121" s="76">
        <f t="shared" si="46"/>
        <v>0</v>
      </c>
      <c r="X121" s="76">
        <f>COUNTIF('4月'!D8:E8,X$115)+COUNTIF('4月'!I8:J8,X$115)+COUNTIF('4月'!N8:O8,X$115)+COUNTIF('4月'!S8:T8,X$115)+COUNTIF('4月'!X8:Y8,X$115)+COUNTIF('4月'!AC8:AD8,X$115)+COUNTIF('4月'!AH8:AI8,X$115)+COUNTIF('4月'!AM8:AN8,X$115)+COUNTIF('4月'!AR8:AS8,X$115)+COUNTIF('4月'!AW8:AX8,X$115)+COUNTIF('4月'!BB8:BC8,X$115)+COUNTIF('4月'!BG8:BH8,X$115)+COUNTIF('4月'!BL8:BM8,X$115)+COUNTIF('4月'!BQ8:BR8,X$115)+COUNTIF('4月'!BV8:BW8,X$115)+COUNTIF('4月'!CA8:CB8,X$115)+COUNTIF('4月'!CF8:CG8,X$115)+COUNTIF('4月'!CK8:CL8,X$115)+COUNTIF('4月'!CP8:CQ8,X$115)+COUNTIF('4月'!CU8:CV8,X$115)+COUNTIF('4月'!CZ8:DA8,X$115)+COUNTIF('4月'!DE8:DF8,X$115)+COUNTIF('4月'!DJ8:DK8,X$115)+COUNTIF('4月'!DO8:DP8,X$115)+COUNTIF('4月'!DT8:DU8,X$115)+COUNTIF('4月'!DY8:DZ8,X$115)+COUNTIF('4月'!ED8:EE8,X$115)+COUNTIF('4月'!EI8:EJ8,X$115)+COUNTIF('4月'!EN8:EO8,X$115)+COUNTIF('4月'!ES8:ET8,X$115)</f>
        <v>0</v>
      </c>
      <c r="Y121" s="76">
        <f t="shared" si="47"/>
        <v>0</v>
      </c>
    </row>
    <row r="122" spans="1:25" ht="18" customHeight="1">
      <c r="A122" s="76">
        <v>6</v>
      </c>
      <c r="B122" s="76">
        <f>COUNTIF('4月'!D9:E9,B$115)+COUNTIF('4月'!I9:J9,B$115)+COUNTIF('4月'!N9:O9,B$115)+COUNTIF('4月'!S9:T9,B$115)+COUNTIF('4月'!X9:Y9,B$115)+COUNTIF('4月'!AC9:AD9,B$115)+COUNTIF('4月'!AH9:AI9,B$115)+COUNTIF('4月'!AM9:AN9,B$115)+COUNTIF('4月'!AR9:AS9,B$115)+COUNTIF('4月'!AW9:AX9,B$115)+COUNTIF('4月'!BB9:BC9,B$115)+COUNTIF('4月'!BG9:BH9,B$115)+COUNTIF('4月'!BL9:BM9,B$115)+COUNTIF('4月'!BQ9:BR9,B$115)+COUNTIF('4月'!BV9:BW9,B$115)+COUNTIF('4月'!CA9:CB9,B$115)+COUNTIF('4月'!CF9:CG9,B$115)+COUNTIF('4月'!CK9:CL9,B$115)+COUNTIF('4月'!CP9:CQ9,B$115)+COUNTIF('4月'!CU9:CV9,B$115)+COUNTIF('4月'!CZ9:DA9,B$115)+COUNTIF('4月'!DE9:DF9,B$115)+COUNTIF('4月'!DJ9:DK9,B$115)+COUNTIF('4月'!DO9:DP9,B$115)+COUNTIF('4月'!DT9:DU9,B$115)+COUNTIF('4月'!DY9:DZ9,B$115)+COUNTIF('4月'!ED9:EE9,B$115)+COUNTIF('4月'!EI9:EJ9,B$115)+COUNTIF('4月'!EN9:EO9,B$115)+COUNTIF('4月'!ES9:ET9,B$115)</f>
        <v>0</v>
      </c>
      <c r="C122" s="76">
        <f t="shared" si="36"/>
        <v>0</v>
      </c>
      <c r="D122" s="76">
        <f>COUNTIF('4月'!D9:E9,D$115)+COUNTIF('4月'!I9:J9,D$115)+COUNTIF('4月'!N9:O9,D$115)+COUNTIF('4月'!S9:T9,D$115)+COUNTIF('4月'!X9:Y9,D$115)+COUNTIF('4月'!AC9:AD9,D$115)+COUNTIF('4月'!AH9:AI9,D$115)+COUNTIF('4月'!AM9:AN9,D$115)+COUNTIF('4月'!AR9:AS9,D$115)+COUNTIF('4月'!AW9:AX9,D$115)+COUNTIF('4月'!BB9:BC9,D$115)+COUNTIF('4月'!BG9:BH9,D$115)+COUNTIF('4月'!BL9:BM9,D$115)+COUNTIF('4月'!BQ9:BR9,D$115)+COUNTIF('4月'!BV9:BW9,D$115)+COUNTIF('4月'!CA9:CB9,D$115)+COUNTIF('4月'!CF9:CG9,D$115)+COUNTIF('4月'!CK9:CL9,D$115)+COUNTIF('4月'!CP9:CQ9,D$115)+COUNTIF('4月'!CU9:CV9,D$115)+COUNTIF('4月'!CZ9:DA9,D$115)+COUNTIF('4月'!DE9:DF9,D$115)+COUNTIF('4月'!DJ9:DK9,D$115)+COUNTIF('4月'!DO9:DP9,D$115)+COUNTIF('4月'!DT9:DU9,D$115)+COUNTIF('4月'!DY9:DZ9,D$115)+COUNTIF('4月'!ED9:EE9,D$115)+COUNTIF('4月'!EI9:EJ9,D$115)+COUNTIF('4月'!EN9:EO9,D$115)+COUNTIF('4月'!ES9:ET9,D$115)</f>
        <v>0</v>
      </c>
      <c r="E122" s="76">
        <f t="shared" si="37"/>
        <v>0</v>
      </c>
      <c r="F122" s="76">
        <f>COUNTIF('4月'!D9:E9,F$115)+COUNTIF('4月'!I9:J9,F$115)+COUNTIF('4月'!N9:O9,F$115)+COUNTIF('4月'!S9:T9,F$115)+COUNTIF('4月'!X9:Y9,F$115)+COUNTIF('4月'!AC9:AD9,F$115)+COUNTIF('4月'!AH9:AI9,F$115)+COUNTIF('4月'!AM9:AN9,F$115)+COUNTIF('4月'!AR9:AS9,F$115)+COUNTIF('4月'!AW9:AX9,F$115)+COUNTIF('4月'!BB9:BC9,F$115)+COUNTIF('4月'!BG9:BH9,F$115)+COUNTIF('4月'!BL9:BM9,F$115)+COUNTIF('4月'!BQ9:BR9,F$115)+COUNTIF('4月'!BV9:BW9,F$115)+COUNTIF('4月'!CA9:CB9,F$115)+COUNTIF('4月'!CF9:CG9,F$115)+COUNTIF('4月'!CK9:CL9,F$115)+COUNTIF('4月'!CP9:CQ9,F$115)+COUNTIF('4月'!CU9:CV9,F$115)+COUNTIF('4月'!CZ9:DA9,F$115)+COUNTIF('4月'!DE9:DF9,F$115)+COUNTIF('4月'!DJ9:DK9,F$115)+COUNTIF('4月'!DO9:DP9,F$115)+COUNTIF('4月'!DT9:DU9,F$115)+COUNTIF('4月'!DY9:DZ9,F$115)+COUNTIF('4月'!ED9:EE9,F$115)+COUNTIF('4月'!EI9:EJ9,F$115)+COUNTIF('4月'!EN9:EO9,F$115)+COUNTIF('4月'!ES9:ET9,F$115)</f>
        <v>0</v>
      </c>
      <c r="G122" s="76">
        <f t="shared" si="38"/>
        <v>0</v>
      </c>
      <c r="H122" s="76">
        <f>COUNTIF('4月'!D9:E9,H$115)+COUNTIF('4月'!I9:J9,H$115)+COUNTIF('4月'!N9:O9,H$115)+COUNTIF('4月'!S9:T9,H$115)+COUNTIF('4月'!X9:Y9,H$115)+COUNTIF('4月'!AC9:AD9,H$115)+COUNTIF('4月'!AH9:AI9,H$115)+COUNTIF('4月'!AM9:AN9,H$115)+COUNTIF('4月'!AR9:AS9,H$115)+COUNTIF('4月'!AW9:AX9,H$115)+COUNTIF('4月'!BB9:BC9,H$115)+COUNTIF('4月'!BG9:BH9,H$115)+COUNTIF('4月'!BL9:BM9,H$115)+COUNTIF('4月'!BQ9:BR9,H$115)+COUNTIF('4月'!BV9:BW9,H$115)+COUNTIF('4月'!CA9:CB9,H$115)+COUNTIF('4月'!CF9:CG9,H$115)+COUNTIF('4月'!CK9:CL9,H$115)+COUNTIF('4月'!CP9:CQ9,H$115)+COUNTIF('4月'!CU9:CV9,H$115)+COUNTIF('4月'!CZ9:DA9,H$115)+COUNTIF('4月'!DE9:DF9,H$115)+COUNTIF('4月'!DJ9:DK9,H$115)+COUNTIF('4月'!DO9:DP9,H$115)+COUNTIF('4月'!DT9:DU9,H$115)+COUNTIF('4月'!DY9:DZ9,H$115)+COUNTIF('4月'!ED9:EE9,H$115)+COUNTIF('4月'!EI9:EJ9,H$115)+COUNTIF('4月'!EN9:EO9,H$115)+COUNTIF('4月'!ES9:ET9,H$115)+COUNTIF('4月'!D9:E9,"渋谷-夜勤")+COUNTIF('4月'!I9:J9,"渋谷-夜勤")+COUNTIF('4月'!N9:O9,"渋谷-夜勤")+COUNTIF('4月'!S9:T9,"渋谷-夜勤")+COUNTIF('4月'!X9:Y9,"渋谷-夜勤")+COUNTIF('4月'!AC9:AD9,"渋谷-夜勤")+COUNTIF('4月'!AH9:AI9,"渋谷-夜勤")+COUNTIF('4月'!AM9:AN9,"渋谷-夜勤")+COUNTIF('4月'!AR9:AS9,"渋谷-夜勤")+COUNTIF('4月'!AW9:AX9,"渋谷-夜勤")+COUNTIF('4月'!BB9:BC9,"渋谷-夜勤")+COUNTIF('4月'!BG9:BH9,"渋谷-夜勤")+COUNTIF('4月'!BL9:BM9,"渋谷-夜勤")+COUNTIF('4月'!BQ9:BR9,"渋谷-夜勤")+COUNTIF('4月'!BV9:BW9,"渋谷-夜勤")+COUNTIF('4月'!CA9:CB9,"渋谷-夜勤")+COUNTIF('4月'!CF9:CG9,"渋谷-夜勤")+COUNTIF('4月'!CK9:CL9,"渋谷-夜勤")+COUNTIF('4月'!CP9:CQ9,"渋谷-夜勤")+COUNTIF('4月'!CU9:CV9,"渋谷-夜勤")+COUNTIF('4月'!CZ9:DA9,"渋谷-夜勤")+COUNTIF('4月'!DE9:DF9,"渋谷-夜勤")+COUNTIF('4月'!DJ9:DK9,"渋谷-夜勤")+COUNTIF('4月'!DO9:DP9,"渋谷-夜勤")+COUNTIF('4月'!DT9:DU9,"渋谷-夜勤")+COUNTIF('4月'!DY9:DZ9,"渋谷-夜勤")+COUNTIF('4月'!ED9:EE9,"渋谷-夜勤")+COUNTIF('4月'!EI9:EJ9,"渋谷-夜勤")+COUNTIF('4月'!EN9:EO9,"渋谷-夜勤")+COUNTIF('4月'!ES9:ET9,"渋谷-夜勤")</f>
        <v>0</v>
      </c>
      <c r="I122" s="76">
        <f t="shared" si="39"/>
        <v>0</v>
      </c>
      <c r="J122" s="76">
        <f>COUNTIF('4月'!D9:E9,J$115)+COUNTIF('4月'!I9:J9,J$115)+COUNTIF('4月'!N9:O9,J$115)+COUNTIF('4月'!S9:T9,J$115)+COUNTIF('4月'!X9:Y9,J$115)+COUNTIF('4月'!AC9:AD9,J$115)+COUNTIF('4月'!AH9:AI9,J$115)+COUNTIF('4月'!AM9:AN9,J$115)+COUNTIF('4月'!AR9:AS9,J$115)+COUNTIF('4月'!AW9:AX9,J$115)+COUNTIF('4月'!BB9:BC9,J$115)+COUNTIF('4月'!BG9:BH9,J$115)+COUNTIF('4月'!BL9:BM9,J$115)+COUNTIF('4月'!BQ9:BR9,J$115)+COUNTIF('4月'!BV9:BW9,J$115)+COUNTIF('4月'!CA9:CB9,J$115)+COUNTIF('4月'!CF9:CG9,J$115)+COUNTIF('4月'!CK9:CL9,J$115)+COUNTIF('4月'!CP9:CQ9,J$115)+COUNTIF('4月'!CU9:CV9,J$115)+COUNTIF('4月'!CZ9:DA9,J$115)+COUNTIF('4月'!DE9:DF9,J$115)+COUNTIF('4月'!DJ9:DK9,J$115)+COUNTIF('4月'!DO9:DP9,J$115)+COUNTIF('4月'!DT9:DU9,J$115)+COUNTIF('4月'!DY9:DZ9,J$115)+COUNTIF('4月'!ED9:EE9,J$115)+COUNTIF('4月'!EI9:EJ9,J$115)+COUNTIF('4月'!EN9:EO9,J$115)+COUNTIF('4月'!ES9:ET9,J$115)+COUNTIF('4月'!D9:E9,"六本木-夜勤")+COUNTIF('4月'!I9:J9,"六本木-夜勤")+COUNTIF('4月'!N9:O9,"六本木-夜勤")+COUNTIF('4月'!S9:T9,"六本木-夜勤")+COUNTIF('4月'!X9:Y9,"六本木-夜勤")+COUNTIF('4月'!AC9:AD9,"六本木-夜勤")+COUNTIF('4月'!AH9:AI9,"六本木-夜勤")+COUNTIF('4月'!AM9:AN9,"六本木-夜勤")+COUNTIF('4月'!AR9:AS9,"六本木-夜勤")+COUNTIF('4月'!AW9:AX9,"六本木-夜勤")+COUNTIF('4月'!BB9:BC9,"六本木-夜勤")+COUNTIF('4月'!BG9:BH9,"六本木-夜勤")+COUNTIF('4月'!BL9:BM9,"六本木-夜勤")+COUNTIF('4月'!BQ9:BR9,"六本木-夜勤")+COUNTIF('4月'!BV9:BW9,"六本木-夜勤")+COUNTIF('4月'!CA9:CB9,"六本木-夜勤")+COUNTIF('4月'!CF9:CG9,"六本木-夜勤")+COUNTIF('4月'!CK9:CL9,"六本木-夜勤")+COUNTIF('4月'!CP9:CQ9,"六本木-夜勤")+COUNTIF('4月'!CU9:CV9,"六本木-夜勤")+COUNTIF('4月'!CZ9:DA9,"六本木-夜勤")+COUNTIF('4月'!DE9:DF9,"六本木-夜勤")+COUNTIF('4月'!DJ9:DK9,"六本木-夜勤")+COUNTIF('4月'!DO9:DP9,"六本木-夜勤")+COUNTIF('4月'!DT9:DU9,"六本木-夜勤")+COUNTIF('4月'!DY9:DZ9,"六本木-夜勤")+COUNTIF('4月'!ED9:EE9,"六本木-夜勤")+COUNTIF('4月'!EI9:EJ9,"六本木-夜勤")+COUNTIF('4月'!EN9:EO9,"六本木-夜勤")+COUNTIF('4月'!ES9:ET9,"六本木-夜勤")+COUNTIF('4月'!D9:E9,"六本木ー夜勤")+COUNTIF('4月'!I9:J9,"六本木ー夜勤")+COUNTIF('4月'!N9:O9,"六本木ー夜勤")+COUNTIF('4月'!S9:T9,"六本木ー夜勤")+COUNTIF('4月'!X9:Y9,"六本木ー夜勤")+COUNTIF('4月'!AC9:AD9,"六本木ー夜勤")+COUNTIF('4月'!AH9:AI9,"六本木ー夜勤")+COUNTIF('4月'!AM9:AN9,"六本木ー夜勤")+COUNTIF('4月'!AR9:AS9,"六本木ー夜勤")+COUNTIF('4月'!AW9:AX9,"六本木ー夜勤")+COUNTIF('4月'!BB9:BC9,"六本木ー夜勤")+COUNTIF('4月'!BG9:BH9,"六本木ー夜勤")+COUNTIF('4月'!BL9:BM9,"六本木ー夜勤")+COUNTIF('4月'!BQ9:BR9,"六本木ー夜勤")+COUNTIF('4月'!BV9:BW9,"六本木ー夜勤")+COUNTIF('4月'!CA9:CB9,"六本木ー夜勤")+COUNTIF('4月'!CF9:CG9,"六本木ー夜勤")+COUNTIF('4月'!CK9:CL9,"六本木ー夜勤")+COUNTIF('4月'!CP9:CQ9,"六本木ー夜勤")+COUNTIF('4月'!CU9:CV9,"六本木ー夜勤")+COUNTIF('4月'!CZ9:DA9,"六本木ー夜勤")+COUNTIF('4月'!DE9:DF9,"六本木ー夜勤")+COUNTIF('4月'!DJ9:DK9,"六本木ー夜勤")+COUNTIF('4月'!DO9:DP9,"六本木ー夜勤")+COUNTIF('4月'!DT9:DU9,"六本木ー夜勤")+COUNTIF('4月'!DY9:DZ9,"六本木ー夜勤")+COUNTIF('4月'!ED9:EE9,"六本木ー夜勤")+COUNTIF('4月'!EI9:EJ9,"六本木ー夜勤")+COUNTIF('4月'!EN9:EO9,"六本木ー夜勤")+COUNTIF('4月'!ES9:ET9,"六本木ー夜勤")</f>
        <v>0</v>
      </c>
      <c r="K122" s="76">
        <f t="shared" si="40"/>
        <v>0</v>
      </c>
      <c r="L122" s="76">
        <f>COUNTIF('4月'!D9:E9,L$115)+COUNTIF('4月'!I9:J9,L$115)+COUNTIF('4月'!N9:O9,L$115)+COUNTIF('4月'!S9:T9,L$115)+COUNTIF('4月'!X9:Y9,L$115)+COUNTIF('4月'!AC9:AD9,L$115)+COUNTIF('4月'!AH9:AI9,L$115)+COUNTIF('4月'!AM9:AN9,L$115)+COUNTIF('4月'!AR9:AS9,L$115)+COUNTIF('4月'!AW9:AX9,L$115)+COUNTIF('4月'!BB9:BC9,L$115)+COUNTIF('4月'!BG9:BH9,L$115)+COUNTIF('4月'!BL9:BM9,L$115)+COUNTIF('4月'!BQ9:BR9,L$115)+COUNTIF('4月'!BV9:BW9,L$115)+COUNTIF('4月'!CA9:CB9,L$115)+COUNTIF('4月'!CF9:CG9,L$115)+COUNTIF('4月'!CK9:CL9,L$115)+COUNTIF('4月'!CP9:CQ9,L$115)+COUNTIF('4月'!CU9:CV9,L$115)+COUNTIF('4月'!CZ9:DA9,L$115)+COUNTIF('4月'!DE9:DF9,L$115)+COUNTIF('4月'!DJ9:DK9,L$115)+COUNTIF('4月'!DO9:DP9,L$115)+COUNTIF('4月'!DT9:DU9,L$115)+COUNTIF('4月'!DY9:DZ9,L$115)+COUNTIF('4月'!ED9:EE9,L$115)+COUNTIF('4月'!EI9:EJ9,L$115)+COUNTIF('4月'!EN9:EO9,L$115)+COUNTIF('4月'!ES9:ET9,L$115)</f>
        <v>0</v>
      </c>
      <c r="M122" s="76">
        <f t="shared" si="41"/>
        <v>0</v>
      </c>
      <c r="N122" s="76">
        <f>COUNTIF('4月'!D9:E9,N$115)+COUNTIF('4月'!I9:J9,N$115)+COUNTIF('4月'!N9:O9,N$115)+COUNTIF('4月'!S9:T9,N$115)+COUNTIF('4月'!X9:Y9,N$115)+COUNTIF('4月'!AC9:AD9,N$115)+COUNTIF('4月'!AH9:AI9,N$115)+COUNTIF('4月'!AM9:AN9,N$115)+COUNTIF('4月'!AR9:AS9,N$115)+COUNTIF('4月'!AW9:AX9,N$115)+COUNTIF('4月'!BB9:BC9,N$115)+COUNTIF('4月'!BG9:BH9,N$115)+COUNTIF('4月'!BL9:BM9,N$115)+COUNTIF('4月'!BQ9:BR9,N$115)+COUNTIF('4月'!BV9:BW9,N$115)+COUNTIF('4月'!CA9:CB9,N$115)+COUNTIF('4月'!CF9:CG9,N$115)+COUNTIF('4月'!CK9:CL9,N$115)+COUNTIF('4月'!CP9:CQ9,N$115)+COUNTIF('4月'!CU9:CV9,N$115)+COUNTIF('4月'!CZ9:DA9,N$115)+COUNTIF('4月'!DE9:DF9,N$115)+COUNTIF('4月'!DJ9:DK9,N$115)+COUNTIF('4月'!DO9:DP9,N$115)+COUNTIF('4月'!DT9:DU9,N$115)+COUNTIF('4月'!DY9:DZ9,N$115)+COUNTIF('4月'!ED9:EE9,N$115)+COUNTIF('4月'!EI9:EJ9,N$115)+COUNTIF('4月'!EN9:EO9,N$115)+COUNTIF('4月'!ES9:ET9,N$115)+COUNTIF('4月'!D9:E9,"三軒茶屋－夜勤")+COUNTIF('4月'!I9:J9,"三軒茶屋－夜勤")+COUNTIF('4月'!N9:O9,"三軒茶屋－夜勤")+COUNTIF('4月'!S9:T9,"三軒茶屋－夜勤")+COUNTIF('4月'!X9:Y9,"三軒茶屋－夜勤")+COUNTIF('4月'!AC9:AD9,"三軒茶屋－夜勤")+COUNTIF('4月'!AH9:AI9,"三軒茶屋－夜勤")+COUNTIF('4月'!AM9:AN9,"三軒茶屋－夜勤")+COUNTIF('4月'!AR9:AS9,"三軒茶屋－夜勤")+COUNTIF('4月'!AW9:AX9,"三軒茶屋－夜勤")+COUNTIF('4月'!BB9:BC9,"三軒茶屋－夜勤")+COUNTIF('4月'!BG9:BH9,"三軒茶屋－夜勤")+COUNTIF('4月'!BL9:BM9,"三軒茶屋－夜勤")+COUNTIF('4月'!BQ9:BR9,"三軒茶屋－夜勤")+COUNTIF('4月'!BV9:BW9,"三軒茶屋－夜勤")+COUNTIF('4月'!CA9:CB9,"三軒茶屋－夜勤")+COUNTIF('4月'!CF9:CG9,"三軒茶屋－夜勤")+COUNTIF('4月'!CK9:CL9,"三軒茶屋－夜勤")+COUNTIF('4月'!CP9:CQ9,"三軒茶屋－夜勤")+COUNTIF('4月'!CU9:CV9,"三軒茶屋－夜勤")+COUNTIF('4月'!CZ9:DA9,"三軒茶屋－夜勤")+COUNTIF('4月'!DE9:DF9,"三軒茶屋－夜勤")+COUNTIF('4月'!DJ9:DK9,"三軒茶屋－夜勤")+COUNTIF('4月'!DO9:DP9,"三軒茶屋－夜勤")+COUNTIF('4月'!DT9:DU9,"三軒茶屋－夜勤")+COUNTIF('4月'!DY9:DZ9,"三軒茶屋－夜勤")+COUNTIF('4月'!ED9:EE9,"三軒茶屋－夜勤")+COUNTIF('4月'!EI9:EJ9,"三軒茶屋－夜勤")+COUNTIF('4月'!EN9:EO9,"三軒茶屋－夜勤")+COUNTIF('4月'!ES9:ET9,"三軒茶屋－夜勤")</f>
        <v>0</v>
      </c>
      <c r="O122" s="76">
        <f t="shared" si="42"/>
        <v>0</v>
      </c>
      <c r="P122" s="76">
        <f>COUNTIF('4月'!D9:E9,P$115)+COUNTIF('4月'!I9:J9,P$115)+COUNTIF('4月'!N9:O9,P$115)+COUNTIF('4月'!S9:T9,P$115)+COUNTIF('4月'!X9:Y9,P$115)+COUNTIF('4月'!AC9:AD9,P$115)+COUNTIF('4月'!AH9:AI9,P$115)+COUNTIF('4月'!AM9:AN9,P$115)+COUNTIF('4月'!AR9:AS9,P$115)+COUNTIF('4月'!AW9:AX9,P$115)+COUNTIF('4月'!BB9:BC9,P$115)+COUNTIF('4月'!BG9:BH9,P$115)+COUNTIF('4月'!BL9:BM9,P$115)+COUNTIF('4月'!BQ9:BR9,P$115)+COUNTIF('4月'!BV9:BW9,P$115)+COUNTIF('4月'!CA9:CB9,P$115)+COUNTIF('4月'!CF9:CG9,P$115)+COUNTIF('4月'!CK9:CL9,P$115)+COUNTIF('4月'!CP9:CQ9,P$115)+COUNTIF('4月'!CU9:CV9,P$115)+COUNTIF('4月'!CZ9:DA9,P$115)+COUNTIF('4月'!DE9:DF9,P$115)+COUNTIF('4月'!DJ9:DK9,P$115)+COUNTIF('4月'!DO9:DP9,P$115)+COUNTIF('4月'!DT9:DU9,P$115)+COUNTIF('4月'!DY9:DZ9,P$115)+COUNTIF('4月'!ED9:EE9,P$115)+COUNTIF('4月'!EI9:EJ9,P$115)+COUNTIF('4月'!EN9:EO9,P$115)+COUNTIF('4月'!ES9:ET9,P$115)+COUNTIF('4月'!D9:E9,"荻窪ー夜勤")+COUNTIF('4月'!I9:J9,"荻窪ー夜勤")+COUNTIF('4月'!N9:O9,"荻窪ー夜勤")+COUNTIF('4月'!S9:T9,"荻窪ー夜勤")+COUNTIF('4月'!X9:Y9,"荻窪ー夜勤")+COUNTIF('4月'!AC9:AD9,"荻窪ー夜勤")+COUNTIF('4月'!AH9:AI9,"荻窪ー夜勤")+COUNTIF('4月'!AM9:AN9,"荻窪ー夜勤")+COUNTIF('4月'!AR9:AS9,"荻窪ー夜勤")+COUNTIF('4月'!AW9:AX9,"荻窪ー夜勤")+COUNTIF('4月'!BB9:BC9,"荻窪ー夜勤")+COUNTIF('4月'!BG9:BH9,"荻窪ー夜勤")+COUNTIF('4月'!BL9:BM9,"荻窪ー夜勤")+COUNTIF('4月'!BQ9:BR9,"荻窪ー夜勤")+COUNTIF('4月'!BV9:BW9,"荻窪ー夜勤")+COUNTIF('4月'!CA9:CB9,"荻窪ー夜勤")+COUNTIF('4月'!CF9:CG9,"荻窪ー夜勤")+COUNTIF('4月'!CK9:CL9,"荻窪ー夜勤")+COUNTIF('4月'!CP9:CQ9,"荻窪ー夜勤")+COUNTIF('4月'!CU9:CV9,"荻窪ー夜勤")+COUNTIF('4月'!CZ9:DA9,"荻窪ー夜勤")+COUNTIF('4月'!DE9:DF9,"荻窪ー夜勤")+COUNTIF('4月'!DJ9:DK9,"荻窪ー夜勤")+COUNTIF('4月'!DO9:DP9,"荻窪ー夜勤")+COUNTIF('4月'!DT9:DU9,"荻窪ー夜勤")+COUNTIF('4月'!DY9:DZ9,"荻窪ー夜勤")+COUNTIF('4月'!ED9:EE9,"荻窪ー夜勤")+COUNTIF('4月'!EI9:EJ9,"荻窪ー夜勤")+COUNTIF('4月'!EN9:EO9,"荻窪ー夜勤")+COUNTIF('4月'!ES9:ET9,"荻窪ー夜勤")</f>
        <v>0</v>
      </c>
      <c r="Q122" s="76">
        <f t="shared" si="43"/>
        <v>0</v>
      </c>
      <c r="R122" s="76">
        <f>COUNTIF('4月'!D9:E9,R$115)+COUNTIF('4月'!I9:J9,R$115)+COUNTIF('4月'!N9:O9,R$115)+COUNTIF('4月'!S9:T9,R$115)+COUNTIF('4月'!X9:Y9,R$115)+COUNTIF('4月'!AC9:AD9,R$115)+COUNTIF('4月'!AH9:AI9,R$115)+COUNTIF('4月'!AM9:AN9,R$115)+COUNTIF('4月'!AR9:AS9,R$115)+COUNTIF('4月'!AW9:AX9,R$115)+COUNTIF('4月'!BB9:BC9,R$115)+COUNTIF('4月'!BG9:BH9,R$115)+COUNTIF('4月'!BL9:BM9,R$115)+COUNTIF('4月'!BQ9:BR9,R$115)+COUNTIF('4月'!BV9:BW9,R$115)+COUNTIF('4月'!CA9:CB9,R$115)+COUNTIF('4月'!CF9:CG9,R$115)+COUNTIF('4月'!CK9:CL9,R$115)+COUNTIF('4月'!CP9:CQ9,R$115)+COUNTIF('4月'!CU9:CV9,R$115)+COUNTIF('4月'!CZ9:DA9,R$115)+COUNTIF('4月'!DE9:DF9,R$115)+COUNTIF('4月'!DJ9:DK9,R$115)+COUNTIF('4月'!DO9:DP9,R$115)+COUNTIF('4月'!DT9:DU9,R$115)+COUNTIF('4月'!DY9:DZ9,R$115)+COUNTIF('4月'!ED9:EE9,R$115)+COUNTIF('4月'!EI9:EJ9,R$115)+COUNTIF('4月'!EN9:EO9,R$115)+COUNTIF('4月'!ES9:ET9,R$115)</f>
        <v>0</v>
      </c>
      <c r="S122" s="76">
        <f t="shared" si="44"/>
        <v>0</v>
      </c>
      <c r="T122" s="76">
        <f>COUNTIF('4月'!D9:E9,T$115)+COUNTIF('4月'!I9:J9,T$115)+COUNTIF('4月'!N9:O9,T$115)+COUNTIF('4月'!S9:T9,T$115)+COUNTIF('4月'!X9:Y9,T$115)+COUNTIF('4月'!AC9:AD9,T$115)+COUNTIF('4月'!AH9:AI9,T$115)+COUNTIF('4月'!AM9:AN9,T$115)+COUNTIF('4月'!AR9:AS9,T$115)+COUNTIF('4月'!AW9:AX9,T$115)+COUNTIF('4月'!BB9:BC9,T$115)+COUNTIF('4月'!BG9:BH9,T$115)+COUNTIF('4月'!BL9:BM9,T$115)+COUNTIF('4月'!BQ9:BR9,T$115)+COUNTIF('4月'!BV9:BW9,T$115)+COUNTIF('4月'!CA9:CB9,T$115)+COUNTIF('4月'!CF9:CG9,T$115)+COUNTIF('4月'!CK9:CL9,T$115)+COUNTIF('4月'!CP9:CQ9,T$115)+COUNTIF('4月'!CU9:CV9,T$115)+COUNTIF('4月'!CZ9:DA9,T$115)+COUNTIF('4月'!DE9:DF9,T$115)+COUNTIF('4月'!DJ9:DK9,T$115)+COUNTIF('4月'!DO9:DP9,T$115)+COUNTIF('4月'!DT9:DU9,T$115)+COUNTIF('4月'!DY9:DZ9,T$115)+COUNTIF('4月'!ED9:EE9,T$115)+COUNTIF('4月'!EI9:EJ9,T$115)+COUNTIF('4月'!EN9:EO9,T$115)+COUNTIF('4月'!ES9:ET9,T$115)</f>
        <v>0</v>
      </c>
      <c r="U122" s="76">
        <f t="shared" si="45"/>
        <v>0</v>
      </c>
      <c r="V122" s="76">
        <f>COUNTIF('4月'!D9:E9,V$115)+COUNTIF('4月'!I9:J9,V$115)+COUNTIF('4月'!N9:O9,V$115)+COUNTIF('4月'!S9:T9,V$115)+COUNTIF('4月'!X9:Y9,V$115)+COUNTIF('4月'!AC9:AD9,V$115)+COUNTIF('4月'!AH9:AI9,V$115)+COUNTIF('4月'!AM9:AN9,V$115)+COUNTIF('4月'!AR9:AS9,V$115)+COUNTIF('4月'!AW9:AX9,V$115)+COUNTIF('4月'!BB9:BC9,V$115)+COUNTIF('4月'!BG9:BH9,V$115)+COUNTIF('4月'!BL9:BM9,V$115)+COUNTIF('4月'!BQ9:BR9,V$115)+COUNTIF('4月'!BV9:BW9,V$115)+COUNTIF('4月'!CA9:CB9,V$115)+COUNTIF('4月'!CF9:CG9,V$115)+COUNTIF('4月'!CK9:CL9,V$115)+COUNTIF('4月'!CP9:CQ9,V$115)+COUNTIF('4月'!CU9:CV9,V$115)+COUNTIF('4月'!CZ9:DA9,V$115)+COUNTIF('4月'!DE9:DF9,V$115)+COUNTIF('4月'!DJ9:DK9,V$115)+COUNTIF('4月'!DO9:DP9,V$115)+COUNTIF('4月'!DT9:DU9,V$115)+COUNTIF('4月'!DY9:DZ9,V$115)+COUNTIF('4月'!ED9:EE9,V$115)+COUNTIF('4月'!EI9:EJ9,V$115)+COUNTIF('4月'!EN9:EO9,V$115)+COUNTIF('4月'!ES9:ET9,V$115)</f>
        <v>0</v>
      </c>
      <c r="W122" s="76">
        <f t="shared" si="46"/>
        <v>0</v>
      </c>
      <c r="X122" s="76">
        <f>COUNTIF('4月'!D9:E9,X$115)+COUNTIF('4月'!I9:J9,X$115)+COUNTIF('4月'!N9:O9,X$115)+COUNTIF('4月'!S9:T9,X$115)+COUNTIF('4月'!X9:Y9,X$115)+COUNTIF('4月'!AC9:AD9,X$115)+COUNTIF('4月'!AH9:AI9,X$115)+COUNTIF('4月'!AM9:AN9,X$115)+COUNTIF('4月'!AR9:AS9,X$115)+COUNTIF('4月'!AW9:AX9,X$115)+COUNTIF('4月'!BB9:BC9,X$115)+COUNTIF('4月'!BG9:BH9,X$115)+COUNTIF('4月'!BL9:BM9,X$115)+COUNTIF('4月'!BQ9:BR9,X$115)+COUNTIF('4月'!BV9:BW9,X$115)+COUNTIF('4月'!CA9:CB9,X$115)+COUNTIF('4月'!CF9:CG9,X$115)+COUNTIF('4月'!CK9:CL9,X$115)+COUNTIF('4月'!CP9:CQ9,X$115)+COUNTIF('4月'!CU9:CV9,X$115)+COUNTIF('4月'!CZ9:DA9,X$115)+COUNTIF('4月'!DE9:DF9,X$115)+COUNTIF('4月'!DJ9:DK9,X$115)+COUNTIF('4月'!DO9:DP9,X$115)+COUNTIF('4月'!DT9:DU9,X$115)+COUNTIF('4月'!DY9:DZ9,X$115)+COUNTIF('4月'!ED9:EE9,X$115)+COUNTIF('4月'!EI9:EJ9,X$115)+COUNTIF('4月'!EN9:EO9,X$115)+COUNTIF('4月'!ES9:ET9,X$115)</f>
        <v>0</v>
      </c>
      <c r="Y122" s="76">
        <f t="shared" si="47"/>
        <v>0</v>
      </c>
    </row>
    <row r="123" spans="1:25" ht="18" customHeight="1">
      <c r="A123" s="76">
        <v>7</v>
      </c>
      <c r="B123" s="76">
        <f>COUNTIF('4月'!D10:E10,B$115)+COUNTIF('4月'!I10:J10,B$115)+COUNTIF('4月'!N10:O10,B$115)+COUNTIF('4月'!S10:T10,B$115)+COUNTIF('4月'!X10:Y10,B$115)+COUNTIF('4月'!AC10:AD10,B$115)+COUNTIF('4月'!AH10:AI10,B$115)+COUNTIF('4月'!AM10:AN10,B$115)+COUNTIF('4月'!AR10:AS10,B$115)+COUNTIF('4月'!AW10:AX10,B$115)+COUNTIF('4月'!BB10:BC10,B$115)+COUNTIF('4月'!BG10:BH10,B$115)+COUNTIF('4月'!BL10:BM10,B$115)+COUNTIF('4月'!BQ10:BR10,B$115)+COUNTIF('4月'!BV10:BW10,B$115)+COUNTIF('4月'!CA10:CB10,B$115)+COUNTIF('4月'!CF10:CG10,B$115)+COUNTIF('4月'!CK10:CL10,B$115)+COUNTIF('4月'!CP10:CQ10,B$115)+COUNTIF('4月'!CU10:CV10,B$115)+COUNTIF('4月'!CZ10:DA10,B$115)+COUNTIF('4月'!DE10:DF10,B$115)+COUNTIF('4月'!DJ10:DK10,B$115)+COUNTIF('4月'!DO10:DP10,B$115)+COUNTIF('4月'!DT10:DU10,B$115)+COUNTIF('4月'!DY10:DZ10,B$115)+COUNTIF('4月'!ED10:EE10,B$115)+COUNTIF('4月'!EI10:EJ10,B$115)+COUNTIF('4月'!EN10:EO10,B$115)+COUNTIF('4月'!ES10:ET10,B$115)</f>
        <v>0</v>
      </c>
      <c r="C123" s="76">
        <f t="shared" si="36"/>
        <v>0</v>
      </c>
      <c r="D123" s="76">
        <f>COUNTIF('4月'!D10:E10,D$115)+COUNTIF('4月'!I10:J10,D$115)+COUNTIF('4月'!N10:O10,D$115)+COUNTIF('4月'!S10:T10,D$115)+COUNTIF('4月'!X10:Y10,D$115)+COUNTIF('4月'!AC10:AD10,D$115)+COUNTIF('4月'!AH10:AI10,D$115)+COUNTIF('4月'!AM10:AN10,D$115)+COUNTIF('4月'!AR10:AS10,D$115)+COUNTIF('4月'!AW10:AX10,D$115)+COUNTIF('4月'!BB10:BC10,D$115)+COUNTIF('4月'!BG10:BH10,D$115)+COUNTIF('4月'!BL10:BM10,D$115)+COUNTIF('4月'!BQ10:BR10,D$115)+COUNTIF('4月'!BV10:BW10,D$115)+COUNTIF('4月'!CA10:CB10,D$115)+COUNTIF('4月'!CF10:CG10,D$115)+COUNTIF('4月'!CK10:CL10,D$115)+COUNTIF('4月'!CP10:CQ10,D$115)+COUNTIF('4月'!CU10:CV10,D$115)+COUNTIF('4月'!CZ10:DA10,D$115)+COUNTIF('4月'!DE10:DF10,D$115)+COUNTIF('4月'!DJ10:DK10,D$115)+COUNTIF('4月'!DO10:DP10,D$115)+COUNTIF('4月'!DT10:DU10,D$115)+COUNTIF('4月'!DY10:DZ10,D$115)+COUNTIF('4月'!ED10:EE10,D$115)+COUNTIF('4月'!EI10:EJ10,D$115)+COUNTIF('4月'!EN10:EO10,D$115)+COUNTIF('4月'!ES10:ET10,D$115)</f>
        <v>0</v>
      </c>
      <c r="E123" s="76">
        <f t="shared" si="37"/>
        <v>0</v>
      </c>
      <c r="F123" s="76">
        <f>COUNTIF('4月'!D10:E10,F$115)+COUNTIF('4月'!I10:J10,F$115)+COUNTIF('4月'!N10:O10,F$115)+COUNTIF('4月'!S10:T10,F$115)+COUNTIF('4月'!X10:Y10,F$115)+COUNTIF('4月'!AC10:AD10,F$115)+COUNTIF('4月'!AH10:AI10,F$115)+COUNTIF('4月'!AM10:AN10,F$115)+COUNTIF('4月'!AR10:AS10,F$115)+COUNTIF('4月'!AW10:AX10,F$115)+COUNTIF('4月'!BB10:BC10,F$115)+COUNTIF('4月'!BG10:BH10,F$115)+COUNTIF('4月'!BL10:BM10,F$115)+COUNTIF('4月'!BQ10:BR10,F$115)+COUNTIF('4月'!BV10:BW10,F$115)+COUNTIF('4月'!CA10:CB10,F$115)+COUNTIF('4月'!CF10:CG10,F$115)+COUNTIF('4月'!CK10:CL10,F$115)+COUNTIF('4月'!CP10:CQ10,F$115)+COUNTIF('4月'!CU10:CV10,F$115)+COUNTIF('4月'!CZ10:DA10,F$115)+COUNTIF('4月'!DE10:DF10,F$115)+COUNTIF('4月'!DJ10:DK10,F$115)+COUNTIF('4月'!DO10:DP10,F$115)+COUNTIF('4月'!DT10:DU10,F$115)+COUNTIF('4月'!DY10:DZ10,F$115)+COUNTIF('4月'!ED10:EE10,F$115)+COUNTIF('4月'!EI10:EJ10,F$115)+COUNTIF('4月'!EN10:EO10,F$115)+COUNTIF('4月'!ES10:ET10,F$115)</f>
        <v>0</v>
      </c>
      <c r="G123" s="76">
        <f t="shared" si="38"/>
        <v>0</v>
      </c>
      <c r="H123" s="76">
        <f>COUNTIF('4月'!D10:E10,H$115)+COUNTIF('4月'!I10:J10,H$115)+COUNTIF('4月'!N10:O10,H$115)+COUNTIF('4月'!S10:T10,H$115)+COUNTIF('4月'!X10:Y10,H$115)+COUNTIF('4月'!AC10:AD10,H$115)+COUNTIF('4月'!AH10:AI10,H$115)+COUNTIF('4月'!AM10:AN10,H$115)+COUNTIF('4月'!AR10:AS10,H$115)+COUNTIF('4月'!AW10:AX10,H$115)+COUNTIF('4月'!BB10:BC10,H$115)+COUNTIF('4月'!BG10:BH10,H$115)+COUNTIF('4月'!BL10:BM10,H$115)+COUNTIF('4月'!BQ10:BR10,H$115)+COUNTIF('4月'!BV10:BW10,H$115)+COUNTIF('4月'!CA10:CB10,H$115)+COUNTIF('4月'!CF10:CG10,H$115)+COUNTIF('4月'!CK10:CL10,H$115)+COUNTIF('4月'!CP10:CQ10,H$115)+COUNTIF('4月'!CU10:CV10,H$115)+COUNTIF('4月'!CZ10:DA10,H$115)+COUNTIF('4月'!DE10:DF10,H$115)+COUNTIF('4月'!DJ10:DK10,H$115)+COUNTIF('4月'!DO10:DP10,H$115)+COUNTIF('4月'!DT10:DU10,H$115)+COUNTIF('4月'!DY10:DZ10,H$115)+COUNTIF('4月'!ED10:EE10,H$115)+COUNTIF('4月'!EI10:EJ10,H$115)+COUNTIF('4月'!EN10:EO10,H$115)+COUNTIF('4月'!ES10:ET10,H$115)+COUNTIF('4月'!D10:E10,"渋谷-夜勤")+COUNTIF('4月'!I10:J10,"渋谷-夜勤")+COUNTIF('4月'!N10:O10,"渋谷-夜勤")+COUNTIF('4月'!S10:T10,"渋谷-夜勤")+COUNTIF('4月'!X10:Y10,"渋谷-夜勤")+COUNTIF('4月'!AC10:AD10,"渋谷-夜勤")+COUNTIF('4月'!AH10:AI10,"渋谷-夜勤")+COUNTIF('4月'!AM10:AN10,"渋谷-夜勤")+COUNTIF('4月'!AR10:AS10,"渋谷-夜勤")+COUNTIF('4月'!AW10:AX10,"渋谷-夜勤")+COUNTIF('4月'!BB10:BC10,"渋谷-夜勤")+COUNTIF('4月'!BG10:BH10,"渋谷-夜勤")+COUNTIF('4月'!BL10:BM10,"渋谷-夜勤")+COUNTIF('4月'!BQ10:BR10,"渋谷-夜勤")+COUNTIF('4月'!BV10:BW10,"渋谷-夜勤")+COUNTIF('4月'!CA10:CB10,"渋谷-夜勤")+COUNTIF('4月'!CF10:CG10,"渋谷-夜勤")+COUNTIF('4月'!CK10:CL10,"渋谷-夜勤")+COUNTIF('4月'!CP10:CQ10,"渋谷-夜勤")+COUNTIF('4月'!CU10:CV10,"渋谷-夜勤")+COUNTIF('4月'!CZ10:DA10,"渋谷-夜勤")+COUNTIF('4月'!DE10:DF10,"渋谷-夜勤")+COUNTIF('4月'!DJ10:DK10,"渋谷-夜勤")+COUNTIF('4月'!DO10:DP10,"渋谷-夜勤")+COUNTIF('4月'!DT10:DU10,"渋谷-夜勤")+COUNTIF('4月'!DY10:DZ10,"渋谷-夜勤")+COUNTIF('4月'!ED10:EE10,"渋谷-夜勤")+COUNTIF('4月'!EI10:EJ10,"渋谷-夜勤")+COUNTIF('4月'!EN10:EO10,"渋谷-夜勤")+COUNTIF('4月'!ES10:ET10,"渋谷-夜勤")</f>
        <v>0</v>
      </c>
      <c r="I123" s="76">
        <f t="shared" si="39"/>
        <v>0</v>
      </c>
      <c r="J123" s="76">
        <f>COUNTIF('4月'!D10:E10,J$115)+COUNTIF('4月'!I10:J10,J$115)+COUNTIF('4月'!N10:O10,J$115)+COUNTIF('4月'!S10:T10,J$115)+COUNTIF('4月'!X10:Y10,J$115)+COUNTIF('4月'!AC10:AD10,J$115)+COUNTIF('4月'!AH10:AI10,J$115)+COUNTIF('4月'!AM10:AN10,J$115)+COUNTIF('4月'!AR10:AS10,J$115)+COUNTIF('4月'!AW10:AX10,J$115)+COUNTIF('4月'!BB10:BC10,J$115)+COUNTIF('4月'!BG10:BH10,J$115)+COUNTIF('4月'!BL10:BM10,J$115)+COUNTIF('4月'!BQ10:BR10,J$115)+COUNTIF('4月'!BV10:BW10,J$115)+COUNTIF('4月'!CA10:CB10,J$115)+COUNTIF('4月'!CF10:CG10,J$115)+COUNTIF('4月'!CK10:CL10,J$115)+COUNTIF('4月'!CP10:CQ10,J$115)+COUNTIF('4月'!CU10:CV10,J$115)+COUNTIF('4月'!CZ10:DA10,J$115)+COUNTIF('4月'!DE10:DF10,J$115)+COUNTIF('4月'!DJ10:DK10,J$115)+COUNTIF('4月'!DO10:DP10,J$115)+COUNTIF('4月'!DT10:DU10,J$115)+COUNTIF('4月'!DY10:DZ10,J$115)+COUNTIF('4月'!ED10:EE10,J$115)+COUNTIF('4月'!EI10:EJ10,J$115)+COUNTIF('4月'!EN10:EO10,J$115)+COUNTIF('4月'!ES10:ET10,J$115)+COUNTIF('4月'!D10:E10,"六本木-夜勤")+COUNTIF('4月'!I10:J10,"六本木-夜勤")+COUNTIF('4月'!N10:O10,"六本木-夜勤")+COUNTIF('4月'!S10:T10,"六本木-夜勤")+COUNTIF('4月'!X10:Y10,"六本木-夜勤")+COUNTIF('4月'!AC10:AD10,"六本木-夜勤")+COUNTIF('4月'!AH10:AI10,"六本木-夜勤")+COUNTIF('4月'!AM10:AN10,"六本木-夜勤")+COUNTIF('4月'!AR10:AS10,"六本木-夜勤")+COUNTIF('4月'!AW10:AX10,"六本木-夜勤")+COUNTIF('4月'!BB10:BC10,"六本木-夜勤")+COUNTIF('4月'!BG10:BH10,"六本木-夜勤")+COUNTIF('4月'!BL10:BM10,"六本木-夜勤")+COUNTIF('4月'!BQ10:BR10,"六本木-夜勤")+COUNTIF('4月'!BV10:BW10,"六本木-夜勤")+COUNTIF('4月'!CA10:CB10,"六本木-夜勤")+COUNTIF('4月'!CF10:CG10,"六本木-夜勤")+COUNTIF('4月'!CK10:CL10,"六本木-夜勤")+COUNTIF('4月'!CP10:CQ10,"六本木-夜勤")+COUNTIF('4月'!CU10:CV10,"六本木-夜勤")+COUNTIF('4月'!CZ10:DA10,"六本木-夜勤")+COUNTIF('4月'!DE10:DF10,"六本木-夜勤")+COUNTIF('4月'!DJ10:DK10,"六本木-夜勤")+COUNTIF('4月'!DO10:DP10,"六本木-夜勤")+COUNTIF('4月'!DT10:DU10,"六本木-夜勤")+COUNTIF('4月'!DY10:DZ10,"六本木-夜勤")+COUNTIF('4月'!ED10:EE10,"六本木-夜勤")+COUNTIF('4月'!EI10:EJ10,"六本木-夜勤")+COUNTIF('4月'!EN10:EO10,"六本木-夜勤")+COUNTIF('4月'!ES10:ET10,"六本木-夜勤")+COUNTIF('4月'!D10:E10,"六本木ー夜勤")+COUNTIF('4月'!I10:J10,"六本木ー夜勤")+COUNTIF('4月'!N10:O10,"六本木ー夜勤")+COUNTIF('4月'!S10:T10,"六本木ー夜勤")+COUNTIF('4月'!X10:Y10,"六本木ー夜勤")+COUNTIF('4月'!AC10:AD10,"六本木ー夜勤")+COUNTIF('4月'!AH10:AI10,"六本木ー夜勤")+COUNTIF('4月'!AM10:AN10,"六本木ー夜勤")+COUNTIF('4月'!AR10:AS10,"六本木ー夜勤")+COUNTIF('4月'!AW10:AX10,"六本木ー夜勤")+COUNTIF('4月'!BB10:BC10,"六本木ー夜勤")+COUNTIF('4月'!BG10:BH10,"六本木ー夜勤")+COUNTIF('4月'!BL10:BM10,"六本木ー夜勤")+COUNTIF('4月'!BQ10:BR10,"六本木ー夜勤")+COUNTIF('4月'!BV10:BW10,"六本木ー夜勤")+COUNTIF('4月'!CA10:CB10,"六本木ー夜勤")+COUNTIF('4月'!CF10:CG10,"六本木ー夜勤")+COUNTIF('4月'!CK10:CL10,"六本木ー夜勤")+COUNTIF('4月'!CP10:CQ10,"六本木ー夜勤")+COUNTIF('4月'!CU10:CV10,"六本木ー夜勤")+COUNTIF('4月'!CZ10:DA10,"六本木ー夜勤")+COUNTIF('4月'!DE10:DF10,"六本木ー夜勤")+COUNTIF('4月'!DJ10:DK10,"六本木ー夜勤")+COUNTIF('4月'!DO10:DP10,"六本木ー夜勤")+COUNTIF('4月'!DT10:DU10,"六本木ー夜勤")+COUNTIF('4月'!DY10:DZ10,"六本木ー夜勤")+COUNTIF('4月'!ED10:EE10,"六本木ー夜勤")+COUNTIF('4月'!EI10:EJ10,"六本木ー夜勤")+COUNTIF('4月'!EN10:EO10,"六本木ー夜勤")+COUNTIF('4月'!ES10:ET10,"六本木ー夜勤")</f>
        <v>0</v>
      </c>
      <c r="K123" s="76">
        <f t="shared" si="40"/>
        <v>0</v>
      </c>
      <c r="L123" s="76">
        <f>COUNTIF('4月'!D10:E10,L$115)+COUNTIF('4月'!I10:J10,L$115)+COUNTIF('4月'!N10:O10,L$115)+COUNTIF('4月'!S10:T10,L$115)+COUNTIF('4月'!X10:Y10,L$115)+COUNTIF('4月'!AC10:AD10,L$115)+COUNTIF('4月'!AH10:AI10,L$115)+COUNTIF('4月'!AM10:AN10,L$115)+COUNTIF('4月'!AR10:AS10,L$115)+COUNTIF('4月'!AW10:AX10,L$115)+COUNTIF('4月'!BB10:BC10,L$115)+COUNTIF('4月'!BG10:BH10,L$115)+COUNTIF('4月'!BL10:BM10,L$115)+COUNTIF('4月'!BQ10:BR10,L$115)+COUNTIF('4月'!BV10:BW10,L$115)+COUNTIF('4月'!CA10:CB10,L$115)+COUNTIF('4月'!CF10:CG10,L$115)+COUNTIF('4月'!CK10:CL10,L$115)+COUNTIF('4月'!CP10:CQ10,L$115)+COUNTIF('4月'!CU10:CV10,L$115)+COUNTIF('4月'!CZ10:DA10,L$115)+COUNTIF('4月'!DE10:DF10,L$115)+COUNTIF('4月'!DJ10:DK10,L$115)+COUNTIF('4月'!DO10:DP10,L$115)+COUNTIF('4月'!DT10:DU10,L$115)+COUNTIF('4月'!DY10:DZ10,L$115)+COUNTIF('4月'!ED10:EE10,L$115)+COUNTIF('4月'!EI10:EJ10,L$115)+COUNTIF('4月'!EN10:EO10,L$115)+COUNTIF('4月'!ES10:ET10,L$115)</f>
        <v>0</v>
      </c>
      <c r="M123" s="76">
        <f t="shared" si="41"/>
        <v>0</v>
      </c>
      <c r="N123" s="76">
        <f>COUNTIF('4月'!D10:E10,N$115)+COUNTIF('4月'!I10:J10,N$115)+COUNTIF('4月'!N10:O10,N$115)+COUNTIF('4月'!S10:T10,N$115)+COUNTIF('4月'!X10:Y10,N$115)+COUNTIF('4月'!AC10:AD10,N$115)+COUNTIF('4月'!AH10:AI10,N$115)+COUNTIF('4月'!AM10:AN10,N$115)+COUNTIF('4月'!AR10:AS10,N$115)+COUNTIF('4月'!AW10:AX10,N$115)+COUNTIF('4月'!BB10:BC10,N$115)+COUNTIF('4月'!BG10:BH10,N$115)+COUNTIF('4月'!BL10:BM10,N$115)+COUNTIF('4月'!BQ10:BR10,N$115)+COUNTIF('4月'!BV10:BW10,N$115)+COUNTIF('4月'!CA10:CB10,N$115)+COUNTIF('4月'!CF10:CG10,N$115)+COUNTIF('4月'!CK10:CL10,N$115)+COUNTIF('4月'!CP10:CQ10,N$115)+COUNTIF('4月'!CU10:CV10,N$115)+COUNTIF('4月'!CZ10:DA10,N$115)+COUNTIF('4月'!DE10:DF10,N$115)+COUNTIF('4月'!DJ10:DK10,N$115)+COUNTIF('4月'!DO10:DP10,N$115)+COUNTIF('4月'!DT10:DU10,N$115)+COUNTIF('4月'!DY10:DZ10,N$115)+COUNTIF('4月'!ED10:EE10,N$115)+COUNTIF('4月'!EI10:EJ10,N$115)+COUNTIF('4月'!EN10:EO10,N$115)+COUNTIF('4月'!ES10:ET10,N$115)+COUNTIF('4月'!D10:E10,"三軒茶屋－夜勤")+COUNTIF('4月'!I10:J10,"三軒茶屋－夜勤")+COUNTIF('4月'!N10:O10,"三軒茶屋－夜勤")+COUNTIF('4月'!S10:T10,"三軒茶屋－夜勤")+COUNTIF('4月'!X10:Y10,"三軒茶屋－夜勤")+COUNTIF('4月'!AC10:AD10,"三軒茶屋－夜勤")+COUNTIF('4月'!AH10:AI10,"三軒茶屋－夜勤")+COUNTIF('4月'!AM10:AN10,"三軒茶屋－夜勤")+COUNTIF('4月'!AR10:AS10,"三軒茶屋－夜勤")+COUNTIF('4月'!AW10:AX10,"三軒茶屋－夜勤")+COUNTIF('4月'!BB10:BC10,"三軒茶屋－夜勤")+COUNTIF('4月'!BG10:BH10,"三軒茶屋－夜勤")+COUNTIF('4月'!BL10:BM10,"三軒茶屋－夜勤")+COUNTIF('4月'!BQ10:BR10,"三軒茶屋－夜勤")+COUNTIF('4月'!BV10:BW10,"三軒茶屋－夜勤")+COUNTIF('4月'!CA10:CB10,"三軒茶屋－夜勤")+COUNTIF('4月'!CF10:CG10,"三軒茶屋－夜勤")+COUNTIF('4月'!CK10:CL10,"三軒茶屋－夜勤")+COUNTIF('4月'!CP10:CQ10,"三軒茶屋－夜勤")+COUNTIF('4月'!CU10:CV10,"三軒茶屋－夜勤")+COUNTIF('4月'!CZ10:DA10,"三軒茶屋－夜勤")+COUNTIF('4月'!DE10:DF10,"三軒茶屋－夜勤")+COUNTIF('4月'!DJ10:DK10,"三軒茶屋－夜勤")+COUNTIF('4月'!DO10:DP10,"三軒茶屋－夜勤")+COUNTIF('4月'!DT10:DU10,"三軒茶屋－夜勤")+COUNTIF('4月'!DY10:DZ10,"三軒茶屋－夜勤")+COUNTIF('4月'!ED10:EE10,"三軒茶屋－夜勤")+COUNTIF('4月'!EI10:EJ10,"三軒茶屋－夜勤")+COUNTIF('4月'!EN10:EO10,"三軒茶屋－夜勤")+COUNTIF('4月'!ES10:ET10,"三軒茶屋－夜勤")</f>
        <v>0</v>
      </c>
      <c r="O123" s="76">
        <f t="shared" si="42"/>
        <v>0</v>
      </c>
      <c r="P123" s="76">
        <f>COUNTIF('4月'!D10:E10,P$115)+COUNTIF('4月'!I10:J10,P$115)+COUNTIF('4月'!N10:O10,P$115)+COUNTIF('4月'!S10:T10,P$115)+COUNTIF('4月'!X10:Y10,P$115)+COUNTIF('4月'!AC10:AD10,P$115)+COUNTIF('4月'!AH10:AI10,P$115)+COUNTIF('4月'!AM10:AN10,P$115)+COUNTIF('4月'!AR10:AS10,P$115)+COUNTIF('4月'!AW10:AX10,P$115)+COUNTIF('4月'!BB10:BC10,P$115)+COUNTIF('4月'!BG10:BH10,P$115)+COUNTIF('4月'!BL10:BM10,P$115)+COUNTIF('4月'!BQ10:BR10,P$115)+COUNTIF('4月'!BV10:BW10,P$115)+COUNTIF('4月'!CA10:CB10,P$115)+COUNTIF('4月'!CF10:CG10,P$115)+COUNTIF('4月'!CK10:CL10,P$115)+COUNTIF('4月'!CP10:CQ10,P$115)+COUNTIF('4月'!CU10:CV10,P$115)+COUNTIF('4月'!CZ10:DA10,P$115)+COUNTIF('4月'!DE10:DF10,P$115)+COUNTIF('4月'!DJ10:DK10,P$115)+COUNTIF('4月'!DO10:DP10,P$115)+COUNTIF('4月'!DT10:DU10,P$115)+COUNTIF('4月'!DY10:DZ10,P$115)+COUNTIF('4月'!ED10:EE10,P$115)+COUNTIF('4月'!EI10:EJ10,P$115)+COUNTIF('4月'!EN10:EO10,P$115)+COUNTIF('4月'!ES10:ET10,P$115)+COUNTIF('4月'!D10:E10,"荻窪ー夜勤")+COUNTIF('4月'!I10:J10,"荻窪ー夜勤")+COUNTIF('4月'!N10:O10,"荻窪ー夜勤")+COUNTIF('4月'!S10:T10,"荻窪ー夜勤")+COUNTIF('4月'!X10:Y10,"荻窪ー夜勤")+COUNTIF('4月'!AC10:AD10,"荻窪ー夜勤")+COUNTIF('4月'!AH10:AI10,"荻窪ー夜勤")+COUNTIF('4月'!AM10:AN10,"荻窪ー夜勤")+COUNTIF('4月'!AR10:AS10,"荻窪ー夜勤")+COUNTIF('4月'!AW10:AX10,"荻窪ー夜勤")+COUNTIF('4月'!BB10:BC10,"荻窪ー夜勤")+COUNTIF('4月'!BG10:BH10,"荻窪ー夜勤")+COUNTIF('4月'!BL10:BM10,"荻窪ー夜勤")+COUNTIF('4月'!BQ10:BR10,"荻窪ー夜勤")+COUNTIF('4月'!BV10:BW10,"荻窪ー夜勤")+COUNTIF('4月'!CA10:CB10,"荻窪ー夜勤")+COUNTIF('4月'!CF10:CG10,"荻窪ー夜勤")+COUNTIF('4月'!CK10:CL10,"荻窪ー夜勤")+COUNTIF('4月'!CP10:CQ10,"荻窪ー夜勤")+COUNTIF('4月'!CU10:CV10,"荻窪ー夜勤")+COUNTIF('4月'!CZ10:DA10,"荻窪ー夜勤")+COUNTIF('4月'!DE10:DF10,"荻窪ー夜勤")+COUNTIF('4月'!DJ10:DK10,"荻窪ー夜勤")+COUNTIF('4月'!DO10:DP10,"荻窪ー夜勤")+COUNTIF('4月'!DT10:DU10,"荻窪ー夜勤")+COUNTIF('4月'!DY10:DZ10,"荻窪ー夜勤")+COUNTIF('4月'!ED10:EE10,"荻窪ー夜勤")+COUNTIF('4月'!EI10:EJ10,"荻窪ー夜勤")+COUNTIF('4月'!EN10:EO10,"荻窪ー夜勤")+COUNTIF('4月'!ES10:ET10,"荻窪ー夜勤")</f>
        <v>0</v>
      </c>
      <c r="Q123" s="76">
        <f t="shared" si="43"/>
        <v>0</v>
      </c>
      <c r="R123" s="76">
        <f>COUNTIF('4月'!D10:E10,R$115)+COUNTIF('4月'!I10:J10,R$115)+COUNTIF('4月'!N10:O10,R$115)+COUNTIF('4月'!S10:T10,R$115)+COUNTIF('4月'!X10:Y10,R$115)+COUNTIF('4月'!AC10:AD10,R$115)+COUNTIF('4月'!AH10:AI10,R$115)+COUNTIF('4月'!AM10:AN10,R$115)+COUNTIF('4月'!AR10:AS10,R$115)+COUNTIF('4月'!AW10:AX10,R$115)+COUNTIF('4月'!BB10:BC10,R$115)+COUNTIF('4月'!BG10:BH10,R$115)+COUNTIF('4月'!BL10:BM10,R$115)+COUNTIF('4月'!BQ10:BR10,R$115)+COUNTIF('4月'!BV10:BW10,R$115)+COUNTIF('4月'!CA10:CB10,R$115)+COUNTIF('4月'!CF10:CG10,R$115)+COUNTIF('4月'!CK10:CL10,R$115)+COUNTIF('4月'!CP10:CQ10,R$115)+COUNTIF('4月'!CU10:CV10,R$115)+COUNTIF('4月'!CZ10:DA10,R$115)+COUNTIF('4月'!DE10:DF10,R$115)+COUNTIF('4月'!DJ10:DK10,R$115)+COUNTIF('4月'!DO10:DP10,R$115)+COUNTIF('4月'!DT10:DU10,R$115)+COUNTIF('4月'!DY10:DZ10,R$115)+COUNTIF('4月'!ED10:EE10,R$115)+COUNTIF('4月'!EI10:EJ10,R$115)+COUNTIF('4月'!EN10:EO10,R$115)+COUNTIF('4月'!ES10:ET10,R$115)</f>
        <v>0</v>
      </c>
      <c r="S123" s="76">
        <f t="shared" si="44"/>
        <v>0</v>
      </c>
      <c r="T123" s="76">
        <f>COUNTIF('4月'!D10:E10,T$115)+COUNTIF('4月'!I10:J10,T$115)+COUNTIF('4月'!N10:O10,T$115)+COUNTIF('4月'!S10:T10,T$115)+COUNTIF('4月'!X10:Y10,T$115)+COUNTIF('4月'!AC10:AD10,T$115)+COUNTIF('4月'!AH10:AI10,T$115)+COUNTIF('4月'!AM10:AN10,T$115)+COUNTIF('4月'!AR10:AS10,T$115)+COUNTIF('4月'!AW10:AX10,T$115)+COUNTIF('4月'!BB10:BC10,T$115)+COUNTIF('4月'!BG10:BH10,T$115)+COUNTIF('4月'!BL10:BM10,T$115)+COUNTIF('4月'!BQ10:BR10,T$115)+COUNTIF('4月'!BV10:BW10,T$115)+COUNTIF('4月'!CA10:CB10,T$115)+COUNTIF('4月'!CF10:CG10,T$115)+COUNTIF('4月'!CK10:CL10,T$115)+COUNTIF('4月'!CP10:CQ10,T$115)+COUNTIF('4月'!CU10:CV10,T$115)+COUNTIF('4月'!CZ10:DA10,T$115)+COUNTIF('4月'!DE10:DF10,T$115)+COUNTIF('4月'!DJ10:DK10,T$115)+COUNTIF('4月'!DO10:DP10,T$115)+COUNTIF('4月'!DT10:DU10,T$115)+COUNTIF('4月'!DY10:DZ10,T$115)+COUNTIF('4月'!ED10:EE10,T$115)+COUNTIF('4月'!EI10:EJ10,T$115)+COUNTIF('4月'!EN10:EO10,T$115)+COUNTIF('4月'!ES10:ET10,T$115)</f>
        <v>0</v>
      </c>
      <c r="U123" s="76">
        <f t="shared" si="45"/>
        <v>0</v>
      </c>
      <c r="V123" s="76">
        <f>COUNTIF('4月'!D10:E10,V$115)+COUNTIF('4月'!I10:J10,V$115)+COUNTIF('4月'!N10:O10,V$115)+COUNTIF('4月'!S10:T10,V$115)+COUNTIF('4月'!X10:Y10,V$115)+COUNTIF('4月'!AC10:AD10,V$115)+COUNTIF('4月'!AH10:AI10,V$115)+COUNTIF('4月'!AM10:AN10,V$115)+COUNTIF('4月'!AR10:AS10,V$115)+COUNTIF('4月'!AW10:AX10,V$115)+COUNTIF('4月'!BB10:BC10,V$115)+COUNTIF('4月'!BG10:BH10,V$115)+COUNTIF('4月'!BL10:BM10,V$115)+COUNTIF('4月'!BQ10:BR10,V$115)+COUNTIF('4月'!BV10:BW10,V$115)+COUNTIF('4月'!CA10:CB10,V$115)+COUNTIF('4月'!CF10:CG10,V$115)+COUNTIF('4月'!CK10:CL10,V$115)+COUNTIF('4月'!CP10:CQ10,V$115)+COUNTIF('4月'!CU10:CV10,V$115)+COUNTIF('4月'!CZ10:DA10,V$115)+COUNTIF('4月'!DE10:DF10,V$115)+COUNTIF('4月'!DJ10:DK10,V$115)+COUNTIF('4月'!DO10:DP10,V$115)+COUNTIF('4月'!DT10:DU10,V$115)+COUNTIF('4月'!DY10:DZ10,V$115)+COUNTIF('4月'!ED10:EE10,V$115)+COUNTIF('4月'!EI10:EJ10,V$115)+COUNTIF('4月'!EN10:EO10,V$115)+COUNTIF('4月'!ES10:ET10,V$115)</f>
        <v>0</v>
      </c>
      <c r="W123" s="76">
        <f t="shared" si="46"/>
        <v>0</v>
      </c>
      <c r="X123" s="76">
        <f>COUNTIF('4月'!D10:E10,X$115)+COUNTIF('4月'!I10:J10,X$115)+COUNTIF('4月'!N10:O10,X$115)+COUNTIF('4月'!S10:T10,X$115)+COUNTIF('4月'!X10:Y10,X$115)+COUNTIF('4月'!AC10:AD10,X$115)+COUNTIF('4月'!AH10:AI10,X$115)+COUNTIF('4月'!AM10:AN10,X$115)+COUNTIF('4月'!AR10:AS10,X$115)+COUNTIF('4月'!AW10:AX10,X$115)+COUNTIF('4月'!BB10:BC10,X$115)+COUNTIF('4月'!BG10:BH10,X$115)+COUNTIF('4月'!BL10:BM10,X$115)+COUNTIF('4月'!BQ10:BR10,X$115)+COUNTIF('4月'!BV10:BW10,X$115)+COUNTIF('4月'!CA10:CB10,X$115)+COUNTIF('4月'!CF10:CG10,X$115)+COUNTIF('4月'!CK10:CL10,X$115)+COUNTIF('4月'!CP10:CQ10,X$115)+COUNTIF('4月'!CU10:CV10,X$115)+COUNTIF('4月'!CZ10:DA10,X$115)+COUNTIF('4月'!DE10:DF10,X$115)+COUNTIF('4月'!DJ10:DK10,X$115)+COUNTIF('4月'!DO10:DP10,X$115)+COUNTIF('4月'!DT10:DU10,X$115)+COUNTIF('4月'!DY10:DZ10,X$115)+COUNTIF('4月'!ED10:EE10,X$115)+COUNTIF('4月'!EI10:EJ10,X$115)+COUNTIF('4月'!EN10:EO10,X$115)+COUNTIF('4月'!ES10:ET10,X$115)</f>
        <v>0</v>
      </c>
      <c r="Y123" s="76">
        <f t="shared" si="47"/>
        <v>0</v>
      </c>
    </row>
    <row r="124" spans="1:25" ht="18" customHeight="1">
      <c r="A124" s="76">
        <v>8</v>
      </c>
      <c r="B124" s="76">
        <f>COUNTIF('4月'!D11:E11,B$115)+COUNTIF('4月'!I11:J11,B$115)+COUNTIF('4月'!N11:O11,B$115)+COUNTIF('4月'!S11:T11,B$115)+COUNTIF('4月'!X11:Y11,B$115)+COUNTIF('4月'!AC11:AD11,B$115)+COUNTIF('4月'!AH11:AI11,B$115)+COUNTIF('4月'!AM11:AN11,B$115)+COUNTIF('4月'!AR11:AS11,B$115)+COUNTIF('4月'!AW11:AX11,B$115)+COUNTIF('4月'!BB11:BC11,B$115)+COUNTIF('4月'!BG11:BH11,B$115)+COUNTIF('4月'!BL11:BM11,B$115)+COUNTIF('4月'!BQ11:BR11,B$115)+COUNTIF('4月'!BV11:BW11,B$115)+COUNTIF('4月'!CA11:CB11,B$115)+COUNTIF('4月'!CF11:CG11,B$115)+COUNTIF('4月'!CK11:CL11,B$115)+COUNTIF('4月'!CP11:CQ11,B$115)+COUNTIF('4月'!CU11:CV11,B$115)+COUNTIF('4月'!CZ11:DA11,B$115)+COUNTIF('4月'!DE11:DF11,B$115)+COUNTIF('4月'!DJ11:DK11,B$115)+COUNTIF('4月'!DO11:DP11,B$115)+COUNTIF('4月'!DT11:DU11,B$115)+COUNTIF('4月'!DY11:DZ11,B$115)+COUNTIF('4月'!ED11:EE11,B$115)+COUNTIF('4月'!EI11:EJ11,B$115)+COUNTIF('4月'!EN11:EO11,B$115)+COUNTIF('4月'!ES11:ET11,B$115)</f>
        <v>0</v>
      </c>
      <c r="C124" s="76">
        <f t="shared" si="36"/>
        <v>0</v>
      </c>
      <c r="D124" s="76">
        <f>COUNTIF('4月'!D11:E11,D$115)+COUNTIF('4月'!I11:J11,D$115)+COUNTIF('4月'!N11:O11,D$115)+COUNTIF('4月'!S11:T11,D$115)+COUNTIF('4月'!X11:Y11,D$115)+COUNTIF('4月'!AC11:AD11,D$115)+COUNTIF('4月'!AH11:AI11,D$115)+COUNTIF('4月'!AM11:AN11,D$115)+COUNTIF('4月'!AR11:AS11,D$115)+COUNTIF('4月'!AW11:AX11,D$115)+COUNTIF('4月'!BB11:BC11,D$115)+COUNTIF('4月'!BG11:BH11,D$115)+COUNTIF('4月'!BL11:BM11,D$115)+COUNTIF('4月'!BQ11:BR11,D$115)+COUNTIF('4月'!BV11:BW11,D$115)+COUNTIF('4月'!CA11:CB11,D$115)+COUNTIF('4月'!CF11:CG11,D$115)+COUNTIF('4月'!CK11:CL11,D$115)+COUNTIF('4月'!CP11:CQ11,D$115)+COUNTIF('4月'!CU11:CV11,D$115)+COUNTIF('4月'!CZ11:DA11,D$115)+COUNTIF('4月'!DE11:DF11,D$115)+COUNTIF('4月'!DJ11:DK11,D$115)+COUNTIF('4月'!DO11:DP11,D$115)+COUNTIF('4月'!DT11:DU11,D$115)+COUNTIF('4月'!DY11:DZ11,D$115)+COUNTIF('4月'!ED11:EE11,D$115)+COUNTIF('4月'!EI11:EJ11,D$115)+COUNTIF('4月'!EN11:EO11,D$115)+COUNTIF('4月'!ES11:ET11,D$115)</f>
        <v>0</v>
      </c>
      <c r="E124" s="76">
        <f t="shared" si="37"/>
        <v>0</v>
      </c>
      <c r="F124" s="76">
        <f>COUNTIF('4月'!D11:E11,F$115)+COUNTIF('4月'!I11:J11,F$115)+COUNTIF('4月'!N11:O11,F$115)+COUNTIF('4月'!S11:T11,F$115)+COUNTIF('4月'!X11:Y11,F$115)+COUNTIF('4月'!AC11:AD11,F$115)+COUNTIF('4月'!AH11:AI11,F$115)+COUNTIF('4月'!AM11:AN11,F$115)+COUNTIF('4月'!AR11:AS11,F$115)+COUNTIF('4月'!AW11:AX11,F$115)+COUNTIF('4月'!BB11:BC11,F$115)+COUNTIF('4月'!BG11:BH11,F$115)+COUNTIF('4月'!BL11:BM11,F$115)+COUNTIF('4月'!BQ11:BR11,F$115)+COUNTIF('4月'!BV11:BW11,F$115)+COUNTIF('4月'!CA11:CB11,F$115)+COUNTIF('4月'!CF11:CG11,F$115)+COUNTIF('4月'!CK11:CL11,F$115)+COUNTIF('4月'!CP11:CQ11,F$115)+COUNTIF('4月'!CU11:CV11,F$115)+COUNTIF('4月'!CZ11:DA11,F$115)+COUNTIF('4月'!DE11:DF11,F$115)+COUNTIF('4月'!DJ11:DK11,F$115)+COUNTIF('4月'!DO11:DP11,F$115)+COUNTIF('4月'!DT11:DU11,F$115)+COUNTIF('4月'!DY11:DZ11,F$115)+COUNTIF('4月'!ED11:EE11,F$115)+COUNTIF('4月'!EI11:EJ11,F$115)+COUNTIF('4月'!EN11:EO11,F$115)+COUNTIF('4月'!ES11:ET11,F$115)</f>
        <v>0</v>
      </c>
      <c r="G124" s="76">
        <f t="shared" si="38"/>
        <v>0</v>
      </c>
      <c r="H124" s="76">
        <f>COUNTIF('4月'!D11:E11,H$115)+COUNTIF('4月'!I11:J11,H$115)+COUNTIF('4月'!N11:O11,H$115)+COUNTIF('4月'!S11:T11,H$115)+COUNTIF('4月'!X11:Y11,H$115)+COUNTIF('4月'!AC11:AD11,H$115)+COUNTIF('4月'!AH11:AI11,H$115)+COUNTIF('4月'!AM11:AN11,H$115)+COUNTIF('4月'!AR11:AS11,H$115)+COUNTIF('4月'!AW11:AX11,H$115)+COUNTIF('4月'!BB11:BC11,H$115)+COUNTIF('4月'!BG11:BH11,H$115)+COUNTIF('4月'!BL11:BM11,H$115)+COUNTIF('4月'!BQ11:BR11,H$115)+COUNTIF('4月'!BV11:BW11,H$115)+COUNTIF('4月'!CA11:CB11,H$115)+COUNTIF('4月'!CF11:CG11,H$115)+COUNTIF('4月'!CK11:CL11,H$115)+COUNTIF('4月'!CP11:CQ11,H$115)+COUNTIF('4月'!CU11:CV11,H$115)+COUNTIF('4月'!CZ11:DA11,H$115)+COUNTIF('4月'!DE11:DF11,H$115)+COUNTIF('4月'!DJ11:DK11,H$115)+COUNTIF('4月'!DO11:DP11,H$115)+COUNTIF('4月'!DT11:DU11,H$115)+COUNTIF('4月'!DY11:DZ11,H$115)+COUNTIF('4月'!ED11:EE11,H$115)+COUNTIF('4月'!EI11:EJ11,H$115)+COUNTIF('4月'!EN11:EO11,H$115)+COUNTIF('4月'!ES11:ET11,H$115)+COUNTIF('4月'!D11:E11,"渋谷-夜勤")+COUNTIF('4月'!I11:J11,"渋谷-夜勤")+COUNTIF('4月'!N11:O11,"渋谷-夜勤")+COUNTIF('4月'!S11:T11,"渋谷-夜勤")+COUNTIF('4月'!X11:Y11,"渋谷-夜勤")+COUNTIF('4月'!AC11:AD11,"渋谷-夜勤")+COUNTIF('4月'!AH11:AI11,"渋谷-夜勤")+COUNTIF('4月'!AM11:AN11,"渋谷-夜勤")+COUNTIF('4月'!AR11:AS11,"渋谷-夜勤")+COUNTIF('4月'!AW11:AX11,"渋谷-夜勤")+COUNTIF('4月'!BB11:BC11,"渋谷-夜勤")+COUNTIF('4月'!BG11:BH11,"渋谷-夜勤")+COUNTIF('4月'!BL11:BM11,"渋谷-夜勤")+COUNTIF('4月'!BQ11:BR11,"渋谷-夜勤")+COUNTIF('4月'!BV11:BW11,"渋谷-夜勤")+COUNTIF('4月'!CA11:CB11,"渋谷-夜勤")+COUNTIF('4月'!CF11:CG11,"渋谷-夜勤")+COUNTIF('4月'!CK11:CL11,"渋谷-夜勤")+COUNTIF('4月'!CP11:CQ11,"渋谷-夜勤")+COUNTIF('4月'!CU11:CV11,"渋谷-夜勤")+COUNTIF('4月'!CZ11:DA11,"渋谷-夜勤")+COUNTIF('4月'!DE11:DF11,"渋谷-夜勤")+COUNTIF('4月'!DJ11:DK11,"渋谷-夜勤")+COUNTIF('4月'!DO11:DP11,"渋谷-夜勤")+COUNTIF('4月'!DT11:DU11,"渋谷-夜勤")+COUNTIF('4月'!DY11:DZ11,"渋谷-夜勤")+COUNTIF('4月'!ED11:EE11,"渋谷-夜勤")+COUNTIF('4月'!EI11:EJ11,"渋谷-夜勤")+COUNTIF('4月'!EN11:EO11,"渋谷-夜勤")+COUNTIF('4月'!ES11:ET11,"渋谷-夜勤")</f>
        <v>0</v>
      </c>
      <c r="I124" s="76">
        <f t="shared" si="39"/>
        <v>0</v>
      </c>
      <c r="J124" s="76">
        <f>COUNTIF('4月'!D11:E11,J$115)+COUNTIF('4月'!I11:J11,J$115)+COUNTIF('4月'!N11:O11,J$115)+COUNTIF('4月'!S11:T11,J$115)+COUNTIF('4月'!X11:Y11,J$115)+COUNTIF('4月'!AC11:AD11,J$115)+COUNTIF('4月'!AH11:AI11,J$115)+COUNTIF('4月'!AM11:AN11,J$115)+COUNTIF('4月'!AR11:AS11,J$115)+COUNTIF('4月'!AW11:AX11,J$115)+COUNTIF('4月'!BB11:BC11,J$115)+COUNTIF('4月'!BG11:BH11,J$115)+COUNTIF('4月'!BL11:BM11,J$115)+COUNTIF('4月'!BQ11:BR11,J$115)+COUNTIF('4月'!BV11:BW11,J$115)+COUNTIF('4月'!CA11:CB11,J$115)+COUNTIF('4月'!CF11:CG11,J$115)+COUNTIF('4月'!CK11:CL11,J$115)+COUNTIF('4月'!CP11:CQ11,J$115)+COUNTIF('4月'!CU11:CV11,J$115)+COUNTIF('4月'!CZ11:DA11,J$115)+COUNTIF('4月'!DE11:DF11,J$115)+COUNTIF('4月'!DJ11:DK11,J$115)+COUNTIF('4月'!DO11:DP11,J$115)+COUNTIF('4月'!DT11:DU11,J$115)+COUNTIF('4月'!DY11:DZ11,J$115)+COUNTIF('4月'!ED11:EE11,J$115)+COUNTIF('4月'!EI11:EJ11,J$115)+COUNTIF('4月'!EN11:EO11,J$115)+COUNTIF('4月'!ES11:ET11,J$115)+COUNTIF('4月'!D11:E11,"六本木-夜勤")+COUNTIF('4月'!I11:J11,"六本木-夜勤")+COUNTIF('4月'!N11:O11,"六本木-夜勤")+COUNTIF('4月'!S11:T11,"六本木-夜勤")+COUNTIF('4月'!X11:Y11,"六本木-夜勤")+COUNTIF('4月'!AC11:AD11,"六本木-夜勤")+COUNTIF('4月'!AH11:AI11,"六本木-夜勤")+COUNTIF('4月'!AM11:AN11,"六本木-夜勤")+COUNTIF('4月'!AR11:AS11,"六本木-夜勤")+COUNTIF('4月'!AW11:AX11,"六本木-夜勤")+COUNTIF('4月'!BB11:BC11,"六本木-夜勤")+COUNTIF('4月'!BG11:BH11,"六本木-夜勤")+COUNTIF('4月'!BL11:BM11,"六本木-夜勤")+COUNTIF('4月'!BQ11:BR11,"六本木-夜勤")+COUNTIF('4月'!BV11:BW11,"六本木-夜勤")+COUNTIF('4月'!CA11:CB11,"六本木-夜勤")+COUNTIF('4月'!CF11:CG11,"六本木-夜勤")+COUNTIF('4月'!CK11:CL11,"六本木-夜勤")+COUNTIF('4月'!CP11:CQ11,"六本木-夜勤")+COUNTIF('4月'!CU11:CV11,"六本木-夜勤")+COUNTIF('4月'!CZ11:DA11,"六本木-夜勤")+COUNTIF('4月'!DE11:DF11,"六本木-夜勤")+COUNTIF('4月'!DJ11:DK11,"六本木-夜勤")+COUNTIF('4月'!DO11:DP11,"六本木-夜勤")+COUNTIF('4月'!DT11:DU11,"六本木-夜勤")+COUNTIF('4月'!DY11:DZ11,"六本木-夜勤")+COUNTIF('4月'!ED11:EE11,"六本木-夜勤")+COUNTIF('4月'!EI11:EJ11,"六本木-夜勤")+COUNTIF('4月'!EN11:EO11,"六本木-夜勤")+COUNTIF('4月'!ES11:ET11,"六本木-夜勤")+COUNTIF('4月'!D11:E11,"六本木ー夜勤")+COUNTIF('4月'!I11:J11,"六本木ー夜勤")+COUNTIF('4月'!N11:O11,"六本木ー夜勤")+COUNTIF('4月'!S11:T11,"六本木ー夜勤")+COUNTIF('4月'!X11:Y11,"六本木ー夜勤")+COUNTIF('4月'!AC11:AD11,"六本木ー夜勤")+COUNTIF('4月'!AH11:AI11,"六本木ー夜勤")+COUNTIF('4月'!AM11:AN11,"六本木ー夜勤")+COUNTIF('4月'!AR11:AS11,"六本木ー夜勤")+COUNTIF('4月'!AW11:AX11,"六本木ー夜勤")+COUNTIF('4月'!BB11:BC11,"六本木ー夜勤")+COUNTIF('4月'!BG11:BH11,"六本木ー夜勤")+COUNTIF('4月'!BL11:BM11,"六本木ー夜勤")+COUNTIF('4月'!BQ11:BR11,"六本木ー夜勤")+COUNTIF('4月'!BV11:BW11,"六本木ー夜勤")+COUNTIF('4月'!CA11:CB11,"六本木ー夜勤")+COUNTIF('4月'!CF11:CG11,"六本木ー夜勤")+COUNTIF('4月'!CK11:CL11,"六本木ー夜勤")+COUNTIF('4月'!CP11:CQ11,"六本木ー夜勤")+COUNTIF('4月'!CU11:CV11,"六本木ー夜勤")+COUNTIF('4月'!CZ11:DA11,"六本木ー夜勤")+COUNTIF('4月'!DE11:DF11,"六本木ー夜勤")+COUNTIF('4月'!DJ11:DK11,"六本木ー夜勤")+COUNTIF('4月'!DO11:DP11,"六本木ー夜勤")+COUNTIF('4月'!DT11:DU11,"六本木ー夜勤")+COUNTIF('4月'!DY11:DZ11,"六本木ー夜勤")+COUNTIF('4月'!ED11:EE11,"六本木ー夜勤")+COUNTIF('4月'!EI11:EJ11,"六本木ー夜勤")+COUNTIF('4月'!EN11:EO11,"六本木ー夜勤")+COUNTIF('4月'!ES11:ET11,"六本木ー夜勤")</f>
        <v>0</v>
      </c>
      <c r="K124" s="76">
        <f t="shared" si="40"/>
        <v>0</v>
      </c>
      <c r="L124" s="76">
        <f>COUNTIF('4月'!D11:E11,L$115)+COUNTIF('4月'!I11:J11,L$115)+COUNTIF('4月'!N11:O11,L$115)+COUNTIF('4月'!S11:T11,L$115)+COUNTIF('4月'!X11:Y11,L$115)+COUNTIF('4月'!AC11:AD11,L$115)+COUNTIF('4月'!AH11:AI11,L$115)+COUNTIF('4月'!AM11:AN11,L$115)+COUNTIF('4月'!AR11:AS11,L$115)+COUNTIF('4月'!AW11:AX11,L$115)+COUNTIF('4月'!BB11:BC11,L$115)+COUNTIF('4月'!BG11:BH11,L$115)+COUNTIF('4月'!BL11:BM11,L$115)+COUNTIF('4月'!BQ11:BR11,L$115)+COUNTIF('4月'!BV11:BW11,L$115)+COUNTIF('4月'!CA11:CB11,L$115)+COUNTIF('4月'!CF11:CG11,L$115)+COUNTIF('4月'!CK11:CL11,L$115)+COUNTIF('4月'!CP11:CQ11,L$115)+COUNTIF('4月'!CU11:CV11,L$115)+COUNTIF('4月'!CZ11:DA11,L$115)+COUNTIF('4月'!DE11:DF11,L$115)+COUNTIF('4月'!DJ11:DK11,L$115)+COUNTIF('4月'!DO11:DP11,L$115)+COUNTIF('4月'!DT11:DU11,L$115)+COUNTIF('4月'!DY11:DZ11,L$115)+COUNTIF('4月'!ED11:EE11,L$115)+COUNTIF('4月'!EI11:EJ11,L$115)+COUNTIF('4月'!EN11:EO11,L$115)+COUNTIF('4月'!ES11:ET11,L$115)</f>
        <v>0</v>
      </c>
      <c r="M124" s="76">
        <f t="shared" si="41"/>
        <v>0</v>
      </c>
      <c r="N124" s="76">
        <f>COUNTIF('4月'!D11:E11,N$115)+COUNTIF('4月'!I11:J11,N$115)+COUNTIF('4月'!N11:O11,N$115)+COUNTIF('4月'!S11:T11,N$115)+COUNTIF('4月'!X11:Y11,N$115)+COUNTIF('4月'!AC11:AD11,N$115)+COUNTIF('4月'!AH11:AI11,N$115)+COUNTIF('4月'!AM11:AN11,N$115)+COUNTIF('4月'!AR11:AS11,N$115)+COUNTIF('4月'!AW11:AX11,N$115)+COUNTIF('4月'!BB11:BC11,N$115)+COUNTIF('4月'!BG11:BH11,N$115)+COUNTIF('4月'!BL11:BM11,N$115)+COUNTIF('4月'!BQ11:BR11,N$115)+COUNTIF('4月'!BV11:BW11,N$115)+COUNTIF('4月'!CA11:CB11,N$115)+COUNTIF('4月'!CF11:CG11,N$115)+COUNTIF('4月'!CK11:CL11,N$115)+COUNTIF('4月'!CP11:CQ11,N$115)+COUNTIF('4月'!CU11:CV11,N$115)+COUNTIF('4月'!CZ11:DA11,N$115)+COUNTIF('4月'!DE11:DF11,N$115)+COUNTIF('4月'!DJ11:DK11,N$115)+COUNTIF('4月'!DO11:DP11,N$115)+COUNTIF('4月'!DT11:DU11,N$115)+COUNTIF('4月'!DY11:DZ11,N$115)+COUNTIF('4月'!ED11:EE11,N$115)+COUNTIF('4月'!EI11:EJ11,N$115)+COUNTIF('4月'!EN11:EO11,N$115)+COUNTIF('4月'!ES11:ET11,N$115)+COUNTIF('4月'!D11:E11,"三軒茶屋－夜勤")+COUNTIF('4月'!I11:J11,"三軒茶屋－夜勤")+COUNTIF('4月'!N11:O11,"三軒茶屋－夜勤")+COUNTIF('4月'!S11:T11,"三軒茶屋－夜勤")+COUNTIF('4月'!X11:Y11,"三軒茶屋－夜勤")+COUNTIF('4月'!AC11:AD11,"三軒茶屋－夜勤")+COUNTIF('4月'!AH11:AI11,"三軒茶屋－夜勤")+COUNTIF('4月'!AM11:AN11,"三軒茶屋－夜勤")+COUNTIF('4月'!AR11:AS11,"三軒茶屋－夜勤")+COUNTIF('4月'!AW11:AX11,"三軒茶屋－夜勤")+COUNTIF('4月'!BB11:BC11,"三軒茶屋－夜勤")+COUNTIF('4月'!BG11:BH11,"三軒茶屋－夜勤")+COUNTIF('4月'!BL11:BM11,"三軒茶屋－夜勤")+COUNTIF('4月'!BQ11:BR11,"三軒茶屋－夜勤")+COUNTIF('4月'!BV11:BW11,"三軒茶屋－夜勤")+COUNTIF('4月'!CA11:CB11,"三軒茶屋－夜勤")+COUNTIF('4月'!CF11:CG11,"三軒茶屋－夜勤")+COUNTIF('4月'!CK11:CL11,"三軒茶屋－夜勤")+COUNTIF('4月'!CP11:CQ11,"三軒茶屋－夜勤")+COUNTIF('4月'!CU11:CV11,"三軒茶屋－夜勤")+COUNTIF('4月'!CZ11:DA11,"三軒茶屋－夜勤")+COUNTIF('4月'!DE11:DF11,"三軒茶屋－夜勤")+COUNTIF('4月'!DJ11:DK11,"三軒茶屋－夜勤")+COUNTIF('4月'!DO11:DP11,"三軒茶屋－夜勤")+COUNTIF('4月'!DT11:DU11,"三軒茶屋－夜勤")+COUNTIF('4月'!DY11:DZ11,"三軒茶屋－夜勤")+COUNTIF('4月'!ED11:EE11,"三軒茶屋－夜勤")+COUNTIF('4月'!EI11:EJ11,"三軒茶屋－夜勤")+COUNTIF('4月'!EN11:EO11,"三軒茶屋－夜勤")+COUNTIF('4月'!ES11:ET11,"三軒茶屋－夜勤")</f>
        <v>0</v>
      </c>
      <c r="O124" s="76">
        <f t="shared" si="42"/>
        <v>0</v>
      </c>
      <c r="P124" s="76">
        <f>COUNTIF('4月'!D11:E11,P$115)+COUNTIF('4月'!I11:J11,P$115)+COUNTIF('4月'!N11:O11,P$115)+COUNTIF('4月'!S11:T11,P$115)+COUNTIF('4月'!X11:Y11,P$115)+COUNTIF('4月'!AC11:AD11,P$115)+COUNTIF('4月'!AH11:AI11,P$115)+COUNTIF('4月'!AM11:AN11,P$115)+COUNTIF('4月'!AR11:AS11,P$115)+COUNTIF('4月'!AW11:AX11,P$115)+COUNTIF('4月'!BB11:BC11,P$115)+COUNTIF('4月'!BG11:BH11,P$115)+COUNTIF('4月'!BL11:BM11,P$115)+COUNTIF('4月'!BQ11:BR11,P$115)+COUNTIF('4月'!BV11:BW11,P$115)+COUNTIF('4月'!CA11:CB11,P$115)+COUNTIF('4月'!CF11:CG11,P$115)+COUNTIF('4月'!CK11:CL11,P$115)+COUNTIF('4月'!CP11:CQ11,P$115)+COUNTIF('4月'!CU11:CV11,P$115)+COUNTIF('4月'!CZ11:DA11,P$115)+COUNTIF('4月'!DE11:DF11,P$115)+COUNTIF('4月'!DJ11:DK11,P$115)+COUNTIF('4月'!DO11:DP11,P$115)+COUNTIF('4月'!DT11:DU11,P$115)+COUNTIF('4月'!DY11:DZ11,P$115)+COUNTIF('4月'!ED11:EE11,P$115)+COUNTIF('4月'!EI11:EJ11,P$115)+COUNTIF('4月'!EN11:EO11,P$115)+COUNTIF('4月'!ES11:ET11,P$115)+COUNTIF('4月'!D11:E11,"荻窪ー夜勤")+COUNTIF('4月'!I11:J11,"荻窪ー夜勤")+COUNTIF('4月'!N11:O11,"荻窪ー夜勤")+COUNTIF('4月'!S11:T11,"荻窪ー夜勤")+COUNTIF('4月'!X11:Y11,"荻窪ー夜勤")+COUNTIF('4月'!AC11:AD11,"荻窪ー夜勤")+COUNTIF('4月'!AH11:AI11,"荻窪ー夜勤")+COUNTIF('4月'!AM11:AN11,"荻窪ー夜勤")+COUNTIF('4月'!AR11:AS11,"荻窪ー夜勤")+COUNTIF('4月'!AW11:AX11,"荻窪ー夜勤")+COUNTIF('4月'!BB11:BC11,"荻窪ー夜勤")+COUNTIF('4月'!BG11:BH11,"荻窪ー夜勤")+COUNTIF('4月'!BL11:BM11,"荻窪ー夜勤")+COUNTIF('4月'!BQ11:BR11,"荻窪ー夜勤")+COUNTIF('4月'!BV11:BW11,"荻窪ー夜勤")+COUNTIF('4月'!CA11:CB11,"荻窪ー夜勤")+COUNTIF('4月'!CF11:CG11,"荻窪ー夜勤")+COUNTIF('4月'!CK11:CL11,"荻窪ー夜勤")+COUNTIF('4月'!CP11:CQ11,"荻窪ー夜勤")+COUNTIF('4月'!CU11:CV11,"荻窪ー夜勤")+COUNTIF('4月'!CZ11:DA11,"荻窪ー夜勤")+COUNTIF('4月'!DE11:DF11,"荻窪ー夜勤")+COUNTIF('4月'!DJ11:DK11,"荻窪ー夜勤")+COUNTIF('4月'!DO11:DP11,"荻窪ー夜勤")+COUNTIF('4月'!DT11:DU11,"荻窪ー夜勤")+COUNTIF('4月'!DY11:DZ11,"荻窪ー夜勤")+COUNTIF('4月'!ED11:EE11,"荻窪ー夜勤")+COUNTIF('4月'!EI11:EJ11,"荻窪ー夜勤")+COUNTIF('4月'!EN11:EO11,"荻窪ー夜勤")+COUNTIF('4月'!ES11:ET11,"荻窪ー夜勤")</f>
        <v>0</v>
      </c>
      <c r="Q124" s="76">
        <f t="shared" si="43"/>
        <v>0</v>
      </c>
      <c r="R124" s="76">
        <f>COUNTIF('4月'!D11:E11,R$115)+COUNTIF('4月'!I11:J11,R$115)+COUNTIF('4月'!N11:O11,R$115)+COUNTIF('4月'!S11:T11,R$115)+COUNTIF('4月'!X11:Y11,R$115)+COUNTIF('4月'!AC11:AD11,R$115)+COUNTIF('4月'!AH11:AI11,R$115)+COUNTIF('4月'!AM11:AN11,R$115)+COUNTIF('4月'!AR11:AS11,R$115)+COUNTIF('4月'!AW11:AX11,R$115)+COUNTIF('4月'!BB11:BC11,R$115)+COUNTIF('4月'!BG11:BH11,R$115)+COUNTIF('4月'!BL11:BM11,R$115)+COUNTIF('4月'!BQ11:BR11,R$115)+COUNTIF('4月'!BV11:BW11,R$115)+COUNTIF('4月'!CA11:CB11,R$115)+COUNTIF('4月'!CF11:CG11,R$115)+COUNTIF('4月'!CK11:CL11,R$115)+COUNTIF('4月'!CP11:CQ11,R$115)+COUNTIF('4月'!CU11:CV11,R$115)+COUNTIF('4月'!CZ11:DA11,R$115)+COUNTIF('4月'!DE11:DF11,R$115)+COUNTIF('4月'!DJ11:DK11,R$115)+COUNTIF('4月'!DO11:DP11,R$115)+COUNTIF('4月'!DT11:DU11,R$115)+COUNTIF('4月'!DY11:DZ11,R$115)+COUNTIF('4月'!ED11:EE11,R$115)+COUNTIF('4月'!EI11:EJ11,R$115)+COUNTIF('4月'!EN11:EO11,R$115)+COUNTIF('4月'!ES11:ET11,R$115)</f>
        <v>0</v>
      </c>
      <c r="S124" s="76">
        <f t="shared" si="44"/>
        <v>0</v>
      </c>
      <c r="T124" s="76">
        <f>COUNTIF('4月'!D11:E11,T$115)+COUNTIF('4月'!I11:J11,T$115)+COUNTIF('4月'!N11:O11,T$115)+COUNTIF('4月'!S11:T11,T$115)+COUNTIF('4月'!X11:Y11,T$115)+COUNTIF('4月'!AC11:AD11,T$115)+COUNTIF('4月'!AH11:AI11,T$115)+COUNTIF('4月'!AM11:AN11,T$115)+COUNTIF('4月'!AR11:AS11,T$115)+COUNTIF('4月'!AW11:AX11,T$115)+COUNTIF('4月'!BB11:BC11,T$115)+COUNTIF('4月'!BG11:BH11,T$115)+COUNTIF('4月'!BL11:BM11,T$115)+COUNTIF('4月'!BQ11:BR11,T$115)+COUNTIF('4月'!BV11:BW11,T$115)+COUNTIF('4月'!CA11:CB11,T$115)+COUNTIF('4月'!CF11:CG11,T$115)+COUNTIF('4月'!CK11:CL11,T$115)+COUNTIF('4月'!CP11:CQ11,T$115)+COUNTIF('4月'!CU11:CV11,T$115)+COUNTIF('4月'!CZ11:DA11,T$115)+COUNTIF('4月'!DE11:DF11,T$115)+COUNTIF('4月'!DJ11:DK11,T$115)+COUNTIF('4月'!DO11:DP11,T$115)+COUNTIF('4月'!DT11:DU11,T$115)+COUNTIF('4月'!DY11:DZ11,T$115)+COUNTIF('4月'!ED11:EE11,T$115)+COUNTIF('4月'!EI11:EJ11,T$115)+COUNTIF('4月'!EN11:EO11,T$115)+COUNTIF('4月'!ES11:ET11,T$115)</f>
        <v>0</v>
      </c>
      <c r="U124" s="76">
        <f t="shared" si="45"/>
        <v>0</v>
      </c>
      <c r="V124" s="76">
        <f>COUNTIF('4月'!D11:E11,V$115)+COUNTIF('4月'!I11:J11,V$115)+COUNTIF('4月'!N11:O11,V$115)+COUNTIF('4月'!S11:T11,V$115)+COUNTIF('4月'!X11:Y11,V$115)+COUNTIF('4月'!AC11:AD11,V$115)+COUNTIF('4月'!AH11:AI11,V$115)+COUNTIF('4月'!AM11:AN11,V$115)+COUNTIF('4月'!AR11:AS11,V$115)+COUNTIF('4月'!AW11:AX11,V$115)+COUNTIF('4月'!BB11:BC11,V$115)+COUNTIF('4月'!BG11:BH11,V$115)+COUNTIF('4月'!BL11:BM11,V$115)+COUNTIF('4月'!BQ11:BR11,V$115)+COUNTIF('4月'!BV11:BW11,V$115)+COUNTIF('4月'!CA11:CB11,V$115)+COUNTIF('4月'!CF11:CG11,V$115)+COUNTIF('4月'!CK11:CL11,V$115)+COUNTIF('4月'!CP11:CQ11,V$115)+COUNTIF('4月'!CU11:CV11,V$115)+COUNTIF('4月'!CZ11:DA11,V$115)+COUNTIF('4月'!DE11:DF11,V$115)+COUNTIF('4月'!DJ11:DK11,V$115)+COUNTIF('4月'!DO11:DP11,V$115)+COUNTIF('4月'!DT11:DU11,V$115)+COUNTIF('4月'!DY11:DZ11,V$115)+COUNTIF('4月'!ED11:EE11,V$115)+COUNTIF('4月'!EI11:EJ11,V$115)+COUNTIF('4月'!EN11:EO11,V$115)+COUNTIF('4月'!ES11:ET11,V$115)</f>
        <v>0</v>
      </c>
      <c r="W124" s="76">
        <f t="shared" si="46"/>
        <v>0</v>
      </c>
      <c r="X124" s="76">
        <f>COUNTIF('4月'!D11:E11,X$115)+COUNTIF('4月'!I11:J11,X$115)+COUNTIF('4月'!N11:O11,X$115)+COUNTIF('4月'!S11:T11,X$115)+COUNTIF('4月'!X11:Y11,X$115)+COUNTIF('4月'!AC11:AD11,X$115)+COUNTIF('4月'!AH11:AI11,X$115)+COUNTIF('4月'!AM11:AN11,X$115)+COUNTIF('4月'!AR11:AS11,X$115)+COUNTIF('4月'!AW11:AX11,X$115)+COUNTIF('4月'!BB11:BC11,X$115)+COUNTIF('4月'!BG11:BH11,X$115)+COUNTIF('4月'!BL11:BM11,X$115)+COUNTIF('4月'!BQ11:BR11,X$115)+COUNTIF('4月'!BV11:BW11,X$115)+COUNTIF('4月'!CA11:CB11,X$115)+COUNTIF('4月'!CF11:CG11,X$115)+COUNTIF('4月'!CK11:CL11,X$115)+COUNTIF('4月'!CP11:CQ11,X$115)+COUNTIF('4月'!CU11:CV11,X$115)+COUNTIF('4月'!CZ11:DA11,X$115)+COUNTIF('4月'!DE11:DF11,X$115)+COUNTIF('4月'!DJ11:DK11,X$115)+COUNTIF('4月'!DO11:DP11,X$115)+COUNTIF('4月'!DT11:DU11,X$115)+COUNTIF('4月'!DY11:DZ11,X$115)+COUNTIF('4月'!ED11:EE11,X$115)+COUNTIF('4月'!EI11:EJ11,X$115)+COUNTIF('4月'!EN11:EO11,X$115)+COUNTIF('4月'!ES11:ET11,X$115)</f>
        <v>0</v>
      </c>
      <c r="Y124" s="76">
        <f t="shared" si="47"/>
        <v>0</v>
      </c>
    </row>
    <row r="125" spans="1:25" ht="18" customHeight="1">
      <c r="A125" s="76">
        <v>9</v>
      </c>
      <c r="B125" s="76">
        <f>COUNTIF('4月'!D12:E12,B$115)+COUNTIF('4月'!I12:J12,B$115)+COUNTIF('4月'!N12:O12,B$115)+COUNTIF('4月'!S12:T12,B$115)+COUNTIF('4月'!X12:Y12,B$115)+COUNTIF('4月'!AC12:AD12,B$115)+COUNTIF('4月'!AH12:AI12,B$115)+COUNTIF('4月'!AM12:AN12,B$115)+COUNTIF('4月'!AR12:AS12,B$115)+COUNTIF('4月'!AW12:AX12,B$115)+COUNTIF('4月'!BB12:BC12,B$115)+COUNTIF('4月'!BG12:BH12,B$115)+COUNTIF('4月'!BL12:BM12,B$115)+COUNTIF('4月'!BQ12:BR12,B$115)+COUNTIF('4月'!BV12:BW12,B$115)+COUNTIF('4月'!CA12:CB12,B$115)+COUNTIF('4月'!CF12:CG12,B$115)+COUNTIF('4月'!CK12:CL12,B$115)+COUNTIF('4月'!CP12:CQ12,B$115)+COUNTIF('4月'!CU12:CV12,B$115)+COUNTIF('4月'!CZ12:DA12,B$115)+COUNTIF('4月'!DE12:DF12,B$115)+COUNTIF('4月'!DJ12:DK12,B$115)+COUNTIF('4月'!DO12:DP12,B$115)+COUNTIF('4月'!DT12:DU12,B$115)+COUNTIF('4月'!DY12:DZ12,B$115)+COUNTIF('4月'!ED12:EE12,B$115)+COUNTIF('4月'!EI12:EJ12,B$115)+COUNTIF('4月'!EN12:EO12,B$115)+COUNTIF('4月'!ES12:ET12,B$115)</f>
        <v>0</v>
      </c>
      <c r="C125" s="76">
        <f t="shared" si="36"/>
        <v>0</v>
      </c>
      <c r="D125" s="76">
        <f>COUNTIF('4月'!D12:E12,D$115)+COUNTIF('4月'!I12:J12,D$115)+COUNTIF('4月'!N12:O12,D$115)+COUNTIF('4月'!S12:T12,D$115)+COUNTIF('4月'!X12:Y12,D$115)+COUNTIF('4月'!AC12:AD12,D$115)+COUNTIF('4月'!AH12:AI12,D$115)+COUNTIF('4月'!AM12:AN12,D$115)+COUNTIF('4月'!AR12:AS12,D$115)+COUNTIF('4月'!AW12:AX12,D$115)+COUNTIF('4月'!BB12:BC12,D$115)+COUNTIF('4月'!BG12:BH12,D$115)+COUNTIF('4月'!BL12:BM12,D$115)+COUNTIF('4月'!BQ12:BR12,D$115)+COUNTIF('4月'!BV12:BW12,D$115)+COUNTIF('4月'!CA12:CB12,D$115)+COUNTIF('4月'!CF12:CG12,D$115)+COUNTIF('4月'!CK12:CL12,D$115)+COUNTIF('4月'!CP12:CQ12,D$115)+COUNTIF('4月'!CU12:CV12,D$115)+COUNTIF('4月'!CZ12:DA12,D$115)+COUNTIF('4月'!DE12:DF12,D$115)+COUNTIF('4月'!DJ12:DK12,D$115)+COUNTIF('4月'!DO12:DP12,D$115)+COUNTIF('4月'!DT12:DU12,D$115)+COUNTIF('4月'!DY12:DZ12,D$115)+COUNTIF('4月'!ED12:EE12,D$115)+COUNTIF('4月'!EI12:EJ12,D$115)+COUNTIF('4月'!EN12:EO12,D$115)+COUNTIF('4月'!ES12:ET12,D$115)</f>
        <v>0</v>
      </c>
      <c r="E125" s="76">
        <f t="shared" si="37"/>
        <v>0</v>
      </c>
      <c r="F125" s="76">
        <f>COUNTIF('4月'!D12:E12,F$115)+COUNTIF('4月'!I12:J12,F$115)+COUNTIF('4月'!N12:O12,F$115)+COUNTIF('4月'!S12:T12,F$115)+COUNTIF('4月'!X12:Y12,F$115)+COUNTIF('4月'!AC12:AD12,F$115)+COUNTIF('4月'!AH12:AI12,F$115)+COUNTIF('4月'!AM12:AN12,F$115)+COUNTIF('4月'!AR12:AS12,F$115)+COUNTIF('4月'!AW12:AX12,F$115)+COUNTIF('4月'!BB12:BC12,F$115)+COUNTIF('4月'!BG12:BH12,F$115)+COUNTIF('4月'!BL12:BM12,F$115)+COUNTIF('4月'!BQ12:BR12,F$115)+COUNTIF('4月'!BV12:BW12,F$115)+COUNTIF('4月'!CA12:CB12,F$115)+COUNTIF('4月'!CF12:CG12,F$115)+COUNTIF('4月'!CK12:CL12,F$115)+COUNTIF('4月'!CP12:CQ12,F$115)+COUNTIF('4月'!CU12:CV12,F$115)+COUNTIF('4月'!CZ12:DA12,F$115)+COUNTIF('4月'!DE12:DF12,F$115)+COUNTIF('4月'!DJ12:DK12,F$115)+COUNTIF('4月'!DO12:DP12,F$115)+COUNTIF('4月'!DT12:DU12,F$115)+COUNTIF('4月'!DY12:DZ12,F$115)+COUNTIF('4月'!ED12:EE12,F$115)+COUNTIF('4月'!EI12:EJ12,F$115)+COUNTIF('4月'!EN12:EO12,F$115)+COUNTIF('4月'!ES12:ET12,F$115)</f>
        <v>0</v>
      </c>
      <c r="G125" s="76">
        <f t="shared" si="38"/>
        <v>0</v>
      </c>
      <c r="H125" s="76">
        <f>COUNTIF('4月'!D12:E12,H$115)+COUNTIF('4月'!I12:J12,H$115)+COUNTIF('4月'!N12:O12,H$115)+COUNTIF('4月'!S12:T12,H$115)+COUNTIF('4月'!X12:Y12,H$115)+COUNTIF('4月'!AC12:AD12,H$115)+COUNTIF('4月'!AH12:AI12,H$115)+COUNTIF('4月'!AM12:AN12,H$115)+COUNTIF('4月'!AR12:AS12,H$115)+COUNTIF('4月'!AW12:AX12,H$115)+COUNTIF('4月'!BB12:BC12,H$115)+COUNTIF('4月'!BG12:BH12,H$115)+COUNTIF('4月'!BL12:BM12,H$115)+COUNTIF('4月'!BQ12:BR12,H$115)+COUNTIF('4月'!BV12:BW12,H$115)+COUNTIF('4月'!CA12:CB12,H$115)+COUNTIF('4月'!CF12:CG12,H$115)+COUNTIF('4月'!CK12:CL12,H$115)+COUNTIF('4月'!CP12:CQ12,H$115)+COUNTIF('4月'!CU12:CV12,H$115)+COUNTIF('4月'!CZ12:DA12,H$115)+COUNTIF('4月'!DE12:DF12,H$115)+COUNTIF('4月'!DJ12:DK12,H$115)+COUNTIF('4月'!DO12:DP12,H$115)+COUNTIF('4月'!DT12:DU12,H$115)+COUNTIF('4月'!DY12:DZ12,H$115)+COUNTIF('4月'!ED12:EE12,H$115)+COUNTIF('4月'!EI12:EJ12,H$115)+COUNTIF('4月'!EN12:EO12,H$115)+COUNTIF('4月'!ES12:ET12,H$115)+COUNTIF('4月'!D12:E12,"渋谷-夜勤")+COUNTIF('4月'!I12:J12,"渋谷-夜勤")+COUNTIF('4月'!N12:O12,"渋谷-夜勤")+COUNTIF('4月'!S12:T12,"渋谷-夜勤")+COUNTIF('4月'!X12:Y12,"渋谷-夜勤")+COUNTIF('4月'!AC12:AD12,"渋谷-夜勤")+COUNTIF('4月'!AH12:AI12,"渋谷-夜勤")+COUNTIF('4月'!AM12:AN12,"渋谷-夜勤")+COUNTIF('4月'!AR12:AS12,"渋谷-夜勤")+COUNTIF('4月'!AW12:AX12,"渋谷-夜勤")+COUNTIF('4月'!BB12:BC12,"渋谷-夜勤")+COUNTIF('4月'!BG12:BH12,"渋谷-夜勤")+COUNTIF('4月'!BL12:BM12,"渋谷-夜勤")+COUNTIF('4月'!BQ12:BR12,"渋谷-夜勤")+COUNTIF('4月'!BV12:BW12,"渋谷-夜勤")+COUNTIF('4月'!CA12:CB12,"渋谷-夜勤")+COUNTIF('4月'!CF12:CG12,"渋谷-夜勤")+COUNTIF('4月'!CK12:CL12,"渋谷-夜勤")+COUNTIF('4月'!CP12:CQ12,"渋谷-夜勤")+COUNTIF('4月'!CU12:CV12,"渋谷-夜勤")+COUNTIF('4月'!CZ12:DA12,"渋谷-夜勤")+COUNTIF('4月'!DE12:DF12,"渋谷-夜勤")+COUNTIF('4月'!DJ12:DK12,"渋谷-夜勤")+COUNTIF('4月'!DO12:DP12,"渋谷-夜勤")+COUNTIF('4月'!DT12:DU12,"渋谷-夜勤")+COUNTIF('4月'!DY12:DZ12,"渋谷-夜勤")+COUNTIF('4月'!ED12:EE12,"渋谷-夜勤")+COUNTIF('4月'!EI12:EJ12,"渋谷-夜勤")+COUNTIF('4月'!EN12:EO12,"渋谷-夜勤")+COUNTIF('4月'!ES12:ET12,"渋谷-夜勤")</f>
        <v>0</v>
      </c>
      <c r="I125" s="76">
        <f t="shared" si="39"/>
        <v>0</v>
      </c>
      <c r="J125" s="76">
        <f>COUNTIF('4月'!D12:E12,J$115)+COUNTIF('4月'!I12:J12,J$115)+COUNTIF('4月'!N12:O12,J$115)+COUNTIF('4月'!S12:T12,J$115)+COUNTIF('4月'!X12:Y12,J$115)+COUNTIF('4月'!AC12:AD12,J$115)+COUNTIF('4月'!AH12:AI12,J$115)+COUNTIF('4月'!AM12:AN12,J$115)+COUNTIF('4月'!AR12:AS12,J$115)+COUNTIF('4月'!AW12:AX12,J$115)+COUNTIF('4月'!BB12:BC12,J$115)+COUNTIF('4月'!BG12:BH12,J$115)+COUNTIF('4月'!BL12:BM12,J$115)+COUNTIF('4月'!BQ12:BR12,J$115)+COUNTIF('4月'!BV12:BW12,J$115)+COUNTIF('4月'!CA12:CB12,J$115)+COUNTIF('4月'!CF12:CG12,J$115)+COUNTIF('4月'!CK12:CL12,J$115)+COUNTIF('4月'!CP12:CQ12,J$115)+COUNTIF('4月'!CU12:CV12,J$115)+COUNTIF('4月'!CZ12:DA12,J$115)+COUNTIF('4月'!DE12:DF12,J$115)+COUNTIF('4月'!DJ12:DK12,J$115)+COUNTIF('4月'!DO12:DP12,J$115)+COUNTIF('4月'!DT12:DU12,J$115)+COUNTIF('4月'!DY12:DZ12,J$115)+COUNTIF('4月'!ED12:EE12,J$115)+COUNTIF('4月'!EI12:EJ12,J$115)+COUNTIF('4月'!EN12:EO12,J$115)+COUNTIF('4月'!ES12:ET12,J$115)+COUNTIF('4月'!D12:E12,"六本木-夜勤")+COUNTIF('4月'!I12:J12,"六本木-夜勤")+COUNTIF('4月'!N12:O12,"六本木-夜勤")+COUNTIF('4月'!S12:T12,"六本木-夜勤")+COUNTIF('4月'!X12:Y12,"六本木-夜勤")+COUNTIF('4月'!AC12:AD12,"六本木-夜勤")+COUNTIF('4月'!AH12:AI12,"六本木-夜勤")+COUNTIF('4月'!AM12:AN12,"六本木-夜勤")+COUNTIF('4月'!AR12:AS12,"六本木-夜勤")+COUNTIF('4月'!AW12:AX12,"六本木-夜勤")+COUNTIF('4月'!BB12:BC12,"六本木-夜勤")+COUNTIF('4月'!BG12:BH12,"六本木-夜勤")+COUNTIF('4月'!BL12:BM12,"六本木-夜勤")+COUNTIF('4月'!BQ12:BR12,"六本木-夜勤")+COUNTIF('4月'!BV12:BW12,"六本木-夜勤")+COUNTIF('4月'!CA12:CB12,"六本木-夜勤")+COUNTIF('4月'!CF12:CG12,"六本木-夜勤")+COUNTIF('4月'!CK12:CL12,"六本木-夜勤")+COUNTIF('4月'!CP12:CQ12,"六本木-夜勤")+COUNTIF('4月'!CU12:CV12,"六本木-夜勤")+COUNTIF('4月'!CZ12:DA12,"六本木-夜勤")+COUNTIF('4月'!DE12:DF12,"六本木-夜勤")+COUNTIF('4月'!DJ12:DK12,"六本木-夜勤")+COUNTIF('4月'!DO12:DP12,"六本木-夜勤")+COUNTIF('4月'!DT12:DU12,"六本木-夜勤")+COUNTIF('4月'!DY12:DZ12,"六本木-夜勤")+COUNTIF('4月'!ED12:EE12,"六本木-夜勤")+COUNTIF('4月'!EI12:EJ12,"六本木-夜勤")+COUNTIF('4月'!EN12:EO12,"六本木-夜勤")+COUNTIF('4月'!ES12:ET12,"六本木-夜勤")+COUNTIF('4月'!D12:E12,"六本木ー夜勤")+COUNTIF('4月'!I12:J12,"六本木ー夜勤")+COUNTIF('4月'!N12:O12,"六本木ー夜勤")+COUNTIF('4月'!S12:T12,"六本木ー夜勤")+COUNTIF('4月'!X12:Y12,"六本木ー夜勤")+COUNTIF('4月'!AC12:AD12,"六本木ー夜勤")+COUNTIF('4月'!AH12:AI12,"六本木ー夜勤")+COUNTIF('4月'!AM12:AN12,"六本木ー夜勤")+COUNTIF('4月'!AR12:AS12,"六本木ー夜勤")+COUNTIF('4月'!AW12:AX12,"六本木ー夜勤")+COUNTIF('4月'!BB12:BC12,"六本木ー夜勤")+COUNTIF('4月'!BG12:BH12,"六本木ー夜勤")+COUNTIF('4月'!BL12:BM12,"六本木ー夜勤")+COUNTIF('4月'!BQ12:BR12,"六本木ー夜勤")+COUNTIF('4月'!BV12:BW12,"六本木ー夜勤")+COUNTIF('4月'!CA12:CB12,"六本木ー夜勤")+COUNTIF('4月'!CF12:CG12,"六本木ー夜勤")+COUNTIF('4月'!CK12:CL12,"六本木ー夜勤")+COUNTIF('4月'!CP12:CQ12,"六本木ー夜勤")+COUNTIF('4月'!CU12:CV12,"六本木ー夜勤")+COUNTIF('4月'!CZ12:DA12,"六本木ー夜勤")+COUNTIF('4月'!DE12:DF12,"六本木ー夜勤")+COUNTIF('4月'!DJ12:DK12,"六本木ー夜勤")+COUNTIF('4月'!DO12:DP12,"六本木ー夜勤")+COUNTIF('4月'!DT12:DU12,"六本木ー夜勤")+COUNTIF('4月'!DY12:DZ12,"六本木ー夜勤")+COUNTIF('4月'!ED12:EE12,"六本木ー夜勤")+COUNTIF('4月'!EI12:EJ12,"六本木ー夜勤")+COUNTIF('4月'!EN12:EO12,"六本木ー夜勤")+COUNTIF('4月'!ES12:ET12,"六本木ー夜勤")</f>
        <v>0</v>
      </c>
      <c r="K125" s="76">
        <f t="shared" si="40"/>
        <v>0</v>
      </c>
      <c r="L125" s="76">
        <f>COUNTIF('4月'!D12:E12,L$115)+COUNTIF('4月'!I12:J12,L$115)+COUNTIF('4月'!N12:O12,L$115)+COUNTIF('4月'!S12:T12,L$115)+COUNTIF('4月'!X12:Y12,L$115)+COUNTIF('4月'!AC12:AD12,L$115)+COUNTIF('4月'!AH12:AI12,L$115)+COUNTIF('4月'!AM12:AN12,L$115)+COUNTIF('4月'!AR12:AS12,L$115)+COUNTIF('4月'!AW12:AX12,L$115)+COUNTIF('4月'!BB12:BC12,L$115)+COUNTIF('4月'!BG12:BH12,L$115)+COUNTIF('4月'!BL12:BM12,L$115)+COUNTIF('4月'!BQ12:BR12,L$115)+COUNTIF('4月'!BV12:BW12,L$115)+COUNTIF('4月'!CA12:CB12,L$115)+COUNTIF('4月'!CF12:CG12,L$115)+COUNTIF('4月'!CK12:CL12,L$115)+COUNTIF('4月'!CP12:CQ12,L$115)+COUNTIF('4月'!CU12:CV12,L$115)+COUNTIF('4月'!CZ12:DA12,L$115)+COUNTIF('4月'!DE12:DF12,L$115)+COUNTIF('4月'!DJ12:DK12,L$115)+COUNTIF('4月'!DO12:DP12,L$115)+COUNTIF('4月'!DT12:DU12,L$115)+COUNTIF('4月'!DY12:DZ12,L$115)+COUNTIF('4月'!ED12:EE12,L$115)+COUNTIF('4月'!EI12:EJ12,L$115)+COUNTIF('4月'!EN12:EO12,L$115)+COUNTIF('4月'!ES12:ET12,L$115)</f>
        <v>0</v>
      </c>
      <c r="M125" s="76">
        <f t="shared" si="41"/>
        <v>0</v>
      </c>
      <c r="N125" s="76">
        <f>COUNTIF('4月'!D12:E12,N$115)+COUNTIF('4月'!I12:J12,N$115)+COUNTIF('4月'!N12:O12,N$115)+COUNTIF('4月'!S12:T12,N$115)+COUNTIF('4月'!X12:Y12,N$115)+COUNTIF('4月'!AC12:AD12,N$115)+COUNTIF('4月'!AH12:AI12,N$115)+COUNTIF('4月'!AM12:AN12,N$115)+COUNTIF('4月'!AR12:AS12,N$115)+COUNTIF('4月'!AW12:AX12,N$115)+COUNTIF('4月'!BB12:BC12,N$115)+COUNTIF('4月'!BG12:BH12,N$115)+COUNTIF('4月'!BL12:BM12,N$115)+COUNTIF('4月'!BQ12:BR12,N$115)+COUNTIF('4月'!BV12:BW12,N$115)+COUNTIF('4月'!CA12:CB12,N$115)+COUNTIF('4月'!CF12:CG12,N$115)+COUNTIF('4月'!CK12:CL12,N$115)+COUNTIF('4月'!CP12:CQ12,N$115)+COUNTIF('4月'!CU12:CV12,N$115)+COUNTIF('4月'!CZ12:DA12,N$115)+COUNTIF('4月'!DE12:DF12,N$115)+COUNTIF('4月'!DJ12:DK12,N$115)+COUNTIF('4月'!DO12:DP12,N$115)+COUNTIF('4月'!DT12:DU12,N$115)+COUNTIF('4月'!DY12:DZ12,N$115)+COUNTIF('4月'!ED12:EE12,N$115)+COUNTIF('4月'!EI12:EJ12,N$115)+COUNTIF('4月'!EN12:EO12,N$115)+COUNTIF('4月'!ES12:ET12,N$115)+COUNTIF('4月'!D12:E12,"三軒茶屋－夜勤")+COUNTIF('4月'!I12:J12,"三軒茶屋－夜勤")+COUNTIF('4月'!N12:O12,"三軒茶屋－夜勤")+COUNTIF('4月'!S12:T12,"三軒茶屋－夜勤")+COUNTIF('4月'!X12:Y12,"三軒茶屋－夜勤")+COUNTIF('4月'!AC12:AD12,"三軒茶屋－夜勤")+COUNTIF('4月'!AH12:AI12,"三軒茶屋－夜勤")+COUNTIF('4月'!AM12:AN12,"三軒茶屋－夜勤")+COUNTIF('4月'!AR12:AS12,"三軒茶屋－夜勤")+COUNTIF('4月'!AW12:AX12,"三軒茶屋－夜勤")+COUNTIF('4月'!BB12:BC12,"三軒茶屋－夜勤")+COUNTIF('4月'!BG12:BH12,"三軒茶屋－夜勤")+COUNTIF('4月'!BL12:BM12,"三軒茶屋－夜勤")+COUNTIF('4月'!BQ12:BR12,"三軒茶屋－夜勤")+COUNTIF('4月'!BV12:BW12,"三軒茶屋－夜勤")+COUNTIF('4月'!CA12:CB12,"三軒茶屋－夜勤")+COUNTIF('4月'!CF12:CG12,"三軒茶屋－夜勤")+COUNTIF('4月'!CK12:CL12,"三軒茶屋－夜勤")+COUNTIF('4月'!CP12:CQ12,"三軒茶屋－夜勤")+COUNTIF('4月'!CU12:CV12,"三軒茶屋－夜勤")+COUNTIF('4月'!CZ12:DA12,"三軒茶屋－夜勤")+COUNTIF('4月'!DE12:DF12,"三軒茶屋－夜勤")+COUNTIF('4月'!DJ12:DK12,"三軒茶屋－夜勤")+COUNTIF('4月'!DO12:DP12,"三軒茶屋－夜勤")+COUNTIF('4月'!DT12:DU12,"三軒茶屋－夜勤")+COUNTIF('4月'!DY12:DZ12,"三軒茶屋－夜勤")+COUNTIF('4月'!ED12:EE12,"三軒茶屋－夜勤")+COUNTIF('4月'!EI12:EJ12,"三軒茶屋－夜勤")+COUNTIF('4月'!EN12:EO12,"三軒茶屋－夜勤")+COUNTIF('4月'!ES12:ET12,"三軒茶屋－夜勤")</f>
        <v>0</v>
      </c>
      <c r="O125" s="76">
        <f t="shared" si="42"/>
        <v>0</v>
      </c>
      <c r="P125" s="76">
        <f>COUNTIF('4月'!D12:E12,P$115)+COUNTIF('4月'!I12:J12,P$115)+COUNTIF('4月'!N12:O12,P$115)+COUNTIF('4月'!S12:T12,P$115)+COUNTIF('4月'!X12:Y12,P$115)+COUNTIF('4月'!AC12:AD12,P$115)+COUNTIF('4月'!AH12:AI12,P$115)+COUNTIF('4月'!AM12:AN12,P$115)+COUNTIF('4月'!AR12:AS12,P$115)+COUNTIF('4月'!AW12:AX12,P$115)+COUNTIF('4月'!BB12:BC12,P$115)+COUNTIF('4月'!BG12:BH12,P$115)+COUNTIF('4月'!BL12:BM12,P$115)+COUNTIF('4月'!BQ12:BR12,P$115)+COUNTIF('4月'!BV12:BW12,P$115)+COUNTIF('4月'!CA12:CB12,P$115)+COUNTIF('4月'!CF12:CG12,P$115)+COUNTIF('4月'!CK12:CL12,P$115)+COUNTIF('4月'!CP12:CQ12,P$115)+COUNTIF('4月'!CU12:CV12,P$115)+COUNTIF('4月'!CZ12:DA12,P$115)+COUNTIF('4月'!DE12:DF12,P$115)+COUNTIF('4月'!DJ12:DK12,P$115)+COUNTIF('4月'!DO12:DP12,P$115)+COUNTIF('4月'!DT12:DU12,P$115)+COUNTIF('4月'!DY12:DZ12,P$115)+COUNTIF('4月'!ED12:EE12,P$115)+COUNTIF('4月'!EI12:EJ12,P$115)+COUNTIF('4月'!EN12:EO12,P$115)+COUNTIF('4月'!ES12:ET12,P$115)+COUNTIF('4月'!D12:E12,"荻窪ー夜勤")+COUNTIF('4月'!I12:J12,"荻窪ー夜勤")+COUNTIF('4月'!N12:O12,"荻窪ー夜勤")+COUNTIF('4月'!S12:T12,"荻窪ー夜勤")+COUNTIF('4月'!X12:Y12,"荻窪ー夜勤")+COUNTIF('4月'!AC12:AD12,"荻窪ー夜勤")+COUNTIF('4月'!AH12:AI12,"荻窪ー夜勤")+COUNTIF('4月'!AM12:AN12,"荻窪ー夜勤")+COUNTIF('4月'!AR12:AS12,"荻窪ー夜勤")+COUNTIF('4月'!AW12:AX12,"荻窪ー夜勤")+COUNTIF('4月'!BB12:BC12,"荻窪ー夜勤")+COUNTIF('4月'!BG12:BH12,"荻窪ー夜勤")+COUNTIF('4月'!BL12:BM12,"荻窪ー夜勤")+COUNTIF('4月'!BQ12:BR12,"荻窪ー夜勤")+COUNTIF('4月'!BV12:BW12,"荻窪ー夜勤")+COUNTIF('4月'!CA12:CB12,"荻窪ー夜勤")+COUNTIF('4月'!CF12:CG12,"荻窪ー夜勤")+COUNTIF('4月'!CK12:CL12,"荻窪ー夜勤")+COUNTIF('4月'!CP12:CQ12,"荻窪ー夜勤")+COUNTIF('4月'!CU12:CV12,"荻窪ー夜勤")+COUNTIF('4月'!CZ12:DA12,"荻窪ー夜勤")+COUNTIF('4月'!DE12:DF12,"荻窪ー夜勤")+COUNTIF('4月'!DJ12:DK12,"荻窪ー夜勤")+COUNTIF('4月'!DO12:DP12,"荻窪ー夜勤")+COUNTIF('4月'!DT12:DU12,"荻窪ー夜勤")+COUNTIF('4月'!DY12:DZ12,"荻窪ー夜勤")+COUNTIF('4月'!ED12:EE12,"荻窪ー夜勤")+COUNTIF('4月'!EI12:EJ12,"荻窪ー夜勤")+COUNTIF('4月'!EN12:EO12,"荻窪ー夜勤")+COUNTIF('4月'!ES12:ET12,"荻窪ー夜勤")</f>
        <v>0</v>
      </c>
      <c r="Q125" s="76">
        <f t="shared" si="43"/>
        <v>0</v>
      </c>
      <c r="R125" s="76">
        <f>COUNTIF('4月'!D12:E12,R$115)+COUNTIF('4月'!I12:J12,R$115)+COUNTIF('4月'!N12:O12,R$115)+COUNTIF('4月'!S12:T12,R$115)+COUNTIF('4月'!X12:Y12,R$115)+COUNTIF('4月'!AC12:AD12,R$115)+COUNTIF('4月'!AH12:AI12,R$115)+COUNTIF('4月'!AM12:AN12,R$115)+COUNTIF('4月'!AR12:AS12,R$115)+COUNTIF('4月'!AW12:AX12,R$115)+COUNTIF('4月'!BB12:BC12,R$115)+COUNTIF('4月'!BG12:BH12,R$115)+COUNTIF('4月'!BL12:BM12,R$115)+COUNTIF('4月'!BQ12:BR12,R$115)+COUNTIF('4月'!BV12:BW12,R$115)+COUNTIF('4月'!CA12:CB12,R$115)+COUNTIF('4月'!CF12:CG12,R$115)+COUNTIF('4月'!CK12:CL12,R$115)+COUNTIF('4月'!CP12:CQ12,R$115)+COUNTIF('4月'!CU12:CV12,R$115)+COUNTIF('4月'!CZ12:DA12,R$115)+COUNTIF('4月'!DE12:DF12,R$115)+COUNTIF('4月'!DJ12:DK12,R$115)+COUNTIF('4月'!DO12:DP12,R$115)+COUNTIF('4月'!DT12:DU12,R$115)+COUNTIF('4月'!DY12:DZ12,R$115)+COUNTIF('4月'!ED12:EE12,R$115)+COUNTIF('4月'!EI12:EJ12,R$115)+COUNTIF('4月'!EN12:EO12,R$115)+COUNTIF('4月'!ES12:ET12,R$115)</f>
        <v>0</v>
      </c>
      <c r="S125" s="76">
        <f t="shared" si="44"/>
        <v>0</v>
      </c>
      <c r="T125" s="76">
        <f>COUNTIF('4月'!D12:E12,T$115)+COUNTIF('4月'!I12:J12,T$115)+COUNTIF('4月'!N12:O12,T$115)+COUNTIF('4月'!S12:T12,T$115)+COUNTIF('4月'!X12:Y12,T$115)+COUNTIF('4月'!AC12:AD12,T$115)+COUNTIF('4月'!AH12:AI12,T$115)+COUNTIF('4月'!AM12:AN12,T$115)+COUNTIF('4月'!AR12:AS12,T$115)+COUNTIF('4月'!AW12:AX12,T$115)+COUNTIF('4月'!BB12:BC12,T$115)+COUNTIF('4月'!BG12:BH12,T$115)+COUNTIF('4月'!BL12:BM12,T$115)+COUNTIF('4月'!BQ12:BR12,T$115)+COUNTIF('4月'!BV12:BW12,T$115)+COUNTIF('4月'!CA12:CB12,T$115)+COUNTIF('4月'!CF12:CG12,T$115)+COUNTIF('4月'!CK12:CL12,T$115)+COUNTIF('4月'!CP12:CQ12,T$115)+COUNTIF('4月'!CU12:CV12,T$115)+COUNTIF('4月'!CZ12:DA12,T$115)+COUNTIF('4月'!DE12:DF12,T$115)+COUNTIF('4月'!DJ12:DK12,T$115)+COUNTIF('4月'!DO12:DP12,T$115)+COUNTIF('4月'!DT12:DU12,T$115)+COUNTIF('4月'!DY12:DZ12,T$115)+COUNTIF('4月'!ED12:EE12,T$115)+COUNTIF('4月'!EI12:EJ12,T$115)+COUNTIF('4月'!EN12:EO12,T$115)+COUNTIF('4月'!ES12:ET12,T$115)</f>
        <v>0</v>
      </c>
      <c r="U125" s="76">
        <f t="shared" si="45"/>
        <v>0</v>
      </c>
      <c r="V125" s="76">
        <f>COUNTIF('4月'!D12:E12,V$115)+COUNTIF('4月'!I12:J12,V$115)+COUNTIF('4月'!N12:O12,V$115)+COUNTIF('4月'!S12:T12,V$115)+COUNTIF('4月'!X12:Y12,V$115)+COUNTIF('4月'!AC12:AD12,V$115)+COUNTIF('4月'!AH12:AI12,V$115)+COUNTIF('4月'!AM12:AN12,V$115)+COUNTIF('4月'!AR12:AS12,V$115)+COUNTIF('4月'!AW12:AX12,V$115)+COUNTIF('4月'!BB12:BC12,V$115)+COUNTIF('4月'!BG12:BH12,V$115)+COUNTIF('4月'!BL12:BM12,V$115)+COUNTIF('4月'!BQ12:BR12,V$115)+COUNTIF('4月'!BV12:BW12,V$115)+COUNTIF('4月'!CA12:CB12,V$115)+COUNTIF('4月'!CF12:CG12,V$115)+COUNTIF('4月'!CK12:CL12,V$115)+COUNTIF('4月'!CP12:CQ12,V$115)+COUNTIF('4月'!CU12:CV12,V$115)+COUNTIF('4月'!CZ12:DA12,V$115)+COUNTIF('4月'!DE12:DF12,V$115)+COUNTIF('4月'!DJ12:DK12,V$115)+COUNTIF('4月'!DO12:DP12,V$115)+COUNTIF('4月'!DT12:DU12,V$115)+COUNTIF('4月'!DY12:DZ12,V$115)+COUNTIF('4月'!ED12:EE12,V$115)+COUNTIF('4月'!EI12:EJ12,V$115)+COUNTIF('4月'!EN12:EO12,V$115)+COUNTIF('4月'!ES12:ET12,V$115)</f>
        <v>0</v>
      </c>
      <c r="W125" s="76">
        <f t="shared" si="46"/>
        <v>0</v>
      </c>
      <c r="X125" s="76">
        <f>COUNTIF('4月'!D12:E12,X$115)+COUNTIF('4月'!I12:J12,X$115)+COUNTIF('4月'!N12:O12,X$115)+COUNTIF('4月'!S12:T12,X$115)+COUNTIF('4月'!X12:Y12,X$115)+COUNTIF('4月'!AC12:AD12,X$115)+COUNTIF('4月'!AH12:AI12,X$115)+COUNTIF('4月'!AM12:AN12,X$115)+COUNTIF('4月'!AR12:AS12,X$115)+COUNTIF('4月'!AW12:AX12,X$115)+COUNTIF('4月'!BB12:BC12,X$115)+COUNTIF('4月'!BG12:BH12,X$115)+COUNTIF('4月'!BL12:BM12,X$115)+COUNTIF('4月'!BQ12:BR12,X$115)+COUNTIF('4月'!BV12:BW12,X$115)+COUNTIF('4月'!CA12:CB12,X$115)+COUNTIF('4月'!CF12:CG12,X$115)+COUNTIF('4月'!CK12:CL12,X$115)+COUNTIF('4月'!CP12:CQ12,X$115)+COUNTIF('4月'!CU12:CV12,X$115)+COUNTIF('4月'!CZ12:DA12,X$115)+COUNTIF('4月'!DE12:DF12,X$115)+COUNTIF('4月'!DJ12:DK12,X$115)+COUNTIF('4月'!DO12:DP12,X$115)+COUNTIF('4月'!DT12:DU12,X$115)+COUNTIF('4月'!DY12:DZ12,X$115)+COUNTIF('4月'!ED12:EE12,X$115)+COUNTIF('4月'!EI12:EJ12,X$115)+COUNTIF('4月'!EN12:EO12,X$115)+COUNTIF('4月'!ES12:ET12,X$115)</f>
        <v>0</v>
      </c>
      <c r="Y125" s="76">
        <f t="shared" si="47"/>
        <v>0</v>
      </c>
    </row>
    <row r="126" spans="1:25" ht="18" customHeight="1">
      <c r="A126" s="76">
        <v>10</v>
      </c>
      <c r="B126" s="76">
        <f>COUNTIF('4月'!D13:E13,B$115)+COUNTIF('4月'!I13:J13,B$115)+COUNTIF('4月'!N13:O13,B$115)+COUNTIF('4月'!S13:T13,B$115)+COUNTIF('4月'!X13:Y13,B$115)+COUNTIF('4月'!AC13:AD13,B$115)+COUNTIF('4月'!AH13:AI13,B$115)+COUNTIF('4月'!AM13:AN13,B$115)+COUNTIF('4月'!AR13:AS13,B$115)+COUNTIF('4月'!AW13:AX13,B$115)+COUNTIF('4月'!BB13:BC13,B$115)+COUNTIF('4月'!BG13:BH13,B$115)+COUNTIF('4月'!BL13:BM13,B$115)+COUNTIF('4月'!BQ13:BR13,B$115)+COUNTIF('4月'!BV13:BW13,B$115)+COUNTIF('4月'!CA13:CB13,B$115)+COUNTIF('4月'!CF13:CG13,B$115)+COUNTIF('4月'!CK13:CL13,B$115)+COUNTIF('4月'!CP13:CQ13,B$115)+COUNTIF('4月'!CU13:CV13,B$115)+COUNTIF('4月'!CZ13:DA13,B$115)+COUNTIF('4月'!DE13:DF13,B$115)+COUNTIF('4月'!DJ13:DK13,B$115)+COUNTIF('4月'!DO13:DP13,B$115)+COUNTIF('4月'!DT13:DU13,B$115)+COUNTIF('4月'!DY13:DZ13,B$115)+COUNTIF('4月'!ED13:EE13,B$115)+COUNTIF('4月'!EI13:EJ13,B$115)+COUNTIF('4月'!EN13:EO13,B$115)+COUNTIF('4月'!ES13:ET13,B$115)</f>
        <v>0</v>
      </c>
      <c r="C126" s="76">
        <f t="shared" si="36"/>
        <v>0</v>
      </c>
      <c r="D126" s="76">
        <f>COUNTIF('4月'!D13:E13,D$115)+COUNTIF('4月'!I13:J13,D$115)+COUNTIF('4月'!N13:O13,D$115)+COUNTIF('4月'!S13:T13,D$115)+COUNTIF('4月'!X13:Y13,D$115)+COUNTIF('4月'!AC13:AD13,D$115)+COUNTIF('4月'!AH13:AI13,D$115)+COUNTIF('4月'!AM13:AN13,D$115)+COUNTIF('4月'!AR13:AS13,D$115)+COUNTIF('4月'!AW13:AX13,D$115)+COUNTIF('4月'!BB13:BC13,D$115)+COUNTIF('4月'!BG13:BH13,D$115)+COUNTIF('4月'!BL13:BM13,D$115)+COUNTIF('4月'!BQ13:BR13,D$115)+COUNTIF('4月'!BV13:BW13,D$115)+COUNTIF('4月'!CA13:CB13,D$115)+COUNTIF('4月'!CF13:CG13,D$115)+COUNTIF('4月'!CK13:CL13,D$115)+COUNTIF('4月'!CP13:CQ13,D$115)+COUNTIF('4月'!CU13:CV13,D$115)+COUNTIF('4月'!CZ13:DA13,D$115)+COUNTIF('4月'!DE13:DF13,D$115)+COUNTIF('4月'!DJ13:DK13,D$115)+COUNTIF('4月'!DO13:DP13,D$115)+COUNTIF('4月'!DT13:DU13,D$115)+COUNTIF('4月'!DY13:DZ13,D$115)+COUNTIF('4月'!ED13:EE13,D$115)+COUNTIF('4月'!EI13:EJ13,D$115)+COUNTIF('4月'!EN13:EO13,D$115)+COUNTIF('4月'!ES13:ET13,D$115)</f>
        <v>0</v>
      </c>
      <c r="E126" s="76">
        <f t="shared" si="37"/>
        <v>0</v>
      </c>
      <c r="F126" s="76">
        <f>COUNTIF('4月'!D13:E13,F$115)+COUNTIF('4月'!I13:J13,F$115)+COUNTIF('4月'!N13:O13,F$115)+COUNTIF('4月'!S13:T13,F$115)+COUNTIF('4月'!X13:Y13,F$115)+COUNTIF('4月'!AC13:AD13,F$115)+COUNTIF('4月'!AH13:AI13,F$115)+COUNTIF('4月'!AM13:AN13,F$115)+COUNTIF('4月'!AR13:AS13,F$115)+COUNTIF('4月'!AW13:AX13,F$115)+COUNTIF('4月'!BB13:BC13,F$115)+COUNTIF('4月'!BG13:BH13,F$115)+COUNTIF('4月'!BL13:BM13,F$115)+COUNTIF('4月'!BQ13:BR13,F$115)+COUNTIF('4月'!BV13:BW13,F$115)+COUNTIF('4月'!CA13:CB13,F$115)+COUNTIF('4月'!CF13:CG13,F$115)+COUNTIF('4月'!CK13:CL13,F$115)+COUNTIF('4月'!CP13:CQ13,F$115)+COUNTIF('4月'!CU13:CV13,F$115)+COUNTIF('4月'!CZ13:DA13,F$115)+COUNTIF('4月'!DE13:DF13,F$115)+COUNTIF('4月'!DJ13:DK13,F$115)+COUNTIF('4月'!DO13:DP13,F$115)+COUNTIF('4月'!DT13:DU13,F$115)+COUNTIF('4月'!DY13:DZ13,F$115)+COUNTIF('4月'!ED13:EE13,F$115)+COUNTIF('4月'!EI13:EJ13,F$115)+COUNTIF('4月'!EN13:EO13,F$115)+COUNTIF('4月'!ES13:ET13,F$115)</f>
        <v>0</v>
      </c>
      <c r="G126" s="76">
        <f t="shared" si="38"/>
        <v>0</v>
      </c>
      <c r="H126" s="76">
        <f>COUNTIF('4月'!D13:E13,H$115)+COUNTIF('4月'!I13:J13,H$115)+COUNTIF('4月'!N13:O13,H$115)+COUNTIF('4月'!S13:T13,H$115)+COUNTIF('4月'!X13:Y13,H$115)+COUNTIF('4月'!AC13:AD13,H$115)+COUNTIF('4月'!AH13:AI13,H$115)+COUNTIF('4月'!AM13:AN13,H$115)+COUNTIF('4月'!AR13:AS13,H$115)+COUNTIF('4月'!AW13:AX13,H$115)+COUNTIF('4月'!BB13:BC13,H$115)+COUNTIF('4月'!BG13:BH13,H$115)+COUNTIF('4月'!BL13:BM13,H$115)+COUNTIF('4月'!BQ13:BR13,H$115)+COUNTIF('4月'!BV13:BW13,H$115)+COUNTIF('4月'!CA13:CB13,H$115)+COUNTIF('4月'!CF13:CG13,H$115)+COUNTIF('4月'!CK13:CL13,H$115)+COUNTIF('4月'!CP13:CQ13,H$115)+COUNTIF('4月'!CU13:CV13,H$115)+COUNTIF('4月'!CZ13:DA13,H$115)+COUNTIF('4月'!DE13:DF13,H$115)+COUNTIF('4月'!DJ13:DK13,H$115)+COUNTIF('4月'!DO13:DP13,H$115)+COUNTIF('4月'!DT13:DU13,H$115)+COUNTIF('4月'!DY13:DZ13,H$115)+COUNTIF('4月'!ED13:EE13,H$115)+COUNTIF('4月'!EI13:EJ13,H$115)+COUNTIF('4月'!EN13:EO13,H$115)+COUNTIF('4月'!ES13:ET13,H$115)+COUNTIF('4月'!D13:E13,"渋谷-夜勤")+COUNTIF('4月'!I13:J13,"渋谷-夜勤")+COUNTIF('4月'!N13:O13,"渋谷-夜勤")+COUNTIF('4月'!S13:T13,"渋谷-夜勤")+COUNTIF('4月'!X13:Y13,"渋谷-夜勤")+COUNTIF('4月'!AC13:AD13,"渋谷-夜勤")+COUNTIF('4月'!AH13:AI13,"渋谷-夜勤")+COUNTIF('4月'!AM13:AN13,"渋谷-夜勤")+COUNTIF('4月'!AR13:AS13,"渋谷-夜勤")+COUNTIF('4月'!AW13:AX13,"渋谷-夜勤")+COUNTIF('4月'!BB13:BC13,"渋谷-夜勤")+COUNTIF('4月'!BG13:BH13,"渋谷-夜勤")+COUNTIF('4月'!BL13:BM13,"渋谷-夜勤")+COUNTIF('4月'!BQ13:BR13,"渋谷-夜勤")+COUNTIF('4月'!BV13:BW13,"渋谷-夜勤")+COUNTIF('4月'!CA13:CB13,"渋谷-夜勤")+COUNTIF('4月'!CF13:CG13,"渋谷-夜勤")+COUNTIF('4月'!CK13:CL13,"渋谷-夜勤")+COUNTIF('4月'!CP13:CQ13,"渋谷-夜勤")+COUNTIF('4月'!CU13:CV13,"渋谷-夜勤")+COUNTIF('4月'!CZ13:DA13,"渋谷-夜勤")+COUNTIF('4月'!DE13:DF13,"渋谷-夜勤")+COUNTIF('4月'!DJ13:DK13,"渋谷-夜勤")+COUNTIF('4月'!DO13:DP13,"渋谷-夜勤")+COUNTIF('4月'!DT13:DU13,"渋谷-夜勤")+COUNTIF('4月'!DY13:DZ13,"渋谷-夜勤")+COUNTIF('4月'!ED13:EE13,"渋谷-夜勤")+COUNTIF('4月'!EI13:EJ13,"渋谷-夜勤")+COUNTIF('4月'!EN13:EO13,"渋谷-夜勤")+COUNTIF('4月'!ES13:ET13,"渋谷-夜勤")</f>
        <v>0</v>
      </c>
      <c r="I126" s="76">
        <f t="shared" si="39"/>
        <v>0</v>
      </c>
      <c r="J126" s="76">
        <f>COUNTIF('4月'!D13:E13,J$115)+COUNTIF('4月'!I13:J13,J$115)+COUNTIF('4月'!N13:O13,J$115)+COUNTIF('4月'!S13:T13,J$115)+COUNTIF('4月'!X13:Y13,J$115)+COUNTIF('4月'!AC13:AD13,J$115)+COUNTIF('4月'!AH13:AI13,J$115)+COUNTIF('4月'!AM13:AN13,J$115)+COUNTIF('4月'!AR13:AS13,J$115)+COUNTIF('4月'!AW13:AX13,J$115)+COUNTIF('4月'!BB13:BC13,J$115)+COUNTIF('4月'!BG13:BH13,J$115)+COUNTIF('4月'!BL13:BM13,J$115)+COUNTIF('4月'!BQ13:BR13,J$115)+COUNTIF('4月'!BV13:BW13,J$115)+COUNTIF('4月'!CA13:CB13,J$115)+COUNTIF('4月'!CF13:CG13,J$115)+COUNTIF('4月'!CK13:CL13,J$115)+COUNTIF('4月'!CP13:CQ13,J$115)+COUNTIF('4月'!CU13:CV13,J$115)+COUNTIF('4月'!CZ13:DA13,J$115)+COUNTIF('4月'!DE13:DF13,J$115)+COUNTIF('4月'!DJ13:DK13,J$115)+COUNTIF('4月'!DO13:DP13,J$115)+COUNTIF('4月'!DT13:DU13,J$115)+COUNTIF('4月'!DY13:DZ13,J$115)+COUNTIF('4月'!ED13:EE13,J$115)+COUNTIF('4月'!EI13:EJ13,J$115)+COUNTIF('4月'!EN13:EO13,J$115)+COUNTIF('4月'!ES13:ET13,J$115)+COUNTIF('4月'!D13:E13,"六本木-夜勤")+COUNTIF('4月'!I13:J13,"六本木-夜勤")+COUNTIF('4月'!N13:O13,"六本木-夜勤")+COUNTIF('4月'!S13:T13,"六本木-夜勤")+COUNTIF('4月'!X13:Y13,"六本木-夜勤")+COUNTIF('4月'!AC13:AD13,"六本木-夜勤")+COUNTIF('4月'!AH13:AI13,"六本木-夜勤")+COUNTIF('4月'!AM13:AN13,"六本木-夜勤")+COUNTIF('4月'!AR13:AS13,"六本木-夜勤")+COUNTIF('4月'!AW13:AX13,"六本木-夜勤")+COUNTIF('4月'!BB13:BC13,"六本木-夜勤")+COUNTIF('4月'!BG13:BH13,"六本木-夜勤")+COUNTIF('4月'!BL13:BM13,"六本木-夜勤")+COUNTIF('4月'!BQ13:BR13,"六本木-夜勤")+COUNTIF('4月'!BV13:BW13,"六本木-夜勤")+COUNTIF('4月'!CA13:CB13,"六本木-夜勤")+COUNTIF('4月'!CF13:CG13,"六本木-夜勤")+COUNTIF('4月'!CK13:CL13,"六本木-夜勤")+COUNTIF('4月'!CP13:CQ13,"六本木-夜勤")+COUNTIF('4月'!CU13:CV13,"六本木-夜勤")+COUNTIF('4月'!CZ13:DA13,"六本木-夜勤")+COUNTIF('4月'!DE13:DF13,"六本木-夜勤")+COUNTIF('4月'!DJ13:DK13,"六本木-夜勤")+COUNTIF('4月'!DO13:DP13,"六本木-夜勤")+COUNTIF('4月'!DT13:DU13,"六本木-夜勤")+COUNTIF('4月'!DY13:DZ13,"六本木-夜勤")+COUNTIF('4月'!ED13:EE13,"六本木-夜勤")+COUNTIF('4月'!EI13:EJ13,"六本木-夜勤")+COUNTIF('4月'!EN13:EO13,"六本木-夜勤")+COUNTIF('4月'!ES13:ET13,"六本木-夜勤")+COUNTIF('4月'!D13:E13,"六本木ー夜勤")+COUNTIF('4月'!I13:J13,"六本木ー夜勤")+COUNTIF('4月'!N13:O13,"六本木ー夜勤")+COUNTIF('4月'!S13:T13,"六本木ー夜勤")+COUNTIF('4月'!X13:Y13,"六本木ー夜勤")+COUNTIF('4月'!AC13:AD13,"六本木ー夜勤")+COUNTIF('4月'!AH13:AI13,"六本木ー夜勤")+COUNTIF('4月'!AM13:AN13,"六本木ー夜勤")+COUNTIF('4月'!AR13:AS13,"六本木ー夜勤")+COUNTIF('4月'!AW13:AX13,"六本木ー夜勤")+COUNTIF('4月'!BB13:BC13,"六本木ー夜勤")+COUNTIF('4月'!BG13:BH13,"六本木ー夜勤")+COUNTIF('4月'!BL13:BM13,"六本木ー夜勤")+COUNTIF('4月'!BQ13:BR13,"六本木ー夜勤")+COUNTIF('4月'!BV13:BW13,"六本木ー夜勤")+COUNTIF('4月'!CA13:CB13,"六本木ー夜勤")+COUNTIF('4月'!CF13:CG13,"六本木ー夜勤")+COUNTIF('4月'!CK13:CL13,"六本木ー夜勤")+COUNTIF('4月'!CP13:CQ13,"六本木ー夜勤")+COUNTIF('4月'!CU13:CV13,"六本木ー夜勤")+COUNTIF('4月'!CZ13:DA13,"六本木ー夜勤")+COUNTIF('4月'!DE13:DF13,"六本木ー夜勤")+COUNTIF('4月'!DJ13:DK13,"六本木ー夜勤")+COUNTIF('4月'!DO13:DP13,"六本木ー夜勤")+COUNTIF('4月'!DT13:DU13,"六本木ー夜勤")+COUNTIF('4月'!DY13:DZ13,"六本木ー夜勤")+COUNTIF('4月'!ED13:EE13,"六本木ー夜勤")+COUNTIF('4月'!EI13:EJ13,"六本木ー夜勤")+COUNTIF('4月'!EN13:EO13,"六本木ー夜勤")+COUNTIF('4月'!ES13:ET13,"六本木ー夜勤")</f>
        <v>0</v>
      </c>
      <c r="K126" s="76">
        <f t="shared" si="40"/>
        <v>0</v>
      </c>
      <c r="L126" s="76">
        <f>COUNTIF('4月'!D13:E13,L$115)+COUNTIF('4月'!I13:J13,L$115)+COUNTIF('4月'!N13:O13,L$115)+COUNTIF('4月'!S13:T13,L$115)+COUNTIF('4月'!X13:Y13,L$115)+COUNTIF('4月'!AC13:AD13,L$115)+COUNTIF('4月'!AH13:AI13,L$115)+COUNTIF('4月'!AM13:AN13,L$115)+COUNTIF('4月'!AR13:AS13,L$115)+COUNTIF('4月'!AW13:AX13,L$115)+COUNTIF('4月'!BB13:BC13,L$115)+COUNTIF('4月'!BG13:BH13,L$115)+COUNTIF('4月'!BL13:BM13,L$115)+COUNTIF('4月'!BQ13:BR13,L$115)+COUNTIF('4月'!BV13:BW13,L$115)+COUNTIF('4月'!CA13:CB13,L$115)+COUNTIF('4月'!CF13:CG13,L$115)+COUNTIF('4月'!CK13:CL13,L$115)+COUNTIF('4月'!CP13:CQ13,L$115)+COUNTIF('4月'!CU13:CV13,L$115)+COUNTIF('4月'!CZ13:DA13,L$115)+COUNTIF('4月'!DE13:DF13,L$115)+COUNTIF('4月'!DJ13:DK13,L$115)+COUNTIF('4月'!DO13:DP13,L$115)+COUNTIF('4月'!DT13:DU13,L$115)+COUNTIF('4月'!DY13:DZ13,L$115)+COUNTIF('4月'!ED13:EE13,L$115)+COUNTIF('4月'!EI13:EJ13,L$115)+COUNTIF('4月'!EN13:EO13,L$115)+COUNTIF('4月'!ES13:ET13,L$115)</f>
        <v>0</v>
      </c>
      <c r="M126" s="76">
        <f t="shared" si="41"/>
        <v>0</v>
      </c>
      <c r="N126" s="76">
        <f>COUNTIF('4月'!D13:E13,N$115)+COUNTIF('4月'!I13:J13,N$115)+COUNTIF('4月'!N13:O13,N$115)+COUNTIF('4月'!S13:T13,N$115)+COUNTIF('4月'!X13:Y13,N$115)+COUNTIF('4月'!AC13:AD13,N$115)+COUNTIF('4月'!AH13:AI13,N$115)+COUNTIF('4月'!AM13:AN13,N$115)+COUNTIF('4月'!AR13:AS13,N$115)+COUNTIF('4月'!AW13:AX13,N$115)+COUNTIF('4月'!BB13:BC13,N$115)+COUNTIF('4月'!BG13:BH13,N$115)+COUNTIF('4月'!BL13:BM13,N$115)+COUNTIF('4月'!BQ13:BR13,N$115)+COUNTIF('4月'!BV13:BW13,N$115)+COUNTIF('4月'!CA13:CB13,N$115)+COUNTIF('4月'!CF13:CG13,N$115)+COUNTIF('4月'!CK13:CL13,N$115)+COUNTIF('4月'!CP13:CQ13,N$115)+COUNTIF('4月'!CU13:CV13,N$115)+COUNTIF('4月'!CZ13:DA13,N$115)+COUNTIF('4月'!DE13:DF13,N$115)+COUNTIF('4月'!DJ13:DK13,N$115)+COUNTIF('4月'!DO13:DP13,N$115)+COUNTIF('4月'!DT13:DU13,N$115)+COUNTIF('4月'!DY13:DZ13,N$115)+COUNTIF('4月'!ED13:EE13,N$115)+COUNTIF('4月'!EI13:EJ13,N$115)+COUNTIF('4月'!EN13:EO13,N$115)+COUNTIF('4月'!ES13:ET13,N$115)+COUNTIF('4月'!D13:E13,"三軒茶屋－夜勤")+COUNTIF('4月'!I13:J13,"三軒茶屋－夜勤")+COUNTIF('4月'!N13:O13,"三軒茶屋－夜勤")+COUNTIF('4月'!S13:T13,"三軒茶屋－夜勤")+COUNTIF('4月'!X13:Y13,"三軒茶屋－夜勤")+COUNTIF('4月'!AC13:AD13,"三軒茶屋－夜勤")+COUNTIF('4月'!AH13:AI13,"三軒茶屋－夜勤")+COUNTIF('4月'!AM13:AN13,"三軒茶屋－夜勤")+COUNTIF('4月'!AR13:AS13,"三軒茶屋－夜勤")+COUNTIF('4月'!AW13:AX13,"三軒茶屋－夜勤")+COUNTIF('4月'!BB13:BC13,"三軒茶屋－夜勤")+COUNTIF('4月'!BG13:BH13,"三軒茶屋－夜勤")+COUNTIF('4月'!BL13:BM13,"三軒茶屋－夜勤")+COUNTIF('4月'!BQ13:BR13,"三軒茶屋－夜勤")+COUNTIF('4月'!BV13:BW13,"三軒茶屋－夜勤")+COUNTIF('4月'!CA13:CB13,"三軒茶屋－夜勤")+COUNTIF('4月'!CF13:CG13,"三軒茶屋－夜勤")+COUNTIF('4月'!CK13:CL13,"三軒茶屋－夜勤")+COUNTIF('4月'!CP13:CQ13,"三軒茶屋－夜勤")+COUNTIF('4月'!CU13:CV13,"三軒茶屋－夜勤")+COUNTIF('4月'!CZ13:DA13,"三軒茶屋－夜勤")+COUNTIF('4月'!DE13:DF13,"三軒茶屋－夜勤")+COUNTIF('4月'!DJ13:DK13,"三軒茶屋－夜勤")+COUNTIF('4月'!DO13:DP13,"三軒茶屋－夜勤")+COUNTIF('4月'!DT13:DU13,"三軒茶屋－夜勤")+COUNTIF('4月'!DY13:DZ13,"三軒茶屋－夜勤")+COUNTIF('4月'!ED13:EE13,"三軒茶屋－夜勤")+COUNTIF('4月'!EI13:EJ13,"三軒茶屋－夜勤")+COUNTIF('4月'!EN13:EO13,"三軒茶屋－夜勤")+COUNTIF('4月'!ES13:ET13,"三軒茶屋－夜勤")</f>
        <v>0</v>
      </c>
      <c r="O126" s="76">
        <f t="shared" si="42"/>
        <v>0</v>
      </c>
      <c r="P126" s="76">
        <f>COUNTIF('4月'!D13:E13,P$115)+COUNTIF('4月'!I13:J13,P$115)+COUNTIF('4月'!N13:O13,P$115)+COUNTIF('4月'!S13:T13,P$115)+COUNTIF('4月'!X13:Y13,P$115)+COUNTIF('4月'!AC13:AD13,P$115)+COUNTIF('4月'!AH13:AI13,P$115)+COUNTIF('4月'!AM13:AN13,P$115)+COUNTIF('4月'!AR13:AS13,P$115)+COUNTIF('4月'!AW13:AX13,P$115)+COUNTIF('4月'!BB13:BC13,P$115)+COUNTIF('4月'!BG13:BH13,P$115)+COUNTIF('4月'!BL13:BM13,P$115)+COUNTIF('4月'!BQ13:BR13,P$115)+COUNTIF('4月'!BV13:BW13,P$115)+COUNTIF('4月'!CA13:CB13,P$115)+COUNTIF('4月'!CF13:CG13,P$115)+COUNTIF('4月'!CK13:CL13,P$115)+COUNTIF('4月'!CP13:CQ13,P$115)+COUNTIF('4月'!CU13:CV13,P$115)+COUNTIF('4月'!CZ13:DA13,P$115)+COUNTIF('4月'!DE13:DF13,P$115)+COUNTIF('4月'!DJ13:DK13,P$115)+COUNTIF('4月'!DO13:DP13,P$115)+COUNTIF('4月'!DT13:DU13,P$115)+COUNTIF('4月'!DY13:DZ13,P$115)+COUNTIF('4月'!ED13:EE13,P$115)+COUNTIF('4月'!EI13:EJ13,P$115)+COUNTIF('4月'!EN13:EO13,P$115)+COUNTIF('4月'!ES13:ET13,P$115)+COUNTIF('4月'!D13:E13,"荻窪ー夜勤")+COUNTIF('4月'!I13:J13,"荻窪ー夜勤")+COUNTIF('4月'!N13:O13,"荻窪ー夜勤")+COUNTIF('4月'!S13:T13,"荻窪ー夜勤")+COUNTIF('4月'!X13:Y13,"荻窪ー夜勤")+COUNTIF('4月'!AC13:AD13,"荻窪ー夜勤")+COUNTIF('4月'!AH13:AI13,"荻窪ー夜勤")+COUNTIF('4月'!AM13:AN13,"荻窪ー夜勤")+COUNTIF('4月'!AR13:AS13,"荻窪ー夜勤")+COUNTIF('4月'!AW13:AX13,"荻窪ー夜勤")+COUNTIF('4月'!BB13:BC13,"荻窪ー夜勤")+COUNTIF('4月'!BG13:BH13,"荻窪ー夜勤")+COUNTIF('4月'!BL13:BM13,"荻窪ー夜勤")+COUNTIF('4月'!BQ13:BR13,"荻窪ー夜勤")+COUNTIF('4月'!BV13:BW13,"荻窪ー夜勤")+COUNTIF('4月'!CA13:CB13,"荻窪ー夜勤")+COUNTIF('4月'!CF13:CG13,"荻窪ー夜勤")+COUNTIF('4月'!CK13:CL13,"荻窪ー夜勤")+COUNTIF('4月'!CP13:CQ13,"荻窪ー夜勤")+COUNTIF('4月'!CU13:CV13,"荻窪ー夜勤")+COUNTIF('4月'!CZ13:DA13,"荻窪ー夜勤")+COUNTIF('4月'!DE13:DF13,"荻窪ー夜勤")+COUNTIF('4月'!DJ13:DK13,"荻窪ー夜勤")+COUNTIF('4月'!DO13:DP13,"荻窪ー夜勤")+COUNTIF('4月'!DT13:DU13,"荻窪ー夜勤")+COUNTIF('4月'!DY13:DZ13,"荻窪ー夜勤")+COUNTIF('4月'!ED13:EE13,"荻窪ー夜勤")+COUNTIF('4月'!EI13:EJ13,"荻窪ー夜勤")+COUNTIF('4月'!EN13:EO13,"荻窪ー夜勤")+COUNTIF('4月'!ES13:ET13,"荻窪ー夜勤")</f>
        <v>0</v>
      </c>
      <c r="Q126" s="76">
        <f t="shared" si="43"/>
        <v>0</v>
      </c>
      <c r="R126" s="76">
        <f>COUNTIF('4月'!D13:E13,R$115)+COUNTIF('4月'!I13:J13,R$115)+COUNTIF('4月'!N13:O13,R$115)+COUNTIF('4月'!S13:T13,R$115)+COUNTIF('4月'!X13:Y13,R$115)+COUNTIF('4月'!AC13:AD13,R$115)+COUNTIF('4月'!AH13:AI13,R$115)+COUNTIF('4月'!AM13:AN13,R$115)+COUNTIF('4月'!AR13:AS13,R$115)+COUNTIF('4月'!AW13:AX13,R$115)+COUNTIF('4月'!BB13:BC13,R$115)+COUNTIF('4月'!BG13:BH13,R$115)+COUNTIF('4月'!BL13:BM13,R$115)+COUNTIF('4月'!BQ13:BR13,R$115)+COUNTIF('4月'!BV13:BW13,R$115)+COUNTIF('4月'!CA13:CB13,R$115)+COUNTIF('4月'!CF13:CG13,R$115)+COUNTIF('4月'!CK13:CL13,R$115)+COUNTIF('4月'!CP13:CQ13,R$115)+COUNTIF('4月'!CU13:CV13,R$115)+COUNTIF('4月'!CZ13:DA13,R$115)+COUNTIF('4月'!DE13:DF13,R$115)+COUNTIF('4月'!DJ13:DK13,R$115)+COUNTIF('4月'!DO13:DP13,R$115)+COUNTIF('4月'!DT13:DU13,R$115)+COUNTIF('4月'!DY13:DZ13,R$115)+COUNTIF('4月'!ED13:EE13,R$115)+COUNTIF('4月'!EI13:EJ13,R$115)+COUNTIF('4月'!EN13:EO13,R$115)+COUNTIF('4月'!ES13:ET13,R$115)</f>
        <v>0</v>
      </c>
      <c r="S126" s="76">
        <f t="shared" si="44"/>
        <v>0</v>
      </c>
      <c r="T126" s="76">
        <f>COUNTIF('4月'!D13:E13,T$115)+COUNTIF('4月'!I13:J13,T$115)+COUNTIF('4月'!N13:O13,T$115)+COUNTIF('4月'!S13:T13,T$115)+COUNTIF('4月'!X13:Y13,T$115)+COUNTIF('4月'!AC13:AD13,T$115)+COUNTIF('4月'!AH13:AI13,T$115)+COUNTIF('4月'!AM13:AN13,T$115)+COUNTIF('4月'!AR13:AS13,T$115)+COUNTIF('4月'!AW13:AX13,T$115)+COUNTIF('4月'!BB13:BC13,T$115)+COUNTIF('4月'!BG13:BH13,T$115)+COUNTIF('4月'!BL13:BM13,T$115)+COUNTIF('4月'!BQ13:BR13,T$115)+COUNTIF('4月'!BV13:BW13,T$115)+COUNTIF('4月'!CA13:CB13,T$115)+COUNTIF('4月'!CF13:CG13,T$115)+COUNTIF('4月'!CK13:CL13,T$115)+COUNTIF('4月'!CP13:CQ13,T$115)+COUNTIF('4月'!CU13:CV13,T$115)+COUNTIF('4月'!CZ13:DA13,T$115)+COUNTIF('4月'!DE13:DF13,T$115)+COUNTIF('4月'!DJ13:DK13,T$115)+COUNTIF('4月'!DO13:DP13,T$115)+COUNTIF('4月'!DT13:DU13,T$115)+COUNTIF('4月'!DY13:DZ13,T$115)+COUNTIF('4月'!ED13:EE13,T$115)+COUNTIF('4月'!EI13:EJ13,T$115)+COUNTIF('4月'!EN13:EO13,T$115)+COUNTIF('4月'!ES13:ET13,T$115)</f>
        <v>0</v>
      </c>
      <c r="U126" s="76">
        <f t="shared" si="45"/>
        <v>0</v>
      </c>
      <c r="V126" s="76">
        <f>COUNTIF('4月'!D13:E13,V$115)+COUNTIF('4月'!I13:J13,V$115)+COUNTIF('4月'!N13:O13,V$115)+COUNTIF('4月'!S13:T13,V$115)+COUNTIF('4月'!X13:Y13,V$115)+COUNTIF('4月'!AC13:AD13,V$115)+COUNTIF('4月'!AH13:AI13,V$115)+COUNTIF('4月'!AM13:AN13,V$115)+COUNTIF('4月'!AR13:AS13,V$115)+COUNTIF('4月'!AW13:AX13,V$115)+COUNTIF('4月'!BB13:BC13,V$115)+COUNTIF('4月'!BG13:BH13,V$115)+COUNTIF('4月'!BL13:BM13,V$115)+COUNTIF('4月'!BQ13:BR13,V$115)+COUNTIF('4月'!BV13:BW13,V$115)+COUNTIF('4月'!CA13:CB13,V$115)+COUNTIF('4月'!CF13:CG13,V$115)+COUNTIF('4月'!CK13:CL13,V$115)+COUNTIF('4月'!CP13:CQ13,V$115)+COUNTIF('4月'!CU13:CV13,V$115)+COUNTIF('4月'!CZ13:DA13,V$115)+COUNTIF('4月'!DE13:DF13,V$115)+COUNTIF('4月'!DJ13:DK13,V$115)+COUNTIF('4月'!DO13:DP13,V$115)+COUNTIF('4月'!DT13:DU13,V$115)+COUNTIF('4月'!DY13:DZ13,V$115)+COUNTIF('4月'!ED13:EE13,V$115)+COUNTIF('4月'!EI13:EJ13,V$115)+COUNTIF('4月'!EN13:EO13,V$115)+COUNTIF('4月'!ES13:ET13,V$115)</f>
        <v>0</v>
      </c>
      <c r="W126" s="76">
        <f t="shared" si="46"/>
        <v>0</v>
      </c>
      <c r="X126" s="76">
        <f>COUNTIF('4月'!D13:E13,X$115)+COUNTIF('4月'!I13:J13,X$115)+COUNTIF('4月'!N13:O13,X$115)+COUNTIF('4月'!S13:T13,X$115)+COUNTIF('4月'!X13:Y13,X$115)+COUNTIF('4月'!AC13:AD13,X$115)+COUNTIF('4月'!AH13:AI13,X$115)+COUNTIF('4月'!AM13:AN13,X$115)+COUNTIF('4月'!AR13:AS13,X$115)+COUNTIF('4月'!AW13:AX13,X$115)+COUNTIF('4月'!BB13:BC13,X$115)+COUNTIF('4月'!BG13:BH13,X$115)+COUNTIF('4月'!BL13:BM13,X$115)+COUNTIF('4月'!BQ13:BR13,X$115)+COUNTIF('4月'!BV13:BW13,X$115)+COUNTIF('4月'!CA13:CB13,X$115)+COUNTIF('4月'!CF13:CG13,X$115)+COUNTIF('4月'!CK13:CL13,X$115)+COUNTIF('4月'!CP13:CQ13,X$115)+COUNTIF('4月'!CU13:CV13,X$115)+COUNTIF('4月'!CZ13:DA13,X$115)+COUNTIF('4月'!DE13:DF13,X$115)+COUNTIF('4月'!DJ13:DK13,X$115)+COUNTIF('4月'!DO13:DP13,X$115)+COUNTIF('4月'!DT13:DU13,X$115)+COUNTIF('4月'!DY13:DZ13,X$115)+COUNTIF('4月'!ED13:EE13,X$115)+COUNTIF('4月'!EI13:EJ13,X$115)+COUNTIF('4月'!EN13:EO13,X$115)+COUNTIF('4月'!ES13:ET13,X$115)</f>
        <v>0</v>
      </c>
      <c r="Y126" s="76">
        <f t="shared" si="47"/>
        <v>0</v>
      </c>
    </row>
    <row r="127" spans="1:25" ht="18" customHeight="1">
      <c r="A127" s="76">
        <v>11</v>
      </c>
      <c r="B127" s="76">
        <f>COUNTIF('4月'!D14:E14,B$115)+COUNTIF('4月'!I14:J14,B$115)+COUNTIF('4月'!N14:O14,B$115)+COUNTIF('4月'!S14:T14,B$115)+COUNTIF('4月'!X14:Y14,B$115)+COUNTIF('4月'!AC14:AD14,B$115)+COUNTIF('4月'!AH14:AI14,B$115)+COUNTIF('4月'!AM14:AN14,B$115)+COUNTIF('4月'!AR14:AS14,B$115)+COUNTIF('4月'!AW14:AX14,B$115)+COUNTIF('4月'!BB14:BC14,B$115)+COUNTIF('4月'!BG14:BH14,B$115)+COUNTIF('4月'!BL14:BM14,B$115)+COUNTIF('4月'!BQ14:BR14,B$115)+COUNTIF('4月'!BV14:BW14,B$115)+COUNTIF('4月'!CA14:CB14,B$115)+COUNTIF('4月'!CF14:CG14,B$115)+COUNTIF('4月'!CK14:CL14,B$115)+COUNTIF('4月'!CP14:CQ14,B$115)+COUNTIF('4月'!CU14:CV14,B$115)+COUNTIF('4月'!CZ14:DA14,B$115)+COUNTIF('4月'!DE14:DF14,B$115)+COUNTIF('4月'!DJ14:DK14,B$115)+COUNTIF('4月'!DO14:DP14,B$115)+COUNTIF('4月'!DT14:DU14,B$115)+COUNTIF('4月'!DY14:DZ14,B$115)+COUNTIF('4月'!ED14:EE14,B$115)+COUNTIF('4月'!EI14:EJ14,B$115)+COUNTIF('4月'!EN14:EO14,B$115)+COUNTIF('4月'!ES14:ET14,B$115)</f>
        <v>0</v>
      </c>
      <c r="C127" s="76">
        <f t="shared" si="36"/>
        <v>0</v>
      </c>
      <c r="D127" s="76">
        <f>COUNTIF('4月'!D14:E14,D$115)+COUNTIF('4月'!I14:J14,D$115)+COUNTIF('4月'!N14:O14,D$115)+COUNTIF('4月'!S14:T14,D$115)+COUNTIF('4月'!X14:Y14,D$115)+COUNTIF('4月'!AC14:AD14,D$115)+COUNTIF('4月'!AH14:AI14,D$115)+COUNTIF('4月'!AM14:AN14,D$115)+COUNTIF('4月'!AR14:AS14,D$115)+COUNTIF('4月'!AW14:AX14,D$115)+COUNTIF('4月'!BB14:BC14,D$115)+COUNTIF('4月'!BG14:BH14,D$115)+COUNTIF('4月'!BL14:BM14,D$115)+COUNTIF('4月'!BQ14:BR14,D$115)+COUNTIF('4月'!BV14:BW14,D$115)+COUNTIF('4月'!CA14:CB14,D$115)+COUNTIF('4月'!CF14:CG14,D$115)+COUNTIF('4月'!CK14:CL14,D$115)+COUNTIF('4月'!CP14:CQ14,D$115)+COUNTIF('4月'!CU14:CV14,D$115)+COUNTIF('4月'!CZ14:DA14,D$115)+COUNTIF('4月'!DE14:DF14,D$115)+COUNTIF('4月'!DJ14:DK14,D$115)+COUNTIF('4月'!DO14:DP14,D$115)+COUNTIF('4月'!DT14:DU14,D$115)+COUNTIF('4月'!DY14:DZ14,D$115)+COUNTIF('4月'!ED14:EE14,D$115)+COUNTIF('4月'!EI14:EJ14,D$115)+COUNTIF('4月'!EN14:EO14,D$115)+COUNTIF('4月'!ES14:ET14,D$115)</f>
        <v>0</v>
      </c>
      <c r="E127" s="76">
        <f t="shared" si="37"/>
        <v>0</v>
      </c>
      <c r="F127" s="76">
        <f>COUNTIF('4月'!D14:E14,F$115)+COUNTIF('4月'!I14:J14,F$115)+COUNTIF('4月'!N14:O14,F$115)+COUNTIF('4月'!S14:T14,F$115)+COUNTIF('4月'!X14:Y14,F$115)+COUNTIF('4月'!AC14:AD14,F$115)+COUNTIF('4月'!AH14:AI14,F$115)+COUNTIF('4月'!AM14:AN14,F$115)+COUNTIF('4月'!AR14:AS14,F$115)+COUNTIF('4月'!AW14:AX14,F$115)+COUNTIF('4月'!BB14:BC14,F$115)+COUNTIF('4月'!BG14:BH14,F$115)+COUNTIF('4月'!BL14:BM14,F$115)+COUNTIF('4月'!BQ14:BR14,F$115)+COUNTIF('4月'!BV14:BW14,F$115)+COUNTIF('4月'!CA14:CB14,F$115)+COUNTIF('4月'!CF14:CG14,F$115)+COUNTIF('4月'!CK14:CL14,F$115)+COUNTIF('4月'!CP14:CQ14,F$115)+COUNTIF('4月'!CU14:CV14,F$115)+COUNTIF('4月'!CZ14:DA14,F$115)+COUNTIF('4月'!DE14:DF14,F$115)+COUNTIF('4月'!DJ14:DK14,F$115)+COUNTIF('4月'!DO14:DP14,F$115)+COUNTIF('4月'!DT14:DU14,F$115)+COUNTIF('4月'!DY14:DZ14,F$115)+COUNTIF('4月'!ED14:EE14,F$115)+COUNTIF('4月'!EI14:EJ14,F$115)+COUNTIF('4月'!EN14:EO14,F$115)+COUNTIF('4月'!ES14:ET14,F$115)</f>
        <v>0</v>
      </c>
      <c r="G127" s="76">
        <f t="shared" si="38"/>
        <v>0</v>
      </c>
      <c r="H127" s="76">
        <f>COUNTIF('4月'!D14:E14,H$115)+COUNTIF('4月'!I14:J14,H$115)+COUNTIF('4月'!N14:O14,H$115)+COUNTIF('4月'!S14:T14,H$115)+COUNTIF('4月'!X14:Y14,H$115)+COUNTIF('4月'!AC14:AD14,H$115)+COUNTIF('4月'!AH14:AI14,H$115)+COUNTIF('4月'!AM14:AN14,H$115)+COUNTIF('4月'!AR14:AS14,H$115)+COUNTIF('4月'!AW14:AX14,H$115)+COUNTIF('4月'!BB14:BC14,H$115)+COUNTIF('4月'!BG14:BH14,H$115)+COUNTIF('4月'!BL14:BM14,H$115)+COUNTIF('4月'!BQ14:BR14,H$115)+COUNTIF('4月'!BV14:BW14,H$115)+COUNTIF('4月'!CA14:CB14,H$115)+COUNTIF('4月'!CF14:CG14,H$115)+COUNTIF('4月'!CK14:CL14,H$115)+COUNTIF('4月'!CP14:CQ14,H$115)+COUNTIF('4月'!CU14:CV14,H$115)+COUNTIF('4月'!CZ14:DA14,H$115)+COUNTIF('4月'!DE14:DF14,H$115)+COUNTIF('4月'!DJ14:DK14,H$115)+COUNTIF('4月'!DO14:DP14,H$115)+COUNTIF('4月'!DT14:DU14,H$115)+COUNTIF('4月'!DY14:DZ14,H$115)+COUNTIF('4月'!ED14:EE14,H$115)+COUNTIF('4月'!EI14:EJ14,H$115)+COUNTIF('4月'!EN14:EO14,H$115)+COUNTIF('4月'!ES14:ET14,H$115)+COUNTIF('4月'!D14:E14,"渋谷-夜勤")+COUNTIF('4月'!I14:J14,"渋谷-夜勤")+COUNTIF('4月'!N14:O14,"渋谷-夜勤")+COUNTIF('4月'!S14:T14,"渋谷-夜勤")+COUNTIF('4月'!X14:Y14,"渋谷-夜勤")+COUNTIF('4月'!AC14:AD14,"渋谷-夜勤")+COUNTIF('4月'!AH14:AI14,"渋谷-夜勤")+COUNTIF('4月'!AM14:AN14,"渋谷-夜勤")+COUNTIF('4月'!AR14:AS14,"渋谷-夜勤")+COUNTIF('4月'!AW14:AX14,"渋谷-夜勤")+COUNTIF('4月'!BB14:BC14,"渋谷-夜勤")+COUNTIF('4月'!BG14:BH14,"渋谷-夜勤")+COUNTIF('4月'!BL14:BM14,"渋谷-夜勤")+COUNTIF('4月'!BQ14:BR14,"渋谷-夜勤")+COUNTIF('4月'!BV14:BW14,"渋谷-夜勤")+COUNTIF('4月'!CA14:CB14,"渋谷-夜勤")+COUNTIF('4月'!CF14:CG14,"渋谷-夜勤")+COUNTIF('4月'!CK14:CL14,"渋谷-夜勤")+COUNTIF('4月'!CP14:CQ14,"渋谷-夜勤")+COUNTIF('4月'!CU14:CV14,"渋谷-夜勤")+COUNTIF('4月'!CZ14:DA14,"渋谷-夜勤")+COUNTIF('4月'!DE14:DF14,"渋谷-夜勤")+COUNTIF('4月'!DJ14:DK14,"渋谷-夜勤")+COUNTIF('4月'!DO14:DP14,"渋谷-夜勤")+COUNTIF('4月'!DT14:DU14,"渋谷-夜勤")+COUNTIF('4月'!DY14:DZ14,"渋谷-夜勤")+COUNTIF('4月'!ED14:EE14,"渋谷-夜勤")+COUNTIF('4月'!EI14:EJ14,"渋谷-夜勤")+COUNTIF('4月'!EN14:EO14,"渋谷-夜勤")+COUNTIF('4月'!ES14:ET14,"渋谷-夜勤")</f>
        <v>0</v>
      </c>
      <c r="I127" s="76">
        <f t="shared" si="39"/>
        <v>0</v>
      </c>
      <c r="J127" s="76">
        <f>COUNTIF('4月'!D14:E14,J$115)+COUNTIF('4月'!I14:J14,J$115)+COUNTIF('4月'!N14:O14,J$115)+COUNTIF('4月'!S14:T14,J$115)+COUNTIF('4月'!X14:Y14,J$115)+COUNTIF('4月'!AC14:AD14,J$115)+COUNTIF('4月'!AH14:AI14,J$115)+COUNTIF('4月'!AM14:AN14,J$115)+COUNTIF('4月'!AR14:AS14,J$115)+COUNTIF('4月'!AW14:AX14,J$115)+COUNTIF('4月'!BB14:BC14,J$115)+COUNTIF('4月'!BG14:BH14,J$115)+COUNTIF('4月'!BL14:BM14,J$115)+COUNTIF('4月'!BQ14:BR14,J$115)+COUNTIF('4月'!BV14:BW14,J$115)+COUNTIF('4月'!CA14:CB14,J$115)+COUNTIF('4月'!CF14:CG14,J$115)+COUNTIF('4月'!CK14:CL14,J$115)+COUNTIF('4月'!CP14:CQ14,J$115)+COUNTIF('4月'!CU14:CV14,J$115)+COUNTIF('4月'!CZ14:DA14,J$115)+COUNTIF('4月'!DE14:DF14,J$115)+COUNTIF('4月'!DJ14:DK14,J$115)+COUNTIF('4月'!DO14:DP14,J$115)+COUNTIF('4月'!DT14:DU14,J$115)+COUNTIF('4月'!DY14:DZ14,J$115)+COUNTIF('4月'!ED14:EE14,J$115)+COUNTIF('4月'!EI14:EJ14,J$115)+COUNTIF('4月'!EN14:EO14,J$115)+COUNTIF('4月'!ES14:ET14,J$115)+COUNTIF('4月'!D14:E14,"六本木-夜勤")+COUNTIF('4月'!I14:J14,"六本木-夜勤")+COUNTIF('4月'!N14:O14,"六本木-夜勤")+COUNTIF('4月'!S14:T14,"六本木-夜勤")+COUNTIF('4月'!X14:Y14,"六本木-夜勤")+COUNTIF('4月'!AC14:AD14,"六本木-夜勤")+COUNTIF('4月'!AH14:AI14,"六本木-夜勤")+COUNTIF('4月'!AM14:AN14,"六本木-夜勤")+COUNTIF('4月'!AR14:AS14,"六本木-夜勤")+COUNTIF('4月'!AW14:AX14,"六本木-夜勤")+COUNTIF('4月'!BB14:BC14,"六本木-夜勤")+COUNTIF('4月'!BG14:BH14,"六本木-夜勤")+COUNTIF('4月'!BL14:BM14,"六本木-夜勤")+COUNTIF('4月'!BQ14:BR14,"六本木-夜勤")+COUNTIF('4月'!BV14:BW14,"六本木-夜勤")+COUNTIF('4月'!CA14:CB14,"六本木-夜勤")+COUNTIF('4月'!CF14:CG14,"六本木-夜勤")+COUNTIF('4月'!CK14:CL14,"六本木-夜勤")+COUNTIF('4月'!CP14:CQ14,"六本木-夜勤")+COUNTIF('4月'!CU14:CV14,"六本木-夜勤")+COUNTIF('4月'!CZ14:DA14,"六本木-夜勤")+COUNTIF('4月'!DE14:DF14,"六本木-夜勤")+COUNTIF('4月'!DJ14:DK14,"六本木-夜勤")+COUNTIF('4月'!DO14:DP14,"六本木-夜勤")+COUNTIF('4月'!DT14:DU14,"六本木-夜勤")+COUNTIF('4月'!DY14:DZ14,"六本木-夜勤")+COUNTIF('4月'!ED14:EE14,"六本木-夜勤")+COUNTIF('4月'!EI14:EJ14,"六本木-夜勤")+COUNTIF('4月'!EN14:EO14,"六本木-夜勤")+COUNTIF('4月'!ES14:ET14,"六本木-夜勤")+COUNTIF('4月'!D14:E14,"六本木ー夜勤")+COUNTIF('4月'!I14:J14,"六本木ー夜勤")+COUNTIF('4月'!N14:O14,"六本木ー夜勤")+COUNTIF('4月'!S14:T14,"六本木ー夜勤")+COUNTIF('4月'!X14:Y14,"六本木ー夜勤")+COUNTIF('4月'!AC14:AD14,"六本木ー夜勤")+COUNTIF('4月'!AH14:AI14,"六本木ー夜勤")+COUNTIF('4月'!AM14:AN14,"六本木ー夜勤")+COUNTIF('4月'!AR14:AS14,"六本木ー夜勤")+COUNTIF('4月'!AW14:AX14,"六本木ー夜勤")+COUNTIF('4月'!BB14:BC14,"六本木ー夜勤")+COUNTIF('4月'!BG14:BH14,"六本木ー夜勤")+COUNTIF('4月'!BL14:BM14,"六本木ー夜勤")+COUNTIF('4月'!BQ14:BR14,"六本木ー夜勤")+COUNTIF('4月'!BV14:BW14,"六本木ー夜勤")+COUNTIF('4月'!CA14:CB14,"六本木ー夜勤")+COUNTIF('4月'!CF14:CG14,"六本木ー夜勤")+COUNTIF('4月'!CK14:CL14,"六本木ー夜勤")+COUNTIF('4月'!CP14:CQ14,"六本木ー夜勤")+COUNTIF('4月'!CU14:CV14,"六本木ー夜勤")+COUNTIF('4月'!CZ14:DA14,"六本木ー夜勤")+COUNTIF('4月'!DE14:DF14,"六本木ー夜勤")+COUNTIF('4月'!DJ14:DK14,"六本木ー夜勤")+COUNTIF('4月'!DO14:DP14,"六本木ー夜勤")+COUNTIF('4月'!DT14:DU14,"六本木ー夜勤")+COUNTIF('4月'!DY14:DZ14,"六本木ー夜勤")+COUNTIF('4月'!ED14:EE14,"六本木ー夜勤")+COUNTIF('4月'!EI14:EJ14,"六本木ー夜勤")+COUNTIF('4月'!EN14:EO14,"六本木ー夜勤")+COUNTIF('4月'!ES14:ET14,"六本木ー夜勤")</f>
        <v>0</v>
      </c>
      <c r="K127" s="76">
        <f t="shared" si="40"/>
        <v>0</v>
      </c>
      <c r="L127" s="76">
        <f>COUNTIF('4月'!D14:E14,L$115)+COUNTIF('4月'!I14:J14,L$115)+COUNTIF('4月'!N14:O14,L$115)+COUNTIF('4月'!S14:T14,L$115)+COUNTIF('4月'!X14:Y14,L$115)+COUNTIF('4月'!AC14:AD14,L$115)+COUNTIF('4月'!AH14:AI14,L$115)+COUNTIF('4月'!AM14:AN14,L$115)+COUNTIF('4月'!AR14:AS14,L$115)+COUNTIF('4月'!AW14:AX14,L$115)+COUNTIF('4月'!BB14:BC14,L$115)+COUNTIF('4月'!BG14:BH14,L$115)+COUNTIF('4月'!BL14:BM14,L$115)+COUNTIF('4月'!BQ14:BR14,L$115)+COUNTIF('4月'!BV14:BW14,L$115)+COUNTIF('4月'!CA14:CB14,L$115)+COUNTIF('4月'!CF14:CG14,L$115)+COUNTIF('4月'!CK14:CL14,L$115)+COUNTIF('4月'!CP14:CQ14,L$115)+COUNTIF('4月'!CU14:CV14,L$115)+COUNTIF('4月'!CZ14:DA14,L$115)+COUNTIF('4月'!DE14:DF14,L$115)+COUNTIF('4月'!DJ14:DK14,L$115)+COUNTIF('4月'!DO14:DP14,L$115)+COUNTIF('4月'!DT14:DU14,L$115)+COUNTIF('4月'!DY14:DZ14,L$115)+COUNTIF('4月'!ED14:EE14,L$115)+COUNTIF('4月'!EI14:EJ14,L$115)+COUNTIF('4月'!EN14:EO14,L$115)+COUNTIF('4月'!ES14:ET14,L$115)</f>
        <v>0</v>
      </c>
      <c r="M127" s="76">
        <f t="shared" si="41"/>
        <v>0</v>
      </c>
      <c r="N127" s="76">
        <f>COUNTIF('4月'!D14:E14,N$115)+COUNTIF('4月'!I14:J14,N$115)+COUNTIF('4月'!N14:O14,N$115)+COUNTIF('4月'!S14:T14,N$115)+COUNTIF('4月'!X14:Y14,N$115)+COUNTIF('4月'!AC14:AD14,N$115)+COUNTIF('4月'!AH14:AI14,N$115)+COUNTIF('4月'!AM14:AN14,N$115)+COUNTIF('4月'!AR14:AS14,N$115)+COUNTIF('4月'!AW14:AX14,N$115)+COUNTIF('4月'!BB14:BC14,N$115)+COUNTIF('4月'!BG14:BH14,N$115)+COUNTIF('4月'!BL14:BM14,N$115)+COUNTIF('4月'!BQ14:BR14,N$115)+COUNTIF('4月'!BV14:BW14,N$115)+COUNTIF('4月'!CA14:CB14,N$115)+COUNTIF('4月'!CF14:CG14,N$115)+COUNTIF('4月'!CK14:CL14,N$115)+COUNTIF('4月'!CP14:CQ14,N$115)+COUNTIF('4月'!CU14:CV14,N$115)+COUNTIF('4月'!CZ14:DA14,N$115)+COUNTIF('4月'!DE14:DF14,N$115)+COUNTIF('4月'!DJ14:DK14,N$115)+COUNTIF('4月'!DO14:DP14,N$115)+COUNTIF('4月'!DT14:DU14,N$115)+COUNTIF('4月'!DY14:DZ14,N$115)+COUNTIF('4月'!ED14:EE14,N$115)+COUNTIF('4月'!EI14:EJ14,N$115)+COUNTIF('4月'!EN14:EO14,N$115)+COUNTIF('4月'!ES14:ET14,N$115)+COUNTIF('4月'!D14:E14,"三軒茶屋－夜勤")+COUNTIF('4月'!I14:J14,"三軒茶屋－夜勤")+COUNTIF('4月'!N14:O14,"三軒茶屋－夜勤")+COUNTIF('4月'!S14:T14,"三軒茶屋－夜勤")+COUNTIF('4月'!X14:Y14,"三軒茶屋－夜勤")+COUNTIF('4月'!AC14:AD14,"三軒茶屋－夜勤")+COUNTIF('4月'!AH14:AI14,"三軒茶屋－夜勤")+COUNTIF('4月'!AM14:AN14,"三軒茶屋－夜勤")+COUNTIF('4月'!AR14:AS14,"三軒茶屋－夜勤")+COUNTIF('4月'!AW14:AX14,"三軒茶屋－夜勤")+COUNTIF('4月'!BB14:BC14,"三軒茶屋－夜勤")+COUNTIF('4月'!BG14:BH14,"三軒茶屋－夜勤")+COUNTIF('4月'!BL14:BM14,"三軒茶屋－夜勤")+COUNTIF('4月'!BQ14:BR14,"三軒茶屋－夜勤")+COUNTIF('4月'!BV14:BW14,"三軒茶屋－夜勤")+COUNTIF('4月'!CA14:CB14,"三軒茶屋－夜勤")+COUNTIF('4月'!CF14:CG14,"三軒茶屋－夜勤")+COUNTIF('4月'!CK14:CL14,"三軒茶屋－夜勤")+COUNTIF('4月'!CP14:CQ14,"三軒茶屋－夜勤")+COUNTIF('4月'!CU14:CV14,"三軒茶屋－夜勤")+COUNTIF('4月'!CZ14:DA14,"三軒茶屋－夜勤")+COUNTIF('4月'!DE14:DF14,"三軒茶屋－夜勤")+COUNTIF('4月'!DJ14:DK14,"三軒茶屋－夜勤")+COUNTIF('4月'!DO14:DP14,"三軒茶屋－夜勤")+COUNTIF('4月'!DT14:DU14,"三軒茶屋－夜勤")+COUNTIF('4月'!DY14:DZ14,"三軒茶屋－夜勤")+COUNTIF('4月'!ED14:EE14,"三軒茶屋－夜勤")+COUNTIF('4月'!EI14:EJ14,"三軒茶屋－夜勤")+COUNTIF('4月'!EN14:EO14,"三軒茶屋－夜勤")+COUNTIF('4月'!ES14:ET14,"三軒茶屋－夜勤")</f>
        <v>0</v>
      </c>
      <c r="O127" s="76">
        <f t="shared" si="42"/>
        <v>0</v>
      </c>
      <c r="P127" s="76">
        <f>COUNTIF('4月'!D14:E14,P$115)+COUNTIF('4月'!I14:J14,P$115)+COUNTIF('4月'!N14:O14,P$115)+COUNTIF('4月'!S14:T14,P$115)+COUNTIF('4月'!X14:Y14,P$115)+COUNTIF('4月'!AC14:AD14,P$115)+COUNTIF('4月'!AH14:AI14,P$115)+COUNTIF('4月'!AM14:AN14,P$115)+COUNTIF('4月'!AR14:AS14,P$115)+COUNTIF('4月'!AW14:AX14,P$115)+COUNTIF('4月'!BB14:BC14,P$115)+COUNTIF('4月'!BG14:BH14,P$115)+COUNTIF('4月'!BL14:BM14,P$115)+COUNTIF('4月'!BQ14:BR14,P$115)+COUNTIF('4月'!BV14:BW14,P$115)+COUNTIF('4月'!CA14:CB14,P$115)+COUNTIF('4月'!CF14:CG14,P$115)+COUNTIF('4月'!CK14:CL14,P$115)+COUNTIF('4月'!CP14:CQ14,P$115)+COUNTIF('4月'!CU14:CV14,P$115)+COUNTIF('4月'!CZ14:DA14,P$115)+COUNTIF('4月'!DE14:DF14,P$115)+COUNTIF('4月'!DJ14:DK14,P$115)+COUNTIF('4月'!DO14:DP14,P$115)+COUNTIF('4月'!DT14:DU14,P$115)+COUNTIF('4月'!DY14:DZ14,P$115)+COUNTIF('4月'!ED14:EE14,P$115)+COUNTIF('4月'!EI14:EJ14,P$115)+COUNTIF('4月'!EN14:EO14,P$115)+COUNTIF('4月'!ES14:ET14,P$115)+COUNTIF('4月'!D14:E14,"荻窪ー夜勤")+COUNTIF('4月'!I14:J14,"荻窪ー夜勤")+COUNTIF('4月'!N14:O14,"荻窪ー夜勤")+COUNTIF('4月'!S14:T14,"荻窪ー夜勤")+COUNTIF('4月'!X14:Y14,"荻窪ー夜勤")+COUNTIF('4月'!AC14:AD14,"荻窪ー夜勤")+COUNTIF('4月'!AH14:AI14,"荻窪ー夜勤")+COUNTIF('4月'!AM14:AN14,"荻窪ー夜勤")+COUNTIF('4月'!AR14:AS14,"荻窪ー夜勤")+COUNTIF('4月'!AW14:AX14,"荻窪ー夜勤")+COUNTIF('4月'!BB14:BC14,"荻窪ー夜勤")+COUNTIF('4月'!BG14:BH14,"荻窪ー夜勤")+COUNTIF('4月'!BL14:BM14,"荻窪ー夜勤")+COUNTIF('4月'!BQ14:BR14,"荻窪ー夜勤")+COUNTIF('4月'!BV14:BW14,"荻窪ー夜勤")+COUNTIF('4月'!CA14:CB14,"荻窪ー夜勤")+COUNTIF('4月'!CF14:CG14,"荻窪ー夜勤")+COUNTIF('4月'!CK14:CL14,"荻窪ー夜勤")+COUNTIF('4月'!CP14:CQ14,"荻窪ー夜勤")+COUNTIF('4月'!CU14:CV14,"荻窪ー夜勤")+COUNTIF('4月'!CZ14:DA14,"荻窪ー夜勤")+COUNTIF('4月'!DE14:DF14,"荻窪ー夜勤")+COUNTIF('4月'!DJ14:DK14,"荻窪ー夜勤")+COUNTIF('4月'!DO14:DP14,"荻窪ー夜勤")+COUNTIF('4月'!DT14:DU14,"荻窪ー夜勤")+COUNTIF('4月'!DY14:DZ14,"荻窪ー夜勤")+COUNTIF('4月'!ED14:EE14,"荻窪ー夜勤")+COUNTIF('4月'!EI14:EJ14,"荻窪ー夜勤")+COUNTIF('4月'!EN14:EO14,"荻窪ー夜勤")+COUNTIF('4月'!ES14:ET14,"荻窪ー夜勤")</f>
        <v>0</v>
      </c>
      <c r="Q127" s="76">
        <f t="shared" si="43"/>
        <v>0</v>
      </c>
      <c r="R127" s="76">
        <f>COUNTIF('4月'!D14:E14,R$115)+COUNTIF('4月'!I14:J14,R$115)+COUNTIF('4月'!N14:O14,R$115)+COUNTIF('4月'!S14:T14,R$115)+COUNTIF('4月'!X14:Y14,R$115)+COUNTIF('4月'!AC14:AD14,R$115)+COUNTIF('4月'!AH14:AI14,R$115)+COUNTIF('4月'!AM14:AN14,R$115)+COUNTIF('4月'!AR14:AS14,R$115)+COUNTIF('4月'!AW14:AX14,R$115)+COUNTIF('4月'!BB14:BC14,R$115)+COUNTIF('4月'!BG14:BH14,R$115)+COUNTIF('4月'!BL14:BM14,R$115)+COUNTIF('4月'!BQ14:BR14,R$115)+COUNTIF('4月'!BV14:BW14,R$115)+COUNTIF('4月'!CA14:CB14,R$115)+COUNTIF('4月'!CF14:CG14,R$115)+COUNTIF('4月'!CK14:CL14,R$115)+COUNTIF('4月'!CP14:CQ14,R$115)+COUNTIF('4月'!CU14:CV14,R$115)+COUNTIF('4月'!CZ14:DA14,R$115)+COUNTIF('4月'!DE14:DF14,R$115)+COUNTIF('4月'!DJ14:DK14,R$115)+COUNTIF('4月'!DO14:DP14,R$115)+COUNTIF('4月'!DT14:DU14,R$115)+COUNTIF('4月'!DY14:DZ14,R$115)+COUNTIF('4月'!ED14:EE14,R$115)+COUNTIF('4月'!EI14:EJ14,R$115)+COUNTIF('4月'!EN14:EO14,R$115)+COUNTIF('4月'!ES14:ET14,R$115)</f>
        <v>0</v>
      </c>
      <c r="S127" s="76">
        <f t="shared" si="44"/>
        <v>0</v>
      </c>
      <c r="T127" s="76">
        <f>COUNTIF('4月'!D14:E14,T$115)+COUNTIF('4月'!I14:J14,T$115)+COUNTIF('4月'!N14:O14,T$115)+COUNTIF('4月'!S14:T14,T$115)+COUNTIF('4月'!X14:Y14,T$115)+COUNTIF('4月'!AC14:AD14,T$115)+COUNTIF('4月'!AH14:AI14,T$115)+COUNTIF('4月'!AM14:AN14,T$115)+COUNTIF('4月'!AR14:AS14,T$115)+COUNTIF('4月'!AW14:AX14,T$115)+COUNTIF('4月'!BB14:BC14,T$115)+COUNTIF('4月'!BG14:BH14,T$115)+COUNTIF('4月'!BL14:BM14,T$115)+COUNTIF('4月'!BQ14:BR14,T$115)+COUNTIF('4月'!BV14:BW14,T$115)+COUNTIF('4月'!CA14:CB14,T$115)+COUNTIF('4月'!CF14:CG14,T$115)+COUNTIF('4月'!CK14:CL14,T$115)+COUNTIF('4月'!CP14:CQ14,T$115)+COUNTIF('4月'!CU14:CV14,T$115)+COUNTIF('4月'!CZ14:DA14,T$115)+COUNTIF('4月'!DE14:DF14,T$115)+COUNTIF('4月'!DJ14:DK14,T$115)+COUNTIF('4月'!DO14:DP14,T$115)+COUNTIF('4月'!DT14:DU14,T$115)+COUNTIF('4月'!DY14:DZ14,T$115)+COUNTIF('4月'!ED14:EE14,T$115)+COUNTIF('4月'!EI14:EJ14,T$115)+COUNTIF('4月'!EN14:EO14,T$115)+COUNTIF('4月'!ES14:ET14,T$115)</f>
        <v>0</v>
      </c>
      <c r="U127" s="76">
        <f t="shared" si="45"/>
        <v>0</v>
      </c>
      <c r="V127" s="76">
        <f>COUNTIF('4月'!D14:E14,V$115)+COUNTIF('4月'!I14:J14,V$115)+COUNTIF('4月'!N14:O14,V$115)+COUNTIF('4月'!S14:T14,V$115)+COUNTIF('4月'!X14:Y14,V$115)+COUNTIF('4月'!AC14:AD14,V$115)+COUNTIF('4月'!AH14:AI14,V$115)+COUNTIF('4月'!AM14:AN14,V$115)+COUNTIF('4月'!AR14:AS14,V$115)+COUNTIF('4月'!AW14:AX14,V$115)+COUNTIF('4月'!BB14:BC14,V$115)+COUNTIF('4月'!BG14:BH14,V$115)+COUNTIF('4月'!BL14:BM14,V$115)+COUNTIF('4月'!BQ14:BR14,V$115)+COUNTIF('4月'!BV14:BW14,V$115)+COUNTIF('4月'!CA14:CB14,V$115)+COUNTIF('4月'!CF14:CG14,V$115)+COUNTIF('4月'!CK14:CL14,V$115)+COUNTIF('4月'!CP14:CQ14,V$115)+COUNTIF('4月'!CU14:CV14,V$115)+COUNTIF('4月'!CZ14:DA14,V$115)+COUNTIF('4月'!DE14:DF14,V$115)+COUNTIF('4月'!DJ14:DK14,V$115)+COUNTIF('4月'!DO14:DP14,V$115)+COUNTIF('4月'!DT14:DU14,V$115)+COUNTIF('4月'!DY14:DZ14,V$115)+COUNTIF('4月'!ED14:EE14,V$115)+COUNTIF('4月'!EI14:EJ14,V$115)+COUNTIF('4月'!EN14:EO14,V$115)+COUNTIF('4月'!ES14:ET14,V$115)</f>
        <v>0</v>
      </c>
      <c r="W127" s="76">
        <f t="shared" si="46"/>
        <v>0</v>
      </c>
      <c r="X127" s="76">
        <f>COUNTIF('4月'!D14:E14,X$115)+COUNTIF('4月'!I14:J14,X$115)+COUNTIF('4月'!N14:O14,X$115)+COUNTIF('4月'!S14:T14,X$115)+COUNTIF('4月'!X14:Y14,X$115)+COUNTIF('4月'!AC14:AD14,X$115)+COUNTIF('4月'!AH14:AI14,X$115)+COUNTIF('4月'!AM14:AN14,X$115)+COUNTIF('4月'!AR14:AS14,X$115)+COUNTIF('4月'!AW14:AX14,X$115)+COUNTIF('4月'!BB14:BC14,X$115)+COUNTIF('4月'!BG14:BH14,X$115)+COUNTIF('4月'!BL14:BM14,X$115)+COUNTIF('4月'!BQ14:BR14,X$115)+COUNTIF('4月'!BV14:BW14,X$115)+COUNTIF('4月'!CA14:CB14,X$115)+COUNTIF('4月'!CF14:CG14,X$115)+COUNTIF('4月'!CK14:CL14,X$115)+COUNTIF('4月'!CP14:CQ14,X$115)+COUNTIF('4月'!CU14:CV14,X$115)+COUNTIF('4月'!CZ14:DA14,X$115)+COUNTIF('4月'!DE14:DF14,X$115)+COUNTIF('4月'!DJ14:DK14,X$115)+COUNTIF('4月'!DO14:DP14,X$115)+COUNTIF('4月'!DT14:DU14,X$115)+COUNTIF('4月'!DY14:DZ14,X$115)+COUNTIF('4月'!ED14:EE14,X$115)+COUNTIF('4月'!EI14:EJ14,X$115)+COUNTIF('4月'!EN14:EO14,X$115)+COUNTIF('4月'!ES14:ET14,X$115)</f>
        <v>0</v>
      </c>
      <c r="Y127" s="76">
        <f t="shared" si="47"/>
        <v>0</v>
      </c>
    </row>
    <row r="128" spans="1:25" ht="18" customHeight="1">
      <c r="A128" s="76">
        <v>12</v>
      </c>
      <c r="B128" s="76">
        <f>COUNTIF('4月'!D15:E15,B$115)+COUNTIF('4月'!I15:J15,B$115)+COUNTIF('4月'!N15:O15,B$115)+COUNTIF('4月'!S15:T15,B$115)+COUNTIF('4月'!X15:Y15,B$115)+COUNTIF('4月'!AC15:AD15,B$115)+COUNTIF('4月'!AH15:AI15,B$115)+COUNTIF('4月'!AM15:AN15,B$115)+COUNTIF('4月'!AR15:AS15,B$115)+COUNTIF('4月'!AW15:AX15,B$115)+COUNTIF('4月'!BB15:BC15,B$115)+COUNTIF('4月'!BG15:BH15,B$115)+COUNTIF('4月'!BL15:BM15,B$115)+COUNTIF('4月'!BQ15:BR15,B$115)+COUNTIF('4月'!BV15:BW15,B$115)+COUNTIF('4月'!CA15:CB15,B$115)+COUNTIF('4月'!CF15:CG15,B$115)+COUNTIF('4月'!CK15:CL15,B$115)+COUNTIF('4月'!CP15:CQ15,B$115)+COUNTIF('4月'!CU15:CV15,B$115)+COUNTIF('4月'!CZ15:DA15,B$115)+COUNTIF('4月'!DE15:DF15,B$115)+COUNTIF('4月'!DJ15:DK15,B$115)+COUNTIF('4月'!DO15:DP15,B$115)+COUNTIF('4月'!DT15:DU15,B$115)+COUNTIF('4月'!DY15:DZ15,B$115)+COUNTIF('4月'!ED15:EE15,B$115)+COUNTIF('4月'!EI15:EJ15,B$115)+COUNTIF('4月'!EN15:EO15,B$115)+COUNTIF('4月'!ES15:ET15,B$115)</f>
        <v>0</v>
      </c>
      <c r="C128" s="76">
        <f t="shared" si="36"/>
        <v>0</v>
      </c>
      <c r="D128" s="76">
        <f>COUNTIF('4月'!D15:E15,D$115)+COUNTIF('4月'!I15:J15,D$115)+COUNTIF('4月'!N15:O15,D$115)+COUNTIF('4月'!S15:T15,D$115)+COUNTIF('4月'!X15:Y15,D$115)+COUNTIF('4月'!AC15:AD15,D$115)+COUNTIF('4月'!AH15:AI15,D$115)+COUNTIF('4月'!AM15:AN15,D$115)+COUNTIF('4月'!AR15:AS15,D$115)+COUNTIF('4月'!AW15:AX15,D$115)+COUNTIF('4月'!BB15:BC15,D$115)+COUNTIF('4月'!BG15:BH15,D$115)+COUNTIF('4月'!BL15:BM15,D$115)+COUNTIF('4月'!BQ15:BR15,D$115)+COUNTIF('4月'!BV15:BW15,D$115)+COUNTIF('4月'!CA15:CB15,D$115)+COUNTIF('4月'!CF15:CG15,D$115)+COUNTIF('4月'!CK15:CL15,D$115)+COUNTIF('4月'!CP15:CQ15,D$115)+COUNTIF('4月'!CU15:CV15,D$115)+COUNTIF('4月'!CZ15:DA15,D$115)+COUNTIF('4月'!DE15:DF15,D$115)+COUNTIF('4月'!DJ15:DK15,D$115)+COUNTIF('4月'!DO15:DP15,D$115)+COUNTIF('4月'!DT15:DU15,D$115)+COUNTIF('4月'!DY15:DZ15,D$115)+COUNTIF('4月'!ED15:EE15,D$115)+COUNTIF('4月'!EI15:EJ15,D$115)+COUNTIF('4月'!EN15:EO15,D$115)+COUNTIF('4月'!ES15:ET15,D$115)</f>
        <v>0</v>
      </c>
      <c r="E128" s="76">
        <f t="shared" si="37"/>
        <v>0</v>
      </c>
      <c r="F128" s="76">
        <f>COUNTIF('4月'!D15:E15,F$115)+COUNTIF('4月'!I15:J15,F$115)+COUNTIF('4月'!N15:O15,F$115)+COUNTIF('4月'!S15:T15,F$115)+COUNTIF('4月'!X15:Y15,F$115)+COUNTIF('4月'!AC15:AD15,F$115)+COUNTIF('4月'!AH15:AI15,F$115)+COUNTIF('4月'!AM15:AN15,F$115)+COUNTIF('4月'!AR15:AS15,F$115)+COUNTIF('4月'!AW15:AX15,F$115)+COUNTIF('4月'!BB15:BC15,F$115)+COUNTIF('4月'!BG15:BH15,F$115)+COUNTIF('4月'!BL15:BM15,F$115)+COUNTIF('4月'!BQ15:BR15,F$115)+COUNTIF('4月'!BV15:BW15,F$115)+COUNTIF('4月'!CA15:CB15,F$115)+COUNTIF('4月'!CF15:CG15,F$115)+COUNTIF('4月'!CK15:CL15,F$115)+COUNTIF('4月'!CP15:CQ15,F$115)+COUNTIF('4月'!CU15:CV15,F$115)+COUNTIF('4月'!CZ15:DA15,F$115)+COUNTIF('4月'!DE15:DF15,F$115)+COUNTIF('4月'!DJ15:DK15,F$115)+COUNTIF('4月'!DO15:DP15,F$115)+COUNTIF('4月'!DT15:DU15,F$115)+COUNTIF('4月'!DY15:DZ15,F$115)+COUNTIF('4月'!ED15:EE15,F$115)+COUNTIF('4月'!EI15:EJ15,F$115)+COUNTIF('4月'!EN15:EO15,F$115)+COUNTIF('4月'!ES15:ET15,F$115)</f>
        <v>0</v>
      </c>
      <c r="G128" s="76">
        <f t="shared" si="38"/>
        <v>0</v>
      </c>
      <c r="H128" s="76">
        <f>COUNTIF('4月'!D15:E15,H$115)+COUNTIF('4月'!I15:J15,H$115)+COUNTIF('4月'!N15:O15,H$115)+COUNTIF('4月'!S15:T15,H$115)+COUNTIF('4月'!X15:Y15,H$115)+COUNTIF('4月'!AC15:AD15,H$115)+COUNTIF('4月'!AH15:AI15,H$115)+COUNTIF('4月'!AM15:AN15,H$115)+COUNTIF('4月'!AR15:AS15,H$115)+COUNTIF('4月'!AW15:AX15,H$115)+COUNTIF('4月'!BB15:BC15,H$115)+COUNTIF('4月'!BG15:BH15,H$115)+COUNTIF('4月'!BL15:BM15,H$115)+COUNTIF('4月'!BQ15:BR15,H$115)+COUNTIF('4月'!BV15:BW15,H$115)+COUNTIF('4月'!CA15:CB15,H$115)+COUNTIF('4月'!CF15:CG15,H$115)+COUNTIF('4月'!CK15:CL15,H$115)+COUNTIF('4月'!CP15:CQ15,H$115)+COUNTIF('4月'!CU15:CV15,H$115)+COUNTIF('4月'!CZ15:DA15,H$115)+COUNTIF('4月'!DE15:DF15,H$115)+COUNTIF('4月'!DJ15:DK15,H$115)+COUNTIF('4月'!DO15:DP15,H$115)+COUNTIF('4月'!DT15:DU15,H$115)+COUNTIF('4月'!DY15:DZ15,H$115)+COUNTIF('4月'!ED15:EE15,H$115)+COUNTIF('4月'!EI15:EJ15,H$115)+COUNTIF('4月'!EN15:EO15,H$115)+COUNTIF('4月'!ES15:ET15,H$115)+COUNTIF('4月'!D15:E15,"渋谷-夜勤")+COUNTIF('4月'!I15:J15,"渋谷-夜勤")+COUNTIF('4月'!N15:O15,"渋谷-夜勤")+COUNTIF('4月'!S15:T15,"渋谷-夜勤")+COUNTIF('4月'!X15:Y15,"渋谷-夜勤")+COUNTIF('4月'!AC15:AD15,"渋谷-夜勤")+COUNTIF('4月'!AH15:AI15,"渋谷-夜勤")+COUNTIF('4月'!AM15:AN15,"渋谷-夜勤")+COUNTIF('4月'!AR15:AS15,"渋谷-夜勤")+COUNTIF('4月'!AW15:AX15,"渋谷-夜勤")+COUNTIF('4月'!BB15:BC15,"渋谷-夜勤")+COUNTIF('4月'!BG15:BH15,"渋谷-夜勤")+COUNTIF('4月'!BL15:BM15,"渋谷-夜勤")+COUNTIF('4月'!BQ15:BR15,"渋谷-夜勤")+COUNTIF('4月'!BV15:BW15,"渋谷-夜勤")+COUNTIF('4月'!CA15:CB15,"渋谷-夜勤")+COUNTIF('4月'!CF15:CG15,"渋谷-夜勤")+COUNTIF('4月'!CK15:CL15,"渋谷-夜勤")+COUNTIF('4月'!CP15:CQ15,"渋谷-夜勤")+COUNTIF('4月'!CU15:CV15,"渋谷-夜勤")+COUNTIF('4月'!CZ15:DA15,"渋谷-夜勤")+COUNTIF('4月'!DE15:DF15,"渋谷-夜勤")+COUNTIF('4月'!DJ15:DK15,"渋谷-夜勤")+COUNTIF('4月'!DO15:DP15,"渋谷-夜勤")+COUNTIF('4月'!DT15:DU15,"渋谷-夜勤")+COUNTIF('4月'!DY15:DZ15,"渋谷-夜勤")+COUNTIF('4月'!ED15:EE15,"渋谷-夜勤")+COUNTIF('4月'!EI15:EJ15,"渋谷-夜勤")+COUNTIF('4月'!EN15:EO15,"渋谷-夜勤")+COUNTIF('4月'!ES15:ET15,"渋谷-夜勤")</f>
        <v>0</v>
      </c>
      <c r="I128" s="76">
        <f t="shared" si="39"/>
        <v>0</v>
      </c>
      <c r="J128" s="76">
        <f>COUNTIF('4月'!D15:E15,J$115)+COUNTIF('4月'!I15:J15,J$115)+COUNTIF('4月'!N15:O15,J$115)+COUNTIF('4月'!S15:T15,J$115)+COUNTIF('4月'!X15:Y15,J$115)+COUNTIF('4月'!AC15:AD15,J$115)+COUNTIF('4月'!AH15:AI15,J$115)+COUNTIF('4月'!AM15:AN15,J$115)+COUNTIF('4月'!AR15:AS15,J$115)+COUNTIF('4月'!AW15:AX15,J$115)+COUNTIF('4月'!BB15:BC15,J$115)+COUNTIF('4月'!BG15:BH15,J$115)+COUNTIF('4月'!BL15:BM15,J$115)+COUNTIF('4月'!BQ15:BR15,J$115)+COUNTIF('4月'!BV15:BW15,J$115)+COUNTIF('4月'!CA15:CB15,J$115)+COUNTIF('4月'!CF15:CG15,J$115)+COUNTIF('4月'!CK15:CL15,J$115)+COUNTIF('4月'!CP15:CQ15,J$115)+COUNTIF('4月'!CU15:CV15,J$115)+COUNTIF('4月'!CZ15:DA15,J$115)+COUNTIF('4月'!DE15:DF15,J$115)+COUNTIF('4月'!DJ15:DK15,J$115)+COUNTIF('4月'!DO15:DP15,J$115)+COUNTIF('4月'!DT15:DU15,J$115)+COUNTIF('4月'!DY15:DZ15,J$115)+COUNTIF('4月'!ED15:EE15,J$115)+COUNTIF('4月'!EI15:EJ15,J$115)+COUNTIF('4月'!EN15:EO15,J$115)+COUNTIF('4月'!ES15:ET15,J$115)+COUNTIF('4月'!D15:E15,"六本木-夜勤")+COUNTIF('4月'!I15:J15,"六本木-夜勤")+COUNTIF('4月'!N15:O15,"六本木-夜勤")+COUNTIF('4月'!S15:T15,"六本木-夜勤")+COUNTIF('4月'!X15:Y15,"六本木-夜勤")+COUNTIF('4月'!AC15:AD15,"六本木-夜勤")+COUNTIF('4月'!AH15:AI15,"六本木-夜勤")+COUNTIF('4月'!AM15:AN15,"六本木-夜勤")+COUNTIF('4月'!AR15:AS15,"六本木-夜勤")+COUNTIF('4月'!AW15:AX15,"六本木-夜勤")+COUNTIF('4月'!BB15:BC15,"六本木-夜勤")+COUNTIF('4月'!BG15:BH15,"六本木-夜勤")+COUNTIF('4月'!BL15:BM15,"六本木-夜勤")+COUNTIF('4月'!BQ15:BR15,"六本木-夜勤")+COUNTIF('4月'!BV15:BW15,"六本木-夜勤")+COUNTIF('4月'!CA15:CB15,"六本木-夜勤")+COUNTIF('4月'!CF15:CG15,"六本木-夜勤")+COUNTIF('4月'!CK15:CL15,"六本木-夜勤")+COUNTIF('4月'!CP15:CQ15,"六本木-夜勤")+COUNTIF('4月'!CU15:CV15,"六本木-夜勤")+COUNTIF('4月'!CZ15:DA15,"六本木-夜勤")+COUNTIF('4月'!DE15:DF15,"六本木-夜勤")+COUNTIF('4月'!DJ15:DK15,"六本木-夜勤")+COUNTIF('4月'!DO15:DP15,"六本木-夜勤")+COUNTIF('4月'!DT15:DU15,"六本木-夜勤")+COUNTIF('4月'!DY15:DZ15,"六本木-夜勤")+COUNTIF('4月'!ED15:EE15,"六本木-夜勤")+COUNTIF('4月'!EI15:EJ15,"六本木-夜勤")+COUNTIF('4月'!EN15:EO15,"六本木-夜勤")+COUNTIF('4月'!ES15:ET15,"六本木-夜勤")+COUNTIF('4月'!D15:E15,"六本木ー夜勤")+COUNTIF('4月'!I15:J15,"六本木ー夜勤")+COUNTIF('4月'!N15:O15,"六本木ー夜勤")+COUNTIF('4月'!S15:T15,"六本木ー夜勤")+COUNTIF('4月'!X15:Y15,"六本木ー夜勤")+COUNTIF('4月'!AC15:AD15,"六本木ー夜勤")+COUNTIF('4月'!AH15:AI15,"六本木ー夜勤")+COUNTIF('4月'!AM15:AN15,"六本木ー夜勤")+COUNTIF('4月'!AR15:AS15,"六本木ー夜勤")+COUNTIF('4月'!AW15:AX15,"六本木ー夜勤")+COUNTIF('4月'!BB15:BC15,"六本木ー夜勤")+COUNTIF('4月'!BG15:BH15,"六本木ー夜勤")+COUNTIF('4月'!BL15:BM15,"六本木ー夜勤")+COUNTIF('4月'!BQ15:BR15,"六本木ー夜勤")+COUNTIF('4月'!BV15:BW15,"六本木ー夜勤")+COUNTIF('4月'!CA15:CB15,"六本木ー夜勤")+COUNTIF('4月'!CF15:CG15,"六本木ー夜勤")+COUNTIF('4月'!CK15:CL15,"六本木ー夜勤")+COUNTIF('4月'!CP15:CQ15,"六本木ー夜勤")+COUNTIF('4月'!CU15:CV15,"六本木ー夜勤")+COUNTIF('4月'!CZ15:DA15,"六本木ー夜勤")+COUNTIF('4月'!DE15:DF15,"六本木ー夜勤")+COUNTIF('4月'!DJ15:DK15,"六本木ー夜勤")+COUNTIF('4月'!DO15:DP15,"六本木ー夜勤")+COUNTIF('4月'!DT15:DU15,"六本木ー夜勤")+COUNTIF('4月'!DY15:DZ15,"六本木ー夜勤")+COUNTIF('4月'!ED15:EE15,"六本木ー夜勤")+COUNTIF('4月'!EI15:EJ15,"六本木ー夜勤")+COUNTIF('4月'!EN15:EO15,"六本木ー夜勤")+COUNTIF('4月'!ES15:ET15,"六本木ー夜勤")</f>
        <v>0</v>
      </c>
      <c r="K128" s="76">
        <f t="shared" si="40"/>
        <v>0</v>
      </c>
      <c r="L128" s="76">
        <f>COUNTIF('4月'!D15:E15,L$115)+COUNTIF('4月'!I15:J15,L$115)+COUNTIF('4月'!N15:O15,L$115)+COUNTIF('4月'!S15:T15,L$115)+COUNTIF('4月'!X15:Y15,L$115)+COUNTIF('4月'!AC15:AD15,L$115)+COUNTIF('4月'!AH15:AI15,L$115)+COUNTIF('4月'!AM15:AN15,L$115)+COUNTIF('4月'!AR15:AS15,L$115)+COUNTIF('4月'!AW15:AX15,L$115)+COUNTIF('4月'!BB15:BC15,L$115)+COUNTIF('4月'!BG15:BH15,L$115)+COUNTIF('4月'!BL15:BM15,L$115)+COUNTIF('4月'!BQ15:BR15,L$115)+COUNTIF('4月'!BV15:BW15,L$115)+COUNTIF('4月'!CA15:CB15,L$115)+COUNTIF('4月'!CF15:CG15,L$115)+COUNTIF('4月'!CK15:CL15,L$115)+COUNTIF('4月'!CP15:CQ15,L$115)+COUNTIF('4月'!CU15:CV15,L$115)+COUNTIF('4月'!CZ15:DA15,L$115)+COUNTIF('4月'!DE15:DF15,L$115)+COUNTIF('4月'!DJ15:DK15,L$115)+COUNTIF('4月'!DO15:DP15,L$115)+COUNTIF('4月'!DT15:DU15,L$115)+COUNTIF('4月'!DY15:DZ15,L$115)+COUNTIF('4月'!ED15:EE15,L$115)+COUNTIF('4月'!EI15:EJ15,L$115)+COUNTIF('4月'!EN15:EO15,L$115)+COUNTIF('4月'!ES15:ET15,L$115)</f>
        <v>0</v>
      </c>
      <c r="M128" s="76">
        <f t="shared" si="41"/>
        <v>0</v>
      </c>
      <c r="N128" s="76">
        <f>COUNTIF('4月'!D15:E15,N$115)+COUNTIF('4月'!I15:J15,N$115)+COUNTIF('4月'!N15:O15,N$115)+COUNTIF('4月'!S15:T15,N$115)+COUNTIF('4月'!X15:Y15,N$115)+COUNTIF('4月'!AC15:AD15,N$115)+COUNTIF('4月'!AH15:AI15,N$115)+COUNTIF('4月'!AM15:AN15,N$115)+COUNTIF('4月'!AR15:AS15,N$115)+COUNTIF('4月'!AW15:AX15,N$115)+COUNTIF('4月'!BB15:BC15,N$115)+COUNTIF('4月'!BG15:BH15,N$115)+COUNTIF('4月'!BL15:BM15,N$115)+COUNTIF('4月'!BQ15:BR15,N$115)+COUNTIF('4月'!BV15:BW15,N$115)+COUNTIF('4月'!CA15:CB15,N$115)+COUNTIF('4月'!CF15:CG15,N$115)+COUNTIF('4月'!CK15:CL15,N$115)+COUNTIF('4月'!CP15:CQ15,N$115)+COUNTIF('4月'!CU15:CV15,N$115)+COUNTIF('4月'!CZ15:DA15,N$115)+COUNTIF('4月'!DE15:DF15,N$115)+COUNTIF('4月'!DJ15:DK15,N$115)+COUNTIF('4月'!DO15:DP15,N$115)+COUNTIF('4月'!DT15:DU15,N$115)+COUNTIF('4月'!DY15:DZ15,N$115)+COUNTIF('4月'!ED15:EE15,N$115)+COUNTIF('4月'!EI15:EJ15,N$115)+COUNTIF('4月'!EN15:EO15,N$115)+COUNTIF('4月'!ES15:ET15,N$115)+COUNTIF('4月'!D15:E15,"三軒茶屋－夜勤")+COUNTIF('4月'!I15:J15,"三軒茶屋－夜勤")+COUNTIF('4月'!N15:O15,"三軒茶屋－夜勤")+COUNTIF('4月'!S15:T15,"三軒茶屋－夜勤")+COUNTIF('4月'!X15:Y15,"三軒茶屋－夜勤")+COUNTIF('4月'!AC15:AD15,"三軒茶屋－夜勤")+COUNTIF('4月'!AH15:AI15,"三軒茶屋－夜勤")+COUNTIF('4月'!AM15:AN15,"三軒茶屋－夜勤")+COUNTIF('4月'!AR15:AS15,"三軒茶屋－夜勤")+COUNTIF('4月'!AW15:AX15,"三軒茶屋－夜勤")+COUNTIF('4月'!BB15:BC15,"三軒茶屋－夜勤")+COUNTIF('4月'!BG15:BH15,"三軒茶屋－夜勤")+COUNTIF('4月'!BL15:BM15,"三軒茶屋－夜勤")+COUNTIF('4月'!BQ15:BR15,"三軒茶屋－夜勤")+COUNTIF('4月'!BV15:BW15,"三軒茶屋－夜勤")+COUNTIF('4月'!CA15:CB15,"三軒茶屋－夜勤")+COUNTIF('4月'!CF15:CG15,"三軒茶屋－夜勤")+COUNTIF('4月'!CK15:CL15,"三軒茶屋－夜勤")+COUNTIF('4月'!CP15:CQ15,"三軒茶屋－夜勤")+COUNTIF('4月'!CU15:CV15,"三軒茶屋－夜勤")+COUNTIF('4月'!CZ15:DA15,"三軒茶屋－夜勤")+COUNTIF('4月'!DE15:DF15,"三軒茶屋－夜勤")+COUNTIF('4月'!DJ15:DK15,"三軒茶屋－夜勤")+COUNTIF('4月'!DO15:DP15,"三軒茶屋－夜勤")+COUNTIF('4月'!DT15:DU15,"三軒茶屋－夜勤")+COUNTIF('4月'!DY15:DZ15,"三軒茶屋－夜勤")+COUNTIF('4月'!ED15:EE15,"三軒茶屋－夜勤")+COUNTIF('4月'!EI15:EJ15,"三軒茶屋－夜勤")+COUNTIF('4月'!EN15:EO15,"三軒茶屋－夜勤")+COUNTIF('4月'!ES15:ET15,"三軒茶屋－夜勤")</f>
        <v>0</v>
      </c>
      <c r="O128" s="76">
        <f t="shared" si="42"/>
        <v>0</v>
      </c>
      <c r="P128" s="76">
        <f>COUNTIF('4月'!D15:E15,P$115)+COUNTIF('4月'!I15:J15,P$115)+COUNTIF('4月'!N15:O15,P$115)+COUNTIF('4月'!S15:T15,P$115)+COUNTIF('4月'!X15:Y15,P$115)+COUNTIF('4月'!AC15:AD15,P$115)+COUNTIF('4月'!AH15:AI15,P$115)+COUNTIF('4月'!AM15:AN15,P$115)+COUNTIF('4月'!AR15:AS15,P$115)+COUNTIF('4月'!AW15:AX15,P$115)+COUNTIF('4月'!BB15:BC15,P$115)+COUNTIF('4月'!BG15:BH15,P$115)+COUNTIF('4月'!BL15:BM15,P$115)+COUNTIF('4月'!BQ15:BR15,P$115)+COUNTIF('4月'!BV15:BW15,P$115)+COUNTIF('4月'!CA15:CB15,P$115)+COUNTIF('4月'!CF15:CG15,P$115)+COUNTIF('4月'!CK15:CL15,P$115)+COUNTIF('4月'!CP15:CQ15,P$115)+COUNTIF('4月'!CU15:CV15,P$115)+COUNTIF('4月'!CZ15:DA15,P$115)+COUNTIF('4月'!DE15:DF15,P$115)+COUNTIF('4月'!DJ15:DK15,P$115)+COUNTIF('4月'!DO15:DP15,P$115)+COUNTIF('4月'!DT15:DU15,P$115)+COUNTIF('4月'!DY15:DZ15,P$115)+COUNTIF('4月'!ED15:EE15,P$115)+COUNTIF('4月'!EI15:EJ15,P$115)+COUNTIF('4月'!EN15:EO15,P$115)+COUNTIF('4月'!ES15:ET15,P$115)+COUNTIF('4月'!D15:E15,"荻窪ー夜勤")+COUNTIF('4月'!I15:J15,"荻窪ー夜勤")+COUNTIF('4月'!N15:O15,"荻窪ー夜勤")+COUNTIF('4月'!S15:T15,"荻窪ー夜勤")+COUNTIF('4月'!X15:Y15,"荻窪ー夜勤")+COUNTIF('4月'!AC15:AD15,"荻窪ー夜勤")+COUNTIF('4月'!AH15:AI15,"荻窪ー夜勤")+COUNTIF('4月'!AM15:AN15,"荻窪ー夜勤")+COUNTIF('4月'!AR15:AS15,"荻窪ー夜勤")+COUNTIF('4月'!AW15:AX15,"荻窪ー夜勤")+COUNTIF('4月'!BB15:BC15,"荻窪ー夜勤")+COUNTIF('4月'!BG15:BH15,"荻窪ー夜勤")+COUNTIF('4月'!BL15:BM15,"荻窪ー夜勤")+COUNTIF('4月'!BQ15:BR15,"荻窪ー夜勤")+COUNTIF('4月'!BV15:BW15,"荻窪ー夜勤")+COUNTIF('4月'!CA15:CB15,"荻窪ー夜勤")+COUNTIF('4月'!CF15:CG15,"荻窪ー夜勤")+COUNTIF('4月'!CK15:CL15,"荻窪ー夜勤")+COUNTIF('4月'!CP15:CQ15,"荻窪ー夜勤")+COUNTIF('4月'!CU15:CV15,"荻窪ー夜勤")+COUNTIF('4月'!CZ15:DA15,"荻窪ー夜勤")+COUNTIF('4月'!DE15:DF15,"荻窪ー夜勤")+COUNTIF('4月'!DJ15:DK15,"荻窪ー夜勤")+COUNTIF('4月'!DO15:DP15,"荻窪ー夜勤")+COUNTIF('4月'!DT15:DU15,"荻窪ー夜勤")+COUNTIF('4月'!DY15:DZ15,"荻窪ー夜勤")+COUNTIF('4月'!ED15:EE15,"荻窪ー夜勤")+COUNTIF('4月'!EI15:EJ15,"荻窪ー夜勤")+COUNTIF('4月'!EN15:EO15,"荻窪ー夜勤")+COUNTIF('4月'!ES15:ET15,"荻窪ー夜勤")</f>
        <v>0</v>
      </c>
      <c r="Q128" s="76">
        <f t="shared" si="43"/>
        <v>0</v>
      </c>
      <c r="R128" s="76">
        <f>COUNTIF('4月'!D15:E15,R$115)+COUNTIF('4月'!I15:J15,R$115)+COUNTIF('4月'!N15:O15,R$115)+COUNTIF('4月'!S15:T15,R$115)+COUNTIF('4月'!X15:Y15,R$115)+COUNTIF('4月'!AC15:AD15,R$115)+COUNTIF('4月'!AH15:AI15,R$115)+COUNTIF('4月'!AM15:AN15,R$115)+COUNTIF('4月'!AR15:AS15,R$115)+COUNTIF('4月'!AW15:AX15,R$115)+COUNTIF('4月'!BB15:BC15,R$115)+COUNTIF('4月'!BG15:BH15,R$115)+COUNTIF('4月'!BL15:BM15,R$115)+COUNTIF('4月'!BQ15:BR15,R$115)+COUNTIF('4月'!BV15:BW15,R$115)+COUNTIF('4月'!CA15:CB15,R$115)+COUNTIF('4月'!CF15:CG15,R$115)+COUNTIF('4月'!CK15:CL15,R$115)+COUNTIF('4月'!CP15:CQ15,R$115)+COUNTIF('4月'!CU15:CV15,R$115)+COUNTIF('4月'!CZ15:DA15,R$115)+COUNTIF('4月'!DE15:DF15,R$115)+COUNTIF('4月'!DJ15:DK15,R$115)+COUNTIF('4月'!DO15:DP15,R$115)+COUNTIF('4月'!DT15:DU15,R$115)+COUNTIF('4月'!DY15:DZ15,R$115)+COUNTIF('4月'!ED15:EE15,R$115)+COUNTIF('4月'!EI15:EJ15,R$115)+COUNTIF('4月'!EN15:EO15,R$115)+COUNTIF('4月'!ES15:ET15,R$115)</f>
        <v>0</v>
      </c>
      <c r="S128" s="76">
        <f t="shared" si="44"/>
        <v>0</v>
      </c>
      <c r="T128" s="76">
        <f>COUNTIF('4月'!D15:E15,T$115)+COUNTIF('4月'!I15:J15,T$115)+COUNTIF('4月'!N15:O15,T$115)+COUNTIF('4月'!S15:T15,T$115)+COUNTIF('4月'!X15:Y15,T$115)+COUNTIF('4月'!AC15:AD15,T$115)+COUNTIF('4月'!AH15:AI15,T$115)+COUNTIF('4月'!AM15:AN15,T$115)+COUNTIF('4月'!AR15:AS15,T$115)+COUNTIF('4月'!AW15:AX15,T$115)+COUNTIF('4月'!BB15:BC15,T$115)+COUNTIF('4月'!BG15:BH15,T$115)+COUNTIF('4月'!BL15:BM15,T$115)+COUNTIF('4月'!BQ15:BR15,T$115)+COUNTIF('4月'!BV15:BW15,T$115)+COUNTIF('4月'!CA15:CB15,T$115)+COUNTIF('4月'!CF15:CG15,T$115)+COUNTIF('4月'!CK15:CL15,T$115)+COUNTIF('4月'!CP15:CQ15,T$115)+COUNTIF('4月'!CU15:CV15,T$115)+COUNTIF('4月'!CZ15:DA15,T$115)+COUNTIF('4月'!DE15:DF15,T$115)+COUNTIF('4月'!DJ15:DK15,T$115)+COUNTIF('4月'!DO15:DP15,T$115)+COUNTIF('4月'!DT15:DU15,T$115)+COUNTIF('4月'!DY15:DZ15,T$115)+COUNTIF('4月'!ED15:EE15,T$115)+COUNTIF('4月'!EI15:EJ15,T$115)+COUNTIF('4月'!EN15:EO15,T$115)+COUNTIF('4月'!ES15:ET15,T$115)</f>
        <v>0</v>
      </c>
      <c r="U128" s="76">
        <f t="shared" si="45"/>
        <v>0</v>
      </c>
      <c r="V128" s="76">
        <f>COUNTIF('4月'!D15:E15,V$115)+COUNTIF('4月'!I15:J15,V$115)+COUNTIF('4月'!N15:O15,V$115)+COUNTIF('4月'!S15:T15,V$115)+COUNTIF('4月'!X15:Y15,V$115)+COUNTIF('4月'!AC15:AD15,V$115)+COUNTIF('4月'!AH15:AI15,V$115)+COUNTIF('4月'!AM15:AN15,V$115)+COUNTIF('4月'!AR15:AS15,V$115)+COUNTIF('4月'!AW15:AX15,V$115)+COUNTIF('4月'!BB15:BC15,V$115)+COUNTIF('4月'!BG15:BH15,V$115)+COUNTIF('4月'!BL15:BM15,V$115)+COUNTIF('4月'!BQ15:BR15,V$115)+COUNTIF('4月'!BV15:BW15,V$115)+COUNTIF('4月'!CA15:CB15,V$115)+COUNTIF('4月'!CF15:CG15,V$115)+COUNTIF('4月'!CK15:CL15,V$115)+COUNTIF('4月'!CP15:CQ15,V$115)+COUNTIF('4月'!CU15:CV15,V$115)+COUNTIF('4月'!CZ15:DA15,V$115)+COUNTIF('4月'!DE15:DF15,V$115)+COUNTIF('4月'!DJ15:DK15,V$115)+COUNTIF('4月'!DO15:DP15,V$115)+COUNTIF('4月'!DT15:DU15,V$115)+COUNTIF('4月'!DY15:DZ15,V$115)+COUNTIF('4月'!ED15:EE15,V$115)+COUNTIF('4月'!EI15:EJ15,V$115)+COUNTIF('4月'!EN15:EO15,V$115)+COUNTIF('4月'!ES15:ET15,V$115)</f>
        <v>0</v>
      </c>
      <c r="W128" s="76">
        <f t="shared" si="46"/>
        <v>0</v>
      </c>
      <c r="X128" s="76">
        <f>COUNTIF('4月'!D15:E15,X$115)+COUNTIF('4月'!I15:J15,X$115)+COUNTIF('4月'!N15:O15,X$115)+COUNTIF('4月'!S15:T15,X$115)+COUNTIF('4月'!X15:Y15,X$115)+COUNTIF('4月'!AC15:AD15,X$115)+COUNTIF('4月'!AH15:AI15,X$115)+COUNTIF('4月'!AM15:AN15,X$115)+COUNTIF('4月'!AR15:AS15,X$115)+COUNTIF('4月'!AW15:AX15,X$115)+COUNTIF('4月'!BB15:BC15,X$115)+COUNTIF('4月'!BG15:BH15,X$115)+COUNTIF('4月'!BL15:BM15,X$115)+COUNTIF('4月'!BQ15:BR15,X$115)+COUNTIF('4月'!BV15:BW15,X$115)+COUNTIF('4月'!CA15:CB15,X$115)+COUNTIF('4月'!CF15:CG15,X$115)+COUNTIF('4月'!CK15:CL15,X$115)+COUNTIF('4月'!CP15:CQ15,X$115)+COUNTIF('4月'!CU15:CV15,X$115)+COUNTIF('4月'!CZ15:DA15,X$115)+COUNTIF('4月'!DE15:DF15,X$115)+COUNTIF('4月'!DJ15:DK15,X$115)+COUNTIF('4月'!DO15:DP15,X$115)+COUNTIF('4月'!DT15:DU15,X$115)+COUNTIF('4月'!DY15:DZ15,X$115)+COUNTIF('4月'!ED15:EE15,X$115)+COUNTIF('4月'!EI15:EJ15,X$115)+COUNTIF('4月'!EN15:EO15,X$115)+COUNTIF('4月'!ES15:ET15,X$115)</f>
        <v>0</v>
      </c>
      <c r="Y128" s="76">
        <f t="shared" si="47"/>
        <v>0</v>
      </c>
    </row>
    <row r="129" spans="1:25" ht="18" customHeight="1">
      <c r="A129" s="76">
        <v>13</v>
      </c>
      <c r="B129" s="76">
        <f>COUNTIF('4月'!D16:E16,B$115)+COUNTIF('4月'!I16:J16,B$115)+COUNTIF('4月'!N16:O16,B$115)+COUNTIF('4月'!S16:T16,B$115)+COUNTIF('4月'!X16:Y16,B$115)+COUNTIF('4月'!AC16:AD16,B$115)+COUNTIF('4月'!AH16:AI16,B$115)+COUNTIF('4月'!AM16:AN16,B$115)+COUNTIF('4月'!AR16:AS16,B$115)+COUNTIF('4月'!AW16:AX16,B$115)+COUNTIF('4月'!BB16:BC16,B$115)+COUNTIF('4月'!BG16:BH16,B$115)+COUNTIF('4月'!BL16:BM16,B$115)+COUNTIF('4月'!BQ16:BR16,B$115)+COUNTIF('4月'!BV16:BW16,B$115)+COUNTIF('4月'!CA16:CB16,B$115)+COUNTIF('4月'!CF16:CG16,B$115)+COUNTIF('4月'!CK16:CL16,B$115)+COUNTIF('4月'!CP16:CQ16,B$115)+COUNTIF('4月'!CU16:CV16,B$115)+COUNTIF('4月'!CZ16:DA16,B$115)+COUNTIF('4月'!DE16:DF16,B$115)+COUNTIF('4月'!DJ16:DK16,B$115)+COUNTIF('4月'!DO16:DP16,B$115)+COUNTIF('4月'!DT16:DU16,B$115)+COUNTIF('4月'!DY16:DZ16,B$115)+COUNTIF('4月'!ED16:EE16,B$115)+COUNTIF('4月'!EI16:EJ16,B$115)+COUNTIF('4月'!EN16:EO16,B$115)+COUNTIF('4月'!ES16:ET16,B$115)</f>
        <v>0</v>
      </c>
      <c r="C129" s="76">
        <f t="shared" si="36"/>
        <v>0</v>
      </c>
      <c r="D129" s="76">
        <f>COUNTIF('4月'!D16:E16,D$115)+COUNTIF('4月'!I16:J16,D$115)+COUNTIF('4月'!N16:O16,D$115)+COUNTIF('4月'!S16:T16,D$115)+COUNTIF('4月'!X16:Y16,D$115)+COUNTIF('4月'!AC16:AD16,D$115)+COUNTIF('4月'!AH16:AI16,D$115)+COUNTIF('4月'!AM16:AN16,D$115)+COUNTIF('4月'!AR16:AS16,D$115)+COUNTIF('4月'!AW16:AX16,D$115)+COUNTIF('4月'!BB16:BC16,D$115)+COUNTIF('4月'!BG16:BH16,D$115)+COUNTIF('4月'!BL16:BM16,D$115)+COUNTIF('4月'!BQ16:BR16,D$115)+COUNTIF('4月'!BV16:BW16,D$115)+COUNTIF('4月'!CA16:CB16,D$115)+COUNTIF('4月'!CF16:CG16,D$115)+COUNTIF('4月'!CK16:CL16,D$115)+COUNTIF('4月'!CP16:CQ16,D$115)+COUNTIF('4月'!CU16:CV16,D$115)+COUNTIF('4月'!CZ16:DA16,D$115)+COUNTIF('4月'!DE16:DF16,D$115)+COUNTIF('4月'!DJ16:DK16,D$115)+COUNTIF('4月'!DO16:DP16,D$115)+COUNTIF('4月'!DT16:DU16,D$115)+COUNTIF('4月'!DY16:DZ16,D$115)+COUNTIF('4月'!ED16:EE16,D$115)+COUNTIF('4月'!EI16:EJ16,D$115)+COUNTIF('4月'!EN16:EO16,D$115)+COUNTIF('4月'!ES16:ET16,D$115)</f>
        <v>0</v>
      </c>
      <c r="E129" s="76">
        <f t="shared" si="37"/>
        <v>0</v>
      </c>
      <c r="F129" s="76">
        <f>COUNTIF('4月'!D16:E16,F$115)+COUNTIF('4月'!I16:J16,F$115)+COUNTIF('4月'!N16:O16,F$115)+COUNTIF('4月'!S16:T16,F$115)+COUNTIF('4月'!X16:Y16,F$115)+COUNTIF('4月'!AC16:AD16,F$115)+COUNTIF('4月'!AH16:AI16,F$115)+COUNTIF('4月'!AM16:AN16,F$115)+COUNTIF('4月'!AR16:AS16,F$115)+COUNTIF('4月'!AW16:AX16,F$115)+COUNTIF('4月'!BB16:BC16,F$115)+COUNTIF('4月'!BG16:BH16,F$115)+COUNTIF('4月'!BL16:BM16,F$115)+COUNTIF('4月'!BQ16:BR16,F$115)+COUNTIF('4月'!BV16:BW16,F$115)+COUNTIF('4月'!CA16:CB16,F$115)+COUNTIF('4月'!CF16:CG16,F$115)+COUNTIF('4月'!CK16:CL16,F$115)+COUNTIF('4月'!CP16:CQ16,F$115)+COUNTIF('4月'!CU16:CV16,F$115)+COUNTIF('4月'!CZ16:DA16,F$115)+COUNTIF('4月'!DE16:DF16,F$115)+COUNTIF('4月'!DJ16:DK16,F$115)+COUNTIF('4月'!DO16:DP16,F$115)+COUNTIF('4月'!DT16:DU16,F$115)+COUNTIF('4月'!DY16:DZ16,F$115)+COUNTIF('4月'!ED16:EE16,F$115)+COUNTIF('4月'!EI16:EJ16,F$115)+COUNTIF('4月'!EN16:EO16,F$115)+COUNTIF('4月'!ES16:ET16,F$115)</f>
        <v>0</v>
      </c>
      <c r="G129" s="76">
        <f t="shared" si="38"/>
        <v>0</v>
      </c>
      <c r="H129" s="76">
        <f>COUNTIF('4月'!D16:E16,H$115)+COUNTIF('4月'!I16:J16,H$115)+COUNTIF('4月'!N16:O16,H$115)+COUNTIF('4月'!S16:T16,H$115)+COUNTIF('4月'!X16:Y16,H$115)+COUNTIF('4月'!AC16:AD16,H$115)+COUNTIF('4月'!AH16:AI16,H$115)+COUNTIF('4月'!AM16:AN16,H$115)+COUNTIF('4月'!AR16:AS16,H$115)+COUNTIF('4月'!AW16:AX16,H$115)+COUNTIF('4月'!BB16:BC16,H$115)+COUNTIF('4月'!BG16:BH16,H$115)+COUNTIF('4月'!BL16:BM16,H$115)+COUNTIF('4月'!BQ16:BR16,H$115)+COUNTIF('4月'!BV16:BW16,H$115)+COUNTIF('4月'!CA16:CB16,H$115)+COUNTIF('4月'!CF16:CG16,H$115)+COUNTIF('4月'!CK16:CL16,H$115)+COUNTIF('4月'!CP16:CQ16,H$115)+COUNTIF('4月'!CU16:CV16,H$115)+COUNTIF('4月'!CZ16:DA16,H$115)+COUNTIF('4月'!DE16:DF16,H$115)+COUNTIF('4月'!DJ16:DK16,H$115)+COUNTIF('4月'!DO16:DP16,H$115)+COUNTIF('4月'!DT16:DU16,H$115)+COUNTIF('4月'!DY16:DZ16,H$115)+COUNTIF('4月'!ED16:EE16,H$115)+COUNTIF('4月'!EI16:EJ16,H$115)+COUNTIF('4月'!EN16:EO16,H$115)+COUNTIF('4月'!ES16:ET16,H$115)+COUNTIF('4月'!D16:E16,"渋谷-夜勤")+COUNTIF('4月'!I16:J16,"渋谷-夜勤")+COUNTIF('4月'!N16:O16,"渋谷-夜勤")+COUNTIF('4月'!S16:T16,"渋谷-夜勤")+COUNTIF('4月'!X16:Y16,"渋谷-夜勤")+COUNTIF('4月'!AC16:AD16,"渋谷-夜勤")+COUNTIF('4月'!AH16:AI16,"渋谷-夜勤")+COUNTIF('4月'!AM16:AN16,"渋谷-夜勤")+COUNTIF('4月'!AR16:AS16,"渋谷-夜勤")+COUNTIF('4月'!AW16:AX16,"渋谷-夜勤")+COUNTIF('4月'!BB16:BC16,"渋谷-夜勤")+COUNTIF('4月'!BG16:BH16,"渋谷-夜勤")+COUNTIF('4月'!BL16:BM16,"渋谷-夜勤")+COUNTIF('4月'!BQ16:BR16,"渋谷-夜勤")+COUNTIF('4月'!BV16:BW16,"渋谷-夜勤")+COUNTIF('4月'!CA16:CB16,"渋谷-夜勤")+COUNTIF('4月'!CF16:CG16,"渋谷-夜勤")+COUNTIF('4月'!CK16:CL16,"渋谷-夜勤")+COUNTIF('4月'!CP16:CQ16,"渋谷-夜勤")+COUNTIF('4月'!CU16:CV16,"渋谷-夜勤")+COUNTIF('4月'!CZ16:DA16,"渋谷-夜勤")+COUNTIF('4月'!DE16:DF16,"渋谷-夜勤")+COUNTIF('4月'!DJ16:DK16,"渋谷-夜勤")+COUNTIF('4月'!DO16:DP16,"渋谷-夜勤")+COUNTIF('4月'!DT16:DU16,"渋谷-夜勤")+COUNTIF('4月'!DY16:DZ16,"渋谷-夜勤")+COUNTIF('4月'!ED16:EE16,"渋谷-夜勤")+COUNTIF('4月'!EI16:EJ16,"渋谷-夜勤")+COUNTIF('4月'!EN16:EO16,"渋谷-夜勤")+COUNTIF('4月'!ES16:ET16,"渋谷-夜勤")</f>
        <v>0</v>
      </c>
      <c r="I129" s="76">
        <f t="shared" si="39"/>
        <v>0</v>
      </c>
      <c r="J129" s="76">
        <f>COUNTIF('4月'!D16:E16,J$115)+COUNTIF('4月'!I16:J16,J$115)+COUNTIF('4月'!N16:O16,J$115)+COUNTIF('4月'!S16:T16,J$115)+COUNTIF('4月'!X16:Y16,J$115)+COUNTIF('4月'!AC16:AD16,J$115)+COUNTIF('4月'!AH16:AI16,J$115)+COUNTIF('4月'!AM16:AN16,J$115)+COUNTIF('4月'!AR16:AS16,J$115)+COUNTIF('4月'!AW16:AX16,J$115)+COUNTIF('4月'!BB16:BC16,J$115)+COUNTIF('4月'!BG16:BH16,J$115)+COUNTIF('4月'!BL16:BM16,J$115)+COUNTIF('4月'!BQ16:BR16,J$115)+COUNTIF('4月'!BV16:BW16,J$115)+COUNTIF('4月'!CA16:CB16,J$115)+COUNTIF('4月'!CF16:CG16,J$115)+COUNTIF('4月'!CK16:CL16,J$115)+COUNTIF('4月'!CP16:CQ16,J$115)+COUNTIF('4月'!CU16:CV16,J$115)+COUNTIF('4月'!CZ16:DA16,J$115)+COUNTIF('4月'!DE16:DF16,J$115)+COUNTIF('4月'!DJ16:DK16,J$115)+COUNTIF('4月'!DO16:DP16,J$115)+COUNTIF('4月'!DT16:DU16,J$115)+COUNTIF('4月'!DY16:DZ16,J$115)+COUNTIF('4月'!ED16:EE16,J$115)+COUNTIF('4月'!EI16:EJ16,J$115)+COUNTIF('4月'!EN16:EO16,J$115)+COUNTIF('4月'!ES16:ET16,J$115)+COUNTIF('4月'!D16:E16,"六本木-夜勤")+COUNTIF('4月'!I16:J16,"六本木-夜勤")+COUNTIF('4月'!N16:O16,"六本木-夜勤")+COUNTIF('4月'!S16:T16,"六本木-夜勤")+COUNTIF('4月'!X16:Y16,"六本木-夜勤")+COUNTIF('4月'!AC16:AD16,"六本木-夜勤")+COUNTIF('4月'!AH16:AI16,"六本木-夜勤")+COUNTIF('4月'!AM16:AN16,"六本木-夜勤")+COUNTIF('4月'!AR16:AS16,"六本木-夜勤")+COUNTIF('4月'!AW16:AX16,"六本木-夜勤")+COUNTIF('4月'!BB16:BC16,"六本木-夜勤")+COUNTIF('4月'!BG16:BH16,"六本木-夜勤")+COUNTIF('4月'!BL16:BM16,"六本木-夜勤")+COUNTIF('4月'!BQ16:BR16,"六本木-夜勤")+COUNTIF('4月'!BV16:BW16,"六本木-夜勤")+COUNTIF('4月'!CA16:CB16,"六本木-夜勤")+COUNTIF('4月'!CF16:CG16,"六本木-夜勤")+COUNTIF('4月'!CK16:CL16,"六本木-夜勤")+COUNTIF('4月'!CP16:CQ16,"六本木-夜勤")+COUNTIF('4月'!CU16:CV16,"六本木-夜勤")+COUNTIF('4月'!CZ16:DA16,"六本木-夜勤")+COUNTIF('4月'!DE16:DF16,"六本木-夜勤")+COUNTIF('4月'!DJ16:DK16,"六本木-夜勤")+COUNTIF('4月'!DO16:DP16,"六本木-夜勤")+COUNTIF('4月'!DT16:DU16,"六本木-夜勤")+COUNTIF('4月'!DY16:DZ16,"六本木-夜勤")+COUNTIF('4月'!ED16:EE16,"六本木-夜勤")+COUNTIF('4月'!EI16:EJ16,"六本木-夜勤")+COUNTIF('4月'!EN16:EO16,"六本木-夜勤")+COUNTIF('4月'!ES16:ET16,"六本木-夜勤")+COUNTIF('4月'!D16:E16,"六本木ー夜勤")+COUNTIF('4月'!I16:J16,"六本木ー夜勤")+COUNTIF('4月'!N16:O16,"六本木ー夜勤")+COUNTIF('4月'!S16:T16,"六本木ー夜勤")+COUNTIF('4月'!X16:Y16,"六本木ー夜勤")+COUNTIF('4月'!AC16:AD16,"六本木ー夜勤")+COUNTIF('4月'!AH16:AI16,"六本木ー夜勤")+COUNTIF('4月'!AM16:AN16,"六本木ー夜勤")+COUNTIF('4月'!AR16:AS16,"六本木ー夜勤")+COUNTIF('4月'!AW16:AX16,"六本木ー夜勤")+COUNTIF('4月'!BB16:BC16,"六本木ー夜勤")+COUNTIF('4月'!BG16:BH16,"六本木ー夜勤")+COUNTIF('4月'!BL16:BM16,"六本木ー夜勤")+COUNTIF('4月'!BQ16:BR16,"六本木ー夜勤")+COUNTIF('4月'!BV16:BW16,"六本木ー夜勤")+COUNTIF('4月'!CA16:CB16,"六本木ー夜勤")+COUNTIF('4月'!CF16:CG16,"六本木ー夜勤")+COUNTIF('4月'!CK16:CL16,"六本木ー夜勤")+COUNTIF('4月'!CP16:CQ16,"六本木ー夜勤")+COUNTIF('4月'!CU16:CV16,"六本木ー夜勤")+COUNTIF('4月'!CZ16:DA16,"六本木ー夜勤")+COUNTIF('4月'!DE16:DF16,"六本木ー夜勤")+COUNTIF('4月'!DJ16:DK16,"六本木ー夜勤")+COUNTIF('4月'!DO16:DP16,"六本木ー夜勤")+COUNTIF('4月'!DT16:DU16,"六本木ー夜勤")+COUNTIF('4月'!DY16:DZ16,"六本木ー夜勤")+COUNTIF('4月'!ED16:EE16,"六本木ー夜勤")+COUNTIF('4月'!EI16:EJ16,"六本木ー夜勤")+COUNTIF('4月'!EN16:EO16,"六本木ー夜勤")+COUNTIF('4月'!ES16:ET16,"六本木ー夜勤")</f>
        <v>0</v>
      </c>
      <c r="K129" s="76">
        <f t="shared" si="40"/>
        <v>0</v>
      </c>
      <c r="L129" s="76">
        <f>COUNTIF('4月'!D16:E16,L$115)+COUNTIF('4月'!I16:J16,L$115)+COUNTIF('4月'!N16:O16,L$115)+COUNTIF('4月'!S16:T16,L$115)+COUNTIF('4月'!X16:Y16,L$115)+COUNTIF('4月'!AC16:AD16,L$115)+COUNTIF('4月'!AH16:AI16,L$115)+COUNTIF('4月'!AM16:AN16,L$115)+COUNTIF('4月'!AR16:AS16,L$115)+COUNTIF('4月'!AW16:AX16,L$115)+COUNTIF('4月'!BB16:BC16,L$115)+COUNTIF('4月'!BG16:BH16,L$115)+COUNTIF('4月'!BL16:BM16,L$115)+COUNTIF('4月'!BQ16:BR16,L$115)+COUNTIF('4月'!BV16:BW16,L$115)+COUNTIF('4月'!CA16:CB16,L$115)+COUNTIF('4月'!CF16:CG16,L$115)+COUNTIF('4月'!CK16:CL16,L$115)+COUNTIF('4月'!CP16:CQ16,L$115)+COUNTIF('4月'!CU16:CV16,L$115)+COUNTIF('4月'!CZ16:DA16,L$115)+COUNTIF('4月'!DE16:DF16,L$115)+COUNTIF('4月'!DJ16:DK16,L$115)+COUNTIF('4月'!DO16:DP16,L$115)+COUNTIF('4月'!DT16:DU16,L$115)+COUNTIF('4月'!DY16:DZ16,L$115)+COUNTIF('4月'!ED16:EE16,L$115)+COUNTIF('4月'!EI16:EJ16,L$115)+COUNTIF('4月'!EN16:EO16,L$115)+COUNTIF('4月'!ES16:ET16,L$115)</f>
        <v>0</v>
      </c>
      <c r="M129" s="76">
        <f t="shared" si="41"/>
        <v>0</v>
      </c>
      <c r="N129" s="76">
        <f>COUNTIF('4月'!D16:E16,N$115)+COUNTIF('4月'!I16:J16,N$115)+COUNTIF('4月'!N16:O16,N$115)+COUNTIF('4月'!S16:T16,N$115)+COUNTIF('4月'!X16:Y16,N$115)+COUNTIF('4月'!AC16:AD16,N$115)+COUNTIF('4月'!AH16:AI16,N$115)+COUNTIF('4月'!AM16:AN16,N$115)+COUNTIF('4月'!AR16:AS16,N$115)+COUNTIF('4月'!AW16:AX16,N$115)+COUNTIF('4月'!BB16:BC16,N$115)+COUNTIF('4月'!BG16:BH16,N$115)+COUNTIF('4月'!BL16:BM16,N$115)+COUNTIF('4月'!BQ16:BR16,N$115)+COUNTIF('4月'!BV16:BW16,N$115)+COUNTIF('4月'!CA16:CB16,N$115)+COUNTIF('4月'!CF16:CG16,N$115)+COUNTIF('4月'!CK16:CL16,N$115)+COUNTIF('4月'!CP16:CQ16,N$115)+COUNTIF('4月'!CU16:CV16,N$115)+COUNTIF('4月'!CZ16:DA16,N$115)+COUNTIF('4月'!DE16:DF16,N$115)+COUNTIF('4月'!DJ16:DK16,N$115)+COUNTIF('4月'!DO16:DP16,N$115)+COUNTIF('4月'!DT16:DU16,N$115)+COUNTIF('4月'!DY16:DZ16,N$115)+COUNTIF('4月'!ED16:EE16,N$115)+COUNTIF('4月'!EI16:EJ16,N$115)+COUNTIF('4月'!EN16:EO16,N$115)+COUNTIF('4月'!ES16:ET16,N$115)+COUNTIF('4月'!D16:E16,"三軒茶屋－夜勤")+COUNTIF('4月'!I16:J16,"三軒茶屋－夜勤")+COUNTIF('4月'!N16:O16,"三軒茶屋－夜勤")+COUNTIF('4月'!S16:T16,"三軒茶屋－夜勤")+COUNTIF('4月'!X16:Y16,"三軒茶屋－夜勤")+COUNTIF('4月'!AC16:AD16,"三軒茶屋－夜勤")+COUNTIF('4月'!AH16:AI16,"三軒茶屋－夜勤")+COUNTIF('4月'!AM16:AN16,"三軒茶屋－夜勤")+COUNTIF('4月'!AR16:AS16,"三軒茶屋－夜勤")+COUNTIF('4月'!AW16:AX16,"三軒茶屋－夜勤")+COUNTIF('4月'!BB16:BC16,"三軒茶屋－夜勤")+COUNTIF('4月'!BG16:BH16,"三軒茶屋－夜勤")+COUNTIF('4月'!BL16:BM16,"三軒茶屋－夜勤")+COUNTIF('4月'!BQ16:BR16,"三軒茶屋－夜勤")+COUNTIF('4月'!BV16:BW16,"三軒茶屋－夜勤")+COUNTIF('4月'!CA16:CB16,"三軒茶屋－夜勤")+COUNTIF('4月'!CF16:CG16,"三軒茶屋－夜勤")+COUNTIF('4月'!CK16:CL16,"三軒茶屋－夜勤")+COUNTIF('4月'!CP16:CQ16,"三軒茶屋－夜勤")+COUNTIF('4月'!CU16:CV16,"三軒茶屋－夜勤")+COUNTIF('4月'!CZ16:DA16,"三軒茶屋－夜勤")+COUNTIF('4月'!DE16:DF16,"三軒茶屋－夜勤")+COUNTIF('4月'!DJ16:DK16,"三軒茶屋－夜勤")+COUNTIF('4月'!DO16:DP16,"三軒茶屋－夜勤")+COUNTIF('4月'!DT16:DU16,"三軒茶屋－夜勤")+COUNTIF('4月'!DY16:DZ16,"三軒茶屋－夜勤")+COUNTIF('4月'!ED16:EE16,"三軒茶屋－夜勤")+COUNTIF('4月'!EI16:EJ16,"三軒茶屋－夜勤")+COUNTIF('4月'!EN16:EO16,"三軒茶屋－夜勤")+COUNTIF('4月'!ES16:ET16,"三軒茶屋－夜勤")</f>
        <v>0</v>
      </c>
      <c r="O129" s="76">
        <f t="shared" si="42"/>
        <v>0</v>
      </c>
      <c r="P129" s="76">
        <f>COUNTIF('4月'!D16:E16,P$115)+COUNTIF('4月'!I16:J16,P$115)+COUNTIF('4月'!N16:O16,P$115)+COUNTIF('4月'!S16:T16,P$115)+COUNTIF('4月'!X16:Y16,P$115)+COUNTIF('4月'!AC16:AD16,P$115)+COUNTIF('4月'!AH16:AI16,P$115)+COUNTIF('4月'!AM16:AN16,P$115)+COUNTIF('4月'!AR16:AS16,P$115)+COUNTIF('4月'!AW16:AX16,P$115)+COUNTIF('4月'!BB16:BC16,P$115)+COUNTIF('4月'!BG16:BH16,P$115)+COUNTIF('4月'!BL16:BM16,P$115)+COUNTIF('4月'!BQ16:BR16,P$115)+COUNTIF('4月'!BV16:BW16,P$115)+COUNTIF('4月'!CA16:CB16,P$115)+COUNTIF('4月'!CF16:CG16,P$115)+COUNTIF('4月'!CK16:CL16,P$115)+COUNTIF('4月'!CP16:CQ16,P$115)+COUNTIF('4月'!CU16:CV16,P$115)+COUNTIF('4月'!CZ16:DA16,P$115)+COUNTIF('4月'!DE16:DF16,P$115)+COUNTIF('4月'!DJ16:DK16,P$115)+COUNTIF('4月'!DO16:DP16,P$115)+COUNTIF('4月'!DT16:DU16,P$115)+COUNTIF('4月'!DY16:DZ16,P$115)+COUNTIF('4月'!ED16:EE16,P$115)+COUNTIF('4月'!EI16:EJ16,P$115)+COUNTIF('4月'!EN16:EO16,P$115)+COUNTIF('4月'!ES16:ET16,P$115)+COUNTIF('4月'!D16:E16,"荻窪ー夜勤")+COUNTIF('4月'!I16:J16,"荻窪ー夜勤")+COUNTIF('4月'!N16:O16,"荻窪ー夜勤")+COUNTIF('4月'!S16:T16,"荻窪ー夜勤")+COUNTIF('4月'!X16:Y16,"荻窪ー夜勤")+COUNTIF('4月'!AC16:AD16,"荻窪ー夜勤")+COUNTIF('4月'!AH16:AI16,"荻窪ー夜勤")+COUNTIF('4月'!AM16:AN16,"荻窪ー夜勤")+COUNTIF('4月'!AR16:AS16,"荻窪ー夜勤")+COUNTIF('4月'!AW16:AX16,"荻窪ー夜勤")+COUNTIF('4月'!BB16:BC16,"荻窪ー夜勤")+COUNTIF('4月'!BG16:BH16,"荻窪ー夜勤")+COUNTIF('4月'!BL16:BM16,"荻窪ー夜勤")+COUNTIF('4月'!BQ16:BR16,"荻窪ー夜勤")+COUNTIF('4月'!BV16:BW16,"荻窪ー夜勤")+COUNTIF('4月'!CA16:CB16,"荻窪ー夜勤")+COUNTIF('4月'!CF16:CG16,"荻窪ー夜勤")+COUNTIF('4月'!CK16:CL16,"荻窪ー夜勤")+COUNTIF('4月'!CP16:CQ16,"荻窪ー夜勤")+COUNTIF('4月'!CU16:CV16,"荻窪ー夜勤")+COUNTIF('4月'!CZ16:DA16,"荻窪ー夜勤")+COUNTIF('4月'!DE16:DF16,"荻窪ー夜勤")+COUNTIF('4月'!DJ16:DK16,"荻窪ー夜勤")+COUNTIF('4月'!DO16:DP16,"荻窪ー夜勤")+COUNTIF('4月'!DT16:DU16,"荻窪ー夜勤")+COUNTIF('4月'!DY16:DZ16,"荻窪ー夜勤")+COUNTIF('4月'!ED16:EE16,"荻窪ー夜勤")+COUNTIF('4月'!EI16:EJ16,"荻窪ー夜勤")+COUNTIF('4月'!EN16:EO16,"荻窪ー夜勤")+COUNTIF('4月'!ES16:ET16,"荻窪ー夜勤")</f>
        <v>0</v>
      </c>
      <c r="Q129" s="76">
        <f t="shared" si="43"/>
        <v>0</v>
      </c>
      <c r="R129" s="76">
        <f>COUNTIF('4月'!D16:E16,R$115)+COUNTIF('4月'!I16:J16,R$115)+COUNTIF('4月'!N16:O16,R$115)+COUNTIF('4月'!S16:T16,R$115)+COUNTIF('4月'!X16:Y16,R$115)+COUNTIF('4月'!AC16:AD16,R$115)+COUNTIF('4月'!AH16:AI16,R$115)+COUNTIF('4月'!AM16:AN16,R$115)+COUNTIF('4月'!AR16:AS16,R$115)+COUNTIF('4月'!AW16:AX16,R$115)+COUNTIF('4月'!BB16:BC16,R$115)+COUNTIF('4月'!BG16:BH16,R$115)+COUNTIF('4月'!BL16:BM16,R$115)+COUNTIF('4月'!BQ16:BR16,R$115)+COUNTIF('4月'!BV16:BW16,R$115)+COUNTIF('4月'!CA16:CB16,R$115)+COUNTIF('4月'!CF16:CG16,R$115)+COUNTIF('4月'!CK16:CL16,R$115)+COUNTIF('4月'!CP16:CQ16,R$115)+COUNTIF('4月'!CU16:CV16,R$115)+COUNTIF('4月'!CZ16:DA16,R$115)+COUNTIF('4月'!DE16:DF16,R$115)+COUNTIF('4月'!DJ16:DK16,R$115)+COUNTIF('4月'!DO16:DP16,R$115)+COUNTIF('4月'!DT16:DU16,R$115)+COUNTIF('4月'!DY16:DZ16,R$115)+COUNTIF('4月'!ED16:EE16,R$115)+COUNTIF('4月'!EI16:EJ16,R$115)+COUNTIF('4月'!EN16:EO16,R$115)+COUNTIF('4月'!ES16:ET16,R$115)</f>
        <v>0</v>
      </c>
      <c r="S129" s="76">
        <f t="shared" si="44"/>
        <v>0</v>
      </c>
      <c r="T129" s="76">
        <f>COUNTIF('4月'!D16:E16,T$115)+COUNTIF('4月'!I16:J16,T$115)+COUNTIF('4月'!N16:O16,T$115)+COUNTIF('4月'!S16:T16,T$115)+COUNTIF('4月'!X16:Y16,T$115)+COUNTIF('4月'!AC16:AD16,T$115)+COUNTIF('4月'!AH16:AI16,T$115)+COUNTIF('4月'!AM16:AN16,T$115)+COUNTIF('4月'!AR16:AS16,T$115)+COUNTIF('4月'!AW16:AX16,T$115)+COUNTIF('4月'!BB16:BC16,T$115)+COUNTIF('4月'!BG16:BH16,T$115)+COUNTIF('4月'!BL16:BM16,T$115)+COUNTIF('4月'!BQ16:BR16,T$115)+COUNTIF('4月'!BV16:BW16,T$115)+COUNTIF('4月'!CA16:CB16,T$115)+COUNTIF('4月'!CF16:CG16,T$115)+COUNTIF('4月'!CK16:CL16,T$115)+COUNTIF('4月'!CP16:CQ16,T$115)+COUNTIF('4月'!CU16:CV16,T$115)+COUNTIF('4月'!CZ16:DA16,T$115)+COUNTIF('4月'!DE16:DF16,T$115)+COUNTIF('4月'!DJ16:DK16,T$115)+COUNTIF('4月'!DO16:DP16,T$115)+COUNTIF('4月'!DT16:DU16,T$115)+COUNTIF('4月'!DY16:DZ16,T$115)+COUNTIF('4月'!ED16:EE16,T$115)+COUNTIF('4月'!EI16:EJ16,T$115)+COUNTIF('4月'!EN16:EO16,T$115)+COUNTIF('4月'!ES16:ET16,T$115)</f>
        <v>0</v>
      </c>
      <c r="U129" s="76">
        <f t="shared" si="45"/>
        <v>0</v>
      </c>
      <c r="V129" s="76">
        <f>COUNTIF('4月'!D16:E16,V$115)+COUNTIF('4月'!I16:J16,V$115)+COUNTIF('4月'!N16:O16,V$115)+COUNTIF('4月'!S16:T16,V$115)+COUNTIF('4月'!X16:Y16,V$115)+COUNTIF('4月'!AC16:AD16,V$115)+COUNTIF('4月'!AH16:AI16,V$115)+COUNTIF('4月'!AM16:AN16,V$115)+COUNTIF('4月'!AR16:AS16,V$115)+COUNTIF('4月'!AW16:AX16,V$115)+COUNTIF('4月'!BB16:BC16,V$115)+COUNTIF('4月'!BG16:BH16,V$115)+COUNTIF('4月'!BL16:BM16,V$115)+COUNTIF('4月'!BQ16:BR16,V$115)+COUNTIF('4月'!BV16:BW16,V$115)+COUNTIF('4月'!CA16:CB16,V$115)+COUNTIF('4月'!CF16:CG16,V$115)+COUNTIF('4月'!CK16:CL16,V$115)+COUNTIF('4月'!CP16:CQ16,V$115)+COUNTIF('4月'!CU16:CV16,V$115)+COUNTIF('4月'!CZ16:DA16,V$115)+COUNTIF('4月'!DE16:DF16,V$115)+COUNTIF('4月'!DJ16:DK16,V$115)+COUNTIF('4月'!DO16:DP16,V$115)+COUNTIF('4月'!DT16:DU16,V$115)+COUNTIF('4月'!DY16:DZ16,V$115)+COUNTIF('4月'!ED16:EE16,V$115)+COUNTIF('4月'!EI16:EJ16,V$115)+COUNTIF('4月'!EN16:EO16,V$115)+COUNTIF('4月'!ES16:ET16,V$115)</f>
        <v>0</v>
      </c>
      <c r="W129" s="76">
        <f t="shared" si="46"/>
        <v>0</v>
      </c>
      <c r="X129" s="76">
        <f>COUNTIF('4月'!D16:E16,X$115)+COUNTIF('4月'!I16:J16,X$115)+COUNTIF('4月'!N16:O16,X$115)+COUNTIF('4月'!S16:T16,X$115)+COUNTIF('4月'!X16:Y16,X$115)+COUNTIF('4月'!AC16:AD16,X$115)+COUNTIF('4月'!AH16:AI16,X$115)+COUNTIF('4月'!AM16:AN16,X$115)+COUNTIF('4月'!AR16:AS16,X$115)+COUNTIF('4月'!AW16:AX16,X$115)+COUNTIF('4月'!BB16:BC16,X$115)+COUNTIF('4月'!BG16:BH16,X$115)+COUNTIF('4月'!BL16:BM16,X$115)+COUNTIF('4月'!BQ16:BR16,X$115)+COUNTIF('4月'!BV16:BW16,X$115)+COUNTIF('4月'!CA16:CB16,X$115)+COUNTIF('4月'!CF16:CG16,X$115)+COUNTIF('4月'!CK16:CL16,X$115)+COUNTIF('4月'!CP16:CQ16,X$115)+COUNTIF('4月'!CU16:CV16,X$115)+COUNTIF('4月'!CZ16:DA16,X$115)+COUNTIF('4月'!DE16:DF16,X$115)+COUNTIF('4月'!DJ16:DK16,X$115)+COUNTIF('4月'!DO16:DP16,X$115)+COUNTIF('4月'!DT16:DU16,X$115)+COUNTIF('4月'!DY16:DZ16,X$115)+COUNTIF('4月'!ED16:EE16,X$115)+COUNTIF('4月'!EI16:EJ16,X$115)+COUNTIF('4月'!EN16:EO16,X$115)+COUNTIF('4月'!ES16:ET16,X$115)</f>
        <v>0</v>
      </c>
      <c r="Y129" s="76">
        <f t="shared" si="47"/>
        <v>0</v>
      </c>
    </row>
    <row r="130" spans="1:25" ht="18" customHeight="1">
      <c r="A130" s="76">
        <v>14</v>
      </c>
      <c r="B130" s="76">
        <f>COUNTIF('4月'!D17:E17,B$115)+COUNTIF('4月'!I17:J17,B$115)+COUNTIF('4月'!N17:O17,B$115)+COUNTIF('4月'!S17:T17,B$115)+COUNTIF('4月'!X17:Y17,B$115)+COUNTIF('4月'!AC17:AD17,B$115)+COUNTIF('4月'!AH17:AI17,B$115)+COUNTIF('4月'!AM17:AN17,B$115)+COUNTIF('4月'!AR17:AS17,B$115)+COUNTIF('4月'!AW17:AX17,B$115)+COUNTIF('4月'!BB17:BC17,B$115)+COUNTIF('4月'!BG17:BH17,B$115)+COUNTIF('4月'!BL17:BM17,B$115)+COUNTIF('4月'!BQ17:BR17,B$115)+COUNTIF('4月'!BV17:BW17,B$115)+COUNTIF('4月'!CA17:CB17,B$115)+COUNTIF('4月'!CF17:CG17,B$115)+COUNTIF('4月'!CK17:CL17,B$115)+COUNTIF('4月'!CP17:CQ17,B$115)+COUNTIF('4月'!CU17:CV17,B$115)+COUNTIF('4月'!CZ17:DA17,B$115)+COUNTIF('4月'!DE17:DF17,B$115)+COUNTIF('4月'!DJ17:DK17,B$115)+COUNTIF('4月'!DO17:DP17,B$115)+COUNTIF('4月'!DT17:DU17,B$115)+COUNTIF('4月'!DY17:DZ17,B$115)+COUNTIF('4月'!ED17:EE17,B$115)+COUNTIF('4月'!EI17:EJ17,B$115)+COUNTIF('4月'!EN17:EO17,B$115)+COUNTIF('4月'!ES17:ET17,B$115)</f>
        <v>0</v>
      </c>
      <c r="C130" s="76">
        <f t="shared" si="36"/>
        <v>0</v>
      </c>
      <c r="D130" s="76">
        <f>COUNTIF('4月'!D17:E17,D$115)+COUNTIF('4月'!I17:J17,D$115)+COUNTIF('4月'!N17:O17,D$115)+COUNTIF('4月'!S17:T17,D$115)+COUNTIF('4月'!X17:Y17,D$115)+COUNTIF('4月'!AC17:AD17,D$115)+COUNTIF('4月'!AH17:AI17,D$115)+COUNTIF('4月'!AM17:AN17,D$115)+COUNTIF('4月'!AR17:AS17,D$115)+COUNTIF('4月'!AW17:AX17,D$115)+COUNTIF('4月'!BB17:BC17,D$115)+COUNTIF('4月'!BG17:BH17,D$115)+COUNTIF('4月'!BL17:BM17,D$115)+COUNTIF('4月'!BQ17:BR17,D$115)+COUNTIF('4月'!BV17:BW17,D$115)+COUNTIF('4月'!CA17:CB17,D$115)+COUNTIF('4月'!CF17:CG17,D$115)+COUNTIF('4月'!CK17:CL17,D$115)+COUNTIF('4月'!CP17:CQ17,D$115)+COUNTIF('4月'!CU17:CV17,D$115)+COUNTIF('4月'!CZ17:DA17,D$115)+COUNTIF('4月'!DE17:DF17,D$115)+COUNTIF('4月'!DJ17:DK17,D$115)+COUNTIF('4月'!DO17:DP17,D$115)+COUNTIF('4月'!DT17:DU17,D$115)+COUNTIF('4月'!DY17:DZ17,D$115)+COUNTIF('4月'!ED17:EE17,D$115)+COUNTIF('4月'!EI17:EJ17,D$115)+COUNTIF('4月'!EN17:EO17,D$115)+COUNTIF('4月'!ES17:ET17,D$115)</f>
        <v>0</v>
      </c>
      <c r="E130" s="76">
        <f t="shared" si="37"/>
        <v>0</v>
      </c>
      <c r="F130" s="76">
        <f>COUNTIF('4月'!D17:E17,F$115)+COUNTIF('4月'!I17:J17,F$115)+COUNTIF('4月'!N17:O17,F$115)+COUNTIF('4月'!S17:T17,F$115)+COUNTIF('4月'!X17:Y17,F$115)+COUNTIF('4月'!AC17:AD17,F$115)+COUNTIF('4月'!AH17:AI17,F$115)+COUNTIF('4月'!AM17:AN17,F$115)+COUNTIF('4月'!AR17:AS17,F$115)+COUNTIF('4月'!AW17:AX17,F$115)+COUNTIF('4月'!BB17:BC17,F$115)+COUNTIF('4月'!BG17:BH17,F$115)+COUNTIF('4月'!BL17:BM17,F$115)+COUNTIF('4月'!BQ17:BR17,F$115)+COUNTIF('4月'!BV17:BW17,F$115)+COUNTIF('4月'!CA17:CB17,F$115)+COUNTIF('4月'!CF17:CG17,F$115)+COUNTIF('4月'!CK17:CL17,F$115)+COUNTIF('4月'!CP17:CQ17,F$115)+COUNTIF('4月'!CU17:CV17,F$115)+COUNTIF('4月'!CZ17:DA17,F$115)+COUNTIF('4月'!DE17:DF17,F$115)+COUNTIF('4月'!DJ17:DK17,F$115)+COUNTIF('4月'!DO17:DP17,F$115)+COUNTIF('4月'!DT17:DU17,F$115)+COUNTIF('4月'!DY17:DZ17,F$115)+COUNTIF('4月'!ED17:EE17,F$115)+COUNTIF('4月'!EI17:EJ17,F$115)+COUNTIF('4月'!EN17:EO17,F$115)+COUNTIF('4月'!ES17:ET17,F$115)</f>
        <v>0</v>
      </c>
      <c r="G130" s="76">
        <f t="shared" si="38"/>
        <v>0</v>
      </c>
      <c r="H130" s="76">
        <f>COUNTIF('4月'!D17:E17,H$115)+COUNTIF('4月'!I17:J17,H$115)+COUNTIF('4月'!N17:O17,H$115)+COUNTIF('4月'!S17:T17,H$115)+COUNTIF('4月'!X17:Y17,H$115)+COUNTIF('4月'!AC17:AD17,H$115)+COUNTIF('4月'!AH17:AI17,H$115)+COUNTIF('4月'!AM17:AN17,H$115)+COUNTIF('4月'!AR17:AS17,H$115)+COUNTIF('4月'!AW17:AX17,H$115)+COUNTIF('4月'!BB17:BC17,H$115)+COUNTIF('4月'!BG17:BH17,H$115)+COUNTIF('4月'!BL17:BM17,H$115)+COUNTIF('4月'!BQ17:BR17,H$115)+COUNTIF('4月'!BV17:BW17,H$115)+COUNTIF('4月'!CA17:CB17,H$115)+COUNTIF('4月'!CF17:CG17,H$115)+COUNTIF('4月'!CK17:CL17,H$115)+COUNTIF('4月'!CP17:CQ17,H$115)+COUNTIF('4月'!CU17:CV17,H$115)+COUNTIF('4月'!CZ17:DA17,H$115)+COUNTIF('4月'!DE17:DF17,H$115)+COUNTIF('4月'!DJ17:DK17,H$115)+COUNTIF('4月'!DO17:DP17,H$115)+COUNTIF('4月'!DT17:DU17,H$115)+COUNTIF('4月'!DY17:DZ17,H$115)+COUNTIF('4月'!ED17:EE17,H$115)+COUNTIF('4月'!EI17:EJ17,H$115)+COUNTIF('4月'!EN17:EO17,H$115)+COUNTIF('4月'!ES17:ET17,H$115)+COUNTIF('4月'!D17:E17,"渋谷-夜勤")+COUNTIF('4月'!I17:J17,"渋谷-夜勤")+COUNTIF('4月'!N17:O17,"渋谷-夜勤")+COUNTIF('4月'!S17:T17,"渋谷-夜勤")+COUNTIF('4月'!X17:Y17,"渋谷-夜勤")+COUNTIF('4月'!AC17:AD17,"渋谷-夜勤")+COUNTIF('4月'!AH17:AI17,"渋谷-夜勤")+COUNTIF('4月'!AM17:AN17,"渋谷-夜勤")+COUNTIF('4月'!AR17:AS17,"渋谷-夜勤")+COUNTIF('4月'!AW17:AX17,"渋谷-夜勤")+COUNTIF('4月'!BB17:BC17,"渋谷-夜勤")+COUNTIF('4月'!BG17:BH17,"渋谷-夜勤")+COUNTIF('4月'!BL17:BM17,"渋谷-夜勤")+COUNTIF('4月'!BQ17:BR17,"渋谷-夜勤")+COUNTIF('4月'!BV17:BW17,"渋谷-夜勤")+COUNTIF('4月'!CA17:CB17,"渋谷-夜勤")+COUNTIF('4月'!CF17:CG17,"渋谷-夜勤")+COUNTIF('4月'!CK17:CL17,"渋谷-夜勤")+COUNTIF('4月'!CP17:CQ17,"渋谷-夜勤")+COUNTIF('4月'!CU17:CV17,"渋谷-夜勤")+COUNTIF('4月'!CZ17:DA17,"渋谷-夜勤")+COUNTIF('4月'!DE17:DF17,"渋谷-夜勤")+COUNTIF('4月'!DJ17:DK17,"渋谷-夜勤")+COUNTIF('4月'!DO17:DP17,"渋谷-夜勤")+COUNTIF('4月'!DT17:DU17,"渋谷-夜勤")+COUNTIF('4月'!DY17:DZ17,"渋谷-夜勤")+COUNTIF('4月'!ED17:EE17,"渋谷-夜勤")+COUNTIF('4月'!EI17:EJ17,"渋谷-夜勤")+COUNTIF('4月'!EN17:EO17,"渋谷-夜勤")+COUNTIF('4月'!ES17:ET17,"渋谷-夜勤")</f>
        <v>0</v>
      </c>
      <c r="I130" s="76">
        <f t="shared" si="39"/>
        <v>0</v>
      </c>
      <c r="J130" s="76">
        <f>COUNTIF('4月'!D17:E17,J$115)+COUNTIF('4月'!I17:J17,J$115)+COUNTIF('4月'!N17:O17,J$115)+COUNTIF('4月'!S17:T17,J$115)+COUNTIF('4月'!X17:Y17,J$115)+COUNTIF('4月'!AC17:AD17,J$115)+COUNTIF('4月'!AH17:AI17,J$115)+COUNTIF('4月'!AM17:AN17,J$115)+COUNTIF('4月'!AR17:AS17,J$115)+COUNTIF('4月'!AW17:AX17,J$115)+COUNTIF('4月'!BB17:BC17,J$115)+COUNTIF('4月'!BG17:BH17,J$115)+COUNTIF('4月'!BL17:BM17,J$115)+COUNTIF('4月'!BQ17:BR17,J$115)+COUNTIF('4月'!BV17:BW17,J$115)+COUNTIF('4月'!CA17:CB17,J$115)+COUNTIF('4月'!CF17:CG17,J$115)+COUNTIF('4月'!CK17:CL17,J$115)+COUNTIF('4月'!CP17:CQ17,J$115)+COUNTIF('4月'!CU17:CV17,J$115)+COUNTIF('4月'!CZ17:DA17,J$115)+COUNTIF('4月'!DE17:DF17,J$115)+COUNTIF('4月'!DJ17:DK17,J$115)+COUNTIF('4月'!DO17:DP17,J$115)+COUNTIF('4月'!DT17:DU17,J$115)+COUNTIF('4月'!DY17:DZ17,J$115)+COUNTIF('4月'!ED17:EE17,J$115)+COUNTIF('4月'!EI17:EJ17,J$115)+COUNTIF('4月'!EN17:EO17,J$115)+COUNTIF('4月'!ES17:ET17,J$115)+COUNTIF('4月'!D17:E17,"六本木-夜勤")+COUNTIF('4月'!I17:J17,"六本木-夜勤")+COUNTIF('4月'!N17:O17,"六本木-夜勤")+COUNTIF('4月'!S17:T17,"六本木-夜勤")+COUNTIF('4月'!X17:Y17,"六本木-夜勤")+COUNTIF('4月'!AC17:AD17,"六本木-夜勤")+COUNTIF('4月'!AH17:AI17,"六本木-夜勤")+COUNTIF('4月'!AM17:AN17,"六本木-夜勤")+COUNTIF('4月'!AR17:AS17,"六本木-夜勤")+COUNTIF('4月'!AW17:AX17,"六本木-夜勤")+COUNTIF('4月'!BB17:BC17,"六本木-夜勤")+COUNTIF('4月'!BG17:BH17,"六本木-夜勤")+COUNTIF('4月'!BL17:BM17,"六本木-夜勤")+COUNTIF('4月'!BQ17:BR17,"六本木-夜勤")+COUNTIF('4月'!BV17:BW17,"六本木-夜勤")+COUNTIF('4月'!CA17:CB17,"六本木-夜勤")+COUNTIF('4月'!CF17:CG17,"六本木-夜勤")+COUNTIF('4月'!CK17:CL17,"六本木-夜勤")+COUNTIF('4月'!CP17:CQ17,"六本木-夜勤")+COUNTIF('4月'!CU17:CV17,"六本木-夜勤")+COUNTIF('4月'!CZ17:DA17,"六本木-夜勤")+COUNTIF('4月'!DE17:DF17,"六本木-夜勤")+COUNTIF('4月'!DJ17:DK17,"六本木-夜勤")+COUNTIF('4月'!DO17:DP17,"六本木-夜勤")+COUNTIF('4月'!DT17:DU17,"六本木-夜勤")+COUNTIF('4月'!DY17:DZ17,"六本木-夜勤")+COUNTIF('4月'!ED17:EE17,"六本木-夜勤")+COUNTIF('4月'!EI17:EJ17,"六本木-夜勤")+COUNTIF('4月'!EN17:EO17,"六本木-夜勤")+COUNTIF('4月'!ES17:ET17,"六本木-夜勤")+COUNTIF('4月'!D17:E17,"六本木ー夜勤")+COUNTIF('4月'!I17:J17,"六本木ー夜勤")+COUNTIF('4月'!N17:O17,"六本木ー夜勤")+COUNTIF('4月'!S17:T17,"六本木ー夜勤")+COUNTIF('4月'!X17:Y17,"六本木ー夜勤")+COUNTIF('4月'!AC17:AD17,"六本木ー夜勤")+COUNTIF('4月'!AH17:AI17,"六本木ー夜勤")+COUNTIF('4月'!AM17:AN17,"六本木ー夜勤")+COUNTIF('4月'!AR17:AS17,"六本木ー夜勤")+COUNTIF('4月'!AW17:AX17,"六本木ー夜勤")+COUNTIF('4月'!BB17:BC17,"六本木ー夜勤")+COUNTIF('4月'!BG17:BH17,"六本木ー夜勤")+COUNTIF('4月'!BL17:BM17,"六本木ー夜勤")+COUNTIF('4月'!BQ17:BR17,"六本木ー夜勤")+COUNTIF('4月'!BV17:BW17,"六本木ー夜勤")+COUNTIF('4月'!CA17:CB17,"六本木ー夜勤")+COUNTIF('4月'!CF17:CG17,"六本木ー夜勤")+COUNTIF('4月'!CK17:CL17,"六本木ー夜勤")+COUNTIF('4月'!CP17:CQ17,"六本木ー夜勤")+COUNTIF('4月'!CU17:CV17,"六本木ー夜勤")+COUNTIF('4月'!CZ17:DA17,"六本木ー夜勤")+COUNTIF('4月'!DE17:DF17,"六本木ー夜勤")+COUNTIF('4月'!DJ17:DK17,"六本木ー夜勤")+COUNTIF('4月'!DO17:DP17,"六本木ー夜勤")+COUNTIF('4月'!DT17:DU17,"六本木ー夜勤")+COUNTIF('4月'!DY17:DZ17,"六本木ー夜勤")+COUNTIF('4月'!ED17:EE17,"六本木ー夜勤")+COUNTIF('4月'!EI17:EJ17,"六本木ー夜勤")+COUNTIF('4月'!EN17:EO17,"六本木ー夜勤")+COUNTIF('4月'!ES17:ET17,"六本木ー夜勤")</f>
        <v>0</v>
      </c>
      <c r="K130" s="76">
        <f t="shared" si="40"/>
        <v>0</v>
      </c>
      <c r="L130" s="76">
        <f>COUNTIF('4月'!D17:E17,L$115)+COUNTIF('4月'!I17:J17,L$115)+COUNTIF('4月'!N17:O17,L$115)+COUNTIF('4月'!S17:T17,L$115)+COUNTIF('4月'!X17:Y17,L$115)+COUNTIF('4月'!AC17:AD17,L$115)+COUNTIF('4月'!AH17:AI17,L$115)+COUNTIF('4月'!AM17:AN17,L$115)+COUNTIF('4月'!AR17:AS17,L$115)+COUNTIF('4月'!AW17:AX17,L$115)+COUNTIF('4月'!BB17:BC17,L$115)+COUNTIF('4月'!BG17:BH17,L$115)+COUNTIF('4月'!BL17:BM17,L$115)+COUNTIF('4月'!BQ17:BR17,L$115)+COUNTIF('4月'!BV17:BW17,L$115)+COUNTIF('4月'!CA17:CB17,L$115)+COUNTIF('4月'!CF17:CG17,L$115)+COUNTIF('4月'!CK17:CL17,L$115)+COUNTIF('4月'!CP17:CQ17,L$115)+COUNTIF('4月'!CU17:CV17,L$115)+COUNTIF('4月'!CZ17:DA17,L$115)+COUNTIF('4月'!DE17:DF17,L$115)+COUNTIF('4月'!DJ17:DK17,L$115)+COUNTIF('4月'!DO17:DP17,L$115)+COUNTIF('4月'!DT17:DU17,L$115)+COUNTIF('4月'!DY17:DZ17,L$115)+COUNTIF('4月'!ED17:EE17,L$115)+COUNTIF('4月'!EI17:EJ17,L$115)+COUNTIF('4月'!EN17:EO17,L$115)+COUNTIF('4月'!ES17:ET17,L$115)</f>
        <v>0</v>
      </c>
      <c r="M130" s="76">
        <f t="shared" si="41"/>
        <v>0</v>
      </c>
      <c r="N130" s="76">
        <f>COUNTIF('4月'!D17:E17,N$115)+COUNTIF('4月'!I17:J17,N$115)+COUNTIF('4月'!N17:O17,N$115)+COUNTIF('4月'!S17:T17,N$115)+COUNTIF('4月'!X17:Y17,N$115)+COUNTIF('4月'!AC17:AD17,N$115)+COUNTIF('4月'!AH17:AI17,N$115)+COUNTIF('4月'!AM17:AN17,N$115)+COUNTIF('4月'!AR17:AS17,N$115)+COUNTIF('4月'!AW17:AX17,N$115)+COUNTIF('4月'!BB17:BC17,N$115)+COUNTIF('4月'!BG17:BH17,N$115)+COUNTIF('4月'!BL17:BM17,N$115)+COUNTIF('4月'!BQ17:BR17,N$115)+COUNTIF('4月'!BV17:BW17,N$115)+COUNTIF('4月'!CA17:CB17,N$115)+COUNTIF('4月'!CF17:CG17,N$115)+COUNTIF('4月'!CK17:CL17,N$115)+COUNTIF('4月'!CP17:CQ17,N$115)+COUNTIF('4月'!CU17:CV17,N$115)+COUNTIF('4月'!CZ17:DA17,N$115)+COUNTIF('4月'!DE17:DF17,N$115)+COUNTIF('4月'!DJ17:DK17,N$115)+COUNTIF('4月'!DO17:DP17,N$115)+COUNTIF('4月'!DT17:DU17,N$115)+COUNTIF('4月'!DY17:DZ17,N$115)+COUNTIF('4月'!ED17:EE17,N$115)+COUNTIF('4月'!EI17:EJ17,N$115)+COUNTIF('4月'!EN17:EO17,N$115)+COUNTIF('4月'!ES17:ET17,N$115)+COUNTIF('4月'!D17:E17,"三軒茶屋－夜勤")+COUNTIF('4月'!I17:J17,"三軒茶屋－夜勤")+COUNTIF('4月'!N17:O17,"三軒茶屋－夜勤")+COUNTIF('4月'!S17:T17,"三軒茶屋－夜勤")+COUNTIF('4月'!X17:Y17,"三軒茶屋－夜勤")+COUNTIF('4月'!AC17:AD17,"三軒茶屋－夜勤")+COUNTIF('4月'!AH17:AI17,"三軒茶屋－夜勤")+COUNTIF('4月'!AM17:AN17,"三軒茶屋－夜勤")+COUNTIF('4月'!AR17:AS17,"三軒茶屋－夜勤")+COUNTIF('4月'!AW17:AX17,"三軒茶屋－夜勤")+COUNTIF('4月'!BB17:BC17,"三軒茶屋－夜勤")+COUNTIF('4月'!BG17:BH17,"三軒茶屋－夜勤")+COUNTIF('4月'!BL17:BM17,"三軒茶屋－夜勤")+COUNTIF('4月'!BQ17:BR17,"三軒茶屋－夜勤")+COUNTIF('4月'!BV17:BW17,"三軒茶屋－夜勤")+COUNTIF('4月'!CA17:CB17,"三軒茶屋－夜勤")+COUNTIF('4月'!CF17:CG17,"三軒茶屋－夜勤")+COUNTIF('4月'!CK17:CL17,"三軒茶屋－夜勤")+COUNTIF('4月'!CP17:CQ17,"三軒茶屋－夜勤")+COUNTIF('4月'!CU17:CV17,"三軒茶屋－夜勤")+COUNTIF('4月'!CZ17:DA17,"三軒茶屋－夜勤")+COUNTIF('4月'!DE17:DF17,"三軒茶屋－夜勤")+COUNTIF('4月'!DJ17:DK17,"三軒茶屋－夜勤")+COUNTIF('4月'!DO17:DP17,"三軒茶屋－夜勤")+COUNTIF('4月'!DT17:DU17,"三軒茶屋－夜勤")+COUNTIF('4月'!DY17:DZ17,"三軒茶屋－夜勤")+COUNTIF('4月'!ED17:EE17,"三軒茶屋－夜勤")+COUNTIF('4月'!EI17:EJ17,"三軒茶屋－夜勤")+COUNTIF('4月'!EN17:EO17,"三軒茶屋－夜勤")+COUNTIF('4月'!ES17:ET17,"三軒茶屋－夜勤")</f>
        <v>0</v>
      </c>
      <c r="O130" s="76">
        <f t="shared" si="42"/>
        <v>0</v>
      </c>
      <c r="P130" s="76">
        <f>COUNTIF('4月'!D17:E17,P$115)+COUNTIF('4月'!I17:J17,P$115)+COUNTIF('4月'!N17:O17,P$115)+COUNTIF('4月'!S17:T17,P$115)+COUNTIF('4月'!X17:Y17,P$115)+COUNTIF('4月'!AC17:AD17,P$115)+COUNTIF('4月'!AH17:AI17,P$115)+COUNTIF('4月'!AM17:AN17,P$115)+COUNTIF('4月'!AR17:AS17,P$115)+COUNTIF('4月'!AW17:AX17,P$115)+COUNTIF('4月'!BB17:BC17,P$115)+COUNTIF('4月'!BG17:BH17,P$115)+COUNTIF('4月'!BL17:BM17,P$115)+COUNTIF('4月'!BQ17:BR17,P$115)+COUNTIF('4月'!BV17:BW17,P$115)+COUNTIF('4月'!CA17:CB17,P$115)+COUNTIF('4月'!CF17:CG17,P$115)+COUNTIF('4月'!CK17:CL17,P$115)+COUNTIF('4月'!CP17:CQ17,P$115)+COUNTIF('4月'!CU17:CV17,P$115)+COUNTIF('4月'!CZ17:DA17,P$115)+COUNTIF('4月'!DE17:DF17,P$115)+COUNTIF('4月'!DJ17:DK17,P$115)+COUNTIF('4月'!DO17:DP17,P$115)+COUNTIF('4月'!DT17:DU17,P$115)+COUNTIF('4月'!DY17:DZ17,P$115)+COUNTIF('4月'!ED17:EE17,P$115)+COUNTIF('4月'!EI17:EJ17,P$115)+COUNTIF('4月'!EN17:EO17,P$115)+COUNTIF('4月'!ES17:ET17,P$115)+COUNTIF('4月'!D17:E17,"荻窪ー夜勤")+COUNTIF('4月'!I17:J17,"荻窪ー夜勤")+COUNTIF('4月'!N17:O17,"荻窪ー夜勤")+COUNTIF('4月'!S17:T17,"荻窪ー夜勤")+COUNTIF('4月'!X17:Y17,"荻窪ー夜勤")+COUNTIF('4月'!AC17:AD17,"荻窪ー夜勤")+COUNTIF('4月'!AH17:AI17,"荻窪ー夜勤")+COUNTIF('4月'!AM17:AN17,"荻窪ー夜勤")+COUNTIF('4月'!AR17:AS17,"荻窪ー夜勤")+COUNTIF('4月'!AW17:AX17,"荻窪ー夜勤")+COUNTIF('4月'!BB17:BC17,"荻窪ー夜勤")+COUNTIF('4月'!BG17:BH17,"荻窪ー夜勤")+COUNTIF('4月'!BL17:BM17,"荻窪ー夜勤")+COUNTIF('4月'!BQ17:BR17,"荻窪ー夜勤")+COUNTIF('4月'!BV17:BW17,"荻窪ー夜勤")+COUNTIF('4月'!CA17:CB17,"荻窪ー夜勤")+COUNTIF('4月'!CF17:CG17,"荻窪ー夜勤")+COUNTIF('4月'!CK17:CL17,"荻窪ー夜勤")+COUNTIF('4月'!CP17:CQ17,"荻窪ー夜勤")+COUNTIF('4月'!CU17:CV17,"荻窪ー夜勤")+COUNTIF('4月'!CZ17:DA17,"荻窪ー夜勤")+COUNTIF('4月'!DE17:DF17,"荻窪ー夜勤")+COUNTIF('4月'!DJ17:DK17,"荻窪ー夜勤")+COUNTIF('4月'!DO17:DP17,"荻窪ー夜勤")+COUNTIF('4月'!DT17:DU17,"荻窪ー夜勤")+COUNTIF('4月'!DY17:DZ17,"荻窪ー夜勤")+COUNTIF('4月'!ED17:EE17,"荻窪ー夜勤")+COUNTIF('4月'!EI17:EJ17,"荻窪ー夜勤")+COUNTIF('4月'!EN17:EO17,"荻窪ー夜勤")+COUNTIF('4月'!ES17:ET17,"荻窪ー夜勤")</f>
        <v>0</v>
      </c>
      <c r="Q130" s="76">
        <f t="shared" si="43"/>
        <v>0</v>
      </c>
      <c r="R130" s="76">
        <f>COUNTIF('4月'!D17:E17,R$115)+COUNTIF('4月'!I17:J17,R$115)+COUNTIF('4月'!N17:O17,R$115)+COUNTIF('4月'!S17:T17,R$115)+COUNTIF('4月'!X17:Y17,R$115)+COUNTIF('4月'!AC17:AD17,R$115)+COUNTIF('4月'!AH17:AI17,R$115)+COUNTIF('4月'!AM17:AN17,R$115)+COUNTIF('4月'!AR17:AS17,R$115)+COUNTIF('4月'!AW17:AX17,R$115)+COUNTIF('4月'!BB17:BC17,R$115)+COUNTIF('4月'!BG17:BH17,R$115)+COUNTIF('4月'!BL17:BM17,R$115)+COUNTIF('4月'!BQ17:BR17,R$115)+COUNTIF('4月'!BV17:BW17,R$115)+COUNTIF('4月'!CA17:CB17,R$115)+COUNTIF('4月'!CF17:CG17,R$115)+COUNTIF('4月'!CK17:CL17,R$115)+COUNTIF('4月'!CP17:CQ17,R$115)+COUNTIF('4月'!CU17:CV17,R$115)+COUNTIF('4月'!CZ17:DA17,R$115)+COUNTIF('4月'!DE17:DF17,R$115)+COUNTIF('4月'!DJ17:DK17,R$115)+COUNTIF('4月'!DO17:DP17,R$115)+COUNTIF('4月'!DT17:DU17,R$115)+COUNTIF('4月'!DY17:DZ17,R$115)+COUNTIF('4月'!ED17:EE17,R$115)+COUNTIF('4月'!EI17:EJ17,R$115)+COUNTIF('4月'!EN17:EO17,R$115)+COUNTIF('4月'!ES17:ET17,R$115)</f>
        <v>0</v>
      </c>
      <c r="S130" s="76">
        <f t="shared" si="44"/>
        <v>0</v>
      </c>
      <c r="T130" s="76">
        <f>COUNTIF('4月'!D17:E17,T$115)+COUNTIF('4月'!I17:J17,T$115)+COUNTIF('4月'!N17:O17,T$115)+COUNTIF('4月'!S17:T17,T$115)+COUNTIF('4月'!X17:Y17,T$115)+COUNTIF('4月'!AC17:AD17,T$115)+COUNTIF('4月'!AH17:AI17,T$115)+COUNTIF('4月'!AM17:AN17,T$115)+COUNTIF('4月'!AR17:AS17,T$115)+COUNTIF('4月'!AW17:AX17,T$115)+COUNTIF('4月'!BB17:BC17,T$115)+COUNTIF('4月'!BG17:BH17,T$115)+COUNTIF('4月'!BL17:BM17,T$115)+COUNTIF('4月'!BQ17:BR17,T$115)+COUNTIF('4月'!BV17:BW17,T$115)+COUNTIF('4月'!CA17:CB17,T$115)+COUNTIF('4月'!CF17:CG17,T$115)+COUNTIF('4月'!CK17:CL17,T$115)+COUNTIF('4月'!CP17:CQ17,T$115)+COUNTIF('4月'!CU17:CV17,T$115)+COUNTIF('4月'!CZ17:DA17,T$115)+COUNTIF('4月'!DE17:DF17,T$115)+COUNTIF('4月'!DJ17:DK17,T$115)+COUNTIF('4月'!DO17:DP17,T$115)+COUNTIF('4月'!DT17:DU17,T$115)+COUNTIF('4月'!DY17:DZ17,T$115)+COUNTIF('4月'!ED17:EE17,T$115)+COUNTIF('4月'!EI17:EJ17,T$115)+COUNTIF('4月'!EN17:EO17,T$115)+COUNTIF('4月'!ES17:ET17,T$115)</f>
        <v>0</v>
      </c>
      <c r="U130" s="76">
        <f t="shared" si="45"/>
        <v>0</v>
      </c>
      <c r="V130" s="76">
        <f>COUNTIF('4月'!D17:E17,V$115)+COUNTIF('4月'!I17:J17,V$115)+COUNTIF('4月'!N17:O17,V$115)+COUNTIF('4月'!S17:T17,V$115)+COUNTIF('4月'!X17:Y17,V$115)+COUNTIF('4月'!AC17:AD17,V$115)+COUNTIF('4月'!AH17:AI17,V$115)+COUNTIF('4月'!AM17:AN17,V$115)+COUNTIF('4月'!AR17:AS17,V$115)+COUNTIF('4月'!AW17:AX17,V$115)+COUNTIF('4月'!BB17:BC17,V$115)+COUNTIF('4月'!BG17:BH17,V$115)+COUNTIF('4月'!BL17:BM17,V$115)+COUNTIF('4月'!BQ17:BR17,V$115)+COUNTIF('4月'!BV17:BW17,V$115)+COUNTIF('4月'!CA17:CB17,V$115)+COUNTIF('4月'!CF17:CG17,V$115)+COUNTIF('4月'!CK17:CL17,V$115)+COUNTIF('4月'!CP17:CQ17,V$115)+COUNTIF('4月'!CU17:CV17,V$115)+COUNTIF('4月'!CZ17:DA17,V$115)+COUNTIF('4月'!DE17:DF17,V$115)+COUNTIF('4月'!DJ17:DK17,V$115)+COUNTIF('4月'!DO17:DP17,V$115)+COUNTIF('4月'!DT17:DU17,V$115)+COUNTIF('4月'!DY17:DZ17,V$115)+COUNTIF('4月'!ED17:EE17,V$115)+COUNTIF('4月'!EI17:EJ17,V$115)+COUNTIF('4月'!EN17:EO17,V$115)+COUNTIF('4月'!ES17:ET17,V$115)</f>
        <v>0</v>
      </c>
      <c r="W130" s="76">
        <f t="shared" si="46"/>
        <v>0</v>
      </c>
      <c r="X130" s="76">
        <f>COUNTIF('4月'!D17:E17,X$115)+COUNTIF('4月'!I17:J17,X$115)+COUNTIF('4月'!N17:O17,X$115)+COUNTIF('4月'!S17:T17,X$115)+COUNTIF('4月'!X17:Y17,X$115)+COUNTIF('4月'!AC17:AD17,X$115)+COUNTIF('4月'!AH17:AI17,X$115)+COUNTIF('4月'!AM17:AN17,X$115)+COUNTIF('4月'!AR17:AS17,X$115)+COUNTIF('4月'!AW17:AX17,X$115)+COUNTIF('4月'!BB17:BC17,X$115)+COUNTIF('4月'!BG17:BH17,X$115)+COUNTIF('4月'!BL17:BM17,X$115)+COUNTIF('4月'!BQ17:BR17,X$115)+COUNTIF('4月'!BV17:BW17,X$115)+COUNTIF('4月'!CA17:CB17,X$115)+COUNTIF('4月'!CF17:CG17,X$115)+COUNTIF('4月'!CK17:CL17,X$115)+COUNTIF('4月'!CP17:CQ17,X$115)+COUNTIF('4月'!CU17:CV17,X$115)+COUNTIF('4月'!CZ17:DA17,X$115)+COUNTIF('4月'!DE17:DF17,X$115)+COUNTIF('4月'!DJ17:DK17,X$115)+COUNTIF('4月'!DO17:DP17,X$115)+COUNTIF('4月'!DT17:DU17,X$115)+COUNTIF('4月'!DY17:DZ17,X$115)+COUNTIF('4月'!ED17:EE17,X$115)+COUNTIF('4月'!EI17:EJ17,X$115)+COUNTIF('4月'!EN17:EO17,X$115)+COUNTIF('4月'!ES17:ET17,X$115)</f>
        <v>0</v>
      </c>
      <c r="Y130" s="76">
        <f t="shared" si="47"/>
        <v>0</v>
      </c>
    </row>
    <row r="131" spans="1:25" ht="18" customHeight="1">
      <c r="A131" s="76">
        <v>15</v>
      </c>
      <c r="B131" s="76">
        <f>COUNTIF('4月'!D18:E18,B$115)+COUNTIF('4月'!I18:J18,B$115)+COUNTIF('4月'!N18:O18,B$115)+COUNTIF('4月'!S18:T18,B$115)+COUNTIF('4月'!X18:Y18,B$115)+COUNTIF('4月'!AC18:AD18,B$115)+COUNTIF('4月'!AH18:AI18,B$115)+COUNTIF('4月'!AM18:AN18,B$115)+COUNTIF('4月'!AR18:AS18,B$115)+COUNTIF('4月'!AW18:AX18,B$115)+COUNTIF('4月'!BB18:BC18,B$115)+COUNTIF('4月'!BG18:BH18,B$115)+COUNTIF('4月'!BL18:BM18,B$115)+COUNTIF('4月'!BQ18:BR18,B$115)+COUNTIF('4月'!BV18:BW18,B$115)+COUNTIF('4月'!CA18:CB18,B$115)+COUNTIF('4月'!CF18:CG18,B$115)+COUNTIF('4月'!CK18:CL18,B$115)+COUNTIF('4月'!CP18:CQ18,B$115)+COUNTIF('4月'!CU18:CV18,B$115)+COUNTIF('4月'!CZ18:DA18,B$115)+COUNTIF('4月'!DE18:DF18,B$115)+COUNTIF('4月'!DJ18:DK18,B$115)+COUNTIF('4月'!DO18:DP18,B$115)+COUNTIF('4月'!DT18:DU18,B$115)+COUNTIF('4月'!DY18:DZ18,B$115)+COUNTIF('4月'!ED18:EE18,B$115)+COUNTIF('4月'!EI18:EJ18,B$115)+COUNTIF('4月'!EN18:EO18,B$115)+COUNTIF('4月'!ES18:ET18,B$115)</f>
        <v>0</v>
      </c>
      <c r="C131" s="76">
        <f t="shared" si="36"/>
        <v>0</v>
      </c>
      <c r="D131" s="76">
        <f>COUNTIF('4月'!D18:E18,D$115)+COUNTIF('4月'!I18:J18,D$115)+COUNTIF('4月'!N18:O18,D$115)+COUNTIF('4月'!S18:T18,D$115)+COUNTIF('4月'!X18:Y18,D$115)+COUNTIF('4月'!AC18:AD18,D$115)+COUNTIF('4月'!AH18:AI18,D$115)+COUNTIF('4月'!AM18:AN18,D$115)+COUNTIF('4月'!AR18:AS18,D$115)+COUNTIF('4月'!AW18:AX18,D$115)+COUNTIF('4月'!BB18:BC18,D$115)+COUNTIF('4月'!BG18:BH18,D$115)+COUNTIF('4月'!BL18:BM18,D$115)+COUNTIF('4月'!BQ18:BR18,D$115)+COUNTIF('4月'!BV18:BW18,D$115)+COUNTIF('4月'!CA18:CB18,D$115)+COUNTIF('4月'!CF18:CG18,D$115)+COUNTIF('4月'!CK18:CL18,D$115)+COUNTIF('4月'!CP18:CQ18,D$115)+COUNTIF('4月'!CU18:CV18,D$115)+COUNTIF('4月'!CZ18:DA18,D$115)+COUNTIF('4月'!DE18:DF18,D$115)+COUNTIF('4月'!DJ18:DK18,D$115)+COUNTIF('4月'!DO18:DP18,D$115)+COUNTIF('4月'!DT18:DU18,D$115)+COUNTIF('4月'!DY18:DZ18,D$115)+COUNTIF('4月'!ED18:EE18,D$115)+COUNTIF('4月'!EI18:EJ18,D$115)+COUNTIF('4月'!EN18:EO18,D$115)+COUNTIF('4月'!ES18:ET18,D$115)</f>
        <v>0</v>
      </c>
      <c r="E131" s="76">
        <f t="shared" si="37"/>
        <v>0</v>
      </c>
      <c r="F131" s="76">
        <f>COUNTIF('4月'!D18:E18,F$115)+COUNTIF('4月'!I18:J18,F$115)+COUNTIF('4月'!N18:O18,F$115)+COUNTIF('4月'!S18:T18,F$115)+COUNTIF('4月'!X18:Y18,F$115)+COUNTIF('4月'!AC18:AD18,F$115)+COUNTIF('4月'!AH18:AI18,F$115)+COUNTIF('4月'!AM18:AN18,F$115)+COUNTIF('4月'!AR18:AS18,F$115)+COUNTIF('4月'!AW18:AX18,F$115)+COUNTIF('4月'!BB18:BC18,F$115)+COUNTIF('4月'!BG18:BH18,F$115)+COUNTIF('4月'!BL18:BM18,F$115)+COUNTIF('4月'!BQ18:BR18,F$115)+COUNTIF('4月'!BV18:BW18,F$115)+COUNTIF('4月'!CA18:CB18,F$115)+COUNTIF('4月'!CF18:CG18,F$115)+COUNTIF('4月'!CK18:CL18,F$115)+COUNTIF('4月'!CP18:CQ18,F$115)+COUNTIF('4月'!CU18:CV18,F$115)+COUNTIF('4月'!CZ18:DA18,F$115)+COUNTIF('4月'!DE18:DF18,F$115)+COUNTIF('4月'!DJ18:DK18,F$115)+COUNTIF('4月'!DO18:DP18,F$115)+COUNTIF('4月'!DT18:DU18,F$115)+COUNTIF('4月'!DY18:DZ18,F$115)+COUNTIF('4月'!ED18:EE18,F$115)+COUNTIF('4月'!EI18:EJ18,F$115)+COUNTIF('4月'!EN18:EO18,F$115)+COUNTIF('4月'!ES18:ET18,F$115)</f>
        <v>0</v>
      </c>
      <c r="G131" s="76">
        <f t="shared" si="38"/>
        <v>0</v>
      </c>
      <c r="H131" s="76">
        <f>COUNTIF('4月'!D18:E18,H$115)+COUNTIF('4月'!I18:J18,H$115)+COUNTIF('4月'!N18:O18,H$115)+COUNTIF('4月'!S18:T18,H$115)+COUNTIF('4月'!X18:Y18,H$115)+COUNTIF('4月'!AC18:AD18,H$115)+COUNTIF('4月'!AH18:AI18,H$115)+COUNTIF('4月'!AM18:AN18,H$115)+COUNTIF('4月'!AR18:AS18,H$115)+COUNTIF('4月'!AW18:AX18,H$115)+COUNTIF('4月'!BB18:BC18,H$115)+COUNTIF('4月'!BG18:BH18,H$115)+COUNTIF('4月'!BL18:BM18,H$115)+COUNTIF('4月'!BQ18:BR18,H$115)+COUNTIF('4月'!BV18:BW18,H$115)+COUNTIF('4月'!CA18:CB18,H$115)+COUNTIF('4月'!CF18:CG18,H$115)+COUNTIF('4月'!CK18:CL18,H$115)+COUNTIF('4月'!CP18:CQ18,H$115)+COUNTIF('4月'!CU18:CV18,H$115)+COUNTIF('4月'!CZ18:DA18,H$115)+COUNTIF('4月'!DE18:DF18,H$115)+COUNTIF('4月'!DJ18:DK18,H$115)+COUNTIF('4月'!DO18:DP18,H$115)+COUNTIF('4月'!DT18:DU18,H$115)+COUNTIF('4月'!DY18:DZ18,H$115)+COUNTIF('4月'!ED18:EE18,H$115)+COUNTIF('4月'!EI18:EJ18,H$115)+COUNTIF('4月'!EN18:EO18,H$115)+COUNTIF('4月'!ES18:ET18,H$115)+COUNTIF('4月'!D18:E18,"渋谷-夜勤")+COUNTIF('4月'!I18:J18,"渋谷-夜勤")+COUNTIF('4月'!N18:O18,"渋谷-夜勤")+COUNTIF('4月'!S18:T18,"渋谷-夜勤")+COUNTIF('4月'!X18:Y18,"渋谷-夜勤")+COUNTIF('4月'!AC18:AD18,"渋谷-夜勤")+COUNTIF('4月'!AH18:AI18,"渋谷-夜勤")+COUNTIF('4月'!AM18:AN18,"渋谷-夜勤")+COUNTIF('4月'!AR18:AS18,"渋谷-夜勤")+COUNTIF('4月'!AW18:AX18,"渋谷-夜勤")+COUNTIF('4月'!BB18:BC18,"渋谷-夜勤")+COUNTIF('4月'!BG18:BH18,"渋谷-夜勤")+COUNTIF('4月'!BL18:BM18,"渋谷-夜勤")+COUNTIF('4月'!BQ18:BR18,"渋谷-夜勤")+COUNTIF('4月'!BV18:BW18,"渋谷-夜勤")+COUNTIF('4月'!CA18:CB18,"渋谷-夜勤")+COUNTIF('4月'!CF18:CG18,"渋谷-夜勤")+COUNTIF('4月'!CK18:CL18,"渋谷-夜勤")+COUNTIF('4月'!CP18:CQ18,"渋谷-夜勤")+COUNTIF('4月'!CU18:CV18,"渋谷-夜勤")+COUNTIF('4月'!CZ18:DA18,"渋谷-夜勤")+COUNTIF('4月'!DE18:DF18,"渋谷-夜勤")+COUNTIF('4月'!DJ18:DK18,"渋谷-夜勤")+COUNTIF('4月'!DO18:DP18,"渋谷-夜勤")+COUNTIF('4月'!DT18:DU18,"渋谷-夜勤")+COUNTIF('4月'!DY18:DZ18,"渋谷-夜勤")+COUNTIF('4月'!ED18:EE18,"渋谷-夜勤")+COUNTIF('4月'!EI18:EJ18,"渋谷-夜勤")+COUNTIF('4月'!EN18:EO18,"渋谷-夜勤")+COUNTIF('4月'!ES18:ET18,"渋谷-夜勤")</f>
        <v>0</v>
      </c>
      <c r="I131" s="76">
        <f t="shared" si="39"/>
        <v>0</v>
      </c>
      <c r="J131" s="76">
        <f>COUNTIF('4月'!D18:E18,J$115)+COUNTIF('4月'!I18:J18,J$115)+COUNTIF('4月'!N18:O18,J$115)+COUNTIF('4月'!S18:T18,J$115)+COUNTIF('4月'!X18:Y18,J$115)+COUNTIF('4月'!AC18:AD18,J$115)+COUNTIF('4月'!AH18:AI18,J$115)+COUNTIF('4月'!AM18:AN18,J$115)+COUNTIF('4月'!AR18:AS18,J$115)+COUNTIF('4月'!AW18:AX18,J$115)+COUNTIF('4月'!BB18:BC18,J$115)+COUNTIF('4月'!BG18:BH18,J$115)+COUNTIF('4月'!BL18:BM18,J$115)+COUNTIF('4月'!BQ18:BR18,J$115)+COUNTIF('4月'!BV18:BW18,J$115)+COUNTIF('4月'!CA18:CB18,J$115)+COUNTIF('4月'!CF18:CG18,J$115)+COUNTIF('4月'!CK18:CL18,J$115)+COUNTIF('4月'!CP18:CQ18,J$115)+COUNTIF('4月'!CU18:CV18,J$115)+COUNTIF('4月'!CZ18:DA18,J$115)+COUNTIF('4月'!DE18:DF18,J$115)+COUNTIF('4月'!DJ18:DK18,J$115)+COUNTIF('4月'!DO18:DP18,J$115)+COUNTIF('4月'!DT18:DU18,J$115)+COUNTIF('4月'!DY18:DZ18,J$115)+COUNTIF('4月'!ED18:EE18,J$115)+COUNTIF('4月'!EI18:EJ18,J$115)+COUNTIF('4月'!EN18:EO18,J$115)+COUNTIF('4月'!ES18:ET18,J$115)+COUNTIF('4月'!D18:E18,"六本木-夜勤")+COUNTIF('4月'!I18:J18,"六本木-夜勤")+COUNTIF('4月'!N18:O18,"六本木-夜勤")+COUNTIF('4月'!S18:T18,"六本木-夜勤")+COUNTIF('4月'!X18:Y18,"六本木-夜勤")+COUNTIF('4月'!AC18:AD18,"六本木-夜勤")+COUNTIF('4月'!AH18:AI18,"六本木-夜勤")+COUNTIF('4月'!AM18:AN18,"六本木-夜勤")+COUNTIF('4月'!AR18:AS18,"六本木-夜勤")+COUNTIF('4月'!AW18:AX18,"六本木-夜勤")+COUNTIF('4月'!BB18:BC18,"六本木-夜勤")+COUNTIF('4月'!BG18:BH18,"六本木-夜勤")+COUNTIF('4月'!BL18:BM18,"六本木-夜勤")+COUNTIF('4月'!BQ18:BR18,"六本木-夜勤")+COUNTIF('4月'!BV18:BW18,"六本木-夜勤")+COUNTIF('4月'!CA18:CB18,"六本木-夜勤")+COUNTIF('4月'!CF18:CG18,"六本木-夜勤")+COUNTIF('4月'!CK18:CL18,"六本木-夜勤")+COUNTIF('4月'!CP18:CQ18,"六本木-夜勤")+COUNTIF('4月'!CU18:CV18,"六本木-夜勤")+COUNTIF('4月'!CZ18:DA18,"六本木-夜勤")+COUNTIF('4月'!DE18:DF18,"六本木-夜勤")+COUNTIF('4月'!DJ18:DK18,"六本木-夜勤")+COUNTIF('4月'!DO18:DP18,"六本木-夜勤")+COUNTIF('4月'!DT18:DU18,"六本木-夜勤")+COUNTIF('4月'!DY18:DZ18,"六本木-夜勤")+COUNTIF('4月'!ED18:EE18,"六本木-夜勤")+COUNTIF('4月'!EI18:EJ18,"六本木-夜勤")+COUNTIF('4月'!EN18:EO18,"六本木-夜勤")+COUNTIF('4月'!ES18:ET18,"六本木-夜勤")+COUNTIF('4月'!D18:E18,"六本木ー夜勤")+COUNTIF('4月'!I18:J18,"六本木ー夜勤")+COUNTIF('4月'!N18:O18,"六本木ー夜勤")+COUNTIF('4月'!S18:T18,"六本木ー夜勤")+COUNTIF('4月'!X18:Y18,"六本木ー夜勤")+COUNTIF('4月'!AC18:AD18,"六本木ー夜勤")+COUNTIF('4月'!AH18:AI18,"六本木ー夜勤")+COUNTIF('4月'!AM18:AN18,"六本木ー夜勤")+COUNTIF('4月'!AR18:AS18,"六本木ー夜勤")+COUNTIF('4月'!AW18:AX18,"六本木ー夜勤")+COUNTIF('4月'!BB18:BC18,"六本木ー夜勤")+COUNTIF('4月'!BG18:BH18,"六本木ー夜勤")+COUNTIF('4月'!BL18:BM18,"六本木ー夜勤")+COUNTIF('4月'!BQ18:BR18,"六本木ー夜勤")+COUNTIF('4月'!BV18:BW18,"六本木ー夜勤")+COUNTIF('4月'!CA18:CB18,"六本木ー夜勤")+COUNTIF('4月'!CF18:CG18,"六本木ー夜勤")+COUNTIF('4月'!CK18:CL18,"六本木ー夜勤")+COUNTIF('4月'!CP18:CQ18,"六本木ー夜勤")+COUNTIF('4月'!CU18:CV18,"六本木ー夜勤")+COUNTIF('4月'!CZ18:DA18,"六本木ー夜勤")+COUNTIF('4月'!DE18:DF18,"六本木ー夜勤")+COUNTIF('4月'!DJ18:DK18,"六本木ー夜勤")+COUNTIF('4月'!DO18:DP18,"六本木ー夜勤")+COUNTIF('4月'!DT18:DU18,"六本木ー夜勤")+COUNTIF('4月'!DY18:DZ18,"六本木ー夜勤")+COUNTIF('4月'!ED18:EE18,"六本木ー夜勤")+COUNTIF('4月'!EI18:EJ18,"六本木ー夜勤")+COUNTIF('4月'!EN18:EO18,"六本木ー夜勤")+COUNTIF('4月'!ES18:ET18,"六本木ー夜勤")</f>
        <v>0</v>
      </c>
      <c r="K131" s="76">
        <f t="shared" si="40"/>
        <v>0</v>
      </c>
      <c r="L131" s="76">
        <f>COUNTIF('4月'!D18:E18,L$115)+COUNTIF('4月'!I18:J18,L$115)+COUNTIF('4月'!N18:O18,L$115)+COUNTIF('4月'!S18:T18,L$115)+COUNTIF('4月'!X18:Y18,L$115)+COUNTIF('4月'!AC18:AD18,L$115)+COUNTIF('4月'!AH18:AI18,L$115)+COUNTIF('4月'!AM18:AN18,L$115)+COUNTIF('4月'!AR18:AS18,L$115)+COUNTIF('4月'!AW18:AX18,L$115)+COUNTIF('4月'!BB18:BC18,L$115)+COUNTIF('4月'!BG18:BH18,L$115)+COUNTIF('4月'!BL18:BM18,L$115)+COUNTIF('4月'!BQ18:BR18,L$115)+COUNTIF('4月'!BV18:BW18,L$115)+COUNTIF('4月'!CA18:CB18,L$115)+COUNTIF('4月'!CF18:CG18,L$115)+COUNTIF('4月'!CK18:CL18,L$115)+COUNTIF('4月'!CP18:CQ18,L$115)+COUNTIF('4月'!CU18:CV18,L$115)+COUNTIF('4月'!CZ18:DA18,L$115)+COUNTIF('4月'!DE18:DF18,L$115)+COUNTIF('4月'!DJ18:DK18,L$115)+COUNTIF('4月'!DO18:DP18,L$115)+COUNTIF('4月'!DT18:DU18,L$115)+COUNTIF('4月'!DY18:DZ18,L$115)+COUNTIF('4月'!ED18:EE18,L$115)+COUNTIF('4月'!EI18:EJ18,L$115)+COUNTIF('4月'!EN18:EO18,L$115)+COUNTIF('4月'!ES18:ET18,L$115)</f>
        <v>0</v>
      </c>
      <c r="M131" s="76">
        <f t="shared" si="41"/>
        <v>0</v>
      </c>
      <c r="N131" s="76">
        <f>COUNTIF('4月'!D18:E18,N$115)+COUNTIF('4月'!I18:J18,N$115)+COUNTIF('4月'!N18:O18,N$115)+COUNTIF('4月'!S18:T18,N$115)+COUNTIF('4月'!X18:Y18,N$115)+COUNTIF('4月'!AC18:AD18,N$115)+COUNTIF('4月'!AH18:AI18,N$115)+COUNTIF('4月'!AM18:AN18,N$115)+COUNTIF('4月'!AR18:AS18,N$115)+COUNTIF('4月'!AW18:AX18,N$115)+COUNTIF('4月'!BB18:BC18,N$115)+COUNTIF('4月'!BG18:BH18,N$115)+COUNTIF('4月'!BL18:BM18,N$115)+COUNTIF('4月'!BQ18:BR18,N$115)+COUNTIF('4月'!BV18:BW18,N$115)+COUNTIF('4月'!CA18:CB18,N$115)+COUNTIF('4月'!CF18:CG18,N$115)+COUNTIF('4月'!CK18:CL18,N$115)+COUNTIF('4月'!CP18:CQ18,N$115)+COUNTIF('4月'!CU18:CV18,N$115)+COUNTIF('4月'!CZ18:DA18,N$115)+COUNTIF('4月'!DE18:DF18,N$115)+COUNTIF('4月'!DJ18:DK18,N$115)+COUNTIF('4月'!DO18:DP18,N$115)+COUNTIF('4月'!DT18:DU18,N$115)+COUNTIF('4月'!DY18:DZ18,N$115)+COUNTIF('4月'!ED18:EE18,N$115)+COUNTIF('4月'!EI18:EJ18,N$115)+COUNTIF('4月'!EN18:EO18,N$115)+COUNTIF('4月'!ES18:ET18,N$115)+COUNTIF('4月'!D18:E18,"三軒茶屋－夜勤")+COUNTIF('4月'!I18:J18,"三軒茶屋－夜勤")+COUNTIF('4月'!N18:O18,"三軒茶屋－夜勤")+COUNTIF('4月'!S18:T18,"三軒茶屋－夜勤")+COUNTIF('4月'!X18:Y18,"三軒茶屋－夜勤")+COUNTIF('4月'!AC18:AD18,"三軒茶屋－夜勤")+COUNTIF('4月'!AH18:AI18,"三軒茶屋－夜勤")+COUNTIF('4月'!AM18:AN18,"三軒茶屋－夜勤")+COUNTIF('4月'!AR18:AS18,"三軒茶屋－夜勤")+COUNTIF('4月'!AW18:AX18,"三軒茶屋－夜勤")+COUNTIF('4月'!BB18:BC18,"三軒茶屋－夜勤")+COUNTIF('4月'!BG18:BH18,"三軒茶屋－夜勤")+COUNTIF('4月'!BL18:BM18,"三軒茶屋－夜勤")+COUNTIF('4月'!BQ18:BR18,"三軒茶屋－夜勤")+COUNTIF('4月'!BV18:BW18,"三軒茶屋－夜勤")+COUNTIF('4月'!CA18:CB18,"三軒茶屋－夜勤")+COUNTIF('4月'!CF18:CG18,"三軒茶屋－夜勤")+COUNTIF('4月'!CK18:CL18,"三軒茶屋－夜勤")+COUNTIF('4月'!CP18:CQ18,"三軒茶屋－夜勤")+COUNTIF('4月'!CU18:CV18,"三軒茶屋－夜勤")+COUNTIF('4月'!CZ18:DA18,"三軒茶屋－夜勤")+COUNTIF('4月'!DE18:DF18,"三軒茶屋－夜勤")+COUNTIF('4月'!DJ18:DK18,"三軒茶屋－夜勤")+COUNTIF('4月'!DO18:DP18,"三軒茶屋－夜勤")+COUNTIF('4月'!DT18:DU18,"三軒茶屋－夜勤")+COUNTIF('4月'!DY18:DZ18,"三軒茶屋－夜勤")+COUNTIF('4月'!ED18:EE18,"三軒茶屋－夜勤")+COUNTIF('4月'!EI18:EJ18,"三軒茶屋－夜勤")+COUNTIF('4月'!EN18:EO18,"三軒茶屋－夜勤")+COUNTIF('4月'!ES18:ET18,"三軒茶屋－夜勤")</f>
        <v>0</v>
      </c>
      <c r="O131" s="76">
        <f t="shared" si="42"/>
        <v>0</v>
      </c>
      <c r="P131" s="76">
        <f>COUNTIF('4月'!D18:E18,P$115)+COUNTIF('4月'!I18:J18,P$115)+COUNTIF('4月'!N18:O18,P$115)+COUNTIF('4月'!S18:T18,P$115)+COUNTIF('4月'!X18:Y18,P$115)+COUNTIF('4月'!AC18:AD18,P$115)+COUNTIF('4月'!AH18:AI18,P$115)+COUNTIF('4月'!AM18:AN18,P$115)+COUNTIF('4月'!AR18:AS18,P$115)+COUNTIF('4月'!AW18:AX18,P$115)+COUNTIF('4月'!BB18:BC18,P$115)+COUNTIF('4月'!BG18:BH18,P$115)+COUNTIF('4月'!BL18:BM18,P$115)+COUNTIF('4月'!BQ18:BR18,P$115)+COUNTIF('4月'!BV18:BW18,P$115)+COUNTIF('4月'!CA18:CB18,P$115)+COUNTIF('4月'!CF18:CG18,P$115)+COUNTIF('4月'!CK18:CL18,P$115)+COUNTIF('4月'!CP18:CQ18,P$115)+COUNTIF('4月'!CU18:CV18,P$115)+COUNTIF('4月'!CZ18:DA18,P$115)+COUNTIF('4月'!DE18:DF18,P$115)+COUNTIF('4月'!DJ18:DK18,P$115)+COUNTIF('4月'!DO18:DP18,P$115)+COUNTIF('4月'!DT18:DU18,P$115)+COUNTIF('4月'!DY18:DZ18,P$115)+COUNTIF('4月'!ED18:EE18,P$115)+COUNTIF('4月'!EI18:EJ18,P$115)+COUNTIF('4月'!EN18:EO18,P$115)+COUNTIF('4月'!ES18:ET18,P$115)+COUNTIF('4月'!D18:E18,"荻窪ー夜勤")+COUNTIF('4月'!I18:J18,"荻窪ー夜勤")+COUNTIF('4月'!N18:O18,"荻窪ー夜勤")+COUNTIF('4月'!S18:T18,"荻窪ー夜勤")+COUNTIF('4月'!X18:Y18,"荻窪ー夜勤")+COUNTIF('4月'!AC18:AD18,"荻窪ー夜勤")+COUNTIF('4月'!AH18:AI18,"荻窪ー夜勤")+COUNTIF('4月'!AM18:AN18,"荻窪ー夜勤")+COUNTIF('4月'!AR18:AS18,"荻窪ー夜勤")+COUNTIF('4月'!AW18:AX18,"荻窪ー夜勤")+COUNTIF('4月'!BB18:BC18,"荻窪ー夜勤")+COUNTIF('4月'!BG18:BH18,"荻窪ー夜勤")+COUNTIF('4月'!BL18:BM18,"荻窪ー夜勤")+COUNTIF('4月'!BQ18:BR18,"荻窪ー夜勤")+COUNTIF('4月'!BV18:BW18,"荻窪ー夜勤")+COUNTIF('4月'!CA18:CB18,"荻窪ー夜勤")+COUNTIF('4月'!CF18:CG18,"荻窪ー夜勤")+COUNTIF('4月'!CK18:CL18,"荻窪ー夜勤")+COUNTIF('4月'!CP18:CQ18,"荻窪ー夜勤")+COUNTIF('4月'!CU18:CV18,"荻窪ー夜勤")+COUNTIF('4月'!CZ18:DA18,"荻窪ー夜勤")+COUNTIF('4月'!DE18:DF18,"荻窪ー夜勤")+COUNTIF('4月'!DJ18:DK18,"荻窪ー夜勤")+COUNTIF('4月'!DO18:DP18,"荻窪ー夜勤")+COUNTIF('4月'!DT18:DU18,"荻窪ー夜勤")+COUNTIF('4月'!DY18:DZ18,"荻窪ー夜勤")+COUNTIF('4月'!ED18:EE18,"荻窪ー夜勤")+COUNTIF('4月'!EI18:EJ18,"荻窪ー夜勤")+COUNTIF('4月'!EN18:EO18,"荻窪ー夜勤")+COUNTIF('4月'!ES18:ET18,"荻窪ー夜勤")</f>
        <v>0</v>
      </c>
      <c r="Q131" s="76">
        <f t="shared" si="43"/>
        <v>0</v>
      </c>
      <c r="R131" s="76">
        <f>COUNTIF('4月'!D18:E18,R$115)+COUNTIF('4月'!I18:J18,R$115)+COUNTIF('4月'!N18:O18,R$115)+COUNTIF('4月'!S18:T18,R$115)+COUNTIF('4月'!X18:Y18,R$115)+COUNTIF('4月'!AC18:AD18,R$115)+COUNTIF('4月'!AH18:AI18,R$115)+COUNTIF('4月'!AM18:AN18,R$115)+COUNTIF('4月'!AR18:AS18,R$115)+COUNTIF('4月'!AW18:AX18,R$115)+COUNTIF('4月'!BB18:BC18,R$115)+COUNTIF('4月'!BG18:BH18,R$115)+COUNTIF('4月'!BL18:BM18,R$115)+COUNTIF('4月'!BQ18:BR18,R$115)+COUNTIF('4月'!BV18:BW18,R$115)+COUNTIF('4月'!CA18:CB18,R$115)+COUNTIF('4月'!CF18:CG18,R$115)+COUNTIF('4月'!CK18:CL18,R$115)+COUNTIF('4月'!CP18:CQ18,R$115)+COUNTIF('4月'!CU18:CV18,R$115)+COUNTIF('4月'!CZ18:DA18,R$115)+COUNTIF('4月'!DE18:DF18,R$115)+COUNTIF('4月'!DJ18:DK18,R$115)+COUNTIF('4月'!DO18:DP18,R$115)+COUNTIF('4月'!DT18:DU18,R$115)+COUNTIF('4月'!DY18:DZ18,R$115)+COUNTIF('4月'!ED18:EE18,R$115)+COUNTIF('4月'!EI18:EJ18,R$115)+COUNTIF('4月'!EN18:EO18,R$115)+COUNTIF('4月'!ES18:ET18,R$115)</f>
        <v>0</v>
      </c>
      <c r="S131" s="76">
        <f t="shared" si="44"/>
        <v>0</v>
      </c>
      <c r="T131" s="76">
        <f>COUNTIF('4月'!D18:E18,T$115)+COUNTIF('4月'!I18:J18,T$115)+COUNTIF('4月'!N18:O18,T$115)+COUNTIF('4月'!S18:T18,T$115)+COUNTIF('4月'!X18:Y18,T$115)+COUNTIF('4月'!AC18:AD18,T$115)+COUNTIF('4月'!AH18:AI18,T$115)+COUNTIF('4月'!AM18:AN18,T$115)+COUNTIF('4月'!AR18:AS18,T$115)+COUNTIF('4月'!AW18:AX18,T$115)+COUNTIF('4月'!BB18:BC18,T$115)+COUNTIF('4月'!BG18:BH18,T$115)+COUNTIF('4月'!BL18:BM18,T$115)+COUNTIF('4月'!BQ18:BR18,T$115)+COUNTIF('4月'!BV18:BW18,T$115)+COUNTIF('4月'!CA18:CB18,T$115)+COUNTIF('4月'!CF18:CG18,T$115)+COUNTIF('4月'!CK18:CL18,T$115)+COUNTIF('4月'!CP18:CQ18,T$115)+COUNTIF('4月'!CU18:CV18,T$115)+COUNTIF('4月'!CZ18:DA18,T$115)+COUNTIF('4月'!DE18:DF18,T$115)+COUNTIF('4月'!DJ18:DK18,T$115)+COUNTIF('4月'!DO18:DP18,T$115)+COUNTIF('4月'!DT18:DU18,T$115)+COUNTIF('4月'!DY18:DZ18,T$115)+COUNTIF('4月'!ED18:EE18,T$115)+COUNTIF('4月'!EI18:EJ18,T$115)+COUNTIF('4月'!EN18:EO18,T$115)+COUNTIF('4月'!ES18:ET18,T$115)</f>
        <v>0</v>
      </c>
      <c r="U131" s="76">
        <f t="shared" si="45"/>
        <v>0</v>
      </c>
      <c r="V131" s="76">
        <f>COUNTIF('4月'!D18:E18,V$115)+COUNTIF('4月'!I18:J18,V$115)+COUNTIF('4月'!N18:O18,V$115)+COUNTIF('4月'!S18:T18,V$115)+COUNTIF('4月'!X18:Y18,V$115)+COUNTIF('4月'!AC18:AD18,V$115)+COUNTIF('4月'!AH18:AI18,V$115)+COUNTIF('4月'!AM18:AN18,V$115)+COUNTIF('4月'!AR18:AS18,V$115)+COUNTIF('4月'!AW18:AX18,V$115)+COUNTIF('4月'!BB18:BC18,V$115)+COUNTIF('4月'!BG18:BH18,V$115)+COUNTIF('4月'!BL18:BM18,V$115)+COUNTIF('4月'!BQ18:BR18,V$115)+COUNTIF('4月'!BV18:BW18,V$115)+COUNTIF('4月'!CA18:CB18,V$115)+COUNTIF('4月'!CF18:CG18,V$115)+COUNTIF('4月'!CK18:CL18,V$115)+COUNTIF('4月'!CP18:CQ18,V$115)+COUNTIF('4月'!CU18:CV18,V$115)+COUNTIF('4月'!CZ18:DA18,V$115)+COUNTIF('4月'!DE18:DF18,V$115)+COUNTIF('4月'!DJ18:DK18,V$115)+COUNTIF('4月'!DO18:DP18,V$115)+COUNTIF('4月'!DT18:DU18,V$115)+COUNTIF('4月'!DY18:DZ18,V$115)+COUNTIF('4月'!ED18:EE18,V$115)+COUNTIF('4月'!EI18:EJ18,V$115)+COUNTIF('4月'!EN18:EO18,V$115)+COUNTIF('4月'!ES18:ET18,V$115)</f>
        <v>0</v>
      </c>
      <c r="W131" s="76">
        <f t="shared" si="46"/>
        <v>0</v>
      </c>
      <c r="X131" s="76">
        <f>COUNTIF('4月'!D18:E18,X$115)+COUNTIF('4月'!I18:J18,X$115)+COUNTIF('4月'!N18:O18,X$115)+COUNTIF('4月'!S18:T18,X$115)+COUNTIF('4月'!X18:Y18,X$115)+COUNTIF('4月'!AC18:AD18,X$115)+COUNTIF('4月'!AH18:AI18,X$115)+COUNTIF('4月'!AM18:AN18,X$115)+COUNTIF('4月'!AR18:AS18,X$115)+COUNTIF('4月'!AW18:AX18,X$115)+COUNTIF('4月'!BB18:BC18,X$115)+COUNTIF('4月'!BG18:BH18,X$115)+COUNTIF('4月'!BL18:BM18,X$115)+COUNTIF('4月'!BQ18:BR18,X$115)+COUNTIF('4月'!BV18:BW18,X$115)+COUNTIF('4月'!CA18:CB18,X$115)+COUNTIF('4月'!CF18:CG18,X$115)+COUNTIF('4月'!CK18:CL18,X$115)+COUNTIF('4月'!CP18:CQ18,X$115)+COUNTIF('4月'!CU18:CV18,X$115)+COUNTIF('4月'!CZ18:DA18,X$115)+COUNTIF('4月'!DE18:DF18,X$115)+COUNTIF('4月'!DJ18:DK18,X$115)+COUNTIF('4月'!DO18:DP18,X$115)+COUNTIF('4月'!DT18:DU18,X$115)+COUNTIF('4月'!DY18:DZ18,X$115)+COUNTIF('4月'!ED18:EE18,X$115)+COUNTIF('4月'!EI18:EJ18,X$115)+COUNTIF('4月'!EN18:EO18,X$115)+COUNTIF('4月'!ES18:ET18,X$115)</f>
        <v>0</v>
      </c>
      <c r="Y131" s="76">
        <f t="shared" si="47"/>
        <v>0</v>
      </c>
    </row>
    <row r="132" spans="1:25" ht="18" customHeight="1">
      <c r="A132" s="76">
        <v>16</v>
      </c>
      <c r="B132" s="76">
        <f>COUNTIF('4月'!D19:E19,B$115)+COUNTIF('4月'!I19:J19,B$115)+COUNTIF('4月'!N19:O19,B$115)+COUNTIF('4月'!S19:T19,B$115)+COUNTIF('4月'!X19:Y19,B$115)+COUNTIF('4月'!AC19:AD19,B$115)+COUNTIF('4月'!AH19:AI19,B$115)+COUNTIF('4月'!AM19:AN19,B$115)+COUNTIF('4月'!AR19:AS19,B$115)+COUNTIF('4月'!AW19:AX19,B$115)+COUNTIF('4月'!BB19:BC19,B$115)+COUNTIF('4月'!BG19:BH19,B$115)+COUNTIF('4月'!BL19:BM19,B$115)+COUNTIF('4月'!BQ19:BR19,B$115)+COUNTIF('4月'!BV19:BW19,B$115)+COUNTIF('4月'!CA19:CB19,B$115)+COUNTIF('4月'!CF19:CG19,B$115)+COUNTIF('4月'!CK19:CL19,B$115)+COUNTIF('4月'!CP19:CQ19,B$115)+COUNTIF('4月'!CU19:CV19,B$115)+COUNTIF('4月'!CZ19:DA19,B$115)+COUNTIF('4月'!DE19:DF19,B$115)+COUNTIF('4月'!DJ19:DK19,B$115)+COUNTIF('4月'!DO19:DP19,B$115)+COUNTIF('4月'!DT19:DU19,B$115)+COUNTIF('4月'!DY19:DZ19,B$115)+COUNTIF('4月'!ED19:EE19,B$115)+COUNTIF('4月'!EI19:EJ19,B$115)+COUNTIF('4月'!EN19:EO19,B$115)+COUNTIF('4月'!ES19:ET19,B$115)</f>
        <v>0</v>
      </c>
      <c r="C132" s="76">
        <f t="shared" si="36"/>
        <v>0</v>
      </c>
      <c r="D132" s="76">
        <f>COUNTIF('4月'!D19:E19,D$115)+COUNTIF('4月'!I19:J19,D$115)+COUNTIF('4月'!N19:O19,D$115)+COUNTIF('4月'!S19:T19,D$115)+COUNTIF('4月'!X19:Y19,D$115)+COUNTIF('4月'!AC19:AD19,D$115)+COUNTIF('4月'!AH19:AI19,D$115)+COUNTIF('4月'!AM19:AN19,D$115)+COUNTIF('4月'!AR19:AS19,D$115)+COUNTIF('4月'!AW19:AX19,D$115)+COUNTIF('4月'!BB19:BC19,D$115)+COUNTIF('4月'!BG19:BH19,D$115)+COUNTIF('4月'!BL19:BM19,D$115)+COUNTIF('4月'!BQ19:BR19,D$115)+COUNTIF('4月'!BV19:BW19,D$115)+COUNTIF('4月'!CA19:CB19,D$115)+COUNTIF('4月'!CF19:CG19,D$115)+COUNTIF('4月'!CK19:CL19,D$115)+COUNTIF('4月'!CP19:CQ19,D$115)+COUNTIF('4月'!CU19:CV19,D$115)+COUNTIF('4月'!CZ19:DA19,D$115)+COUNTIF('4月'!DE19:DF19,D$115)+COUNTIF('4月'!DJ19:DK19,D$115)+COUNTIF('4月'!DO19:DP19,D$115)+COUNTIF('4月'!DT19:DU19,D$115)+COUNTIF('4月'!DY19:DZ19,D$115)+COUNTIF('4月'!ED19:EE19,D$115)+COUNTIF('4月'!EI19:EJ19,D$115)+COUNTIF('4月'!EN19:EO19,D$115)+COUNTIF('4月'!ES19:ET19,D$115)</f>
        <v>0</v>
      </c>
      <c r="E132" s="76">
        <f t="shared" si="37"/>
        <v>0</v>
      </c>
      <c r="F132" s="76">
        <f>COUNTIF('4月'!D19:E19,F$115)+COUNTIF('4月'!I19:J19,F$115)+COUNTIF('4月'!N19:O19,F$115)+COUNTIF('4月'!S19:T19,F$115)+COUNTIF('4月'!X19:Y19,F$115)+COUNTIF('4月'!AC19:AD19,F$115)+COUNTIF('4月'!AH19:AI19,F$115)+COUNTIF('4月'!AM19:AN19,F$115)+COUNTIF('4月'!AR19:AS19,F$115)+COUNTIF('4月'!AW19:AX19,F$115)+COUNTIF('4月'!BB19:BC19,F$115)+COUNTIF('4月'!BG19:BH19,F$115)+COUNTIF('4月'!BL19:BM19,F$115)+COUNTIF('4月'!BQ19:BR19,F$115)+COUNTIF('4月'!BV19:BW19,F$115)+COUNTIF('4月'!CA19:CB19,F$115)+COUNTIF('4月'!CF19:CG19,F$115)+COUNTIF('4月'!CK19:CL19,F$115)+COUNTIF('4月'!CP19:CQ19,F$115)+COUNTIF('4月'!CU19:CV19,F$115)+COUNTIF('4月'!CZ19:DA19,F$115)+COUNTIF('4月'!DE19:DF19,F$115)+COUNTIF('4月'!DJ19:DK19,F$115)+COUNTIF('4月'!DO19:DP19,F$115)+COUNTIF('4月'!DT19:DU19,F$115)+COUNTIF('4月'!DY19:DZ19,F$115)+COUNTIF('4月'!ED19:EE19,F$115)+COUNTIF('4月'!EI19:EJ19,F$115)+COUNTIF('4月'!EN19:EO19,F$115)+COUNTIF('4月'!ES19:ET19,F$115)</f>
        <v>0</v>
      </c>
      <c r="G132" s="76">
        <f t="shared" si="38"/>
        <v>0</v>
      </c>
      <c r="H132" s="76">
        <f>COUNTIF('4月'!D19:E19,H$115)+COUNTIF('4月'!I19:J19,H$115)+COUNTIF('4月'!N19:O19,H$115)+COUNTIF('4月'!S19:T19,H$115)+COUNTIF('4月'!X19:Y19,H$115)+COUNTIF('4月'!AC19:AD19,H$115)+COUNTIF('4月'!AH19:AI19,H$115)+COUNTIF('4月'!AM19:AN19,H$115)+COUNTIF('4月'!AR19:AS19,H$115)+COUNTIF('4月'!AW19:AX19,H$115)+COUNTIF('4月'!BB19:BC19,H$115)+COUNTIF('4月'!BG19:BH19,H$115)+COUNTIF('4月'!BL19:BM19,H$115)+COUNTIF('4月'!BQ19:BR19,H$115)+COUNTIF('4月'!BV19:BW19,H$115)+COUNTIF('4月'!CA19:CB19,H$115)+COUNTIF('4月'!CF19:CG19,H$115)+COUNTIF('4月'!CK19:CL19,H$115)+COUNTIF('4月'!CP19:CQ19,H$115)+COUNTIF('4月'!CU19:CV19,H$115)+COUNTIF('4月'!CZ19:DA19,H$115)+COUNTIF('4月'!DE19:DF19,H$115)+COUNTIF('4月'!DJ19:DK19,H$115)+COUNTIF('4月'!DO19:DP19,H$115)+COUNTIF('4月'!DT19:DU19,H$115)+COUNTIF('4月'!DY19:DZ19,H$115)+COUNTIF('4月'!ED19:EE19,H$115)+COUNTIF('4月'!EI19:EJ19,H$115)+COUNTIF('4月'!EN19:EO19,H$115)+COUNTIF('4月'!ES19:ET19,H$115)+COUNTIF('4月'!D19:E19,"渋谷-夜勤")+COUNTIF('4月'!I19:J19,"渋谷-夜勤")+COUNTIF('4月'!N19:O19,"渋谷-夜勤")+COUNTIF('4月'!S19:T19,"渋谷-夜勤")+COUNTIF('4月'!X19:Y19,"渋谷-夜勤")+COUNTIF('4月'!AC19:AD19,"渋谷-夜勤")+COUNTIF('4月'!AH19:AI19,"渋谷-夜勤")+COUNTIF('4月'!AM19:AN19,"渋谷-夜勤")+COUNTIF('4月'!AR19:AS19,"渋谷-夜勤")+COUNTIF('4月'!AW19:AX19,"渋谷-夜勤")+COUNTIF('4月'!BB19:BC19,"渋谷-夜勤")+COUNTIF('4月'!BG19:BH19,"渋谷-夜勤")+COUNTIF('4月'!BL19:BM19,"渋谷-夜勤")+COUNTIF('4月'!BQ19:BR19,"渋谷-夜勤")+COUNTIF('4月'!BV19:BW19,"渋谷-夜勤")+COUNTIF('4月'!CA19:CB19,"渋谷-夜勤")+COUNTIF('4月'!CF19:CG19,"渋谷-夜勤")+COUNTIF('4月'!CK19:CL19,"渋谷-夜勤")+COUNTIF('4月'!CP19:CQ19,"渋谷-夜勤")+COUNTIF('4月'!CU19:CV19,"渋谷-夜勤")+COUNTIF('4月'!CZ19:DA19,"渋谷-夜勤")+COUNTIF('4月'!DE19:DF19,"渋谷-夜勤")+COUNTIF('4月'!DJ19:DK19,"渋谷-夜勤")+COUNTIF('4月'!DO19:DP19,"渋谷-夜勤")+COUNTIF('4月'!DT19:DU19,"渋谷-夜勤")+COUNTIF('4月'!DY19:DZ19,"渋谷-夜勤")+COUNTIF('4月'!ED19:EE19,"渋谷-夜勤")+COUNTIF('4月'!EI19:EJ19,"渋谷-夜勤")+COUNTIF('4月'!EN19:EO19,"渋谷-夜勤")+COUNTIF('4月'!ES19:ET19,"渋谷-夜勤")</f>
        <v>0</v>
      </c>
      <c r="I132" s="76">
        <f t="shared" si="39"/>
        <v>0</v>
      </c>
      <c r="J132" s="76">
        <f>COUNTIF('4月'!D19:E19,J$115)+COUNTIF('4月'!I19:J19,J$115)+COUNTIF('4月'!N19:O19,J$115)+COUNTIF('4月'!S19:T19,J$115)+COUNTIF('4月'!X19:Y19,J$115)+COUNTIF('4月'!AC19:AD19,J$115)+COUNTIF('4月'!AH19:AI19,J$115)+COUNTIF('4月'!AM19:AN19,J$115)+COUNTIF('4月'!AR19:AS19,J$115)+COUNTIF('4月'!AW19:AX19,J$115)+COUNTIF('4月'!BB19:BC19,J$115)+COUNTIF('4月'!BG19:BH19,J$115)+COUNTIF('4月'!BL19:BM19,J$115)+COUNTIF('4月'!BQ19:BR19,J$115)+COUNTIF('4月'!BV19:BW19,J$115)+COUNTIF('4月'!CA19:CB19,J$115)+COUNTIF('4月'!CF19:CG19,J$115)+COUNTIF('4月'!CK19:CL19,J$115)+COUNTIF('4月'!CP19:CQ19,J$115)+COUNTIF('4月'!CU19:CV19,J$115)+COUNTIF('4月'!CZ19:DA19,J$115)+COUNTIF('4月'!DE19:DF19,J$115)+COUNTIF('4月'!DJ19:DK19,J$115)+COUNTIF('4月'!DO19:DP19,J$115)+COUNTIF('4月'!DT19:DU19,J$115)+COUNTIF('4月'!DY19:DZ19,J$115)+COUNTIF('4月'!ED19:EE19,J$115)+COUNTIF('4月'!EI19:EJ19,J$115)+COUNTIF('4月'!EN19:EO19,J$115)+COUNTIF('4月'!ES19:ET19,J$115)+COUNTIF('4月'!D19:E19,"六本木-夜勤")+COUNTIF('4月'!I19:J19,"六本木-夜勤")+COUNTIF('4月'!N19:O19,"六本木-夜勤")+COUNTIF('4月'!S19:T19,"六本木-夜勤")+COUNTIF('4月'!X19:Y19,"六本木-夜勤")+COUNTIF('4月'!AC19:AD19,"六本木-夜勤")+COUNTIF('4月'!AH19:AI19,"六本木-夜勤")+COUNTIF('4月'!AM19:AN19,"六本木-夜勤")+COUNTIF('4月'!AR19:AS19,"六本木-夜勤")+COUNTIF('4月'!AW19:AX19,"六本木-夜勤")+COUNTIF('4月'!BB19:BC19,"六本木-夜勤")+COUNTIF('4月'!BG19:BH19,"六本木-夜勤")+COUNTIF('4月'!BL19:BM19,"六本木-夜勤")+COUNTIF('4月'!BQ19:BR19,"六本木-夜勤")+COUNTIF('4月'!BV19:BW19,"六本木-夜勤")+COUNTIF('4月'!CA19:CB19,"六本木-夜勤")+COUNTIF('4月'!CF19:CG19,"六本木-夜勤")+COUNTIF('4月'!CK19:CL19,"六本木-夜勤")+COUNTIF('4月'!CP19:CQ19,"六本木-夜勤")+COUNTIF('4月'!CU19:CV19,"六本木-夜勤")+COUNTIF('4月'!CZ19:DA19,"六本木-夜勤")+COUNTIF('4月'!DE19:DF19,"六本木-夜勤")+COUNTIF('4月'!DJ19:DK19,"六本木-夜勤")+COUNTIF('4月'!DO19:DP19,"六本木-夜勤")+COUNTIF('4月'!DT19:DU19,"六本木-夜勤")+COUNTIF('4月'!DY19:DZ19,"六本木-夜勤")+COUNTIF('4月'!ED19:EE19,"六本木-夜勤")+COUNTIF('4月'!EI19:EJ19,"六本木-夜勤")+COUNTIF('4月'!EN19:EO19,"六本木-夜勤")+COUNTIF('4月'!ES19:ET19,"六本木-夜勤")+COUNTIF('4月'!D19:E19,"六本木ー夜勤")+COUNTIF('4月'!I19:J19,"六本木ー夜勤")+COUNTIF('4月'!N19:O19,"六本木ー夜勤")+COUNTIF('4月'!S19:T19,"六本木ー夜勤")+COUNTIF('4月'!X19:Y19,"六本木ー夜勤")+COUNTIF('4月'!AC19:AD19,"六本木ー夜勤")+COUNTIF('4月'!AH19:AI19,"六本木ー夜勤")+COUNTIF('4月'!AM19:AN19,"六本木ー夜勤")+COUNTIF('4月'!AR19:AS19,"六本木ー夜勤")+COUNTIF('4月'!AW19:AX19,"六本木ー夜勤")+COUNTIF('4月'!BB19:BC19,"六本木ー夜勤")+COUNTIF('4月'!BG19:BH19,"六本木ー夜勤")+COUNTIF('4月'!BL19:BM19,"六本木ー夜勤")+COUNTIF('4月'!BQ19:BR19,"六本木ー夜勤")+COUNTIF('4月'!BV19:BW19,"六本木ー夜勤")+COUNTIF('4月'!CA19:CB19,"六本木ー夜勤")+COUNTIF('4月'!CF19:CG19,"六本木ー夜勤")+COUNTIF('4月'!CK19:CL19,"六本木ー夜勤")+COUNTIF('4月'!CP19:CQ19,"六本木ー夜勤")+COUNTIF('4月'!CU19:CV19,"六本木ー夜勤")+COUNTIF('4月'!CZ19:DA19,"六本木ー夜勤")+COUNTIF('4月'!DE19:DF19,"六本木ー夜勤")+COUNTIF('4月'!DJ19:DK19,"六本木ー夜勤")+COUNTIF('4月'!DO19:DP19,"六本木ー夜勤")+COUNTIF('4月'!DT19:DU19,"六本木ー夜勤")+COUNTIF('4月'!DY19:DZ19,"六本木ー夜勤")+COUNTIF('4月'!ED19:EE19,"六本木ー夜勤")+COUNTIF('4月'!EI19:EJ19,"六本木ー夜勤")+COUNTIF('4月'!EN19:EO19,"六本木ー夜勤")+COUNTIF('4月'!ES19:ET19,"六本木ー夜勤")</f>
        <v>0</v>
      </c>
      <c r="K132" s="76">
        <f t="shared" si="40"/>
        <v>0</v>
      </c>
      <c r="L132" s="76">
        <f>COUNTIF('4月'!D19:E19,L$115)+COUNTIF('4月'!I19:J19,L$115)+COUNTIF('4月'!N19:O19,L$115)+COUNTIF('4月'!S19:T19,L$115)+COUNTIF('4月'!X19:Y19,L$115)+COUNTIF('4月'!AC19:AD19,L$115)+COUNTIF('4月'!AH19:AI19,L$115)+COUNTIF('4月'!AM19:AN19,L$115)+COUNTIF('4月'!AR19:AS19,L$115)+COUNTIF('4月'!AW19:AX19,L$115)+COUNTIF('4月'!BB19:BC19,L$115)+COUNTIF('4月'!BG19:BH19,L$115)+COUNTIF('4月'!BL19:BM19,L$115)+COUNTIF('4月'!BQ19:BR19,L$115)+COUNTIF('4月'!BV19:BW19,L$115)+COUNTIF('4月'!CA19:CB19,L$115)+COUNTIF('4月'!CF19:CG19,L$115)+COUNTIF('4月'!CK19:CL19,L$115)+COUNTIF('4月'!CP19:CQ19,L$115)+COUNTIF('4月'!CU19:CV19,L$115)+COUNTIF('4月'!CZ19:DA19,L$115)+COUNTIF('4月'!DE19:DF19,L$115)+COUNTIF('4月'!DJ19:DK19,L$115)+COUNTIF('4月'!DO19:DP19,L$115)+COUNTIF('4月'!DT19:DU19,L$115)+COUNTIF('4月'!DY19:DZ19,L$115)+COUNTIF('4月'!ED19:EE19,L$115)+COUNTIF('4月'!EI19:EJ19,L$115)+COUNTIF('4月'!EN19:EO19,L$115)+COUNTIF('4月'!ES19:ET19,L$115)</f>
        <v>0</v>
      </c>
      <c r="M132" s="76">
        <f t="shared" si="41"/>
        <v>0</v>
      </c>
      <c r="N132" s="76">
        <f>COUNTIF('4月'!D19:E19,N$115)+COUNTIF('4月'!I19:J19,N$115)+COUNTIF('4月'!N19:O19,N$115)+COUNTIF('4月'!S19:T19,N$115)+COUNTIF('4月'!X19:Y19,N$115)+COUNTIF('4月'!AC19:AD19,N$115)+COUNTIF('4月'!AH19:AI19,N$115)+COUNTIF('4月'!AM19:AN19,N$115)+COUNTIF('4月'!AR19:AS19,N$115)+COUNTIF('4月'!AW19:AX19,N$115)+COUNTIF('4月'!BB19:BC19,N$115)+COUNTIF('4月'!BG19:BH19,N$115)+COUNTIF('4月'!BL19:BM19,N$115)+COUNTIF('4月'!BQ19:BR19,N$115)+COUNTIF('4月'!BV19:BW19,N$115)+COUNTIF('4月'!CA19:CB19,N$115)+COUNTIF('4月'!CF19:CG19,N$115)+COUNTIF('4月'!CK19:CL19,N$115)+COUNTIF('4月'!CP19:CQ19,N$115)+COUNTIF('4月'!CU19:CV19,N$115)+COUNTIF('4月'!CZ19:DA19,N$115)+COUNTIF('4月'!DE19:DF19,N$115)+COUNTIF('4月'!DJ19:DK19,N$115)+COUNTIF('4月'!DO19:DP19,N$115)+COUNTIF('4月'!DT19:DU19,N$115)+COUNTIF('4月'!DY19:DZ19,N$115)+COUNTIF('4月'!ED19:EE19,N$115)+COUNTIF('4月'!EI19:EJ19,N$115)+COUNTIF('4月'!EN19:EO19,N$115)+COUNTIF('4月'!ES19:ET19,N$115)+COUNTIF('4月'!D19:E19,"三軒茶屋－夜勤")+COUNTIF('4月'!I19:J19,"三軒茶屋－夜勤")+COUNTIF('4月'!N19:O19,"三軒茶屋－夜勤")+COUNTIF('4月'!S19:T19,"三軒茶屋－夜勤")+COUNTIF('4月'!X19:Y19,"三軒茶屋－夜勤")+COUNTIF('4月'!AC19:AD19,"三軒茶屋－夜勤")+COUNTIF('4月'!AH19:AI19,"三軒茶屋－夜勤")+COUNTIF('4月'!AM19:AN19,"三軒茶屋－夜勤")+COUNTIF('4月'!AR19:AS19,"三軒茶屋－夜勤")+COUNTIF('4月'!AW19:AX19,"三軒茶屋－夜勤")+COUNTIF('4月'!BB19:BC19,"三軒茶屋－夜勤")+COUNTIF('4月'!BG19:BH19,"三軒茶屋－夜勤")+COUNTIF('4月'!BL19:BM19,"三軒茶屋－夜勤")+COUNTIF('4月'!BQ19:BR19,"三軒茶屋－夜勤")+COUNTIF('4月'!BV19:BW19,"三軒茶屋－夜勤")+COUNTIF('4月'!CA19:CB19,"三軒茶屋－夜勤")+COUNTIF('4月'!CF19:CG19,"三軒茶屋－夜勤")+COUNTIF('4月'!CK19:CL19,"三軒茶屋－夜勤")+COUNTIF('4月'!CP19:CQ19,"三軒茶屋－夜勤")+COUNTIF('4月'!CU19:CV19,"三軒茶屋－夜勤")+COUNTIF('4月'!CZ19:DA19,"三軒茶屋－夜勤")+COUNTIF('4月'!DE19:DF19,"三軒茶屋－夜勤")+COUNTIF('4月'!DJ19:DK19,"三軒茶屋－夜勤")+COUNTIF('4月'!DO19:DP19,"三軒茶屋－夜勤")+COUNTIF('4月'!DT19:DU19,"三軒茶屋－夜勤")+COUNTIF('4月'!DY19:DZ19,"三軒茶屋－夜勤")+COUNTIF('4月'!ED19:EE19,"三軒茶屋－夜勤")+COUNTIF('4月'!EI19:EJ19,"三軒茶屋－夜勤")+COUNTIF('4月'!EN19:EO19,"三軒茶屋－夜勤")+COUNTIF('4月'!ES19:ET19,"三軒茶屋－夜勤")</f>
        <v>0</v>
      </c>
      <c r="O132" s="76">
        <f t="shared" si="42"/>
        <v>0</v>
      </c>
      <c r="P132" s="76">
        <f>COUNTIF('4月'!D19:E19,P$115)+COUNTIF('4月'!I19:J19,P$115)+COUNTIF('4月'!N19:O19,P$115)+COUNTIF('4月'!S19:T19,P$115)+COUNTIF('4月'!X19:Y19,P$115)+COUNTIF('4月'!AC19:AD19,P$115)+COUNTIF('4月'!AH19:AI19,P$115)+COUNTIF('4月'!AM19:AN19,P$115)+COUNTIF('4月'!AR19:AS19,P$115)+COUNTIF('4月'!AW19:AX19,P$115)+COUNTIF('4月'!BB19:BC19,P$115)+COUNTIF('4月'!BG19:BH19,P$115)+COUNTIF('4月'!BL19:BM19,P$115)+COUNTIF('4月'!BQ19:BR19,P$115)+COUNTIF('4月'!BV19:BW19,P$115)+COUNTIF('4月'!CA19:CB19,P$115)+COUNTIF('4月'!CF19:CG19,P$115)+COUNTIF('4月'!CK19:CL19,P$115)+COUNTIF('4月'!CP19:CQ19,P$115)+COUNTIF('4月'!CU19:CV19,P$115)+COUNTIF('4月'!CZ19:DA19,P$115)+COUNTIF('4月'!DE19:DF19,P$115)+COUNTIF('4月'!DJ19:DK19,P$115)+COUNTIF('4月'!DO19:DP19,P$115)+COUNTIF('4月'!DT19:DU19,P$115)+COUNTIF('4月'!DY19:DZ19,P$115)+COUNTIF('4月'!ED19:EE19,P$115)+COUNTIF('4月'!EI19:EJ19,P$115)+COUNTIF('4月'!EN19:EO19,P$115)+COUNTIF('4月'!ES19:ET19,P$115)+COUNTIF('4月'!D19:E19,"荻窪ー夜勤")+COUNTIF('4月'!I19:J19,"荻窪ー夜勤")+COUNTIF('4月'!N19:O19,"荻窪ー夜勤")+COUNTIF('4月'!S19:T19,"荻窪ー夜勤")+COUNTIF('4月'!X19:Y19,"荻窪ー夜勤")+COUNTIF('4月'!AC19:AD19,"荻窪ー夜勤")+COUNTIF('4月'!AH19:AI19,"荻窪ー夜勤")+COUNTIF('4月'!AM19:AN19,"荻窪ー夜勤")+COUNTIF('4月'!AR19:AS19,"荻窪ー夜勤")+COUNTIF('4月'!AW19:AX19,"荻窪ー夜勤")+COUNTIF('4月'!BB19:BC19,"荻窪ー夜勤")+COUNTIF('4月'!BG19:BH19,"荻窪ー夜勤")+COUNTIF('4月'!BL19:BM19,"荻窪ー夜勤")+COUNTIF('4月'!BQ19:BR19,"荻窪ー夜勤")+COUNTIF('4月'!BV19:BW19,"荻窪ー夜勤")+COUNTIF('4月'!CA19:CB19,"荻窪ー夜勤")+COUNTIF('4月'!CF19:CG19,"荻窪ー夜勤")+COUNTIF('4月'!CK19:CL19,"荻窪ー夜勤")+COUNTIF('4月'!CP19:CQ19,"荻窪ー夜勤")+COUNTIF('4月'!CU19:CV19,"荻窪ー夜勤")+COUNTIF('4月'!CZ19:DA19,"荻窪ー夜勤")+COUNTIF('4月'!DE19:DF19,"荻窪ー夜勤")+COUNTIF('4月'!DJ19:DK19,"荻窪ー夜勤")+COUNTIF('4月'!DO19:DP19,"荻窪ー夜勤")+COUNTIF('4月'!DT19:DU19,"荻窪ー夜勤")+COUNTIF('4月'!DY19:DZ19,"荻窪ー夜勤")+COUNTIF('4月'!ED19:EE19,"荻窪ー夜勤")+COUNTIF('4月'!EI19:EJ19,"荻窪ー夜勤")+COUNTIF('4月'!EN19:EO19,"荻窪ー夜勤")+COUNTIF('4月'!ES19:ET19,"荻窪ー夜勤")</f>
        <v>0</v>
      </c>
      <c r="Q132" s="76">
        <f t="shared" si="43"/>
        <v>0</v>
      </c>
      <c r="R132" s="76">
        <f>COUNTIF('4月'!D19:E19,R$115)+COUNTIF('4月'!I19:J19,R$115)+COUNTIF('4月'!N19:O19,R$115)+COUNTIF('4月'!S19:T19,R$115)+COUNTIF('4月'!X19:Y19,R$115)+COUNTIF('4月'!AC19:AD19,R$115)+COUNTIF('4月'!AH19:AI19,R$115)+COUNTIF('4月'!AM19:AN19,R$115)+COUNTIF('4月'!AR19:AS19,R$115)+COUNTIF('4月'!AW19:AX19,R$115)+COUNTIF('4月'!BB19:BC19,R$115)+COUNTIF('4月'!BG19:BH19,R$115)+COUNTIF('4月'!BL19:BM19,R$115)+COUNTIF('4月'!BQ19:BR19,R$115)+COUNTIF('4月'!BV19:BW19,R$115)+COUNTIF('4月'!CA19:CB19,R$115)+COUNTIF('4月'!CF19:CG19,R$115)+COUNTIF('4月'!CK19:CL19,R$115)+COUNTIF('4月'!CP19:CQ19,R$115)+COUNTIF('4月'!CU19:CV19,R$115)+COUNTIF('4月'!CZ19:DA19,R$115)+COUNTIF('4月'!DE19:DF19,R$115)+COUNTIF('4月'!DJ19:DK19,R$115)+COUNTIF('4月'!DO19:DP19,R$115)+COUNTIF('4月'!DT19:DU19,R$115)+COUNTIF('4月'!DY19:DZ19,R$115)+COUNTIF('4月'!ED19:EE19,R$115)+COUNTIF('4月'!EI19:EJ19,R$115)+COUNTIF('4月'!EN19:EO19,R$115)+COUNTIF('4月'!ES19:ET19,R$115)</f>
        <v>0</v>
      </c>
      <c r="S132" s="76">
        <f t="shared" si="44"/>
        <v>0</v>
      </c>
      <c r="T132" s="76">
        <f>COUNTIF('4月'!D19:E19,T$115)+COUNTIF('4月'!I19:J19,T$115)+COUNTIF('4月'!N19:O19,T$115)+COUNTIF('4月'!S19:T19,T$115)+COUNTIF('4月'!X19:Y19,T$115)+COUNTIF('4月'!AC19:AD19,T$115)+COUNTIF('4月'!AH19:AI19,T$115)+COUNTIF('4月'!AM19:AN19,T$115)+COUNTIF('4月'!AR19:AS19,T$115)+COUNTIF('4月'!AW19:AX19,T$115)+COUNTIF('4月'!BB19:BC19,T$115)+COUNTIF('4月'!BG19:BH19,T$115)+COUNTIF('4月'!BL19:BM19,T$115)+COUNTIF('4月'!BQ19:BR19,T$115)+COUNTIF('4月'!BV19:BW19,T$115)+COUNTIF('4月'!CA19:CB19,T$115)+COUNTIF('4月'!CF19:CG19,T$115)+COUNTIF('4月'!CK19:CL19,T$115)+COUNTIF('4月'!CP19:CQ19,T$115)+COUNTIF('4月'!CU19:CV19,T$115)+COUNTIF('4月'!CZ19:DA19,T$115)+COUNTIF('4月'!DE19:DF19,T$115)+COUNTIF('4月'!DJ19:DK19,T$115)+COUNTIF('4月'!DO19:DP19,T$115)+COUNTIF('4月'!DT19:DU19,T$115)+COUNTIF('4月'!DY19:DZ19,T$115)+COUNTIF('4月'!ED19:EE19,T$115)+COUNTIF('4月'!EI19:EJ19,T$115)+COUNTIF('4月'!EN19:EO19,T$115)+COUNTIF('4月'!ES19:ET19,T$115)</f>
        <v>0</v>
      </c>
      <c r="U132" s="76">
        <f t="shared" si="45"/>
        <v>0</v>
      </c>
      <c r="V132" s="76">
        <f>COUNTIF('4月'!D19:E19,V$115)+COUNTIF('4月'!I19:J19,V$115)+COUNTIF('4月'!N19:O19,V$115)+COUNTIF('4月'!S19:T19,V$115)+COUNTIF('4月'!X19:Y19,V$115)+COUNTIF('4月'!AC19:AD19,V$115)+COUNTIF('4月'!AH19:AI19,V$115)+COUNTIF('4月'!AM19:AN19,V$115)+COUNTIF('4月'!AR19:AS19,V$115)+COUNTIF('4月'!AW19:AX19,V$115)+COUNTIF('4月'!BB19:BC19,V$115)+COUNTIF('4月'!BG19:BH19,V$115)+COUNTIF('4月'!BL19:BM19,V$115)+COUNTIF('4月'!BQ19:BR19,V$115)+COUNTIF('4月'!BV19:BW19,V$115)+COUNTIF('4月'!CA19:CB19,V$115)+COUNTIF('4月'!CF19:CG19,V$115)+COUNTIF('4月'!CK19:CL19,V$115)+COUNTIF('4月'!CP19:CQ19,V$115)+COUNTIF('4月'!CU19:CV19,V$115)+COUNTIF('4月'!CZ19:DA19,V$115)+COUNTIF('4月'!DE19:DF19,V$115)+COUNTIF('4月'!DJ19:DK19,V$115)+COUNTIF('4月'!DO19:DP19,V$115)+COUNTIF('4月'!DT19:DU19,V$115)+COUNTIF('4月'!DY19:DZ19,V$115)+COUNTIF('4月'!ED19:EE19,V$115)+COUNTIF('4月'!EI19:EJ19,V$115)+COUNTIF('4月'!EN19:EO19,V$115)+COUNTIF('4月'!ES19:ET19,V$115)</f>
        <v>0</v>
      </c>
      <c r="W132" s="76">
        <f t="shared" si="46"/>
        <v>0</v>
      </c>
      <c r="X132" s="76">
        <f>COUNTIF('4月'!D19:E19,X$115)+COUNTIF('4月'!I19:J19,X$115)+COUNTIF('4月'!N19:O19,X$115)+COUNTIF('4月'!S19:T19,X$115)+COUNTIF('4月'!X19:Y19,X$115)+COUNTIF('4月'!AC19:AD19,X$115)+COUNTIF('4月'!AH19:AI19,X$115)+COUNTIF('4月'!AM19:AN19,X$115)+COUNTIF('4月'!AR19:AS19,X$115)+COUNTIF('4月'!AW19:AX19,X$115)+COUNTIF('4月'!BB19:BC19,X$115)+COUNTIF('4月'!BG19:BH19,X$115)+COUNTIF('4月'!BL19:BM19,X$115)+COUNTIF('4月'!BQ19:BR19,X$115)+COUNTIF('4月'!BV19:BW19,X$115)+COUNTIF('4月'!CA19:CB19,X$115)+COUNTIF('4月'!CF19:CG19,X$115)+COUNTIF('4月'!CK19:CL19,X$115)+COUNTIF('4月'!CP19:CQ19,X$115)+COUNTIF('4月'!CU19:CV19,X$115)+COUNTIF('4月'!CZ19:DA19,X$115)+COUNTIF('4月'!DE19:DF19,X$115)+COUNTIF('4月'!DJ19:DK19,X$115)+COUNTIF('4月'!DO19:DP19,X$115)+COUNTIF('4月'!DT19:DU19,X$115)+COUNTIF('4月'!DY19:DZ19,X$115)+COUNTIF('4月'!ED19:EE19,X$115)+COUNTIF('4月'!EI19:EJ19,X$115)+COUNTIF('4月'!EN19:EO19,X$115)+COUNTIF('4月'!ES19:ET19,X$115)</f>
        <v>0</v>
      </c>
      <c r="Y132" s="76">
        <f t="shared" si="47"/>
        <v>0</v>
      </c>
    </row>
    <row r="133" spans="1:25" ht="18" customHeight="1">
      <c r="A133" s="76">
        <v>17</v>
      </c>
      <c r="B133" s="76">
        <f>COUNTIF('4月'!D20:E20,B$115)+COUNTIF('4月'!I20:J20,B$115)+COUNTIF('4月'!N20:O20,B$115)+COUNTIF('4月'!S20:T20,B$115)+COUNTIF('4月'!X20:Y20,B$115)+COUNTIF('4月'!AC20:AD20,B$115)+COUNTIF('4月'!AH20:AI20,B$115)+COUNTIF('4月'!AM20:AN20,B$115)+COUNTIF('4月'!AR20:AS20,B$115)+COUNTIF('4月'!AW20:AX20,B$115)+COUNTIF('4月'!BB20:BC20,B$115)+COUNTIF('4月'!BG20:BH20,B$115)+COUNTIF('4月'!BL20:BM20,B$115)+COUNTIF('4月'!BQ20:BR20,B$115)+COUNTIF('4月'!BV20:BW20,B$115)+COUNTIF('4月'!CA20:CB20,B$115)+COUNTIF('4月'!CF20:CG20,B$115)+COUNTIF('4月'!CK20:CL20,B$115)+COUNTIF('4月'!CP20:CQ20,B$115)+COUNTIF('4月'!CU20:CV20,B$115)+COUNTIF('4月'!CZ20:DA20,B$115)+COUNTIF('4月'!DE20:DF20,B$115)+COUNTIF('4月'!DJ20:DK20,B$115)+COUNTIF('4月'!DO20:DP20,B$115)+COUNTIF('4月'!DT20:DU20,B$115)+COUNTIF('4月'!DY20:DZ20,B$115)+COUNTIF('4月'!ED20:EE20,B$115)+COUNTIF('4月'!EI20:EJ20,B$115)+COUNTIF('4月'!EN20:EO20,B$115)+COUNTIF('4月'!ES20:ET20,B$115)</f>
        <v>0</v>
      </c>
      <c r="C133" s="76">
        <f t="shared" si="36"/>
        <v>0</v>
      </c>
      <c r="D133" s="76">
        <f>COUNTIF('4月'!D20:E20,D$115)+COUNTIF('4月'!I20:J20,D$115)+COUNTIF('4月'!N20:O20,D$115)+COUNTIF('4月'!S20:T20,D$115)+COUNTIF('4月'!X20:Y20,D$115)+COUNTIF('4月'!AC20:AD20,D$115)+COUNTIF('4月'!AH20:AI20,D$115)+COUNTIF('4月'!AM20:AN20,D$115)+COUNTIF('4月'!AR20:AS20,D$115)+COUNTIF('4月'!AW20:AX20,D$115)+COUNTIF('4月'!BB20:BC20,D$115)+COUNTIF('4月'!BG20:BH20,D$115)+COUNTIF('4月'!BL20:BM20,D$115)+COUNTIF('4月'!BQ20:BR20,D$115)+COUNTIF('4月'!BV20:BW20,D$115)+COUNTIF('4月'!CA20:CB20,D$115)+COUNTIF('4月'!CF20:CG20,D$115)+COUNTIF('4月'!CK20:CL20,D$115)+COUNTIF('4月'!CP20:CQ20,D$115)+COUNTIF('4月'!CU20:CV20,D$115)+COUNTIF('4月'!CZ20:DA20,D$115)+COUNTIF('4月'!DE20:DF20,D$115)+COUNTIF('4月'!DJ20:DK20,D$115)+COUNTIF('4月'!DO20:DP20,D$115)+COUNTIF('4月'!DT20:DU20,D$115)+COUNTIF('4月'!DY20:DZ20,D$115)+COUNTIF('4月'!ED20:EE20,D$115)+COUNTIF('4月'!EI20:EJ20,D$115)+COUNTIF('4月'!EN20:EO20,D$115)+COUNTIF('4月'!ES20:ET20,D$115)</f>
        <v>0</v>
      </c>
      <c r="E133" s="76">
        <f t="shared" si="37"/>
        <v>0</v>
      </c>
      <c r="F133" s="76">
        <f>COUNTIF('4月'!D20:E20,F$115)+COUNTIF('4月'!I20:J20,F$115)+COUNTIF('4月'!N20:O20,F$115)+COUNTIF('4月'!S20:T20,F$115)+COUNTIF('4月'!X20:Y20,F$115)+COUNTIF('4月'!AC20:AD20,F$115)+COUNTIF('4月'!AH20:AI20,F$115)+COUNTIF('4月'!AM20:AN20,F$115)+COUNTIF('4月'!AR20:AS20,F$115)+COUNTIF('4月'!AW20:AX20,F$115)+COUNTIF('4月'!BB20:BC20,F$115)+COUNTIF('4月'!BG20:BH20,F$115)+COUNTIF('4月'!BL20:BM20,F$115)+COUNTIF('4月'!BQ20:BR20,F$115)+COUNTIF('4月'!BV20:BW20,F$115)+COUNTIF('4月'!CA20:CB20,F$115)+COUNTIF('4月'!CF20:CG20,F$115)+COUNTIF('4月'!CK20:CL20,F$115)+COUNTIF('4月'!CP20:CQ20,F$115)+COUNTIF('4月'!CU20:CV20,F$115)+COUNTIF('4月'!CZ20:DA20,F$115)+COUNTIF('4月'!DE20:DF20,F$115)+COUNTIF('4月'!DJ20:DK20,F$115)+COUNTIF('4月'!DO20:DP20,F$115)+COUNTIF('4月'!DT20:DU20,F$115)+COUNTIF('4月'!DY20:DZ20,F$115)+COUNTIF('4月'!ED20:EE20,F$115)+COUNTIF('4月'!EI20:EJ20,F$115)+COUNTIF('4月'!EN20:EO20,F$115)+COUNTIF('4月'!ES20:ET20,F$115)</f>
        <v>0</v>
      </c>
      <c r="G133" s="76">
        <f t="shared" si="38"/>
        <v>0</v>
      </c>
      <c r="H133" s="76">
        <f>COUNTIF('4月'!D20:E20,H$115)+COUNTIF('4月'!I20:J20,H$115)+COUNTIF('4月'!N20:O20,H$115)+COUNTIF('4月'!S20:T20,H$115)+COUNTIF('4月'!X20:Y20,H$115)+COUNTIF('4月'!AC20:AD20,H$115)+COUNTIF('4月'!AH20:AI20,H$115)+COUNTIF('4月'!AM20:AN20,H$115)+COUNTIF('4月'!AR20:AS20,H$115)+COUNTIF('4月'!AW20:AX20,H$115)+COUNTIF('4月'!BB20:BC20,H$115)+COUNTIF('4月'!BG20:BH20,H$115)+COUNTIF('4月'!BL20:BM20,H$115)+COUNTIF('4月'!BQ20:BR20,H$115)+COUNTIF('4月'!BV20:BW20,H$115)+COUNTIF('4月'!CA20:CB20,H$115)+COUNTIF('4月'!CF20:CG20,H$115)+COUNTIF('4月'!CK20:CL20,H$115)+COUNTIF('4月'!CP20:CQ20,H$115)+COUNTIF('4月'!CU20:CV20,H$115)+COUNTIF('4月'!CZ20:DA20,H$115)+COUNTIF('4月'!DE20:DF20,H$115)+COUNTIF('4月'!DJ20:DK20,H$115)+COUNTIF('4月'!DO20:DP20,H$115)+COUNTIF('4月'!DT20:DU20,H$115)+COUNTIF('4月'!DY20:DZ20,H$115)+COUNTIF('4月'!ED20:EE20,H$115)+COUNTIF('4月'!EI20:EJ20,H$115)+COUNTIF('4月'!EN20:EO20,H$115)+COUNTIF('4月'!ES20:ET20,H$115)+COUNTIF('4月'!D20:E20,"渋谷-夜勤")+COUNTIF('4月'!I20:J20,"渋谷-夜勤")+COUNTIF('4月'!N20:O20,"渋谷-夜勤")+COUNTIF('4月'!S20:T20,"渋谷-夜勤")+COUNTIF('4月'!X20:Y20,"渋谷-夜勤")+COUNTIF('4月'!AC20:AD20,"渋谷-夜勤")+COUNTIF('4月'!AH20:AI20,"渋谷-夜勤")+COUNTIF('4月'!AM20:AN20,"渋谷-夜勤")+COUNTIF('4月'!AR20:AS20,"渋谷-夜勤")+COUNTIF('4月'!AW20:AX20,"渋谷-夜勤")+COUNTIF('4月'!BB20:BC20,"渋谷-夜勤")+COUNTIF('4月'!BG20:BH20,"渋谷-夜勤")+COUNTIF('4月'!BL20:BM20,"渋谷-夜勤")+COUNTIF('4月'!BQ20:BR20,"渋谷-夜勤")+COUNTIF('4月'!BV20:BW20,"渋谷-夜勤")+COUNTIF('4月'!CA20:CB20,"渋谷-夜勤")+COUNTIF('4月'!CF20:CG20,"渋谷-夜勤")+COUNTIF('4月'!CK20:CL20,"渋谷-夜勤")+COUNTIF('4月'!CP20:CQ20,"渋谷-夜勤")+COUNTIF('4月'!CU20:CV20,"渋谷-夜勤")+COUNTIF('4月'!CZ20:DA20,"渋谷-夜勤")+COUNTIF('4月'!DE20:DF20,"渋谷-夜勤")+COUNTIF('4月'!DJ20:DK20,"渋谷-夜勤")+COUNTIF('4月'!DO20:DP20,"渋谷-夜勤")+COUNTIF('4月'!DT20:DU20,"渋谷-夜勤")+COUNTIF('4月'!DY20:DZ20,"渋谷-夜勤")+COUNTIF('4月'!ED20:EE20,"渋谷-夜勤")+COUNTIF('4月'!EI20:EJ20,"渋谷-夜勤")+COUNTIF('4月'!EN20:EO20,"渋谷-夜勤")+COUNTIF('4月'!ES20:ET20,"渋谷-夜勤")</f>
        <v>0</v>
      </c>
      <c r="I133" s="76">
        <f t="shared" si="39"/>
        <v>0</v>
      </c>
      <c r="J133" s="76">
        <f>COUNTIF('4月'!D20:E20,J$115)+COUNTIF('4月'!I20:J20,J$115)+COUNTIF('4月'!N20:O20,J$115)+COUNTIF('4月'!S20:T20,J$115)+COUNTIF('4月'!X20:Y20,J$115)+COUNTIF('4月'!AC20:AD20,J$115)+COUNTIF('4月'!AH20:AI20,J$115)+COUNTIF('4月'!AM20:AN20,J$115)+COUNTIF('4月'!AR20:AS20,J$115)+COUNTIF('4月'!AW20:AX20,J$115)+COUNTIF('4月'!BB20:BC20,J$115)+COUNTIF('4月'!BG20:BH20,J$115)+COUNTIF('4月'!BL20:BM20,J$115)+COUNTIF('4月'!BQ20:BR20,J$115)+COUNTIF('4月'!BV20:BW20,J$115)+COUNTIF('4月'!CA20:CB20,J$115)+COUNTIF('4月'!CF20:CG20,J$115)+COUNTIF('4月'!CK20:CL20,J$115)+COUNTIF('4月'!CP20:CQ20,J$115)+COUNTIF('4月'!CU20:CV20,J$115)+COUNTIF('4月'!CZ20:DA20,J$115)+COUNTIF('4月'!DE20:DF20,J$115)+COUNTIF('4月'!DJ20:DK20,J$115)+COUNTIF('4月'!DO20:DP20,J$115)+COUNTIF('4月'!DT20:DU20,J$115)+COUNTIF('4月'!DY20:DZ20,J$115)+COUNTIF('4月'!ED20:EE20,J$115)+COUNTIF('4月'!EI20:EJ20,J$115)+COUNTIF('4月'!EN20:EO20,J$115)+COUNTIF('4月'!ES20:ET20,J$115)+COUNTIF('4月'!D20:E20,"六本木-夜勤")+COUNTIF('4月'!I20:J20,"六本木-夜勤")+COUNTIF('4月'!N20:O20,"六本木-夜勤")+COUNTIF('4月'!S20:T20,"六本木-夜勤")+COUNTIF('4月'!X20:Y20,"六本木-夜勤")+COUNTIF('4月'!AC20:AD20,"六本木-夜勤")+COUNTIF('4月'!AH20:AI20,"六本木-夜勤")+COUNTIF('4月'!AM20:AN20,"六本木-夜勤")+COUNTIF('4月'!AR20:AS20,"六本木-夜勤")+COUNTIF('4月'!AW20:AX20,"六本木-夜勤")+COUNTIF('4月'!BB20:BC20,"六本木-夜勤")+COUNTIF('4月'!BG20:BH20,"六本木-夜勤")+COUNTIF('4月'!BL20:BM20,"六本木-夜勤")+COUNTIF('4月'!BQ20:BR20,"六本木-夜勤")+COUNTIF('4月'!BV20:BW20,"六本木-夜勤")+COUNTIF('4月'!CA20:CB20,"六本木-夜勤")+COUNTIF('4月'!CF20:CG20,"六本木-夜勤")+COUNTIF('4月'!CK20:CL20,"六本木-夜勤")+COUNTIF('4月'!CP20:CQ20,"六本木-夜勤")+COUNTIF('4月'!CU20:CV20,"六本木-夜勤")+COUNTIF('4月'!CZ20:DA20,"六本木-夜勤")+COUNTIF('4月'!DE20:DF20,"六本木-夜勤")+COUNTIF('4月'!DJ20:DK20,"六本木-夜勤")+COUNTIF('4月'!DO20:DP20,"六本木-夜勤")+COUNTIF('4月'!DT20:DU20,"六本木-夜勤")+COUNTIF('4月'!DY20:DZ20,"六本木-夜勤")+COUNTIF('4月'!ED20:EE20,"六本木-夜勤")+COUNTIF('4月'!EI20:EJ20,"六本木-夜勤")+COUNTIF('4月'!EN20:EO20,"六本木-夜勤")+COUNTIF('4月'!ES20:ET20,"六本木-夜勤")+COUNTIF('4月'!D20:E20,"六本木ー夜勤")+COUNTIF('4月'!I20:J20,"六本木ー夜勤")+COUNTIF('4月'!N20:O20,"六本木ー夜勤")+COUNTIF('4月'!S20:T20,"六本木ー夜勤")+COUNTIF('4月'!X20:Y20,"六本木ー夜勤")+COUNTIF('4月'!AC20:AD20,"六本木ー夜勤")+COUNTIF('4月'!AH20:AI20,"六本木ー夜勤")+COUNTIF('4月'!AM20:AN20,"六本木ー夜勤")+COUNTIF('4月'!AR20:AS20,"六本木ー夜勤")+COUNTIF('4月'!AW20:AX20,"六本木ー夜勤")+COUNTIF('4月'!BB20:BC20,"六本木ー夜勤")+COUNTIF('4月'!BG20:BH20,"六本木ー夜勤")+COUNTIF('4月'!BL20:BM20,"六本木ー夜勤")+COUNTIF('4月'!BQ20:BR20,"六本木ー夜勤")+COUNTIF('4月'!BV20:BW20,"六本木ー夜勤")+COUNTIF('4月'!CA20:CB20,"六本木ー夜勤")+COUNTIF('4月'!CF20:CG20,"六本木ー夜勤")+COUNTIF('4月'!CK20:CL20,"六本木ー夜勤")+COUNTIF('4月'!CP20:CQ20,"六本木ー夜勤")+COUNTIF('4月'!CU20:CV20,"六本木ー夜勤")+COUNTIF('4月'!CZ20:DA20,"六本木ー夜勤")+COUNTIF('4月'!DE20:DF20,"六本木ー夜勤")+COUNTIF('4月'!DJ20:DK20,"六本木ー夜勤")+COUNTIF('4月'!DO20:DP20,"六本木ー夜勤")+COUNTIF('4月'!DT20:DU20,"六本木ー夜勤")+COUNTIF('4月'!DY20:DZ20,"六本木ー夜勤")+COUNTIF('4月'!ED20:EE20,"六本木ー夜勤")+COUNTIF('4月'!EI20:EJ20,"六本木ー夜勤")+COUNTIF('4月'!EN20:EO20,"六本木ー夜勤")+COUNTIF('4月'!ES20:ET20,"六本木ー夜勤")</f>
        <v>0</v>
      </c>
      <c r="K133" s="76">
        <f t="shared" si="40"/>
        <v>0</v>
      </c>
      <c r="L133" s="76">
        <f>COUNTIF('4月'!D20:E20,L$115)+COUNTIF('4月'!I20:J20,L$115)+COUNTIF('4月'!N20:O20,L$115)+COUNTIF('4月'!S20:T20,L$115)+COUNTIF('4月'!X20:Y20,L$115)+COUNTIF('4月'!AC20:AD20,L$115)+COUNTIF('4月'!AH20:AI20,L$115)+COUNTIF('4月'!AM20:AN20,L$115)+COUNTIF('4月'!AR20:AS20,L$115)+COUNTIF('4月'!AW20:AX20,L$115)+COUNTIF('4月'!BB20:BC20,L$115)+COUNTIF('4月'!BG20:BH20,L$115)+COUNTIF('4月'!BL20:BM20,L$115)+COUNTIF('4月'!BQ20:BR20,L$115)+COUNTIF('4月'!BV20:BW20,L$115)+COUNTIF('4月'!CA20:CB20,L$115)+COUNTIF('4月'!CF20:CG20,L$115)+COUNTIF('4月'!CK20:CL20,L$115)+COUNTIF('4月'!CP20:CQ20,L$115)+COUNTIF('4月'!CU20:CV20,L$115)+COUNTIF('4月'!CZ20:DA20,L$115)+COUNTIF('4月'!DE20:DF20,L$115)+COUNTIF('4月'!DJ20:DK20,L$115)+COUNTIF('4月'!DO20:DP20,L$115)+COUNTIF('4月'!DT20:DU20,L$115)+COUNTIF('4月'!DY20:DZ20,L$115)+COUNTIF('4月'!ED20:EE20,L$115)+COUNTIF('4月'!EI20:EJ20,L$115)+COUNTIF('4月'!EN20:EO20,L$115)+COUNTIF('4月'!ES20:ET20,L$115)</f>
        <v>0</v>
      </c>
      <c r="M133" s="76">
        <f t="shared" si="41"/>
        <v>0</v>
      </c>
      <c r="N133" s="76">
        <f>COUNTIF('4月'!D20:E20,N$115)+COUNTIF('4月'!I20:J20,N$115)+COUNTIF('4月'!N20:O20,N$115)+COUNTIF('4月'!S20:T20,N$115)+COUNTIF('4月'!X20:Y20,N$115)+COUNTIF('4月'!AC20:AD20,N$115)+COUNTIF('4月'!AH20:AI20,N$115)+COUNTIF('4月'!AM20:AN20,N$115)+COUNTIF('4月'!AR20:AS20,N$115)+COUNTIF('4月'!AW20:AX20,N$115)+COUNTIF('4月'!BB20:BC20,N$115)+COUNTIF('4月'!BG20:BH20,N$115)+COUNTIF('4月'!BL20:BM20,N$115)+COUNTIF('4月'!BQ20:BR20,N$115)+COUNTIF('4月'!BV20:BW20,N$115)+COUNTIF('4月'!CA20:CB20,N$115)+COUNTIF('4月'!CF20:CG20,N$115)+COUNTIF('4月'!CK20:CL20,N$115)+COUNTIF('4月'!CP20:CQ20,N$115)+COUNTIF('4月'!CU20:CV20,N$115)+COUNTIF('4月'!CZ20:DA20,N$115)+COUNTIF('4月'!DE20:DF20,N$115)+COUNTIF('4月'!DJ20:DK20,N$115)+COUNTIF('4月'!DO20:DP20,N$115)+COUNTIF('4月'!DT20:DU20,N$115)+COUNTIF('4月'!DY20:DZ20,N$115)+COUNTIF('4月'!ED20:EE20,N$115)+COUNTIF('4月'!EI20:EJ20,N$115)+COUNTIF('4月'!EN20:EO20,N$115)+COUNTIF('4月'!ES20:ET20,N$115)+COUNTIF('4月'!D20:E20,"三軒茶屋－夜勤")+COUNTIF('4月'!I20:J20,"三軒茶屋－夜勤")+COUNTIF('4月'!N20:O20,"三軒茶屋－夜勤")+COUNTIF('4月'!S20:T20,"三軒茶屋－夜勤")+COUNTIF('4月'!X20:Y20,"三軒茶屋－夜勤")+COUNTIF('4月'!AC20:AD20,"三軒茶屋－夜勤")+COUNTIF('4月'!AH20:AI20,"三軒茶屋－夜勤")+COUNTIF('4月'!AM20:AN20,"三軒茶屋－夜勤")+COUNTIF('4月'!AR20:AS20,"三軒茶屋－夜勤")+COUNTIF('4月'!AW20:AX20,"三軒茶屋－夜勤")+COUNTIF('4月'!BB20:BC20,"三軒茶屋－夜勤")+COUNTIF('4月'!BG20:BH20,"三軒茶屋－夜勤")+COUNTIF('4月'!BL20:BM20,"三軒茶屋－夜勤")+COUNTIF('4月'!BQ20:BR20,"三軒茶屋－夜勤")+COUNTIF('4月'!BV20:BW20,"三軒茶屋－夜勤")+COUNTIF('4月'!CA20:CB20,"三軒茶屋－夜勤")+COUNTIF('4月'!CF20:CG20,"三軒茶屋－夜勤")+COUNTIF('4月'!CK20:CL20,"三軒茶屋－夜勤")+COUNTIF('4月'!CP20:CQ20,"三軒茶屋－夜勤")+COUNTIF('4月'!CU20:CV20,"三軒茶屋－夜勤")+COUNTIF('4月'!CZ20:DA20,"三軒茶屋－夜勤")+COUNTIF('4月'!DE20:DF20,"三軒茶屋－夜勤")+COUNTIF('4月'!DJ20:DK20,"三軒茶屋－夜勤")+COUNTIF('4月'!DO20:DP20,"三軒茶屋－夜勤")+COUNTIF('4月'!DT20:DU20,"三軒茶屋－夜勤")+COUNTIF('4月'!DY20:DZ20,"三軒茶屋－夜勤")+COUNTIF('4月'!ED20:EE20,"三軒茶屋－夜勤")+COUNTIF('4月'!EI20:EJ20,"三軒茶屋－夜勤")+COUNTIF('4月'!EN20:EO20,"三軒茶屋－夜勤")+COUNTIF('4月'!ES20:ET20,"三軒茶屋－夜勤")</f>
        <v>0</v>
      </c>
      <c r="O133" s="76">
        <f t="shared" si="42"/>
        <v>0</v>
      </c>
      <c r="P133" s="76">
        <f>COUNTIF('4月'!D20:E20,P$115)+COUNTIF('4月'!I20:J20,P$115)+COUNTIF('4月'!N20:O20,P$115)+COUNTIF('4月'!S20:T20,P$115)+COUNTIF('4月'!X20:Y20,P$115)+COUNTIF('4月'!AC20:AD20,P$115)+COUNTIF('4月'!AH20:AI20,P$115)+COUNTIF('4月'!AM20:AN20,P$115)+COUNTIF('4月'!AR20:AS20,P$115)+COUNTIF('4月'!AW20:AX20,P$115)+COUNTIF('4月'!BB20:BC20,P$115)+COUNTIF('4月'!BG20:BH20,P$115)+COUNTIF('4月'!BL20:BM20,P$115)+COUNTIF('4月'!BQ20:BR20,P$115)+COUNTIF('4月'!BV20:BW20,P$115)+COUNTIF('4月'!CA20:CB20,P$115)+COUNTIF('4月'!CF20:CG20,P$115)+COUNTIF('4月'!CK20:CL20,P$115)+COUNTIF('4月'!CP20:CQ20,P$115)+COUNTIF('4月'!CU20:CV20,P$115)+COUNTIF('4月'!CZ20:DA20,P$115)+COUNTIF('4月'!DE20:DF20,P$115)+COUNTIF('4月'!DJ20:DK20,P$115)+COUNTIF('4月'!DO20:DP20,P$115)+COUNTIF('4月'!DT20:DU20,P$115)+COUNTIF('4月'!DY20:DZ20,P$115)+COUNTIF('4月'!ED20:EE20,P$115)+COUNTIF('4月'!EI20:EJ20,P$115)+COUNTIF('4月'!EN20:EO20,P$115)+COUNTIF('4月'!ES20:ET20,P$115)+COUNTIF('4月'!D20:E20,"荻窪ー夜勤")+COUNTIF('4月'!I20:J20,"荻窪ー夜勤")+COUNTIF('4月'!N20:O20,"荻窪ー夜勤")+COUNTIF('4月'!S20:T20,"荻窪ー夜勤")+COUNTIF('4月'!X20:Y20,"荻窪ー夜勤")+COUNTIF('4月'!AC20:AD20,"荻窪ー夜勤")+COUNTIF('4月'!AH20:AI20,"荻窪ー夜勤")+COUNTIF('4月'!AM20:AN20,"荻窪ー夜勤")+COUNTIF('4月'!AR20:AS20,"荻窪ー夜勤")+COUNTIF('4月'!AW20:AX20,"荻窪ー夜勤")+COUNTIF('4月'!BB20:BC20,"荻窪ー夜勤")+COUNTIF('4月'!BG20:BH20,"荻窪ー夜勤")+COUNTIF('4月'!BL20:BM20,"荻窪ー夜勤")+COUNTIF('4月'!BQ20:BR20,"荻窪ー夜勤")+COUNTIF('4月'!BV20:BW20,"荻窪ー夜勤")+COUNTIF('4月'!CA20:CB20,"荻窪ー夜勤")+COUNTIF('4月'!CF20:CG20,"荻窪ー夜勤")+COUNTIF('4月'!CK20:CL20,"荻窪ー夜勤")+COUNTIF('4月'!CP20:CQ20,"荻窪ー夜勤")+COUNTIF('4月'!CU20:CV20,"荻窪ー夜勤")+COUNTIF('4月'!CZ20:DA20,"荻窪ー夜勤")+COUNTIF('4月'!DE20:DF20,"荻窪ー夜勤")+COUNTIF('4月'!DJ20:DK20,"荻窪ー夜勤")+COUNTIF('4月'!DO20:DP20,"荻窪ー夜勤")+COUNTIF('4月'!DT20:DU20,"荻窪ー夜勤")+COUNTIF('4月'!DY20:DZ20,"荻窪ー夜勤")+COUNTIF('4月'!ED20:EE20,"荻窪ー夜勤")+COUNTIF('4月'!EI20:EJ20,"荻窪ー夜勤")+COUNTIF('4月'!EN20:EO20,"荻窪ー夜勤")+COUNTIF('4月'!ES20:ET20,"荻窪ー夜勤")</f>
        <v>0</v>
      </c>
      <c r="Q133" s="76">
        <f t="shared" si="43"/>
        <v>0</v>
      </c>
      <c r="R133" s="76">
        <f>COUNTIF('4月'!D20:E20,R$115)+COUNTIF('4月'!I20:J20,R$115)+COUNTIF('4月'!N20:O20,R$115)+COUNTIF('4月'!S20:T20,R$115)+COUNTIF('4月'!X20:Y20,R$115)+COUNTIF('4月'!AC20:AD20,R$115)+COUNTIF('4月'!AH20:AI20,R$115)+COUNTIF('4月'!AM20:AN20,R$115)+COUNTIF('4月'!AR20:AS20,R$115)+COUNTIF('4月'!AW20:AX20,R$115)+COUNTIF('4月'!BB20:BC20,R$115)+COUNTIF('4月'!BG20:BH20,R$115)+COUNTIF('4月'!BL20:BM20,R$115)+COUNTIF('4月'!BQ20:BR20,R$115)+COUNTIF('4月'!BV20:BW20,R$115)+COUNTIF('4月'!CA20:CB20,R$115)+COUNTIF('4月'!CF20:CG20,R$115)+COUNTIF('4月'!CK20:CL20,R$115)+COUNTIF('4月'!CP20:CQ20,R$115)+COUNTIF('4月'!CU20:CV20,R$115)+COUNTIF('4月'!CZ20:DA20,R$115)+COUNTIF('4月'!DE20:DF20,R$115)+COUNTIF('4月'!DJ20:DK20,R$115)+COUNTIF('4月'!DO20:DP20,R$115)+COUNTIF('4月'!DT20:DU20,R$115)+COUNTIF('4月'!DY20:DZ20,R$115)+COUNTIF('4月'!ED20:EE20,R$115)+COUNTIF('4月'!EI20:EJ20,R$115)+COUNTIF('4月'!EN20:EO20,R$115)+COUNTIF('4月'!ES20:ET20,R$115)</f>
        <v>0</v>
      </c>
      <c r="S133" s="76">
        <f t="shared" si="44"/>
        <v>0</v>
      </c>
      <c r="T133" s="76">
        <f>COUNTIF('4月'!D20:E20,T$115)+COUNTIF('4月'!I20:J20,T$115)+COUNTIF('4月'!N20:O20,T$115)+COUNTIF('4月'!S20:T20,T$115)+COUNTIF('4月'!X20:Y20,T$115)+COUNTIF('4月'!AC20:AD20,T$115)+COUNTIF('4月'!AH20:AI20,T$115)+COUNTIF('4月'!AM20:AN20,T$115)+COUNTIF('4月'!AR20:AS20,T$115)+COUNTIF('4月'!AW20:AX20,T$115)+COUNTIF('4月'!BB20:BC20,T$115)+COUNTIF('4月'!BG20:BH20,T$115)+COUNTIF('4月'!BL20:BM20,T$115)+COUNTIF('4月'!BQ20:BR20,T$115)+COUNTIF('4月'!BV20:BW20,T$115)+COUNTIF('4月'!CA20:CB20,T$115)+COUNTIF('4月'!CF20:CG20,T$115)+COUNTIF('4月'!CK20:CL20,T$115)+COUNTIF('4月'!CP20:CQ20,T$115)+COUNTIF('4月'!CU20:CV20,T$115)+COUNTIF('4月'!CZ20:DA20,T$115)+COUNTIF('4月'!DE20:DF20,T$115)+COUNTIF('4月'!DJ20:DK20,T$115)+COUNTIF('4月'!DO20:DP20,T$115)+COUNTIF('4月'!DT20:DU20,T$115)+COUNTIF('4月'!DY20:DZ20,T$115)+COUNTIF('4月'!ED20:EE20,T$115)+COUNTIF('4月'!EI20:EJ20,T$115)+COUNTIF('4月'!EN20:EO20,T$115)+COUNTIF('4月'!ES20:ET20,T$115)</f>
        <v>0</v>
      </c>
      <c r="U133" s="76">
        <f t="shared" si="45"/>
        <v>0</v>
      </c>
      <c r="V133" s="76">
        <f>COUNTIF('4月'!D20:E20,V$115)+COUNTIF('4月'!I20:J20,V$115)+COUNTIF('4月'!N20:O20,V$115)+COUNTIF('4月'!S20:T20,V$115)+COUNTIF('4月'!X20:Y20,V$115)+COUNTIF('4月'!AC20:AD20,V$115)+COUNTIF('4月'!AH20:AI20,V$115)+COUNTIF('4月'!AM20:AN20,V$115)+COUNTIF('4月'!AR20:AS20,V$115)+COUNTIF('4月'!AW20:AX20,V$115)+COUNTIF('4月'!BB20:BC20,V$115)+COUNTIF('4月'!BG20:BH20,V$115)+COUNTIF('4月'!BL20:BM20,V$115)+COUNTIF('4月'!BQ20:BR20,V$115)+COUNTIF('4月'!BV20:BW20,V$115)+COUNTIF('4月'!CA20:CB20,V$115)+COUNTIF('4月'!CF20:CG20,V$115)+COUNTIF('4月'!CK20:CL20,V$115)+COUNTIF('4月'!CP20:CQ20,V$115)+COUNTIF('4月'!CU20:CV20,V$115)+COUNTIF('4月'!CZ20:DA20,V$115)+COUNTIF('4月'!DE20:DF20,V$115)+COUNTIF('4月'!DJ20:DK20,V$115)+COUNTIF('4月'!DO20:DP20,V$115)+COUNTIF('4月'!DT20:DU20,V$115)+COUNTIF('4月'!DY20:DZ20,V$115)+COUNTIF('4月'!ED20:EE20,V$115)+COUNTIF('4月'!EI20:EJ20,V$115)+COUNTIF('4月'!EN20:EO20,V$115)+COUNTIF('4月'!ES20:ET20,V$115)</f>
        <v>0</v>
      </c>
      <c r="W133" s="76">
        <f t="shared" si="46"/>
        <v>0</v>
      </c>
      <c r="X133" s="76">
        <f>COUNTIF('4月'!D20:E20,X$115)+COUNTIF('4月'!I20:J20,X$115)+COUNTIF('4月'!N20:O20,X$115)+COUNTIF('4月'!S20:T20,X$115)+COUNTIF('4月'!X20:Y20,X$115)+COUNTIF('4月'!AC20:AD20,X$115)+COUNTIF('4月'!AH20:AI20,X$115)+COUNTIF('4月'!AM20:AN20,X$115)+COUNTIF('4月'!AR20:AS20,X$115)+COUNTIF('4月'!AW20:AX20,X$115)+COUNTIF('4月'!BB20:BC20,X$115)+COUNTIF('4月'!BG20:BH20,X$115)+COUNTIF('4月'!BL20:BM20,X$115)+COUNTIF('4月'!BQ20:BR20,X$115)+COUNTIF('4月'!BV20:BW20,X$115)+COUNTIF('4月'!CA20:CB20,X$115)+COUNTIF('4月'!CF20:CG20,X$115)+COUNTIF('4月'!CK20:CL20,X$115)+COUNTIF('4月'!CP20:CQ20,X$115)+COUNTIF('4月'!CU20:CV20,X$115)+COUNTIF('4月'!CZ20:DA20,X$115)+COUNTIF('4月'!DE20:DF20,X$115)+COUNTIF('4月'!DJ20:DK20,X$115)+COUNTIF('4月'!DO20:DP20,X$115)+COUNTIF('4月'!DT20:DU20,X$115)+COUNTIF('4月'!DY20:DZ20,X$115)+COUNTIF('4月'!ED20:EE20,X$115)+COUNTIF('4月'!EI20:EJ20,X$115)+COUNTIF('4月'!EN20:EO20,X$115)+COUNTIF('4月'!ES20:ET20,X$115)</f>
        <v>0</v>
      </c>
      <c r="Y133" s="76">
        <f t="shared" si="47"/>
        <v>0</v>
      </c>
    </row>
    <row r="134" spans="1:25" ht="18" customHeight="1">
      <c r="A134" s="76">
        <v>18</v>
      </c>
      <c r="B134" s="76">
        <f>COUNTIF('4月'!D21:E21,B$115)+COUNTIF('4月'!I21:J21,B$115)+COUNTIF('4月'!N21:O21,B$115)+COUNTIF('4月'!S21:T21,B$115)+COUNTIF('4月'!X21:Y21,B$115)+COUNTIF('4月'!AC21:AD21,B$115)+COUNTIF('4月'!AH21:AI21,B$115)+COUNTIF('4月'!AM21:AN21,B$115)+COUNTIF('4月'!AR21:AS21,B$115)+COUNTIF('4月'!AW21:AX21,B$115)+COUNTIF('4月'!BB21:BC21,B$115)+COUNTIF('4月'!BG21:BH21,B$115)+COUNTIF('4月'!BL21:BM21,B$115)+COUNTIF('4月'!BQ21:BR21,B$115)+COUNTIF('4月'!BV21:BW21,B$115)+COUNTIF('4月'!CA21:CB21,B$115)+COUNTIF('4月'!CF21:CG21,B$115)+COUNTIF('4月'!CK21:CL21,B$115)+COUNTIF('4月'!CP21:CQ21,B$115)+COUNTIF('4月'!CU21:CV21,B$115)+COUNTIF('4月'!CZ21:DA21,B$115)+COUNTIF('4月'!DE21:DF21,B$115)+COUNTIF('4月'!DJ21:DK21,B$115)+COUNTIF('4月'!DO21:DP21,B$115)+COUNTIF('4月'!DT21:DU21,B$115)+COUNTIF('4月'!DY21:DZ21,B$115)+COUNTIF('4月'!ED21:EE21,B$115)+COUNTIF('4月'!EI21:EJ21,B$115)+COUNTIF('4月'!EN21:EO21,B$115)+COUNTIF('4月'!ES21:ET21,B$115)</f>
        <v>0</v>
      </c>
      <c r="C134" s="76">
        <f t="shared" si="36"/>
        <v>0</v>
      </c>
      <c r="D134" s="76">
        <f>COUNTIF('4月'!D21:E21,D$115)+COUNTIF('4月'!I21:J21,D$115)+COUNTIF('4月'!N21:O21,D$115)+COUNTIF('4月'!S21:T21,D$115)+COUNTIF('4月'!X21:Y21,D$115)+COUNTIF('4月'!AC21:AD21,D$115)+COUNTIF('4月'!AH21:AI21,D$115)+COUNTIF('4月'!AM21:AN21,D$115)+COUNTIF('4月'!AR21:AS21,D$115)+COUNTIF('4月'!AW21:AX21,D$115)+COUNTIF('4月'!BB21:BC21,D$115)+COUNTIF('4月'!BG21:BH21,D$115)+COUNTIF('4月'!BL21:BM21,D$115)+COUNTIF('4月'!BQ21:BR21,D$115)+COUNTIF('4月'!BV21:BW21,D$115)+COUNTIF('4月'!CA21:CB21,D$115)+COUNTIF('4月'!CF21:CG21,D$115)+COUNTIF('4月'!CK21:CL21,D$115)+COUNTIF('4月'!CP21:CQ21,D$115)+COUNTIF('4月'!CU21:CV21,D$115)+COUNTIF('4月'!CZ21:DA21,D$115)+COUNTIF('4月'!DE21:DF21,D$115)+COUNTIF('4月'!DJ21:DK21,D$115)+COUNTIF('4月'!DO21:DP21,D$115)+COUNTIF('4月'!DT21:DU21,D$115)+COUNTIF('4月'!DY21:DZ21,D$115)+COUNTIF('4月'!ED21:EE21,D$115)+COUNTIF('4月'!EI21:EJ21,D$115)+COUNTIF('4月'!EN21:EO21,D$115)+COUNTIF('4月'!ES21:ET21,D$115)</f>
        <v>0</v>
      </c>
      <c r="E134" s="76">
        <f t="shared" si="37"/>
        <v>0</v>
      </c>
      <c r="F134" s="76">
        <f>COUNTIF('4月'!D21:E21,F$115)+COUNTIF('4月'!I21:J21,F$115)+COUNTIF('4月'!N21:O21,F$115)+COUNTIF('4月'!S21:T21,F$115)+COUNTIF('4月'!X21:Y21,F$115)+COUNTIF('4月'!AC21:AD21,F$115)+COUNTIF('4月'!AH21:AI21,F$115)+COUNTIF('4月'!AM21:AN21,F$115)+COUNTIF('4月'!AR21:AS21,F$115)+COUNTIF('4月'!AW21:AX21,F$115)+COUNTIF('4月'!BB21:BC21,F$115)+COUNTIF('4月'!BG21:BH21,F$115)+COUNTIF('4月'!BL21:BM21,F$115)+COUNTIF('4月'!BQ21:BR21,F$115)+COUNTIF('4月'!BV21:BW21,F$115)+COUNTIF('4月'!CA21:CB21,F$115)+COUNTIF('4月'!CF21:CG21,F$115)+COUNTIF('4月'!CK21:CL21,F$115)+COUNTIF('4月'!CP21:CQ21,F$115)+COUNTIF('4月'!CU21:CV21,F$115)+COUNTIF('4月'!CZ21:DA21,F$115)+COUNTIF('4月'!DE21:DF21,F$115)+COUNTIF('4月'!DJ21:DK21,F$115)+COUNTIF('4月'!DO21:DP21,F$115)+COUNTIF('4月'!DT21:DU21,F$115)+COUNTIF('4月'!DY21:DZ21,F$115)+COUNTIF('4月'!ED21:EE21,F$115)+COUNTIF('4月'!EI21:EJ21,F$115)+COUNTIF('4月'!EN21:EO21,F$115)+COUNTIF('4月'!ES21:ET21,F$115)</f>
        <v>0</v>
      </c>
      <c r="G134" s="76">
        <f t="shared" si="38"/>
        <v>0</v>
      </c>
      <c r="H134" s="76">
        <f>COUNTIF('4月'!D21:E21,H$115)+COUNTIF('4月'!I21:J21,H$115)+COUNTIF('4月'!N21:O21,H$115)+COUNTIF('4月'!S21:T21,H$115)+COUNTIF('4月'!X21:Y21,H$115)+COUNTIF('4月'!AC21:AD21,H$115)+COUNTIF('4月'!AH21:AI21,H$115)+COUNTIF('4月'!AM21:AN21,H$115)+COUNTIF('4月'!AR21:AS21,H$115)+COUNTIF('4月'!AW21:AX21,H$115)+COUNTIF('4月'!BB21:BC21,H$115)+COUNTIF('4月'!BG21:BH21,H$115)+COUNTIF('4月'!BL21:BM21,H$115)+COUNTIF('4月'!BQ21:BR21,H$115)+COUNTIF('4月'!BV21:BW21,H$115)+COUNTIF('4月'!CA21:CB21,H$115)+COUNTIF('4月'!CF21:CG21,H$115)+COUNTIF('4月'!CK21:CL21,H$115)+COUNTIF('4月'!CP21:CQ21,H$115)+COUNTIF('4月'!CU21:CV21,H$115)+COUNTIF('4月'!CZ21:DA21,H$115)+COUNTIF('4月'!DE21:DF21,H$115)+COUNTIF('4月'!DJ21:DK21,H$115)+COUNTIF('4月'!DO21:DP21,H$115)+COUNTIF('4月'!DT21:DU21,H$115)+COUNTIF('4月'!DY21:DZ21,H$115)+COUNTIF('4月'!ED21:EE21,H$115)+COUNTIF('4月'!EI21:EJ21,H$115)+COUNTIF('4月'!EN21:EO21,H$115)+COUNTIF('4月'!ES21:ET21,H$115)+COUNTIF('4月'!D21:E21,"渋谷-夜勤")+COUNTIF('4月'!I21:J21,"渋谷-夜勤")+COUNTIF('4月'!N21:O21,"渋谷-夜勤")+COUNTIF('4月'!S21:T21,"渋谷-夜勤")+COUNTIF('4月'!X21:Y21,"渋谷-夜勤")+COUNTIF('4月'!AC21:AD21,"渋谷-夜勤")+COUNTIF('4月'!AH21:AI21,"渋谷-夜勤")+COUNTIF('4月'!AM21:AN21,"渋谷-夜勤")+COUNTIF('4月'!AR21:AS21,"渋谷-夜勤")+COUNTIF('4月'!AW21:AX21,"渋谷-夜勤")+COUNTIF('4月'!BB21:BC21,"渋谷-夜勤")+COUNTIF('4月'!BG21:BH21,"渋谷-夜勤")+COUNTIF('4月'!BL21:BM21,"渋谷-夜勤")+COUNTIF('4月'!BQ21:BR21,"渋谷-夜勤")+COUNTIF('4月'!BV21:BW21,"渋谷-夜勤")+COUNTIF('4月'!CA21:CB21,"渋谷-夜勤")+COUNTIF('4月'!CF21:CG21,"渋谷-夜勤")+COUNTIF('4月'!CK21:CL21,"渋谷-夜勤")+COUNTIF('4月'!CP21:CQ21,"渋谷-夜勤")+COUNTIF('4月'!CU21:CV21,"渋谷-夜勤")+COUNTIF('4月'!CZ21:DA21,"渋谷-夜勤")+COUNTIF('4月'!DE21:DF21,"渋谷-夜勤")+COUNTIF('4月'!DJ21:DK21,"渋谷-夜勤")+COUNTIF('4月'!DO21:DP21,"渋谷-夜勤")+COUNTIF('4月'!DT21:DU21,"渋谷-夜勤")+COUNTIF('4月'!DY21:DZ21,"渋谷-夜勤")+COUNTIF('4月'!ED21:EE21,"渋谷-夜勤")+COUNTIF('4月'!EI21:EJ21,"渋谷-夜勤")+COUNTIF('4月'!EN21:EO21,"渋谷-夜勤")+COUNTIF('4月'!ES21:ET21,"渋谷-夜勤")</f>
        <v>0</v>
      </c>
      <c r="I134" s="76">
        <f t="shared" si="39"/>
        <v>0</v>
      </c>
      <c r="J134" s="76">
        <f>COUNTIF('4月'!D21:E21,J$115)+COUNTIF('4月'!I21:J21,J$115)+COUNTIF('4月'!N21:O21,J$115)+COUNTIF('4月'!S21:T21,J$115)+COUNTIF('4月'!X21:Y21,J$115)+COUNTIF('4月'!AC21:AD21,J$115)+COUNTIF('4月'!AH21:AI21,J$115)+COUNTIF('4月'!AM21:AN21,J$115)+COUNTIF('4月'!AR21:AS21,J$115)+COUNTIF('4月'!AW21:AX21,J$115)+COUNTIF('4月'!BB21:BC21,J$115)+COUNTIF('4月'!BG21:BH21,J$115)+COUNTIF('4月'!BL21:BM21,J$115)+COUNTIF('4月'!BQ21:BR21,J$115)+COUNTIF('4月'!BV21:BW21,J$115)+COUNTIF('4月'!CA21:CB21,J$115)+COUNTIF('4月'!CF21:CG21,J$115)+COUNTIF('4月'!CK21:CL21,J$115)+COUNTIF('4月'!CP21:CQ21,J$115)+COUNTIF('4月'!CU21:CV21,J$115)+COUNTIF('4月'!CZ21:DA21,J$115)+COUNTIF('4月'!DE21:DF21,J$115)+COUNTIF('4月'!DJ21:DK21,J$115)+COUNTIF('4月'!DO21:DP21,J$115)+COUNTIF('4月'!DT21:DU21,J$115)+COUNTIF('4月'!DY21:DZ21,J$115)+COUNTIF('4月'!ED21:EE21,J$115)+COUNTIF('4月'!EI21:EJ21,J$115)+COUNTIF('4月'!EN21:EO21,J$115)+COUNTIF('4月'!ES21:ET21,J$115)+COUNTIF('4月'!D21:E21,"六本木-夜勤")+COUNTIF('4月'!I21:J21,"六本木-夜勤")+COUNTIF('4月'!N21:O21,"六本木-夜勤")+COUNTIF('4月'!S21:T21,"六本木-夜勤")+COUNTIF('4月'!X21:Y21,"六本木-夜勤")+COUNTIF('4月'!AC21:AD21,"六本木-夜勤")+COUNTIF('4月'!AH21:AI21,"六本木-夜勤")+COUNTIF('4月'!AM21:AN21,"六本木-夜勤")+COUNTIF('4月'!AR21:AS21,"六本木-夜勤")+COUNTIF('4月'!AW21:AX21,"六本木-夜勤")+COUNTIF('4月'!BB21:BC21,"六本木-夜勤")+COUNTIF('4月'!BG21:BH21,"六本木-夜勤")+COUNTIF('4月'!BL21:BM21,"六本木-夜勤")+COUNTIF('4月'!BQ21:BR21,"六本木-夜勤")+COUNTIF('4月'!BV21:BW21,"六本木-夜勤")+COUNTIF('4月'!CA21:CB21,"六本木-夜勤")+COUNTIF('4月'!CF21:CG21,"六本木-夜勤")+COUNTIF('4月'!CK21:CL21,"六本木-夜勤")+COUNTIF('4月'!CP21:CQ21,"六本木-夜勤")+COUNTIF('4月'!CU21:CV21,"六本木-夜勤")+COUNTIF('4月'!CZ21:DA21,"六本木-夜勤")+COUNTIF('4月'!DE21:DF21,"六本木-夜勤")+COUNTIF('4月'!DJ21:DK21,"六本木-夜勤")+COUNTIF('4月'!DO21:DP21,"六本木-夜勤")+COUNTIF('4月'!DT21:DU21,"六本木-夜勤")+COUNTIF('4月'!DY21:DZ21,"六本木-夜勤")+COUNTIF('4月'!ED21:EE21,"六本木-夜勤")+COUNTIF('4月'!EI21:EJ21,"六本木-夜勤")+COUNTIF('4月'!EN21:EO21,"六本木-夜勤")+COUNTIF('4月'!ES21:ET21,"六本木-夜勤")+COUNTIF('4月'!D21:E21,"六本木ー夜勤")+COUNTIF('4月'!I21:J21,"六本木ー夜勤")+COUNTIF('4月'!N21:O21,"六本木ー夜勤")+COUNTIF('4月'!S21:T21,"六本木ー夜勤")+COUNTIF('4月'!X21:Y21,"六本木ー夜勤")+COUNTIF('4月'!AC21:AD21,"六本木ー夜勤")+COUNTIF('4月'!AH21:AI21,"六本木ー夜勤")+COUNTIF('4月'!AM21:AN21,"六本木ー夜勤")+COUNTIF('4月'!AR21:AS21,"六本木ー夜勤")+COUNTIF('4月'!AW21:AX21,"六本木ー夜勤")+COUNTIF('4月'!BB21:BC21,"六本木ー夜勤")+COUNTIF('4月'!BG21:BH21,"六本木ー夜勤")+COUNTIF('4月'!BL21:BM21,"六本木ー夜勤")+COUNTIF('4月'!BQ21:BR21,"六本木ー夜勤")+COUNTIF('4月'!BV21:BW21,"六本木ー夜勤")+COUNTIF('4月'!CA21:CB21,"六本木ー夜勤")+COUNTIF('4月'!CF21:CG21,"六本木ー夜勤")+COUNTIF('4月'!CK21:CL21,"六本木ー夜勤")+COUNTIF('4月'!CP21:CQ21,"六本木ー夜勤")+COUNTIF('4月'!CU21:CV21,"六本木ー夜勤")+COUNTIF('4月'!CZ21:DA21,"六本木ー夜勤")+COUNTIF('4月'!DE21:DF21,"六本木ー夜勤")+COUNTIF('4月'!DJ21:DK21,"六本木ー夜勤")+COUNTIF('4月'!DO21:DP21,"六本木ー夜勤")+COUNTIF('4月'!DT21:DU21,"六本木ー夜勤")+COUNTIF('4月'!DY21:DZ21,"六本木ー夜勤")+COUNTIF('4月'!ED21:EE21,"六本木ー夜勤")+COUNTIF('4月'!EI21:EJ21,"六本木ー夜勤")+COUNTIF('4月'!EN21:EO21,"六本木ー夜勤")+COUNTIF('4月'!ES21:ET21,"六本木ー夜勤")</f>
        <v>0</v>
      </c>
      <c r="K134" s="76">
        <f t="shared" si="40"/>
        <v>0</v>
      </c>
      <c r="L134" s="76">
        <f>COUNTIF('4月'!D21:E21,L$115)+COUNTIF('4月'!I21:J21,L$115)+COUNTIF('4月'!N21:O21,L$115)+COUNTIF('4月'!S21:T21,L$115)+COUNTIF('4月'!X21:Y21,L$115)+COUNTIF('4月'!AC21:AD21,L$115)+COUNTIF('4月'!AH21:AI21,L$115)+COUNTIF('4月'!AM21:AN21,L$115)+COUNTIF('4月'!AR21:AS21,L$115)+COUNTIF('4月'!AW21:AX21,L$115)+COUNTIF('4月'!BB21:BC21,L$115)+COUNTIF('4月'!BG21:BH21,L$115)+COUNTIF('4月'!BL21:BM21,L$115)+COUNTIF('4月'!BQ21:BR21,L$115)+COUNTIF('4月'!BV21:BW21,L$115)+COUNTIF('4月'!CA21:CB21,L$115)+COUNTIF('4月'!CF21:CG21,L$115)+COUNTIF('4月'!CK21:CL21,L$115)+COUNTIF('4月'!CP21:CQ21,L$115)+COUNTIF('4月'!CU21:CV21,L$115)+COUNTIF('4月'!CZ21:DA21,L$115)+COUNTIF('4月'!DE21:DF21,L$115)+COUNTIF('4月'!DJ21:DK21,L$115)+COUNTIF('4月'!DO21:DP21,L$115)+COUNTIF('4月'!DT21:DU21,L$115)+COUNTIF('4月'!DY21:DZ21,L$115)+COUNTIF('4月'!ED21:EE21,L$115)+COUNTIF('4月'!EI21:EJ21,L$115)+COUNTIF('4月'!EN21:EO21,L$115)+COUNTIF('4月'!ES21:ET21,L$115)</f>
        <v>0</v>
      </c>
      <c r="M134" s="76">
        <f t="shared" si="41"/>
        <v>0</v>
      </c>
      <c r="N134" s="76">
        <f>COUNTIF('4月'!D21:E21,N$115)+COUNTIF('4月'!I21:J21,N$115)+COUNTIF('4月'!N21:O21,N$115)+COUNTIF('4月'!S21:T21,N$115)+COUNTIF('4月'!X21:Y21,N$115)+COUNTIF('4月'!AC21:AD21,N$115)+COUNTIF('4月'!AH21:AI21,N$115)+COUNTIF('4月'!AM21:AN21,N$115)+COUNTIF('4月'!AR21:AS21,N$115)+COUNTIF('4月'!AW21:AX21,N$115)+COUNTIF('4月'!BB21:BC21,N$115)+COUNTIF('4月'!BG21:BH21,N$115)+COUNTIF('4月'!BL21:BM21,N$115)+COUNTIF('4月'!BQ21:BR21,N$115)+COUNTIF('4月'!BV21:BW21,N$115)+COUNTIF('4月'!CA21:CB21,N$115)+COUNTIF('4月'!CF21:CG21,N$115)+COUNTIF('4月'!CK21:CL21,N$115)+COUNTIF('4月'!CP21:CQ21,N$115)+COUNTIF('4月'!CU21:CV21,N$115)+COUNTIF('4月'!CZ21:DA21,N$115)+COUNTIF('4月'!DE21:DF21,N$115)+COUNTIF('4月'!DJ21:DK21,N$115)+COUNTIF('4月'!DO21:DP21,N$115)+COUNTIF('4月'!DT21:DU21,N$115)+COUNTIF('4月'!DY21:DZ21,N$115)+COUNTIF('4月'!ED21:EE21,N$115)+COUNTIF('4月'!EI21:EJ21,N$115)+COUNTIF('4月'!EN21:EO21,N$115)+COUNTIF('4月'!ES21:ET21,N$115)+COUNTIF('4月'!D21:E21,"三軒茶屋－夜勤")+COUNTIF('4月'!I21:J21,"三軒茶屋－夜勤")+COUNTIF('4月'!N21:O21,"三軒茶屋－夜勤")+COUNTIF('4月'!S21:T21,"三軒茶屋－夜勤")+COUNTIF('4月'!X21:Y21,"三軒茶屋－夜勤")+COUNTIF('4月'!AC21:AD21,"三軒茶屋－夜勤")+COUNTIF('4月'!AH21:AI21,"三軒茶屋－夜勤")+COUNTIF('4月'!AM21:AN21,"三軒茶屋－夜勤")+COUNTIF('4月'!AR21:AS21,"三軒茶屋－夜勤")+COUNTIF('4月'!AW21:AX21,"三軒茶屋－夜勤")+COUNTIF('4月'!BB21:BC21,"三軒茶屋－夜勤")+COUNTIF('4月'!BG21:BH21,"三軒茶屋－夜勤")+COUNTIF('4月'!BL21:BM21,"三軒茶屋－夜勤")+COUNTIF('4月'!BQ21:BR21,"三軒茶屋－夜勤")+COUNTIF('4月'!BV21:BW21,"三軒茶屋－夜勤")+COUNTIF('4月'!CA21:CB21,"三軒茶屋－夜勤")+COUNTIF('4月'!CF21:CG21,"三軒茶屋－夜勤")+COUNTIF('4月'!CK21:CL21,"三軒茶屋－夜勤")+COUNTIF('4月'!CP21:CQ21,"三軒茶屋－夜勤")+COUNTIF('4月'!CU21:CV21,"三軒茶屋－夜勤")+COUNTIF('4月'!CZ21:DA21,"三軒茶屋－夜勤")+COUNTIF('4月'!DE21:DF21,"三軒茶屋－夜勤")+COUNTIF('4月'!DJ21:DK21,"三軒茶屋－夜勤")+COUNTIF('4月'!DO21:DP21,"三軒茶屋－夜勤")+COUNTIF('4月'!DT21:DU21,"三軒茶屋－夜勤")+COUNTIF('4月'!DY21:DZ21,"三軒茶屋－夜勤")+COUNTIF('4月'!ED21:EE21,"三軒茶屋－夜勤")+COUNTIF('4月'!EI21:EJ21,"三軒茶屋－夜勤")+COUNTIF('4月'!EN21:EO21,"三軒茶屋－夜勤")+COUNTIF('4月'!ES21:ET21,"三軒茶屋－夜勤")</f>
        <v>0</v>
      </c>
      <c r="O134" s="76">
        <f t="shared" si="42"/>
        <v>0</v>
      </c>
      <c r="P134" s="76">
        <f>COUNTIF('4月'!D21:E21,P$115)+COUNTIF('4月'!I21:J21,P$115)+COUNTIF('4月'!N21:O21,P$115)+COUNTIF('4月'!S21:T21,P$115)+COUNTIF('4月'!X21:Y21,P$115)+COUNTIF('4月'!AC21:AD21,P$115)+COUNTIF('4月'!AH21:AI21,P$115)+COUNTIF('4月'!AM21:AN21,P$115)+COUNTIF('4月'!AR21:AS21,P$115)+COUNTIF('4月'!AW21:AX21,P$115)+COUNTIF('4月'!BB21:BC21,P$115)+COUNTIF('4月'!BG21:BH21,P$115)+COUNTIF('4月'!BL21:BM21,P$115)+COUNTIF('4月'!BQ21:BR21,P$115)+COUNTIF('4月'!BV21:BW21,P$115)+COUNTIF('4月'!CA21:CB21,P$115)+COUNTIF('4月'!CF21:CG21,P$115)+COUNTIF('4月'!CK21:CL21,P$115)+COUNTIF('4月'!CP21:CQ21,P$115)+COUNTIF('4月'!CU21:CV21,P$115)+COUNTIF('4月'!CZ21:DA21,P$115)+COUNTIF('4月'!DE21:DF21,P$115)+COUNTIF('4月'!DJ21:DK21,P$115)+COUNTIF('4月'!DO21:DP21,P$115)+COUNTIF('4月'!DT21:DU21,P$115)+COUNTIF('4月'!DY21:DZ21,P$115)+COUNTIF('4月'!ED21:EE21,P$115)+COUNTIF('4月'!EI21:EJ21,P$115)+COUNTIF('4月'!EN21:EO21,P$115)+COUNTIF('4月'!ES21:ET21,P$115)+COUNTIF('4月'!D21:E21,"荻窪ー夜勤")+COUNTIF('4月'!I21:J21,"荻窪ー夜勤")+COUNTIF('4月'!N21:O21,"荻窪ー夜勤")+COUNTIF('4月'!S21:T21,"荻窪ー夜勤")+COUNTIF('4月'!X21:Y21,"荻窪ー夜勤")+COUNTIF('4月'!AC21:AD21,"荻窪ー夜勤")+COUNTIF('4月'!AH21:AI21,"荻窪ー夜勤")+COUNTIF('4月'!AM21:AN21,"荻窪ー夜勤")+COUNTIF('4月'!AR21:AS21,"荻窪ー夜勤")+COUNTIF('4月'!AW21:AX21,"荻窪ー夜勤")+COUNTIF('4月'!BB21:BC21,"荻窪ー夜勤")+COUNTIF('4月'!BG21:BH21,"荻窪ー夜勤")+COUNTIF('4月'!BL21:BM21,"荻窪ー夜勤")+COUNTIF('4月'!BQ21:BR21,"荻窪ー夜勤")+COUNTIF('4月'!BV21:BW21,"荻窪ー夜勤")+COUNTIF('4月'!CA21:CB21,"荻窪ー夜勤")+COUNTIF('4月'!CF21:CG21,"荻窪ー夜勤")+COUNTIF('4月'!CK21:CL21,"荻窪ー夜勤")+COUNTIF('4月'!CP21:CQ21,"荻窪ー夜勤")+COUNTIF('4月'!CU21:CV21,"荻窪ー夜勤")+COUNTIF('4月'!CZ21:DA21,"荻窪ー夜勤")+COUNTIF('4月'!DE21:DF21,"荻窪ー夜勤")+COUNTIF('4月'!DJ21:DK21,"荻窪ー夜勤")+COUNTIF('4月'!DO21:DP21,"荻窪ー夜勤")+COUNTIF('4月'!DT21:DU21,"荻窪ー夜勤")+COUNTIF('4月'!DY21:DZ21,"荻窪ー夜勤")+COUNTIF('4月'!ED21:EE21,"荻窪ー夜勤")+COUNTIF('4月'!EI21:EJ21,"荻窪ー夜勤")+COUNTIF('4月'!EN21:EO21,"荻窪ー夜勤")+COUNTIF('4月'!ES21:ET21,"荻窪ー夜勤")</f>
        <v>0</v>
      </c>
      <c r="Q134" s="76">
        <f t="shared" si="43"/>
        <v>0</v>
      </c>
      <c r="R134" s="76">
        <f>COUNTIF('4月'!D21:E21,R$115)+COUNTIF('4月'!I21:J21,R$115)+COUNTIF('4月'!N21:O21,R$115)+COUNTIF('4月'!S21:T21,R$115)+COUNTIF('4月'!X21:Y21,R$115)+COUNTIF('4月'!AC21:AD21,R$115)+COUNTIF('4月'!AH21:AI21,R$115)+COUNTIF('4月'!AM21:AN21,R$115)+COUNTIF('4月'!AR21:AS21,R$115)+COUNTIF('4月'!AW21:AX21,R$115)+COUNTIF('4月'!BB21:BC21,R$115)+COUNTIF('4月'!BG21:BH21,R$115)+COUNTIF('4月'!BL21:BM21,R$115)+COUNTIF('4月'!BQ21:BR21,R$115)+COUNTIF('4月'!BV21:BW21,R$115)+COUNTIF('4月'!CA21:CB21,R$115)+COUNTIF('4月'!CF21:CG21,R$115)+COUNTIF('4月'!CK21:CL21,R$115)+COUNTIF('4月'!CP21:CQ21,R$115)+COUNTIF('4月'!CU21:CV21,R$115)+COUNTIF('4月'!CZ21:DA21,R$115)+COUNTIF('4月'!DE21:DF21,R$115)+COUNTIF('4月'!DJ21:DK21,R$115)+COUNTIF('4月'!DO21:DP21,R$115)+COUNTIF('4月'!DT21:DU21,R$115)+COUNTIF('4月'!DY21:DZ21,R$115)+COUNTIF('4月'!ED21:EE21,R$115)+COUNTIF('4月'!EI21:EJ21,R$115)+COUNTIF('4月'!EN21:EO21,R$115)+COUNTIF('4月'!ES21:ET21,R$115)</f>
        <v>0</v>
      </c>
      <c r="S134" s="76">
        <f t="shared" si="44"/>
        <v>0</v>
      </c>
      <c r="T134" s="76">
        <f>COUNTIF('4月'!D21:E21,T$115)+COUNTIF('4月'!I21:J21,T$115)+COUNTIF('4月'!N21:O21,T$115)+COUNTIF('4月'!S21:T21,T$115)+COUNTIF('4月'!X21:Y21,T$115)+COUNTIF('4月'!AC21:AD21,T$115)+COUNTIF('4月'!AH21:AI21,T$115)+COUNTIF('4月'!AM21:AN21,T$115)+COUNTIF('4月'!AR21:AS21,T$115)+COUNTIF('4月'!AW21:AX21,T$115)+COUNTIF('4月'!BB21:BC21,T$115)+COUNTIF('4月'!BG21:BH21,T$115)+COUNTIF('4月'!BL21:BM21,T$115)+COUNTIF('4月'!BQ21:BR21,T$115)+COUNTIF('4月'!BV21:BW21,T$115)+COUNTIF('4月'!CA21:CB21,T$115)+COUNTIF('4月'!CF21:CG21,T$115)+COUNTIF('4月'!CK21:CL21,T$115)+COUNTIF('4月'!CP21:CQ21,T$115)+COUNTIF('4月'!CU21:CV21,T$115)+COUNTIF('4月'!CZ21:DA21,T$115)+COUNTIF('4月'!DE21:DF21,T$115)+COUNTIF('4月'!DJ21:DK21,T$115)+COUNTIF('4月'!DO21:DP21,T$115)+COUNTIF('4月'!DT21:DU21,T$115)+COUNTIF('4月'!DY21:DZ21,T$115)+COUNTIF('4月'!ED21:EE21,T$115)+COUNTIF('4月'!EI21:EJ21,T$115)+COUNTIF('4月'!EN21:EO21,T$115)+COUNTIF('4月'!ES21:ET21,T$115)</f>
        <v>0</v>
      </c>
      <c r="U134" s="76">
        <f t="shared" si="45"/>
        <v>0</v>
      </c>
      <c r="V134" s="76">
        <f>COUNTIF('4月'!D21:E21,V$115)+COUNTIF('4月'!I21:J21,V$115)+COUNTIF('4月'!N21:O21,V$115)+COUNTIF('4月'!S21:T21,V$115)+COUNTIF('4月'!X21:Y21,V$115)+COUNTIF('4月'!AC21:AD21,V$115)+COUNTIF('4月'!AH21:AI21,V$115)+COUNTIF('4月'!AM21:AN21,V$115)+COUNTIF('4月'!AR21:AS21,V$115)+COUNTIF('4月'!AW21:AX21,V$115)+COUNTIF('4月'!BB21:BC21,V$115)+COUNTIF('4月'!BG21:BH21,V$115)+COUNTIF('4月'!BL21:BM21,V$115)+COUNTIF('4月'!BQ21:BR21,V$115)+COUNTIF('4月'!BV21:BW21,V$115)+COUNTIF('4月'!CA21:CB21,V$115)+COUNTIF('4月'!CF21:CG21,V$115)+COUNTIF('4月'!CK21:CL21,V$115)+COUNTIF('4月'!CP21:CQ21,V$115)+COUNTIF('4月'!CU21:CV21,V$115)+COUNTIF('4月'!CZ21:DA21,V$115)+COUNTIF('4月'!DE21:DF21,V$115)+COUNTIF('4月'!DJ21:DK21,V$115)+COUNTIF('4月'!DO21:DP21,V$115)+COUNTIF('4月'!DT21:DU21,V$115)+COUNTIF('4月'!DY21:DZ21,V$115)+COUNTIF('4月'!ED21:EE21,V$115)+COUNTIF('4月'!EI21:EJ21,V$115)+COUNTIF('4月'!EN21:EO21,V$115)+COUNTIF('4月'!ES21:ET21,V$115)</f>
        <v>0</v>
      </c>
      <c r="W134" s="76">
        <f t="shared" si="46"/>
        <v>0</v>
      </c>
      <c r="X134" s="76">
        <f>COUNTIF('4月'!D21:E21,X$115)+COUNTIF('4月'!I21:J21,X$115)+COUNTIF('4月'!N21:O21,X$115)+COUNTIF('4月'!S21:T21,X$115)+COUNTIF('4月'!X21:Y21,X$115)+COUNTIF('4月'!AC21:AD21,X$115)+COUNTIF('4月'!AH21:AI21,X$115)+COUNTIF('4月'!AM21:AN21,X$115)+COUNTIF('4月'!AR21:AS21,X$115)+COUNTIF('4月'!AW21:AX21,X$115)+COUNTIF('4月'!BB21:BC21,X$115)+COUNTIF('4月'!BG21:BH21,X$115)+COUNTIF('4月'!BL21:BM21,X$115)+COUNTIF('4月'!BQ21:BR21,X$115)+COUNTIF('4月'!BV21:BW21,X$115)+COUNTIF('4月'!CA21:CB21,X$115)+COUNTIF('4月'!CF21:CG21,X$115)+COUNTIF('4月'!CK21:CL21,X$115)+COUNTIF('4月'!CP21:CQ21,X$115)+COUNTIF('4月'!CU21:CV21,X$115)+COUNTIF('4月'!CZ21:DA21,X$115)+COUNTIF('4月'!DE21:DF21,X$115)+COUNTIF('4月'!DJ21:DK21,X$115)+COUNTIF('4月'!DO21:DP21,X$115)+COUNTIF('4月'!DT21:DU21,X$115)+COUNTIF('4月'!DY21:DZ21,X$115)+COUNTIF('4月'!ED21:EE21,X$115)+COUNTIF('4月'!EI21:EJ21,X$115)+COUNTIF('4月'!EN21:EO21,X$115)+COUNTIF('4月'!ES21:ET21,X$115)</f>
        <v>0</v>
      </c>
      <c r="Y134" s="76">
        <f t="shared" si="47"/>
        <v>0</v>
      </c>
    </row>
    <row r="135" spans="1:25" ht="18" customHeight="1">
      <c r="A135" s="76">
        <v>19</v>
      </c>
      <c r="B135" s="76">
        <f>COUNTIF('4月'!D22:E22,B$115)+COUNTIF('4月'!I22:J22,B$115)+COUNTIF('4月'!N22:O22,B$115)+COUNTIF('4月'!S22:T22,B$115)+COUNTIF('4月'!X22:Y22,B$115)+COUNTIF('4月'!AC22:AD22,B$115)+COUNTIF('4月'!AH22:AI22,B$115)+COUNTIF('4月'!AM22:AN22,B$115)+COUNTIF('4月'!AR22:AS22,B$115)+COUNTIF('4月'!AW22:AX22,B$115)+COUNTIF('4月'!BB22:BC22,B$115)+COUNTIF('4月'!BG22:BH22,B$115)+COUNTIF('4月'!BL22:BM22,B$115)+COUNTIF('4月'!BQ22:BR22,B$115)+COUNTIF('4月'!BV22:BW22,B$115)+COUNTIF('4月'!CA22:CB22,B$115)+COUNTIF('4月'!CF22:CG22,B$115)+COUNTIF('4月'!CK22:CL22,B$115)+COUNTIF('4月'!CP22:CQ22,B$115)+COUNTIF('4月'!CU22:CV22,B$115)+COUNTIF('4月'!CZ22:DA22,B$115)+COUNTIF('4月'!DE22:DF22,B$115)+COUNTIF('4月'!DJ22:DK22,B$115)+COUNTIF('4月'!DO22:DP22,B$115)+COUNTIF('4月'!DT22:DU22,B$115)+COUNTIF('4月'!DY22:DZ22,B$115)+COUNTIF('4月'!ED22:EE22,B$115)+COUNTIF('4月'!EI22:EJ22,B$115)+COUNTIF('4月'!EN22:EO22,B$115)+COUNTIF('4月'!ES22:ET22,B$115)</f>
        <v>0</v>
      </c>
      <c r="C135" s="76">
        <f t="shared" si="36"/>
        <v>0</v>
      </c>
      <c r="D135" s="76">
        <f>COUNTIF('4月'!D22:E22,D$115)+COUNTIF('4月'!I22:J22,D$115)+COUNTIF('4月'!N22:O22,D$115)+COUNTIF('4月'!S22:T22,D$115)+COUNTIF('4月'!X22:Y22,D$115)+COUNTIF('4月'!AC22:AD22,D$115)+COUNTIF('4月'!AH22:AI22,D$115)+COUNTIF('4月'!AM22:AN22,D$115)+COUNTIF('4月'!AR22:AS22,D$115)+COUNTIF('4月'!AW22:AX22,D$115)+COUNTIF('4月'!BB22:BC22,D$115)+COUNTIF('4月'!BG22:BH22,D$115)+COUNTIF('4月'!BL22:BM22,D$115)+COUNTIF('4月'!BQ22:BR22,D$115)+COUNTIF('4月'!BV22:BW22,D$115)+COUNTIF('4月'!CA22:CB22,D$115)+COUNTIF('4月'!CF22:CG22,D$115)+COUNTIF('4月'!CK22:CL22,D$115)+COUNTIF('4月'!CP22:CQ22,D$115)+COUNTIF('4月'!CU22:CV22,D$115)+COUNTIF('4月'!CZ22:DA22,D$115)+COUNTIF('4月'!DE22:DF22,D$115)+COUNTIF('4月'!DJ22:DK22,D$115)+COUNTIF('4月'!DO22:DP22,D$115)+COUNTIF('4月'!DT22:DU22,D$115)+COUNTIF('4月'!DY22:DZ22,D$115)+COUNTIF('4月'!ED22:EE22,D$115)+COUNTIF('4月'!EI22:EJ22,D$115)+COUNTIF('4月'!EN22:EO22,D$115)+COUNTIF('4月'!ES22:ET22,D$115)</f>
        <v>0</v>
      </c>
      <c r="E135" s="76">
        <f t="shared" si="37"/>
        <v>0</v>
      </c>
      <c r="F135" s="76">
        <f>COUNTIF('4月'!D22:E22,F$115)+COUNTIF('4月'!I22:J22,F$115)+COUNTIF('4月'!N22:O22,F$115)+COUNTIF('4月'!S22:T22,F$115)+COUNTIF('4月'!X22:Y22,F$115)+COUNTIF('4月'!AC22:AD22,F$115)+COUNTIF('4月'!AH22:AI22,F$115)+COUNTIF('4月'!AM22:AN22,F$115)+COUNTIF('4月'!AR22:AS22,F$115)+COUNTIF('4月'!AW22:AX22,F$115)+COUNTIF('4月'!BB22:BC22,F$115)+COUNTIF('4月'!BG22:BH22,F$115)+COUNTIF('4月'!BL22:BM22,F$115)+COUNTIF('4月'!BQ22:BR22,F$115)+COUNTIF('4月'!BV22:BW22,F$115)+COUNTIF('4月'!CA22:CB22,F$115)+COUNTIF('4月'!CF22:CG22,F$115)+COUNTIF('4月'!CK22:CL22,F$115)+COUNTIF('4月'!CP22:CQ22,F$115)+COUNTIF('4月'!CU22:CV22,F$115)+COUNTIF('4月'!CZ22:DA22,F$115)+COUNTIF('4月'!DE22:DF22,F$115)+COUNTIF('4月'!DJ22:DK22,F$115)+COUNTIF('4月'!DO22:DP22,F$115)+COUNTIF('4月'!DT22:DU22,F$115)+COUNTIF('4月'!DY22:DZ22,F$115)+COUNTIF('4月'!ED22:EE22,F$115)+COUNTIF('4月'!EI22:EJ22,F$115)+COUNTIF('4月'!EN22:EO22,F$115)+COUNTIF('4月'!ES22:ET22,F$115)</f>
        <v>0</v>
      </c>
      <c r="G135" s="76">
        <f t="shared" si="38"/>
        <v>0</v>
      </c>
      <c r="H135" s="76">
        <f>COUNTIF('4月'!D22:E22,H$115)+COUNTIF('4月'!I22:J22,H$115)+COUNTIF('4月'!N22:O22,H$115)+COUNTIF('4月'!S22:T22,H$115)+COUNTIF('4月'!X22:Y22,H$115)+COUNTIF('4月'!AC22:AD22,H$115)+COUNTIF('4月'!AH22:AI22,H$115)+COUNTIF('4月'!AM22:AN22,H$115)+COUNTIF('4月'!AR22:AS22,H$115)+COUNTIF('4月'!AW22:AX22,H$115)+COUNTIF('4月'!BB22:BC22,H$115)+COUNTIF('4月'!BG22:BH22,H$115)+COUNTIF('4月'!BL22:BM22,H$115)+COUNTIF('4月'!BQ22:BR22,H$115)+COUNTIF('4月'!BV22:BW22,H$115)+COUNTIF('4月'!CA22:CB22,H$115)+COUNTIF('4月'!CF22:CG22,H$115)+COUNTIF('4月'!CK22:CL22,H$115)+COUNTIF('4月'!CP22:CQ22,H$115)+COUNTIF('4月'!CU22:CV22,H$115)+COUNTIF('4月'!CZ22:DA22,H$115)+COUNTIF('4月'!DE22:DF22,H$115)+COUNTIF('4月'!DJ22:DK22,H$115)+COUNTIF('4月'!DO22:DP22,H$115)+COUNTIF('4月'!DT22:DU22,H$115)+COUNTIF('4月'!DY22:DZ22,H$115)+COUNTIF('4月'!ED22:EE22,H$115)+COUNTIF('4月'!EI22:EJ22,H$115)+COUNTIF('4月'!EN22:EO22,H$115)+COUNTIF('4月'!ES22:ET22,H$115)+COUNTIF('4月'!D22:E22,"渋谷-夜勤")+COUNTIF('4月'!I22:J22,"渋谷-夜勤")+COUNTIF('4月'!N22:O22,"渋谷-夜勤")+COUNTIF('4月'!S22:T22,"渋谷-夜勤")+COUNTIF('4月'!X22:Y22,"渋谷-夜勤")+COUNTIF('4月'!AC22:AD22,"渋谷-夜勤")+COUNTIF('4月'!AH22:AI22,"渋谷-夜勤")+COUNTIF('4月'!AM22:AN22,"渋谷-夜勤")+COUNTIF('4月'!AR22:AS22,"渋谷-夜勤")+COUNTIF('4月'!AW22:AX22,"渋谷-夜勤")+COUNTIF('4月'!BB22:BC22,"渋谷-夜勤")+COUNTIF('4月'!BG22:BH22,"渋谷-夜勤")+COUNTIF('4月'!BL22:BM22,"渋谷-夜勤")+COUNTIF('4月'!BQ22:BR22,"渋谷-夜勤")+COUNTIF('4月'!BV22:BW22,"渋谷-夜勤")+COUNTIF('4月'!CA22:CB22,"渋谷-夜勤")+COUNTIF('4月'!CF22:CG22,"渋谷-夜勤")+COUNTIF('4月'!CK22:CL22,"渋谷-夜勤")+COUNTIF('4月'!CP22:CQ22,"渋谷-夜勤")+COUNTIF('4月'!CU22:CV22,"渋谷-夜勤")+COUNTIF('4月'!CZ22:DA22,"渋谷-夜勤")+COUNTIF('4月'!DE22:DF22,"渋谷-夜勤")+COUNTIF('4月'!DJ22:DK22,"渋谷-夜勤")+COUNTIF('4月'!DO22:DP22,"渋谷-夜勤")+COUNTIF('4月'!DT22:DU22,"渋谷-夜勤")+COUNTIF('4月'!DY22:DZ22,"渋谷-夜勤")+COUNTIF('4月'!ED22:EE22,"渋谷-夜勤")+COUNTIF('4月'!EI22:EJ22,"渋谷-夜勤")+COUNTIF('4月'!EN22:EO22,"渋谷-夜勤")+COUNTIF('4月'!ES22:ET22,"渋谷-夜勤")</f>
        <v>0</v>
      </c>
      <c r="I135" s="76">
        <f t="shared" si="39"/>
        <v>0</v>
      </c>
      <c r="J135" s="76">
        <f>COUNTIF('4月'!D22:E22,J$115)+COUNTIF('4月'!I22:J22,J$115)+COUNTIF('4月'!N22:O22,J$115)+COUNTIF('4月'!S22:T22,J$115)+COUNTIF('4月'!X22:Y22,J$115)+COUNTIF('4月'!AC22:AD22,J$115)+COUNTIF('4月'!AH22:AI22,J$115)+COUNTIF('4月'!AM22:AN22,J$115)+COUNTIF('4月'!AR22:AS22,J$115)+COUNTIF('4月'!AW22:AX22,J$115)+COUNTIF('4月'!BB22:BC22,J$115)+COUNTIF('4月'!BG22:BH22,J$115)+COUNTIF('4月'!BL22:BM22,J$115)+COUNTIF('4月'!BQ22:BR22,J$115)+COUNTIF('4月'!BV22:BW22,J$115)+COUNTIF('4月'!CA22:CB22,J$115)+COUNTIF('4月'!CF22:CG22,J$115)+COUNTIF('4月'!CK22:CL22,J$115)+COUNTIF('4月'!CP22:CQ22,J$115)+COUNTIF('4月'!CU22:CV22,J$115)+COUNTIF('4月'!CZ22:DA22,J$115)+COUNTIF('4月'!DE22:DF22,J$115)+COUNTIF('4月'!DJ22:DK22,J$115)+COUNTIF('4月'!DO22:DP22,J$115)+COUNTIF('4月'!DT22:DU22,J$115)+COUNTIF('4月'!DY22:DZ22,J$115)+COUNTIF('4月'!ED22:EE22,J$115)+COUNTIF('4月'!EI22:EJ22,J$115)+COUNTIF('4月'!EN22:EO22,J$115)+COUNTIF('4月'!ES22:ET22,J$115)+COUNTIF('4月'!D22:E22,"六本木-夜勤")+COUNTIF('4月'!I22:J22,"六本木-夜勤")+COUNTIF('4月'!N22:O22,"六本木-夜勤")+COUNTIF('4月'!S22:T22,"六本木-夜勤")+COUNTIF('4月'!X22:Y22,"六本木-夜勤")+COUNTIF('4月'!AC22:AD22,"六本木-夜勤")+COUNTIF('4月'!AH22:AI22,"六本木-夜勤")+COUNTIF('4月'!AM22:AN22,"六本木-夜勤")+COUNTIF('4月'!AR22:AS22,"六本木-夜勤")+COUNTIF('4月'!AW22:AX22,"六本木-夜勤")+COUNTIF('4月'!BB22:BC22,"六本木-夜勤")+COUNTIF('4月'!BG22:BH22,"六本木-夜勤")+COUNTIF('4月'!BL22:BM22,"六本木-夜勤")+COUNTIF('4月'!BQ22:BR22,"六本木-夜勤")+COUNTIF('4月'!BV22:BW22,"六本木-夜勤")+COUNTIF('4月'!CA22:CB22,"六本木-夜勤")+COUNTIF('4月'!CF22:CG22,"六本木-夜勤")+COUNTIF('4月'!CK22:CL22,"六本木-夜勤")+COUNTIF('4月'!CP22:CQ22,"六本木-夜勤")+COUNTIF('4月'!CU22:CV22,"六本木-夜勤")+COUNTIF('4月'!CZ22:DA22,"六本木-夜勤")+COUNTIF('4月'!DE22:DF22,"六本木-夜勤")+COUNTIF('4月'!DJ22:DK22,"六本木-夜勤")+COUNTIF('4月'!DO22:DP22,"六本木-夜勤")+COUNTIF('4月'!DT22:DU22,"六本木-夜勤")+COUNTIF('4月'!DY22:DZ22,"六本木-夜勤")+COUNTIF('4月'!ED22:EE22,"六本木-夜勤")+COUNTIF('4月'!EI22:EJ22,"六本木-夜勤")+COUNTIF('4月'!EN22:EO22,"六本木-夜勤")+COUNTIF('4月'!ES22:ET22,"六本木-夜勤")+COUNTIF('4月'!D22:E22,"六本木ー夜勤")+COUNTIF('4月'!I22:J22,"六本木ー夜勤")+COUNTIF('4月'!N22:O22,"六本木ー夜勤")+COUNTIF('4月'!S22:T22,"六本木ー夜勤")+COUNTIF('4月'!X22:Y22,"六本木ー夜勤")+COUNTIF('4月'!AC22:AD22,"六本木ー夜勤")+COUNTIF('4月'!AH22:AI22,"六本木ー夜勤")+COUNTIF('4月'!AM22:AN22,"六本木ー夜勤")+COUNTIF('4月'!AR22:AS22,"六本木ー夜勤")+COUNTIF('4月'!AW22:AX22,"六本木ー夜勤")+COUNTIF('4月'!BB22:BC22,"六本木ー夜勤")+COUNTIF('4月'!BG22:BH22,"六本木ー夜勤")+COUNTIF('4月'!BL22:BM22,"六本木ー夜勤")+COUNTIF('4月'!BQ22:BR22,"六本木ー夜勤")+COUNTIF('4月'!BV22:BW22,"六本木ー夜勤")+COUNTIF('4月'!CA22:CB22,"六本木ー夜勤")+COUNTIF('4月'!CF22:CG22,"六本木ー夜勤")+COUNTIF('4月'!CK22:CL22,"六本木ー夜勤")+COUNTIF('4月'!CP22:CQ22,"六本木ー夜勤")+COUNTIF('4月'!CU22:CV22,"六本木ー夜勤")+COUNTIF('4月'!CZ22:DA22,"六本木ー夜勤")+COUNTIF('4月'!DE22:DF22,"六本木ー夜勤")+COUNTIF('4月'!DJ22:DK22,"六本木ー夜勤")+COUNTIF('4月'!DO22:DP22,"六本木ー夜勤")+COUNTIF('4月'!DT22:DU22,"六本木ー夜勤")+COUNTIF('4月'!DY22:DZ22,"六本木ー夜勤")+COUNTIF('4月'!ED22:EE22,"六本木ー夜勤")+COUNTIF('4月'!EI22:EJ22,"六本木ー夜勤")+COUNTIF('4月'!EN22:EO22,"六本木ー夜勤")+COUNTIF('4月'!ES22:ET22,"六本木ー夜勤")</f>
        <v>0</v>
      </c>
      <c r="K135" s="76">
        <f t="shared" si="40"/>
        <v>0</v>
      </c>
      <c r="L135" s="76">
        <f>COUNTIF('4月'!D22:E22,L$115)+COUNTIF('4月'!I22:J22,L$115)+COUNTIF('4月'!N22:O22,L$115)+COUNTIF('4月'!S22:T22,L$115)+COUNTIF('4月'!X22:Y22,L$115)+COUNTIF('4月'!AC22:AD22,L$115)+COUNTIF('4月'!AH22:AI22,L$115)+COUNTIF('4月'!AM22:AN22,L$115)+COUNTIF('4月'!AR22:AS22,L$115)+COUNTIF('4月'!AW22:AX22,L$115)+COUNTIF('4月'!BB22:BC22,L$115)+COUNTIF('4月'!BG22:BH22,L$115)+COUNTIF('4月'!BL22:BM22,L$115)+COUNTIF('4月'!BQ22:BR22,L$115)+COUNTIF('4月'!BV22:BW22,L$115)+COUNTIF('4月'!CA22:CB22,L$115)+COUNTIF('4月'!CF22:CG22,L$115)+COUNTIF('4月'!CK22:CL22,L$115)+COUNTIF('4月'!CP22:CQ22,L$115)+COUNTIF('4月'!CU22:CV22,L$115)+COUNTIF('4月'!CZ22:DA22,L$115)+COUNTIF('4月'!DE22:DF22,L$115)+COUNTIF('4月'!DJ22:DK22,L$115)+COUNTIF('4月'!DO22:DP22,L$115)+COUNTIF('4月'!DT22:DU22,L$115)+COUNTIF('4月'!DY22:DZ22,L$115)+COUNTIF('4月'!ED22:EE22,L$115)+COUNTIF('4月'!EI22:EJ22,L$115)+COUNTIF('4月'!EN22:EO22,L$115)+COUNTIF('4月'!ES22:ET22,L$115)</f>
        <v>0</v>
      </c>
      <c r="M135" s="76">
        <f t="shared" si="41"/>
        <v>0</v>
      </c>
      <c r="N135" s="76">
        <f>COUNTIF('4月'!D22:E22,N$115)+COUNTIF('4月'!I22:J22,N$115)+COUNTIF('4月'!N22:O22,N$115)+COUNTIF('4月'!S22:T22,N$115)+COUNTIF('4月'!X22:Y22,N$115)+COUNTIF('4月'!AC22:AD22,N$115)+COUNTIF('4月'!AH22:AI22,N$115)+COUNTIF('4月'!AM22:AN22,N$115)+COUNTIF('4月'!AR22:AS22,N$115)+COUNTIF('4月'!AW22:AX22,N$115)+COUNTIF('4月'!BB22:BC22,N$115)+COUNTIF('4月'!BG22:BH22,N$115)+COUNTIF('4月'!BL22:BM22,N$115)+COUNTIF('4月'!BQ22:BR22,N$115)+COUNTIF('4月'!BV22:BW22,N$115)+COUNTIF('4月'!CA22:CB22,N$115)+COUNTIF('4月'!CF22:CG22,N$115)+COUNTIF('4月'!CK22:CL22,N$115)+COUNTIF('4月'!CP22:CQ22,N$115)+COUNTIF('4月'!CU22:CV22,N$115)+COUNTIF('4月'!CZ22:DA22,N$115)+COUNTIF('4月'!DE22:DF22,N$115)+COUNTIF('4月'!DJ22:DK22,N$115)+COUNTIF('4月'!DO22:DP22,N$115)+COUNTIF('4月'!DT22:DU22,N$115)+COUNTIF('4月'!DY22:DZ22,N$115)+COUNTIF('4月'!ED22:EE22,N$115)+COUNTIF('4月'!EI22:EJ22,N$115)+COUNTIF('4月'!EN22:EO22,N$115)+COUNTIF('4月'!ES22:ET22,N$115)+COUNTIF('4月'!D22:E22,"三軒茶屋－夜勤")+COUNTIF('4月'!I22:J22,"三軒茶屋－夜勤")+COUNTIF('4月'!N22:O22,"三軒茶屋－夜勤")+COUNTIF('4月'!S22:T22,"三軒茶屋－夜勤")+COUNTIF('4月'!X22:Y22,"三軒茶屋－夜勤")+COUNTIF('4月'!AC22:AD22,"三軒茶屋－夜勤")+COUNTIF('4月'!AH22:AI22,"三軒茶屋－夜勤")+COUNTIF('4月'!AM22:AN22,"三軒茶屋－夜勤")+COUNTIF('4月'!AR22:AS22,"三軒茶屋－夜勤")+COUNTIF('4月'!AW22:AX22,"三軒茶屋－夜勤")+COUNTIF('4月'!BB22:BC22,"三軒茶屋－夜勤")+COUNTIF('4月'!BG22:BH22,"三軒茶屋－夜勤")+COUNTIF('4月'!BL22:BM22,"三軒茶屋－夜勤")+COUNTIF('4月'!BQ22:BR22,"三軒茶屋－夜勤")+COUNTIF('4月'!BV22:BW22,"三軒茶屋－夜勤")+COUNTIF('4月'!CA22:CB22,"三軒茶屋－夜勤")+COUNTIF('4月'!CF22:CG22,"三軒茶屋－夜勤")+COUNTIF('4月'!CK22:CL22,"三軒茶屋－夜勤")+COUNTIF('4月'!CP22:CQ22,"三軒茶屋－夜勤")+COUNTIF('4月'!CU22:CV22,"三軒茶屋－夜勤")+COUNTIF('4月'!CZ22:DA22,"三軒茶屋－夜勤")+COUNTIF('4月'!DE22:DF22,"三軒茶屋－夜勤")+COUNTIF('4月'!DJ22:DK22,"三軒茶屋－夜勤")+COUNTIF('4月'!DO22:DP22,"三軒茶屋－夜勤")+COUNTIF('4月'!DT22:DU22,"三軒茶屋－夜勤")+COUNTIF('4月'!DY22:DZ22,"三軒茶屋－夜勤")+COUNTIF('4月'!ED22:EE22,"三軒茶屋－夜勤")+COUNTIF('4月'!EI22:EJ22,"三軒茶屋－夜勤")+COUNTIF('4月'!EN22:EO22,"三軒茶屋－夜勤")+COUNTIF('4月'!ES22:ET22,"三軒茶屋－夜勤")</f>
        <v>0</v>
      </c>
      <c r="O135" s="76">
        <f t="shared" si="42"/>
        <v>0</v>
      </c>
      <c r="P135" s="76">
        <f>COUNTIF('4月'!D22:E22,P$115)+COUNTIF('4月'!I22:J22,P$115)+COUNTIF('4月'!N22:O22,P$115)+COUNTIF('4月'!S22:T22,P$115)+COUNTIF('4月'!X22:Y22,P$115)+COUNTIF('4月'!AC22:AD22,P$115)+COUNTIF('4月'!AH22:AI22,P$115)+COUNTIF('4月'!AM22:AN22,P$115)+COUNTIF('4月'!AR22:AS22,P$115)+COUNTIF('4月'!AW22:AX22,P$115)+COUNTIF('4月'!BB22:BC22,P$115)+COUNTIF('4月'!BG22:BH22,P$115)+COUNTIF('4月'!BL22:BM22,P$115)+COUNTIF('4月'!BQ22:BR22,P$115)+COUNTIF('4月'!BV22:BW22,P$115)+COUNTIF('4月'!CA22:CB22,P$115)+COUNTIF('4月'!CF22:CG22,P$115)+COUNTIF('4月'!CK22:CL22,P$115)+COUNTIF('4月'!CP22:CQ22,P$115)+COUNTIF('4月'!CU22:CV22,P$115)+COUNTIF('4月'!CZ22:DA22,P$115)+COUNTIF('4月'!DE22:DF22,P$115)+COUNTIF('4月'!DJ22:DK22,P$115)+COUNTIF('4月'!DO22:DP22,P$115)+COUNTIF('4月'!DT22:DU22,P$115)+COUNTIF('4月'!DY22:DZ22,P$115)+COUNTIF('4月'!ED22:EE22,P$115)+COUNTIF('4月'!EI22:EJ22,P$115)+COUNTIF('4月'!EN22:EO22,P$115)+COUNTIF('4月'!ES22:ET22,P$115)+COUNTIF('4月'!D22:E22,"荻窪ー夜勤")+COUNTIF('4月'!I22:J22,"荻窪ー夜勤")+COUNTIF('4月'!N22:O22,"荻窪ー夜勤")+COUNTIF('4月'!S22:T22,"荻窪ー夜勤")+COUNTIF('4月'!X22:Y22,"荻窪ー夜勤")+COUNTIF('4月'!AC22:AD22,"荻窪ー夜勤")+COUNTIF('4月'!AH22:AI22,"荻窪ー夜勤")+COUNTIF('4月'!AM22:AN22,"荻窪ー夜勤")+COUNTIF('4月'!AR22:AS22,"荻窪ー夜勤")+COUNTIF('4月'!AW22:AX22,"荻窪ー夜勤")+COUNTIF('4月'!BB22:BC22,"荻窪ー夜勤")+COUNTIF('4月'!BG22:BH22,"荻窪ー夜勤")+COUNTIF('4月'!BL22:BM22,"荻窪ー夜勤")+COUNTIF('4月'!BQ22:BR22,"荻窪ー夜勤")+COUNTIF('4月'!BV22:BW22,"荻窪ー夜勤")+COUNTIF('4月'!CA22:CB22,"荻窪ー夜勤")+COUNTIF('4月'!CF22:CG22,"荻窪ー夜勤")+COUNTIF('4月'!CK22:CL22,"荻窪ー夜勤")+COUNTIF('4月'!CP22:CQ22,"荻窪ー夜勤")+COUNTIF('4月'!CU22:CV22,"荻窪ー夜勤")+COUNTIF('4月'!CZ22:DA22,"荻窪ー夜勤")+COUNTIF('4月'!DE22:DF22,"荻窪ー夜勤")+COUNTIF('4月'!DJ22:DK22,"荻窪ー夜勤")+COUNTIF('4月'!DO22:DP22,"荻窪ー夜勤")+COUNTIF('4月'!DT22:DU22,"荻窪ー夜勤")+COUNTIF('4月'!DY22:DZ22,"荻窪ー夜勤")+COUNTIF('4月'!ED22:EE22,"荻窪ー夜勤")+COUNTIF('4月'!EI22:EJ22,"荻窪ー夜勤")+COUNTIF('4月'!EN22:EO22,"荻窪ー夜勤")+COUNTIF('4月'!ES22:ET22,"荻窪ー夜勤")</f>
        <v>0</v>
      </c>
      <c r="Q135" s="76">
        <f t="shared" si="43"/>
        <v>0</v>
      </c>
      <c r="R135" s="76">
        <f>COUNTIF('4月'!D22:E22,R$115)+COUNTIF('4月'!I22:J22,R$115)+COUNTIF('4月'!N22:O22,R$115)+COUNTIF('4月'!S22:T22,R$115)+COUNTIF('4月'!X22:Y22,R$115)+COUNTIF('4月'!AC22:AD22,R$115)+COUNTIF('4月'!AH22:AI22,R$115)+COUNTIF('4月'!AM22:AN22,R$115)+COUNTIF('4月'!AR22:AS22,R$115)+COUNTIF('4月'!AW22:AX22,R$115)+COUNTIF('4月'!BB22:BC22,R$115)+COUNTIF('4月'!BG22:BH22,R$115)+COUNTIF('4月'!BL22:BM22,R$115)+COUNTIF('4月'!BQ22:BR22,R$115)+COUNTIF('4月'!BV22:BW22,R$115)+COUNTIF('4月'!CA22:CB22,R$115)+COUNTIF('4月'!CF22:CG22,R$115)+COUNTIF('4月'!CK22:CL22,R$115)+COUNTIF('4月'!CP22:CQ22,R$115)+COUNTIF('4月'!CU22:CV22,R$115)+COUNTIF('4月'!CZ22:DA22,R$115)+COUNTIF('4月'!DE22:DF22,R$115)+COUNTIF('4月'!DJ22:DK22,R$115)+COUNTIF('4月'!DO22:DP22,R$115)+COUNTIF('4月'!DT22:DU22,R$115)+COUNTIF('4月'!DY22:DZ22,R$115)+COUNTIF('4月'!ED22:EE22,R$115)+COUNTIF('4月'!EI22:EJ22,R$115)+COUNTIF('4月'!EN22:EO22,R$115)+COUNTIF('4月'!ES22:ET22,R$115)</f>
        <v>0</v>
      </c>
      <c r="S135" s="76">
        <f t="shared" si="44"/>
        <v>0</v>
      </c>
      <c r="T135" s="76">
        <f>COUNTIF('4月'!D22:E22,T$115)+COUNTIF('4月'!I22:J22,T$115)+COUNTIF('4月'!N22:O22,T$115)+COUNTIF('4月'!S22:T22,T$115)+COUNTIF('4月'!X22:Y22,T$115)+COUNTIF('4月'!AC22:AD22,T$115)+COUNTIF('4月'!AH22:AI22,T$115)+COUNTIF('4月'!AM22:AN22,T$115)+COUNTIF('4月'!AR22:AS22,T$115)+COUNTIF('4月'!AW22:AX22,T$115)+COUNTIF('4月'!BB22:BC22,T$115)+COUNTIF('4月'!BG22:BH22,T$115)+COUNTIF('4月'!BL22:BM22,T$115)+COUNTIF('4月'!BQ22:BR22,T$115)+COUNTIF('4月'!BV22:BW22,T$115)+COUNTIF('4月'!CA22:CB22,T$115)+COUNTIF('4月'!CF22:CG22,T$115)+COUNTIF('4月'!CK22:CL22,T$115)+COUNTIF('4月'!CP22:CQ22,T$115)+COUNTIF('4月'!CU22:CV22,T$115)+COUNTIF('4月'!CZ22:DA22,T$115)+COUNTIF('4月'!DE22:DF22,T$115)+COUNTIF('4月'!DJ22:DK22,T$115)+COUNTIF('4月'!DO22:DP22,T$115)+COUNTIF('4月'!DT22:DU22,T$115)+COUNTIF('4月'!DY22:DZ22,T$115)+COUNTIF('4月'!ED22:EE22,T$115)+COUNTIF('4月'!EI22:EJ22,T$115)+COUNTIF('4月'!EN22:EO22,T$115)+COUNTIF('4月'!ES22:ET22,T$115)</f>
        <v>0</v>
      </c>
      <c r="U135" s="76">
        <f t="shared" si="45"/>
        <v>0</v>
      </c>
      <c r="V135" s="76">
        <f>COUNTIF('4月'!D22:E22,V$115)+COUNTIF('4月'!I22:J22,V$115)+COUNTIF('4月'!N22:O22,V$115)+COUNTIF('4月'!S22:T22,V$115)+COUNTIF('4月'!X22:Y22,V$115)+COUNTIF('4月'!AC22:AD22,V$115)+COUNTIF('4月'!AH22:AI22,V$115)+COUNTIF('4月'!AM22:AN22,V$115)+COUNTIF('4月'!AR22:AS22,V$115)+COUNTIF('4月'!AW22:AX22,V$115)+COUNTIF('4月'!BB22:BC22,V$115)+COUNTIF('4月'!BG22:BH22,V$115)+COUNTIF('4月'!BL22:BM22,V$115)+COUNTIF('4月'!BQ22:BR22,V$115)+COUNTIF('4月'!BV22:BW22,V$115)+COUNTIF('4月'!CA22:CB22,V$115)+COUNTIF('4月'!CF22:CG22,V$115)+COUNTIF('4月'!CK22:CL22,V$115)+COUNTIF('4月'!CP22:CQ22,V$115)+COUNTIF('4月'!CU22:CV22,V$115)+COUNTIF('4月'!CZ22:DA22,V$115)+COUNTIF('4月'!DE22:DF22,V$115)+COUNTIF('4月'!DJ22:DK22,V$115)+COUNTIF('4月'!DO22:DP22,V$115)+COUNTIF('4月'!DT22:DU22,V$115)+COUNTIF('4月'!DY22:DZ22,V$115)+COUNTIF('4月'!ED22:EE22,V$115)+COUNTIF('4月'!EI22:EJ22,V$115)+COUNTIF('4月'!EN22:EO22,V$115)+COUNTIF('4月'!ES22:ET22,V$115)</f>
        <v>0</v>
      </c>
      <c r="W135" s="76">
        <f t="shared" si="46"/>
        <v>0</v>
      </c>
      <c r="X135" s="76">
        <f>COUNTIF('4月'!D22:E22,X$115)+COUNTIF('4月'!I22:J22,X$115)+COUNTIF('4月'!N22:O22,X$115)+COUNTIF('4月'!S22:T22,X$115)+COUNTIF('4月'!X22:Y22,X$115)+COUNTIF('4月'!AC22:AD22,X$115)+COUNTIF('4月'!AH22:AI22,X$115)+COUNTIF('4月'!AM22:AN22,X$115)+COUNTIF('4月'!AR22:AS22,X$115)+COUNTIF('4月'!AW22:AX22,X$115)+COUNTIF('4月'!BB22:BC22,X$115)+COUNTIF('4月'!BG22:BH22,X$115)+COUNTIF('4月'!BL22:BM22,X$115)+COUNTIF('4月'!BQ22:BR22,X$115)+COUNTIF('4月'!BV22:BW22,X$115)+COUNTIF('4月'!CA22:CB22,X$115)+COUNTIF('4月'!CF22:CG22,X$115)+COUNTIF('4月'!CK22:CL22,X$115)+COUNTIF('4月'!CP22:CQ22,X$115)+COUNTIF('4月'!CU22:CV22,X$115)+COUNTIF('4月'!CZ22:DA22,X$115)+COUNTIF('4月'!DE22:DF22,X$115)+COUNTIF('4月'!DJ22:DK22,X$115)+COUNTIF('4月'!DO22:DP22,X$115)+COUNTIF('4月'!DT22:DU22,X$115)+COUNTIF('4月'!DY22:DZ22,X$115)+COUNTIF('4月'!ED22:EE22,X$115)+COUNTIF('4月'!EI22:EJ22,X$115)+COUNTIF('4月'!EN22:EO22,X$115)+COUNTIF('4月'!ES22:ET22,X$115)</f>
        <v>0</v>
      </c>
      <c r="Y135" s="76">
        <f t="shared" si="47"/>
        <v>0</v>
      </c>
    </row>
    <row r="136" spans="1:25" ht="18" customHeight="1">
      <c r="A136" s="76">
        <v>20</v>
      </c>
      <c r="B136" s="76">
        <f>COUNTIF('4月'!D23:E23,B$115)+COUNTIF('4月'!I23:J23,B$115)+COUNTIF('4月'!N23:O23,B$115)+COUNTIF('4月'!S23:T23,B$115)+COUNTIF('4月'!X23:Y23,B$115)+COUNTIF('4月'!AC23:AD23,B$115)+COUNTIF('4月'!AH23:AI23,B$115)+COUNTIF('4月'!AM23:AN23,B$115)+COUNTIF('4月'!AR23:AS23,B$115)+COUNTIF('4月'!AW23:AX23,B$115)+COUNTIF('4月'!BB23:BC23,B$115)+COUNTIF('4月'!BG23:BH23,B$115)+COUNTIF('4月'!BL23:BM23,B$115)+COUNTIF('4月'!BQ23:BR23,B$115)+COUNTIF('4月'!BV23:BW23,B$115)+COUNTIF('4月'!CA23:CB23,B$115)+COUNTIF('4月'!CF23:CG23,B$115)+COUNTIF('4月'!CK23:CL23,B$115)+COUNTIF('4月'!CP23:CQ23,B$115)+COUNTIF('4月'!CU23:CV23,B$115)+COUNTIF('4月'!CZ23:DA23,B$115)+COUNTIF('4月'!DE23:DF23,B$115)+COUNTIF('4月'!DJ23:DK23,B$115)+COUNTIF('4月'!DO23:DP23,B$115)+COUNTIF('4月'!DT23:DU23,B$115)+COUNTIF('4月'!DY23:DZ23,B$115)+COUNTIF('4月'!ED23:EE23,B$115)+COUNTIF('4月'!EI23:EJ23,B$115)+COUNTIF('4月'!EN23:EO23,B$115)+COUNTIF('4月'!ES23:ET23,B$115)</f>
        <v>0</v>
      </c>
      <c r="C136" s="76">
        <f t="shared" si="36"/>
        <v>0</v>
      </c>
      <c r="D136" s="76">
        <f>COUNTIF('4月'!D23:E23,D$115)+COUNTIF('4月'!I23:J23,D$115)+COUNTIF('4月'!N23:O23,D$115)+COUNTIF('4月'!S23:T23,D$115)+COUNTIF('4月'!X23:Y23,D$115)+COUNTIF('4月'!AC23:AD23,D$115)+COUNTIF('4月'!AH23:AI23,D$115)+COUNTIF('4月'!AM23:AN23,D$115)+COUNTIF('4月'!AR23:AS23,D$115)+COUNTIF('4月'!AW23:AX23,D$115)+COUNTIF('4月'!BB23:BC23,D$115)+COUNTIF('4月'!BG23:BH23,D$115)+COUNTIF('4月'!BL23:BM23,D$115)+COUNTIF('4月'!BQ23:BR23,D$115)+COUNTIF('4月'!BV23:BW23,D$115)+COUNTIF('4月'!CA23:CB23,D$115)+COUNTIF('4月'!CF23:CG23,D$115)+COUNTIF('4月'!CK23:CL23,D$115)+COUNTIF('4月'!CP23:CQ23,D$115)+COUNTIF('4月'!CU23:CV23,D$115)+COUNTIF('4月'!CZ23:DA23,D$115)+COUNTIF('4月'!DE23:DF23,D$115)+COUNTIF('4月'!DJ23:DK23,D$115)+COUNTIF('4月'!DO23:DP23,D$115)+COUNTIF('4月'!DT23:DU23,D$115)+COUNTIF('4月'!DY23:DZ23,D$115)+COUNTIF('4月'!ED23:EE23,D$115)+COUNTIF('4月'!EI23:EJ23,D$115)+COUNTIF('4月'!EN23:EO23,D$115)+COUNTIF('4月'!ES23:ET23,D$115)</f>
        <v>0</v>
      </c>
      <c r="E136" s="76">
        <f t="shared" si="37"/>
        <v>0</v>
      </c>
      <c r="F136" s="76">
        <f>COUNTIF('4月'!D23:E23,F$115)+COUNTIF('4月'!I23:J23,F$115)+COUNTIF('4月'!N23:O23,F$115)+COUNTIF('4月'!S23:T23,F$115)+COUNTIF('4月'!X23:Y23,F$115)+COUNTIF('4月'!AC23:AD23,F$115)+COUNTIF('4月'!AH23:AI23,F$115)+COUNTIF('4月'!AM23:AN23,F$115)+COUNTIF('4月'!AR23:AS23,F$115)+COUNTIF('4月'!AW23:AX23,F$115)+COUNTIF('4月'!BB23:BC23,F$115)+COUNTIF('4月'!BG23:BH23,F$115)+COUNTIF('4月'!BL23:BM23,F$115)+COUNTIF('4月'!BQ23:BR23,F$115)+COUNTIF('4月'!BV23:BW23,F$115)+COUNTIF('4月'!CA23:CB23,F$115)+COUNTIF('4月'!CF23:CG23,F$115)+COUNTIF('4月'!CK23:CL23,F$115)+COUNTIF('4月'!CP23:CQ23,F$115)+COUNTIF('4月'!CU23:CV23,F$115)+COUNTIF('4月'!CZ23:DA23,F$115)+COUNTIF('4月'!DE23:DF23,F$115)+COUNTIF('4月'!DJ23:DK23,F$115)+COUNTIF('4月'!DO23:DP23,F$115)+COUNTIF('4月'!DT23:DU23,F$115)+COUNTIF('4月'!DY23:DZ23,F$115)+COUNTIF('4月'!ED23:EE23,F$115)+COUNTIF('4月'!EI23:EJ23,F$115)+COUNTIF('4月'!EN23:EO23,F$115)+COUNTIF('4月'!ES23:ET23,F$115)</f>
        <v>0</v>
      </c>
      <c r="G136" s="76">
        <f t="shared" si="38"/>
        <v>0</v>
      </c>
      <c r="H136" s="76">
        <f>COUNTIF('4月'!D23:E23,H$115)+COUNTIF('4月'!I23:J23,H$115)+COUNTIF('4月'!N23:O23,H$115)+COUNTIF('4月'!S23:T23,H$115)+COUNTIF('4月'!X23:Y23,H$115)+COUNTIF('4月'!AC23:AD23,H$115)+COUNTIF('4月'!AH23:AI23,H$115)+COUNTIF('4月'!AM23:AN23,H$115)+COUNTIF('4月'!AR23:AS23,H$115)+COUNTIF('4月'!AW23:AX23,H$115)+COUNTIF('4月'!BB23:BC23,H$115)+COUNTIF('4月'!BG23:BH23,H$115)+COUNTIF('4月'!BL23:BM23,H$115)+COUNTIF('4月'!BQ23:BR23,H$115)+COUNTIF('4月'!BV23:BW23,H$115)+COUNTIF('4月'!CA23:CB23,H$115)+COUNTIF('4月'!CF23:CG23,H$115)+COUNTIF('4月'!CK23:CL23,H$115)+COUNTIF('4月'!CP23:CQ23,H$115)+COUNTIF('4月'!CU23:CV23,H$115)+COUNTIF('4月'!CZ23:DA23,H$115)+COUNTIF('4月'!DE23:DF23,H$115)+COUNTIF('4月'!DJ23:DK23,H$115)+COUNTIF('4月'!DO23:DP23,H$115)+COUNTIF('4月'!DT23:DU23,H$115)+COUNTIF('4月'!DY23:DZ23,H$115)+COUNTIF('4月'!ED23:EE23,H$115)+COUNTIF('4月'!EI23:EJ23,H$115)+COUNTIF('4月'!EN23:EO23,H$115)+COUNTIF('4月'!ES23:ET23,H$115)+COUNTIF('4月'!D23:E23,"渋谷-夜勤")+COUNTIF('4月'!I23:J23,"渋谷-夜勤")+COUNTIF('4月'!N23:O23,"渋谷-夜勤")+COUNTIF('4月'!S23:T23,"渋谷-夜勤")+COUNTIF('4月'!X23:Y23,"渋谷-夜勤")+COUNTIF('4月'!AC23:AD23,"渋谷-夜勤")+COUNTIF('4月'!AH23:AI23,"渋谷-夜勤")+COUNTIF('4月'!AM23:AN23,"渋谷-夜勤")+COUNTIF('4月'!AR23:AS23,"渋谷-夜勤")+COUNTIF('4月'!AW23:AX23,"渋谷-夜勤")+COUNTIF('4月'!BB23:BC23,"渋谷-夜勤")+COUNTIF('4月'!BG23:BH23,"渋谷-夜勤")+COUNTIF('4月'!BL23:BM23,"渋谷-夜勤")+COUNTIF('4月'!BQ23:BR23,"渋谷-夜勤")+COUNTIF('4月'!BV23:BW23,"渋谷-夜勤")+COUNTIF('4月'!CA23:CB23,"渋谷-夜勤")+COUNTIF('4月'!CF23:CG23,"渋谷-夜勤")+COUNTIF('4月'!CK23:CL23,"渋谷-夜勤")+COUNTIF('4月'!CP23:CQ23,"渋谷-夜勤")+COUNTIF('4月'!CU23:CV23,"渋谷-夜勤")+COUNTIF('4月'!CZ23:DA23,"渋谷-夜勤")+COUNTIF('4月'!DE23:DF23,"渋谷-夜勤")+COUNTIF('4月'!DJ23:DK23,"渋谷-夜勤")+COUNTIF('4月'!DO23:DP23,"渋谷-夜勤")+COUNTIF('4月'!DT23:DU23,"渋谷-夜勤")+COUNTIF('4月'!DY23:DZ23,"渋谷-夜勤")+COUNTIF('4月'!ED23:EE23,"渋谷-夜勤")+COUNTIF('4月'!EI23:EJ23,"渋谷-夜勤")+COUNTIF('4月'!EN23:EO23,"渋谷-夜勤")+COUNTIF('4月'!ES23:ET23,"渋谷-夜勤")</f>
        <v>0</v>
      </c>
      <c r="I136" s="76">
        <f t="shared" si="39"/>
        <v>0</v>
      </c>
      <c r="J136" s="76">
        <f>COUNTIF('4月'!D23:E23,J$115)+COUNTIF('4月'!I23:J23,J$115)+COUNTIF('4月'!N23:O23,J$115)+COUNTIF('4月'!S23:T23,J$115)+COUNTIF('4月'!X23:Y23,J$115)+COUNTIF('4月'!AC23:AD23,J$115)+COUNTIF('4月'!AH23:AI23,J$115)+COUNTIF('4月'!AM23:AN23,J$115)+COUNTIF('4月'!AR23:AS23,J$115)+COUNTIF('4月'!AW23:AX23,J$115)+COUNTIF('4月'!BB23:BC23,J$115)+COUNTIF('4月'!BG23:BH23,J$115)+COUNTIF('4月'!BL23:BM23,J$115)+COUNTIF('4月'!BQ23:BR23,J$115)+COUNTIF('4月'!BV23:BW23,J$115)+COUNTIF('4月'!CA23:CB23,J$115)+COUNTIF('4月'!CF23:CG23,J$115)+COUNTIF('4月'!CK23:CL23,J$115)+COUNTIF('4月'!CP23:CQ23,J$115)+COUNTIF('4月'!CU23:CV23,J$115)+COUNTIF('4月'!CZ23:DA23,J$115)+COUNTIF('4月'!DE23:DF23,J$115)+COUNTIF('4月'!DJ23:DK23,J$115)+COUNTIF('4月'!DO23:DP23,J$115)+COUNTIF('4月'!DT23:DU23,J$115)+COUNTIF('4月'!DY23:DZ23,J$115)+COUNTIF('4月'!ED23:EE23,J$115)+COUNTIF('4月'!EI23:EJ23,J$115)+COUNTIF('4月'!EN23:EO23,J$115)+COUNTIF('4月'!ES23:ET23,J$115)+COUNTIF('4月'!D23:E23,"六本木-夜勤")+COUNTIF('4月'!I23:J23,"六本木-夜勤")+COUNTIF('4月'!N23:O23,"六本木-夜勤")+COUNTIF('4月'!S23:T23,"六本木-夜勤")+COUNTIF('4月'!X23:Y23,"六本木-夜勤")+COUNTIF('4月'!AC23:AD23,"六本木-夜勤")+COUNTIF('4月'!AH23:AI23,"六本木-夜勤")+COUNTIF('4月'!AM23:AN23,"六本木-夜勤")+COUNTIF('4月'!AR23:AS23,"六本木-夜勤")+COUNTIF('4月'!AW23:AX23,"六本木-夜勤")+COUNTIF('4月'!BB23:BC23,"六本木-夜勤")+COUNTIF('4月'!BG23:BH23,"六本木-夜勤")+COUNTIF('4月'!BL23:BM23,"六本木-夜勤")+COUNTIF('4月'!BQ23:BR23,"六本木-夜勤")+COUNTIF('4月'!BV23:BW23,"六本木-夜勤")+COUNTIF('4月'!CA23:CB23,"六本木-夜勤")+COUNTIF('4月'!CF23:CG23,"六本木-夜勤")+COUNTIF('4月'!CK23:CL23,"六本木-夜勤")+COUNTIF('4月'!CP23:CQ23,"六本木-夜勤")+COUNTIF('4月'!CU23:CV23,"六本木-夜勤")+COUNTIF('4月'!CZ23:DA23,"六本木-夜勤")+COUNTIF('4月'!DE23:DF23,"六本木-夜勤")+COUNTIF('4月'!DJ23:DK23,"六本木-夜勤")+COUNTIF('4月'!DO23:DP23,"六本木-夜勤")+COUNTIF('4月'!DT23:DU23,"六本木-夜勤")+COUNTIF('4月'!DY23:DZ23,"六本木-夜勤")+COUNTIF('4月'!ED23:EE23,"六本木-夜勤")+COUNTIF('4月'!EI23:EJ23,"六本木-夜勤")+COUNTIF('4月'!EN23:EO23,"六本木-夜勤")+COUNTIF('4月'!ES23:ET23,"六本木-夜勤")+COUNTIF('4月'!D23:E23,"六本木ー夜勤")+COUNTIF('4月'!I23:J23,"六本木ー夜勤")+COUNTIF('4月'!N23:O23,"六本木ー夜勤")+COUNTIF('4月'!S23:T23,"六本木ー夜勤")+COUNTIF('4月'!X23:Y23,"六本木ー夜勤")+COUNTIF('4月'!AC23:AD23,"六本木ー夜勤")+COUNTIF('4月'!AH23:AI23,"六本木ー夜勤")+COUNTIF('4月'!AM23:AN23,"六本木ー夜勤")+COUNTIF('4月'!AR23:AS23,"六本木ー夜勤")+COUNTIF('4月'!AW23:AX23,"六本木ー夜勤")+COUNTIF('4月'!BB23:BC23,"六本木ー夜勤")+COUNTIF('4月'!BG23:BH23,"六本木ー夜勤")+COUNTIF('4月'!BL23:BM23,"六本木ー夜勤")+COUNTIF('4月'!BQ23:BR23,"六本木ー夜勤")+COUNTIF('4月'!BV23:BW23,"六本木ー夜勤")+COUNTIF('4月'!CA23:CB23,"六本木ー夜勤")+COUNTIF('4月'!CF23:CG23,"六本木ー夜勤")+COUNTIF('4月'!CK23:CL23,"六本木ー夜勤")+COUNTIF('4月'!CP23:CQ23,"六本木ー夜勤")+COUNTIF('4月'!CU23:CV23,"六本木ー夜勤")+COUNTIF('4月'!CZ23:DA23,"六本木ー夜勤")+COUNTIF('4月'!DE23:DF23,"六本木ー夜勤")+COUNTIF('4月'!DJ23:DK23,"六本木ー夜勤")+COUNTIF('4月'!DO23:DP23,"六本木ー夜勤")+COUNTIF('4月'!DT23:DU23,"六本木ー夜勤")+COUNTIF('4月'!DY23:DZ23,"六本木ー夜勤")+COUNTIF('4月'!ED23:EE23,"六本木ー夜勤")+COUNTIF('4月'!EI23:EJ23,"六本木ー夜勤")+COUNTIF('4月'!EN23:EO23,"六本木ー夜勤")+COUNTIF('4月'!ES23:ET23,"六本木ー夜勤")</f>
        <v>0</v>
      </c>
      <c r="K136" s="76">
        <f t="shared" si="40"/>
        <v>0</v>
      </c>
      <c r="L136" s="76">
        <f>COUNTIF('4月'!D23:E23,L$115)+COUNTIF('4月'!I23:J23,L$115)+COUNTIF('4月'!N23:O23,L$115)+COUNTIF('4月'!S23:T23,L$115)+COUNTIF('4月'!X23:Y23,L$115)+COUNTIF('4月'!AC23:AD23,L$115)+COUNTIF('4月'!AH23:AI23,L$115)+COUNTIF('4月'!AM23:AN23,L$115)+COUNTIF('4月'!AR23:AS23,L$115)+COUNTIF('4月'!AW23:AX23,L$115)+COUNTIF('4月'!BB23:BC23,L$115)+COUNTIF('4月'!BG23:BH23,L$115)+COUNTIF('4月'!BL23:BM23,L$115)+COUNTIF('4月'!BQ23:BR23,L$115)+COUNTIF('4月'!BV23:BW23,L$115)+COUNTIF('4月'!CA23:CB23,L$115)+COUNTIF('4月'!CF23:CG23,L$115)+COUNTIF('4月'!CK23:CL23,L$115)+COUNTIF('4月'!CP23:CQ23,L$115)+COUNTIF('4月'!CU23:CV23,L$115)+COUNTIF('4月'!CZ23:DA23,L$115)+COUNTIF('4月'!DE23:DF23,L$115)+COUNTIF('4月'!DJ23:DK23,L$115)+COUNTIF('4月'!DO23:DP23,L$115)+COUNTIF('4月'!DT23:DU23,L$115)+COUNTIF('4月'!DY23:DZ23,L$115)+COUNTIF('4月'!ED23:EE23,L$115)+COUNTIF('4月'!EI23:EJ23,L$115)+COUNTIF('4月'!EN23:EO23,L$115)+COUNTIF('4月'!ES23:ET23,L$115)</f>
        <v>0</v>
      </c>
      <c r="M136" s="76">
        <f t="shared" si="41"/>
        <v>0</v>
      </c>
      <c r="N136" s="76">
        <f>COUNTIF('4月'!D23:E23,N$115)+COUNTIF('4月'!I23:J23,N$115)+COUNTIF('4月'!N23:O23,N$115)+COUNTIF('4月'!S23:T23,N$115)+COUNTIF('4月'!X23:Y23,N$115)+COUNTIF('4月'!AC23:AD23,N$115)+COUNTIF('4月'!AH23:AI23,N$115)+COUNTIF('4月'!AM23:AN23,N$115)+COUNTIF('4月'!AR23:AS23,N$115)+COUNTIF('4月'!AW23:AX23,N$115)+COUNTIF('4月'!BB23:BC23,N$115)+COUNTIF('4月'!BG23:BH23,N$115)+COUNTIF('4月'!BL23:BM23,N$115)+COUNTIF('4月'!BQ23:BR23,N$115)+COUNTIF('4月'!BV23:BW23,N$115)+COUNTIF('4月'!CA23:CB23,N$115)+COUNTIF('4月'!CF23:CG23,N$115)+COUNTIF('4月'!CK23:CL23,N$115)+COUNTIF('4月'!CP23:CQ23,N$115)+COUNTIF('4月'!CU23:CV23,N$115)+COUNTIF('4月'!CZ23:DA23,N$115)+COUNTIF('4月'!DE23:DF23,N$115)+COUNTIF('4月'!DJ23:DK23,N$115)+COUNTIF('4月'!DO23:DP23,N$115)+COUNTIF('4月'!DT23:DU23,N$115)+COUNTIF('4月'!DY23:DZ23,N$115)+COUNTIF('4月'!ED23:EE23,N$115)+COUNTIF('4月'!EI23:EJ23,N$115)+COUNTIF('4月'!EN23:EO23,N$115)+COUNTIF('4月'!ES23:ET23,N$115)+COUNTIF('4月'!D23:E23,"三軒茶屋－夜勤")+COUNTIF('4月'!I23:J23,"三軒茶屋－夜勤")+COUNTIF('4月'!N23:O23,"三軒茶屋－夜勤")+COUNTIF('4月'!S23:T23,"三軒茶屋－夜勤")+COUNTIF('4月'!X23:Y23,"三軒茶屋－夜勤")+COUNTIF('4月'!AC23:AD23,"三軒茶屋－夜勤")+COUNTIF('4月'!AH23:AI23,"三軒茶屋－夜勤")+COUNTIF('4月'!AM23:AN23,"三軒茶屋－夜勤")+COUNTIF('4月'!AR23:AS23,"三軒茶屋－夜勤")+COUNTIF('4月'!AW23:AX23,"三軒茶屋－夜勤")+COUNTIF('4月'!BB23:BC23,"三軒茶屋－夜勤")+COUNTIF('4月'!BG23:BH23,"三軒茶屋－夜勤")+COUNTIF('4月'!BL23:BM23,"三軒茶屋－夜勤")+COUNTIF('4月'!BQ23:BR23,"三軒茶屋－夜勤")+COUNTIF('4月'!BV23:BW23,"三軒茶屋－夜勤")+COUNTIF('4月'!CA23:CB23,"三軒茶屋－夜勤")+COUNTIF('4月'!CF23:CG23,"三軒茶屋－夜勤")+COUNTIF('4月'!CK23:CL23,"三軒茶屋－夜勤")+COUNTIF('4月'!CP23:CQ23,"三軒茶屋－夜勤")+COUNTIF('4月'!CU23:CV23,"三軒茶屋－夜勤")+COUNTIF('4月'!CZ23:DA23,"三軒茶屋－夜勤")+COUNTIF('4月'!DE23:DF23,"三軒茶屋－夜勤")+COUNTIF('4月'!DJ23:DK23,"三軒茶屋－夜勤")+COUNTIF('4月'!DO23:DP23,"三軒茶屋－夜勤")+COUNTIF('4月'!DT23:DU23,"三軒茶屋－夜勤")+COUNTIF('4月'!DY23:DZ23,"三軒茶屋－夜勤")+COUNTIF('4月'!ED23:EE23,"三軒茶屋－夜勤")+COUNTIF('4月'!EI23:EJ23,"三軒茶屋－夜勤")+COUNTIF('4月'!EN23:EO23,"三軒茶屋－夜勤")+COUNTIF('4月'!ES23:ET23,"三軒茶屋－夜勤")</f>
        <v>0</v>
      </c>
      <c r="O136" s="76">
        <f t="shared" si="42"/>
        <v>0</v>
      </c>
      <c r="P136" s="76">
        <f>COUNTIF('4月'!D23:E23,P$115)+COUNTIF('4月'!I23:J23,P$115)+COUNTIF('4月'!N23:O23,P$115)+COUNTIF('4月'!S23:T23,P$115)+COUNTIF('4月'!X23:Y23,P$115)+COUNTIF('4月'!AC23:AD23,P$115)+COUNTIF('4月'!AH23:AI23,P$115)+COUNTIF('4月'!AM23:AN23,P$115)+COUNTIF('4月'!AR23:AS23,P$115)+COUNTIF('4月'!AW23:AX23,P$115)+COUNTIF('4月'!BB23:BC23,P$115)+COUNTIF('4月'!BG23:BH23,P$115)+COUNTIF('4月'!BL23:BM23,P$115)+COUNTIF('4月'!BQ23:BR23,P$115)+COUNTIF('4月'!BV23:BW23,P$115)+COUNTIF('4月'!CA23:CB23,P$115)+COUNTIF('4月'!CF23:CG23,P$115)+COUNTIF('4月'!CK23:CL23,P$115)+COUNTIF('4月'!CP23:CQ23,P$115)+COUNTIF('4月'!CU23:CV23,P$115)+COUNTIF('4月'!CZ23:DA23,P$115)+COUNTIF('4月'!DE23:DF23,P$115)+COUNTIF('4月'!DJ23:DK23,P$115)+COUNTIF('4月'!DO23:DP23,P$115)+COUNTIF('4月'!DT23:DU23,P$115)+COUNTIF('4月'!DY23:DZ23,P$115)+COUNTIF('4月'!ED23:EE23,P$115)+COUNTIF('4月'!EI23:EJ23,P$115)+COUNTIF('4月'!EN23:EO23,P$115)+COUNTIF('4月'!ES23:ET23,P$115)+COUNTIF('4月'!D23:E23,"荻窪ー夜勤")+COUNTIF('4月'!I23:J23,"荻窪ー夜勤")+COUNTIF('4月'!N23:O23,"荻窪ー夜勤")+COUNTIF('4月'!S23:T23,"荻窪ー夜勤")+COUNTIF('4月'!X23:Y23,"荻窪ー夜勤")+COUNTIF('4月'!AC23:AD23,"荻窪ー夜勤")+COUNTIF('4月'!AH23:AI23,"荻窪ー夜勤")+COUNTIF('4月'!AM23:AN23,"荻窪ー夜勤")+COUNTIF('4月'!AR23:AS23,"荻窪ー夜勤")+COUNTIF('4月'!AW23:AX23,"荻窪ー夜勤")+COUNTIF('4月'!BB23:BC23,"荻窪ー夜勤")+COUNTIF('4月'!BG23:BH23,"荻窪ー夜勤")+COUNTIF('4月'!BL23:BM23,"荻窪ー夜勤")+COUNTIF('4月'!BQ23:BR23,"荻窪ー夜勤")+COUNTIF('4月'!BV23:BW23,"荻窪ー夜勤")+COUNTIF('4月'!CA23:CB23,"荻窪ー夜勤")+COUNTIF('4月'!CF23:CG23,"荻窪ー夜勤")+COUNTIF('4月'!CK23:CL23,"荻窪ー夜勤")+COUNTIF('4月'!CP23:CQ23,"荻窪ー夜勤")+COUNTIF('4月'!CU23:CV23,"荻窪ー夜勤")+COUNTIF('4月'!CZ23:DA23,"荻窪ー夜勤")+COUNTIF('4月'!DE23:DF23,"荻窪ー夜勤")+COUNTIF('4月'!DJ23:DK23,"荻窪ー夜勤")+COUNTIF('4月'!DO23:DP23,"荻窪ー夜勤")+COUNTIF('4月'!DT23:DU23,"荻窪ー夜勤")+COUNTIF('4月'!DY23:DZ23,"荻窪ー夜勤")+COUNTIF('4月'!ED23:EE23,"荻窪ー夜勤")+COUNTIF('4月'!EI23:EJ23,"荻窪ー夜勤")+COUNTIF('4月'!EN23:EO23,"荻窪ー夜勤")+COUNTIF('4月'!ES23:ET23,"荻窪ー夜勤")</f>
        <v>0</v>
      </c>
      <c r="Q136" s="76">
        <f t="shared" si="43"/>
        <v>0</v>
      </c>
      <c r="R136" s="76">
        <f>COUNTIF('4月'!D23:E23,R$115)+COUNTIF('4月'!I23:J23,R$115)+COUNTIF('4月'!N23:O23,R$115)+COUNTIF('4月'!S23:T23,R$115)+COUNTIF('4月'!X23:Y23,R$115)+COUNTIF('4月'!AC23:AD23,R$115)+COUNTIF('4月'!AH23:AI23,R$115)+COUNTIF('4月'!AM23:AN23,R$115)+COUNTIF('4月'!AR23:AS23,R$115)+COUNTIF('4月'!AW23:AX23,R$115)+COUNTIF('4月'!BB23:BC23,R$115)+COUNTIF('4月'!BG23:BH23,R$115)+COUNTIF('4月'!BL23:BM23,R$115)+COUNTIF('4月'!BQ23:BR23,R$115)+COUNTIF('4月'!BV23:BW23,R$115)+COUNTIF('4月'!CA23:CB23,R$115)+COUNTIF('4月'!CF23:CG23,R$115)+COUNTIF('4月'!CK23:CL23,R$115)+COUNTIF('4月'!CP23:CQ23,R$115)+COUNTIF('4月'!CU23:CV23,R$115)+COUNTIF('4月'!CZ23:DA23,R$115)+COUNTIF('4月'!DE23:DF23,R$115)+COUNTIF('4月'!DJ23:DK23,R$115)+COUNTIF('4月'!DO23:DP23,R$115)+COUNTIF('4月'!DT23:DU23,R$115)+COUNTIF('4月'!DY23:DZ23,R$115)+COUNTIF('4月'!ED23:EE23,R$115)+COUNTIF('4月'!EI23:EJ23,R$115)+COUNTIF('4月'!EN23:EO23,R$115)+COUNTIF('4月'!ES23:ET23,R$115)</f>
        <v>0</v>
      </c>
      <c r="S136" s="76">
        <f t="shared" si="44"/>
        <v>0</v>
      </c>
      <c r="T136" s="76">
        <f>COUNTIF('4月'!D23:E23,T$115)+COUNTIF('4月'!I23:J23,T$115)+COUNTIF('4月'!N23:O23,T$115)+COUNTIF('4月'!S23:T23,T$115)+COUNTIF('4月'!X23:Y23,T$115)+COUNTIF('4月'!AC23:AD23,T$115)+COUNTIF('4月'!AH23:AI23,T$115)+COUNTIF('4月'!AM23:AN23,T$115)+COUNTIF('4月'!AR23:AS23,T$115)+COUNTIF('4月'!AW23:AX23,T$115)+COUNTIF('4月'!BB23:BC23,T$115)+COUNTIF('4月'!BG23:BH23,T$115)+COUNTIF('4月'!BL23:BM23,T$115)+COUNTIF('4月'!BQ23:BR23,T$115)+COUNTIF('4月'!BV23:BW23,T$115)+COUNTIF('4月'!CA23:CB23,T$115)+COUNTIF('4月'!CF23:CG23,T$115)+COUNTIF('4月'!CK23:CL23,T$115)+COUNTIF('4月'!CP23:CQ23,T$115)+COUNTIF('4月'!CU23:CV23,T$115)+COUNTIF('4月'!CZ23:DA23,T$115)+COUNTIF('4月'!DE23:DF23,T$115)+COUNTIF('4月'!DJ23:DK23,T$115)+COUNTIF('4月'!DO23:DP23,T$115)+COUNTIF('4月'!DT23:DU23,T$115)+COUNTIF('4月'!DY23:DZ23,T$115)+COUNTIF('4月'!ED23:EE23,T$115)+COUNTIF('4月'!EI23:EJ23,T$115)+COUNTIF('4月'!EN23:EO23,T$115)+COUNTIF('4月'!ES23:ET23,T$115)</f>
        <v>0</v>
      </c>
      <c r="U136" s="76">
        <f t="shared" si="45"/>
        <v>0</v>
      </c>
      <c r="V136" s="76">
        <f>COUNTIF('4月'!D23:E23,V$115)+COUNTIF('4月'!I23:J23,V$115)+COUNTIF('4月'!N23:O23,V$115)+COUNTIF('4月'!S23:T23,V$115)+COUNTIF('4月'!X23:Y23,V$115)+COUNTIF('4月'!AC23:AD23,V$115)+COUNTIF('4月'!AH23:AI23,V$115)+COUNTIF('4月'!AM23:AN23,V$115)+COUNTIF('4月'!AR23:AS23,V$115)+COUNTIF('4月'!AW23:AX23,V$115)+COUNTIF('4月'!BB23:BC23,V$115)+COUNTIF('4月'!BG23:BH23,V$115)+COUNTIF('4月'!BL23:BM23,V$115)+COUNTIF('4月'!BQ23:BR23,V$115)+COUNTIF('4月'!BV23:BW23,V$115)+COUNTIF('4月'!CA23:CB23,V$115)+COUNTIF('4月'!CF23:CG23,V$115)+COUNTIF('4月'!CK23:CL23,V$115)+COUNTIF('4月'!CP23:CQ23,V$115)+COUNTIF('4月'!CU23:CV23,V$115)+COUNTIF('4月'!CZ23:DA23,V$115)+COUNTIF('4月'!DE23:DF23,V$115)+COUNTIF('4月'!DJ23:DK23,V$115)+COUNTIF('4月'!DO23:DP23,V$115)+COUNTIF('4月'!DT23:DU23,V$115)+COUNTIF('4月'!DY23:DZ23,V$115)+COUNTIF('4月'!ED23:EE23,V$115)+COUNTIF('4月'!EI23:EJ23,V$115)+COUNTIF('4月'!EN23:EO23,V$115)+COUNTIF('4月'!ES23:ET23,V$115)</f>
        <v>0</v>
      </c>
      <c r="W136" s="76">
        <f t="shared" si="46"/>
        <v>0</v>
      </c>
      <c r="X136" s="76">
        <f>COUNTIF('4月'!D23:E23,X$115)+COUNTIF('4月'!I23:J23,X$115)+COUNTIF('4月'!N23:O23,X$115)+COUNTIF('4月'!S23:T23,X$115)+COUNTIF('4月'!X23:Y23,X$115)+COUNTIF('4月'!AC23:AD23,X$115)+COUNTIF('4月'!AH23:AI23,X$115)+COUNTIF('4月'!AM23:AN23,X$115)+COUNTIF('4月'!AR23:AS23,X$115)+COUNTIF('4月'!AW23:AX23,X$115)+COUNTIF('4月'!BB23:BC23,X$115)+COUNTIF('4月'!BG23:BH23,X$115)+COUNTIF('4月'!BL23:BM23,X$115)+COUNTIF('4月'!BQ23:BR23,X$115)+COUNTIF('4月'!BV23:BW23,X$115)+COUNTIF('4月'!CA23:CB23,X$115)+COUNTIF('4月'!CF23:CG23,X$115)+COUNTIF('4月'!CK23:CL23,X$115)+COUNTIF('4月'!CP23:CQ23,X$115)+COUNTIF('4月'!CU23:CV23,X$115)+COUNTIF('4月'!CZ23:DA23,X$115)+COUNTIF('4月'!DE23:DF23,X$115)+COUNTIF('4月'!DJ23:DK23,X$115)+COUNTIF('4月'!DO23:DP23,X$115)+COUNTIF('4月'!DT23:DU23,X$115)+COUNTIF('4月'!DY23:DZ23,X$115)+COUNTIF('4月'!ED23:EE23,X$115)+COUNTIF('4月'!EI23:EJ23,X$115)+COUNTIF('4月'!EN23:EO23,X$115)+COUNTIF('4月'!ES23:ET23,X$115)</f>
        <v>0</v>
      </c>
      <c r="Y136" s="76">
        <f t="shared" si="47"/>
        <v>0</v>
      </c>
    </row>
    <row r="137" spans="1:25" ht="18" customHeight="1">
      <c r="A137" s="76">
        <v>21</v>
      </c>
      <c r="B137" s="76">
        <f>COUNTIF('4月'!D24:E24,B$115)+COUNTIF('4月'!I24:J24,B$115)+COUNTIF('4月'!N24:O24,B$115)+COUNTIF('4月'!S24:T24,B$115)+COUNTIF('4月'!X24:Y24,B$115)+COUNTIF('4月'!AC24:AD24,B$115)+COUNTIF('4月'!AH24:AI24,B$115)+COUNTIF('4月'!AM24:AN24,B$115)+COUNTIF('4月'!AR24:AS24,B$115)+COUNTIF('4月'!AW24:AX24,B$115)+COUNTIF('4月'!BB24:BC24,B$115)+COUNTIF('4月'!BG24:BH24,B$115)+COUNTIF('4月'!BL24:BM24,B$115)+COUNTIF('4月'!BQ24:BR24,B$115)+COUNTIF('4月'!BV24:BW24,B$115)+COUNTIF('4月'!CA24:CB24,B$115)+COUNTIF('4月'!CF24:CG24,B$115)+COUNTIF('4月'!CK24:CL24,B$115)+COUNTIF('4月'!CP24:CQ24,B$115)+COUNTIF('4月'!CU24:CV24,B$115)+COUNTIF('4月'!CZ24:DA24,B$115)+COUNTIF('4月'!DE24:DF24,B$115)+COUNTIF('4月'!DJ24:DK24,B$115)+COUNTIF('4月'!DO24:DP24,B$115)+COUNTIF('4月'!DT24:DU24,B$115)+COUNTIF('4月'!DY24:DZ24,B$115)+COUNTIF('4月'!ED24:EE24,B$115)+COUNTIF('4月'!EI24:EJ24,B$115)+COUNTIF('4月'!EN24:EO24,B$115)+COUNTIF('4月'!ES24:ET24,B$115)</f>
        <v>0</v>
      </c>
      <c r="C137" s="76">
        <f t="shared" si="36"/>
        <v>0</v>
      </c>
      <c r="D137" s="76">
        <f>COUNTIF('4月'!D24:E24,D$115)+COUNTIF('4月'!I24:J24,D$115)+COUNTIF('4月'!N24:O24,D$115)+COUNTIF('4月'!S24:T24,D$115)+COUNTIF('4月'!X24:Y24,D$115)+COUNTIF('4月'!AC24:AD24,D$115)+COUNTIF('4月'!AH24:AI24,D$115)+COUNTIF('4月'!AM24:AN24,D$115)+COUNTIF('4月'!AR24:AS24,D$115)+COUNTIF('4月'!AW24:AX24,D$115)+COUNTIF('4月'!BB24:BC24,D$115)+COUNTIF('4月'!BG24:BH24,D$115)+COUNTIF('4月'!BL24:BM24,D$115)+COUNTIF('4月'!BQ24:BR24,D$115)+COUNTIF('4月'!BV24:BW24,D$115)+COUNTIF('4月'!CA24:CB24,D$115)+COUNTIF('4月'!CF24:CG24,D$115)+COUNTIF('4月'!CK24:CL24,D$115)+COUNTIF('4月'!CP24:CQ24,D$115)+COUNTIF('4月'!CU24:CV24,D$115)+COUNTIF('4月'!CZ24:DA24,D$115)+COUNTIF('4月'!DE24:DF24,D$115)+COUNTIF('4月'!DJ24:DK24,D$115)+COUNTIF('4月'!DO24:DP24,D$115)+COUNTIF('4月'!DT24:DU24,D$115)+COUNTIF('4月'!DY24:DZ24,D$115)+COUNTIF('4月'!ED24:EE24,D$115)+COUNTIF('4月'!EI24:EJ24,D$115)+COUNTIF('4月'!EN24:EO24,D$115)+COUNTIF('4月'!ES24:ET24,D$115)</f>
        <v>0</v>
      </c>
      <c r="E137" s="76">
        <f t="shared" si="37"/>
        <v>0</v>
      </c>
      <c r="F137" s="76">
        <f>COUNTIF('4月'!D24:E24,F$115)+COUNTIF('4月'!I24:J24,F$115)+COUNTIF('4月'!N24:O24,F$115)+COUNTIF('4月'!S24:T24,F$115)+COUNTIF('4月'!X24:Y24,F$115)+COUNTIF('4月'!AC24:AD24,F$115)+COUNTIF('4月'!AH24:AI24,F$115)+COUNTIF('4月'!AM24:AN24,F$115)+COUNTIF('4月'!AR24:AS24,F$115)+COUNTIF('4月'!AW24:AX24,F$115)+COUNTIF('4月'!BB24:BC24,F$115)+COUNTIF('4月'!BG24:BH24,F$115)+COUNTIF('4月'!BL24:BM24,F$115)+COUNTIF('4月'!BQ24:BR24,F$115)+COUNTIF('4月'!BV24:BW24,F$115)+COUNTIF('4月'!CA24:CB24,F$115)+COUNTIF('4月'!CF24:CG24,F$115)+COUNTIF('4月'!CK24:CL24,F$115)+COUNTIF('4月'!CP24:CQ24,F$115)+COUNTIF('4月'!CU24:CV24,F$115)+COUNTIF('4月'!CZ24:DA24,F$115)+COUNTIF('4月'!DE24:DF24,F$115)+COUNTIF('4月'!DJ24:DK24,F$115)+COUNTIF('4月'!DO24:DP24,F$115)+COUNTIF('4月'!DT24:DU24,F$115)+COUNTIF('4月'!DY24:DZ24,F$115)+COUNTIF('4月'!ED24:EE24,F$115)+COUNTIF('4月'!EI24:EJ24,F$115)+COUNTIF('4月'!EN24:EO24,F$115)+COUNTIF('4月'!ES24:ET24,F$115)</f>
        <v>0</v>
      </c>
      <c r="G137" s="76">
        <f t="shared" si="38"/>
        <v>0</v>
      </c>
      <c r="H137" s="76">
        <f>COUNTIF('4月'!D24:E24,H$115)+COUNTIF('4月'!I24:J24,H$115)+COUNTIF('4月'!N24:O24,H$115)+COUNTIF('4月'!S24:T24,H$115)+COUNTIF('4月'!X24:Y24,H$115)+COUNTIF('4月'!AC24:AD24,H$115)+COUNTIF('4月'!AH24:AI24,H$115)+COUNTIF('4月'!AM24:AN24,H$115)+COUNTIF('4月'!AR24:AS24,H$115)+COUNTIF('4月'!AW24:AX24,H$115)+COUNTIF('4月'!BB24:BC24,H$115)+COUNTIF('4月'!BG24:BH24,H$115)+COUNTIF('4月'!BL24:BM24,H$115)+COUNTIF('4月'!BQ24:BR24,H$115)+COUNTIF('4月'!BV24:BW24,H$115)+COUNTIF('4月'!CA24:CB24,H$115)+COUNTIF('4月'!CF24:CG24,H$115)+COUNTIF('4月'!CK24:CL24,H$115)+COUNTIF('4月'!CP24:CQ24,H$115)+COUNTIF('4月'!CU24:CV24,H$115)+COUNTIF('4月'!CZ24:DA24,H$115)+COUNTIF('4月'!DE24:DF24,H$115)+COUNTIF('4月'!DJ24:DK24,H$115)+COUNTIF('4月'!DO24:DP24,H$115)+COUNTIF('4月'!DT24:DU24,H$115)+COUNTIF('4月'!DY24:DZ24,H$115)+COUNTIF('4月'!ED24:EE24,H$115)+COUNTIF('4月'!EI24:EJ24,H$115)+COUNTIF('4月'!EN24:EO24,H$115)+COUNTIF('4月'!ES24:ET24,H$115)+COUNTIF('4月'!D24:E24,"渋谷-夜勤")+COUNTIF('4月'!I24:J24,"渋谷-夜勤")+COUNTIF('4月'!N24:O24,"渋谷-夜勤")+COUNTIF('4月'!S24:T24,"渋谷-夜勤")+COUNTIF('4月'!X24:Y24,"渋谷-夜勤")+COUNTIF('4月'!AC24:AD24,"渋谷-夜勤")+COUNTIF('4月'!AH24:AI24,"渋谷-夜勤")+COUNTIF('4月'!AM24:AN24,"渋谷-夜勤")+COUNTIF('4月'!AR24:AS24,"渋谷-夜勤")+COUNTIF('4月'!AW24:AX24,"渋谷-夜勤")+COUNTIF('4月'!BB24:BC24,"渋谷-夜勤")+COUNTIF('4月'!BG24:BH24,"渋谷-夜勤")+COUNTIF('4月'!BL24:BM24,"渋谷-夜勤")+COUNTIF('4月'!BQ24:BR24,"渋谷-夜勤")+COUNTIF('4月'!BV24:BW24,"渋谷-夜勤")+COUNTIF('4月'!CA24:CB24,"渋谷-夜勤")+COUNTIF('4月'!CF24:CG24,"渋谷-夜勤")+COUNTIF('4月'!CK24:CL24,"渋谷-夜勤")+COUNTIF('4月'!CP24:CQ24,"渋谷-夜勤")+COUNTIF('4月'!CU24:CV24,"渋谷-夜勤")+COUNTIF('4月'!CZ24:DA24,"渋谷-夜勤")+COUNTIF('4月'!DE24:DF24,"渋谷-夜勤")+COUNTIF('4月'!DJ24:DK24,"渋谷-夜勤")+COUNTIF('4月'!DO24:DP24,"渋谷-夜勤")+COUNTIF('4月'!DT24:DU24,"渋谷-夜勤")+COUNTIF('4月'!DY24:DZ24,"渋谷-夜勤")+COUNTIF('4月'!ED24:EE24,"渋谷-夜勤")+COUNTIF('4月'!EI24:EJ24,"渋谷-夜勤")+COUNTIF('4月'!EN24:EO24,"渋谷-夜勤")+COUNTIF('4月'!ES24:ET24,"渋谷-夜勤")</f>
        <v>0</v>
      </c>
      <c r="I137" s="76">
        <f t="shared" si="39"/>
        <v>0</v>
      </c>
      <c r="J137" s="76">
        <f>COUNTIF('4月'!D24:E24,J$115)+COUNTIF('4月'!I24:J24,J$115)+COUNTIF('4月'!N24:O24,J$115)+COUNTIF('4月'!S24:T24,J$115)+COUNTIF('4月'!X24:Y24,J$115)+COUNTIF('4月'!AC24:AD24,J$115)+COUNTIF('4月'!AH24:AI24,J$115)+COUNTIF('4月'!AM24:AN24,J$115)+COUNTIF('4月'!AR24:AS24,J$115)+COUNTIF('4月'!AW24:AX24,J$115)+COUNTIF('4月'!BB24:BC24,J$115)+COUNTIF('4月'!BG24:BH24,J$115)+COUNTIF('4月'!BL24:BM24,J$115)+COUNTIF('4月'!BQ24:BR24,J$115)+COUNTIF('4月'!BV24:BW24,J$115)+COUNTIF('4月'!CA24:CB24,J$115)+COUNTIF('4月'!CF24:CG24,J$115)+COUNTIF('4月'!CK24:CL24,J$115)+COUNTIF('4月'!CP24:CQ24,J$115)+COUNTIF('4月'!CU24:CV24,J$115)+COUNTIF('4月'!CZ24:DA24,J$115)+COUNTIF('4月'!DE24:DF24,J$115)+COUNTIF('4月'!DJ24:DK24,J$115)+COUNTIF('4月'!DO24:DP24,J$115)+COUNTIF('4月'!DT24:DU24,J$115)+COUNTIF('4月'!DY24:DZ24,J$115)+COUNTIF('4月'!ED24:EE24,J$115)+COUNTIF('4月'!EI24:EJ24,J$115)+COUNTIF('4月'!EN24:EO24,J$115)+COUNTIF('4月'!ES24:ET24,J$115)+COUNTIF('4月'!D24:E24,"六本木-夜勤")+COUNTIF('4月'!I24:J24,"六本木-夜勤")+COUNTIF('4月'!N24:O24,"六本木-夜勤")+COUNTIF('4月'!S24:T24,"六本木-夜勤")+COUNTIF('4月'!X24:Y24,"六本木-夜勤")+COUNTIF('4月'!AC24:AD24,"六本木-夜勤")+COUNTIF('4月'!AH24:AI24,"六本木-夜勤")+COUNTIF('4月'!AM24:AN24,"六本木-夜勤")+COUNTIF('4月'!AR24:AS24,"六本木-夜勤")+COUNTIF('4月'!AW24:AX24,"六本木-夜勤")+COUNTIF('4月'!BB24:BC24,"六本木-夜勤")+COUNTIF('4月'!BG24:BH24,"六本木-夜勤")+COUNTIF('4月'!BL24:BM24,"六本木-夜勤")+COUNTIF('4月'!BQ24:BR24,"六本木-夜勤")+COUNTIF('4月'!BV24:BW24,"六本木-夜勤")+COUNTIF('4月'!CA24:CB24,"六本木-夜勤")+COUNTIF('4月'!CF24:CG24,"六本木-夜勤")+COUNTIF('4月'!CK24:CL24,"六本木-夜勤")+COUNTIF('4月'!CP24:CQ24,"六本木-夜勤")+COUNTIF('4月'!CU24:CV24,"六本木-夜勤")+COUNTIF('4月'!CZ24:DA24,"六本木-夜勤")+COUNTIF('4月'!DE24:DF24,"六本木-夜勤")+COUNTIF('4月'!DJ24:DK24,"六本木-夜勤")+COUNTIF('4月'!DO24:DP24,"六本木-夜勤")+COUNTIF('4月'!DT24:DU24,"六本木-夜勤")+COUNTIF('4月'!DY24:DZ24,"六本木-夜勤")+COUNTIF('4月'!ED24:EE24,"六本木-夜勤")+COUNTIF('4月'!EI24:EJ24,"六本木-夜勤")+COUNTIF('4月'!EN24:EO24,"六本木-夜勤")+COUNTIF('4月'!ES24:ET24,"六本木-夜勤")+COUNTIF('4月'!D24:E24,"六本木ー夜勤")+COUNTIF('4月'!I24:J24,"六本木ー夜勤")+COUNTIF('4月'!N24:O24,"六本木ー夜勤")+COUNTIF('4月'!S24:T24,"六本木ー夜勤")+COUNTIF('4月'!X24:Y24,"六本木ー夜勤")+COUNTIF('4月'!AC24:AD24,"六本木ー夜勤")+COUNTIF('4月'!AH24:AI24,"六本木ー夜勤")+COUNTIF('4月'!AM24:AN24,"六本木ー夜勤")+COUNTIF('4月'!AR24:AS24,"六本木ー夜勤")+COUNTIF('4月'!AW24:AX24,"六本木ー夜勤")+COUNTIF('4月'!BB24:BC24,"六本木ー夜勤")+COUNTIF('4月'!BG24:BH24,"六本木ー夜勤")+COUNTIF('4月'!BL24:BM24,"六本木ー夜勤")+COUNTIF('4月'!BQ24:BR24,"六本木ー夜勤")+COUNTIF('4月'!BV24:BW24,"六本木ー夜勤")+COUNTIF('4月'!CA24:CB24,"六本木ー夜勤")+COUNTIF('4月'!CF24:CG24,"六本木ー夜勤")+COUNTIF('4月'!CK24:CL24,"六本木ー夜勤")+COUNTIF('4月'!CP24:CQ24,"六本木ー夜勤")+COUNTIF('4月'!CU24:CV24,"六本木ー夜勤")+COUNTIF('4月'!CZ24:DA24,"六本木ー夜勤")+COUNTIF('4月'!DE24:DF24,"六本木ー夜勤")+COUNTIF('4月'!DJ24:DK24,"六本木ー夜勤")+COUNTIF('4月'!DO24:DP24,"六本木ー夜勤")+COUNTIF('4月'!DT24:DU24,"六本木ー夜勤")+COUNTIF('4月'!DY24:DZ24,"六本木ー夜勤")+COUNTIF('4月'!ED24:EE24,"六本木ー夜勤")+COUNTIF('4月'!EI24:EJ24,"六本木ー夜勤")+COUNTIF('4月'!EN24:EO24,"六本木ー夜勤")+COUNTIF('4月'!ES24:ET24,"六本木ー夜勤")</f>
        <v>0</v>
      </c>
      <c r="K137" s="76">
        <f t="shared" si="40"/>
        <v>0</v>
      </c>
      <c r="L137" s="76">
        <f>COUNTIF('4月'!D24:E24,L$115)+COUNTIF('4月'!I24:J24,L$115)+COUNTIF('4月'!N24:O24,L$115)+COUNTIF('4月'!S24:T24,L$115)+COUNTIF('4月'!X24:Y24,L$115)+COUNTIF('4月'!AC24:AD24,L$115)+COUNTIF('4月'!AH24:AI24,L$115)+COUNTIF('4月'!AM24:AN24,L$115)+COUNTIF('4月'!AR24:AS24,L$115)+COUNTIF('4月'!AW24:AX24,L$115)+COUNTIF('4月'!BB24:BC24,L$115)+COUNTIF('4月'!BG24:BH24,L$115)+COUNTIF('4月'!BL24:BM24,L$115)+COUNTIF('4月'!BQ24:BR24,L$115)+COUNTIF('4月'!BV24:BW24,L$115)+COUNTIF('4月'!CA24:CB24,L$115)+COUNTIF('4月'!CF24:CG24,L$115)+COUNTIF('4月'!CK24:CL24,L$115)+COUNTIF('4月'!CP24:CQ24,L$115)+COUNTIF('4月'!CU24:CV24,L$115)+COUNTIF('4月'!CZ24:DA24,L$115)+COUNTIF('4月'!DE24:DF24,L$115)+COUNTIF('4月'!DJ24:DK24,L$115)+COUNTIF('4月'!DO24:DP24,L$115)+COUNTIF('4月'!DT24:DU24,L$115)+COUNTIF('4月'!DY24:DZ24,L$115)+COUNTIF('4月'!ED24:EE24,L$115)+COUNTIF('4月'!EI24:EJ24,L$115)+COUNTIF('4月'!EN24:EO24,L$115)+COUNTIF('4月'!ES24:ET24,L$115)</f>
        <v>0</v>
      </c>
      <c r="M137" s="76">
        <f t="shared" si="41"/>
        <v>0</v>
      </c>
      <c r="N137" s="76">
        <f>COUNTIF('4月'!D24:E24,N$115)+COUNTIF('4月'!I24:J24,N$115)+COUNTIF('4月'!N24:O24,N$115)+COUNTIF('4月'!S24:T24,N$115)+COUNTIF('4月'!X24:Y24,N$115)+COUNTIF('4月'!AC24:AD24,N$115)+COUNTIF('4月'!AH24:AI24,N$115)+COUNTIF('4月'!AM24:AN24,N$115)+COUNTIF('4月'!AR24:AS24,N$115)+COUNTIF('4月'!AW24:AX24,N$115)+COUNTIF('4月'!BB24:BC24,N$115)+COUNTIF('4月'!BG24:BH24,N$115)+COUNTIF('4月'!BL24:BM24,N$115)+COUNTIF('4月'!BQ24:BR24,N$115)+COUNTIF('4月'!BV24:BW24,N$115)+COUNTIF('4月'!CA24:CB24,N$115)+COUNTIF('4月'!CF24:CG24,N$115)+COUNTIF('4月'!CK24:CL24,N$115)+COUNTIF('4月'!CP24:CQ24,N$115)+COUNTIF('4月'!CU24:CV24,N$115)+COUNTIF('4月'!CZ24:DA24,N$115)+COUNTIF('4月'!DE24:DF24,N$115)+COUNTIF('4月'!DJ24:DK24,N$115)+COUNTIF('4月'!DO24:DP24,N$115)+COUNTIF('4月'!DT24:DU24,N$115)+COUNTIF('4月'!DY24:DZ24,N$115)+COUNTIF('4月'!ED24:EE24,N$115)+COUNTIF('4月'!EI24:EJ24,N$115)+COUNTIF('4月'!EN24:EO24,N$115)+COUNTIF('4月'!ES24:ET24,N$115)+COUNTIF('4月'!D24:E24,"三軒茶屋－夜勤")+COUNTIF('4月'!I24:J24,"三軒茶屋－夜勤")+COUNTIF('4月'!N24:O24,"三軒茶屋－夜勤")+COUNTIF('4月'!S24:T24,"三軒茶屋－夜勤")+COUNTIF('4月'!X24:Y24,"三軒茶屋－夜勤")+COUNTIF('4月'!AC24:AD24,"三軒茶屋－夜勤")+COUNTIF('4月'!AH24:AI24,"三軒茶屋－夜勤")+COUNTIF('4月'!AM24:AN24,"三軒茶屋－夜勤")+COUNTIF('4月'!AR24:AS24,"三軒茶屋－夜勤")+COUNTIF('4月'!AW24:AX24,"三軒茶屋－夜勤")+COUNTIF('4月'!BB24:BC24,"三軒茶屋－夜勤")+COUNTIF('4月'!BG24:BH24,"三軒茶屋－夜勤")+COUNTIF('4月'!BL24:BM24,"三軒茶屋－夜勤")+COUNTIF('4月'!BQ24:BR24,"三軒茶屋－夜勤")+COUNTIF('4月'!BV24:BW24,"三軒茶屋－夜勤")+COUNTIF('4月'!CA24:CB24,"三軒茶屋－夜勤")+COUNTIF('4月'!CF24:CG24,"三軒茶屋－夜勤")+COUNTIF('4月'!CK24:CL24,"三軒茶屋－夜勤")+COUNTIF('4月'!CP24:CQ24,"三軒茶屋－夜勤")+COUNTIF('4月'!CU24:CV24,"三軒茶屋－夜勤")+COUNTIF('4月'!CZ24:DA24,"三軒茶屋－夜勤")+COUNTIF('4月'!DE24:DF24,"三軒茶屋－夜勤")+COUNTIF('4月'!DJ24:DK24,"三軒茶屋－夜勤")+COUNTIF('4月'!DO24:DP24,"三軒茶屋－夜勤")+COUNTIF('4月'!DT24:DU24,"三軒茶屋－夜勤")+COUNTIF('4月'!DY24:DZ24,"三軒茶屋－夜勤")+COUNTIF('4月'!ED24:EE24,"三軒茶屋－夜勤")+COUNTIF('4月'!EI24:EJ24,"三軒茶屋－夜勤")+COUNTIF('4月'!EN24:EO24,"三軒茶屋－夜勤")+COUNTIF('4月'!ES24:ET24,"三軒茶屋－夜勤")</f>
        <v>0</v>
      </c>
      <c r="O137" s="76">
        <f t="shared" si="42"/>
        <v>0</v>
      </c>
      <c r="P137" s="76">
        <f>COUNTIF('4月'!D24:E24,P$115)+COUNTIF('4月'!I24:J24,P$115)+COUNTIF('4月'!N24:O24,P$115)+COUNTIF('4月'!S24:T24,P$115)+COUNTIF('4月'!X24:Y24,P$115)+COUNTIF('4月'!AC24:AD24,P$115)+COUNTIF('4月'!AH24:AI24,P$115)+COUNTIF('4月'!AM24:AN24,P$115)+COUNTIF('4月'!AR24:AS24,P$115)+COUNTIF('4月'!AW24:AX24,P$115)+COUNTIF('4月'!BB24:BC24,P$115)+COUNTIF('4月'!BG24:BH24,P$115)+COUNTIF('4月'!BL24:BM24,P$115)+COUNTIF('4月'!BQ24:BR24,P$115)+COUNTIF('4月'!BV24:BW24,P$115)+COUNTIF('4月'!CA24:CB24,P$115)+COUNTIF('4月'!CF24:CG24,P$115)+COUNTIF('4月'!CK24:CL24,P$115)+COUNTIF('4月'!CP24:CQ24,P$115)+COUNTIF('4月'!CU24:CV24,P$115)+COUNTIF('4月'!CZ24:DA24,P$115)+COUNTIF('4月'!DE24:DF24,P$115)+COUNTIF('4月'!DJ24:DK24,P$115)+COUNTIF('4月'!DO24:DP24,P$115)+COUNTIF('4月'!DT24:DU24,P$115)+COUNTIF('4月'!DY24:DZ24,P$115)+COUNTIF('4月'!ED24:EE24,P$115)+COUNTIF('4月'!EI24:EJ24,P$115)+COUNTIF('4月'!EN24:EO24,P$115)+COUNTIF('4月'!ES24:ET24,P$115)+COUNTIF('4月'!D24:E24,"荻窪ー夜勤")+COUNTIF('4月'!I24:J24,"荻窪ー夜勤")+COUNTIF('4月'!N24:O24,"荻窪ー夜勤")+COUNTIF('4月'!S24:T24,"荻窪ー夜勤")+COUNTIF('4月'!X24:Y24,"荻窪ー夜勤")+COUNTIF('4月'!AC24:AD24,"荻窪ー夜勤")+COUNTIF('4月'!AH24:AI24,"荻窪ー夜勤")+COUNTIF('4月'!AM24:AN24,"荻窪ー夜勤")+COUNTIF('4月'!AR24:AS24,"荻窪ー夜勤")+COUNTIF('4月'!AW24:AX24,"荻窪ー夜勤")+COUNTIF('4月'!BB24:BC24,"荻窪ー夜勤")+COUNTIF('4月'!BG24:BH24,"荻窪ー夜勤")+COUNTIF('4月'!BL24:BM24,"荻窪ー夜勤")+COUNTIF('4月'!BQ24:BR24,"荻窪ー夜勤")+COUNTIF('4月'!BV24:BW24,"荻窪ー夜勤")+COUNTIF('4月'!CA24:CB24,"荻窪ー夜勤")+COUNTIF('4月'!CF24:CG24,"荻窪ー夜勤")+COUNTIF('4月'!CK24:CL24,"荻窪ー夜勤")+COUNTIF('4月'!CP24:CQ24,"荻窪ー夜勤")+COUNTIF('4月'!CU24:CV24,"荻窪ー夜勤")+COUNTIF('4月'!CZ24:DA24,"荻窪ー夜勤")+COUNTIF('4月'!DE24:DF24,"荻窪ー夜勤")+COUNTIF('4月'!DJ24:DK24,"荻窪ー夜勤")+COUNTIF('4月'!DO24:DP24,"荻窪ー夜勤")+COUNTIF('4月'!DT24:DU24,"荻窪ー夜勤")+COUNTIF('4月'!DY24:DZ24,"荻窪ー夜勤")+COUNTIF('4月'!ED24:EE24,"荻窪ー夜勤")+COUNTIF('4月'!EI24:EJ24,"荻窪ー夜勤")+COUNTIF('4月'!EN24:EO24,"荻窪ー夜勤")+COUNTIF('4月'!ES24:ET24,"荻窪ー夜勤")</f>
        <v>0</v>
      </c>
      <c r="Q137" s="76">
        <f t="shared" si="43"/>
        <v>0</v>
      </c>
      <c r="R137" s="76">
        <f>COUNTIF('4月'!D24:E24,R$115)+COUNTIF('4月'!I24:J24,R$115)+COUNTIF('4月'!N24:O24,R$115)+COUNTIF('4月'!S24:T24,R$115)+COUNTIF('4月'!X24:Y24,R$115)+COUNTIF('4月'!AC24:AD24,R$115)+COUNTIF('4月'!AH24:AI24,R$115)+COUNTIF('4月'!AM24:AN24,R$115)+COUNTIF('4月'!AR24:AS24,R$115)+COUNTIF('4月'!AW24:AX24,R$115)+COUNTIF('4月'!BB24:BC24,R$115)+COUNTIF('4月'!BG24:BH24,R$115)+COUNTIF('4月'!BL24:BM24,R$115)+COUNTIF('4月'!BQ24:BR24,R$115)+COUNTIF('4月'!BV24:BW24,R$115)+COUNTIF('4月'!CA24:CB24,R$115)+COUNTIF('4月'!CF24:CG24,R$115)+COUNTIF('4月'!CK24:CL24,R$115)+COUNTIF('4月'!CP24:CQ24,R$115)+COUNTIF('4月'!CU24:CV24,R$115)+COUNTIF('4月'!CZ24:DA24,R$115)+COUNTIF('4月'!DE24:DF24,R$115)+COUNTIF('4月'!DJ24:DK24,R$115)+COUNTIF('4月'!DO24:DP24,R$115)+COUNTIF('4月'!DT24:DU24,R$115)+COUNTIF('4月'!DY24:DZ24,R$115)+COUNTIF('4月'!ED24:EE24,R$115)+COUNTIF('4月'!EI24:EJ24,R$115)+COUNTIF('4月'!EN24:EO24,R$115)+COUNTIF('4月'!ES24:ET24,R$115)</f>
        <v>0</v>
      </c>
      <c r="S137" s="76">
        <f t="shared" si="44"/>
        <v>0</v>
      </c>
      <c r="T137" s="76">
        <f>COUNTIF('4月'!D24:E24,T$115)+COUNTIF('4月'!I24:J24,T$115)+COUNTIF('4月'!N24:O24,T$115)+COUNTIF('4月'!S24:T24,T$115)+COUNTIF('4月'!X24:Y24,T$115)+COUNTIF('4月'!AC24:AD24,T$115)+COUNTIF('4月'!AH24:AI24,T$115)+COUNTIF('4月'!AM24:AN24,T$115)+COUNTIF('4月'!AR24:AS24,T$115)+COUNTIF('4月'!AW24:AX24,T$115)+COUNTIF('4月'!BB24:BC24,T$115)+COUNTIF('4月'!BG24:BH24,T$115)+COUNTIF('4月'!BL24:BM24,T$115)+COUNTIF('4月'!BQ24:BR24,T$115)+COUNTIF('4月'!BV24:BW24,T$115)+COUNTIF('4月'!CA24:CB24,T$115)+COUNTIF('4月'!CF24:CG24,T$115)+COUNTIF('4月'!CK24:CL24,T$115)+COUNTIF('4月'!CP24:CQ24,T$115)+COUNTIF('4月'!CU24:CV24,T$115)+COUNTIF('4月'!CZ24:DA24,T$115)+COUNTIF('4月'!DE24:DF24,T$115)+COUNTIF('4月'!DJ24:DK24,T$115)+COUNTIF('4月'!DO24:DP24,T$115)+COUNTIF('4月'!DT24:DU24,T$115)+COUNTIF('4月'!DY24:DZ24,T$115)+COUNTIF('4月'!ED24:EE24,T$115)+COUNTIF('4月'!EI24:EJ24,T$115)+COUNTIF('4月'!EN24:EO24,T$115)+COUNTIF('4月'!ES24:ET24,T$115)</f>
        <v>0</v>
      </c>
      <c r="U137" s="76">
        <f t="shared" si="45"/>
        <v>0</v>
      </c>
      <c r="V137" s="76">
        <f>COUNTIF('4月'!D24:E24,V$115)+COUNTIF('4月'!I24:J24,V$115)+COUNTIF('4月'!N24:O24,V$115)+COUNTIF('4月'!S24:T24,V$115)+COUNTIF('4月'!X24:Y24,V$115)+COUNTIF('4月'!AC24:AD24,V$115)+COUNTIF('4月'!AH24:AI24,V$115)+COUNTIF('4月'!AM24:AN24,V$115)+COUNTIF('4月'!AR24:AS24,V$115)+COUNTIF('4月'!AW24:AX24,V$115)+COUNTIF('4月'!BB24:BC24,V$115)+COUNTIF('4月'!BG24:BH24,V$115)+COUNTIF('4月'!BL24:BM24,V$115)+COUNTIF('4月'!BQ24:BR24,V$115)+COUNTIF('4月'!BV24:BW24,V$115)+COUNTIF('4月'!CA24:CB24,V$115)+COUNTIF('4月'!CF24:CG24,V$115)+COUNTIF('4月'!CK24:CL24,V$115)+COUNTIF('4月'!CP24:CQ24,V$115)+COUNTIF('4月'!CU24:CV24,V$115)+COUNTIF('4月'!CZ24:DA24,V$115)+COUNTIF('4月'!DE24:DF24,V$115)+COUNTIF('4月'!DJ24:DK24,V$115)+COUNTIF('4月'!DO24:DP24,V$115)+COUNTIF('4月'!DT24:DU24,V$115)+COUNTIF('4月'!DY24:DZ24,V$115)+COUNTIF('4月'!ED24:EE24,V$115)+COUNTIF('4月'!EI24:EJ24,V$115)+COUNTIF('4月'!EN24:EO24,V$115)+COUNTIF('4月'!ES24:ET24,V$115)</f>
        <v>0</v>
      </c>
      <c r="W137" s="76">
        <f t="shared" si="46"/>
        <v>0</v>
      </c>
      <c r="X137" s="76">
        <f>COUNTIF('4月'!D24:E24,X$115)+COUNTIF('4月'!I24:J24,X$115)+COUNTIF('4月'!N24:O24,X$115)+COUNTIF('4月'!S24:T24,X$115)+COUNTIF('4月'!X24:Y24,X$115)+COUNTIF('4月'!AC24:AD24,X$115)+COUNTIF('4月'!AH24:AI24,X$115)+COUNTIF('4月'!AM24:AN24,X$115)+COUNTIF('4月'!AR24:AS24,X$115)+COUNTIF('4月'!AW24:AX24,X$115)+COUNTIF('4月'!BB24:BC24,X$115)+COUNTIF('4月'!BG24:BH24,X$115)+COUNTIF('4月'!BL24:BM24,X$115)+COUNTIF('4月'!BQ24:BR24,X$115)+COUNTIF('4月'!BV24:BW24,X$115)+COUNTIF('4月'!CA24:CB24,X$115)+COUNTIF('4月'!CF24:CG24,X$115)+COUNTIF('4月'!CK24:CL24,X$115)+COUNTIF('4月'!CP24:CQ24,X$115)+COUNTIF('4月'!CU24:CV24,X$115)+COUNTIF('4月'!CZ24:DA24,X$115)+COUNTIF('4月'!DE24:DF24,X$115)+COUNTIF('4月'!DJ24:DK24,X$115)+COUNTIF('4月'!DO24:DP24,X$115)+COUNTIF('4月'!DT24:DU24,X$115)+COUNTIF('4月'!DY24:DZ24,X$115)+COUNTIF('4月'!ED24:EE24,X$115)+COUNTIF('4月'!EI24:EJ24,X$115)+COUNTIF('4月'!EN24:EO24,X$115)+COUNTIF('4月'!ES24:ET24,X$115)</f>
        <v>0</v>
      </c>
      <c r="Y137" s="76">
        <f t="shared" si="47"/>
        <v>0</v>
      </c>
    </row>
    <row r="138" spans="1:25" ht="18" customHeight="1">
      <c r="A138" s="76">
        <v>22</v>
      </c>
      <c r="B138" s="76">
        <f>COUNTIF('4月'!D25:E25,B$115)+COUNTIF('4月'!I25:J25,B$115)+COUNTIF('4月'!N25:O25,B$115)+COUNTIF('4月'!S25:T25,B$115)+COUNTIF('4月'!X25:Y25,B$115)+COUNTIF('4月'!AC25:AD25,B$115)+COUNTIF('4月'!AH25:AI25,B$115)+COUNTIF('4月'!AM25:AN25,B$115)+COUNTIF('4月'!AR25:AS25,B$115)+COUNTIF('4月'!AW25:AX25,B$115)+COUNTIF('4月'!BB25:BC25,B$115)+COUNTIF('4月'!BG25:BH25,B$115)+COUNTIF('4月'!BL25:BM25,B$115)+COUNTIF('4月'!BQ25:BR25,B$115)+COUNTIF('4月'!BV25:BW25,B$115)+COUNTIF('4月'!CA25:CB25,B$115)+COUNTIF('4月'!CF25:CG25,B$115)+COUNTIF('4月'!CK25:CL25,B$115)+COUNTIF('4月'!CP25:CQ25,B$115)+COUNTIF('4月'!CU25:CV25,B$115)+COUNTIF('4月'!CZ25:DA25,B$115)+COUNTIF('4月'!DE25:DF25,B$115)+COUNTIF('4月'!DJ25:DK25,B$115)+COUNTIF('4月'!DO25:DP25,B$115)+COUNTIF('4月'!DT25:DU25,B$115)+COUNTIF('4月'!DY25:DZ25,B$115)+COUNTIF('4月'!ED25:EE25,B$115)+COUNTIF('4月'!EI25:EJ25,B$115)+COUNTIF('4月'!EN25:EO25,B$115)+COUNTIF('4月'!ES25:ET25,B$115)</f>
        <v>0</v>
      </c>
      <c r="C138" s="76">
        <f t="shared" si="36"/>
        <v>0</v>
      </c>
      <c r="D138" s="76">
        <f>COUNTIF('4月'!D25:E25,D$115)+COUNTIF('4月'!I25:J25,D$115)+COUNTIF('4月'!N25:O25,D$115)+COUNTIF('4月'!S25:T25,D$115)+COUNTIF('4月'!X25:Y25,D$115)+COUNTIF('4月'!AC25:AD25,D$115)+COUNTIF('4月'!AH25:AI25,D$115)+COUNTIF('4月'!AM25:AN25,D$115)+COUNTIF('4月'!AR25:AS25,D$115)+COUNTIF('4月'!AW25:AX25,D$115)+COUNTIF('4月'!BB25:BC25,D$115)+COUNTIF('4月'!BG25:BH25,D$115)+COUNTIF('4月'!BL25:BM25,D$115)+COUNTIF('4月'!BQ25:BR25,D$115)+COUNTIF('4月'!BV25:BW25,D$115)+COUNTIF('4月'!CA25:CB25,D$115)+COUNTIF('4月'!CF25:CG25,D$115)+COUNTIF('4月'!CK25:CL25,D$115)+COUNTIF('4月'!CP25:CQ25,D$115)+COUNTIF('4月'!CU25:CV25,D$115)+COUNTIF('4月'!CZ25:DA25,D$115)+COUNTIF('4月'!DE25:DF25,D$115)+COUNTIF('4月'!DJ25:DK25,D$115)+COUNTIF('4月'!DO25:DP25,D$115)+COUNTIF('4月'!DT25:DU25,D$115)+COUNTIF('4月'!DY25:DZ25,D$115)+COUNTIF('4月'!ED25:EE25,D$115)+COUNTIF('4月'!EI25:EJ25,D$115)+COUNTIF('4月'!EN25:EO25,D$115)+COUNTIF('4月'!ES25:ET25,D$115)</f>
        <v>0</v>
      </c>
      <c r="E138" s="76">
        <f t="shared" si="37"/>
        <v>0</v>
      </c>
      <c r="F138" s="76">
        <f>COUNTIF('4月'!D25:E25,F$115)+COUNTIF('4月'!I25:J25,F$115)+COUNTIF('4月'!N25:O25,F$115)+COUNTIF('4月'!S25:T25,F$115)+COUNTIF('4月'!X25:Y25,F$115)+COUNTIF('4月'!AC25:AD25,F$115)+COUNTIF('4月'!AH25:AI25,F$115)+COUNTIF('4月'!AM25:AN25,F$115)+COUNTIF('4月'!AR25:AS25,F$115)+COUNTIF('4月'!AW25:AX25,F$115)+COUNTIF('4月'!BB25:BC25,F$115)+COUNTIF('4月'!BG25:BH25,F$115)+COUNTIF('4月'!BL25:BM25,F$115)+COUNTIF('4月'!BQ25:BR25,F$115)+COUNTIF('4月'!BV25:BW25,F$115)+COUNTIF('4月'!CA25:CB25,F$115)+COUNTIF('4月'!CF25:CG25,F$115)+COUNTIF('4月'!CK25:CL25,F$115)+COUNTIF('4月'!CP25:CQ25,F$115)+COUNTIF('4月'!CU25:CV25,F$115)+COUNTIF('4月'!CZ25:DA25,F$115)+COUNTIF('4月'!DE25:DF25,F$115)+COUNTIF('4月'!DJ25:DK25,F$115)+COUNTIF('4月'!DO25:DP25,F$115)+COUNTIF('4月'!DT25:DU25,F$115)+COUNTIF('4月'!DY25:DZ25,F$115)+COUNTIF('4月'!ED25:EE25,F$115)+COUNTIF('4月'!EI25:EJ25,F$115)+COUNTIF('4月'!EN25:EO25,F$115)+COUNTIF('4月'!ES25:ET25,F$115)</f>
        <v>0</v>
      </c>
      <c r="G138" s="76">
        <f t="shared" si="38"/>
        <v>0</v>
      </c>
      <c r="H138" s="76">
        <f>COUNTIF('4月'!D25:E25,H$115)+COUNTIF('4月'!I25:J25,H$115)+COUNTIF('4月'!N25:O25,H$115)+COUNTIF('4月'!S25:T25,H$115)+COUNTIF('4月'!X25:Y25,H$115)+COUNTIF('4月'!AC25:AD25,H$115)+COUNTIF('4月'!AH25:AI25,H$115)+COUNTIF('4月'!AM25:AN25,H$115)+COUNTIF('4月'!AR25:AS25,H$115)+COUNTIF('4月'!AW25:AX25,H$115)+COUNTIF('4月'!BB25:BC25,H$115)+COUNTIF('4月'!BG25:BH25,H$115)+COUNTIF('4月'!BL25:BM25,H$115)+COUNTIF('4月'!BQ25:BR25,H$115)+COUNTIF('4月'!BV25:BW25,H$115)+COUNTIF('4月'!CA25:CB25,H$115)+COUNTIF('4月'!CF25:CG25,H$115)+COUNTIF('4月'!CK25:CL25,H$115)+COUNTIF('4月'!CP25:CQ25,H$115)+COUNTIF('4月'!CU25:CV25,H$115)+COUNTIF('4月'!CZ25:DA25,H$115)+COUNTIF('4月'!DE25:DF25,H$115)+COUNTIF('4月'!DJ25:DK25,H$115)+COUNTIF('4月'!DO25:DP25,H$115)+COUNTIF('4月'!DT25:DU25,H$115)+COUNTIF('4月'!DY25:DZ25,H$115)+COUNTIF('4月'!ED25:EE25,H$115)+COUNTIF('4月'!EI25:EJ25,H$115)+COUNTIF('4月'!EN25:EO25,H$115)+COUNTIF('4月'!ES25:ET25,H$115)+COUNTIF('4月'!D25:E25,"渋谷-夜勤")+COUNTIF('4月'!I25:J25,"渋谷-夜勤")+COUNTIF('4月'!N25:O25,"渋谷-夜勤")+COUNTIF('4月'!S25:T25,"渋谷-夜勤")+COUNTIF('4月'!X25:Y25,"渋谷-夜勤")+COUNTIF('4月'!AC25:AD25,"渋谷-夜勤")+COUNTIF('4月'!AH25:AI25,"渋谷-夜勤")+COUNTIF('4月'!AM25:AN25,"渋谷-夜勤")+COUNTIF('4月'!AR25:AS25,"渋谷-夜勤")+COUNTIF('4月'!AW25:AX25,"渋谷-夜勤")+COUNTIF('4月'!BB25:BC25,"渋谷-夜勤")+COUNTIF('4月'!BG25:BH25,"渋谷-夜勤")+COUNTIF('4月'!BL25:BM25,"渋谷-夜勤")+COUNTIF('4月'!BQ25:BR25,"渋谷-夜勤")+COUNTIF('4月'!BV25:BW25,"渋谷-夜勤")+COUNTIF('4月'!CA25:CB25,"渋谷-夜勤")+COUNTIF('4月'!CF25:CG25,"渋谷-夜勤")+COUNTIF('4月'!CK25:CL25,"渋谷-夜勤")+COUNTIF('4月'!CP25:CQ25,"渋谷-夜勤")+COUNTIF('4月'!CU25:CV25,"渋谷-夜勤")+COUNTIF('4月'!CZ25:DA25,"渋谷-夜勤")+COUNTIF('4月'!DE25:DF25,"渋谷-夜勤")+COUNTIF('4月'!DJ25:DK25,"渋谷-夜勤")+COUNTIF('4月'!DO25:DP25,"渋谷-夜勤")+COUNTIF('4月'!DT25:DU25,"渋谷-夜勤")+COUNTIF('4月'!DY25:DZ25,"渋谷-夜勤")+COUNTIF('4月'!ED25:EE25,"渋谷-夜勤")+COUNTIF('4月'!EI25:EJ25,"渋谷-夜勤")+COUNTIF('4月'!EN25:EO25,"渋谷-夜勤")+COUNTIF('4月'!ES25:ET25,"渋谷-夜勤")</f>
        <v>0</v>
      </c>
      <c r="I138" s="76">
        <f t="shared" si="39"/>
        <v>0</v>
      </c>
      <c r="J138" s="76">
        <f>COUNTIF('4月'!D25:E25,J$115)+COUNTIF('4月'!I25:J25,J$115)+COUNTIF('4月'!N25:O25,J$115)+COUNTIF('4月'!S25:T25,J$115)+COUNTIF('4月'!X25:Y25,J$115)+COUNTIF('4月'!AC25:AD25,J$115)+COUNTIF('4月'!AH25:AI25,J$115)+COUNTIF('4月'!AM25:AN25,J$115)+COUNTIF('4月'!AR25:AS25,J$115)+COUNTIF('4月'!AW25:AX25,J$115)+COUNTIF('4月'!BB25:BC25,J$115)+COUNTIF('4月'!BG25:BH25,J$115)+COUNTIF('4月'!BL25:BM25,J$115)+COUNTIF('4月'!BQ25:BR25,J$115)+COUNTIF('4月'!BV25:BW25,J$115)+COUNTIF('4月'!CA25:CB25,J$115)+COUNTIF('4月'!CF25:CG25,J$115)+COUNTIF('4月'!CK25:CL25,J$115)+COUNTIF('4月'!CP25:CQ25,J$115)+COUNTIF('4月'!CU25:CV25,J$115)+COUNTIF('4月'!CZ25:DA25,J$115)+COUNTIF('4月'!DE25:DF25,J$115)+COUNTIF('4月'!DJ25:DK25,J$115)+COUNTIF('4月'!DO25:DP25,J$115)+COUNTIF('4月'!DT25:DU25,J$115)+COUNTIF('4月'!DY25:DZ25,J$115)+COUNTIF('4月'!ED25:EE25,J$115)+COUNTIF('4月'!EI25:EJ25,J$115)+COUNTIF('4月'!EN25:EO25,J$115)+COUNTIF('4月'!ES25:ET25,J$115)+COUNTIF('4月'!D25:E25,"六本木-夜勤")+COUNTIF('4月'!I25:J25,"六本木-夜勤")+COUNTIF('4月'!N25:O25,"六本木-夜勤")+COUNTIF('4月'!S25:T25,"六本木-夜勤")+COUNTIF('4月'!X25:Y25,"六本木-夜勤")+COUNTIF('4月'!AC25:AD25,"六本木-夜勤")+COUNTIF('4月'!AH25:AI25,"六本木-夜勤")+COUNTIF('4月'!AM25:AN25,"六本木-夜勤")+COUNTIF('4月'!AR25:AS25,"六本木-夜勤")+COUNTIF('4月'!AW25:AX25,"六本木-夜勤")+COUNTIF('4月'!BB25:BC25,"六本木-夜勤")+COUNTIF('4月'!BG25:BH25,"六本木-夜勤")+COUNTIF('4月'!BL25:BM25,"六本木-夜勤")+COUNTIF('4月'!BQ25:BR25,"六本木-夜勤")+COUNTIF('4月'!BV25:BW25,"六本木-夜勤")+COUNTIF('4月'!CA25:CB25,"六本木-夜勤")+COUNTIF('4月'!CF25:CG25,"六本木-夜勤")+COUNTIF('4月'!CK25:CL25,"六本木-夜勤")+COUNTIF('4月'!CP25:CQ25,"六本木-夜勤")+COUNTIF('4月'!CU25:CV25,"六本木-夜勤")+COUNTIF('4月'!CZ25:DA25,"六本木-夜勤")+COUNTIF('4月'!DE25:DF25,"六本木-夜勤")+COUNTIF('4月'!DJ25:DK25,"六本木-夜勤")+COUNTIF('4月'!DO25:DP25,"六本木-夜勤")+COUNTIF('4月'!DT25:DU25,"六本木-夜勤")+COUNTIF('4月'!DY25:DZ25,"六本木-夜勤")+COUNTIF('4月'!ED25:EE25,"六本木-夜勤")+COUNTIF('4月'!EI25:EJ25,"六本木-夜勤")+COUNTIF('4月'!EN25:EO25,"六本木-夜勤")+COUNTIF('4月'!ES25:ET25,"六本木-夜勤")+COUNTIF('4月'!D25:E25,"六本木ー夜勤")+COUNTIF('4月'!I25:J25,"六本木ー夜勤")+COUNTIF('4月'!N25:O25,"六本木ー夜勤")+COUNTIF('4月'!S25:T25,"六本木ー夜勤")+COUNTIF('4月'!X25:Y25,"六本木ー夜勤")+COUNTIF('4月'!AC25:AD25,"六本木ー夜勤")+COUNTIF('4月'!AH25:AI25,"六本木ー夜勤")+COUNTIF('4月'!AM25:AN25,"六本木ー夜勤")+COUNTIF('4月'!AR25:AS25,"六本木ー夜勤")+COUNTIF('4月'!AW25:AX25,"六本木ー夜勤")+COUNTIF('4月'!BB25:BC25,"六本木ー夜勤")+COUNTIF('4月'!BG25:BH25,"六本木ー夜勤")+COUNTIF('4月'!BL25:BM25,"六本木ー夜勤")+COUNTIF('4月'!BQ25:BR25,"六本木ー夜勤")+COUNTIF('4月'!BV25:BW25,"六本木ー夜勤")+COUNTIF('4月'!CA25:CB25,"六本木ー夜勤")+COUNTIF('4月'!CF25:CG25,"六本木ー夜勤")+COUNTIF('4月'!CK25:CL25,"六本木ー夜勤")+COUNTIF('4月'!CP25:CQ25,"六本木ー夜勤")+COUNTIF('4月'!CU25:CV25,"六本木ー夜勤")+COUNTIF('4月'!CZ25:DA25,"六本木ー夜勤")+COUNTIF('4月'!DE25:DF25,"六本木ー夜勤")+COUNTIF('4月'!DJ25:DK25,"六本木ー夜勤")+COUNTIF('4月'!DO25:DP25,"六本木ー夜勤")+COUNTIF('4月'!DT25:DU25,"六本木ー夜勤")+COUNTIF('4月'!DY25:DZ25,"六本木ー夜勤")+COUNTIF('4月'!ED25:EE25,"六本木ー夜勤")+COUNTIF('4月'!EI25:EJ25,"六本木ー夜勤")+COUNTIF('4月'!EN25:EO25,"六本木ー夜勤")+COUNTIF('4月'!ES25:ET25,"六本木ー夜勤")</f>
        <v>0</v>
      </c>
      <c r="K138" s="76">
        <f t="shared" si="40"/>
        <v>0</v>
      </c>
      <c r="L138" s="76">
        <f>COUNTIF('4月'!D25:E25,L$115)+COUNTIF('4月'!I25:J25,L$115)+COUNTIF('4月'!N25:O25,L$115)+COUNTIF('4月'!S25:T25,L$115)+COUNTIF('4月'!X25:Y25,L$115)+COUNTIF('4月'!AC25:AD25,L$115)+COUNTIF('4月'!AH25:AI25,L$115)+COUNTIF('4月'!AM25:AN25,L$115)+COUNTIF('4月'!AR25:AS25,L$115)+COUNTIF('4月'!AW25:AX25,L$115)+COUNTIF('4月'!BB25:BC25,L$115)+COUNTIF('4月'!BG25:BH25,L$115)+COUNTIF('4月'!BL25:BM25,L$115)+COUNTIF('4月'!BQ25:BR25,L$115)+COUNTIF('4月'!BV25:BW25,L$115)+COUNTIF('4月'!CA25:CB25,L$115)+COUNTIF('4月'!CF25:CG25,L$115)+COUNTIF('4月'!CK25:CL25,L$115)+COUNTIF('4月'!CP25:CQ25,L$115)+COUNTIF('4月'!CU25:CV25,L$115)+COUNTIF('4月'!CZ25:DA25,L$115)+COUNTIF('4月'!DE25:DF25,L$115)+COUNTIF('4月'!DJ25:DK25,L$115)+COUNTIF('4月'!DO25:DP25,L$115)+COUNTIF('4月'!DT25:DU25,L$115)+COUNTIF('4月'!DY25:DZ25,L$115)+COUNTIF('4月'!ED25:EE25,L$115)+COUNTIF('4月'!EI25:EJ25,L$115)+COUNTIF('4月'!EN25:EO25,L$115)+COUNTIF('4月'!ES25:ET25,L$115)</f>
        <v>0</v>
      </c>
      <c r="M138" s="76">
        <f t="shared" si="41"/>
        <v>0</v>
      </c>
      <c r="N138" s="76">
        <f>COUNTIF('4月'!D25:E25,N$115)+COUNTIF('4月'!I25:J25,N$115)+COUNTIF('4月'!N25:O25,N$115)+COUNTIF('4月'!S25:T25,N$115)+COUNTIF('4月'!X25:Y25,N$115)+COUNTIF('4月'!AC25:AD25,N$115)+COUNTIF('4月'!AH25:AI25,N$115)+COUNTIF('4月'!AM25:AN25,N$115)+COUNTIF('4月'!AR25:AS25,N$115)+COUNTIF('4月'!AW25:AX25,N$115)+COUNTIF('4月'!BB25:BC25,N$115)+COUNTIF('4月'!BG25:BH25,N$115)+COUNTIF('4月'!BL25:BM25,N$115)+COUNTIF('4月'!BQ25:BR25,N$115)+COUNTIF('4月'!BV25:BW25,N$115)+COUNTIF('4月'!CA25:CB25,N$115)+COUNTIF('4月'!CF25:CG25,N$115)+COUNTIF('4月'!CK25:CL25,N$115)+COUNTIF('4月'!CP25:CQ25,N$115)+COUNTIF('4月'!CU25:CV25,N$115)+COUNTIF('4月'!CZ25:DA25,N$115)+COUNTIF('4月'!DE25:DF25,N$115)+COUNTIF('4月'!DJ25:DK25,N$115)+COUNTIF('4月'!DO25:DP25,N$115)+COUNTIF('4月'!DT25:DU25,N$115)+COUNTIF('4月'!DY25:DZ25,N$115)+COUNTIF('4月'!ED25:EE25,N$115)+COUNTIF('4月'!EI25:EJ25,N$115)+COUNTIF('4月'!EN25:EO25,N$115)+COUNTIF('4月'!ES25:ET25,N$115)+COUNTIF('4月'!D25:E25,"三軒茶屋－夜勤")+COUNTIF('4月'!I25:J25,"三軒茶屋－夜勤")+COUNTIF('4月'!N25:O25,"三軒茶屋－夜勤")+COUNTIF('4月'!S25:T25,"三軒茶屋－夜勤")+COUNTIF('4月'!X25:Y25,"三軒茶屋－夜勤")+COUNTIF('4月'!AC25:AD25,"三軒茶屋－夜勤")+COUNTIF('4月'!AH25:AI25,"三軒茶屋－夜勤")+COUNTIF('4月'!AM25:AN25,"三軒茶屋－夜勤")+COUNTIF('4月'!AR25:AS25,"三軒茶屋－夜勤")+COUNTIF('4月'!AW25:AX25,"三軒茶屋－夜勤")+COUNTIF('4月'!BB25:BC25,"三軒茶屋－夜勤")+COUNTIF('4月'!BG25:BH25,"三軒茶屋－夜勤")+COUNTIF('4月'!BL25:BM25,"三軒茶屋－夜勤")+COUNTIF('4月'!BQ25:BR25,"三軒茶屋－夜勤")+COUNTIF('4月'!BV25:BW25,"三軒茶屋－夜勤")+COUNTIF('4月'!CA25:CB25,"三軒茶屋－夜勤")+COUNTIF('4月'!CF25:CG25,"三軒茶屋－夜勤")+COUNTIF('4月'!CK25:CL25,"三軒茶屋－夜勤")+COUNTIF('4月'!CP25:CQ25,"三軒茶屋－夜勤")+COUNTIF('4月'!CU25:CV25,"三軒茶屋－夜勤")+COUNTIF('4月'!CZ25:DA25,"三軒茶屋－夜勤")+COUNTIF('4月'!DE25:DF25,"三軒茶屋－夜勤")+COUNTIF('4月'!DJ25:DK25,"三軒茶屋－夜勤")+COUNTIF('4月'!DO25:DP25,"三軒茶屋－夜勤")+COUNTIF('4月'!DT25:DU25,"三軒茶屋－夜勤")+COUNTIF('4月'!DY25:DZ25,"三軒茶屋－夜勤")+COUNTIF('4月'!ED25:EE25,"三軒茶屋－夜勤")+COUNTIF('4月'!EI25:EJ25,"三軒茶屋－夜勤")+COUNTIF('4月'!EN25:EO25,"三軒茶屋－夜勤")+COUNTIF('4月'!ES25:ET25,"三軒茶屋－夜勤")</f>
        <v>0</v>
      </c>
      <c r="O138" s="76">
        <f t="shared" si="42"/>
        <v>0</v>
      </c>
      <c r="P138" s="76">
        <f>COUNTIF('4月'!D25:E25,P$115)+COUNTIF('4月'!I25:J25,P$115)+COUNTIF('4月'!N25:O25,P$115)+COUNTIF('4月'!S25:T25,P$115)+COUNTIF('4月'!X25:Y25,P$115)+COUNTIF('4月'!AC25:AD25,P$115)+COUNTIF('4月'!AH25:AI25,P$115)+COUNTIF('4月'!AM25:AN25,P$115)+COUNTIF('4月'!AR25:AS25,P$115)+COUNTIF('4月'!AW25:AX25,P$115)+COUNTIF('4月'!BB25:BC25,P$115)+COUNTIF('4月'!BG25:BH25,P$115)+COUNTIF('4月'!BL25:BM25,P$115)+COUNTIF('4月'!BQ25:BR25,P$115)+COUNTIF('4月'!BV25:BW25,P$115)+COUNTIF('4月'!CA25:CB25,P$115)+COUNTIF('4月'!CF25:CG25,P$115)+COUNTIF('4月'!CK25:CL25,P$115)+COUNTIF('4月'!CP25:CQ25,P$115)+COUNTIF('4月'!CU25:CV25,P$115)+COUNTIF('4月'!CZ25:DA25,P$115)+COUNTIF('4月'!DE25:DF25,P$115)+COUNTIF('4月'!DJ25:DK25,P$115)+COUNTIF('4月'!DO25:DP25,P$115)+COUNTIF('4月'!DT25:DU25,P$115)+COUNTIF('4月'!DY25:DZ25,P$115)+COUNTIF('4月'!ED25:EE25,P$115)+COUNTIF('4月'!EI25:EJ25,P$115)+COUNTIF('4月'!EN25:EO25,P$115)+COUNTIF('4月'!ES25:ET25,P$115)+COUNTIF('4月'!D25:E25,"荻窪ー夜勤")+COUNTIF('4月'!I25:J25,"荻窪ー夜勤")+COUNTIF('4月'!N25:O25,"荻窪ー夜勤")+COUNTIF('4月'!S25:T25,"荻窪ー夜勤")+COUNTIF('4月'!X25:Y25,"荻窪ー夜勤")+COUNTIF('4月'!AC25:AD25,"荻窪ー夜勤")+COUNTIF('4月'!AH25:AI25,"荻窪ー夜勤")+COUNTIF('4月'!AM25:AN25,"荻窪ー夜勤")+COUNTIF('4月'!AR25:AS25,"荻窪ー夜勤")+COUNTIF('4月'!AW25:AX25,"荻窪ー夜勤")+COUNTIF('4月'!BB25:BC25,"荻窪ー夜勤")+COUNTIF('4月'!BG25:BH25,"荻窪ー夜勤")+COUNTIF('4月'!BL25:BM25,"荻窪ー夜勤")+COUNTIF('4月'!BQ25:BR25,"荻窪ー夜勤")+COUNTIF('4月'!BV25:BW25,"荻窪ー夜勤")+COUNTIF('4月'!CA25:CB25,"荻窪ー夜勤")+COUNTIF('4月'!CF25:CG25,"荻窪ー夜勤")+COUNTIF('4月'!CK25:CL25,"荻窪ー夜勤")+COUNTIF('4月'!CP25:CQ25,"荻窪ー夜勤")+COUNTIF('4月'!CU25:CV25,"荻窪ー夜勤")+COUNTIF('4月'!CZ25:DA25,"荻窪ー夜勤")+COUNTIF('4月'!DE25:DF25,"荻窪ー夜勤")+COUNTIF('4月'!DJ25:DK25,"荻窪ー夜勤")+COUNTIF('4月'!DO25:DP25,"荻窪ー夜勤")+COUNTIF('4月'!DT25:DU25,"荻窪ー夜勤")+COUNTIF('4月'!DY25:DZ25,"荻窪ー夜勤")+COUNTIF('4月'!ED25:EE25,"荻窪ー夜勤")+COUNTIF('4月'!EI25:EJ25,"荻窪ー夜勤")+COUNTIF('4月'!EN25:EO25,"荻窪ー夜勤")+COUNTIF('4月'!ES25:ET25,"荻窪ー夜勤")</f>
        <v>0</v>
      </c>
      <c r="Q138" s="76">
        <f t="shared" si="43"/>
        <v>0</v>
      </c>
      <c r="R138" s="76">
        <f>COUNTIF('4月'!D25:E25,R$115)+COUNTIF('4月'!I25:J25,R$115)+COUNTIF('4月'!N25:O25,R$115)+COUNTIF('4月'!S25:T25,R$115)+COUNTIF('4月'!X25:Y25,R$115)+COUNTIF('4月'!AC25:AD25,R$115)+COUNTIF('4月'!AH25:AI25,R$115)+COUNTIF('4月'!AM25:AN25,R$115)+COUNTIF('4月'!AR25:AS25,R$115)+COUNTIF('4月'!AW25:AX25,R$115)+COUNTIF('4月'!BB25:BC25,R$115)+COUNTIF('4月'!BG25:BH25,R$115)+COUNTIF('4月'!BL25:BM25,R$115)+COUNTIF('4月'!BQ25:BR25,R$115)+COUNTIF('4月'!BV25:BW25,R$115)+COUNTIF('4月'!CA25:CB25,R$115)+COUNTIF('4月'!CF25:CG25,R$115)+COUNTIF('4月'!CK25:CL25,R$115)+COUNTIF('4月'!CP25:CQ25,R$115)+COUNTIF('4月'!CU25:CV25,R$115)+COUNTIF('4月'!CZ25:DA25,R$115)+COUNTIF('4月'!DE25:DF25,R$115)+COUNTIF('4月'!DJ25:DK25,R$115)+COUNTIF('4月'!DO25:DP25,R$115)+COUNTIF('4月'!DT25:DU25,R$115)+COUNTIF('4月'!DY25:DZ25,R$115)+COUNTIF('4月'!ED25:EE25,R$115)+COUNTIF('4月'!EI25:EJ25,R$115)+COUNTIF('4月'!EN25:EO25,R$115)+COUNTIF('4月'!ES25:ET25,R$115)</f>
        <v>0</v>
      </c>
      <c r="S138" s="76">
        <f t="shared" si="44"/>
        <v>0</v>
      </c>
      <c r="T138" s="76">
        <f>COUNTIF('4月'!D25:E25,T$115)+COUNTIF('4月'!I25:J25,T$115)+COUNTIF('4月'!N25:O25,T$115)+COUNTIF('4月'!S25:T25,T$115)+COUNTIF('4月'!X25:Y25,T$115)+COUNTIF('4月'!AC25:AD25,T$115)+COUNTIF('4月'!AH25:AI25,T$115)+COUNTIF('4月'!AM25:AN25,T$115)+COUNTIF('4月'!AR25:AS25,T$115)+COUNTIF('4月'!AW25:AX25,T$115)+COUNTIF('4月'!BB25:BC25,T$115)+COUNTIF('4月'!BG25:BH25,T$115)+COUNTIF('4月'!BL25:BM25,T$115)+COUNTIF('4月'!BQ25:BR25,T$115)+COUNTIF('4月'!BV25:BW25,T$115)+COUNTIF('4月'!CA25:CB25,T$115)+COUNTIF('4月'!CF25:CG25,T$115)+COUNTIF('4月'!CK25:CL25,T$115)+COUNTIF('4月'!CP25:CQ25,T$115)+COUNTIF('4月'!CU25:CV25,T$115)+COUNTIF('4月'!CZ25:DA25,T$115)+COUNTIF('4月'!DE25:DF25,T$115)+COUNTIF('4月'!DJ25:DK25,T$115)+COUNTIF('4月'!DO25:DP25,T$115)+COUNTIF('4月'!DT25:DU25,T$115)+COUNTIF('4月'!DY25:DZ25,T$115)+COUNTIF('4月'!ED25:EE25,T$115)+COUNTIF('4月'!EI25:EJ25,T$115)+COUNTIF('4月'!EN25:EO25,T$115)+COUNTIF('4月'!ES25:ET25,T$115)</f>
        <v>0</v>
      </c>
      <c r="U138" s="76">
        <f t="shared" si="45"/>
        <v>0</v>
      </c>
      <c r="V138" s="76">
        <f>COUNTIF('4月'!D25:E25,V$115)+COUNTIF('4月'!I25:J25,V$115)+COUNTIF('4月'!N25:O25,V$115)+COUNTIF('4月'!S25:T25,V$115)+COUNTIF('4月'!X25:Y25,V$115)+COUNTIF('4月'!AC25:AD25,V$115)+COUNTIF('4月'!AH25:AI25,V$115)+COUNTIF('4月'!AM25:AN25,V$115)+COUNTIF('4月'!AR25:AS25,V$115)+COUNTIF('4月'!AW25:AX25,V$115)+COUNTIF('4月'!BB25:BC25,V$115)+COUNTIF('4月'!BG25:BH25,V$115)+COUNTIF('4月'!BL25:BM25,V$115)+COUNTIF('4月'!BQ25:BR25,V$115)+COUNTIF('4月'!BV25:BW25,V$115)+COUNTIF('4月'!CA25:CB25,V$115)+COUNTIF('4月'!CF25:CG25,V$115)+COUNTIF('4月'!CK25:CL25,V$115)+COUNTIF('4月'!CP25:CQ25,V$115)+COUNTIF('4月'!CU25:CV25,V$115)+COUNTIF('4月'!CZ25:DA25,V$115)+COUNTIF('4月'!DE25:DF25,V$115)+COUNTIF('4月'!DJ25:DK25,V$115)+COUNTIF('4月'!DO25:DP25,V$115)+COUNTIF('4月'!DT25:DU25,V$115)+COUNTIF('4月'!DY25:DZ25,V$115)+COUNTIF('4月'!ED25:EE25,V$115)+COUNTIF('4月'!EI25:EJ25,V$115)+COUNTIF('4月'!EN25:EO25,V$115)+COUNTIF('4月'!ES25:ET25,V$115)</f>
        <v>0</v>
      </c>
      <c r="W138" s="76">
        <f t="shared" si="46"/>
        <v>0</v>
      </c>
      <c r="X138" s="76">
        <f>COUNTIF('4月'!D25:E25,X$115)+COUNTIF('4月'!I25:J25,X$115)+COUNTIF('4月'!N25:O25,X$115)+COUNTIF('4月'!S25:T25,X$115)+COUNTIF('4月'!X25:Y25,X$115)+COUNTIF('4月'!AC25:AD25,X$115)+COUNTIF('4月'!AH25:AI25,X$115)+COUNTIF('4月'!AM25:AN25,X$115)+COUNTIF('4月'!AR25:AS25,X$115)+COUNTIF('4月'!AW25:AX25,X$115)+COUNTIF('4月'!BB25:BC25,X$115)+COUNTIF('4月'!BG25:BH25,X$115)+COUNTIF('4月'!BL25:BM25,X$115)+COUNTIF('4月'!BQ25:BR25,X$115)+COUNTIF('4月'!BV25:BW25,X$115)+COUNTIF('4月'!CA25:CB25,X$115)+COUNTIF('4月'!CF25:CG25,X$115)+COUNTIF('4月'!CK25:CL25,X$115)+COUNTIF('4月'!CP25:CQ25,X$115)+COUNTIF('4月'!CU25:CV25,X$115)+COUNTIF('4月'!CZ25:DA25,X$115)+COUNTIF('4月'!DE25:DF25,X$115)+COUNTIF('4月'!DJ25:DK25,X$115)+COUNTIF('4月'!DO25:DP25,X$115)+COUNTIF('4月'!DT25:DU25,X$115)+COUNTIF('4月'!DY25:DZ25,X$115)+COUNTIF('4月'!ED25:EE25,X$115)+COUNTIF('4月'!EI25:EJ25,X$115)+COUNTIF('4月'!EN25:EO25,X$115)+COUNTIF('4月'!ES25:ET25,X$115)</f>
        <v>0</v>
      </c>
      <c r="Y138" s="76">
        <f t="shared" si="47"/>
        <v>0</v>
      </c>
    </row>
    <row r="139" spans="1:25" ht="18" customHeight="1">
      <c r="A139" s="76">
        <v>23</v>
      </c>
      <c r="B139" s="76">
        <f>COUNTIF('4月'!D26:E26,B$115)+COUNTIF('4月'!I26:J26,B$115)+COUNTIF('4月'!N26:O26,B$115)+COUNTIF('4月'!S26:T26,B$115)+COUNTIF('4月'!X26:Y26,B$115)+COUNTIF('4月'!AC26:AD26,B$115)+COUNTIF('4月'!AH26:AI26,B$115)+COUNTIF('4月'!AM26:AN26,B$115)+COUNTIF('4月'!AR26:AS26,B$115)+COUNTIF('4月'!AW26:AX26,B$115)+COUNTIF('4月'!BB26:BC26,B$115)+COUNTIF('4月'!BG26:BH26,B$115)+COUNTIF('4月'!BL26:BM26,B$115)+COUNTIF('4月'!BQ26:BR26,B$115)+COUNTIF('4月'!BV26:BW26,B$115)+COUNTIF('4月'!CA26:CB26,B$115)+COUNTIF('4月'!CF26:CG26,B$115)+COUNTIF('4月'!CK26:CL26,B$115)+COUNTIF('4月'!CP26:CQ26,B$115)+COUNTIF('4月'!CU26:CV26,B$115)+COUNTIF('4月'!CZ26:DA26,B$115)+COUNTIF('4月'!DE26:DF26,B$115)+COUNTIF('4月'!DJ26:DK26,B$115)+COUNTIF('4月'!DO26:DP26,B$115)+COUNTIF('4月'!DT26:DU26,B$115)+COUNTIF('4月'!DY26:DZ26,B$115)+COUNTIF('4月'!ED26:EE26,B$115)+COUNTIF('4月'!EI26:EJ26,B$115)+COUNTIF('4月'!EN26:EO26,B$115)+COUNTIF('4月'!ES26:ET26,B$115)</f>
        <v>0</v>
      </c>
      <c r="C139" s="76">
        <f t="shared" si="36"/>
        <v>0</v>
      </c>
      <c r="D139" s="76">
        <f>COUNTIF('4月'!D26:E26,D$115)+COUNTIF('4月'!I26:J26,D$115)+COUNTIF('4月'!N26:O26,D$115)+COUNTIF('4月'!S26:T26,D$115)+COUNTIF('4月'!X26:Y26,D$115)+COUNTIF('4月'!AC26:AD26,D$115)+COUNTIF('4月'!AH26:AI26,D$115)+COUNTIF('4月'!AM26:AN26,D$115)+COUNTIF('4月'!AR26:AS26,D$115)+COUNTIF('4月'!AW26:AX26,D$115)+COUNTIF('4月'!BB26:BC26,D$115)+COUNTIF('4月'!BG26:BH26,D$115)+COUNTIF('4月'!BL26:BM26,D$115)+COUNTIF('4月'!BQ26:BR26,D$115)+COUNTIF('4月'!BV26:BW26,D$115)+COUNTIF('4月'!CA26:CB26,D$115)+COUNTIF('4月'!CF26:CG26,D$115)+COUNTIF('4月'!CK26:CL26,D$115)+COUNTIF('4月'!CP26:CQ26,D$115)+COUNTIF('4月'!CU26:CV26,D$115)+COUNTIF('4月'!CZ26:DA26,D$115)+COUNTIF('4月'!DE26:DF26,D$115)+COUNTIF('4月'!DJ26:DK26,D$115)+COUNTIF('4月'!DO26:DP26,D$115)+COUNTIF('4月'!DT26:DU26,D$115)+COUNTIF('4月'!DY26:DZ26,D$115)+COUNTIF('4月'!ED26:EE26,D$115)+COUNTIF('4月'!EI26:EJ26,D$115)+COUNTIF('4月'!EN26:EO26,D$115)+COUNTIF('4月'!ES26:ET26,D$115)</f>
        <v>0</v>
      </c>
      <c r="E139" s="76">
        <f t="shared" si="37"/>
        <v>0</v>
      </c>
      <c r="F139" s="76">
        <f>COUNTIF('4月'!D26:E26,F$115)+COUNTIF('4月'!I26:J26,F$115)+COUNTIF('4月'!N26:O26,F$115)+COUNTIF('4月'!S26:T26,F$115)+COUNTIF('4月'!X26:Y26,F$115)+COUNTIF('4月'!AC26:AD26,F$115)+COUNTIF('4月'!AH26:AI26,F$115)+COUNTIF('4月'!AM26:AN26,F$115)+COUNTIF('4月'!AR26:AS26,F$115)+COUNTIF('4月'!AW26:AX26,F$115)+COUNTIF('4月'!BB26:BC26,F$115)+COUNTIF('4月'!BG26:BH26,F$115)+COUNTIF('4月'!BL26:BM26,F$115)+COUNTIF('4月'!BQ26:BR26,F$115)+COUNTIF('4月'!BV26:BW26,F$115)+COUNTIF('4月'!CA26:CB26,F$115)+COUNTIF('4月'!CF26:CG26,F$115)+COUNTIF('4月'!CK26:CL26,F$115)+COUNTIF('4月'!CP26:CQ26,F$115)+COUNTIF('4月'!CU26:CV26,F$115)+COUNTIF('4月'!CZ26:DA26,F$115)+COUNTIF('4月'!DE26:DF26,F$115)+COUNTIF('4月'!DJ26:DK26,F$115)+COUNTIF('4月'!DO26:DP26,F$115)+COUNTIF('4月'!DT26:DU26,F$115)+COUNTIF('4月'!DY26:DZ26,F$115)+COUNTIF('4月'!ED26:EE26,F$115)+COUNTIF('4月'!EI26:EJ26,F$115)+COUNTIF('4月'!EN26:EO26,F$115)+COUNTIF('4月'!ES26:ET26,F$115)</f>
        <v>0</v>
      </c>
      <c r="G139" s="76">
        <f t="shared" si="38"/>
        <v>0</v>
      </c>
      <c r="H139" s="76">
        <f>COUNTIF('4月'!D26:E26,H$115)+COUNTIF('4月'!I26:J26,H$115)+COUNTIF('4月'!N26:O26,H$115)+COUNTIF('4月'!S26:T26,H$115)+COUNTIF('4月'!X26:Y26,H$115)+COUNTIF('4月'!AC26:AD26,H$115)+COUNTIF('4月'!AH26:AI26,H$115)+COUNTIF('4月'!AM26:AN26,H$115)+COUNTIF('4月'!AR26:AS26,H$115)+COUNTIF('4月'!AW26:AX26,H$115)+COUNTIF('4月'!BB26:BC26,H$115)+COUNTIF('4月'!BG26:BH26,H$115)+COUNTIF('4月'!BL26:BM26,H$115)+COUNTIF('4月'!BQ26:BR26,H$115)+COUNTIF('4月'!BV26:BW26,H$115)+COUNTIF('4月'!CA26:CB26,H$115)+COUNTIF('4月'!CF26:CG26,H$115)+COUNTIF('4月'!CK26:CL26,H$115)+COUNTIF('4月'!CP26:CQ26,H$115)+COUNTIF('4月'!CU26:CV26,H$115)+COUNTIF('4月'!CZ26:DA26,H$115)+COUNTIF('4月'!DE26:DF26,H$115)+COUNTIF('4月'!DJ26:DK26,H$115)+COUNTIF('4月'!DO26:DP26,H$115)+COUNTIF('4月'!DT26:DU26,H$115)+COUNTIF('4月'!DY26:DZ26,H$115)+COUNTIF('4月'!ED26:EE26,H$115)+COUNTIF('4月'!EI26:EJ26,H$115)+COUNTIF('4月'!EN26:EO26,H$115)+COUNTIF('4月'!ES26:ET26,H$115)+COUNTIF('4月'!D26:E26,"渋谷-夜勤")+COUNTIF('4月'!I26:J26,"渋谷-夜勤")+COUNTIF('4月'!N26:O26,"渋谷-夜勤")+COUNTIF('4月'!S26:T26,"渋谷-夜勤")+COUNTIF('4月'!X26:Y26,"渋谷-夜勤")+COUNTIF('4月'!AC26:AD26,"渋谷-夜勤")+COUNTIF('4月'!AH26:AI26,"渋谷-夜勤")+COUNTIF('4月'!AM26:AN26,"渋谷-夜勤")+COUNTIF('4月'!AR26:AS26,"渋谷-夜勤")+COUNTIF('4月'!AW26:AX26,"渋谷-夜勤")+COUNTIF('4月'!BB26:BC26,"渋谷-夜勤")+COUNTIF('4月'!BG26:BH26,"渋谷-夜勤")+COUNTIF('4月'!BL26:BM26,"渋谷-夜勤")+COUNTIF('4月'!BQ26:BR26,"渋谷-夜勤")+COUNTIF('4月'!BV26:BW26,"渋谷-夜勤")+COUNTIF('4月'!CA26:CB26,"渋谷-夜勤")+COUNTIF('4月'!CF26:CG26,"渋谷-夜勤")+COUNTIF('4月'!CK26:CL26,"渋谷-夜勤")+COUNTIF('4月'!CP26:CQ26,"渋谷-夜勤")+COUNTIF('4月'!CU26:CV26,"渋谷-夜勤")+COUNTIF('4月'!CZ26:DA26,"渋谷-夜勤")+COUNTIF('4月'!DE26:DF26,"渋谷-夜勤")+COUNTIF('4月'!DJ26:DK26,"渋谷-夜勤")+COUNTIF('4月'!DO26:DP26,"渋谷-夜勤")+COUNTIF('4月'!DT26:DU26,"渋谷-夜勤")+COUNTIF('4月'!DY26:DZ26,"渋谷-夜勤")+COUNTIF('4月'!ED26:EE26,"渋谷-夜勤")+COUNTIF('4月'!EI26:EJ26,"渋谷-夜勤")+COUNTIF('4月'!EN26:EO26,"渋谷-夜勤")+COUNTIF('4月'!ES26:ET26,"渋谷-夜勤")</f>
        <v>0</v>
      </c>
      <c r="I139" s="76">
        <f t="shared" si="39"/>
        <v>0</v>
      </c>
      <c r="J139" s="76">
        <f>COUNTIF('4月'!D26:E26,J$115)+COUNTIF('4月'!I26:J26,J$115)+COUNTIF('4月'!N26:O26,J$115)+COUNTIF('4月'!S26:T26,J$115)+COUNTIF('4月'!X26:Y26,J$115)+COUNTIF('4月'!AC26:AD26,J$115)+COUNTIF('4月'!AH26:AI26,J$115)+COUNTIF('4月'!AM26:AN26,J$115)+COUNTIF('4月'!AR26:AS26,J$115)+COUNTIF('4月'!AW26:AX26,J$115)+COUNTIF('4月'!BB26:BC26,J$115)+COUNTIF('4月'!BG26:BH26,J$115)+COUNTIF('4月'!BL26:BM26,J$115)+COUNTIF('4月'!BQ26:BR26,J$115)+COUNTIF('4月'!BV26:BW26,J$115)+COUNTIF('4月'!CA26:CB26,J$115)+COUNTIF('4月'!CF26:CG26,J$115)+COUNTIF('4月'!CK26:CL26,J$115)+COUNTIF('4月'!CP26:CQ26,J$115)+COUNTIF('4月'!CU26:CV26,J$115)+COUNTIF('4月'!CZ26:DA26,J$115)+COUNTIF('4月'!DE26:DF26,J$115)+COUNTIF('4月'!DJ26:DK26,J$115)+COUNTIF('4月'!DO26:DP26,J$115)+COUNTIF('4月'!DT26:DU26,J$115)+COUNTIF('4月'!DY26:DZ26,J$115)+COUNTIF('4月'!ED26:EE26,J$115)+COUNTIF('4月'!EI26:EJ26,J$115)+COUNTIF('4月'!EN26:EO26,J$115)+COUNTIF('4月'!ES26:ET26,J$115)+COUNTIF('4月'!D26:E26,"六本木-夜勤")+COUNTIF('4月'!I26:J26,"六本木-夜勤")+COUNTIF('4月'!N26:O26,"六本木-夜勤")+COUNTIF('4月'!S26:T26,"六本木-夜勤")+COUNTIF('4月'!X26:Y26,"六本木-夜勤")+COUNTIF('4月'!AC26:AD26,"六本木-夜勤")+COUNTIF('4月'!AH26:AI26,"六本木-夜勤")+COUNTIF('4月'!AM26:AN26,"六本木-夜勤")+COUNTIF('4月'!AR26:AS26,"六本木-夜勤")+COUNTIF('4月'!AW26:AX26,"六本木-夜勤")+COUNTIF('4月'!BB26:BC26,"六本木-夜勤")+COUNTIF('4月'!BG26:BH26,"六本木-夜勤")+COUNTIF('4月'!BL26:BM26,"六本木-夜勤")+COUNTIF('4月'!BQ26:BR26,"六本木-夜勤")+COUNTIF('4月'!BV26:BW26,"六本木-夜勤")+COUNTIF('4月'!CA26:CB26,"六本木-夜勤")+COUNTIF('4月'!CF26:CG26,"六本木-夜勤")+COUNTIF('4月'!CK26:CL26,"六本木-夜勤")+COUNTIF('4月'!CP26:CQ26,"六本木-夜勤")+COUNTIF('4月'!CU26:CV26,"六本木-夜勤")+COUNTIF('4月'!CZ26:DA26,"六本木-夜勤")+COUNTIF('4月'!DE26:DF26,"六本木-夜勤")+COUNTIF('4月'!DJ26:DK26,"六本木-夜勤")+COUNTIF('4月'!DO26:DP26,"六本木-夜勤")+COUNTIF('4月'!DT26:DU26,"六本木-夜勤")+COUNTIF('4月'!DY26:DZ26,"六本木-夜勤")+COUNTIF('4月'!ED26:EE26,"六本木-夜勤")+COUNTIF('4月'!EI26:EJ26,"六本木-夜勤")+COUNTIF('4月'!EN26:EO26,"六本木-夜勤")+COUNTIF('4月'!ES26:ET26,"六本木-夜勤")+COUNTIF('4月'!D26:E26,"六本木ー夜勤")+COUNTIF('4月'!I26:J26,"六本木ー夜勤")+COUNTIF('4月'!N26:O26,"六本木ー夜勤")+COUNTIF('4月'!S26:T26,"六本木ー夜勤")+COUNTIF('4月'!X26:Y26,"六本木ー夜勤")+COUNTIF('4月'!AC26:AD26,"六本木ー夜勤")+COUNTIF('4月'!AH26:AI26,"六本木ー夜勤")+COUNTIF('4月'!AM26:AN26,"六本木ー夜勤")+COUNTIF('4月'!AR26:AS26,"六本木ー夜勤")+COUNTIF('4月'!AW26:AX26,"六本木ー夜勤")+COUNTIF('4月'!BB26:BC26,"六本木ー夜勤")+COUNTIF('4月'!BG26:BH26,"六本木ー夜勤")+COUNTIF('4月'!BL26:BM26,"六本木ー夜勤")+COUNTIF('4月'!BQ26:BR26,"六本木ー夜勤")+COUNTIF('4月'!BV26:BW26,"六本木ー夜勤")+COUNTIF('4月'!CA26:CB26,"六本木ー夜勤")+COUNTIF('4月'!CF26:CG26,"六本木ー夜勤")+COUNTIF('4月'!CK26:CL26,"六本木ー夜勤")+COUNTIF('4月'!CP26:CQ26,"六本木ー夜勤")+COUNTIF('4月'!CU26:CV26,"六本木ー夜勤")+COUNTIF('4月'!CZ26:DA26,"六本木ー夜勤")+COUNTIF('4月'!DE26:DF26,"六本木ー夜勤")+COUNTIF('4月'!DJ26:DK26,"六本木ー夜勤")+COUNTIF('4月'!DO26:DP26,"六本木ー夜勤")+COUNTIF('4月'!DT26:DU26,"六本木ー夜勤")+COUNTIF('4月'!DY26:DZ26,"六本木ー夜勤")+COUNTIF('4月'!ED26:EE26,"六本木ー夜勤")+COUNTIF('4月'!EI26:EJ26,"六本木ー夜勤")+COUNTIF('4月'!EN26:EO26,"六本木ー夜勤")+COUNTIF('4月'!ES26:ET26,"六本木ー夜勤")</f>
        <v>0</v>
      </c>
      <c r="K139" s="76">
        <f t="shared" si="40"/>
        <v>0</v>
      </c>
      <c r="L139" s="76">
        <f>COUNTIF('4月'!D26:E26,L$115)+COUNTIF('4月'!I26:J26,L$115)+COUNTIF('4月'!N26:O26,L$115)+COUNTIF('4月'!S26:T26,L$115)+COUNTIF('4月'!X26:Y26,L$115)+COUNTIF('4月'!AC26:AD26,L$115)+COUNTIF('4月'!AH26:AI26,L$115)+COUNTIF('4月'!AM26:AN26,L$115)+COUNTIF('4月'!AR26:AS26,L$115)+COUNTIF('4月'!AW26:AX26,L$115)+COUNTIF('4月'!BB26:BC26,L$115)+COUNTIF('4月'!BG26:BH26,L$115)+COUNTIF('4月'!BL26:BM26,L$115)+COUNTIF('4月'!BQ26:BR26,L$115)+COUNTIF('4月'!BV26:BW26,L$115)+COUNTIF('4月'!CA26:CB26,L$115)+COUNTIF('4月'!CF26:CG26,L$115)+COUNTIF('4月'!CK26:CL26,L$115)+COUNTIF('4月'!CP26:CQ26,L$115)+COUNTIF('4月'!CU26:CV26,L$115)+COUNTIF('4月'!CZ26:DA26,L$115)+COUNTIF('4月'!DE26:DF26,L$115)+COUNTIF('4月'!DJ26:DK26,L$115)+COUNTIF('4月'!DO26:DP26,L$115)+COUNTIF('4月'!DT26:DU26,L$115)+COUNTIF('4月'!DY26:DZ26,L$115)+COUNTIF('4月'!ED26:EE26,L$115)+COUNTIF('4月'!EI26:EJ26,L$115)+COUNTIF('4月'!EN26:EO26,L$115)+COUNTIF('4月'!ES26:ET26,L$115)</f>
        <v>0</v>
      </c>
      <c r="M139" s="76">
        <f t="shared" si="41"/>
        <v>0</v>
      </c>
      <c r="N139" s="76">
        <f>COUNTIF('4月'!D26:E26,N$115)+COUNTIF('4月'!I26:J26,N$115)+COUNTIF('4月'!N26:O26,N$115)+COUNTIF('4月'!S26:T26,N$115)+COUNTIF('4月'!X26:Y26,N$115)+COUNTIF('4月'!AC26:AD26,N$115)+COUNTIF('4月'!AH26:AI26,N$115)+COUNTIF('4月'!AM26:AN26,N$115)+COUNTIF('4月'!AR26:AS26,N$115)+COUNTIF('4月'!AW26:AX26,N$115)+COUNTIF('4月'!BB26:BC26,N$115)+COUNTIF('4月'!BG26:BH26,N$115)+COUNTIF('4月'!BL26:BM26,N$115)+COUNTIF('4月'!BQ26:BR26,N$115)+COUNTIF('4月'!BV26:BW26,N$115)+COUNTIF('4月'!CA26:CB26,N$115)+COUNTIF('4月'!CF26:CG26,N$115)+COUNTIF('4月'!CK26:CL26,N$115)+COUNTIF('4月'!CP26:CQ26,N$115)+COUNTIF('4月'!CU26:CV26,N$115)+COUNTIF('4月'!CZ26:DA26,N$115)+COUNTIF('4月'!DE26:DF26,N$115)+COUNTIF('4月'!DJ26:DK26,N$115)+COUNTIF('4月'!DO26:DP26,N$115)+COUNTIF('4月'!DT26:DU26,N$115)+COUNTIF('4月'!DY26:DZ26,N$115)+COUNTIF('4月'!ED26:EE26,N$115)+COUNTIF('4月'!EI26:EJ26,N$115)+COUNTIF('4月'!EN26:EO26,N$115)+COUNTIF('4月'!ES26:ET26,N$115)+COUNTIF('4月'!D26:E26,"三軒茶屋－夜勤")+COUNTIF('4月'!I26:J26,"三軒茶屋－夜勤")+COUNTIF('4月'!N26:O26,"三軒茶屋－夜勤")+COUNTIF('4月'!S26:T26,"三軒茶屋－夜勤")+COUNTIF('4月'!X26:Y26,"三軒茶屋－夜勤")+COUNTIF('4月'!AC26:AD26,"三軒茶屋－夜勤")+COUNTIF('4月'!AH26:AI26,"三軒茶屋－夜勤")+COUNTIF('4月'!AM26:AN26,"三軒茶屋－夜勤")+COUNTIF('4月'!AR26:AS26,"三軒茶屋－夜勤")+COUNTIF('4月'!AW26:AX26,"三軒茶屋－夜勤")+COUNTIF('4月'!BB26:BC26,"三軒茶屋－夜勤")+COUNTIF('4月'!BG26:BH26,"三軒茶屋－夜勤")+COUNTIF('4月'!BL26:BM26,"三軒茶屋－夜勤")+COUNTIF('4月'!BQ26:BR26,"三軒茶屋－夜勤")+COUNTIF('4月'!BV26:BW26,"三軒茶屋－夜勤")+COUNTIF('4月'!CA26:CB26,"三軒茶屋－夜勤")+COUNTIF('4月'!CF26:CG26,"三軒茶屋－夜勤")+COUNTIF('4月'!CK26:CL26,"三軒茶屋－夜勤")+COUNTIF('4月'!CP26:CQ26,"三軒茶屋－夜勤")+COUNTIF('4月'!CU26:CV26,"三軒茶屋－夜勤")+COUNTIF('4月'!CZ26:DA26,"三軒茶屋－夜勤")+COUNTIF('4月'!DE26:DF26,"三軒茶屋－夜勤")+COUNTIF('4月'!DJ26:DK26,"三軒茶屋－夜勤")+COUNTIF('4月'!DO26:DP26,"三軒茶屋－夜勤")+COUNTIF('4月'!DT26:DU26,"三軒茶屋－夜勤")+COUNTIF('4月'!DY26:DZ26,"三軒茶屋－夜勤")+COUNTIF('4月'!ED26:EE26,"三軒茶屋－夜勤")+COUNTIF('4月'!EI26:EJ26,"三軒茶屋－夜勤")+COUNTIF('4月'!EN26:EO26,"三軒茶屋－夜勤")+COUNTIF('4月'!ES26:ET26,"三軒茶屋－夜勤")</f>
        <v>0</v>
      </c>
      <c r="O139" s="76">
        <f t="shared" si="42"/>
        <v>0</v>
      </c>
      <c r="P139" s="76">
        <f>COUNTIF('4月'!D26:E26,P$115)+COUNTIF('4月'!I26:J26,P$115)+COUNTIF('4月'!N26:O26,P$115)+COUNTIF('4月'!S26:T26,P$115)+COUNTIF('4月'!X26:Y26,P$115)+COUNTIF('4月'!AC26:AD26,P$115)+COUNTIF('4月'!AH26:AI26,P$115)+COUNTIF('4月'!AM26:AN26,P$115)+COUNTIF('4月'!AR26:AS26,P$115)+COUNTIF('4月'!AW26:AX26,P$115)+COUNTIF('4月'!BB26:BC26,P$115)+COUNTIF('4月'!BG26:BH26,P$115)+COUNTIF('4月'!BL26:BM26,P$115)+COUNTIF('4月'!BQ26:BR26,P$115)+COUNTIF('4月'!BV26:BW26,P$115)+COUNTIF('4月'!CA26:CB26,P$115)+COUNTIF('4月'!CF26:CG26,P$115)+COUNTIF('4月'!CK26:CL26,P$115)+COUNTIF('4月'!CP26:CQ26,P$115)+COUNTIF('4月'!CU26:CV26,P$115)+COUNTIF('4月'!CZ26:DA26,P$115)+COUNTIF('4月'!DE26:DF26,P$115)+COUNTIF('4月'!DJ26:DK26,P$115)+COUNTIF('4月'!DO26:DP26,P$115)+COUNTIF('4月'!DT26:DU26,P$115)+COUNTIF('4月'!DY26:DZ26,P$115)+COUNTIF('4月'!ED26:EE26,P$115)+COUNTIF('4月'!EI26:EJ26,P$115)+COUNTIF('4月'!EN26:EO26,P$115)+COUNTIF('4月'!ES26:ET26,P$115)+COUNTIF('4月'!D26:E26,"荻窪ー夜勤")+COUNTIF('4月'!I26:J26,"荻窪ー夜勤")+COUNTIF('4月'!N26:O26,"荻窪ー夜勤")+COUNTIF('4月'!S26:T26,"荻窪ー夜勤")+COUNTIF('4月'!X26:Y26,"荻窪ー夜勤")+COUNTIF('4月'!AC26:AD26,"荻窪ー夜勤")+COUNTIF('4月'!AH26:AI26,"荻窪ー夜勤")+COUNTIF('4月'!AM26:AN26,"荻窪ー夜勤")+COUNTIF('4月'!AR26:AS26,"荻窪ー夜勤")+COUNTIF('4月'!AW26:AX26,"荻窪ー夜勤")+COUNTIF('4月'!BB26:BC26,"荻窪ー夜勤")+COUNTIF('4月'!BG26:BH26,"荻窪ー夜勤")+COUNTIF('4月'!BL26:BM26,"荻窪ー夜勤")+COUNTIF('4月'!BQ26:BR26,"荻窪ー夜勤")+COUNTIF('4月'!BV26:BW26,"荻窪ー夜勤")+COUNTIF('4月'!CA26:CB26,"荻窪ー夜勤")+COUNTIF('4月'!CF26:CG26,"荻窪ー夜勤")+COUNTIF('4月'!CK26:CL26,"荻窪ー夜勤")+COUNTIF('4月'!CP26:CQ26,"荻窪ー夜勤")+COUNTIF('4月'!CU26:CV26,"荻窪ー夜勤")+COUNTIF('4月'!CZ26:DA26,"荻窪ー夜勤")+COUNTIF('4月'!DE26:DF26,"荻窪ー夜勤")+COUNTIF('4月'!DJ26:DK26,"荻窪ー夜勤")+COUNTIF('4月'!DO26:DP26,"荻窪ー夜勤")+COUNTIF('4月'!DT26:DU26,"荻窪ー夜勤")+COUNTIF('4月'!DY26:DZ26,"荻窪ー夜勤")+COUNTIF('4月'!ED26:EE26,"荻窪ー夜勤")+COUNTIF('4月'!EI26:EJ26,"荻窪ー夜勤")+COUNTIF('4月'!EN26:EO26,"荻窪ー夜勤")+COUNTIF('4月'!ES26:ET26,"荻窪ー夜勤")</f>
        <v>0</v>
      </c>
      <c r="Q139" s="76">
        <f t="shared" si="43"/>
        <v>0</v>
      </c>
      <c r="R139" s="76">
        <f>COUNTIF('4月'!D26:E26,R$115)+COUNTIF('4月'!I26:J26,R$115)+COUNTIF('4月'!N26:O26,R$115)+COUNTIF('4月'!S26:T26,R$115)+COUNTIF('4月'!X26:Y26,R$115)+COUNTIF('4月'!AC26:AD26,R$115)+COUNTIF('4月'!AH26:AI26,R$115)+COUNTIF('4月'!AM26:AN26,R$115)+COUNTIF('4月'!AR26:AS26,R$115)+COUNTIF('4月'!AW26:AX26,R$115)+COUNTIF('4月'!BB26:BC26,R$115)+COUNTIF('4月'!BG26:BH26,R$115)+COUNTIF('4月'!BL26:BM26,R$115)+COUNTIF('4月'!BQ26:BR26,R$115)+COUNTIF('4月'!BV26:BW26,R$115)+COUNTIF('4月'!CA26:CB26,R$115)+COUNTIF('4月'!CF26:CG26,R$115)+COUNTIF('4月'!CK26:CL26,R$115)+COUNTIF('4月'!CP26:CQ26,R$115)+COUNTIF('4月'!CU26:CV26,R$115)+COUNTIF('4月'!CZ26:DA26,R$115)+COUNTIF('4月'!DE26:DF26,R$115)+COUNTIF('4月'!DJ26:DK26,R$115)+COUNTIF('4月'!DO26:DP26,R$115)+COUNTIF('4月'!DT26:DU26,R$115)+COUNTIF('4月'!DY26:DZ26,R$115)+COUNTIF('4月'!ED26:EE26,R$115)+COUNTIF('4月'!EI26:EJ26,R$115)+COUNTIF('4月'!EN26:EO26,R$115)+COUNTIF('4月'!ES26:ET26,R$115)</f>
        <v>0</v>
      </c>
      <c r="S139" s="76">
        <f t="shared" si="44"/>
        <v>0</v>
      </c>
      <c r="T139" s="76">
        <f>COUNTIF('4月'!D26:E26,T$115)+COUNTIF('4月'!I26:J26,T$115)+COUNTIF('4月'!N26:O26,T$115)+COUNTIF('4月'!S26:T26,T$115)+COUNTIF('4月'!X26:Y26,T$115)+COUNTIF('4月'!AC26:AD26,T$115)+COUNTIF('4月'!AH26:AI26,T$115)+COUNTIF('4月'!AM26:AN26,T$115)+COUNTIF('4月'!AR26:AS26,T$115)+COUNTIF('4月'!AW26:AX26,T$115)+COUNTIF('4月'!BB26:BC26,T$115)+COUNTIF('4月'!BG26:BH26,T$115)+COUNTIF('4月'!BL26:BM26,T$115)+COUNTIF('4月'!BQ26:BR26,T$115)+COUNTIF('4月'!BV26:BW26,T$115)+COUNTIF('4月'!CA26:CB26,T$115)+COUNTIF('4月'!CF26:CG26,T$115)+COUNTIF('4月'!CK26:CL26,T$115)+COUNTIF('4月'!CP26:CQ26,T$115)+COUNTIF('4月'!CU26:CV26,T$115)+COUNTIF('4月'!CZ26:DA26,T$115)+COUNTIF('4月'!DE26:DF26,T$115)+COUNTIF('4月'!DJ26:DK26,T$115)+COUNTIF('4月'!DO26:DP26,T$115)+COUNTIF('4月'!DT26:DU26,T$115)+COUNTIF('4月'!DY26:DZ26,T$115)+COUNTIF('4月'!ED26:EE26,T$115)+COUNTIF('4月'!EI26:EJ26,T$115)+COUNTIF('4月'!EN26:EO26,T$115)+COUNTIF('4月'!ES26:ET26,T$115)</f>
        <v>0</v>
      </c>
      <c r="U139" s="76">
        <f t="shared" si="45"/>
        <v>0</v>
      </c>
      <c r="V139" s="76">
        <f>COUNTIF('4月'!D26:E26,V$115)+COUNTIF('4月'!I26:J26,V$115)+COUNTIF('4月'!N26:O26,V$115)+COUNTIF('4月'!S26:T26,V$115)+COUNTIF('4月'!X26:Y26,V$115)+COUNTIF('4月'!AC26:AD26,V$115)+COUNTIF('4月'!AH26:AI26,V$115)+COUNTIF('4月'!AM26:AN26,V$115)+COUNTIF('4月'!AR26:AS26,V$115)+COUNTIF('4月'!AW26:AX26,V$115)+COUNTIF('4月'!BB26:BC26,V$115)+COUNTIF('4月'!BG26:BH26,V$115)+COUNTIF('4月'!BL26:BM26,V$115)+COUNTIF('4月'!BQ26:BR26,V$115)+COUNTIF('4月'!BV26:BW26,V$115)+COUNTIF('4月'!CA26:CB26,V$115)+COUNTIF('4月'!CF26:CG26,V$115)+COUNTIF('4月'!CK26:CL26,V$115)+COUNTIF('4月'!CP26:CQ26,V$115)+COUNTIF('4月'!CU26:CV26,V$115)+COUNTIF('4月'!CZ26:DA26,V$115)+COUNTIF('4月'!DE26:DF26,V$115)+COUNTIF('4月'!DJ26:DK26,V$115)+COUNTIF('4月'!DO26:DP26,V$115)+COUNTIF('4月'!DT26:DU26,V$115)+COUNTIF('4月'!DY26:DZ26,V$115)+COUNTIF('4月'!ED26:EE26,V$115)+COUNTIF('4月'!EI26:EJ26,V$115)+COUNTIF('4月'!EN26:EO26,V$115)+COUNTIF('4月'!ES26:ET26,V$115)</f>
        <v>0</v>
      </c>
      <c r="W139" s="76">
        <f t="shared" si="46"/>
        <v>0</v>
      </c>
      <c r="X139" s="76">
        <f>COUNTIF('4月'!D26:E26,X$115)+COUNTIF('4月'!I26:J26,X$115)+COUNTIF('4月'!N26:O26,X$115)+COUNTIF('4月'!S26:T26,X$115)+COUNTIF('4月'!X26:Y26,X$115)+COUNTIF('4月'!AC26:AD26,X$115)+COUNTIF('4月'!AH26:AI26,X$115)+COUNTIF('4月'!AM26:AN26,X$115)+COUNTIF('4月'!AR26:AS26,X$115)+COUNTIF('4月'!AW26:AX26,X$115)+COUNTIF('4月'!BB26:BC26,X$115)+COUNTIF('4月'!BG26:BH26,X$115)+COUNTIF('4月'!BL26:BM26,X$115)+COUNTIF('4月'!BQ26:BR26,X$115)+COUNTIF('4月'!BV26:BW26,X$115)+COUNTIF('4月'!CA26:CB26,X$115)+COUNTIF('4月'!CF26:CG26,X$115)+COUNTIF('4月'!CK26:CL26,X$115)+COUNTIF('4月'!CP26:CQ26,X$115)+COUNTIF('4月'!CU26:CV26,X$115)+COUNTIF('4月'!CZ26:DA26,X$115)+COUNTIF('4月'!DE26:DF26,X$115)+COUNTIF('4月'!DJ26:DK26,X$115)+COUNTIF('4月'!DO26:DP26,X$115)+COUNTIF('4月'!DT26:DU26,X$115)+COUNTIF('4月'!DY26:DZ26,X$115)+COUNTIF('4月'!ED26:EE26,X$115)+COUNTIF('4月'!EI26:EJ26,X$115)+COUNTIF('4月'!EN26:EO26,X$115)+COUNTIF('4月'!ES26:ET26,X$115)</f>
        <v>0</v>
      </c>
      <c r="Y139" s="76">
        <f t="shared" si="47"/>
        <v>0</v>
      </c>
    </row>
    <row r="140" spans="1:25" ht="18" customHeight="1">
      <c r="A140" s="76">
        <v>24</v>
      </c>
      <c r="B140" s="76">
        <f>COUNTIF('4月'!D27:E27,B$115)+COUNTIF('4月'!I27:J27,B$115)+COUNTIF('4月'!N27:O27,B$115)+COUNTIF('4月'!S27:T27,B$115)+COUNTIF('4月'!X27:Y27,B$115)+COUNTIF('4月'!AC27:AD27,B$115)+COUNTIF('4月'!AH27:AI27,B$115)+COUNTIF('4月'!AM27:AN27,B$115)+COUNTIF('4月'!AR27:AS27,B$115)+COUNTIF('4月'!AW27:AX27,B$115)+COUNTIF('4月'!BB27:BC27,B$115)+COUNTIF('4月'!BG27:BH27,B$115)+COUNTIF('4月'!BL27:BM27,B$115)+COUNTIF('4月'!BQ27:BR27,B$115)+COUNTIF('4月'!BV27:BW27,B$115)+COUNTIF('4月'!CA27:CB27,B$115)+COUNTIF('4月'!CF27:CG27,B$115)+COUNTIF('4月'!CK27:CL27,B$115)+COUNTIF('4月'!CP27:CQ27,B$115)+COUNTIF('4月'!CU27:CV27,B$115)+COUNTIF('4月'!CZ27:DA27,B$115)+COUNTIF('4月'!DE27:DF27,B$115)+COUNTIF('4月'!DJ27:DK27,B$115)+COUNTIF('4月'!DO27:DP27,B$115)+COUNTIF('4月'!DT27:DU27,B$115)+COUNTIF('4月'!DY27:DZ27,B$115)+COUNTIF('4月'!ED27:EE27,B$115)+COUNTIF('4月'!EI27:EJ27,B$115)+COUNTIF('4月'!EN27:EO27,B$115)+COUNTIF('4月'!ES27:ET27,B$115)</f>
        <v>0</v>
      </c>
      <c r="C140" s="76">
        <f t="shared" si="36"/>
        <v>0</v>
      </c>
      <c r="D140" s="76">
        <f>COUNTIF('4月'!D27:E27,D$115)+COUNTIF('4月'!I27:J27,D$115)+COUNTIF('4月'!N27:O27,D$115)+COUNTIF('4月'!S27:T27,D$115)+COUNTIF('4月'!X27:Y27,D$115)+COUNTIF('4月'!AC27:AD27,D$115)+COUNTIF('4月'!AH27:AI27,D$115)+COUNTIF('4月'!AM27:AN27,D$115)+COUNTIF('4月'!AR27:AS27,D$115)+COUNTIF('4月'!AW27:AX27,D$115)+COUNTIF('4月'!BB27:BC27,D$115)+COUNTIF('4月'!BG27:BH27,D$115)+COUNTIF('4月'!BL27:BM27,D$115)+COUNTIF('4月'!BQ27:BR27,D$115)+COUNTIF('4月'!BV27:BW27,D$115)+COUNTIF('4月'!CA27:CB27,D$115)+COUNTIF('4月'!CF27:CG27,D$115)+COUNTIF('4月'!CK27:CL27,D$115)+COUNTIF('4月'!CP27:CQ27,D$115)+COUNTIF('4月'!CU27:CV27,D$115)+COUNTIF('4月'!CZ27:DA27,D$115)+COUNTIF('4月'!DE27:DF27,D$115)+COUNTIF('4月'!DJ27:DK27,D$115)+COUNTIF('4月'!DO27:DP27,D$115)+COUNTIF('4月'!DT27:DU27,D$115)+COUNTIF('4月'!DY27:DZ27,D$115)+COUNTIF('4月'!ED27:EE27,D$115)+COUNTIF('4月'!EI27:EJ27,D$115)+COUNTIF('4月'!EN27:EO27,D$115)+COUNTIF('4月'!ES27:ET27,D$115)</f>
        <v>0</v>
      </c>
      <c r="E140" s="76">
        <f t="shared" si="37"/>
        <v>0</v>
      </c>
      <c r="F140" s="76">
        <f>COUNTIF('4月'!D27:E27,F$115)+COUNTIF('4月'!I27:J27,F$115)+COUNTIF('4月'!N27:O27,F$115)+COUNTIF('4月'!S27:T27,F$115)+COUNTIF('4月'!X27:Y27,F$115)+COUNTIF('4月'!AC27:AD27,F$115)+COUNTIF('4月'!AH27:AI27,F$115)+COUNTIF('4月'!AM27:AN27,F$115)+COUNTIF('4月'!AR27:AS27,F$115)+COUNTIF('4月'!AW27:AX27,F$115)+COUNTIF('4月'!BB27:BC27,F$115)+COUNTIF('4月'!BG27:BH27,F$115)+COUNTIF('4月'!BL27:BM27,F$115)+COUNTIF('4月'!BQ27:BR27,F$115)+COUNTIF('4月'!BV27:BW27,F$115)+COUNTIF('4月'!CA27:CB27,F$115)+COUNTIF('4月'!CF27:CG27,F$115)+COUNTIF('4月'!CK27:CL27,F$115)+COUNTIF('4月'!CP27:CQ27,F$115)+COUNTIF('4月'!CU27:CV27,F$115)+COUNTIF('4月'!CZ27:DA27,F$115)+COUNTIF('4月'!DE27:DF27,F$115)+COUNTIF('4月'!DJ27:DK27,F$115)+COUNTIF('4月'!DO27:DP27,F$115)+COUNTIF('4月'!DT27:DU27,F$115)+COUNTIF('4月'!DY27:DZ27,F$115)+COUNTIF('4月'!ED27:EE27,F$115)+COUNTIF('4月'!EI27:EJ27,F$115)+COUNTIF('4月'!EN27:EO27,F$115)+COUNTIF('4月'!ES27:ET27,F$115)</f>
        <v>0</v>
      </c>
      <c r="G140" s="76">
        <f t="shared" si="38"/>
        <v>0</v>
      </c>
      <c r="H140" s="76">
        <f>COUNTIF('4月'!D27:E27,H$115)+COUNTIF('4月'!I27:J27,H$115)+COUNTIF('4月'!N27:O27,H$115)+COUNTIF('4月'!S27:T27,H$115)+COUNTIF('4月'!X27:Y27,H$115)+COUNTIF('4月'!AC27:AD27,H$115)+COUNTIF('4月'!AH27:AI27,H$115)+COUNTIF('4月'!AM27:AN27,H$115)+COUNTIF('4月'!AR27:AS27,H$115)+COUNTIF('4月'!AW27:AX27,H$115)+COUNTIF('4月'!BB27:BC27,H$115)+COUNTIF('4月'!BG27:BH27,H$115)+COUNTIF('4月'!BL27:BM27,H$115)+COUNTIF('4月'!BQ27:BR27,H$115)+COUNTIF('4月'!BV27:BW27,H$115)+COUNTIF('4月'!CA27:CB27,H$115)+COUNTIF('4月'!CF27:CG27,H$115)+COUNTIF('4月'!CK27:CL27,H$115)+COUNTIF('4月'!CP27:CQ27,H$115)+COUNTIF('4月'!CU27:CV27,H$115)+COUNTIF('4月'!CZ27:DA27,H$115)+COUNTIF('4月'!DE27:DF27,H$115)+COUNTIF('4月'!DJ27:DK27,H$115)+COUNTIF('4月'!DO27:DP27,H$115)+COUNTIF('4月'!DT27:DU27,H$115)+COUNTIF('4月'!DY27:DZ27,H$115)+COUNTIF('4月'!ED27:EE27,H$115)+COUNTIF('4月'!EI27:EJ27,H$115)+COUNTIF('4月'!EN27:EO27,H$115)+COUNTIF('4月'!ES27:ET27,H$115)+COUNTIF('4月'!D27:E27,"渋谷-夜勤")+COUNTIF('4月'!I27:J27,"渋谷-夜勤")+COUNTIF('4月'!N27:O27,"渋谷-夜勤")+COUNTIF('4月'!S27:T27,"渋谷-夜勤")+COUNTIF('4月'!X27:Y27,"渋谷-夜勤")+COUNTIF('4月'!AC27:AD27,"渋谷-夜勤")+COUNTIF('4月'!AH27:AI27,"渋谷-夜勤")+COUNTIF('4月'!AM27:AN27,"渋谷-夜勤")+COUNTIF('4月'!AR27:AS27,"渋谷-夜勤")+COUNTIF('4月'!AW27:AX27,"渋谷-夜勤")+COUNTIF('4月'!BB27:BC27,"渋谷-夜勤")+COUNTIF('4月'!BG27:BH27,"渋谷-夜勤")+COUNTIF('4月'!BL27:BM27,"渋谷-夜勤")+COUNTIF('4月'!BQ27:BR27,"渋谷-夜勤")+COUNTIF('4月'!BV27:BW27,"渋谷-夜勤")+COUNTIF('4月'!CA27:CB27,"渋谷-夜勤")+COUNTIF('4月'!CF27:CG27,"渋谷-夜勤")+COUNTIF('4月'!CK27:CL27,"渋谷-夜勤")+COUNTIF('4月'!CP27:CQ27,"渋谷-夜勤")+COUNTIF('4月'!CU27:CV27,"渋谷-夜勤")+COUNTIF('4月'!CZ27:DA27,"渋谷-夜勤")+COUNTIF('4月'!DE27:DF27,"渋谷-夜勤")+COUNTIF('4月'!DJ27:DK27,"渋谷-夜勤")+COUNTIF('4月'!DO27:DP27,"渋谷-夜勤")+COUNTIF('4月'!DT27:DU27,"渋谷-夜勤")+COUNTIF('4月'!DY27:DZ27,"渋谷-夜勤")+COUNTIF('4月'!ED27:EE27,"渋谷-夜勤")+COUNTIF('4月'!EI27:EJ27,"渋谷-夜勤")+COUNTIF('4月'!EN27:EO27,"渋谷-夜勤")+COUNTIF('4月'!ES27:ET27,"渋谷-夜勤")</f>
        <v>0</v>
      </c>
      <c r="I140" s="76">
        <f t="shared" si="39"/>
        <v>0</v>
      </c>
      <c r="J140" s="76">
        <f>COUNTIF('4月'!D27:E27,J$115)+COUNTIF('4月'!I27:J27,J$115)+COUNTIF('4月'!N27:O27,J$115)+COUNTIF('4月'!S27:T27,J$115)+COUNTIF('4月'!X27:Y27,J$115)+COUNTIF('4月'!AC27:AD27,J$115)+COUNTIF('4月'!AH27:AI27,J$115)+COUNTIF('4月'!AM27:AN27,J$115)+COUNTIF('4月'!AR27:AS27,J$115)+COUNTIF('4月'!AW27:AX27,J$115)+COUNTIF('4月'!BB27:BC27,J$115)+COUNTIF('4月'!BG27:BH27,J$115)+COUNTIF('4月'!BL27:BM27,J$115)+COUNTIF('4月'!BQ27:BR27,J$115)+COUNTIF('4月'!BV27:BW27,J$115)+COUNTIF('4月'!CA27:CB27,J$115)+COUNTIF('4月'!CF27:CG27,J$115)+COUNTIF('4月'!CK27:CL27,J$115)+COUNTIF('4月'!CP27:CQ27,J$115)+COUNTIF('4月'!CU27:CV27,J$115)+COUNTIF('4月'!CZ27:DA27,J$115)+COUNTIF('4月'!DE27:DF27,J$115)+COUNTIF('4月'!DJ27:DK27,J$115)+COUNTIF('4月'!DO27:DP27,J$115)+COUNTIF('4月'!DT27:DU27,J$115)+COUNTIF('4月'!DY27:DZ27,J$115)+COUNTIF('4月'!ED27:EE27,J$115)+COUNTIF('4月'!EI27:EJ27,J$115)+COUNTIF('4月'!EN27:EO27,J$115)+COUNTIF('4月'!ES27:ET27,J$115)+COUNTIF('4月'!D27:E27,"六本木-夜勤")+COUNTIF('4月'!I27:J27,"六本木-夜勤")+COUNTIF('4月'!N27:O27,"六本木-夜勤")+COUNTIF('4月'!S27:T27,"六本木-夜勤")+COUNTIF('4月'!X27:Y27,"六本木-夜勤")+COUNTIF('4月'!AC27:AD27,"六本木-夜勤")+COUNTIF('4月'!AH27:AI27,"六本木-夜勤")+COUNTIF('4月'!AM27:AN27,"六本木-夜勤")+COUNTIF('4月'!AR27:AS27,"六本木-夜勤")+COUNTIF('4月'!AW27:AX27,"六本木-夜勤")+COUNTIF('4月'!BB27:BC27,"六本木-夜勤")+COUNTIF('4月'!BG27:BH27,"六本木-夜勤")+COUNTIF('4月'!BL27:BM27,"六本木-夜勤")+COUNTIF('4月'!BQ27:BR27,"六本木-夜勤")+COUNTIF('4月'!BV27:BW27,"六本木-夜勤")+COUNTIF('4月'!CA27:CB27,"六本木-夜勤")+COUNTIF('4月'!CF27:CG27,"六本木-夜勤")+COUNTIF('4月'!CK27:CL27,"六本木-夜勤")+COUNTIF('4月'!CP27:CQ27,"六本木-夜勤")+COUNTIF('4月'!CU27:CV27,"六本木-夜勤")+COUNTIF('4月'!CZ27:DA27,"六本木-夜勤")+COUNTIF('4月'!DE27:DF27,"六本木-夜勤")+COUNTIF('4月'!DJ27:DK27,"六本木-夜勤")+COUNTIF('4月'!DO27:DP27,"六本木-夜勤")+COUNTIF('4月'!DT27:DU27,"六本木-夜勤")+COUNTIF('4月'!DY27:DZ27,"六本木-夜勤")+COUNTIF('4月'!ED27:EE27,"六本木-夜勤")+COUNTIF('4月'!EI27:EJ27,"六本木-夜勤")+COUNTIF('4月'!EN27:EO27,"六本木-夜勤")+COUNTIF('4月'!ES27:ET27,"六本木-夜勤")+COUNTIF('4月'!D27:E27,"六本木ー夜勤")+COUNTIF('4月'!I27:J27,"六本木ー夜勤")+COUNTIF('4月'!N27:O27,"六本木ー夜勤")+COUNTIF('4月'!S27:T27,"六本木ー夜勤")+COUNTIF('4月'!X27:Y27,"六本木ー夜勤")+COUNTIF('4月'!AC27:AD27,"六本木ー夜勤")+COUNTIF('4月'!AH27:AI27,"六本木ー夜勤")+COUNTIF('4月'!AM27:AN27,"六本木ー夜勤")+COUNTIF('4月'!AR27:AS27,"六本木ー夜勤")+COUNTIF('4月'!AW27:AX27,"六本木ー夜勤")+COUNTIF('4月'!BB27:BC27,"六本木ー夜勤")+COUNTIF('4月'!BG27:BH27,"六本木ー夜勤")+COUNTIF('4月'!BL27:BM27,"六本木ー夜勤")+COUNTIF('4月'!BQ27:BR27,"六本木ー夜勤")+COUNTIF('4月'!BV27:BW27,"六本木ー夜勤")+COUNTIF('4月'!CA27:CB27,"六本木ー夜勤")+COUNTIF('4月'!CF27:CG27,"六本木ー夜勤")+COUNTIF('4月'!CK27:CL27,"六本木ー夜勤")+COUNTIF('4月'!CP27:CQ27,"六本木ー夜勤")+COUNTIF('4月'!CU27:CV27,"六本木ー夜勤")+COUNTIF('4月'!CZ27:DA27,"六本木ー夜勤")+COUNTIF('4月'!DE27:DF27,"六本木ー夜勤")+COUNTIF('4月'!DJ27:DK27,"六本木ー夜勤")+COUNTIF('4月'!DO27:DP27,"六本木ー夜勤")+COUNTIF('4月'!DT27:DU27,"六本木ー夜勤")+COUNTIF('4月'!DY27:DZ27,"六本木ー夜勤")+COUNTIF('4月'!ED27:EE27,"六本木ー夜勤")+COUNTIF('4月'!EI27:EJ27,"六本木ー夜勤")+COUNTIF('4月'!EN27:EO27,"六本木ー夜勤")+COUNTIF('4月'!ES27:ET27,"六本木ー夜勤")</f>
        <v>0</v>
      </c>
      <c r="K140" s="76">
        <f t="shared" si="40"/>
        <v>0</v>
      </c>
      <c r="L140" s="76">
        <f>COUNTIF('4月'!D27:E27,L$115)+COUNTIF('4月'!I27:J27,L$115)+COUNTIF('4月'!N27:O27,L$115)+COUNTIF('4月'!S27:T27,L$115)+COUNTIF('4月'!X27:Y27,L$115)+COUNTIF('4月'!AC27:AD27,L$115)+COUNTIF('4月'!AH27:AI27,L$115)+COUNTIF('4月'!AM27:AN27,L$115)+COUNTIF('4月'!AR27:AS27,L$115)+COUNTIF('4月'!AW27:AX27,L$115)+COUNTIF('4月'!BB27:BC27,L$115)+COUNTIF('4月'!BG27:BH27,L$115)+COUNTIF('4月'!BL27:BM27,L$115)+COUNTIF('4月'!BQ27:BR27,L$115)+COUNTIF('4月'!BV27:BW27,L$115)+COUNTIF('4月'!CA27:CB27,L$115)+COUNTIF('4月'!CF27:CG27,L$115)+COUNTIF('4月'!CK27:CL27,L$115)+COUNTIF('4月'!CP27:CQ27,L$115)+COUNTIF('4月'!CU27:CV27,L$115)+COUNTIF('4月'!CZ27:DA27,L$115)+COUNTIF('4月'!DE27:DF27,L$115)+COUNTIF('4月'!DJ27:DK27,L$115)+COUNTIF('4月'!DO27:DP27,L$115)+COUNTIF('4月'!DT27:DU27,L$115)+COUNTIF('4月'!DY27:DZ27,L$115)+COUNTIF('4月'!ED27:EE27,L$115)+COUNTIF('4月'!EI27:EJ27,L$115)+COUNTIF('4月'!EN27:EO27,L$115)+COUNTIF('4月'!ES27:ET27,L$115)</f>
        <v>0</v>
      </c>
      <c r="M140" s="76">
        <f t="shared" si="41"/>
        <v>0</v>
      </c>
      <c r="N140" s="76">
        <f>COUNTIF('4月'!D27:E27,N$115)+COUNTIF('4月'!I27:J27,N$115)+COUNTIF('4月'!N27:O27,N$115)+COUNTIF('4月'!S27:T27,N$115)+COUNTIF('4月'!X27:Y27,N$115)+COUNTIF('4月'!AC27:AD27,N$115)+COUNTIF('4月'!AH27:AI27,N$115)+COUNTIF('4月'!AM27:AN27,N$115)+COUNTIF('4月'!AR27:AS27,N$115)+COUNTIF('4月'!AW27:AX27,N$115)+COUNTIF('4月'!BB27:BC27,N$115)+COUNTIF('4月'!BG27:BH27,N$115)+COUNTIF('4月'!BL27:BM27,N$115)+COUNTIF('4月'!BQ27:BR27,N$115)+COUNTIF('4月'!BV27:BW27,N$115)+COUNTIF('4月'!CA27:CB27,N$115)+COUNTIF('4月'!CF27:CG27,N$115)+COUNTIF('4月'!CK27:CL27,N$115)+COUNTIF('4月'!CP27:CQ27,N$115)+COUNTIF('4月'!CU27:CV27,N$115)+COUNTIF('4月'!CZ27:DA27,N$115)+COUNTIF('4月'!DE27:DF27,N$115)+COUNTIF('4月'!DJ27:DK27,N$115)+COUNTIF('4月'!DO27:DP27,N$115)+COUNTIF('4月'!DT27:DU27,N$115)+COUNTIF('4月'!DY27:DZ27,N$115)+COUNTIF('4月'!ED27:EE27,N$115)+COUNTIF('4月'!EI27:EJ27,N$115)+COUNTIF('4月'!EN27:EO27,N$115)+COUNTIF('4月'!ES27:ET27,N$115)+COUNTIF('4月'!D27:E27,"三軒茶屋－夜勤")+COUNTIF('4月'!I27:J27,"三軒茶屋－夜勤")+COUNTIF('4月'!N27:O27,"三軒茶屋－夜勤")+COUNTIF('4月'!S27:T27,"三軒茶屋－夜勤")+COUNTIF('4月'!X27:Y27,"三軒茶屋－夜勤")+COUNTIF('4月'!AC27:AD27,"三軒茶屋－夜勤")+COUNTIF('4月'!AH27:AI27,"三軒茶屋－夜勤")+COUNTIF('4月'!AM27:AN27,"三軒茶屋－夜勤")+COUNTIF('4月'!AR27:AS27,"三軒茶屋－夜勤")+COUNTIF('4月'!AW27:AX27,"三軒茶屋－夜勤")+COUNTIF('4月'!BB27:BC27,"三軒茶屋－夜勤")+COUNTIF('4月'!BG27:BH27,"三軒茶屋－夜勤")+COUNTIF('4月'!BL27:BM27,"三軒茶屋－夜勤")+COUNTIF('4月'!BQ27:BR27,"三軒茶屋－夜勤")+COUNTIF('4月'!BV27:BW27,"三軒茶屋－夜勤")+COUNTIF('4月'!CA27:CB27,"三軒茶屋－夜勤")+COUNTIF('4月'!CF27:CG27,"三軒茶屋－夜勤")+COUNTIF('4月'!CK27:CL27,"三軒茶屋－夜勤")+COUNTIF('4月'!CP27:CQ27,"三軒茶屋－夜勤")+COUNTIF('4月'!CU27:CV27,"三軒茶屋－夜勤")+COUNTIF('4月'!CZ27:DA27,"三軒茶屋－夜勤")+COUNTIF('4月'!DE27:DF27,"三軒茶屋－夜勤")+COUNTIF('4月'!DJ27:DK27,"三軒茶屋－夜勤")+COUNTIF('4月'!DO27:DP27,"三軒茶屋－夜勤")+COUNTIF('4月'!DT27:DU27,"三軒茶屋－夜勤")+COUNTIF('4月'!DY27:DZ27,"三軒茶屋－夜勤")+COUNTIF('4月'!ED27:EE27,"三軒茶屋－夜勤")+COUNTIF('4月'!EI27:EJ27,"三軒茶屋－夜勤")+COUNTIF('4月'!EN27:EO27,"三軒茶屋－夜勤")+COUNTIF('4月'!ES27:ET27,"三軒茶屋－夜勤")</f>
        <v>0</v>
      </c>
      <c r="O140" s="76">
        <f t="shared" si="42"/>
        <v>0</v>
      </c>
      <c r="P140" s="76">
        <f>COUNTIF('4月'!D27:E27,P$115)+COUNTIF('4月'!I27:J27,P$115)+COUNTIF('4月'!N27:O27,P$115)+COUNTIF('4月'!S27:T27,P$115)+COUNTIF('4月'!X27:Y27,P$115)+COUNTIF('4月'!AC27:AD27,P$115)+COUNTIF('4月'!AH27:AI27,P$115)+COUNTIF('4月'!AM27:AN27,P$115)+COUNTIF('4月'!AR27:AS27,P$115)+COUNTIF('4月'!AW27:AX27,P$115)+COUNTIF('4月'!BB27:BC27,P$115)+COUNTIF('4月'!BG27:BH27,P$115)+COUNTIF('4月'!BL27:BM27,P$115)+COUNTIF('4月'!BQ27:BR27,P$115)+COUNTIF('4月'!BV27:BW27,P$115)+COUNTIF('4月'!CA27:CB27,P$115)+COUNTIF('4月'!CF27:CG27,P$115)+COUNTIF('4月'!CK27:CL27,P$115)+COUNTIF('4月'!CP27:CQ27,P$115)+COUNTIF('4月'!CU27:CV27,P$115)+COUNTIF('4月'!CZ27:DA27,P$115)+COUNTIF('4月'!DE27:DF27,P$115)+COUNTIF('4月'!DJ27:DK27,P$115)+COUNTIF('4月'!DO27:DP27,P$115)+COUNTIF('4月'!DT27:DU27,P$115)+COUNTIF('4月'!DY27:DZ27,P$115)+COUNTIF('4月'!ED27:EE27,P$115)+COUNTIF('4月'!EI27:EJ27,P$115)+COUNTIF('4月'!EN27:EO27,P$115)+COUNTIF('4月'!ES27:ET27,P$115)+COUNTIF('4月'!D27:E27,"荻窪ー夜勤")+COUNTIF('4月'!I27:J27,"荻窪ー夜勤")+COUNTIF('4月'!N27:O27,"荻窪ー夜勤")+COUNTIF('4月'!S27:T27,"荻窪ー夜勤")+COUNTIF('4月'!X27:Y27,"荻窪ー夜勤")+COUNTIF('4月'!AC27:AD27,"荻窪ー夜勤")+COUNTIF('4月'!AH27:AI27,"荻窪ー夜勤")+COUNTIF('4月'!AM27:AN27,"荻窪ー夜勤")+COUNTIF('4月'!AR27:AS27,"荻窪ー夜勤")+COUNTIF('4月'!AW27:AX27,"荻窪ー夜勤")+COUNTIF('4月'!BB27:BC27,"荻窪ー夜勤")+COUNTIF('4月'!BG27:BH27,"荻窪ー夜勤")+COUNTIF('4月'!BL27:BM27,"荻窪ー夜勤")+COUNTIF('4月'!BQ27:BR27,"荻窪ー夜勤")+COUNTIF('4月'!BV27:BW27,"荻窪ー夜勤")+COUNTIF('4月'!CA27:CB27,"荻窪ー夜勤")+COUNTIF('4月'!CF27:CG27,"荻窪ー夜勤")+COUNTIF('4月'!CK27:CL27,"荻窪ー夜勤")+COUNTIF('4月'!CP27:CQ27,"荻窪ー夜勤")+COUNTIF('4月'!CU27:CV27,"荻窪ー夜勤")+COUNTIF('4月'!CZ27:DA27,"荻窪ー夜勤")+COUNTIF('4月'!DE27:DF27,"荻窪ー夜勤")+COUNTIF('4月'!DJ27:DK27,"荻窪ー夜勤")+COUNTIF('4月'!DO27:DP27,"荻窪ー夜勤")+COUNTIF('4月'!DT27:DU27,"荻窪ー夜勤")+COUNTIF('4月'!DY27:DZ27,"荻窪ー夜勤")+COUNTIF('4月'!ED27:EE27,"荻窪ー夜勤")+COUNTIF('4月'!EI27:EJ27,"荻窪ー夜勤")+COUNTIF('4月'!EN27:EO27,"荻窪ー夜勤")+COUNTIF('4月'!ES27:ET27,"荻窪ー夜勤")</f>
        <v>0</v>
      </c>
      <c r="Q140" s="76">
        <f t="shared" si="43"/>
        <v>0</v>
      </c>
      <c r="R140" s="76">
        <f>COUNTIF('4月'!D27:E27,R$115)+COUNTIF('4月'!I27:J27,R$115)+COUNTIF('4月'!N27:O27,R$115)+COUNTIF('4月'!S27:T27,R$115)+COUNTIF('4月'!X27:Y27,R$115)+COUNTIF('4月'!AC27:AD27,R$115)+COUNTIF('4月'!AH27:AI27,R$115)+COUNTIF('4月'!AM27:AN27,R$115)+COUNTIF('4月'!AR27:AS27,R$115)+COUNTIF('4月'!AW27:AX27,R$115)+COUNTIF('4月'!BB27:BC27,R$115)+COUNTIF('4月'!BG27:BH27,R$115)+COUNTIF('4月'!BL27:BM27,R$115)+COUNTIF('4月'!BQ27:BR27,R$115)+COUNTIF('4月'!BV27:BW27,R$115)+COUNTIF('4月'!CA27:CB27,R$115)+COUNTIF('4月'!CF27:CG27,R$115)+COUNTIF('4月'!CK27:CL27,R$115)+COUNTIF('4月'!CP27:CQ27,R$115)+COUNTIF('4月'!CU27:CV27,R$115)+COUNTIF('4月'!CZ27:DA27,R$115)+COUNTIF('4月'!DE27:DF27,R$115)+COUNTIF('4月'!DJ27:DK27,R$115)+COUNTIF('4月'!DO27:DP27,R$115)+COUNTIF('4月'!DT27:DU27,R$115)+COUNTIF('4月'!DY27:DZ27,R$115)+COUNTIF('4月'!ED27:EE27,R$115)+COUNTIF('4月'!EI27:EJ27,R$115)+COUNTIF('4月'!EN27:EO27,R$115)+COUNTIF('4月'!ES27:ET27,R$115)</f>
        <v>0</v>
      </c>
      <c r="S140" s="76">
        <f t="shared" si="44"/>
        <v>0</v>
      </c>
      <c r="T140" s="76">
        <f>COUNTIF('4月'!D27:E27,T$115)+COUNTIF('4月'!I27:J27,T$115)+COUNTIF('4月'!N27:O27,T$115)+COUNTIF('4月'!S27:T27,T$115)+COUNTIF('4月'!X27:Y27,T$115)+COUNTIF('4月'!AC27:AD27,T$115)+COUNTIF('4月'!AH27:AI27,T$115)+COUNTIF('4月'!AM27:AN27,T$115)+COUNTIF('4月'!AR27:AS27,T$115)+COUNTIF('4月'!AW27:AX27,T$115)+COUNTIF('4月'!BB27:BC27,T$115)+COUNTIF('4月'!BG27:BH27,T$115)+COUNTIF('4月'!BL27:BM27,T$115)+COUNTIF('4月'!BQ27:BR27,T$115)+COUNTIF('4月'!BV27:BW27,T$115)+COUNTIF('4月'!CA27:CB27,T$115)+COUNTIF('4月'!CF27:CG27,T$115)+COUNTIF('4月'!CK27:CL27,T$115)+COUNTIF('4月'!CP27:CQ27,T$115)+COUNTIF('4月'!CU27:CV27,T$115)+COUNTIF('4月'!CZ27:DA27,T$115)+COUNTIF('4月'!DE27:DF27,T$115)+COUNTIF('4月'!DJ27:DK27,T$115)+COUNTIF('4月'!DO27:DP27,T$115)+COUNTIF('4月'!DT27:DU27,T$115)+COUNTIF('4月'!DY27:DZ27,T$115)+COUNTIF('4月'!ED27:EE27,T$115)+COUNTIF('4月'!EI27:EJ27,T$115)+COUNTIF('4月'!EN27:EO27,T$115)+COUNTIF('4月'!ES27:ET27,T$115)</f>
        <v>0</v>
      </c>
      <c r="U140" s="76">
        <f t="shared" si="45"/>
        <v>0</v>
      </c>
      <c r="V140" s="76">
        <f>COUNTIF('4月'!D27:E27,V$115)+COUNTIF('4月'!I27:J27,V$115)+COUNTIF('4月'!N27:O27,V$115)+COUNTIF('4月'!S27:T27,V$115)+COUNTIF('4月'!X27:Y27,V$115)+COUNTIF('4月'!AC27:AD27,V$115)+COUNTIF('4月'!AH27:AI27,V$115)+COUNTIF('4月'!AM27:AN27,V$115)+COUNTIF('4月'!AR27:AS27,V$115)+COUNTIF('4月'!AW27:AX27,V$115)+COUNTIF('4月'!BB27:BC27,V$115)+COUNTIF('4月'!BG27:BH27,V$115)+COUNTIF('4月'!BL27:BM27,V$115)+COUNTIF('4月'!BQ27:BR27,V$115)+COUNTIF('4月'!BV27:BW27,V$115)+COUNTIF('4月'!CA27:CB27,V$115)+COUNTIF('4月'!CF27:CG27,V$115)+COUNTIF('4月'!CK27:CL27,V$115)+COUNTIF('4月'!CP27:CQ27,V$115)+COUNTIF('4月'!CU27:CV27,V$115)+COUNTIF('4月'!CZ27:DA27,V$115)+COUNTIF('4月'!DE27:DF27,V$115)+COUNTIF('4月'!DJ27:DK27,V$115)+COUNTIF('4月'!DO27:DP27,V$115)+COUNTIF('4月'!DT27:DU27,V$115)+COUNTIF('4月'!DY27:DZ27,V$115)+COUNTIF('4月'!ED27:EE27,V$115)+COUNTIF('4月'!EI27:EJ27,V$115)+COUNTIF('4月'!EN27:EO27,V$115)+COUNTIF('4月'!ES27:ET27,V$115)</f>
        <v>0</v>
      </c>
      <c r="W140" s="76">
        <f t="shared" si="46"/>
        <v>0</v>
      </c>
      <c r="X140" s="76">
        <f>COUNTIF('4月'!D27:E27,X$115)+COUNTIF('4月'!I27:J27,X$115)+COUNTIF('4月'!N27:O27,X$115)+COUNTIF('4月'!S27:T27,X$115)+COUNTIF('4月'!X27:Y27,X$115)+COUNTIF('4月'!AC27:AD27,X$115)+COUNTIF('4月'!AH27:AI27,X$115)+COUNTIF('4月'!AM27:AN27,X$115)+COUNTIF('4月'!AR27:AS27,X$115)+COUNTIF('4月'!AW27:AX27,X$115)+COUNTIF('4月'!BB27:BC27,X$115)+COUNTIF('4月'!BG27:BH27,X$115)+COUNTIF('4月'!BL27:BM27,X$115)+COUNTIF('4月'!BQ27:BR27,X$115)+COUNTIF('4月'!BV27:BW27,X$115)+COUNTIF('4月'!CA27:CB27,X$115)+COUNTIF('4月'!CF27:CG27,X$115)+COUNTIF('4月'!CK27:CL27,X$115)+COUNTIF('4月'!CP27:CQ27,X$115)+COUNTIF('4月'!CU27:CV27,X$115)+COUNTIF('4月'!CZ27:DA27,X$115)+COUNTIF('4月'!DE27:DF27,X$115)+COUNTIF('4月'!DJ27:DK27,X$115)+COUNTIF('4月'!DO27:DP27,X$115)+COUNTIF('4月'!DT27:DU27,X$115)+COUNTIF('4月'!DY27:DZ27,X$115)+COUNTIF('4月'!ED27:EE27,X$115)+COUNTIF('4月'!EI27:EJ27,X$115)+COUNTIF('4月'!EN27:EO27,X$115)+COUNTIF('4月'!ES27:ET27,X$115)</f>
        <v>0</v>
      </c>
      <c r="Y140" s="76">
        <f t="shared" si="47"/>
        <v>0</v>
      </c>
    </row>
    <row r="141" spans="1:25" ht="18" customHeight="1">
      <c r="A141" s="76">
        <v>25</v>
      </c>
      <c r="B141" s="76">
        <f>COUNTIF('4月'!D28:E28,B$115)+COUNTIF('4月'!I28:J28,B$115)+COUNTIF('4月'!N28:O28,B$115)+COUNTIF('4月'!S28:T28,B$115)+COUNTIF('4月'!X28:Y28,B$115)+COUNTIF('4月'!AC28:AD28,B$115)+COUNTIF('4月'!AH28:AI28,B$115)+COUNTIF('4月'!AM28:AN28,B$115)+COUNTIF('4月'!AR28:AS28,B$115)+COUNTIF('4月'!AW28:AX28,B$115)+COUNTIF('4月'!BB28:BC28,B$115)+COUNTIF('4月'!BG28:BH28,B$115)+COUNTIF('4月'!BL28:BM28,B$115)+COUNTIF('4月'!BQ28:BR28,B$115)+COUNTIF('4月'!BV28:BW28,B$115)+COUNTIF('4月'!CA28:CB28,B$115)+COUNTIF('4月'!CF28:CG28,B$115)+COUNTIF('4月'!CK28:CL28,B$115)+COUNTIF('4月'!CP28:CQ28,B$115)+COUNTIF('4月'!CU28:CV28,B$115)+COUNTIF('4月'!CZ28:DA28,B$115)+COUNTIF('4月'!DE28:DF28,B$115)+COUNTIF('4月'!DJ28:DK28,B$115)+COUNTIF('4月'!DO28:DP28,B$115)+COUNTIF('4月'!DT28:DU28,B$115)+COUNTIF('4月'!DY28:DZ28,B$115)+COUNTIF('4月'!ED28:EE28,B$115)+COUNTIF('4月'!EI28:EJ28,B$115)+COUNTIF('4月'!EN28:EO28,B$115)+COUNTIF('4月'!ES28:ET28,B$115)</f>
        <v>0</v>
      </c>
      <c r="C141" s="76">
        <f t="shared" si="36"/>
        <v>0</v>
      </c>
      <c r="D141" s="76">
        <f>COUNTIF('4月'!D28:E28,D$115)+COUNTIF('4月'!I28:J28,D$115)+COUNTIF('4月'!N28:O28,D$115)+COUNTIF('4月'!S28:T28,D$115)+COUNTIF('4月'!X28:Y28,D$115)+COUNTIF('4月'!AC28:AD28,D$115)+COUNTIF('4月'!AH28:AI28,D$115)+COUNTIF('4月'!AM28:AN28,D$115)+COUNTIF('4月'!AR28:AS28,D$115)+COUNTIF('4月'!AW28:AX28,D$115)+COUNTIF('4月'!BB28:BC28,D$115)+COUNTIF('4月'!BG28:BH28,D$115)+COUNTIF('4月'!BL28:BM28,D$115)+COUNTIF('4月'!BQ28:BR28,D$115)+COUNTIF('4月'!BV28:BW28,D$115)+COUNTIF('4月'!CA28:CB28,D$115)+COUNTIF('4月'!CF28:CG28,D$115)+COUNTIF('4月'!CK28:CL28,D$115)+COUNTIF('4月'!CP28:CQ28,D$115)+COUNTIF('4月'!CU28:CV28,D$115)+COUNTIF('4月'!CZ28:DA28,D$115)+COUNTIF('4月'!DE28:DF28,D$115)+COUNTIF('4月'!DJ28:DK28,D$115)+COUNTIF('4月'!DO28:DP28,D$115)+COUNTIF('4月'!DT28:DU28,D$115)+COUNTIF('4月'!DY28:DZ28,D$115)+COUNTIF('4月'!ED28:EE28,D$115)+COUNTIF('4月'!EI28:EJ28,D$115)+COUNTIF('4月'!EN28:EO28,D$115)+COUNTIF('4月'!ES28:ET28,D$115)</f>
        <v>0</v>
      </c>
      <c r="E141" s="76">
        <f t="shared" si="37"/>
        <v>0</v>
      </c>
      <c r="F141" s="76">
        <f>COUNTIF('4月'!D28:E28,F$115)+COUNTIF('4月'!I28:J28,F$115)+COUNTIF('4月'!N28:O28,F$115)+COUNTIF('4月'!S28:T28,F$115)+COUNTIF('4月'!X28:Y28,F$115)+COUNTIF('4月'!AC28:AD28,F$115)+COUNTIF('4月'!AH28:AI28,F$115)+COUNTIF('4月'!AM28:AN28,F$115)+COUNTIF('4月'!AR28:AS28,F$115)+COUNTIF('4月'!AW28:AX28,F$115)+COUNTIF('4月'!BB28:BC28,F$115)+COUNTIF('4月'!BG28:BH28,F$115)+COUNTIF('4月'!BL28:BM28,F$115)+COUNTIF('4月'!BQ28:BR28,F$115)+COUNTIF('4月'!BV28:BW28,F$115)+COUNTIF('4月'!CA28:CB28,F$115)+COUNTIF('4月'!CF28:CG28,F$115)+COUNTIF('4月'!CK28:CL28,F$115)+COUNTIF('4月'!CP28:CQ28,F$115)+COUNTIF('4月'!CU28:CV28,F$115)+COUNTIF('4月'!CZ28:DA28,F$115)+COUNTIF('4月'!DE28:DF28,F$115)+COUNTIF('4月'!DJ28:DK28,F$115)+COUNTIF('4月'!DO28:DP28,F$115)+COUNTIF('4月'!DT28:DU28,F$115)+COUNTIF('4月'!DY28:DZ28,F$115)+COUNTIF('4月'!ED28:EE28,F$115)+COUNTIF('4月'!EI28:EJ28,F$115)+COUNTIF('4月'!EN28:EO28,F$115)+COUNTIF('4月'!ES28:ET28,F$115)</f>
        <v>0</v>
      </c>
      <c r="G141" s="76">
        <f t="shared" si="38"/>
        <v>0</v>
      </c>
      <c r="H141" s="76">
        <f>COUNTIF('4月'!D28:E28,H$115)+COUNTIF('4月'!I28:J28,H$115)+COUNTIF('4月'!N28:O28,H$115)+COUNTIF('4月'!S28:T28,H$115)+COUNTIF('4月'!X28:Y28,H$115)+COUNTIF('4月'!AC28:AD28,H$115)+COUNTIF('4月'!AH28:AI28,H$115)+COUNTIF('4月'!AM28:AN28,H$115)+COUNTIF('4月'!AR28:AS28,H$115)+COUNTIF('4月'!AW28:AX28,H$115)+COUNTIF('4月'!BB28:BC28,H$115)+COUNTIF('4月'!BG28:BH28,H$115)+COUNTIF('4月'!BL28:BM28,H$115)+COUNTIF('4月'!BQ28:BR28,H$115)+COUNTIF('4月'!BV28:BW28,H$115)+COUNTIF('4月'!CA28:CB28,H$115)+COUNTIF('4月'!CF28:CG28,H$115)+COUNTIF('4月'!CK28:CL28,H$115)+COUNTIF('4月'!CP28:CQ28,H$115)+COUNTIF('4月'!CU28:CV28,H$115)+COUNTIF('4月'!CZ28:DA28,H$115)+COUNTIF('4月'!DE28:DF28,H$115)+COUNTIF('4月'!DJ28:DK28,H$115)+COUNTIF('4月'!DO28:DP28,H$115)+COUNTIF('4月'!DT28:DU28,H$115)+COUNTIF('4月'!DY28:DZ28,H$115)+COUNTIF('4月'!ED28:EE28,H$115)+COUNTIF('4月'!EI28:EJ28,H$115)+COUNTIF('4月'!EN28:EO28,H$115)+COUNTIF('4月'!ES28:ET28,H$115)+COUNTIF('4月'!D28:E28,"渋谷-夜勤")+COUNTIF('4月'!I28:J28,"渋谷-夜勤")+COUNTIF('4月'!N28:O28,"渋谷-夜勤")+COUNTIF('4月'!S28:T28,"渋谷-夜勤")+COUNTIF('4月'!X28:Y28,"渋谷-夜勤")+COUNTIF('4月'!AC28:AD28,"渋谷-夜勤")+COUNTIF('4月'!AH28:AI28,"渋谷-夜勤")+COUNTIF('4月'!AM28:AN28,"渋谷-夜勤")+COUNTIF('4月'!AR28:AS28,"渋谷-夜勤")+COUNTIF('4月'!AW28:AX28,"渋谷-夜勤")+COUNTIF('4月'!BB28:BC28,"渋谷-夜勤")+COUNTIF('4月'!BG28:BH28,"渋谷-夜勤")+COUNTIF('4月'!BL28:BM28,"渋谷-夜勤")+COUNTIF('4月'!BQ28:BR28,"渋谷-夜勤")+COUNTIF('4月'!BV28:BW28,"渋谷-夜勤")+COUNTIF('4月'!CA28:CB28,"渋谷-夜勤")+COUNTIF('4月'!CF28:CG28,"渋谷-夜勤")+COUNTIF('4月'!CK28:CL28,"渋谷-夜勤")+COUNTIF('4月'!CP28:CQ28,"渋谷-夜勤")+COUNTIF('4月'!CU28:CV28,"渋谷-夜勤")+COUNTIF('4月'!CZ28:DA28,"渋谷-夜勤")+COUNTIF('4月'!DE28:DF28,"渋谷-夜勤")+COUNTIF('4月'!DJ28:DK28,"渋谷-夜勤")+COUNTIF('4月'!DO28:DP28,"渋谷-夜勤")+COUNTIF('4月'!DT28:DU28,"渋谷-夜勤")+COUNTIF('4月'!DY28:DZ28,"渋谷-夜勤")+COUNTIF('4月'!ED28:EE28,"渋谷-夜勤")+COUNTIF('4月'!EI28:EJ28,"渋谷-夜勤")+COUNTIF('4月'!EN28:EO28,"渋谷-夜勤")+COUNTIF('4月'!ES28:ET28,"渋谷-夜勤")</f>
        <v>0</v>
      </c>
      <c r="I141" s="76">
        <f t="shared" si="39"/>
        <v>0</v>
      </c>
      <c r="J141" s="76">
        <f>COUNTIF('4月'!D28:E28,J$115)+COUNTIF('4月'!I28:J28,J$115)+COUNTIF('4月'!N28:O28,J$115)+COUNTIF('4月'!S28:T28,J$115)+COUNTIF('4月'!X28:Y28,J$115)+COUNTIF('4月'!AC28:AD28,J$115)+COUNTIF('4月'!AH28:AI28,J$115)+COUNTIF('4月'!AM28:AN28,J$115)+COUNTIF('4月'!AR28:AS28,J$115)+COUNTIF('4月'!AW28:AX28,J$115)+COUNTIF('4月'!BB28:BC28,J$115)+COUNTIF('4月'!BG28:BH28,J$115)+COUNTIF('4月'!BL28:BM28,J$115)+COUNTIF('4月'!BQ28:BR28,J$115)+COUNTIF('4月'!BV28:BW28,J$115)+COUNTIF('4月'!CA28:CB28,J$115)+COUNTIF('4月'!CF28:CG28,J$115)+COUNTIF('4月'!CK28:CL28,J$115)+COUNTIF('4月'!CP28:CQ28,J$115)+COUNTIF('4月'!CU28:CV28,J$115)+COUNTIF('4月'!CZ28:DA28,J$115)+COUNTIF('4月'!DE28:DF28,J$115)+COUNTIF('4月'!DJ28:DK28,J$115)+COUNTIF('4月'!DO28:DP28,J$115)+COUNTIF('4月'!DT28:DU28,J$115)+COUNTIF('4月'!DY28:DZ28,J$115)+COUNTIF('4月'!ED28:EE28,J$115)+COUNTIF('4月'!EI28:EJ28,J$115)+COUNTIF('4月'!EN28:EO28,J$115)+COUNTIF('4月'!ES28:ET28,J$115)+COUNTIF('4月'!D28:E28,"六本木-夜勤")+COUNTIF('4月'!I28:J28,"六本木-夜勤")+COUNTIF('4月'!N28:O28,"六本木-夜勤")+COUNTIF('4月'!S28:T28,"六本木-夜勤")+COUNTIF('4月'!X28:Y28,"六本木-夜勤")+COUNTIF('4月'!AC28:AD28,"六本木-夜勤")+COUNTIF('4月'!AH28:AI28,"六本木-夜勤")+COUNTIF('4月'!AM28:AN28,"六本木-夜勤")+COUNTIF('4月'!AR28:AS28,"六本木-夜勤")+COUNTIF('4月'!AW28:AX28,"六本木-夜勤")+COUNTIF('4月'!BB28:BC28,"六本木-夜勤")+COUNTIF('4月'!BG28:BH28,"六本木-夜勤")+COUNTIF('4月'!BL28:BM28,"六本木-夜勤")+COUNTIF('4月'!BQ28:BR28,"六本木-夜勤")+COUNTIF('4月'!BV28:BW28,"六本木-夜勤")+COUNTIF('4月'!CA28:CB28,"六本木-夜勤")+COUNTIF('4月'!CF28:CG28,"六本木-夜勤")+COUNTIF('4月'!CK28:CL28,"六本木-夜勤")+COUNTIF('4月'!CP28:CQ28,"六本木-夜勤")+COUNTIF('4月'!CU28:CV28,"六本木-夜勤")+COUNTIF('4月'!CZ28:DA28,"六本木-夜勤")+COUNTIF('4月'!DE28:DF28,"六本木-夜勤")+COUNTIF('4月'!DJ28:DK28,"六本木-夜勤")+COUNTIF('4月'!DO28:DP28,"六本木-夜勤")+COUNTIF('4月'!DT28:DU28,"六本木-夜勤")+COUNTIF('4月'!DY28:DZ28,"六本木-夜勤")+COUNTIF('4月'!ED28:EE28,"六本木-夜勤")+COUNTIF('4月'!EI28:EJ28,"六本木-夜勤")+COUNTIF('4月'!EN28:EO28,"六本木-夜勤")+COUNTIF('4月'!ES28:ET28,"六本木-夜勤")+COUNTIF('4月'!D28:E28,"六本木ー夜勤")+COUNTIF('4月'!I28:J28,"六本木ー夜勤")+COUNTIF('4月'!N28:O28,"六本木ー夜勤")+COUNTIF('4月'!S28:T28,"六本木ー夜勤")+COUNTIF('4月'!X28:Y28,"六本木ー夜勤")+COUNTIF('4月'!AC28:AD28,"六本木ー夜勤")+COUNTIF('4月'!AH28:AI28,"六本木ー夜勤")+COUNTIF('4月'!AM28:AN28,"六本木ー夜勤")+COUNTIF('4月'!AR28:AS28,"六本木ー夜勤")+COUNTIF('4月'!AW28:AX28,"六本木ー夜勤")+COUNTIF('4月'!BB28:BC28,"六本木ー夜勤")+COUNTIF('4月'!BG28:BH28,"六本木ー夜勤")+COUNTIF('4月'!BL28:BM28,"六本木ー夜勤")+COUNTIF('4月'!BQ28:BR28,"六本木ー夜勤")+COUNTIF('4月'!BV28:BW28,"六本木ー夜勤")+COUNTIF('4月'!CA28:CB28,"六本木ー夜勤")+COUNTIF('4月'!CF28:CG28,"六本木ー夜勤")+COUNTIF('4月'!CK28:CL28,"六本木ー夜勤")+COUNTIF('4月'!CP28:CQ28,"六本木ー夜勤")+COUNTIF('4月'!CU28:CV28,"六本木ー夜勤")+COUNTIF('4月'!CZ28:DA28,"六本木ー夜勤")+COUNTIF('4月'!DE28:DF28,"六本木ー夜勤")+COUNTIF('4月'!DJ28:DK28,"六本木ー夜勤")+COUNTIF('4月'!DO28:DP28,"六本木ー夜勤")+COUNTIF('4月'!DT28:DU28,"六本木ー夜勤")+COUNTIF('4月'!DY28:DZ28,"六本木ー夜勤")+COUNTIF('4月'!ED28:EE28,"六本木ー夜勤")+COUNTIF('4月'!EI28:EJ28,"六本木ー夜勤")+COUNTIF('4月'!EN28:EO28,"六本木ー夜勤")+COUNTIF('4月'!ES28:ET28,"六本木ー夜勤")</f>
        <v>0</v>
      </c>
      <c r="K141" s="76">
        <f t="shared" si="40"/>
        <v>0</v>
      </c>
      <c r="L141" s="76">
        <f>COUNTIF('4月'!D28:E28,L$115)+COUNTIF('4月'!I28:J28,L$115)+COUNTIF('4月'!N28:O28,L$115)+COUNTIF('4月'!S28:T28,L$115)+COUNTIF('4月'!X28:Y28,L$115)+COUNTIF('4月'!AC28:AD28,L$115)+COUNTIF('4月'!AH28:AI28,L$115)+COUNTIF('4月'!AM28:AN28,L$115)+COUNTIF('4月'!AR28:AS28,L$115)+COUNTIF('4月'!AW28:AX28,L$115)+COUNTIF('4月'!BB28:BC28,L$115)+COUNTIF('4月'!BG28:BH28,L$115)+COUNTIF('4月'!BL28:BM28,L$115)+COUNTIF('4月'!BQ28:BR28,L$115)+COUNTIF('4月'!BV28:BW28,L$115)+COUNTIF('4月'!CA28:CB28,L$115)+COUNTIF('4月'!CF28:CG28,L$115)+COUNTIF('4月'!CK28:CL28,L$115)+COUNTIF('4月'!CP28:CQ28,L$115)+COUNTIF('4月'!CU28:CV28,L$115)+COUNTIF('4月'!CZ28:DA28,L$115)+COUNTIF('4月'!DE28:DF28,L$115)+COUNTIF('4月'!DJ28:DK28,L$115)+COUNTIF('4月'!DO28:DP28,L$115)+COUNTIF('4月'!DT28:DU28,L$115)+COUNTIF('4月'!DY28:DZ28,L$115)+COUNTIF('4月'!ED28:EE28,L$115)+COUNTIF('4月'!EI28:EJ28,L$115)+COUNTIF('4月'!EN28:EO28,L$115)+COUNTIF('4月'!ES28:ET28,L$115)</f>
        <v>0</v>
      </c>
      <c r="M141" s="76">
        <f t="shared" si="41"/>
        <v>0</v>
      </c>
      <c r="N141" s="76">
        <f>COUNTIF('4月'!D28:E28,N$115)+COUNTIF('4月'!I28:J28,N$115)+COUNTIF('4月'!N28:O28,N$115)+COUNTIF('4月'!S28:T28,N$115)+COUNTIF('4月'!X28:Y28,N$115)+COUNTIF('4月'!AC28:AD28,N$115)+COUNTIF('4月'!AH28:AI28,N$115)+COUNTIF('4月'!AM28:AN28,N$115)+COUNTIF('4月'!AR28:AS28,N$115)+COUNTIF('4月'!AW28:AX28,N$115)+COUNTIF('4月'!BB28:BC28,N$115)+COUNTIF('4月'!BG28:BH28,N$115)+COUNTIF('4月'!BL28:BM28,N$115)+COUNTIF('4月'!BQ28:BR28,N$115)+COUNTIF('4月'!BV28:BW28,N$115)+COUNTIF('4月'!CA28:CB28,N$115)+COUNTIF('4月'!CF28:CG28,N$115)+COUNTIF('4月'!CK28:CL28,N$115)+COUNTIF('4月'!CP28:CQ28,N$115)+COUNTIF('4月'!CU28:CV28,N$115)+COUNTIF('4月'!CZ28:DA28,N$115)+COUNTIF('4月'!DE28:DF28,N$115)+COUNTIF('4月'!DJ28:DK28,N$115)+COUNTIF('4月'!DO28:DP28,N$115)+COUNTIF('4月'!DT28:DU28,N$115)+COUNTIF('4月'!DY28:DZ28,N$115)+COUNTIF('4月'!ED28:EE28,N$115)+COUNTIF('4月'!EI28:EJ28,N$115)+COUNTIF('4月'!EN28:EO28,N$115)+COUNTIF('4月'!ES28:ET28,N$115)+COUNTIF('4月'!D28:E28,"三軒茶屋－夜勤")+COUNTIF('4月'!I28:J28,"三軒茶屋－夜勤")+COUNTIF('4月'!N28:O28,"三軒茶屋－夜勤")+COUNTIF('4月'!S28:T28,"三軒茶屋－夜勤")+COUNTIF('4月'!X28:Y28,"三軒茶屋－夜勤")+COUNTIF('4月'!AC28:AD28,"三軒茶屋－夜勤")+COUNTIF('4月'!AH28:AI28,"三軒茶屋－夜勤")+COUNTIF('4月'!AM28:AN28,"三軒茶屋－夜勤")+COUNTIF('4月'!AR28:AS28,"三軒茶屋－夜勤")+COUNTIF('4月'!AW28:AX28,"三軒茶屋－夜勤")+COUNTIF('4月'!BB28:BC28,"三軒茶屋－夜勤")+COUNTIF('4月'!BG28:BH28,"三軒茶屋－夜勤")+COUNTIF('4月'!BL28:BM28,"三軒茶屋－夜勤")+COUNTIF('4月'!BQ28:BR28,"三軒茶屋－夜勤")+COUNTIF('4月'!BV28:BW28,"三軒茶屋－夜勤")+COUNTIF('4月'!CA28:CB28,"三軒茶屋－夜勤")+COUNTIF('4月'!CF28:CG28,"三軒茶屋－夜勤")+COUNTIF('4月'!CK28:CL28,"三軒茶屋－夜勤")+COUNTIF('4月'!CP28:CQ28,"三軒茶屋－夜勤")+COUNTIF('4月'!CU28:CV28,"三軒茶屋－夜勤")+COUNTIF('4月'!CZ28:DA28,"三軒茶屋－夜勤")+COUNTIF('4月'!DE28:DF28,"三軒茶屋－夜勤")+COUNTIF('4月'!DJ28:DK28,"三軒茶屋－夜勤")+COUNTIF('4月'!DO28:DP28,"三軒茶屋－夜勤")+COUNTIF('4月'!DT28:DU28,"三軒茶屋－夜勤")+COUNTIF('4月'!DY28:DZ28,"三軒茶屋－夜勤")+COUNTIF('4月'!ED28:EE28,"三軒茶屋－夜勤")+COUNTIF('4月'!EI28:EJ28,"三軒茶屋－夜勤")+COUNTIF('4月'!EN28:EO28,"三軒茶屋－夜勤")+COUNTIF('4月'!ES28:ET28,"三軒茶屋－夜勤")</f>
        <v>0</v>
      </c>
      <c r="O141" s="76">
        <f t="shared" si="42"/>
        <v>0</v>
      </c>
      <c r="P141" s="76">
        <f>COUNTIF('4月'!D28:E28,P$115)+COUNTIF('4月'!I28:J28,P$115)+COUNTIF('4月'!N28:O28,P$115)+COUNTIF('4月'!S28:T28,P$115)+COUNTIF('4月'!X28:Y28,P$115)+COUNTIF('4月'!AC28:AD28,P$115)+COUNTIF('4月'!AH28:AI28,P$115)+COUNTIF('4月'!AM28:AN28,P$115)+COUNTIF('4月'!AR28:AS28,P$115)+COUNTIF('4月'!AW28:AX28,P$115)+COUNTIF('4月'!BB28:BC28,P$115)+COUNTIF('4月'!BG28:BH28,P$115)+COUNTIF('4月'!BL28:BM28,P$115)+COUNTIF('4月'!BQ28:BR28,P$115)+COUNTIF('4月'!BV28:BW28,P$115)+COUNTIF('4月'!CA28:CB28,P$115)+COUNTIF('4月'!CF28:CG28,P$115)+COUNTIF('4月'!CK28:CL28,P$115)+COUNTIF('4月'!CP28:CQ28,P$115)+COUNTIF('4月'!CU28:CV28,P$115)+COUNTIF('4月'!CZ28:DA28,P$115)+COUNTIF('4月'!DE28:DF28,P$115)+COUNTIF('4月'!DJ28:DK28,P$115)+COUNTIF('4月'!DO28:DP28,P$115)+COUNTIF('4月'!DT28:DU28,P$115)+COUNTIF('4月'!DY28:DZ28,P$115)+COUNTIF('4月'!ED28:EE28,P$115)+COUNTIF('4月'!EI28:EJ28,P$115)+COUNTIF('4月'!EN28:EO28,P$115)+COUNTIF('4月'!ES28:ET28,P$115)+COUNTIF('4月'!D28:E28,"荻窪ー夜勤")+COUNTIF('4月'!I28:J28,"荻窪ー夜勤")+COUNTIF('4月'!N28:O28,"荻窪ー夜勤")+COUNTIF('4月'!S28:T28,"荻窪ー夜勤")+COUNTIF('4月'!X28:Y28,"荻窪ー夜勤")+COUNTIF('4月'!AC28:AD28,"荻窪ー夜勤")+COUNTIF('4月'!AH28:AI28,"荻窪ー夜勤")+COUNTIF('4月'!AM28:AN28,"荻窪ー夜勤")+COUNTIF('4月'!AR28:AS28,"荻窪ー夜勤")+COUNTIF('4月'!AW28:AX28,"荻窪ー夜勤")+COUNTIF('4月'!BB28:BC28,"荻窪ー夜勤")+COUNTIF('4月'!BG28:BH28,"荻窪ー夜勤")+COUNTIF('4月'!BL28:BM28,"荻窪ー夜勤")+COUNTIF('4月'!BQ28:BR28,"荻窪ー夜勤")+COUNTIF('4月'!BV28:BW28,"荻窪ー夜勤")+COUNTIF('4月'!CA28:CB28,"荻窪ー夜勤")+COUNTIF('4月'!CF28:CG28,"荻窪ー夜勤")+COUNTIF('4月'!CK28:CL28,"荻窪ー夜勤")+COUNTIF('4月'!CP28:CQ28,"荻窪ー夜勤")+COUNTIF('4月'!CU28:CV28,"荻窪ー夜勤")+COUNTIF('4月'!CZ28:DA28,"荻窪ー夜勤")+COUNTIF('4月'!DE28:DF28,"荻窪ー夜勤")+COUNTIF('4月'!DJ28:DK28,"荻窪ー夜勤")+COUNTIF('4月'!DO28:DP28,"荻窪ー夜勤")+COUNTIF('4月'!DT28:DU28,"荻窪ー夜勤")+COUNTIF('4月'!DY28:DZ28,"荻窪ー夜勤")+COUNTIF('4月'!ED28:EE28,"荻窪ー夜勤")+COUNTIF('4月'!EI28:EJ28,"荻窪ー夜勤")+COUNTIF('4月'!EN28:EO28,"荻窪ー夜勤")+COUNTIF('4月'!ES28:ET28,"荻窪ー夜勤")</f>
        <v>0</v>
      </c>
      <c r="Q141" s="76">
        <f t="shared" si="43"/>
        <v>0</v>
      </c>
      <c r="R141" s="76">
        <f>COUNTIF('4月'!D28:E28,R$115)+COUNTIF('4月'!I28:J28,R$115)+COUNTIF('4月'!N28:O28,R$115)+COUNTIF('4月'!S28:T28,R$115)+COUNTIF('4月'!X28:Y28,R$115)+COUNTIF('4月'!AC28:AD28,R$115)+COUNTIF('4月'!AH28:AI28,R$115)+COUNTIF('4月'!AM28:AN28,R$115)+COUNTIF('4月'!AR28:AS28,R$115)+COUNTIF('4月'!AW28:AX28,R$115)+COUNTIF('4月'!BB28:BC28,R$115)+COUNTIF('4月'!BG28:BH28,R$115)+COUNTIF('4月'!BL28:BM28,R$115)+COUNTIF('4月'!BQ28:BR28,R$115)+COUNTIF('4月'!BV28:BW28,R$115)+COUNTIF('4月'!CA28:CB28,R$115)+COUNTIF('4月'!CF28:CG28,R$115)+COUNTIF('4月'!CK28:CL28,R$115)+COUNTIF('4月'!CP28:CQ28,R$115)+COUNTIF('4月'!CU28:CV28,R$115)+COUNTIF('4月'!CZ28:DA28,R$115)+COUNTIF('4月'!DE28:DF28,R$115)+COUNTIF('4月'!DJ28:DK28,R$115)+COUNTIF('4月'!DO28:DP28,R$115)+COUNTIF('4月'!DT28:DU28,R$115)+COUNTIF('4月'!DY28:DZ28,R$115)+COUNTIF('4月'!ED28:EE28,R$115)+COUNTIF('4月'!EI28:EJ28,R$115)+COUNTIF('4月'!EN28:EO28,R$115)+COUNTIF('4月'!ES28:ET28,R$115)</f>
        <v>0</v>
      </c>
      <c r="S141" s="76">
        <f t="shared" si="44"/>
        <v>0</v>
      </c>
      <c r="T141" s="76">
        <f>COUNTIF('4月'!D28:E28,T$115)+COUNTIF('4月'!I28:J28,T$115)+COUNTIF('4月'!N28:O28,T$115)+COUNTIF('4月'!S28:T28,T$115)+COUNTIF('4月'!X28:Y28,T$115)+COUNTIF('4月'!AC28:AD28,T$115)+COUNTIF('4月'!AH28:AI28,T$115)+COUNTIF('4月'!AM28:AN28,T$115)+COUNTIF('4月'!AR28:AS28,T$115)+COUNTIF('4月'!AW28:AX28,T$115)+COUNTIF('4月'!BB28:BC28,T$115)+COUNTIF('4月'!BG28:BH28,T$115)+COUNTIF('4月'!BL28:BM28,T$115)+COUNTIF('4月'!BQ28:BR28,T$115)+COUNTIF('4月'!BV28:BW28,T$115)+COUNTIF('4月'!CA28:CB28,T$115)+COUNTIF('4月'!CF28:CG28,T$115)+COUNTIF('4月'!CK28:CL28,T$115)+COUNTIF('4月'!CP28:CQ28,T$115)+COUNTIF('4月'!CU28:CV28,T$115)+COUNTIF('4月'!CZ28:DA28,T$115)+COUNTIF('4月'!DE28:DF28,T$115)+COUNTIF('4月'!DJ28:DK28,T$115)+COUNTIF('4月'!DO28:DP28,T$115)+COUNTIF('4月'!DT28:DU28,T$115)+COUNTIF('4月'!DY28:DZ28,T$115)+COUNTIF('4月'!ED28:EE28,T$115)+COUNTIF('4月'!EI28:EJ28,T$115)+COUNTIF('4月'!EN28:EO28,T$115)+COUNTIF('4月'!ES28:ET28,T$115)</f>
        <v>0</v>
      </c>
      <c r="U141" s="76">
        <f t="shared" si="45"/>
        <v>0</v>
      </c>
      <c r="V141" s="76">
        <f>COUNTIF('4月'!D28:E28,V$115)+COUNTIF('4月'!I28:J28,V$115)+COUNTIF('4月'!N28:O28,V$115)+COUNTIF('4月'!S28:T28,V$115)+COUNTIF('4月'!X28:Y28,V$115)+COUNTIF('4月'!AC28:AD28,V$115)+COUNTIF('4月'!AH28:AI28,V$115)+COUNTIF('4月'!AM28:AN28,V$115)+COUNTIF('4月'!AR28:AS28,V$115)+COUNTIF('4月'!AW28:AX28,V$115)+COUNTIF('4月'!BB28:BC28,V$115)+COUNTIF('4月'!BG28:BH28,V$115)+COUNTIF('4月'!BL28:BM28,V$115)+COUNTIF('4月'!BQ28:BR28,V$115)+COUNTIF('4月'!BV28:BW28,V$115)+COUNTIF('4月'!CA28:CB28,V$115)+COUNTIF('4月'!CF28:CG28,V$115)+COUNTIF('4月'!CK28:CL28,V$115)+COUNTIF('4月'!CP28:CQ28,V$115)+COUNTIF('4月'!CU28:CV28,V$115)+COUNTIF('4月'!CZ28:DA28,V$115)+COUNTIF('4月'!DE28:DF28,V$115)+COUNTIF('4月'!DJ28:DK28,V$115)+COUNTIF('4月'!DO28:DP28,V$115)+COUNTIF('4月'!DT28:DU28,V$115)+COUNTIF('4月'!DY28:DZ28,V$115)+COUNTIF('4月'!ED28:EE28,V$115)+COUNTIF('4月'!EI28:EJ28,V$115)+COUNTIF('4月'!EN28:EO28,V$115)+COUNTIF('4月'!ES28:ET28,V$115)</f>
        <v>0</v>
      </c>
      <c r="W141" s="76">
        <f t="shared" si="46"/>
        <v>0</v>
      </c>
      <c r="X141" s="76">
        <f>COUNTIF('4月'!D28:E28,X$115)+COUNTIF('4月'!I28:J28,X$115)+COUNTIF('4月'!N28:O28,X$115)+COUNTIF('4月'!S28:T28,X$115)+COUNTIF('4月'!X28:Y28,X$115)+COUNTIF('4月'!AC28:AD28,X$115)+COUNTIF('4月'!AH28:AI28,X$115)+COUNTIF('4月'!AM28:AN28,X$115)+COUNTIF('4月'!AR28:AS28,X$115)+COUNTIF('4月'!AW28:AX28,X$115)+COUNTIF('4月'!BB28:BC28,X$115)+COUNTIF('4月'!BG28:BH28,X$115)+COUNTIF('4月'!BL28:BM28,X$115)+COUNTIF('4月'!BQ28:BR28,X$115)+COUNTIF('4月'!BV28:BW28,X$115)+COUNTIF('4月'!CA28:CB28,X$115)+COUNTIF('4月'!CF28:CG28,X$115)+COUNTIF('4月'!CK28:CL28,X$115)+COUNTIF('4月'!CP28:CQ28,X$115)+COUNTIF('4月'!CU28:CV28,X$115)+COUNTIF('4月'!CZ28:DA28,X$115)+COUNTIF('4月'!DE28:DF28,X$115)+COUNTIF('4月'!DJ28:DK28,X$115)+COUNTIF('4月'!DO28:DP28,X$115)+COUNTIF('4月'!DT28:DU28,X$115)+COUNTIF('4月'!DY28:DZ28,X$115)+COUNTIF('4月'!ED28:EE28,X$115)+COUNTIF('4月'!EI28:EJ28,X$115)+COUNTIF('4月'!EN28:EO28,X$115)+COUNTIF('4月'!ES28:ET28,X$115)</f>
        <v>0</v>
      </c>
      <c r="Y141" s="76">
        <f t="shared" si="47"/>
        <v>0</v>
      </c>
    </row>
    <row r="142" spans="1:25" ht="18" customHeight="1">
      <c r="A142" s="76">
        <v>26</v>
      </c>
      <c r="B142" s="76">
        <f>COUNTIF('4月'!D29:E29,B$115)+COUNTIF('4月'!I29:J29,B$115)+COUNTIF('4月'!N29:O29,B$115)+COUNTIF('4月'!S29:T29,B$115)+COUNTIF('4月'!X29:Y29,B$115)+COUNTIF('4月'!AC29:AD29,B$115)+COUNTIF('4月'!AH29:AI29,B$115)+COUNTIF('4月'!AM29:AN29,B$115)+COUNTIF('4月'!AR29:AS29,B$115)+COUNTIF('4月'!AW29:AX29,B$115)+COUNTIF('4月'!BB29:BC29,B$115)+COUNTIF('4月'!BG29:BH29,B$115)+COUNTIF('4月'!BL29:BM29,B$115)+COUNTIF('4月'!BQ29:BR29,B$115)+COUNTIF('4月'!BV29:BW29,B$115)+COUNTIF('4月'!CA29:CB29,B$115)+COUNTIF('4月'!CF29:CG29,B$115)+COUNTIF('4月'!CK29:CL29,B$115)+COUNTIF('4月'!CP29:CQ29,B$115)+COUNTIF('4月'!CU29:CV29,B$115)+COUNTIF('4月'!CZ29:DA29,B$115)+COUNTIF('4月'!DE29:DF29,B$115)+COUNTIF('4月'!DJ29:DK29,B$115)+COUNTIF('4月'!DO29:DP29,B$115)+COUNTIF('4月'!DT29:DU29,B$115)+COUNTIF('4月'!DY29:DZ29,B$115)+COUNTIF('4月'!ED29:EE29,B$115)+COUNTIF('4月'!EI29:EJ29,B$115)+COUNTIF('4月'!EN29:EO29,B$115)+COUNTIF('4月'!ES29:ET29,B$115)</f>
        <v>0</v>
      </c>
      <c r="C142" s="76">
        <f t="shared" si="36"/>
        <v>0</v>
      </c>
      <c r="D142" s="76">
        <f>COUNTIF('4月'!D29:E29,D$115)+COUNTIF('4月'!I29:J29,D$115)+COUNTIF('4月'!N29:O29,D$115)+COUNTIF('4月'!S29:T29,D$115)+COUNTIF('4月'!X29:Y29,D$115)+COUNTIF('4月'!AC29:AD29,D$115)+COUNTIF('4月'!AH29:AI29,D$115)+COUNTIF('4月'!AM29:AN29,D$115)+COUNTIF('4月'!AR29:AS29,D$115)+COUNTIF('4月'!AW29:AX29,D$115)+COUNTIF('4月'!BB29:BC29,D$115)+COUNTIF('4月'!BG29:BH29,D$115)+COUNTIF('4月'!BL29:BM29,D$115)+COUNTIF('4月'!BQ29:BR29,D$115)+COUNTIF('4月'!BV29:BW29,D$115)+COUNTIF('4月'!CA29:CB29,D$115)+COUNTIF('4月'!CF29:CG29,D$115)+COUNTIF('4月'!CK29:CL29,D$115)+COUNTIF('4月'!CP29:CQ29,D$115)+COUNTIF('4月'!CU29:CV29,D$115)+COUNTIF('4月'!CZ29:DA29,D$115)+COUNTIF('4月'!DE29:DF29,D$115)+COUNTIF('4月'!DJ29:DK29,D$115)+COUNTIF('4月'!DO29:DP29,D$115)+COUNTIF('4月'!DT29:DU29,D$115)+COUNTIF('4月'!DY29:DZ29,D$115)+COUNTIF('4月'!ED29:EE29,D$115)+COUNTIF('4月'!EI29:EJ29,D$115)+COUNTIF('4月'!EN29:EO29,D$115)+COUNTIF('4月'!ES29:ET29,D$115)</f>
        <v>0</v>
      </c>
      <c r="E142" s="76">
        <f t="shared" si="37"/>
        <v>0</v>
      </c>
      <c r="F142" s="76">
        <f>COUNTIF('4月'!D29:E29,F$115)+COUNTIF('4月'!I29:J29,F$115)+COUNTIF('4月'!N29:O29,F$115)+COUNTIF('4月'!S29:T29,F$115)+COUNTIF('4月'!X29:Y29,F$115)+COUNTIF('4月'!AC29:AD29,F$115)+COUNTIF('4月'!AH29:AI29,F$115)+COUNTIF('4月'!AM29:AN29,F$115)+COUNTIF('4月'!AR29:AS29,F$115)+COUNTIF('4月'!AW29:AX29,F$115)+COUNTIF('4月'!BB29:BC29,F$115)+COUNTIF('4月'!BG29:BH29,F$115)+COUNTIF('4月'!BL29:BM29,F$115)+COUNTIF('4月'!BQ29:BR29,F$115)+COUNTIF('4月'!BV29:BW29,F$115)+COUNTIF('4月'!CA29:CB29,F$115)+COUNTIF('4月'!CF29:CG29,F$115)+COUNTIF('4月'!CK29:CL29,F$115)+COUNTIF('4月'!CP29:CQ29,F$115)+COUNTIF('4月'!CU29:CV29,F$115)+COUNTIF('4月'!CZ29:DA29,F$115)+COUNTIF('4月'!DE29:DF29,F$115)+COUNTIF('4月'!DJ29:DK29,F$115)+COUNTIF('4月'!DO29:DP29,F$115)+COUNTIF('4月'!DT29:DU29,F$115)+COUNTIF('4月'!DY29:DZ29,F$115)+COUNTIF('4月'!ED29:EE29,F$115)+COUNTIF('4月'!EI29:EJ29,F$115)+COUNTIF('4月'!EN29:EO29,F$115)+COUNTIF('4月'!ES29:ET29,F$115)</f>
        <v>0</v>
      </c>
      <c r="G142" s="76">
        <f t="shared" si="38"/>
        <v>0</v>
      </c>
      <c r="H142" s="76">
        <f>COUNTIF('4月'!D29:E29,H$115)+COUNTIF('4月'!I29:J29,H$115)+COUNTIF('4月'!N29:O29,H$115)+COUNTIF('4月'!S29:T29,H$115)+COUNTIF('4月'!X29:Y29,H$115)+COUNTIF('4月'!AC29:AD29,H$115)+COUNTIF('4月'!AH29:AI29,H$115)+COUNTIF('4月'!AM29:AN29,H$115)+COUNTIF('4月'!AR29:AS29,H$115)+COUNTIF('4月'!AW29:AX29,H$115)+COUNTIF('4月'!BB29:BC29,H$115)+COUNTIF('4月'!BG29:BH29,H$115)+COUNTIF('4月'!BL29:BM29,H$115)+COUNTIF('4月'!BQ29:BR29,H$115)+COUNTIF('4月'!BV29:BW29,H$115)+COUNTIF('4月'!CA29:CB29,H$115)+COUNTIF('4月'!CF29:CG29,H$115)+COUNTIF('4月'!CK29:CL29,H$115)+COUNTIF('4月'!CP29:CQ29,H$115)+COUNTIF('4月'!CU29:CV29,H$115)+COUNTIF('4月'!CZ29:DA29,H$115)+COUNTIF('4月'!DE29:DF29,H$115)+COUNTIF('4月'!DJ29:DK29,H$115)+COUNTIF('4月'!DO29:DP29,H$115)+COUNTIF('4月'!DT29:DU29,H$115)+COUNTIF('4月'!DY29:DZ29,H$115)+COUNTIF('4月'!ED29:EE29,H$115)+COUNTIF('4月'!EI29:EJ29,H$115)+COUNTIF('4月'!EN29:EO29,H$115)+COUNTIF('4月'!ES29:ET29,H$115)+COUNTIF('4月'!D29:E29,"渋谷-夜勤")+COUNTIF('4月'!I29:J29,"渋谷-夜勤")+COUNTIF('4月'!N29:O29,"渋谷-夜勤")+COUNTIF('4月'!S29:T29,"渋谷-夜勤")+COUNTIF('4月'!X29:Y29,"渋谷-夜勤")+COUNTIF('4月'!AC29:AD29,"渋谷-夜勤")+COUNTIF('4月'!AH29:AI29,"渋谷-夜勤")+COUNTIF('4月'!AM29:AN29,"渋谷-夜勤")+COUNTIF('4月'!AR29:AS29,"渋谷-夜勤")+COUNTIF('4月'!AW29:AX29,"渋谷-夜勤")+COUNTIF('4月'!BB29:BC29,"渋谷-夜勤")+COUNTIF('4月'!BG29:BH29,"渋谷-夜勤")+COUNTIF('4月'!BL29:BM29,"渋谷-夜勤")+COUNTIF('4月'!BQ29:BR29,"渋谷-夜勤")+COUNTIF('4月'!BV29:BW29,"渋谷-夜勤")+COUNTIF('4月'!CA29:CB29,"渋谷-夜勤")+COUNTIF('4月'!CF29:CG29,"渋谷-夜勤")+COUNTIF('4月'!CK29:CL29,"渋谷-夜勤")+COUNTIF('4月'!CP29:CQ29,"渋谷-夜勤")+COUNTIF('4月'!CU29:CV29,"渋谷-夜勤")+COUNTIF('4月'!CZ29:DA29,"渋谷-夜勤")+COUNTIF('4月'!DE29:DF29,"渋谷-夜勤")+COUNTIF('4月'!DJ29:DK29,"渋谷-夜勤")+COUNTIF('4月'!DO29:DP29,"渋谷-夜勤")+COUNTIF('4月'!DT29:DU29,"渋谷-夜勤")+COUNTIF('4月'!DY29:DZ29,"渋谷-夜勤")+COUNTIF('4月'!ED29:EE29,"渋谷-夜勤")+COUNTIF('4月'!EI29:EJ29,"渋谷-夜勤")+COUNTIF('4月'!EN29:EO29,"渋谷-夜勤")+COUNTIF('4月'!ES29:ET29,"渋谷-夜勤")</f>
        <v>0</v>
      </c>
      <c r="I142" s="76">
        <f t="shared" si="39"/>
        <v>0</v>
      </c>
      <c r="J142" s="76">
        <f>COUNTIF('4月'!D29:E29,J$115)+COUNTIF('4月'!I29:J29,J$115)+COUNTIF('4月'!N29:O29,J$115)+COUNTIF('4月'!S29:T29,J$115)+COUNTIF('4月'!X29:Y29,J$115)+COUNTIF('4月'!AC29:AD29,J$115)+COUNTIF('4月'!AH29:AI29,J$115)+COUNTIF('4月'!AM29:AN29,J$115)+COUNTIF('4月'!AR29:AS29,J$115)+COUNTIF('4月'!AW29:AX29,J$115)+COUNTIF('4月'!BB29:BC29,J$115)+COUNTIF('4月'!BG29:BH29,J$115)+COUNTIF('4月'!BL29:BM29,J$115)+COUNTIF('4月'!BQ29:BR29,J$115)+COUNTIF('4月'!BV29:BW29,J$115)+COUNTIF('4月'!CA29:CB29,J$115)+COUNTIF('4月'!CF29:CG29,J$115)+COUNTIF('4月'!CK29:CL29,J$115)+COUNTIF('4月'!CP29:CQ29,J$115)+COUNTIF('4月'!CU29:CV29,J$115)+COUNTIF('4月'!CZ29:DA29,J$115)+COUNTIF('4月'!DE29:DF29,J$115)+COUNTIF('4月'!DJ29:DK29,J$115)+COUNTIF('4月'!DO29:DP29,J$115)+COUNTIF('4月'!DT29:DU29,J$115)+COUNTIF('4月'!DY29:DZ29,J$115)+COUNTIF('4月'!ED29:EE29,J$115)+COUNTIF('4月'!EI29:EJ29,J$115)+COUNTIF('4月'!EN29:EO29,J$115)+COUNTIF('4月'!ES29:ET29,J$115)+COUNTIF('4月'!D29:E29,"六本木-夜勤")+COUNTIF('4月'!I29:J29,"六本木-夜勤")+COUNTIF('4月'!N29:O29,"六本木-夜勤")+COUNTIF('4月'!S29:T29,"六本木-夜勤")+COUNTIF('4月'!X29:Y29,"六本木-夜勤")+COUNTIF('4月'!AC29:AD29,"六本木-夜勤")+COUNTIF('4月'!AH29:AI29,"六本木-夜勤")+COUNTIF('4月'!AM29:AN29,"六本木-夜勤")+COUNTIF('4月'!AR29:AS29,"六本木-夜勤")+COUNTIF('4月'!AW29:AX29,"六本木-夜勤")+COUNTIF('4月'!BB29:BC29,"六本木-夜勤")+COUNTIF('4月'!BG29:BH29,"六本木-夜勤")+COUNTIF('4月'!BL29:BM29,"六本木-夜勤")+COUNTIF('4月'!BQ29:BR29,"六本木-夜勤")+COUNTIF('4月'!BV29:BW29,"六本木-夜勤")+COUNTIF('4月'!CA29:CB29,"六本木-夜勤")+COUNTIF('4月'!CF29:CG29,"六本木-夜勤")+COUNTIF('4月'!CK29:CL29,"六本木-夜勤")+COUNTIF('4月'!CP29:CQ29,"六本木-夜勤")+COUNTIF('4月'!CU29:CV29,"六本木-夜勤")+COUNTIF('4月'!CZ29:DA29,"六本木-夜勤")+COUNTIF('4月'!DE29:DF29,"六本木-夜勤")+COUNTIF('4月'!DJ29:DK29,"六本木-夜勤")+COUNTIF('4月'!DO29:DP29,"六本木-夜勤")+COUNTIF('4月'!DT29:DU29,"六本木-夜勤")+COUNTIF('4月'!DY29:DZ29,"六本木-夜勤")+COUNTIF('4月'!ED29:EE29,"六本木-夜勤")+COUNTIF('4月'!EI29:EJ29,"六本木-夜勤")+COUNTIF('4月'!EN29:EO29,"六本木-夜勤")+COUNTIF('4月'!ES29:ET29,"六本木-夜勤")+COUNTIF('4月'!D29:E29,"六本木ー夜勤")+COUNTIF('4月'!I29:J29,"六本木ー夜勤")+COUNTIF('4月'!N29:O29,"六本木ー夜勤")+COUNTIF('4月'!S29:T29,"六本木ー夜勤")+COUNTIF('4月'!X29:Y29,"六本木ー夜勤")+COUNTIF('4月'!AC29:AD29,"六本木ー夜勤")+COUNTIF('4月'!AH29:AI29,"六本木ー夜勤")+COUNTIF('4月'!AM29:AN29,"六本木ー夜勤")+COUNTIF('4月'!AR29:AS29,"六本木ー夜勤")+COUNTIF('4月'!AW29:AX29,"六本木ー夜勤")+COUNTIF('4月'!BB29:BC29,"六本木ー夜勤")+COUNTIF('4月'!BG29:BH29,"六本木ー夜勤")+COUNTIF('4月'!BL29:BM29,"六本木ー夜勤")+COUNTIF('4月'!BQ29:BR29,"六本木ー夜勤")+COUNTIF('4月'!BV29:BW29,"六本木ー夜勤")+COUNTIF('4月'!CA29:CB29,"六本木ー夜勤")+COUNTIF('4月'!CF29:CG29,"六本木ー夜勤")+COUNTIF('4月'!CK29:CL29,"六本木ー夜勤")+COUNTIF('4月'!CP29:CQ29,"六本木ー夜勤")+COUNTIF('4月'!CU29:CV29,"六本木ー夜勤")+COUNTIF('4月'!CZ29:DA29,"六本木ー夜勤")+COUNTIF('4月'!DE29:DF29,"六本木ー夜勤")+COUNTIF('4月'!DJ29:DK29,"六本木ー夜勤")+COUNTIF('4月'!DO29:DP29,"六本木ー夜勤")+COUNTIF('4月'!DT29:DU29,"六本木ー夜勤")+COUNTIF('4月'!DY29:DZ29,"六本木ー夜勤")+COUNTIF('4月'!ED29:EE29,"六本木ー夜勤")+COUNTIF('4月'!EI29:EJ29,"六本木ー夜勤")+COUNTIF('4月'!EN29:EO29,"六本木ー夜勤")+COUNTIF('4月'!ES29:ET29,"六本木ー夜勤")</f>
        <v>0</v>
      </c>
      <c r="K142" s="76">
        <f t="shared" si="40"/>
        <v>0</v>
      </c>
      <c r="L142" s="76">
        <f>COUNTIF('4月'!D29:E29,L$115)+COUNTIF('4月'!I29:J29,L$115)+COUNTIF('4月'!N29:O29,L$115)+COUNTIF('4月'!S29:T29,L$115)+COUNTIF('4月'!X29:Y29,L$115)+COUNTIF('4月'!AC29:AD29,L$115)+COUNTIF('4月'!AH29:AI29,L$115)+COUNTIF('4月'!AM29:AN29,L$115)+COUNTIF('4月'!AR29:AS29,L$115)+COUNTIF('4月'!AW29:AX29,L$115)+COUNTIF('4月'!BB29:BC29,L$115)+COUNTIF('4月'!BG29:BH29,L$115)+COUNTIF('4月'!BL29:BM29,L$115)+COUNTIF('4月'!BQ29:BR29,L$115)+COUNTIF('4月'!BV29:BW29,L$115)+COUNTIF('4月'!CA29:CB29,L$115)+COUNTIF('4月'!CF29:CG29,L$115)+COUNTIF('4月'!CK29:CL29,L$115)+COUNTIF('4月'!CP29:CQ29,L$115)+COUNTIF('4月'!CU29:CV29,L$115)+COUNTIF('4月'!CZ29:DA29,L$115)+COUNTIF('4月'!DE29:DF29,L$115)+COUNTIF('4月'!DJ29:DK29,L$115)+COUNTIF('4月'!DO29:DP29,L$115)+COUNTIF('4月'!DT29:DU29,L$115)+COUNTIF('4月'!DY29:DZ29,L$115)+COUNTIF('4月'!ED29:EE29,L$115)+COUNTIF('4月'!EI29:EJ29,L$115)+COUNTIF('4月'!EN29:EO29,L$115)+COUNTIF('4月'!ES29:ET29,L$115)</f>
        <v>0</v>
      </c>
      <c r="M142" s="76">
        <f t="shared" si="41"/>
        <v>0</v>
      </c>
      <c r="N142" s="76">
        <f>COUNTIF('4月'!D29:E29,N$115)+COUNTIF('4月'!I29:J29,N$115)+COUNTIF('4月'!N29:O29,N$115)+COUNTIF('4月'!S29:T29,N$115)+COUNTIF('4月'!X29:Y29,N$115)+COUNTIF('4月'!AC29:AD29,N$115)+COUNTIF('4月'!AH29:AI29,N$115)+COUNTIF('4月'!AM29:AN29,N$115)+COUNTIF('4月'!AR29:AS29,N$115)+COUNTIF('4月'!AW29:AX29,N$115)+COUNTIF('4月'!BB29:BC29,N$115)+COUNTIF('4月'!BG29:BH29,N$115)+COUNTIF('4月'!BL29:BM29,N$115)+COUNTIF('4月'!BQ29:BR29,N$115)+COUNTIF('4月'!BV29:BW29,N$115)+COUNTIF('4月'!CA29:CB29,N$115)+COUNTIF('4月'!CF29:CG29,N$115)+COUNTIF('4月'!CK29:CL29,N$115)+COUNTIF('4月'!CP29:CQ29,N$115)+COUNTIF('4月'!CU29:CV29,N$115)+COUNTIF('4月'!CZ29:DA29,N$115)+COUNTIF('4月'!DE29:DF29,N$115)+COUNTIF('4月'!DJ29:DK29,N$115)+COUNTIF('4月'!DO29:DP29,N$115)+COUNTIF('4月'!DT29:DU29,N$115)+COUNTIF('4月'!DY29:DZ29,N$115)+COUNTIF('4月'!ED29:EE29,N$115)+COUNTIF('4月'!EI29:EJ29,N$115)+COUNTIF('4月'!EN29:EO29,N$115)+COUNTIF('4月'!ES29:ET29,N$115)+COUNTIF('4月'!D29:E29,"三軒茶屋－夜勤")+COUNTIF('4月'!I29:J29,"三軒茶屋－夜勤")+COUNTIF('4月'!N29:O29,"三軒茶屋－夜勤")+COUNTIF('4月'!S29:T29,"三軒茶屋－夜勤")+COUNTIF('4月'!X29:Y29,"三軒茶屋－夜勤")+COUNTIF('4月'!AC29:AD29,"三軒茶屋－夜勤")+COUNTIF('4月'!AH29:AI29,"三軒茶屋－夜勤")+COUNTIF('4月'!AM29:AN29,"三軒茶屋－夜勤")+COUNTIF('4月'!AR29:AS29,"三軒茶屋－夜勤")+COUNTIF('4月'!AW29:AX29,"三軒茶屋－夜勤")+COUNTIF('4月'!BB29:BC29,"三軒茶屋－夜勤")+COUNTIF('4月'!BG29:BH29,"三軒茶屋－夜勤")+COUNTIF('4月'!BL29:BM29,"三軒茶屋－夜勤")+COUNTIF('4月'!BQ29:BR29,"三軒茶屋－夜勤")+COUNTIF('4月'!BV29:BW29,"三軒茶屋－夜勤")+COUNTIF('4月'!CA29:CB29,"三軒茶屋－夜勤")+COUNTIF('4月'!CF29:CG29,"三軒茶屋－夜勤")+COUNTIF('4月'!CK29:CL29,"三軒茶屋－夜勤")+COUNTIF('4月'!CP29:CQ29,"三軒茶屋－夜勤")+COUNTIF('4月'!CU29:CV29,"三軒茶屋－夜勤")+COUNTIF('4月'!CZ29:DA29,"三軒茶屋－夜勤")+COUNTIF('4月'!DE29:DF29,"三軒茶屋－夜勤")+COUNTIF('4月'!DJ29:DK29,"三軒茶屋－夜勤")+COUNTIF('4月'!DO29:DP29,"三軒茶屋－夜勤")+COUNTIF('4月'!DT29:DU29,"三軒茶屋－夜勤")+COUNTIF('4月'!DY29:DZ29,"三軒茶屋－夜勤")+COUNTIF('4月'!ED29:EE29,"三軒茶屋－夜勤")+COUNTIF('4月'!EI29:EJ29,"三軒茶屋－夜勤")+COUNTIF('4月'!EN29:EO29,"三軒茶屋－夜勤")+COUNTIF('4月'!ES29:ET29,"三軒茶屋－夜勤")</f>
        <v>0</v>
      </c>
      <c r="O142" s="76">
        <f t="shared" si="42"/>
        <v>0</v>
      </c>
      <c r="P142" s="76">
        <f>COUNTIF('4月'!D29:E29,P$115)+COUNTIF('4月'!I29:J29,P$115)+COUNTIF('4月'!N29:O29,P$115)+COUNTIF('4月'!S29:T29,P$115)+COUNTIF('4月'!X29:Y29,P$115)+COUNTIF('4月'!AC29:AD29,P$115)+COUNTIF('4月'!AH29:AI29,P$115)+COUNTIF('4月'!AM29:AN29,P$115)+COUNTIF('4月'!AR29:AS29,P$115)+COUNTIF('4月'!AW29:AX29,P$115)+COUNTIF('4月'!BB29:BC29,P$115)+COUNTIF('4月'!BG29:BH29,P$115)+COUNTIF('4月'!BL29:BM29,P$115)+COUNTIF('4月'!BQ29:BR29,P$115)+COUNTIF('4月'!BV29:BW29,P$115)+COUNTIF('4月'!CA29:CB29,P$115)+COUNTIF('4月'!CF29:CG29,P$115)+COUNTIF('4月'!CK29:CL29,P$115)+COUNTIF('4月'!CP29:CQ29,P$115)+COUNTIF('4月'!CU29:CV29,P$115)+COUNTIF('4月'!CZ29:DA29,P$115)+COUNTIF('4月'!DE29:DF29,P$115)+COUNTIF('4月'!DJ29:DK29,P$115)+COUNTIF('4月'!DO29:DP29,P$115)+COUNTIF('4月'!DT29:DU29,P$115)+COUNTIF('4月'!DY29:DZ29,P$115)+COUNTIF('4月'!ED29:EE29,P$115)+COUNTIF('4月'!EI29:EJ29,P$115)+COUNTIF('4月'!EN29:EO29,P$115)+COUNTIF('4月'!ES29:ET29,P$115)+COUNTIF('4月'!D29:E29,"荻窪ー夜勤")+COUNTIF('4月'!I29:J29,"荻窪ー夜勤")+COUNTIF('4月'!N29:O29,"荻窪ー夜勤")+COUNTIF('4月'!S29:T29,"荻窪ー夜勤")+COUNTIF('4月'!X29:Y29,"荻窪ー夜勤")+COUNTIF('4月'!AC29:AD29,"荻窪ー夜勤")+COUNTIF('4月'!AH29:AI29,"荻窪ー夜勤")+COUNTIF('4月'!AM29:AN29,"荻窪ー夜勤")+COUNTIF('4月'!AR29:AS29,"荻窪ー夜勤")+COUNTIF('4月'!AW29:AX29,"荻窪ー夜勤")+COUNTIF('4月'!BB29:BC29,"荻窪ー夜勤")+COUNTIF('4月'!BG29:BH29,"荻窪ー夜勤")+COUNTIF('4月'!BL29:BM29,"荻窪ー夜勤")+COUNTIF('4月'!BQ29:BR29,"荻窪ー夜勤")+COUNTIF('4月'!BV29:BW29,"荻窪ー夜勤")+COUNTIF('4月'!CA29:CB29,"荻窪ー夜勤")+COUNTIF('4月'!CF29:CG29,"荻窪ー夜勤")+COUNTIF('4月'!CK29:CL29,"荻窪ー夜勤")+COUNTIF('4月'!CP29:CQ29,"荻窪ー夜勤")+COUNTIF('4月'!CU29:CV29,"荻窪ー夜勤")+COUNTIF('4月'!CZ29:DA29,"荻窪ー夜勤")+COUNTIF('4月'!DE29:DF29,"荻窪ー夜勤")+COUNTIF('4月'!DJ29:DK29,"荻窪ー夜勤")+COUNTIF('4月'!DO29:DP29,"荻窪ー夜勤")+COUNTIF('4月'!DT29:DU29,"荻窪ー夜勤")+COUNTIF('4月'!DY29:DZ29,"荻窪ー夜勤")+COUNTIF('4月'!ED29:EE29,"荻窪ー夜勤")+COUNTIF('4月'!EI29:EJ29,"荻窪ー夜勤")+COUNTIF('4月'!EN29:EO29,"荻窪ー夜勤")+COUNTIF('4月'!ES29:ET29,"荻窪ー夜勤")</f>
        <v>0</v>
      </c>
      <c r="Q142" s="76">
        <f t="shared" si="43"/>
        <v>0</v>
      </c>
      <c r="R142" s="76">
        <f>COUNTIF('4月'!D29:E29,R$115)+COUNTIF('4月'!I29:J29,R$115)+COUNTIF('4月'!N29:O29,R$115)+COUNTIF('4月'!S29:T29,R$115)+COUNTIF('4月'!X29:Y29,R$115)+COUNTIF('4月'!AC29:AD29,R$115)+COUNTIF('4月'!AH29:AI29,R$115)+COUNTIF('4月'!AM29:AN29,R$115)+COUNTIF('4月'!AR29:AS29,R$115)+COUNTIF('4月'!AW29:AX29,R$115)+COUNTIF('4月'!BB29:BC29,R$115)+COUNTIF('4月'!BG29:BH29,R$115)+COUNTIF('4月'!BL29:BM29,R$115)+COUNTIF('4月'!BQ29:BR29,R$115)+COUNTIF('4月'!BV29:BW29,R$115)+COUNTIF('4月'!CA29:CB29,R$115)+COUNTIF('4月'!CF29:CG29,R$115)+COUNTIF('4月'!CK29:CL29,R$115)+COUNTIF('4月'!CP29:CQ29,R$115)+COUNTIF('4月'!CU29:CV29,R$115)+COUNTIF('4月'!CZ29:DA29,R$115)+COUNTIF('4月'!DE29:DF29,R$115)+COUNTIF('4月'!DJ29:DK29,R$115)+COUNTIF('4月'!DO29:DP29,R$115)+COUNTIF('4月'!DT29:DU29,R$115)+COUNTIF('4月'!DY29:DZ29,R$115)+COUNTIF('4月'!ED29:EE29,R$115)+COUNTIF('4月'!EI29:EJ29,R$115)+COUNTIF('4月'!EN29:EO29,R$115)+COUNTIF('4月'!ES29:ET29,R$115)</f>
        <v>0</v>
      </c>
      <c r="S142" s="76">
        <f t="shared" si="44"/>
        <v>0</v>
      </c>
      <c r="T142" s="76">
        <f>COUNTIF('4月'!D29:E29,T$115)+COUNTIF('4月'!I29:J29,T$115)+COUNTIF('4月'!N29:O29,T$115)+COUNTIF('4月'!S29:T29,T$115)+COUNTIF('4月'!X29:Y29,T$115)+COUNTIF('4月'!AC29:AD29,T$115)+COUNTIF('4月'!AH29:AI29,T$115)+COUNTIF('4月'!AM29:AN29,T$115)+COUNTIF('4月'!AR29:AS29,T$115)+COUNTIF('4月'!AW29:AX29,T$115)+COUNTIF('4月'!BB29:BC29,T$115)+COUNTIF('4月'!BG29:BH29,T$115)+COUNTIF('4月'!BL29:BM29,T$115)+COUNTIF('4月'!BQ29:BR29,T$115)+COUNTIF('4月'!BV29:BW29,T$115)+COUNTIF('4月'!CA29:CB29,T$115)+COUNTIF('4月'!CF29:CG29,T$115)+COUNTIF('4月'!CK29:CL29,T$115)+COUNTIF('4月'!CP29:CQ29,T$115)+COUNTIF('4月'!CU29:CV29,T$115)+COUNTIF('4月'!CZ29:DA29,T$115)+COUNTIF('4月'!DE29:DF29,T$115)+COUNTIF('4月'!DJ29:DK29,T$115)+COUNTIF('4月'!DO29:DP29,T$115)+COUNTIF('4月'!DT29:DU29,T$115)+COUNTIF('4月'!DY29:DZ29,T$115)+COUNTIF('4月'!ED29:EE29,T$115)+COUNTIF('4月'!EI29:EJ29,T$115)+COUNTIF('4月'!EN29:EO29,T$115)+COUNTIF('4月'!ES29:ET29,T$115)</f>
        <v>0</v>
      </c>
      <c r="U142" s="76">
        <f t="shared" si="45"/>
        <v>0</v>
      </c>
      <c r="V142" s="76">
        <f>COUNTIF('4月'!D29:E29,V$115)+COUNTIF('4月'!I29:J29,V$115)+COUNTIF('4月'!N29:O29,V$115)+COUNTIF('4月'!S29:T29,V$115)+COUNTIF('4月'!X29:Y29,V$115)+COUNTIF('4月'!AC29:AD29,V$115)+COUNTIF('4月'!AH29:AI29,V$115)+COUNTIF('4月'!AM29:AN29,V$115)+COUNTIF('4月'!AR29:AS29,V$115)+COUNTIF('4月'!AW29:AX29,V$115)+COUNTIF('4月'!BB29:BC29,V$115)+COUNTIF('4月'!BG29:BH29,V$115)+COUNTIF('4月'!BL29:BM29,V$115)+COUNTIF('4月'!BQ29:BR29,V$115)+COUNTIF('4月'!BV29:BW29,V$115)+COUNTIF('4月'!CA29:CB29,V$115)+COUNTIF('4月'!CF29:CG29,V$115)+COUNTIF('4月'!CK29:CL29,V$115)+COUNTIF('4月'!CP29:CQ29,V$115)+COUNTIF('4月'!CU29:CV29,V$115)+COUNTIF('4月'!CZ29:DA29,V$115)+COUNTIF('4月'!DE29:DF29,V$115)+COUNTIF('4月'!DJ29:DK29,V$115)+COUNTIF('4月'!DO29:DP29,V$115)+COUNTIF('4月'!DT29:DU29,V$115)+COUNTIF('4月'!DY29:DZ29,V$115)+COUNTIF('4月'!ED29:EE29,V$115)+COUNTIF('4月'!EI29:EJ29,V$115)+COUNTIF('4月'!EN29:EO29,V$115)+COUNTIF('4月'!ES29:ET29,V$115)</f>
        <v>0</v>
      </c>
      <c r="W142" s="76">
        <f t="shared" si="46"/>
        <v>0</v>
      </c>
      <c r="X142" s="76">
        <f>COUNTIF('4月'!D29:E29,X$115)+COUNTIF('4月'!I29:J29,X$115)+COUNTIF('4月'!N29:O29,X$115)+COUNTIF('4月'!S29:T29,X$115)+COUNTIF('4月'!X29:Y29,X$115)+COUNTIF('4月'!AC29:AD29,X$115)+COUNTIF('4月'!AH29:AI29,X$115)+COUNTIF('4月'!AM29:AN29,X$115)+COUNTIF('4月'!AR29:AS29,X$115)+COUNTIF('4月'!AW29:AX29,X$115)+COUNTIF('4月'!BB29:BC29,X$115)+COUNTIF('4月'!BG29:BH29,X$115)+COUNTIF('4月'!BL29:BM29,X$115)+COUNTIF('4月'!BQ29:BR29,X$115)+COUNTIF('4月'!BV29:BW29,X$115)+COUNTIF('4月'!CA29:CB29,X$115)+COUNTIF('4月'!CF29:CG29,X$115)+COUNTIF('4月'!CK29:CL29,X$115)+COUNTIF('4月'!CP29:CQ29,X$115)+COUNTIF('4月'!CU29:CV29,X$115)+COUNTIF('4月'!CZ29:DA29,X$115)+COUNTIF('4月'!DE29:DF29,X$115)+COUNTIF('4月'!DJ29:DK29,X$115)+COUNTIF('4月'!DO29:DP29,X$115)+COUNTIF('4月'!DT29:DU29,X$115)+COUNTIF('4月'!DY29:DZ29,X$115)+COUNTIF('4月'!ED29:EE29,X$115)+COUNTIF('4月'!EI29:EJ29,X$115)+COUNTIF('4月'!EN29:EO29,X$115)+COUNTIF('4月'!ES29:ET29,X$115)</f>
        <v>0</v>
      </c>
      <c r="Y142" s="76">
        <f t="shared" si="47"/>
        <v>0</v>
      </c>
    </row>
    <row r="143" spans="1:25" ht="18" customHeight="1">
      <c r="A143" s="76">
        <v>27</v>
      </c>
      <c r="B143" s="76">
        <f>COUNTIF('4月'!D30:E30,B$115)+COUNTIF('4月'!I30:J30,B$115)+COUNTIF('4月'!N30:O30,B$115)+COUNTIF('4月'!S30:T30,B$115)+COUNTIF('4月'!X30:Y30,B$115)+COUNTIF('4月'!AC30:AD30,B$115)+COUNTIF('4月'!AH30:AI30,B$115)+COUNTIF('4月'!AM30:AN30,B$115)+COUNTIF('4月'!AR30:AS30,B$115)+COUNTIF('4月'!AW30:AX30,B$115)+COUNTIF('4月'!BB30:BC30,B$115)+COUNTIF('4月'!BG30:BH30,B$115)+COUNTIF('4月'!BL30:BM30,B$115)+COUNTIF('4月'!BQ30:BR30,B$115)+COUNTIF('4月'!BV30:BW30,B$115)+COUNTIF('4月'!CA30:CB30,B$115)+COUNTIF('4月'!CF30:CG30,B$115)+COUNTIF('4月'!CK30:CL30,B$115)+COUNTIF('4月'!CP30:CQ30,B$115)+COUNTIF('4月'!CU30:CV30,B$115)+COUNTIF('4月'!CZ30:DA30,B$115)+COUNTIF('4月'!DE30:DF30,B$115)+COUNTIF('4月'!DJ30:DK30,B$115)+COUNTIF('4月'!DO30:DP30,B$115)+COUNTIF('4月'!DT30:DU30,B$115)+COUNTIF('4月'!DY30:DZ30,B$115)+COUNTIF('4月'!ED30:EE30,B$115)+COUNTIF('4月'!EI30:EJ30,B$115)+COUNTIF('4月'!EN30:EO30,B$115)+COUNTIF('4月'!ES30:ET30,B$115)</f>
        <v>0</v>
      </c>
      <c r="C143" s="76">
        <f t="shared" si="36"/>
        <v>0</v>
      </c>
      <c r="D143" s="76">
        <f>COUNTIF('4月'!D30:E30,D$115)+COUNTIF('4月'!I30:J30,D$115)+COUNTIF('4月'!N30:O30,D$115)+COUNTIF('4月'!S30:T30,D$115)+COUNTIF('4月'!X30:Y30,D$115)+COUNTIF('4月'!AC30:AD30,D$115)+COUNTIF('4月'!AH30:AI30,D$115)+COUNTIF('4月'!AM30:AN30,D$115)+COUNTIF('4月'!AR30:AS30,D$115)+COUNTIF('4月'!AW30:AX30,D$115)+COUNTIF('4月'!BB30:BC30,D$115)+COUNTIF('4月'!BG30:BH30,D$115)+COUNTIF('4月'!BL30:BM30,D$115)+COUNTIF('4月'!BQ30:BR30,D$115)+COUNTIF('4月'!BV30:BW30,D$115)+COUNTIF('4月'!CA30:CB30,D$115)+COUNTIF('4月'!CF30:CG30,D$115)+COUNTIF('4月'!CK30:CL30,D$115)+COUNTIF('4月'!CP30:CQ30,D$115)+COUNTIF('4月'!CU30:CV30,D$115)+COUNTIF('4月'!CZ30:DA30,D$115)+COUNTIF('4月'!DE30:DF30,D$115)+COUNTIF('4月'!DJ30:DK30,D$115)+COUNTIF('4月'!DO30:DP30,D$115)+COUNTIF('4月'!DT30:DU30,D$115)+COUNTIF('4月'!DY30:DZ30,D$115)+COUNTIF('4月'!ED30:EE30,D$115)+COUNTIF('4月'!EI30:EJ30,D$115)+COUNTIF('4月'!EN30:EO30,D$115)+COUNTIF('4月'!ES30:ET30,D$115)</f>
        <v>0</v>
      </c>
      <c r="E143" s="76">
        <f t="shared" si="37"/>
        <v>0</v>
      </c>
      <c r="F143" s="76">
        <f>COUNTIF('4月'!D30:E30,F$115)+COUNTIF('4月'!I30:J30,F$115)+COUNTIF('4月'!N30:O30,F$115)+COUNTIF('4月'!S30:T30,F$115)+COUNTIF('4月'!X30:Y30,F$115)+COUNTIF('4月'!AC30:AD30,F$115)+COUNTIF('4月'!AH30:AI30,F$115)+COUNTIF('4月'!AM30:AN30,F$115)+COUNTIF('4月'!AR30:AS30,F$115)+COUNTIF('4月'!AW30:AX30,F$115)+COUNTIF('4月'!BB30:BC30,F$115)+COUNTIF('4月'!BG30:BH30,F$115)+COUNTIF('4月'!BL30:BM30,F$115)+COUNTIF('4月'!BQ30:BR30,F$115)+COUNTIF('4月'!BV30:BW30,F$115)+COUNTIF('4月'!CA30:CB30,F$115)+COUNTIF('4月'!CF30:CG30,F$115)+COUNTIF('4月'!CK30:CL30,F$115)+COUNTIF('4月'!CP30:CQ30,F$115)+COUNTIF('4月'!CU30:CV30,F$115)+COUNTIF('4月'!CZ30:DA30,F$115)+COUNTIF('4月'!DE30:DF30,F$115)+COUNTIF('4月'!DJ30:DK30,F$115)+COUNTIF('4月'!DO30:DP30,F$115)+COUNTIF('4月'!DT30:DU30,F$115)+COUNTIF('4月'!DY30:DZ30,F$115)+COUNTIF('4月'!ED30:EE30,F$115)+COUNTIF('4月'!EI30:EJ30,F$115)+COUNTIF('4月'!EN30:EO30,F$115)+COUNTIF('4月'!ES30:ET30,F$115)</f>
        <v>0</v>
      </c>
      <c r="G143" s="76">
        <f t="shared" si="38"/>
        <v>0</v>
      </c>
      <c r="H143" s="76">
        <f>COUNTIF('4月'!D30:E30,H$115)+COUNTIF('4月'!I30:J30,H$115)+COUNTIF('4月'!N30:O30,H$115)+COUNTIF('4月'!S30:T30,H$115)+COUNTIF('4月'!X30:Y30,H$115)+COUNTIF('4月'!AC30:AD30,H$115)+COUNTIF('4月'!AH30:AI30,H$115)+COUNTIF('4月'!AM30:AN30,H$115)+COUNTIF('4月'!AR30:AS30,H$115)+COUNTIF('4月'!AW30:AX30,H$115)+COUNTIF('4月'!BB30:BC30,H$115)+COUNTIF('4月'!BG30:BH30,H$115)+COUNTIF('4月'!BL30:BM30,H$115)+COUNTIF('4月'!BQ30:BR30,H$115)+COUNTIF('4月'!BV30:BW30,H$115)+COUNTIF('4月'!CA30:CB30,H$115)+COUNTIF('4月'!CF30:CG30,H$115)+COUNTIF('4月'!CK30:CL30,H$115)+COUNTIF('4月'!CP30:CQ30,H$115)+COUNTIF('4月'!CU30:CV30,H$115)+COUNTIF('4月'!CZ30:DA30,H$115)+COUNTIF('4月'!DE30:DF30,H$115)+COUNTIF('4月'!DJ30:DK30,H$115)+COUNTIF('4月'!DO30:DP30,H$115)+COUNTIF('4月'!DT30:DU30,H$115)+COUNTIF('4月'!DY30:DZ30,H$115)+COUNTIF('4月'!ED30:EE30,H$115)+COUNTIF('4月'!EI30:EJ30,H$115)+COUNTIF('4月'!EN30:EO30,H$115)+COUNTIF('4月'!ES30:ET30,H$115)+COUNTIF('4月'!D30:E30,"渋谷-夜勤")+COUNTIF('4月'!I30:J30,"渋谷-夜勤")+COUNTIF('4月'!N30:O30,"渋谷-夜勤")+COUNTIF('4月'!S30:T30,"渋谷-夜勤")+COUNTIF('4月'!X30:Y30,"渋谷-夜勤")+COUNTIF('4月'!AC30:AD30,"渋谷-夜勤")+COUNTIF('4月'!AH30:AI30,"渋谷-夜勤")+COUNTIF('4月'!AM30:AN30,"渋谷-夜勤")+COUNTIF('4月'!AR30:AS30,"渋谷-夜勤")+COUNTIF('4月'!AW30:AX30,"渋谷-夜勤")+COUNTIF('4月'!BB30:BC30,"渋谷-夜勤")+COUNTIF('4月'!BG30:BH30,"渋谷-夜勤")+COUNTIF('4月'!BL30:BM30,"渋谷-夜勤")+COUNTIF('4月'!BQ30:BR30,"渋谷-夜勤")+COUNTIF('4月'!BV30:BW30,"渋谷-夜勤")+COUNTIF('4月'!CA30:CB30,"渋谷-夜勤")+COUNTIF('4月'!CF30:CG30,"渋谷-夜勤")+COUNTIF('4月'!CK30:CL30,"渋谷-夜勤")+COUNTIF('4月'!CP30:CQ30,"渋谷-夜勤")+COUNTIF('4月'!CU30:CV30,"渋谷-夜勤")+COUNTIF('4月'!CZ30:DA30,"渋谷-夜勤")+COUNTIF('4月'!DE30:DF30,"渋谷-夜勤")+COUNTIF('4月'!DJ30:DK30,"渋谷-夜勤")+COUNTIF('4月'!DO30:DP30,"渋谷-夜勤")+COUNTIF('4月'!DT30:DU30,"渋谷-夜勤")+COUNTIF('4月'!DY30:DZ30,"渋谷-夜勤")+COUNTIF('4月'!ED30:EE30,"渋谷-夜勤")+COUNTIF('4月'!EI30:EJ30,"渋谷-夜勤")+COUNTIF('4月'!EN30:EO30,"渋谷-夜勤")+COUNTIF('4月'!ES30:ET30,"渋谷-夜勤")</f>
        <v>0</v>
      </c>
      <c r="I143" s="76">
        <f t="shared" si="39"/>
        <v>0</v>
      </c>
      <c r="J143" s="76">
        <f>COUNTIF('4月'!D30:E30,J$115)+COUNTIF('4月'!I30:J30,J$115)+COUNTIF('4月'!N30:O30,J$115)+COUNTIF('4月'!S30:T30,J$115)+COUNTIF('4月'!X30:Y30,J$115)+COUNTIF('4月'!AC30:AD30,J$115)+COUNTIF('4月'!AH30:AI30,J$115)+COUNTIF('4月'!AM30:AN30,J$115)+COUNTIF('4月'!AR30:AS30,J$115)+COUNTIF('4月'!AW30:AX30,J$115)+COUNTIF('4月'!BB30:BC30,J$115)+COUNTIF('4月'!BG30:BH30,J$115)+COUNTIF('4月'!BL30:BM30,J$115)+COUNTIF('4月'!BQ30:BR30,J$115)+COUNTIF('4月'!BV30:BW30,J$115)+COUNTIF('4月'!CA30:CB30,J$115)+COUNTIF('4月'!CF30:CG30,J$115)+COUNTIF('4月'!CK30:CL30,J$115)+COUNTIF('4月'!CP30:CQ30,J$115)+COUNTIF('4月'!CU30:CV30,J$115)+COUNTIF('4月'!CZ30:DA30,J$115)+COUNTIF('4月'!DE30:DF30,J$115)+COUNTIF('4月'!DJ30:DK30,J$115)+COUNTIF('4月'!DO30:DP30,J$115)+COUNTIF('4月'!DT30:DU30,J$115)+COUNTIF('4月'!DY30:DZ30,J$115)+COUNTIF('4月'!ED30:EE30,J$115)+COUNTIF('4月'!EI30:EJ30,J$115)+COUNTIF('4月'!EN30:EO30,J$115)+COUNTIF('4月'!ES30:ET30,J$115)+COUNTIF('4月'!D30:E30,"六本木-夜勤")+COUNTIF('4月'!I30:J30,"六本木-夜勤")+COUNTIF('4月'!N30:O30,"六本木-夜勤")+COUNTIF('4月'!S30:T30,"六本木-夜勤")+COUNTIF('4月'!X30:Y30,"六本木-夜勤")+COUNTIF('4月'!AC30:AD30,"六本木-夜勤")+COUNTIF('4月'!AH30:AI30,"六本木-夜勤")+COUNTIF('4月'!AM30:AN30,"六本木-夜勤")+COUNTIF('4月'!AR30:AS30,"六本木-夜勤")+COUNTIF('4月'!AW30:AX30,"六本木-夜勤")+COUNTIF('4月'!BB30:BC30,"六本木-夜勤")+COUNTIF('4月'!BG30:BH30,"六本木-夜勤")+COUNTIF('4月'!BL30:BM30,"六本木-夜勤")+COUNTIF('4月'!BQ30:BR30,"六本木-夜勤")+COUNTIF('4月'!BV30:BW30,"六本木-夜勤")+COUNTIF('4月'!CA30:CB30,"六本木-夜勤")+COUNTIF('4月'!CF30:CG30,"六本木-夜勤")+COUNTIF('4月'!CK30:CL30,"六本木-夜勤")+COUNTIF('4月'!CP30:CQ30,"六本木-夜勤")+COUNTIF('4月'!CU30:CV30,"六本木-夜勤")+COUNTIF('4月'!CZ30:DA30,"六本木-夜勤")+COUNTIF('4月'!DE30:DF30,"六本木-夜勤")+COUNTIF('4月'!DJ30:DK30,"六本木-夜勤")+COUNTIF('4月'!DO30:DP30,"六本木-夜勤")+COUNTIF('4月'!DT30:DU30,"六本木-夜勤")+COUNTIF('4月'!DY30:DZ30,"六本木-夜勤")+COUNTIF('4月'!ED30:EE30,"六本木-夜勤")+COUNTIF('4月'!EI30:EJ30,"六本木-夜勤")+COUNTIF('4月'!EN30:EO30,"六本木-夜勤")+COUNTIF('4月'!ES30:ET30,"六本木-夜勤")+COUNTIF('4月'!D30:E30,"六本木ー夜勤")+COUNTIF('4月'!I30:J30,"六本木ー夜勤")+COUNTIF('4月'!N30:O30,"六本木ー夜勤")+COUNTIF('4月'!S30:T30,"六本木ー夜勤")+COUNTIF('4月'!X30:Y30,"六本木ー夜勤")+COUNTIF('4月'!AC30:AD30,"六本木ー夜勤")+COUNTIF('4月'!AH30:AI30,"六本木ー夜勤")+COUNTIF('4月'!AM30:AN30,"六本木ー夜勤")+COUNTIF('4月'!AR30:AS30,"六本木ー夜勤")+COUNTIF('4月'!AW30:AX30,"六本木ー夜勤")+COUNTIF('4月'!BB30:BC30,"六本木ー夜勤")+COUNTIF('4月'!BG30:BH30,"六本木ー夜勤")+COUNTIF('4月'!BL30:BM30,"六本木ー夜勤")+COUNTIF('4月'!BQ30:BR30,"六本木ー夜勤")+COUNTIF('4月'!BV30:BW30,"六本木ー夜勤")+COUNTIF('4月'!CA30:CB30,"六本木ー夜勤")+COUNTIF('4月'!CF30:CG30,"六本木ー夜勤")+COUNTIF('4月'!CK30:CL30,"六本木ー夜勤")+COUNTIF('4月'!CP30:CQ30,"六本木ー夜勤")+COUNTIF('4月'!CU30:CV30,"六本木ー夜勤")+COUNTIF('4月'!CZ30:DA30,"六本木ー夜勤")+COUNTIF('4月'!DE30:DF30,"六本木ー夜勤")+COUNTIF('4月'!DJ30:DK30,"六本木ー夜勤")+COUNTIF('4月'!DO30:DP30,"六本木ー夜勤")+COUNTIF('4月'!DT30:DU30,"六本木ー夜勤")+COUNTIF('4月'!DY30:DZ30,"六本木ー夜勤")+COUNTIF('4月'!ED30:EE30,"六本木ー夜勤")+COUNTIF('4月'!EI30:EJ30,"六本木ー夜勤")+COUNTIF('4月'!EN30:EO30,"六本木ー夜勤")+COUNTIF('4月'!ES30:ET30,"六本木ー夜勤")</f>
        <v>0</v>
      </c>
      <c r="K143" s="76">
        <f t="shared" si="40"/>
        <v>0</v>
      </c>
      <c r="L143" s="76">
        <f>COUNTIF('4月'!D30:E30,L$115)+COUNTIF('4月'!I30:J30,L$115)+COUNTIF('4月'!N30:O30,L$115)+COUNTIF('4月'!S30:T30,L$115)+COUNTIF('4月'!X30:Y30,L$115)+COUNTIF('4月'!AC30:AD30,L$115)+COUNTIF('4月'!AH30:AI30,L$115)+COUNTIF('4月'!AM30:AN30,L$115)+COUNTIF('4月'!AR30:AS30,L$115)+COUNTIF('4月'!AW30:AX30,L$115)+COUNTIF('4月'!BB30:BC30,L$115)+COUNTIF('4月'!BG30:BH30,L$115)+COUNTIF('4月'!BL30:BM30,L$115)+COUNTIF('4月'!BQ30:BR30,L$115)+COUNTIF('4月'!BV30:BW30,L$115)+COUNTIF('4月'!CA30:CB30,L$115)+COUNTIF('4月'!CF30:CG30,L$115)+COUNTIF('4月'!CK30:CL30,L$115)+COUNTIF('4月'!CP30:CQ30,L$115)+COUNTIF('4月'!CU30:CV30,L$115)+COUNTIF('4月'!CZ30:DA30,L$115)+COUNTIF('4月'!DE30:DF30,L$115)+COUNTIF('4月'!DJ30:DK30,L$115)+COUNTIF('4月'!DO30:DP30,L$115)+COUNTIF('4月'!DT30:DU30,L$115)+COUNTIF('4月'!DY30:DZ30,L$115)+COUNTIF('4月'!ED30:EE30,L$115)+COUNTIF('4月'!EI30:EJ30,L$115)+COUNTIF('4月'!EN30:EO30,L$115)+COUNTIF('4月'!ES30:ET30,L$115)</f>
        <v>0</v>
      </c>
      <c r="M143" s="76">
        <f t="shared" si="41"/>
        <v>0</v>
      </c>
      <c r="N143" s="76">
        <f>COUNTIF('4月'!D30:E30,N$115)+COUNTIF('4月'!I30:J30,N$115)+COUNTIF('4月'!N30:O30,N$115)+COUNTIF('4月'!S30:T30,N$115)+COUNTIF('4月'!X30:Y30,N$115)+COUNTIF('4月'!AC30:AD30,N$115)+COUNTIF('4月'!AH30:AI30,N$115)+COUNTIF('4月'!AM30:AN30,N$115)+COUNTIF('4月'!AR30:AS30,N$115)+COUNTIF('4月'!AW30:AX30,N$115)+COUNTIF('4月'!BB30:BC30,N$115)+COUNTIF('4月'!BG30:BH30,N$115)+COUNTIF('4月'!BL30:BM30,N$115)+COUNTIF('4月'!BQ30:BR30,N$115)+COUNTIF('4月'!BV30:BW30,N$115)+COUNTIF('4月'!CA30:CB30,N$115)+COUNTIF('4月'!CF30:CG30,N$115)+COUNTIF('4月'!CK30:CL30,N$115)+COUNTIF('4月'!CP30:CQ30,N$115)+COUNTIF('4月'!CU30:CV30,N$115)+COUNTIF('4月'!CZ30:DA30,N$115)+COUNTIF('4月'!DE30:DF30,N$115)+COUNTIF('4月'!DJ30:DK30,N$115)+COUNTIF('4月'!DO30:DP30,N$115)+COUNTIF('4月'!DT30:DU30,N$115)+COUNTIF('4月'!DY30:DZ30,N$115)+COUNTIF('4月'!ED30:EE30,N$115)+COUNTIF('4月'!EI30:EJ30,N$115)+COUNTIF('4月'!EN30:EO30,N$115)+COUNTIF('4月'!ES30:ET30,N$115)+COUNTIF('4月'!D30:E30,"三軒茶屋－夜勤")+COUNTIF('4月'!I30:J30,"三軒茶屋－夜勤")+COUNTIF('4月'!N30:O30,"三軒茶屋－夜勤")+COUNTIF('4月'!S30:T30,"三軒茶屋－夜勤")+COUNTIF('4月'!X30:Y30,"三軒茶屋－夜勤")+COUNTIF('4月'!AC30:AD30,"三軒茶屋－夜勤")+COUNTIF('4月'!AH30:AI30,"三軒茶屋－夜勤")+COUNTIF('4月'!AM30:AN30,"三軒茶屋－夜勤")+COUNTIF('4月'!AR30:AS30,"三軒茶屋－夜勤")+COUNTIF('4月'!AW30:AX30,"三軒茶屋－夜勤")+COUNTIF('4月'!BB30:BC30,"三軒茶屋－夜勤")+COUNTIF('4月'!BG30:BH30,"三軒茶屋－夜勤")+COUNTIF('4月'!BL30:BM30,"三軒茶屋－夜勤")+COUNTIF('4月'!BQ30:BR30,"三軒茶屋－夜勤")+COUNTIF('4月'!BV30:BW30,"三軒茶屋－夜勤")+COUNTIF('4月'!CA30:CB30,"三軒茶屋－夜勤")+COUNTIF('4月'!CF30:CG30,"三軒茶屋－夜勤")+COUNTIF('4月'!CK30:CL30,"三軒茶屋－夜勤")+COUNTIF('4月'!CP30:CQ30,"三軒茶屋－夜勤")+COUNTIF('4月'!CU30:CV30,"三軒茶屋－夜勤")+COUNTIF('4月'!CZ30:DA30,"三軒茶屋－夜勤")+COUNTIF('4月'!DE30:DF30,"三軒茶屋－夜勤")+COUNTIF('4月'!DJ30:DK30,"三軒茶屋－夜勤")+COUNTIF('4月'!DO30:DP30,"三軒茶屋－夜勤")+COUNTIF('4月'!DT30:DU30,"三軒茶屋－夜勤")+COUNTIF('4月'!DY30:DZ30,"三軒茶屋－夜勤")+COUNTIF('4月'!ED30:EE30,"三軒茶屋－夜勤")+COUNTIF('4月'!EI30:EJ30,"三軒茶屋－夜勤")+COUNTIF('4月'!EN30:EO30,"三軒茶屋－夜勤")+COUNTIF('4月'!ES30:ET30,"三軒茶屋－夜勤")</f>
        <v>0</v>
      </c>
      <c r="O143" s="76">
        <f t="shared" si="42"/>
        <v>0</v>
      </c>
      <c r="P143" s="76">
        <f>COUNTIF('4月'!D30:E30,P$115)+COUNTIF('4月'!I30:J30,P$115)+COUNTIF('4月'!N30:O30,P$115)+COUNTIF('4月'!S30:T30,P$115)+COUNTIF('4月'!X30:Y30,P$115)+COUNTIF('4月'!AC30:AD30,P$115)+COUNTIF('4月'!AH30:AI30,P$115)+COUNTIF('4月'!AM30:AN30,P$115)+COUNTIF('4月'!AR30:AS30,P$115)+COUNTIF('4月'!AW30:AX30,P$115)+COUNTIF('4月'!BB30:BC30,P$115)+COUNTIF('4月'!BG30:BH30,P$115)+COUNTIF('4月'!BL30:BM30,P$115)+COUNTIF('4月'!BQ30:BR30,P$115)+COUNTIF('4月'!BV30:BW30,P$115)+COUNTIF('4月'!CA30:CB30,P$115)+COUNTIF('4月'!CF30:CG30,P$115)+COUNTIF('4月'!CK30:CL30,P$115)+COUNTIF('4月'!CP30:CQ30,P$115)+COUNTIF('4月'!CU30:CV30,P$115)+COUNTIF('4月'!CZ30:DA30,P$115)+COUNTIF('4月'!DE30:DF30,P$115)+COUNTIF('4月'!DJ30:DK30,P$115)+COUNTIF('4月'!DO30:DP30,P$115)+COUNTIF('4月'!DT30:DU30,P$115)+COUNTIF('4月'!DY30:DZ30,P$115)+COUNTIF('4月'!ED30:EE30,P$115)+COUNTIF('4月'!EI30:EJ30,P$115)+COUNTIF('4月'!EN30:EO30,P$115)+COUNTIF('4月'!ES30:ET30,P$115)+COUNTIF('4月'!D30:E30,"荻窪ー夜勤")+COUNTIF('4月'!I30:J30,"荻窪ー夜勤")+COUNTIF('4月'!N30:O30,"荻窪ー夜勤")+COUNTIF('4月'!S30:T30,"荻窪ー夜勤")+COUNTIF('4月'!X30:Y30,"荻窪ー夜勤")+COUNTIF('4月'!AC30:AD30,"荻窪ー夜勤")+COUNTIF('4月'!AH30:AI30,"荻窪ー夜勤")+COUNTIF('4月'!AM30:AN30,"荻窪ー夜勤")+COUNTIF('4月'!AR30:AS30,"荻窪ー夜勤")+COUNTIF('4月'!AW30:AX30,"荻窪ー夜勤")+COUNTIF('4月'!BB30:BC30,"荻窪ー夜勤")+COUNTIF('4月'!BG30:BH30,"荻窪ー夜勤")+COUNTIF('4月'!BL30:BM30,"荻窪ー夜勤")+COUNTIF('4月'!BQ30:BR30,"荻窪ー夜勤")+COUNTIF('4月'!BV30:BW30,"荻窪ー夜勤")+COUNTIF('4月'!CA30:CB30,"荻窪ー夜勤")+COUNTIF('4月'!CF30:CG30,"荻窪ー夜勤")+COUNTIF('4月'!CK30:CL30,"荻窪ー夜勤")+COUNTIF('4月'!CP30:CQ30,"荻窪ー夜勤")+COUNTIF('4月'!CU30:CV30,"荻窪ー夜勤")+COUNTIF('4月'!CZ30:DA30,"荻窪ー夜勤")+COUNTIF('4月'!DE30:DF30,"荻窪ー夜勤")+COUNTIF('4月'!DJ30:DK30,"荻窪ー夜勤")+COUNTIF('4月'!DO30:DP30,"荻窪ー夜勤")+COUNTIF('4月'!DT30:DU30,"荻窪ー夜勤")+COUNTIF('4月'!DY30:DZ30,"荻窪ー夜勤")+COUNTIF('4月'!ED30:EE30,"荻窪ー夜勤")+COUNTIF('4月'!EI30:EJ30,"荻窪ー夜勤")+COUNTIF('4月'!EN30:EO30,"荻窪ー夜勤")+COUNTIF('4月'!ES30:ET30,"荻窪ー夜勤")</f>
        <v>0</v>
      </c>
      <c r="Q143" s="76">
        <f t="shared" si="43"/>
        <v>0</v>
      </c>
      <c r="R143" s="76">
        <f>COUNTIF('4月'!D30:E30,R$115)+COUNTIF('4月'!I30:J30,R$115)+COUNTIF('4月'!N30:O30,R$115)+COUNTIF('4月'!S30:T30,R$115)+COUNTIF('4月'!X30:Y30,R$115)+COUNTIF('4月'!AC30:AD30,R$115)+COUNTIF('4月'!AH30:AI30,R$115)+COUNTIF('4月'!AM30:AN30,R$115)+COUNTIF('4月'!AR30:AS30,R$115)+COUNTIF('4月'!AW30:AX30,R$115)+COUNTIF('4月'!BB30:BC30,R$115)+COUNTIF('4月'!BG30:BH30,R$115)+COUNTIF('4月'!BL30:BM30,R$115)+COUNTIF('4月'!BQ30:BR30,R$115)+COUNTIF('4月'!BV30:BW30,R$115)+COUNTIF('4月'!CA30:CB30,R$115)+COUNTIF('4月'!CF30:CG30,R$115)+COUNTIF('4月'!CK30:CL30,R$115)+COUNTIF('4月'!CP30:CQ30,R$115)+COUNTIF('4月'!CU30:CV30,R$115)+COUNTIF('4月'!CZ30:DA30,R$115)+COUNTIF('4月'!DE30:DF30,R$115)+COUNTIF('4月'!DJ30:DK30,R$115)+COUNTIF('4月'!DO30:DP30,R$115)+COUNTIF('4月'!DT30:DU30,R$115)+COUNTIF('4月'!DY30:DZ30,R$115)+COUNTIF('4月'!ED30:EE30,R$115)+COUNTIF('4月'!EI30:EJ30,R$115)+COUNTIF('4月'!EN30:EO30,R$115)+COUNTIF('4月'!ES30:ET30,R$115)</f>
        <v>0</v>
      </c>
      <c r="S143" s="76">
        <f t="shared" si="44"/>
        <v>0</v>
      </c>
      <c r="T143" s="76">
        <f>COUNTIF('4月'!D30:E30,T$115)+COUNTIF('4月'!I30:J30,T$115)+COUNTIF('4月'!N30:O30,T$115)+COUNTIF('4月'!S30:T30,T$115)+COUNTIF('4月'!X30:Y30,T$115)+COUNTIF('4月'!AC30:AD30,T$115)+COUNTIF('4月'!AH30:AI30,T$115)+COUNTIF('4月'!AM30:AN30,T$115)+COUNTIF('4月'!AR30:AS30,T$115)+COUNTIF('4月'!AW30:AX30,T$115)+COUNTIF('4月'!BB30:BC30,T$115)+COUNTIF('4月'!BG30:BH30,T$115)+COUNTIF('4月'!BL30:BM30,T$115)+COUNTIF('4月'!BQ30:BR30,T$115)+COUNTIF('4月'!BV30:BW30,T$115)+COUNTIF('4月'!CA30:CB30,T$115)+COUNTIF('4月'!CF30:CG30,T$115)+COUNTIF('4月'!CK30:CL30,T$115)+COUNTIF('4月'!CP30:CQ30,T$115)+COUNTIF('4月'!CU30:CV30,T$115)+COUNTIF('4月'!CZ30:DA30,T$115)+COUNTIF('4月'!DE30:DF30,T$115)+COUNTIF('4月'!DJ30:DK30,T$115)+COUNTIF('4月'!DO30:DP30,T$115)+COUNTIF('4月'!DT30:DU30,T$115)+COUNTIF('4月'!DY30:DZ30,T$115)+COUNTIF('4月'!ED30:EE30,T$115)+COUNTIF('4月'!EI30:EJ30,T$115)+COUNTIF('4月'!EN30:EO30,T$115)+COUNTIF('4月'!ES30:ET30,T$115)</f>
        <v>0</v>
      </c>
      <c r="U143" s="76">
        <f t="shared" si="45"/>
        <v>0</v>
      </c>
      <c r="V143" s="76">
        <f>COUNTIF('4月'!D30:E30,V$115)+COUNTIF('4月'!I30:J30,V$115)+COUNTIF('4月'!N30:O30,V$115)+COUNTIF('4月'!S30:T30,V$115)+COUNTIF('4月'!X30:Y30,V$115)+COUNTIF('4月'!AC30:AD30,V$115)+COUNTIF('4月'!AH30:AI30,V$115)+COUNTIF('4月'!AM30:AN30,V$115)+COUNTIF('4月'!AR30:AS30,V$115)+COUNTIF('4月'!AW30:AX30,V$115)+COUNTIF('4月'!BB30:BC30,V$115)+COUNTIF('4月'!BG30:BH30,V$115)+COUNTIF('4月'!BL30:BM30,V$115)+COUNTIF('4月'!BQ30:BR30,V$115)+COUNTIF('4月'!BV30:BW30,V$115)+COUNTIF('4月'!CA30:CB30,V$115)+COUNTIF('4月'!CF30:CG30,V$115)+COUNTIF('4月'!CK30:CL30,V$115)+COUNTIF('4月'!CP30:CQ30,V$115)+COUNTIF('4月'!CU30:CV30,V$115)+COUNTIF('4月'!CZ30:DA30,V$115)+COUNTIF('4月'!DE30:DF30,V$115)+COUNTIF('4月'!DJ30:DK30,V$115)+COUNTIF('4月'!DO30:DP30,V$115)+COUNTIF('4月'!DT30:DU30,V$115)+COUNTIF('4月'!DY30:DZ30,V$115)+COUNTIF('4月'!ED30:EE30,V$115)+COUNTIF('4月'!EI30:EJ30,V$115)+COUNTIF('4月'!EN30:EO30,V$115)+COUNTIF('4月'!ES30:ET30,V$115)</f>
        <v>0</v>
      </c>
      <c r="W143" s="76">
        <f t="shared" si="46"/>
        <v>0</v>
      </c>
      <c r="X143" s="76">
        <f>COUNTIF('4月'!D30:E30,X$115)+COUNTIF('4月'!I30:J30,X$115)+COUNTIF('4月'!N30:O30,X$115)+COUNTIF('4月'!S30:T30,X$115)+COUNTIF('4月'!X30:Y30,X$115)+COUNTIF('4月'!AC30:AD30,X$115)+COUNTIF('4月'!AH30:AI30,X$115)+COUNTIF('4月'!AM30:AN30,X$115)+COUNTIF('4月'!AR30:AS30,X$115)+COUNTIF('4月'!AW30:AX30,X$115)+COUNTIF('4月'!BB30:BC30,X$115)+COUNTIF('4月'!BG30:BH30,X$115)+COUNTIF('4月'!BL30:BM30,X$115)+COUNTIF('4月'!BQ30:BR30,X$115)+COUNTIF('4月'!BV30:BW30,X$115)+COUNTIF('4月'!CA30:CB30,X$115)+COUNTIF('4月'!CF30:CG30,X$115)+COUNTIF('4月'!CK30:CL30,X$115)+COUNTIF('4月'!CP30:CQ30,X$115)+COUNTIF('4月'!CU30:CV30,X$115)+COUNTIF('4月'!CZ30:DA30,X$115)+COUNTIF('4月'!DE30:DF30,X$115)+COUNTIF('4月'!DJ30:DK30,X$115)+COUNTIF('4月'!DO30:DP30,X$115)+COUNTIF('4月'!DT30:DU30,X$115)+COUNTIF('4月'!DY30:DZ30,X$115)+COUNTIF('4月'!ED30:EE30,X$115)+COUNTIF('4月'!EI30:EJ30,X$115)+COUNTIF('4月'!EN30:EO30,X$115)+COUNTIF('4月'!ES30:ET30,X$115)</f>
        <v>0</v>
      </c>
      <c r="Y143" s="76">
        <f t="shared" si="47"/>
        <v>0</v>
      </c>
    </row>
    <row r="144" spans="1:25" ht="18" customHeight="1">
      <c r="A144" s="76">
        <v>28</v>
      </c>
      <c r="B144" s="76">
        <f>COUNTIF('4月'!D31:E31,B$115)+COUNTIF('4月'!I31:J31,B$115)+COUNTIF('4月'!N31:O31,B$115)+COUNTIF('4月'!S31:T31,B$115)+COUNTIF('4月'!X31:Y31,B$115)+COUNTIF('4月'!AC31:AD31,B$115)+COUNTIF('4月'!AH31:AI31,B$115)+COUNTIF('4月'!AM31:AN31,B$115)+COUNTIF('4月'!AR31:AS31,B$115)+COUNTIF('4月'!AW31:AX31,B$115)+COUNTIF('4月'!BB31:BC31,B$115)+COUNTIF('4月'!BG31:BH31,B$115)+COUNTIF('4月'!BL31:BM31,B$115)+COUNTIF('4月'!BQ31:BR31,B$115)+COUNTIF('4月'!BV31:BW31,B$115)+COUNTIF('4月'!CA31:CB31,B$115)+COUNTIF('4月'!CF31:CG31,B$115)+COUNTIF('4月'!CK31:CL31,B$115)+COUNTIF('4月'!CP31:CQ31,B$115)+COUNTIF('4月'!CU31:CV31,B$115)+COUNTIF('4月'!CZ31:DA31,B$115)+COUNTIF('4月'!DE31:DF31,B$115)+COUNTIF('4月'!DJ31:DK31,B$115)+COUNTIF('4月'!DO31:DP31,B$115)+COUNTIF('4月'!DT31:DU31,B$115)+COUNTIF('4月'!DY31:DZ31,B$115)+COUNTIF('4月'!ED31:EE31,B$115)+COUNTIF('4月'!EI31:EJ31,B$115)+COUNTIF('4月'!EN31:EO31,B$115)+COUNTIF('4月'!ES31:ET31,B$115)</f>
        <v>0</v>
      </c>
      <c r="C144" s="76">
        <f t="shared" si="36"/>
        <v>0</v>
      </c>
      <c r="D144" s="76">
        <f>COUNTIF('4月'!D31:E31,D$115)+COUNTIF('4月'!I31:J31,D$115)+COUNTIF('4月'!N31:O31,D$115)+COUNTIF('4月'!S31:T31,D$115)+COUNTIF('4月'!X31:Y31,D$115)+COUNTIF('4月'!AC31:AD31,D$115)+COUNTIF('4月'!AH31:AI31,D$115)+COUNTIF('4月'!AM31:AN31,D$115)+COUNTIF('4月'!AR31:AS31,D$115)+COUNTIF('4月'!AW31:AX31,D$115)+COUNTIF('4月'!BB31:BC31,D$115)+COUNTIF('4月'!BG31:BH31,D$115)+COUNTIF('4月'!BL31:BM31,D$115)+COUNTIF('4月'!BQ31:BR31,D$115)+COUNTIF('4月'!BV31:BW31,D$115)+COUNTIF('4月'!CA31:CB31,D$115)+COUNTIF('4月'!CF31:CG31,D$115)+COUNTIF('4月'!CK31:CL31,D$115)+COUNTIF('4月'!CP31:CQ31,D$115)+COUNTIF('4月'!CU31:CV31,D$115)+COUNTIF('4月'!CZ31:DA31,D$115)+COUNTIF('4月'!DE31:DF31,D$115)+COUNTIF('4月'!DJ31:DK31,D$115)+COUNTIF('4月'!DO31:DP31,D$115)+COUNTIF('4月'!DT31:DU31,D$115)+COUNTIF('4月'!DY31:DZ31,D$115)+COUNTIF('4月'!ED31:EE31,D$115)+COUNTIF('4月'!EI31:EJ31,D$115)+COUNTIF('4月'!EN31:EO31,D$115)+COUNTIF('4月'!ES31:ET31,D$115)</f>
        <v>0</v>
      </c>
      <c r="E144" s="76">
        <f t="shared" si="37"/>
        <v>0</v>
      </c>
      <c r="F144" s="76">
        <f>COUNTIF('4月'!D31:E31,F$115)+COUNTIF('4月'!I31:J31,F$115)+COUNTIF('4月'!N31:O31,F$115)+COUNTIF('4月'!S31:T31,F$115)+COUNTIF('4月'!X31:Y31,F$115)+COUNTIF('4月'!AC31:AD31,F$115)+COUNTIF('4月'!AH31:AI31,F$115)+COUNTIF('4月'!AM31:AN31,F$115)+COUNTIF('4月'!AR31:AS31,F$115)+COUNTIF('4月'!AW31:AX31,F$115)+COUNTIF('4月'!BB31:BC31,F$115)+COUNTIF('4月'!BG31:BH31,F$115)+COUNTIF('4月'!BL31:BM31,F$115)+COUNTIF('4月'!BQ31:BR31,F$115)+COUNTIF('4月'!BV31:BW31,F$115)+COUNTIF('4月'!CA31:CB31,F$115)+COUNTIF('4月'!CF31:CG31,F$115)+COUNTIF('4月'!CK31:CL31,F$115)+COUNTIF('4月'!CP31:CQ31,F$115)+COUNTIF('4月'!CU31:CV31,F$115)+COUNTIF('4月'!CZ31:DA31,F$115)+COUNTIF('4月'!DE31:DF31,F$115)+COUNTIF('4月'!DJ31:DK31,F$115)+COUNTIF('4月'!DO31:DP31,F$115)+COUNTIF('4月'!DT31:DU31,F$115)+COUNTIF('4月'!DY31:DZ31,F$115)+COUNTIF('4月'!ED31:EE31,F$115)+COUNTIF('4月'!EI31:EJ31,F$115)+COUNTIF('4月'!EN31:EO31,F$115)+COUNTIF('4月'!ES31:ET31,F$115)</f>
        <v>0</v>
      </c>
      <c r="G144" s="76">
        <f t="shared" si="38"/>
        <v>0</v>
      </c>
      <c r="H144" s="76">
        <f>COUNTIF('4月'!D31:E31,H$115)+COUNTIF('4月'!I31:J31,H$115)+COUNTIF('4月'!N31:O31,H$115)+COUNTIF('4月'!S31:T31,H$115)+COUNTIF('4月'!X31:Y31,H$115)+COUNTIF('4月'!AC31:AD31,H$115)+COUNTIF('4月'!AH31:AI31,H$115)+COUNTIF('4月'!AM31:AN31,H$115)+COUNTIF('4月'!AR31:AS31,H$115)+COUNTIF('4月'!AW31:AX31,H$115)+COUNTIF('4月'!BB31:BC31,H$115)+COUNTIF('4月'!BG31:BH31,H$115)+COUNTIF('4月'!BL31:BM31,H$115)+COUNTIF('4月'!BQ31:BR31,H$115)+COUNTIF('4月'!BV31:BW31,H$115)+COUNTIF('4月'!CA31:CB31,H$115)+COUNTIF('4月'!CF31:CG31,H$115)+COUNTIF('4月'!CK31:CL31,H$115)+COUNTIF('4月'!CP31:CQ31,H$115)+COUNTIF('4月'!CU31:CV31,H$115)+COUNTIF('4月'!CZ31:DA31,H$115)+COUNTIF('4月'!DE31:DF31,H$115)+COUNTIF('4月'!DJ31:DK31,H$115)+COUNTIF('4月'!DO31:DP31,H$115)+COUNTIF('4月'!DT31:DU31,H$115)+COUNTIF('4月'!DY31:DZ31,H$115)+COUNTIF('4月'!ED31:EE31,H$115)+COUNTIF('4月'!EI31:EJ31,H$115)+COUNTIF('4月'!EN31:EO31,H$115)+COUNTIF('4月'!ES31:ET31,H$115)+COUNTIF('4月'!D31:E31,"渋谷-夜勤")+COUNTIF('4月'!I31:J31,"渋谷-夜勤")+COUNTIF('4月'!N31:O31,"渋谷-夜勤")+COUNTIF('4月'!S31:T31,"渋谷-夜勤")+COUNTIF('4月'!X31:Y31,"渋谷-夜勤")+COUNTIF('4月'!AC31:AD31,"渋谷-夜勤")+COUNTIF('4月'!AH31:AI31,"渋谷-夜勤")+COUNTIF('4月'!AM31:AN31,"渋谷-夜勤")+COUNTIF('4月'!AR31:AS31,"渋谷-夜勤")+COUNTIF('4月'!AW31:AX31,"渋谷-夜勤")+COUNTIF('4月'!BB31:BC31,"渋谷-夜勤")+COUNTIF('4月'!BG31:BH31,"渋谷-夜勤")+COUNTIF('4月'!BL31:BM31,"渋谷-夜勤")+COUNTIF('4月'!BQ31:BR31,"渋谷-夜勤")+COUNTIF('4月'!BV31:BW31,"渋谷-夜勤")+COUNTIF('4月'!CA31:CB31,"渋谷-夜勤")+COUNTIF('4月'!CF31:CG31,"渋谷-夜勤")+COUNTIF('4月'!CK31:CL31,"渋谷-夜勤")+COUNTIF('4月'!CP31:CQ31,"渋谷-夜勤")+COUNTIF('4月'!CU31:CV31,"渋谷-夜勤")+COUNTIF('4月'!CZ31:DA31,"渋谷-夜勤")+COUNTIF('4月'!DE31:DF31,"渋谷-夜勤")+COUNTIF('4月'!DJ31:DK31,"渋谷-夜勤")+COUNTIF('4月'!DO31:DP31,"渋谷-夜勤")+COUNTIF('4月'!DT31:DU31,"渋谷-夜勤")+COUNTIF('4月'!DY31:DZ31,"渋谷-夜勤")+COUNTIF('4月'!ED31:EE31,"渋谷-夜勤")+COUNTIF('4月'!EI31:EJ31,"渋谷-夜勤")+COUNTIF('4月'!EN31:EO31,"渋谷-夜勤")+COUNTIF('4月'!ES31:ET31,"渋谷-夜勤")</f>
        <v>0</v>
      </c>
      <c r="I144" s="76">
        <f t="shared" si="39"/>
        <v>0</v>
      </c>
      <c r="J144" s="76">
        <f>COUNTIF('4月'!D31:E31,J$115)+COUNTIF('4月'!I31:J31,J$115)+COUNTIF('4月'!N31:O31,J$115)+COUNTIF('4月'!S31:T31,J$115)+COUNTIF('4月'!X31:Y31,J$115)+COUNTIF('4月'!AC31:AD31,J$115)+COUNTIF('4月'!AH31:AI31,J$115)+COUNTIF('4月'!AM31:AN31,J$115)+COUNTIF('4月'!AR31:AS31,J$115)+COUNTIF('4月'!AW31:AX31,J$115)+COUNTIF('4月'!BB31:BC31,J$115)+COUNTIF('4月'!BG31:BH31,J$115)+COUNTIF('4月'!BL31:BM31,J$115)+COUNTIF('4月'!BQ31:BR31,J$115)+COUNTIF('4月'!BV31:BW31,J$115)+COUNTIF('4月'!CA31:CB31,J$115)+COUNTIF('4月'!CF31:CG31,J$115)+COUNTIF('4月'!CK31:CL31,J$115)+COUNTIF('4月'!CP31:CQ31,J$115)+COUNTIF('4月'!CU31:CV31,J$115)+COUNTIF('4月'!CZ31:DA31,J$115)+COUNTIF('4月'!DE31:DF31,J$115)+COUNTIF('4月'!DJ31:DK31,J$115)+COUNTIF('4月'!DO31:DP31,J$115)+COUNTIF('4月'!DT31:DU31,J$115)+COUNTIF('4月'!DY31:DZ31,J$115)+COUNTIF('4月'!ED31:EE31,J$115)+COUNTIF('4月'!EI31:EJ31,J$115)+COUNTIF('4月'!EN31:EO31,J$115)+COUNTIF('4月'!ES31:ET31,J$115)+COUNTIF('4月'!D31:E31,"六本木-夜勤")+COUNTIF('4月'!I31:J31,"六本木-夜勤")+COUNTIF('4月'!N31:O31,"六本木-夜勤")+COUNTIF('4月'!S31:T31,"六本木-夜勤")+COUNTIF('4月'!X31:Y31,"六本木-夜勤")+COUNTIF('4月'!AC31:AD31,"六本木-夜勤")+COUNTIF('4月'!AH31:AI31,"六本木-夜勤")+COUNTIF('4月'!AM31:AN31,"六本木-夜勤")+COUNTIF('4月'!AR31:AS31,"六本木-夜勤")+COUNTIF('4月'!AW31:AX31,"六本木-夜勤")+COUNTIF('4月'!BB31:BC31,"六本木-夜勤")+COUNTIF('4月'!BG31:BH31,"六本木-夜勤")+COUNTIF('4月'!BL31:BM31,"六本木-夜勤")+COUNTIF('4月'!BQ31:BR31,"六本木-夜勤")+COUNTIF('4月'!BV31:BW31,"六本木-夜勤")+COUNTIF('4月'!CA31:CB31,"六本木-夜勤")+COUNTIF('4月'!CF31:CG31,"六本木-夜勤")+COUNTIF('4月'!CK31:CL31,"六本木-夜勤")+COUNTIF('4月'!CP31:CQ31,"六本木-夜勤")+COUNTIF('4月'!CU31:CV31,"六本木-夜勤")+COUNTIF('4月'!CZ31:DA31,"六本木-夜勤")+COUNTIF('4月'!DE31:DF31,"六本木-夜勤")+COUNTIF('4月'!DJ31:DK31,"六本木-夜勤")+COUNTIF('4月'!DO31:DP31,"六本木-夜勤")+COUNTIF('4月'!DT31:DU31,"六本木-夜勤")+COUNTIF('4月'!DY31:DZ31,"六本木-夜勤")+COUNTIF('4月'!ED31:EE31,"六本木-夜勤")+COUNTIF('4月'!EI31:EJ31,"六本木-夜勤")+COUNTIF('4月'!EN31:EO31,"六本木-夜勤")+COUNTIF('4月'!ES31:ET31,"六本木-夜勤")+COUNTIF('4月'!D31:E31,"六本木ー夜勤")+COUNTIF('4月'!I31:J31,"六本木ー夜勤")+COUNTIF('4月'!N31:O31,"六本木ー夜勤")+COUNTIF('4月'!S31:T31,"六本木ー夜勤")+COUNTIF('4月'!X31:Y31,"六本木ー夜勤")+COUNTIF('4月'!AC31:AD31,"六本木ー夜勤")+COUNTIF('4月'!AH31:AI31,"六本木ー夜勤")+COUNTIF('4月'!AM31:AN31,"六本木ー夜勤")+COUNTIF('4月'!AR31:AS31,"六本木ー夜勤")+COUNTIF('4月'!AW31:AX31,"六本木ー夜勤")+COUNTIF('4月'!BB31:BC31,"六本木ー夜勤")+COUNTIF('4月'!BG31:BH31,"六本木ー夜勤")+COUNTIF('4月'!BL31:BM31,"六本木ー夜勤")+COUNTIF('4月'!BQ31:BR31,"六本木ー夜勤")+COUNTIF('4月'!BV31:BW31,"六本木ー夜勤")+COUNTIF('4月'!CA31:CB31,"六本木ー夜勤")+COUNTIF('4月'!CF31:CG31,"六本木ー夜勤")+COUNTIF('4月'!CK31:CL31,"六本木ー夜勤")+COUNTIF('4月'!CP31:CQ31,"六本木ー夜勤")+COUNTIF('4月'!CU31:CV31,"六本木ー夜勤")+COUNTIF('4月'!CZ31:DA31,"六本木ー夜勤")+COUNTIF('4月'!DE31:DF31,"六本木ー夜勤")+COUNTIF('4月'!DJ31:DK31,"六本木ー夜勤")+COUNTIF('4月'!DO31:DP31,"六本木ー夜勤")+COUNTIF('4月'!DT31:DU31,"六本木ー夜勤")+COUNTIF('4月'!DY31:DZ31,"六本木ー夜勤")+COUNTIF('4月'!ED31:EE31,"六本木ー夜勤")+COUNTIF('4月'!EI31:EJ31,"六本木ー夜勤")+COUNTIF('4月'!EN31:EO31,"六本木ー夜勤")+COUNTIF('4月'!ES31:ET31,"六本木ー夜勤")</f>
        <v>0</v>
      </c>
      <c r="K144" s="76">
        <f t="shared" si="40"/>
        <v>0</v>
      </c>
      <c r="L144" s="76">
        <f>COUNTIF('4月'!D31:E31,L$115)+COUNTIF('4月'!I31:J31,L$115)+COUNTIF('4月'!N31:O31,L$115)+COUNTIF('4月'!S31:T31,L$115)+COUNTIF('4月'!X31:Y31,L$115)+COUNTIF('4月'!AC31:AD31,L$115)+COUNTIF('4月'!AH31:AI31,L$115)+COUNTIF('4月'!AM31:AN31,L$115)+COUNTIF('4月'!AR31:AS31,L$115)+COUNTIF('4月'!AW31:AX31,L$115)+COUNTIF('4月'!BB31:BC31,L$115)+COUNTIF('4月'!BG31:BH31,L$115)+COUNTIF('4月'!BL31:BM31,L$115)+COUNTIF('4月'!BQ31:BR31,L$115)+COUNTIF('4月'!BV31:BW31,L$115)+COUNTIF('4月'!CA31:CB31,L$115)+COUNTIF('4月'!CF31:CG31,L$115)+COUNTIF('4月'!CK31:CL31,L$115)+COUNTIF('4月'!CP31:CQ31,L$115)+COUNTIF('4月'!CU31:CV31,L$115)+COUNTIF('4月'!CZ31:DA31,L$115)+COUNTIF('4月'!DE31:DF31,L$115)+COUNTIF('4月'!DJ31:DK31,L$115)+COUNTIF('4月'!DO31:DP31,L$115)+COUNTIF('4月'!DT31:DU31,L$115)+COUNTIF('4月'!DY31:DZ31,L$115)+COUNTIF('4月'!ED31:EE31,L$115)+COUNTIF('4月'!EI31:EJ31,L$115)+COUNTIF('4月'!EN31:EO31,L$115)+COUNTIF('4月'!ES31:ET31,L$115)</f>
        <v>0</v>
      </c>
      <c r="M144" s="76">
        <f t="shared" si="41"/>
        <v>0</v>
      </c>
      <c r="N144" s="76">
        <f>COUNTIF('4月'!D31:E31,N$115)+COUNTIF('4月'!I31:J31,N$115)+COUNTIF('4月'!N31:O31,N$115)+COUNTIF('4月'!S31:T31,N$115)+COUNTIF('4月'!X31:Y31,N$115)+COUNTIF('4月'!AC31:AD31,N$115)+COUNTIF('4月'!AH31:AI31,N$115)+COUNTIF('4月'!AM31:AN31,N$115)+COUNTIF('4月'!AR31:AS31,N$115)+COUNTIF('4月'!AW31:AX31,N$115)+COUNTIF('4月'!BB31:BC31,N$115)+COUNTIF('4月'!BG31:BH31,N$115)+COUNTIF('4月'!BL31:BM31,N$115)+COUNTIF('4月'!BQ31:BR31,N$115)+COUNTIF('4月'!BV31:BW31,N$115)+COUNTIF('4月'!CA31:CB31,N$115)+COUNTIF('4月'!CF31:CG31,N$115)+COUNTIF('4月'!CK31:CL31,N$115)+COUNTIF('4月'!CP31:CQ31,N$115)+COUNTIF('4月'!CU31:CV31,N$115)+COUNTIF('4月'!CZ31:DA31,N$115)+COUNTIF('4月'!DE31:DF31,N$115)+COUNTIF('4月'!DJ31:DK31,N$115)+COUNTIF('4月'!DO31:DP31,N$115)+COUNTIF('4月'!DT31:DU31,N$115)+COUNTIF('4月'!DY31:DZ31,N$115)+COUNTIF('4月'!ED31:EE31,N$115)+COUNTIF('4月'!EI31:EJ31,N$115)+COUNTIF('4月'!EN31:EO31,N$115)+COUNTIF('4月'!ES31:ET31,N$115)+COUNTIF('4月'!D31:E31,"三軒茶屋－夜勤")+COUNTIF('4月'!I31:J31,"三軒茶屋－夜勤")+COUNTIF('4月'!N31:O31,"三軒茶屋－夜勤")+COUNTIF('4月'!S31:T31,"三軒茶屋－夜勤")+COUNTIF('4月'!X31:Y31,"三軒茶屋－夜勤")+COUNTIF('4月'!AC31:AD31,"三軒茶屋－夜勤")+COUNTIF('4月'!AH31:AI31,"三軒茶屋－夜勤")+COUNTIF('4月'!AM31:AN31,"三軒茶屋－夜勤")+COUNTIF('4月'!AR31:AS31,"三軒茶屋－夜勤")+COUNTIF('4月'!AW31:AX31,"三軒茶屋－夜勤")+COUNTIF('4月'!BB31:BC31,"三軒茶屋－夜勤")+COUNTIF('4月'!BG31:BH31,"三軒茶屋－夜勤")+COUNTIF('4月'!BL31:BM31,"三軒茶屋－夜勤")+COUNTIF('4月'!BQ31:BR31,"三軒茶屋－夜勤")+COUNTIF('4月'!BV31:BW31,"三軒茶屋－夜勤")+COUNTIF('4月'!CA31:CB31,"三軒茶屋－夜勤")+COUNTIF('4月'!CF31:CG31,"三軒茶屋－夜勤")+COUNTIF('4月'!CK31:CL31,"三軒茶屋－夜勤")+COUNTIF('4月'!CP31:CQ31,"三軒茶屋－夜勤")+COUNTIF('4月'!CU31:CV31,"三軒茶屋－夜勤")+COUNTIF('4月'!CZ31:DA31,"三軒茶屋－夜勤")+COUNTIF('4月'!DE31:DF31,"三軒茶屋－夜勤")+COUNTIF('4月'!DJ31:DK31,"三軒茶屋－夜勤")+COUNTIF('4月'!DO31:DP31,"三軒茶屋－夜勤")+COUNTIF('4月'!DT31:DU31,"三軒茶屋－夜勤")+COUNTIF('4月'!DY31:DZ31,"三軒茶屋－夜勤")+COUNTIF('4月'!ED31:EE31,"三軒茶屋－夜勤")+COUNTIF('4月'!EI31:EJ31,"三軒茶屋－夜勤")+COUNTIF('4月'!EN31:EO31,"三軒茶屋－夜勤")+COUNTIF('4月'!ES31:ET31,"三軒茶屋－夜勤")</f>
        <v>0</v>
      </c>
      <c r="O144" s="76">
        <f t="shared" si="42"/>
        <v>0</v>
      </c>
      <c r="P144" s="76">
        <f>COUNTIF('4月'!D31:E31,P$115)+COUNTIF('4月'!I31:J31,P$115)+COUNTIF('4月'!N31:O31,P$115)+COUNTIF('4月'!S31:T31,P$115)+COUNTIF('4月'!X31:Y31,P$115)+COUNTIF('4月'!AC31:AD31,P$115)+COUNTIF('4月'!AH31:AI31,P$115)+COUNTIF('4月'!AM31:AN31,P$115)+COUNTIF('4月'!AR31:AS31,P$115)+COUNTIF('4月'!AW31:AX31,P$115)+COUNTIF('4月'!BB31:BC31,P$115)+COUNTIF('4月'!BG31:BH31,P$115)+COUNTIF('4月'!BL31:BM31,P$115)+COUNTIF('4月'!BQ31:BR31,P$115)+COUNTIF('4月'!BV31:BW31,P$115)+COUNTIF('4月'!CA31:CB31,P$115)+COUNTIF('4月'!CF31:CG31,P$115)+COUNTIF('4月'!CK31:CL31,P$115)+COUNTIF('4月'!CP31:CQ31,P$115)+COUNTIF('4月'!CU31:CV31,P$115)+COUNTIF('4月'!CZ31:DA31,P$115)+COUNTIF('4月'!DE31:DF31,P$115)+COUNTIF('4月'!DJ31:DK31,P$115)+COUNTIF('4月'!DO31:DP31,P$115)+COUNTIF('4月'!DT31:DU31,P$115)+COUNTIF('4月'!DY31:DZ31,P$115)+COUNTIF('4月'!ED31:EE31,P$115)+COUNTIF('4月'!EI31:EJ31,P$115)+COUNTIF('4月'!EN31:EO31,P$115)+COUNTIF('4月'!ES31:ET31,P$115)+COUNTIF('4月'!D31:E31,"荻窪ー夜勤")+COUNTIF('4月'!I31:J31,"荻窪ー夜勤")+COUNTIF('4月'!N31:O31,"荻窪ー夜勤")+COUNTIF('4月'!S31:T31,"荻窪ー夜勤")+COUNTIF('4月'!X31:Y31,"荻窪ー夜勤")+COUNTIF('4月'!AC31:AD31,"荻窪ー夜勤")+COUNTIF('4月'!AH31:AI31,"荻窪ー夜勤")+COUNTIF('4月'!AM31:AN31,"荻窪ー夜勤")+COUNTIF('4月'!AR31:AS31,"荻窪ー夜勤")+COUNTIF('4月'!AW31:AX31,"荻窪ー夜勤")+COUNTIF('4月'!BB31:BC31,"荻窪ー夜勤")+COUNTIF('4月'!BG31:BH31,"荻窪ー夜勤")+COUNTIF('4月'!BL31:BM31,"荻窪ー夜勤")+COUNTIF('4月'!BQ31:BR31,"荻窪ー夜勤")+COUNTIF('4月'!BV31:BW31,"荻窪ー夜勤")+COUNTIF('4月'!CA31:CB31,"荻窪ー夜勤")+COUNTIF('4月'!CF31:CG31,"荻窪ー夜勤")+COUNTIF('4月'!CK31:CL31,"荻窪ー夜勤")+COUNTIF('4月'!CP31:CQ31,"荻窪ー夜勤")+COUNTIF('4月'!CU31:CV31,"荻窪ー夜勤")+COUNTIF('4月'!CZ31:DA31,"荻窪ー夜勤")+COUNTIF('4月'!DE31:DF31,"荻窪ー夜勤")+COUNTIF('4月'!DJ31:DK31,"荻窪ー夜勤")+COUNTIF('4月'!DO31:DP31,"荻窪ー夜勤")+COUNTIF('4月'!DT31:DU31,"荻窪ー夜勤")+COUNTIF('4月'!DY31:DZ31,"荻窪ー夜勤")+COUNTIF('4月'!ED31:EE31,"荻窪ー夜勤")+COUNTIF('4月'!EI31:EJ31,"荻窪ー夜勤")+COUNTIF('4月'!EN31:EO31,"荻窪ー夜勤")+COUNTIF('4月'!ES31:ET31,"荻窪ー夜勤")</f>
        <v>0</v>
      </c>
      <c r="Q144" s="76">
        <f t="shared" si="43"/>
        <v>0</v>
      </c>
      <c r="R144" s="76">
        <f>COUNTIF('4月'!D31:E31,R$115)+COUNTIF('4月'!I31:J31,R$115)+COUNTIF('4月'!N31:O31,R$115)+COUNTIF('4月'!S31:T31,R$115)+COUNTIF('4月'!X31:Y31,R$115)+COUNTIF('4月'!AC31:AD31,R$115)+COUNTIF('4月'!AH31:AI31,R$115)+COUNTIF('4月'!AM31:AN31,R$115)+COUNTIF('4月'!AR31:AS31,R$115)+COUNTIF('4月'!AW31:AX31,R$115)+COUNTIF('4月'!BB31:BC31,R$115)+COUNTIF('4月'!BG31:BH31,R$115)+COUNTIF('4月'!BL31:BM31,R$115)+COUNTIF('4月'!BQ31:BR31,R$115)+COUNTIF('4月'!BV31:BW31,R$115)+COUNTIF('4月'!CA31:CB31,R$115)+COUNTIF('4月'!CF31:CG31,R$115)+COUNTIF('4月'!CK31:CL31,R$115)+COUNTIF('4月'!CP31:CQ31,R$115)+COUNTIF('4月'!CU31:CV31,R$115)+COUNTIF('4月'!CZ31:DA31,R$115)+COUNTIF('4月'!DE31:DF31,R$115)+COUNTIF('4月'!DJ31:DK31,R$115)+COUNTIF('4月'!DO31:DP31,R$115)+COUNTIF('4月'!DT31:DU31,R$115)+COUNTIF('4月'!DY31:DZ31,R$115)+COUNTIF('4月'!ED31:EE31,R$115)+COUNTIF('4月'!EI31:EJ31,R$115)+COUNTIF('4月'!EN31:EO31,R$115)+COUNTIF('4月'!ES31:ET31,R$115)</f>
        <v>0</v>
      </c>
      <c r="S144" s="76">
        <f t="shared" si="44"/>
        <v>0</v>
      </c>
      <c r="T144" s="76">
        <f>COUNTIF('4月'!D31:E31,T$115)+COUNTIF('4月'!I31:J31,T$115)+COUNTIF('4月'!N31:O31,T$115)+COUNTIF('4月'!S31:T31,T$115)+COUNTIF('4月'!X31:Y31,T$115)+COUNTIF('4月'!AC31:AD31,T$115)+COUNTIF('4月'!AH31:AI31,T$115)+COUNTIF('4月'!AM31:AN31,T$115)+COUNTIF('4月'!AR31:AS31,T$115)+COUNTIF('4月'!AW31:AX31,T$115)+COUNTIF('4月'!BB31:BC31,T$115)+COUNTIF('4月'!BG31:BH31,T$115)+COUNTIF('4月'!BL31:BM31,T$115)+COUNTIF('4月'!BQ31:BR31,T$115)+COUNTIF('4月'!BV31:BW31,T$115)+COUNTIF('4月'!CA31:CB31,T$115)+COUNTIF('4月'!CF31:CG31,T$115)+COUNTIF('4月'!CK31:CL31,T$115)+COUNTIF('4月'!CP31:CQ31,T$115)+COUNTIF('4月'!CU31:CV31,T$115)+COUNTIF('4月'!CZ31:DA31,T$115)+COUNTIF('4月'!DE31:DF31,T$115)+COUNTIF('4月'!DJ31:DK31,T$115)+COUNTIF('4月'!DO31:DP31,T$115)+COUNTIF('4月'!DT31:DU31,T$115)+COUNTIF('4月'!DY31:DZ31,T$115)+COUNTIF('4月'!ED31:EE31,T$115)+COUNTIF('4月'!EI31:EJ31,T$115)+COUNTIF('4月'!EN31:EO31,T$115)+COUNTIF('4月'!ES31:ET31,T$115)</f>
        <v>0</v>
      </c>
      <c r="U144" s="76">
        <f t="shared" si="45"/>
        <v>0</v>
      </c>
      <c r="V144" s="76">
        <f>COUNTIF('4月'!D31:E31,V$115)+COUNTIF('4月'!I31:J31,V$115)+COUNTIF('4月'!N31:O31,V$115)+COUNTIF('4月'!S31:T31,V$115)+COUNTIF('4月'!X31:Y31,V$115)+COUNTIF('4月'!AC31:AD31,V$115)+COUNTIF('4月'!AH31:AI31,V$115)+COUNTIF('4月'!AM31:AN31,V$115)+COUNTIF('4月'!AR31:AS31,V$115)+COUNTIF('4月'!AW31:AX31,V$115)+COUNTIF('4月'!BB31:BC31,V$115)+COUNTIF('4月'!BG31:BH31,V$115)+COUNTIF('4月'!BL31:BM31,V$115)+COUNTIF('4月'!BQ31:BR31,V$115)+COUNTIF('4月'!BV31:BW31,V$115)+COUNTIF('4月'!CA31:CB31,V$115)+COUNTIF('4月'!CF31:CG31,V$115)+COUNTIF('4月'!CK31:CL31,V$115)+COUNTIF('4月'!CP31:CQ31,V$115)+COUNTIF('4月'!CU31:CV31,V$115)+COUNTIF('4月'!CZ31:DA31,V$115)+COUNTIF('4月'!DE31:DF31,V$115)+COUNTIF('4月'!DJ31:DK31,V$115)+COUNTIF('4月'!DO31:DP31,V$115)+COUNTIF('4月'!DT31:DU31,V$115)+COUNTIF('4月'!DY31:DZ31,V$115)+COUNTIF('4月'!ED31:EE31,V$115)+COUNTIF('4月'!EI31:EJ31,V$115)+COUNTIF('4月'!EN31:EO31,V$115)+COUNTIF('4月'!ES31:ET31,V$115)</f>
        <v>0</v>
      </c>
      <c r="W144" s="76">
        <f t="shared" si="46"/>
        <v>0</v>
      </c>
      <c r="X144" s="76">
        <f>COUNTIF('4月'!D31:E31,X$115)+COUNTIF('4月'!I31:J31,X$115)+COUNTIF('4月'!N31:O31,X$115)+COUNTIF('4月'!S31:T31,X$115)+COUNTIF('4月'!X31:Y31,X$115)+COUNTIF('4月'!AC31:AD31,X$115)+COUNTIF('4月'!AH31:AI31,X$115)+COUNTIF('4月'!AM31:AN31,X$115)+COUNTIF('4月'!AR31:AS31,X$115)+COUNTIF('4月'!AW31:AX31,X$115)+COUNTIF('4月'!BB31:BC31,X$115)+COUNTIF('4月'!BG31:BH31,X$115)+COUNTIF('4月'!BL31:BM31,X$115)+COUNTIF('4月'!BQ31:BR31,X$115)+COUNTIF('4月'!BV31:BW31,X$115)+COUNTIF('4月'!CA31:CB31,X$115)+COUNTIF('4月'!CF31:CG31,X$115)+COUNTIF('4月'!CK31:CL31,X$115)+COUNTIF('4月'!CP31:CQ31,X$115)+COUNTIF('4月'!CU31:CV31,X$115)+COUNTIF('4月'!CZ31:DA31,X$115)+COUNTIF('4月'!DE31:DF31,X$115)+COUNTIF('4月'!DJ31:DK31,X$115)+COUNTIF('4月'!DO31:DP31,X$115)+COUNTIF('4月'!DT31:DU31,X$115)+COUNTIF('4月'!DY31:DZ31,X$115)+COUNTIF('4月'!ED31:EE31,X$115)+COUNTIF('4月'!EI31:EJ31,X$115)+COUNTIF('4月'!EN31:EO31,X$115)+COUNTIF('4月'!ES31:ET31,X$115)</f>
        <v>0</v>
      </c>
      <c r="Y144" s="76">
        <f t="shared" si="47"/>
        <v>0</v>
      </c>
    </row>
    <row r="145" spans="1:25" ht="18" customHeight="1">
      <c r="A145" s="76">
        <v>29</v>
      </c>
      <c r="B145" s="76">
        <f>COUNTIF('4月'!D32:E32,B$115)+COUNTIF('4月'!I32:J32,B$115)+COUNTIF('4月'!N32:O32,B$115)+COUNTIF('4月'!S32:T32,B$115)+COUNTIF('4月'!X32:Y32,B$115)+COUNTIF('4月'!AC32:AD32,B$115)+COUNTIF('4月'!AH32:AI32,B$115)+COUNTIF('4月'!AM32:AN32,B$115)+COUNTIF('4月'!AR32:AS32,B$115)+COUNTIF('4月'!AW32:AX32,B$115)+COUNTIF('4月'!BB32:BC32,B$115)+COUNTIF('4月'!BG32:BH32,B$115)+COUNTIF('4月'!BL32:BM32,B$115)+COUNTIF('4月'!BQ32:BR32,B$115)+COUNTIF('4月'!BV32:BW32,B$115)+COUNTIF('4月'!CA32:CB32,B$115)+COUNTIF('4月'!CF32:CG32,B$115)+COUNTIF('4月'!CK32:CL32,B$115)+COUNTIF('4月'!CP32:CQ32,B$115)+COUNTIF('4月'!CU32:CV32,B$115)+COUNTIF('4月'!CZ32:DA32,B$115)+COUNTIF('4月'!DE32:DF32,B$115)+COUNTIF('4月'!DJ32:DK32,B$115)+COUNTIF('4月'!DO32:DP32,B$115)+COUNTIF('4月'!DT32:DU32,B$115)+COUNTIF('4月'!DY32:DZ32,B$115)+COUNTIF('4月'!ED32:EE32,B$115)+COUNTIF('4月'!EI32:EJ32,B$115)+COUNTIF('4月'!EN32:EO32,B$115)+COUNTIF('4月'!ES32:ET32,B$115)</f>
        <v>0</v>
      </c>
      <c r="C145" s="76">
        <f t="shared" si="36"/>
        <v>0</v>
      </c>
      <c r="D145" s="76">
        <f>COUNTIF('4月'!D32:E32,D$115)+COUNTIF('4月'!I32:J32,D$115)+COUNTIF('4月'!N32:O32,D$115)+COUNTIF('4月'!S32:T32,D$115)+COUNTIF('4月'!X32:Y32,D$115)+COUNTIF('4月'!AC32:AD32,D$115)+COUNTIF('4月'!AH32:AI32,D$115)+COUNTIF('4月'!AM32:AN32,D$115)+COUNTIF('4月'!AR32:AS32,D$115)+COUNTIF('4月'!AW32:AX32,D$115)+COUNTIF('4月'!BB32:BC32,D$115)+COUNTIF('4月'!BG32:BH32,D$115)+COUNTIF('4月'!BL32:BM32,D$115)+COUNTIF('4月'!BQ32:BR32,D$115)+COUNTIF('4月'!BV32:BW32,D$115)+COUNTIF('4月'!CA32:CB32,D$115)+COUNTIF('4月'!CF32:CG32,D$115)+COUNTIF('4月'!CK32:CL32,D$115)+COUNTIF('4月'!CP32:CQ32,D$115)+COUNTIF('4月'!CU32:CV32,D$115)+COUNTIF('4月'!CZ32:DA32,D$115)+COUNTIF('4月'!DE32:DF32,D$115)+COUNTIF('4月'!DJ32:DK32,D$115)+COUNTIF('4月'!DO32:DP32,D$115)+COUNTIF('4月'!DT32:DU32,D$115)+COUNTIF('4月'!DY32:DZ32,D$115)+COUNTIF('4月'!ED32:EE32,D$115)+COUNTIF('4月'!EI32:EJ32,D$115)+COUNTIF('4月'!EN32:EO32,D$115)+COUNTIF('4月'!ES32:ET32,D$115)</f>
        <v>0</v>
      </c>
      <c r="E145" s="76">
        <f t="shared" si="37"/>
        <v>0</v>
      </c>
      <c r="F145" s="76">
        <f>COUNTIF('4月'!D32:E32,F$115)+COUNTIF('4月'!I32:J32,F$115)+COUNTIF('4月'!N32:O32,F$115)+COUNTIF('4月'!S32:T32,F$115)+COUNTIF('4月'!X32:Y32,F$115)+COUNTIF('4月'!AC32:AD32,F$115)+COUNTIF('4月'!AH32:AI32,F$115)+COUNTIF('4月'!AM32:AN32,F$115)+COUNTIF('4月'!AR32:AS32,F$115)+COUNTIF('4月'!AW32:AX32,F$115)+COUNTIF('4月'!BB32:BC32,F$115)+COUNTIF('4月'!BG32:BH32,F$115)+COUNTIF('4月'!BL32:BM32,F$115)+COUNTIF('4月'!BQ32:BR32,F$115)+COUNTIF('4月'!BV32:BW32,F$115)+COUNTIF('4月'!CA32:CB32,F$115)+COUNTIF('4月'!CF32:CG32,F$115)+COUNTIF('4月'!CK32:CL32,F$115)+COUNTIF('4月'!CP32:CQ32,F$115)+COUNTIF('4月'!CU32:CV32,F$115)+COUNTIF('4月'!CZ32:DA32,F$115)+COUNTIF('4月'!DE32:DF32,F$115)+COUNTIF('4月'!DJ32:DK32,F$115)+COUNTIF('4月'!DO32:DP32,F$115)+COUNTIF('4月'!DT32:DU32,F$115)+COUNTIF('4月'!DY32:DZ32,F$115)+COUNTIF('4月'!ED32:EE32,F$115)+COUNTIF('4月'!EI32:EJ32,F$115)+COUNTIF('4月'!EN32:EO32,F$115)+COUNTIF('4月'!ES32:ET32,F$115)</f>
        <v>0</v>
      </c>
      <c r="G145" s="76">
        <f t="shared" si="38"/>
        <v>0</v>
      </c>
      <c r="H145" s="76">
        <f>COUNTIF('4月'!D32:E32,H$115)+COUNTIF('4月'!I32:J32,H$115)+COUNTIF('4月'!N32:O32,H$115)+COUNTIF('4月'!S32:T32,H$115)+COUNTIF('4月'!X32:Y32,H$115)+COUNTIF('4月'!AC32:AD32,H$115)+COUNTIF('4月'!AH32:AI32,H$115)+COUNTIF('4月'!AM32:AN32,H$115)+COUNTIF('4月'!AR32:AS32,H$115)+COUNTIF('4月'!AW32:AX32,H$115)+COUNTIF('4月'!BB32:BC32,H$115)+COUNTIF('4月'!BG32:BH32,H$115)+COUNTIF('4月'!BL32:BM32,H$115)+COUNTIF('4月'!BQ32:BR32,H$115)+COUNTIF('4月'!BV32:BW32,H$115)+COUNTIF('4月'!CA32:CB32,H$115)+COUNTIF('4月'!CF32:CG32,H$115)+COUNTIF('4月'!CK32:CL32,H$115)+COUNTIF('4月'!CP32:CQ32,H$115)+COUNTIF('4月'!CU32:CV32,H$115)+COUNTIF('4月'!CZ32:DA32,H$115)+COUNTIF('4月'!DE32:DF32,H$115)+COUNTIF('4月'!DJ32:DK32,H$115)+COUNTIF('4月'!DO32:DP32,H$115)+COUNTIF('4月'!DT32:DU32,H$115)+COUNTIF('4月'!DY32:DZ32,H$115)+COUNTIF('4月'!ED32:EE32,H$115)+COUNTIF('4月'!EI32:EJ32,H$115)+COUNTIF('4月'!EN32:EO32,H$115)+COUNTIF('4月'!ES32:ET32,H$115)+COUNTIF('4月'!D32:E32,"渋谷-夜勤")+COUNTIF('4月'!I32:J32,"渋谷-夜勤")+COUNTIF('4月'!N32:O32,"渋谷-夜勤")+COUNTIF('4月'!S32:T32,"渋谷-夜勤")+COUNTIF('4月'!X32:Y32,"渋谷-夜勤")+COUNTIF('4月'!AC32:AD32,"渋谷-夜勤")+COUNTIF('4月'!AH32:AI32,"渋谷-夜勤")+COUNTIF('4月'!AM32:AN32,"渋谷-夜勤")+COUNTIF('4月'!AR32:AS32,"渋谷-夜勤")+COUNTIF('4月'!AW32:AX32,"渋谷-夜勤")+COUNTIF('4月'!BB32:BC32,"渋谷-夜勤")+COUNTIF('4月'!BG32:BH32,"渋谷-夜勤")+COUNTIF('4月'!BL32:BM32,"渋谷-夜勤")+COUNTIF('4月'!BQ32:BR32,"渋谷-夜勤")+COUNTIF('4月'!BV32:BW32,"渋谷-夜勤")+COUNTIF('4月'!CA32:CB32,"渋谷-夜勤")+COUNTIF('4月'!CF32:CG32,"渋谷-夜勤")+COUNTIF('4月'!CK32:CL32,"渋谷-夜勤")+COUNTIF('4月'!CP32:CQ32,"渋谷-夜勤")+COUNTIF('4月'!CU32:CV32,"渋谷-夜勤")+COUNTIF('4月'!CZ32:DA32,"渋谷-夜勤")+COUNTIF('4月'!DE32:DF32,"渋谷-夜勤")+COUNTIF('4月'!DJ32:DK32,"渋谷-夜勤")+COUNTIF('4月'!DO32:DP32,"渋谷-夜勤")+COUNTIF('4月'!DT32:DU32,"渋谷-夜勤")+COUNTIF('4月'!DY32:DZ32,"渋谷-夜勤")+COUNTIF('4月'!ED32:EE32,"渋谷-夜勤")+COUNTIF('4月'!EI32:EJ32,"渋谷-夜勤")+COUNTIF('4月'!EN32:EO32,"渋谷-夜勤")+COUNTIF('4月'!ES32:ET32,"渋谷-夜勤")</f>
        <v>0</v>
      </c>
      <c r="I145" s="76">
        <f t="shared" si="39"/>
        <v>0</v>
      </c>
      <c r="J145" s="76">
        <f>COUNTIF('4月'!D32:E32,J$115)+COUNTIF('4月'!I32:J32,J$115)+COUNTIF('4月'!N32:O32,J$115)+COUNTIF('4月'!S32:T32,J$115)+COUNTIF('4月'!X32:Y32,J$115)+COUNTIF('4月'!AC32:AD32,J$115)+COUNTIF('4月'!AH32:AI32,J$115)+COUNTIF('4月'!AM32:AN32,J$115)+COUNTIF('4月'!AR32:AS32,J$115)+COUNTIF('4月'!AW32:AX32,J$115)+COUNTIF('4月'!BB32:BC32,J$115)+COUNTIF('4月'!BG32:BH32,J$115)+COUNTIF('4月'!BL32:BM32,J$115)+COUNTIF('4月'!BQ32:BR32,J$115)+COUNTIF('4月'!BV32:BW32,J$115)+COUNTIF('4月'!CA32:CB32,J$115)+COUNTIF('4月'!CF32:CG32,J$115)+COUNTIF('4月'!CK32:CL32,J$115)+COUNTIF('4月'!CP32:CQ32,J$115)+COUNTIF('4月'!CU32:CV32,J$115)+COUNTIF('4月'!CZ32:DA32,J$115)+COUNTIF('4月'!DE32:DF32,J$115)+COUNTIF('4月'!DJ32:DK32,J$115)+COUNTIF('4月'!DO32:DP32,J$115)+COUNTIF('4月'!DT32:DU32,J$115)+COUNTIF('4月'!DY32:DZ32,J$115)+COUNTIF('4月'!ED32:EE32,J$115)+COUNTIF('4月'!EI32:EJ32,J$115)+COUNTIF('4月'!EN32:EO32,J$115)+COUNTIF('4月'!ES32:ET32,J$115)+COUNTIF('4月'!D32:E32,"六本木-夜勤")+COUNTIF('4月'!I32:J32,"六本木-夜勤")+COUNTIF('4月'!N32:O32,"六本木-夜勤")+COUNTIF('4月'!S32:T32,"六本木-夜勤")+COUNTIF('4月'!X32:Y32,"六本木-夜勤")+COUNTIF('4月'!AC32:AD32,"六本木-夜勤")+COUNTIF('4月'!AH32:AI32,"六本木-夜勤")+COUNTIF('4月'!AM32:AN32,"六本木-夜勤")+COUNTIF('4月'!AR32:AS32,"六本木-夜勤")+COUNTIF('4月'!AW32:AX32,"六本木-夜勤")+COUNTIF('4月'!BB32:BC32,"六本木-夜勤")+COUNTIF('4月'!BG32:BH32,"六本木-夜勤")+COUNTIF('4月'!BL32:BM32,"六本木-夜勤")+COUNTIF('4月'!BQ32:BR32,"六本木-夜勤")+COUNTIF('4月'!BV32:BW32,"六本木-夜勤")+COUNTIF('4月'!CA32:CB32,"六本木-夜勤")+COUNTIF('4月'!CF32:CG32,"六本木-夜勤")+COUNTIF('4月'!CK32:CL32,"六本木-夜勤")+COUNTIF('4月'!CP32:CQ32,"六本木-夜勤")+COUNTIF('4月'!CU32:CV32,"六本木-夜勤")+COUNTIF('4月'!CZ32:DA32,"六本木-夜勤")+COUNTIF('4月'!DE32:DF32,"六本木-夜勤")+COUNTIF('4月'!DJ32:DK32,"六本木-夜勤")+COUNTIF('4月'!DO32:DP32,"六本木-夜勤")+COUNTIF('4月'!DT32:DU32,"六本木-夜勤")+COUNTIF('4月'!DY32:DZ32,"六本木-夜勤")+COUNTIF('4月'!ED32:EE32,"六本木-夜勤")+COUNTIF('4月'!EI32:EJ32,"六本木-夜勤")+COUNTIF('4月'!EN32:EO32,"六本木-夜勤")+COUNTIF('4月'!ES32:ET32,"六本木-夜勤")+COUNTIF('4月'!D32:E32,"六本木ー夜勤")+COUNTIF('4月'!I32:J32,"六本木ー夜勤")+COUNTIF('4月'!N32:O32,"六本木ー夜勤")+COUNTIF('4月'!S32:T32,"六本木ー夜勤")+COUNTIF('4月'!X32:Y32,"六本木ー夜勤")+COUNTIF('4月'!AC32:AD32,"六本木ー夜勤")+COUNTIF('4月'!AH32:AI32,"六本木ー夜勤")+COUNTIF('4月'!AM32:AN32,"六本木ー夜勤")+COUNTIF('4月'!AR32:AS32,"六本木ー夜勤")+COUNTIF('4月'!AW32:AX32,"六本木ー夜勤")+COUNTIF('4月'!BB32:BC32,"六本木ー夜勤")+COUNTIF('4月'!BG32:BH32,"六本木ー夜勤")+COUNTIF('4月'!BL32:BM32,"六本木ー夜勤")+COUNTIF('4月'!BQ32:BR32,"六本木ー夜勤")+COUNTIF('4月'!BV32:BW32,"六本木ー夜勤")+COUNTIF('4月'!CA32:CB32,"六本木ー夜勤")+COUNTIF('4月'!CF32:CG32,"六本木ー夜勤")+COUNTIF('4月'!CK32:CL32,"六本木ー夜勤")+COUNTIF('4月'!CP32:CQ32,"六本木ー夜勤")+COUNTIF('4月'!CU32:CV32,"六本木ー夜勤")+COUNTIF('4月'!CZ32:DA32,"六本木ー夜勤")+COUNTIF('4月'!DE32:DF32,"六本木ー夜勤")+COUNTIF('4月'!DJ32:DK32,"六本木ー夜勤")+COUNTIF('4月'!DO32:DP32,"六本木ー夜勤")+COUNTIF('4月'!DT32:DU32,"六本木ー夜勤")+COUNTIF('4月'!DY32:DZ32,"六本木ー夜勤")+COUNTIF('4月'!ED32:EE32,"六本木ー夜勤")+COUNTIF('4月'!EI32:EJ32,"六本木ー夜勤")+COUNTIF('4月'!EN32:EO32,"六本木ー夜勤")+COUNTIF('4月'!ES32:ET32,"六本木ー夜勤")</f>
        <v>0</v>
      </c>
      <c r="K145" s="76">
        <f t="shared" si="40"/>
        <v>0</v>
      </c>
      <c r="L145" s="76">
        <f>COUNTIF('4月'!D32:E32,L$115)+COUNTIF('4月'!I32:J32,L$115)+COUNTIF('4月'!N32:O32,L$115)+COUNTIF('4月'!S32:T32,L$115)+COUNTIF('4月'!X32:Y32,L$115)+COUNTIF('4月'!AC32:AD32,L$115)+COUNTIF('4月'!AH32:AI32,L$115)+COUNTIF('4月'!AM32:AN32,L$115)+COUNTIF('4月'!AR32:AS32,L$115)+COUNTIF('4月'!AW32:AX32,L$115)+COUNTIF('4月'!BB32:BC32,L$115)+COUNTIF('4月'!BG32:BH32,L$115)+COUNTIF('4月'!BL32:BM32,L$115)+COUNTIF('4月'!BQ32:BR32,L$115)+COUNTIF('4月'!BV32:BW32,L$115)+COUNTIF('4月'!CA32:CB32,L$115)+COUNTIF('4月'!CF32:CG32,L$115)+COUNTIF('4月'!CK32:CL32,L$115)+COUNTIF('4月'!CP32:CQ32,L$115)+COUNTIF('4月'!CU32:CV32,L$115)+COUNTIF('4月'!CZ32:DA32,L$115)+COUNTIF('4月'!DE32:DF32,L$115)+COUNTIF('4月'!DJ32:DK32,L$115)+COUNTIF('4月'!DO32:DP32,L$115)+COUNTIF('4月'!DT32:DU32,L$115)+COUNTIF('4月'!DY32:DZ32,L$115)+COUNTIF('4月'!ED32:EE32,L$115)+COUNTIF('4月'!EI32:EJ32,L$115)+COUNTIF('4月'!EN32:EO32,L$115)+COUNTIF('4月'!ES32:ET32,L$115)</f>
        <v>0</v>
      </c>
      <c r="M145" s="76">
        <f t="shared" si="41"/>
        <v>0</v>
      </c>
      <c r="N145" s="76">
        <f>COUNTIF('4月'!D32:E32,N$115)+COUNTIF('4月'!I32:J32,N$115)+COUNTIF('4月'!N32:O32,N$115)+COUNTIF('4月'!S32:T32,N$115)+COUNTIF('4月'!X32:Y32,N$115)+COUNTIF('4月'!AC32:AD32,N$115)+COUNTIF('4月'!AH32:AI32,N$115)+COUNTIF('4月'!AM32:AN32,N$115)+COUNTIF('4月'!AR32:AS32,N$115)+COUNTIF('4月'!AW32:AX32,N$115)+COUNTIF('4月'!BB32:BC32,N$115)+COUNTIF('4月'!BG32:BH32,N$115)+COUNTIF('4月'!BL32:BM32,N$115)+COUNTIF('4月'!BQ32:BR32,N$115)+COUNTIF('4月'!BV32:BW32,N$115)+COUNTIF('4月'!CA32:CB32,N$115)+COUNTIF('4月'!CF32:CG32,N$115)+COUNTIF('4月'!CK32:CL32,N$115)+COUNTIF('4月'!CP32:CQ32,N$115)+COUNTIF('4月'!CU32:CV32,N$115)+COUNTIF('4月'!CZ32:DA32,N$115)+COUNTIF('4月'!DE32:DF32,N$115)+COUNTIF('4月'!DJ32:DK32,N$115)+COUNTIF('4月'!DO32:DP32,N$115)+COUNTIF('4月'!DT32:DU32,N$115)+COUNTIF('4月'!DY32:DZ32,N$115)+COUNTIF('4月'!ED32:EE32,N$115)+COUNTIF('4月'!EI32:EJ32,N$115)+COUNTIF('4月'!EN32:EO32,N$115)+COUNTIF('4月'!ES32:ET32,N$115)+COUNTIF('4月'!D32:E32,"三軒茶屋－夜勤")+COUNTIF('4月'!I32:J32,"三軒茶屋－夜勤")+COUNTIF('4月'!N32:O32,"三軒茶屋－夜勤")+COUNTIF('4月'!S32:T32,"三軒茶屋－夜勤")+COUNTIF('4月'!X32:Y32,"三軒茶屋－夜勤")+COUNTIF('4月'!AC32:AD32,"三軒茶屋－夜勤")+COUNTIF('4月'!AH32:AI32,"三軒茶屋－夜勤")+COUNTIF('4月'!AM32:AN32,"三軒茶屋－夜勤")+COUNTIF('4月'!AR32:AS32,"三軒茶屋－夜勤")+COUNTIF('4月'!AW32:AX32,"三軒茶屋－夜勤")+COUNTIF('4月'!BB32:BC32,"三軒茶屋－夜勤")+COUNTIF('4月'!BG32:BH32,"三軒茶屋－夜勤")+COUNTIF('4月'!BL32:BM32,"三軒茶屋－夜勤")+COUNTIF('4月'!BQ32:BR32,"三軒茶屋－夜勤")+COUNTIF('4月'!BV32:BW32,"三軒茶屋－夜勤")+COUNTIF('4月'!CA32:CB32,"三軒茶屋－夜勤")+COUNTIF('4月'!CF32:CG32,"三軒茶屋－夜勤")+COUNTIF('4月'!CK32:CL32,"三軒茶屋－夜勤")+COUNTIF('4月'!CP32:CQ32,"三軒茶屋－夜勤")+COUNTIF('4月'!CU32:CV32,"三軒茶屋－夜勤")+COUNTIF('4月'!CZ32:DA32,"三軒茶屋－夜勤")+COUNTIF('4月'!DE32:DF32,"三軒茶屋－夜勤")+COUNTIF('4月'!DJ32:DK32,"三軒茶屋－夜勤")+COUNTIF('4月'!DO32:DP32,"三軒茶屋－夜勤")+COUNTIF('4月'!DT32:DU32,"三軒茶屋－夜勤")+COUNTIF('4月'!DY32:DZ32,"三軒茶屋－夜勤")+COUNTIF('4月'!ED32:EE32,"三軒茶屋－夜勤")+COUNTIF('4月'!EI32:EJ32,"三軒茶屋－夜勤")+COUNTIF('4月'!EN32:EO32,"三軒茶屋－夜勤")+COUNTIF('4月'!ES32:ET32,"三軒茶屋－夜勤")</f>
        <v>0</v>
      </c>
      <c r="O145" s="76">
        <f t="shared" si="42"/>
        <v>0</v>
      </c>
      <c r="P145" s="76">
        <f>COUNTIF('4月'!D32:E32,P$115)+COUNTIF('4月'!I32:J32,P$115)+COUNTIF('4月'!N32:O32,P$115)+COUNTIF('4月'!S32:T32,P$115)+COUNTIF('4月'!X32:Y32,P$115)+COUNTIF('4月'!AC32:AD32,P$115)+COUNTIF('4月'!AH32:AI32,P$115)+COUNTIF('4月'!AM32:AN32,P$115)+COUNTIF('4月'!AR32:AS32,P$115)+COUNTIF('4月'!AW32:AX32,P$115)+COUNTIF('4月'!BB32:BC32,P$115)+COUNTIF('4月'!BG32:BH32,P$115)+COUNTIF('4月'!BL32:BM32,P$115)+COUNTIF('4月'!BQ32:BR32,P$115)+COUNTIF('4月'!BV32:BW32,P$115)+COUNTIF('4月'!CA32:CB32,P$115)+COUNTIF('4月'!CF32:CG32,P$115)+COUNTIF('4月'!CK32:CL32,P$115)+COUNTIF('4月'!CP32:CQ32,P$115)+COUNTIF('4月'!CU32:CV32,P$115)+COUNTIF('4月'!CZ32:DA32,P$115)+COUNTIF('4月'!DE32:DF32,P$115)+COUNTIF('4月'!DJ32:DK32,P$115)+COUNTIF('4月'!DO32:DP32,P$115)+COUNTIF('4月'!DT32:DU32,P$115)+COUNTIF('4月'!DY32:DZ32,P$115)+COUNTIF('4月'!ED32:EE32,P$115)+COUNTIF('4月'!EI32:EJ32,P$115)+COUNTIF('4月'!EN32:EO32,P$115)+COUNTIF('4月'!ES32:ET32,P$115)+COUNTIF('4月'!D32:E32,"荻窪ー夜勤")+COUNTIF('4月'!I32:J32,"荻窪ー夜勤")+COUNTIF('4月'!N32:O32,"荻窪ー夜勤")+COUNTIF('4月'!S32:T32,"荻窪ー夜勤")+COUNTIF('4月'!X32:Y32,"荻窪ー夜勤")+COUNTIF('4月'!AC32:AD32,"荻窪ー夜勤")+COUNTIF('4月'!AH32:AI32,"荻窪ー夜勤")+COUNTIF('4月'!AM32:AN32,"荻窪ー夜勤")+COUNTIF('4月'!AR32:AS32,"荻窪ー夜勤")+COUNTIF('4月'!AW32:AX32,"荻窪ー夜勤")+COUNTIF('4月'!BB32:BC32,"荻窪ー夜勤")+COUNTIF('4月'!BG32:BH32,"荻窪ー夜勤")+COUNTIF('4月'!BL32:BM32,"荻窪ー夜勤")+COUNTIF('4月'!BQ32:BR32,"荻窪ー夜勤")+COUNTIF('4月'!BV32:BW32,"荻窪ー夜勤")+COUNTIF('4月'!CA32:CB32,"荻窪ー夜勤")+COUNTIF('4月'!CF32:CG32,"荻窪ー夜勤")+COUNTIF('4月'!CK32:CL32,"荻窪ー夜勤")+COUNTIF('4月'!CP32:CQ32,"荻窪ー夜勤")+COUNTIF('4月'!CU32:CV32,"荻窪ー夜勤")+COUNTIF('4月'!CZ32:DA32,"荻窪ー夜勤")+COUNTIF('4月'!DE32:DF32,"荻窪ー夜勤")+COUNTIF('4月'!DJ32:DK32,"荻窪ー夜勤")+COUNTIF('4月'!DO32:DP32,"荻窪ー夜勤")+COUNTIF('4月'!DT32:DU32,"荻窪ー夜勤")+COUNTIF('4月'!DY32:DZ32,"荻窪ー夜勤")+COUNTIF('4月'!ED32:EE32,"荻窪ー夜勤")+COUNTIF('4月'!EI32:EJ32,"荻窪ー夜勤")+COUNTIF('4月'!EN32:EO32,"荻窪ー夜勤")+COUNTIF('4月'!ES32:ET32,"荻窪ー夜勤")</f>
        <v>0</v>
      </c>
      <c r="Q145" s="76">
        <f t="shared" si="43"/>
        <v>0</v>
      </c>
      <c r="R145" s="76">
        <f>COUNTIF('4月'!D32:E32,R$115)+COUNTIF('4月'!I32:J32,R$115)+COUNTIF('4月'!N32:O32,R$115)+COUNTIF('4月'!S32:T32,R$115)+COUNTIF('4月'!X32:Y32,R$115)+COUNTIF('4月'!AC32:AD32,R$115)+COUNTIF('4月'!AH32:AI32,R$115)+COUNTIF('4月'!AM32:AN32,R$115)+COUNTIF('4月'!AR32:AS32,R$115)+COUNTIF('4月'!AW32:AX32,R$115)+COUNTIF('4月'!BB32:BC32,R$115)+COUNTIF('4月'!BG32:BH32,R$115)+COUNTIF('4月'!BL32:BM32,R$115)+COUNTIF('4月'!BQ32:BR32,R$115)+COUNTIF('4月'!BV32:BW32,R$115)+COUNTIF('4月'!CA32:CB32,R$115)+COUNTIF('4月'!CF32:CG32,R$115)+COUNTIF('4月'!CK32:CL32,R$115)+COUNTIF('4月'!CP32:CQ32,R$115)+COUNTIF('4月'!CU32:CV32,R$115)+COUNTIF('4月'!CZ32:DA32,R$115)+COUNTIF('4月'!DE32:DF32,R$115)+COUNTIF('4月'!DJ32:DK32,R$115)+COUNTIF('4月'!DO32:DP32,R$115)+COUNTIF('4月'!DT32:DU32,R$115)+COUNTIF('4月'!DY32:DZ32,R$115)+COUNTIF('4月'!ED32:EE32,R$115)+COUNTIF('4月'!EI32:EJ32,R$115)+COUNTIF('4月'!EN32:EO32,R$115)+COUNTIF('4月'!ES32:ET32,R$115)</f>
        <v>0</v>
      </c>
      <c r="S145" s="76">
        <f t="shared" si="44"/>
        <v>0</v>
      </c>
      <c r="T145" s="76">
        <f>COUNTIF('4月'!D32:E32,T$115)+COUNTIF('4月'!I32:J32,T$115)+COUNTIF('4月'!N32:O32,T$115)+COUNTIF('4月'!S32:T32,T$115)+COUNTIF('4月'!X32:Y32,T$115)+COUNTIF('4月'!AC32:AD32,T$115)+COUNTIF('4月'!AH32:AI32,T$115)+COUNTIF('4月'!AM32:AN32,T$115)+COUNTIF('4月'!AR32:AS32,T$115)+COUNTIF('4月'!AW32:AX32,T$115)+COUNTIF('4月'!BB32:BC32,T$115)+COUNTIF('4月'!BG32:BH32,T$115)+COUNTIF('4月'!BL32:BM32,T$115)+COUNTIF('4月'!BQ32:BR32,T$115)+COUNTIF('4月'!BV32:BW32,T$115)+COUNTIF('4月'!CA32:CB32,T$115)+COUNTIF('4月'!CF32:CG32,T$115)+COUNTIF('4月'!CK32:CL32,T$115)+COUNTIF('4月'!CP32:CQ32,T$115)+COUNTIF('4月'!CU32:CV32,T$115)+COUNTIF('4月'!CZ32:DA32,T$115)+COUNTIF('4月'!DE32:DF32,T$115)+COUNTIF('4月'!DJ32:DK32,T$115)+COUNTIF('4月'!DO32:DP32,T$115)+COUNTIF('4月'!DT32:DU32,T$115)+COUNTIF('4月'!DY32:DZ32,T$115)+COUNTIF('4月'!ED32:EE32,T$115)+COUNTIF('4月'!EI32:EJ32,T$115)+COUNTIF('4月'!EN32:EO32,T$115)+COUNTIF('4月'!ES32:ET32,T$115)</f>
        <v>0</v>
      </c>
      <c r="U145" s="76">
        <f t="shared" si="45"/>
        <v>0</v>
      </c>
      <c r="V145" s="76">
        <f>COUNTIF('4月'!D32:E32,V$115)+COUNTIF('4月'!I32:J32,V$115)+COUNTIF('4月'!N32:O32,V$115)+COUNTIF('4月'!S32:T32,V$115)+COUNTIF('4月'!X32:Y32,V$115)+COUNTIF('4月'!AC32:AD32,V$115)+COUNTIF('4月'!AH32:AI32,V$115)+COUNTIF('4月'!AM32:AN32,V$115)+COUNTIF('4月'!AR32:AS32,V$115)+COUNTIF('4月'!AW32:AX32,V$115)+COUNTIF('4月'!BB32:BC32,V$115)+COUNTIF('4月'!BG32:BH32,V$115)+COUNTIF('4月'!BL32:BM32,V$115)+COUNTIF('4月'!BQ32:BR32,V$115)+COUNTIF('4月'!BV32:BW32,V$115)+COUNTIF('4月'!CA32:CB32,V$115)+COUNTIF('4月'!CF32:CG32,V$115)+COUNTIF('4月'!CK32:CL32,V$115)+COUNTIF('4月'!CP32:CQ32,V$115)+COUNTIF('4月'!CU32:CV32,V$115)+COUNTIF('4月'!CZ32:DA32,V$115)+COUNTIF('4月'!DE32:DF32,V$115)+COUNTIF('4月'!DJ32:DK32,V$115)+COUNTIF('4月'!DO32:DP32,V$115)+COUNTIF('4月'!DT32:DU32,V$115)+COUNTIF('4月'!DY32:DZ32,V$115)+COUNTIF('4月'!ED32:EE32,V$115)+COUNTIF('4月'!EI32:EJ32,V$115)+COUNTIF('4月'!EN32:EO32,V$115)+COUNTIF('4月'!ES32:ET32,V$115)</f>
        <v>0</v>
      </c>
      <c r="W145" s="76">
        <f t="shared" si="46"/>
        <v>0</v>
      </c>
      <c r="X145" s="76">
        <f>COUNTIF('4月'!D32:E32,X$115)+COUNTIF('4月'!I32:J32,X$115)+COUNTIF('4月'!N32:O32,X$115)+COUNTIF('4月'!S32:T32,X$115)+COUNTIF('4月'!X32:Y32,X$115)+COUNTIF('4月'!AC32:AD32,X$115)+COUNTIF('4月'!AH32:AI32,X$115)+COUNTIF('4月'!AM32:AN32,X$115)+COUNTIF('4月'!AR32:AS32,X$115)+COUNTIF('4月'!AW32:AX32,X$115)+COUNTIF('4月'!BB32:BC32,X$115)+COUNTIF('4月'!BG32:BH32,X$115)+COUNTIF('4月'!BL32:BM32,X$115)+COUNTIF('4月'!BQ32:BR32,X$115)+COUNTIF('4月'!BV32:BW32,X$115)+COUNTIF('4月'!CA32:CB32,X$115)+COUNTIF('4月'!CF32:CG32,X$115)+COUNTIF('4月'!CK32:CL32,X$115)+COUNTIF('4月'!CP32:CQ32,X$115)+COUNTIF('4月'!CU32:CV32,X$115)+COUNTIF('4月'!CZ32:DA32,X$115)+COUNTIF('4月'!DE32:DF32,X$115)+COUNTIF('4月'!DJ32:DK32,X$115)+COUNTIF('4月'!DO32:DP32,X$115)+COUNTIF('4月'!DT32:DU32,X$115)+COUNTIF('4月'!DY32:DZ32,X$115)+COUNTIF('4月'!ED32:EE32,X$115)+COUNTIF('4月'!EI32:EJ32,X$115)+COUNTIF('4月'!EN32:EO32,X$115)+COUNTIF('4月'!ES32:ET32,X$115)</f>
        <v>0</v>
      </c>
      <c r="Y145" s="76">
        <f t="shared" si="47"/>
        <v>0</v>
      </c>
    </row>
    <row r="146" spans="1:25" ht="18" customHeight="1">
      <c r="A146" s="76">
        <v>30</v>
      </c>
      <c r="B146" s="76">
        <f>COUNTIF('4月'!D33:E33,B$115)+COUNTIF('4月'!I33:J33,B$115)+COUNTIF('4月'!N33:O33,B$115)+COUNTIF('4月'!S33:T33,B$115)+COUNTIF('4月'!X33:Y33,B$115)+COUNTIF('4月'!AC33:AD33,B$115)+COUNTIF('4月'!AH33:AI33,B$115)+COUNTIF('4月'!AM33:AN33,B$115)+COUNTIF('4月'!AR33:AS33,B$115)+COUNTIF('4月'!AW33:AX33,B$115)+COUNTIF('4月'!BB33:BC33,B$115)+COUNTIF('4月'!BG33:BH33,B$115)+COUNTIF('4月'!BL33:BM33,B$115)+COUNTIF('4月'!BQ33:BR33,B$115)+COUNTIF('4月'!BV33:BW33,B$115)+COUNTIF('4月'!CA33:CB33,B$115)+COUNTIF('4月'!CF33:CG33,B$115)+COUNTIF('4月'!CK33:CL33,B$115)+COUNTIF('4月'!CP33:CQ33,B$115)+COUNTIF('4月'!CU33:CV33,B$115)+COUNTIF('4月'!CZ33:DA33,B$115)+COUNTIF('4月'!DE33:DF33,B$115)+COUNTIF('4月'!DJ33:DK33,B$115)+COUNTIF('4月'!DO33:DP33,B$115)+COUNTIF('4月'!DT33:DU33,B$115)+COUNTIF('4月'!DY33:DZ33,B$115)+COUNTIF('4月'!ED33:EE33,B$115)+COUNTIF('4月'!EI33:EJ33,B$115)+COUNTIF('4月'!EN33:EO33,B$115)+COUNTIF('4月'!ES33:ET33,B$115)</f>
        <v>0</v>
      </c>
      <c r="C146" s="76">
        <f t="shared" si="36"/>
        <v>0</v>
      </c>
      <c r="D146" s="76">
        <f>COUNTIF('4月'!D33:E33,D$115)+COUNTIF('4月'!I33:J33,D$115)+COUNTIF('4月'!N33:O33,D$115)+COUNTIF('4月'!S33:T33,D$115)+COUNTIF('4月'!X33:Y33,D$115)+COUNTIF('4月'!AC33:AD33,D$115)+COUNTIF('4月'!AH33:AI33,D$115)+COUNTIF('4月'!AM33:AN33,D$115)+COUNTIF('4月'!AR33:AS33,D$115)+COUNTIF('4月'!AW33:AX33,D$115)+COUNTIF('4月'!BB33:BC33,D$115)+COUNTIF('4月'!BG33:BH33,D$115)+COUNTIF('4月'!BL33:BM33,D$115)+COUNTIF('4月'!BQ33:BR33,D$115)+COUNTIF('4月'!BV33:BW33,D$115)+COUNTIF('4月'!CA33:CB33,D$115)+COUNTIF('4月'!CF33:CG33,D$115)+COUNTIF('4月'!CK33:CL33,D$115)+COUNTIF('4月'!CP33:CQ33,D$115)+COUNTIF('4月'!CU33:CV33,D$115)+COUNTIF('4月'!CZ33:DA33,D$115)+COUNTIF('4月'!DE33:DF33,D$115)+COUNTIF('4月'!DJ33:DK33,D$115)+COUNTIF('4月'!DO33:DP33,D$115)+COUNTIF('4月'!DT33:DU33,D$115)+COUNTIF('4月'!DY33:DZ33,D$115)+COUNTIF('4月'!ED33:EE33,D$115)+COUNTIF('4月'!EI33:EJ33,D$115)+COUNTIF('4月'!EN33:EO33,D$115)+COUNTIF('4月'!ES33:ET33,D$115)</f>
        <v>0</v>
      </c>
      <c r="E146" s="76">
        <f t="shared" si="37"/>
        <v>0</v>
      </c>
      <c r="F146" s="76">
        <f>COUNTIF('4月'!D33:E33,F$115)+COUNTIF('4月'!I33:J33,F$115)+COUNTIF('4月'!N33:O33,F$115)+COUNTIF('4月'!S33:T33,F$115)+COUNTIF('4月'!X33:Y33,F$115)+COUNTIF('4月'!AC33:AD33,F$115)+COUNTIF('4月'!AH33:AI33,F$115)+COUNTIF('4月'!AM33:AN33,F$115)+COUNTIF('4月'!AR33:AS33,F$115)+COUNTIF('4月'!AW33:AX33,F$115)+COUNTIF('4月'!BB33:BC33,F$115)+COUNTIF('4月'!BG33:BH33,F$115)+COUNTIF('4月'!BL33:BM33,F$115)+COUNTIF('4月'!BQ33:BR33,F$115)+COUNTIF('4月'!BV33:BW33,F$115)+COUNTIF('4月'!CA33:CB33,F$115)+COUNTIF('4月'!CF33:CG33,F$115)+COUNTIF('4月'!CK33:CL33,F$115)+COUNTIF('4月'!CP33:CQ33,F$115)+COUNTIF('4月'!CU33:CV33,F$115)+COUNTIF('4月'!CZ33:DA33,F$115)+COUNTIF('4月'!DE33:DF33,F$115)+COUNTIF('4月'!DJ33:DK33,F$115)+COUNTIF('4月'!DO33:DP33,F$115)+COUNTIF('4月'!DT33:DU33,F$115)+COUNTIF('4月'!DY33:DZ33,F$115)+COUNTIF('4月'!ED33:EE33,F$115)+COUNTIF('4月'!EI33:EJ33,F$115)+COUNTIF('4月'!EN33:EO33,F$115)+COUNTIF('4月'!ES33:ET33,F$115)</f>
        <v>0</v>
      </c>
      <c r="G146" s="76">
        <f t="shared" si="38"/>
        <v>0</v>
      </c>
      <c r="H146" s="76">
        <f>COUNTIF('4月'!D33:E33,H$115)+COUNTIF('4月'!I33:J33,H$115)+COUNTIF('4月'!N33:O33,H$115)+COUNTIF('4月'!S33:T33,H$115)+COUNTIF('4月'!X33:Y33,H$115)+COUNTIF('4月'!AC33:AD33,H$115)+COUNTIF('4月'!AH33:AI33,H$115)+COUNTIF('4月'!AM33:AN33,H$115)+COUNTIF('4月'!AR33:AS33,H$115)+COUNTIF('4月'!AW33:AX33,H$115)+COUNTIF('4月'!BB33:BC33,H$115)+COUNTIF('4月'!BG33:BH33,H$115)+COUNTIF('4月'!BL33:BM33,H$115)+COUNTIF('4月'!BQ33:BR33,H$115)+COUNTIF('4月'!BV33:BW33,H$115)+COUNTIF('4月'!CA33:CB33,H$115)+COUNTIF('4月'!CF33:CG33,H$115)+COUNTIF('4月'!CK33:CL33,H$115)+COUNTIF('4月'!CP33:CQ33,H$115)+COUNTIF('4月'!CU33:CV33,H$115)+COUNTIF('4月'!CZ33:DA33,H$115)+COUNTIF('4月'!DE33:DF33,H$115)+COUNTIF('4月'!DJ33:DK33,H$115)+COUNTIF('4月'!DO33:DP33,H$115)+COUNTIF('4月'!DT33:DU33,H$115)+COUNTIF('4月'!DY33:DZ33,H$115)+COUNTIF('4月'!ED33:EE33,H$115)+COUNTIF('4月'!EI33:EJ33,H$115)+COUNTIF('4月'!EN33:EO33,H$115)+COUNTIF('4月'!ES33:ET33,H$115)+COUNTIF('4月'!D33:E33,"渋谷-夜勤")+COUNTIF('4月'!I33:J33,"渋谷-夜勤")+COUNTIF('4月'!N33:O33,"渋谷-夜勤")+COUNTIF('4月'!S33:T33,"渋谷-夜勤")+COUNTIF('4月'!X33:Y33,"渋谷-夜勤")+COUNTIF('4月'!AC33:AD33,"渋谷-夜勤")+COUNTIF('4月'!AH33:AI33,"渋谷-夜勤")+COUNTIF('4月'!AM33:AN33,"渋谷-夜勤")+COUNTIF('4月'!AR33:AS33,"渋谷-夜勤")+COUNTIF('4月'!AW33:AX33,"渋谷-夜勤")+COUNTIF('4月'!BB33:BC33,"渋谷-夜勤")+COUNTIF('4月'!BG33:BH33,"渋谷-夜勤")+COUNTIF('4月'!BL33:BM33,"渋谷-夜勤")+COUNTIF('4月'!BQ33:BR33,"渋谷-夜勤")+COUNTIF('4月'!BV33:BW33,"渋谷-夜勤")+COUNTIF('4月'!CA33:CB33,"渋谷-夜勤")+COUNTIF('4月'!CF33:CG33,"渋谷-夜勤")+COUNTIF('4月'!CK33:CL33,"渋谷-夜勤")+COUNTIF('4月'!CP33:CQ33,"渋谷-夜勤")+COUNTIF('4月'!CU33:CV33,"渋谷-夜勤")+COUNTIF('4月'!CZ33:DA33,"渋谷-夜勤")+COUNTIF('4月'!DE33:DF33,"渋谷-夜勤")+COUNTIF('4月'!DJ33:DK33,"渋谷-夜勤")+COUNTIF('4月'!DO33:DP33,"渋谷-夜勤")+COUNTIF('4月'!DT33:DU33,"渋谷-夜勤")+COUNTIF('4月'!DY33:DZ33,"渋谷-夜勤")+COUNTIF('4月'!ED33:EE33,"渋谷-夜勤")+COUNTIF('4月'!EI33:EJ33,"渋谷-夜勤")+COUNTIF('4月'!EN33:EO33,"渋谷-夜勤")+COUNTIF('4月'!ES33:ET33,"渋谷-夜勤")</f>
        <v>0</v>
      </c>
      <c r="I146" s="76">
        <f t="shared" si="39"/>
        <v>0</v>
      </c>
      <c r="J146" s="76">
        <f>COUNTIF('4月'!D33:E33,J$115)+COUNTIF('4月'!I33:J33,J$115)+COUNTIF('4月'!N33:O33,J$115)+COUNTIF('4月'!S33:T33,J$115)+COUNTIF('4月'!X33:Y33,J$115)+COUNTIF('4月'!AC33:AD33,J$115)+COUNTIF('4月'!AH33:AI33,J$115)+COUNTIF('4月'!AM33:AN33,J$115)+COUNTIF('4月'!AR33:AS33,J$115)+COUNTIF('4月'!AW33:AX33,J$115)+COUNTIF('4月'!BB33:BC33,J$115)+COUNTIF('4月'!BG33:BH33,J$115)+COUNTIF('4月'!BL33:BM33,J$115)+COUNTIF('4月'!BQ33:BR33,J$115)+COUNTIF('4月'!BV33:BW33,J$115)+COUNTIF('4月'!CA33:CB33,J$115)+COUNTIF('4月'!CF33:CG33,J$115)+COUNTIF('4月'!CK33:CL33,J$115)+COUNTIF('4月'!CP33:CQ33,J$115)+COUNTIF('4月'!CU33:CV33,J$115)+COUNTIF('4月'!CZ33:DA33,J$115)+COUNTIF('4月'!DE33:DF33,J$115)+COUNTIF('4月'!DJ33:DK33,J$115)+COUNTIF('4月'!DO33:DP33,J$115)+COUNTIF('4月'!DT33:DU33,J$115)+COUNTIF('4月'!DY33:DZ33,J$115)+COUNTIF('4月'!ED33:EE33,J$115)+COUNTIF('4月'!EI33:EJ33,J$115)+COUNTIF('4月'!EN33:EO33,J$115)+COUNTIF('4月'!ES33:ET33,J$115)+COUNTIF('4月'!D33:E33,"六本木-夜勤")+COUNTIF('4月'!I33:J33,"六本木-夜勤")+COUNTIF('4月'!N33:O33,"六本木-夜勤")+COUNTIF('4月'!S33:T33,"六本木-夜勤")+COUNTIF('4月'!X33:Y33,"六本木-夜勤")+COUNTIF('4月'!AC33:AD33,"六本木-夜勤")+COUNTIF('4月'!AH33:AI33,"六本木-夜勤")+COUNTIF('4月'!AM33:AN33,"六本木-夜勤")+COUNTIF('4月'!AR33:AS33,"六本木-夜勤")+COUNTIF('4月'!AW33:AX33,"六本木-夜勤")+COUNTIF('4月'!BB33:BC33,"六本木-夜勤")+COUNTIF('4月'!BG33:BH33,"六本木-夜勤")+COUNTIF('4月'!BL33:BM33,"六本木-夜勤")+COUNTIF('4月'!BQ33:BR33,"六本木-夜勤")+COUNTIF('4月'!BV33:BW33,"六本木-夜勤")+COUNTIF('4月'!CA33:CB33,"六本木-夜勤")+COUNTIF('4月'!CF33:CG33,"六本木-夜勤")+COUNTIF('4月'!CK33:CL33,"六本木-夜勤")+COUNTIF('4月'!CP33:CQ33,"六本木-夜勤")+COUNTIF('4月'!CU33:CV33,"六本木-夜勤")+COUNTIF('4月'!CZ33:DA33,"六本木-夜勤")+COUNTIF('4月'!DE33:DF33,"六本木-夜勤")+COUNTIF('4月'!DJ33:DK33,"六本木-夜勤")+COUNTIF('4月'!DO33:DP33,"六本木-夜勤")+COUNTIF('4月'!DT33:DU33,"六本木-夜勤")+COUNTIF('4月'!DY33:DZ33,"六本木-夜勤")+COUNTIF('4月'!ED33:EE33,"六本木-夜勤")+COUNTIF('4月'!EI33:EJ33,"六本木-夜勤")+COUNTIF('4月'!EN33:EO33,"六本木-夜勤")+COUNTIF('4月'!ES33:ET33,"六本木-夜勤")+COUNTIF('4月'!D33:E33,"六本木ー夜勤")+COUNTIF('4月'!I33:J33,"六本木ー夜勤")+COUNTIF('4月'!N33:O33,"六本木ー夜勤")+COUNTIF('4月'!S33:T33,"六本木ー夜勤")+COUNTIF('4月'!X33:Y33,"六本木ー夜勤")+COUNTIF('4月'!AC33:AD33,"六本木ー夜勤")+COUNTIF('4月'!AH33:AI33,"六本木ー夜勤")+COUNTIF('4月'!AM33:AN33,"六本木ー夜勤")+COUNTIF('4月'!AR33:AS33,"六本木ー夜勤")+COUNTIF('4月'!AW33:AX33,"六本木ー夜勤")+COUNTIF('4月'!BB33:BC33,"六本木ー夜勤")+COUNTIF('4月'!BG33:BH33,"六本木ー夜勤")+COUNTIF('4月'!BL33:BM33,"六本木ー夜勤")+COUNTIF('4月'!BQ33:BR33,"六本木ー夜勤")+COUNTIF('4月'!BV33:BW33,"六本木ー夜勤")+COUNTIF('4月'!CA33:CB33,"六本木ー夜勤")+COUNTIF('4月'!CF33:CG33,"六本木ー夜勤")+COUNTIF('4月'!CK33:CL33,"六本木ー夜勤")+COUNTIF('4月'!CP33:CQ33,"六本木ー夜勤")+COUNTIF('4月'!CU33:CV33,"六本木ー夜勤")+COUNTIF('4月'!CZ33:DA33,"六本木ー夜勤")+COUNTIF('4月'!DE33:DF33,"六本木ー夜勤")+COUNTIF('4月'!DJ33:DK33,"六本木ー夜勤")+COUNTIF('4月'!DO33:DP33,"六本木ー夜勤")+COUNTIF('4月'!DT33:DU33,"六本木ー夜勤")+COUNTIF('4月'!DY33:DZ33,"六本木ー夜勤")+COUNTIF('4月'!ED33:EE33,"六本木ー夜勤")+COUNTIF('4月'!EI33:EJ33,"六本木ー夜勤")+COUNTIF('4月'!EN33:EO33,"六本木ー夜勤")+COUNTIF('4月'!ES33:ET33,"六本木ー夜勤")</f>
        <v>0</v>
      </c>
      <c r="K146" s="76">
        <f t="shared" si="40"/>
        <v>0</v>
      </c>
      <c r="L146" s="76">
        <f>COUNTIF('4月'!D33:E33,L$115)+COUNTIF('4月'!I33:J33,L$115)+COUNTIF('4月'!N33:O33,L$115)+COUNTIF('4月'!S33:T33,L$115)+COUNTIF('4月'!X33:Y33,L$115)+COUNTIF('4月'!AC33:AD33,L$115)+COUNTIF('4月'!AH33:AI33,L$115)+COUNTIF('4月'!AM33:AN33,L$115)+COUNTIF('4月'!AR33:AS33,L$115)+COUNTIF('4月'!AW33:AX33,L$115)+COUNTIF('4月'!BB33:BC33,L$115)+COUNTIF('4月'!BG33:BH33,L$115)+COUNTIF('4月'!BL33:BM33,L$115)+COUNTIF('4月'!BQ33:BR33,L$115)+COUNTIF('4月'!BV33:BW33,L$115)+COUNTIF('4月'!CA33:CB33,L$115)+COUNTIF('4月'!CF33:CG33,L$115)+COUNTIF('4月'!CK33:CL33,L$115)+COUNTIF('4月'!CP33:CQ33,L$115)+COUNTIF('4月'!CU33:CV33,L$115)+COUNTIF('4月'!CZ33:DA33,L$115)+COUNTIF('4月'!DE33:DF33,L$115)+COUNTIF('4月'!DJ33:DK33,L$115)+COUNTIF('4月'!DO33:DP33,L$115)+COUNTIF('4月'!DT33:DU33,L$115)+COUNTIF('4月'!DY33:DZ33,L$115)+COUNTIF('4月'!ED33:EE33,L$115)+COUNTIF('4月'!EI33:EJ33,L$115)+COUNTIF('4月'!EN33:EO33,L$115)+COUNTIF('4月'!ES33:ET33,L$115)</f>
        <v>0</v>
      </c>
      <c r="M146" s="76">
        <f t="shared" si="41"/>
        <v>0</v>
      </c>
      <c r="N146" s="76">
        <f>COUNTIF('4月'!D33:E33,N$115)+COUNTIF('4月'!I33:J33,N$115)+COUNTIF('4月'!N33:O33,N$115)+COUNTIF('4月'!S33:T33,N$115)+COUNTIF('4月'!X33:Y33,N$115)+COUNTIF('4月'!AC33:AD33,N$115)+COUNTIF('4月'!AH33:AI33,N$115)+COUNTIF('4月'!AM33:AN33,N$115)+COUNTIF('4月'!AR33:AS33,N$115)+COUNTIF('4月'!AW33:AX33,N$115)+COUNTIF('4月'!BB33:BC33,N$115)+COUNTIF('4月'!BG33:BH33,N$115)+COUNTIF('4月'!BL33:BM33,N$115)+COUNTIF('4月'!BQ33:BR33,N$115)+COUNTIF('4月'!BV33:BW33,N$115)+COUNTIF('4月'!CA33:CB33,N$115)+COUNTIF('4月'!CF33:CG33,N$115)+COUNTIF('4月'!CK33:CL33,N$115)+COUNTIF('4月'!CP33:CQ33,N$115)+COUNTIF('4月'!CU33:CV33,N$115)+COUNTIF('4月'!CZ33:DA33,N$115)+COUNTIF('4月'!DE33:DF33,N$115)+COUNTIF('4月'!DJ33:DK33,N$115)+COUNTIF('4月'!DO33:DP33,N$115)+COUNTIF('4月'!DT33:DU33,N$115)+COUNTIF('4月'!DY33:DZ33,N$115)+COUNTIF('4月'!ED33:EE33,N$115)+COUNTIF('4月'!EI33:EJ33,N$115)+COUNTIF('4月'!EN33:EO33,N$115)+COUNTIF('4月'!ES33:ET33,N$115)+COUNTIF('4月'!D33:E33,"三軒茶屋－夜勤")+COUNTIF('4月'!I33:J33,"三軒茶屋－夜勤")+COUNTIF('4月'!N33:O33,"三軒茶屋－夜勤")+COUNTIF('4月'!S33:T33,"三軒茶屋－夜勤")+COUNTIF('4月'!X33:Y33,"三軒茶屋－夜勤")+COUNTIF('4月'!AC33:AD33,"三軒茶屋－夜勤")+COUNTIF('4月'!AH33:AI33,"三軒茶屋－夜勤")+COUNTIF('4月'!AM33:AN33,"三軒茶屋－夜勤")+COUNTIF('4月'!AR33:AS33,"三軒茶屋－夜勤")+COUNTIF('4月'!AW33:AX33,"三軒茶屋－夜勤")+COUNTIF('4月'!BB33:BC33,"三軒茶屋－夜勤")+COUNTIF('4月'!BG33:BH33,"三軒茶屋－夜勤")+COUNTIF('4月'!BL33:BM33,"三軒茶屋－夜勤")+COUNTIF('4月'!BQ33:BR33,"三軒茶屋－夜勤")+COUNTIF('4月'!BV33:BW33,"三軒茶屋－夜勤")+COUNTIF('4月'!CA33:CB33,"三軒茶屋－夜勤")+COUNTIF('4月'!CF33:CG33,"三軒茶屋－夜勤")+COUNTIF('4月'!CK33:CL33,"三軒茶屋－夜勤")+COUNTIF('4月'!CP33:CQ33,"三軒茶屋－夜勤")+COUNTIF('4月'!CU33:CV33,"三軒茶屋－夜勤")+COUNTIF('4月'!CZ33:DA33,"三軒茶屋－夜勤")+COUNTIF('4月'!DE33:DF33,"三軒茶屋－夜勤")+COUNTIF('4月'!DJ33:DK33,"三軒茶屋－夜勤")+COUNTIF('4月'!DO33:DP33,"三軒茶屋－夜勤")+COUNTIF('4月'!DT33:DU33,"三軒茶屋－夜勤")+COUNTIF('4月'!DY33:DZ33,"三軒茶屋－夜勤")+COUNTIF('4月'!ED33:EE33,"三軒茶屋－夜勤")+COUNTIF('4月'!EI33:EJ33,"三軒茶屋－夜勤")+COUNTIF('4月'!EN33:EO33,"三軒茶屋－夜勤")+COUNTIF('4月'!ES33:ET33,"三軒茶屋－夜勤")</f>
        <v>0</v>
      </c>
      <c r="O146" s="76">
        <f t="shared" si="42"/>
        <v>0</v>
      </c>
      <c r="P146" s="76">
        <f>COUNTIF('4月'!D33:E33,P$115)+COUNTIF('4月'!I33:J33,P$115)+COUNTIF('4月'!N33:O33,P$115)+COUNTIF('4月'!S33:T33,P$115)+COUNTIF('4月'!X33:Y33,P$115)+COUNTIF('4月'!AC33:AD33,P$115)+COUNTIF('4月'!AH33:AI33,P$115)+COUNTIF('4月'!AM33:AN33,P$115)+COUNTIF('4月'!AR33:AS33,P$115)+COUNTIF('4月'!AW33:AX33,P$115)+COUNTIF('4月'!BB33:BC33,P$115)+COUNTIF('4月'!BG33:BH33,P$115)+COUNTIF('4月'!BL33:BM33,P$115)+COUNTIF('4月'!BQ33:BR33,P$115)+COUNTIF('4月'!BV33:BW33,P$115)+COUNTIF('4月'!CA33:CB33,P$115)+COUNTIF('4月'!CF33:CG33,P$115)+COUNTIF('4月'!CK33:CL33,P$115)+COUNTIF('4月'!CP33:CQ33,P$115)+COUNTIF('4月'!CU33:CV33,P$115)+COUNTIF('4月'!CZ33:DA33,P$115)+COUNTIF('4月'!DE33:DF33,P$115)+COUNTIF('4月'!DJ33:DK33,P$115)+COUNTIF('4月'!DO33:DP33,P$115)+COUNTIF('4月'!DT33:DU33,P$115)+COUNTIF('4月'!DY33:DZ33,P$115)+COUNTIF('4月'!ED33:EE33,P$115)+COUNTIF('4月'!EI33:EJ33,P$115)+COUNTIF('4月'!EN33:EO33,P$115)+COUNTIF('4月'!ES33:ET33,P$115)+COUNTIF('4月'!D33:E33,"荻窪ー夜勤")+COUNTIF('4月'!I33:J33,"荻窪ー夜勤")+COUNTIF('4月'!N33:O33,"荻窪ー夜勤")+COUNTIF('4月'!S33:T33,"荻窪ー夜勤")+COUNTIF('4月'!X33:Y33,"荻窪ー夜勤")+COUNTIF('4月'!AC33:AD33,"荻窪ー夜勤")+COUNTIF('4月'!AH33:AI33,"荻窪ー夜勤")+COUNTIF('4月'!AM33:AN33,"荻窪ー夜勤")+COUNTIF('4月'!AR33:AS33,"荻窪ー夜勤")+COUNTIF('4月'!AW33:AX33,"荻窪ー夜勤")+COUNTIF('4月'!BB33:BC33,"荻窪ー夜勤")+COUNTIF('4月'!BG33:BH33,"荻窪ー夜勤")+COUNTIF('4月'!BL33:BM33,"荻窪ー夜勤")+COUNTIF('4月'!BQ33:BR33,"荻窪ー夜勤")+COUNTIF('4月'!BV33:BW33,"荻窪ー夜勤")+COUNTIF('4月'!CA33:CB33,"荻窪ー夜勤")+COUNTIF('4月'!CF33:CG33,"荻窪ー夜勤")+COUNTIF('4月'!CK33:CL33,"荻窪ー夜勤")+COUNTIF('4月'!CP33:CQ33,"荻窪ー夜勤")+COUNTIF('4月'!CU33:CV33,"荻窪ー夜勤")+COUNTIF('4月'!CZ33:DA33,"荻窪ー夜勤")+COUNTIF('4月'!DE33:DF33,"荻窪ー夜勤")+COUNTIF('4月'!DJ33:DK33,"荻窪ー夜勤")+COUNTIF('4月'!DO33:DP33,"荻窪ー夜勤")+COUNTIF('4月'!DT33:DU33,"荻窪ー夜勤")+COUNTIF('4月'!DY33:DZ33,"荻窪ー夜勤")+COUNTIF('4月'!ED33:EE33,"荻窪ー夜勤")+COUNTIF('4月'!EI33:EJ33,"荻窪ー夜勤")+COUNTIF('4月'!EN33:EO33,"荻窪ー夜勤")+COUNTIF('4月'!ES33:ET33,"荻窪ー夜勤")</f>
        <v>0</v>
      </c>
      <c r="Q146" s="76">
        <f t="shared" si="43"/>
        <v>0</v>
      </c>
      <c r="R146" s="76">
        <f>COUNTIF('4月'!D33:E33,R$115)+COUNTIF('4月'!I33:J33,R$115)+COUNTIF('4月'!N33:O33,R$115)+COUNTIF('4月'!S33:T33,R$115)+COUNTIF('4月'!X33:Y33,R$115)+COUNTIF('4月'!AC33:AD33,R$115)+COUNTIF('4月'!AH33:AI33,R$115)+COUNTIF('4月'!AM33:AN33,R$115)+COUNTIF('4月'!AR33:AS33,R$115)+COUNTIF('4月'!AW33:AX33,R$115)+COUNTIF('4月'!BB33:BC33,R$115)+COUNTIF('4月'!BG33:BH33,R$115)+COUNTIF('4月'!BL33:BM33,R$115)+COUNTIF('4月'!BQ33:BR33,R$115)+COUNTIF('4月'!BV33:BW33,R$115)+COUNTIF('4月'!CA33:CB33,R$115)+COUNTIF('4月'!CF33:CG33,R$115)+COUNTIF('4月'!CK33:CL33,R$115)+COUNTIF('4月'!CP33:CQ33,R$115)+COUNTIF('4月'!CU33:CV33,R$115)+COUNTIF('4月'!CZ33:DA33,R$115)+COUNTIF('4月'!DE33:DF33,R$115)+COUNTIF('4月'!DJ33:DK33,R$115)+COUNTIF('4月'!DO33:DP33,R$115)+COUNTIF('4月'!DT33:DU33,R$115)+COUNTIF('4月'!DY33:DZ33,R$115)+COUNTIF('4月'!ED33:EE33,R$115)+COUNTIF('4月'!EI33:EJ33,R$115)+COUNTIF('4月'!EN33:EO33,R$115)+COUNTIF('4月'!ES33:ET33,R$115)</f>
        <v>0</v>
      </c>
      <c r="S146" s="76">
        <f t="shared" si="44"/>
        <v>0</v>
      </c>
      <c r="T146" s="76">
        <f>COUNTIF('4月'!D33:E33,T$115)+COUNTIF('4月'!I33:J33,T$115)+COUNTIF('4月'!N33:O33,T$115)+COUNTIF('4月'!S33:T33,T$115)+COUNTIF('4月'!X33:Y33,T$115)+COUNTIF('4月'!AC33:AD33,T$115)+COUNTIF('4月'!AH33:AI33,T$115)+COUNTIF('4月'!AM33:AN33,T$115)+COUNTIF('4月'!AR33:AS33,T$115)+COUNTIF('4月'!AW33:AX33,T$115)+COUNTIF('4月'!BB33:BC33,T$115)+COUNTIF('4月'!BG33:BH33,T$115)+COUNTIF('4月'!BL33:BM33,T$115)+COUNTIF('4月'!BQ33:BR33,T$115)+COUNTIF('4月'!BV33:BW33,T$115)+COUNTIF('4月'!CA33:CB33,T$115)+COUNTIF('4月'!CF33:CG33,T$115)+COUNTIF('4月'!CK33:CL33,T$115)+COUNTIF('4月'!CP33:CQ33,T$115)+COUNTIF('4月'!CU33:CV33,T$115)+COUNTIF('4月'!CZ33:DA33,T$115)+COUNTIF('4月'!DE33:DF33,T$115)+COUNTIF('4月'!DJ33:DK33,T$115)+COUNTIF('4月'!DO33:DP33,T$115)+COUNTIF('4月'!DT33:DU33,T$115)+COUNTIF('4月'!DY33:DZ33,T$115)+COUNTIF('4月'!ED33:EE33,T$115)+COUNTIF('4月'!EI33:EJ33,T$115)+COUNTIF('4月'!EN33:EO33,T$115)+COUNTIF('4月'!ES33:ET33,T$115)</f>
        <v>0</v>
      </c>
      <c r="U146" s="76">
        <f t="shared" si="45"/>
        <v>0</v>
      </c>
      <c r="V146" s="76">
        <f>COUNTIF('4月'!D33:E33,V$115)+COUNTIF('4月'!I33:J33,V$115)+COUNTIF('4月'!N33:O33,V$115)+COUNTIF('4月'!S33:T33,V$115)+COUNTIF('4月'!X33:Y33,V$115)+COUNTIF('4月'!AC33:AD33,V$115)+COUNTIF('4月'!AH33:AI33,V$115)+COUNTIF('4月'!AM33:AN33,V$115)+COUNTIF('4月'!AR33:AS33,V$115)+COUNTIF('4月'!AW33:AX33,V$115)+COUNTIF('4月'!BB33:BC33,V$115)+COUNTIF('4月'!BG33:BH33,V$115)+COUNTIF('4月'!BL33:BM33,V$115)+COUNTIF('4月'!BQ33:BR33,V$115)+COUNTIF('4月'!BV33:BW33,V$115)+COUNTIF('4月'!CA33:CB33,V$115)+COUNTIF('4月'!CF33:CG33,V$115)+COUNTIF('4月'!CK33:CL33,V$115)+COUNTIF('4月'!CP33:CQ33,V$115)+COUNTIF('4月'!CU33:CV33,V$115)+COUNTIF('4月'!CZ33:DA33,V$115)+COUNTIF('4月'!DE33:DF33,V$115)+COUNTIF('4月'!DJ33:DK33,V$115)+COUNTIF('4月'!DO33:DP33,V$115)+COUNTIF('4月'!DT33:DU33,V$115)+COUNTIF('4月'!DY33:DZ33,V$115)+COUNTIF('4月'!ED33:EE33,V$115)+COUNTIF('4月'!EI33:EJ33,V$115)+COUNTIF('4月'!EN33:EO33,V$115)+COUNTIF('4月'!ES33:ET33,V$115)</f>
        <v>0</v>
      </c>
      <c r="W146" s="76">
        <f t="shared" si="46"/>
        <v>0</v>
      </c>
      <c r="X146" s="76">
        <f>COUNTIF('4月'!D33:E33,X$115)+COUNTIF('4月'!I33:J33,X$115)+COUNTIF('4月'!N33:O33,X$115)+COUNTIF('4月'!S33:T33,X$115)+COUNTIF('4月'!X33:Y33,X$115)+COUNTIF('4月'!AC33:AD33,X$115)+COUNTIF('4月'!AH33:AI33,X$115)+COUNTIF('4月'!AM33:AN33,X$115)+COUNTIF('4月'!AR33:AS33,X$115)+COUNTIF('4月'!AW33:AX33,X$115)+COUNTIF('4月'!BB33:BC33,X$115)+COUNTIF('4月'!BG33:BH33,X$115)+COUNTIF('4月'!BL33:BM33,X$115)+COUNTIF('4月'!BQ33:BR33,X$115)+COUNTIF('4月'!BV33:BW33,X$115)+COUNTIF('4月'!CA33:CB33,X$115)+COUNTIF('4月'!CF33:CG33,X$115)+COUNTIF('4月'!CK33:CL33,X$115)+COUNTIF('4月'!CP33:CQ33,X$115)+COUNTIF('4月'!CU33:CV33,X$115)+COUNTIF('4月'!CZ33:DA33,X$115)+COUNTIF('4月'!DE33:DF33,X$115)+COUNTIF('4月'!DJ33:DK33,X$115)+COUNTIF('4月'!DO33:DP33,X$115)+COUNTIF('4月'!DT33:DU33,X$115)+COUNTIF('4月'!DY33:DZ33,X$115)+COUNTIF('4月'!ED33:EE33,X$115)+COUNTIF('4月'!EI33:EJ33,X$115)+COUNTIF('4月'!EN33:EO33,X$115)+COUNTIF('4月'!ES33:ET33,X$115)</f>
        <v>0</v>
      </c>
      <c r="Y146" s="76">
        <f t="shared" si="47"/>
        <v>0</v>
      </c>
    </row>
    <row r="147" spans="1:25" ht="18" customHeight="1">
      <c r="A147" s="76">
        <v>31</v>
      </c>
      <c r="B147" s="76">
        <f>COUNTIF('4月'!D34:E34,B$115)+COUNTIF('4月'!I34:J34,B$115)+COUNTIF('4月'!N34:O34,B$115)+COUNTIF('4月'!S34:T34,B$115)+COUNTIF('4月'!X34:Y34,B$115)+COUNTIF('4月'!AC34:AD34,B$115)+COUNTIF('4月'!AH34:AI34,B$115)+COUNTIF('4月'!AM34:AN34,B$115)+COUNTIF('4月'!AR34:AS34,B$115)+COUNTIF('4月'!AW34:AX34,B$115)+COUNTIF('4月'!BB34:BC34,B$115)+COUNTIF('4月'!BG34:BH34,B$115)+COUNTIF('4月'!BL34:BM34,B$115)+COUNTIF('4月'!BQ34:BR34,B$115)+COUNTIF('4月'!BV34:BW34,B$115)+COUNTIF('4月'!CA34:CB34,B$115)+COUNTIF('4月'!CF34:CG34,B$115)+COUNTIF('4月'!CK34:CL34,B$115)+COUNTIF('4月'!CP34:CQ34,B$115)+COUNTIF('4月'!CU34:CV34,B$115)+COUNTIF('4月'!CZ34:DA34,B$115)+COUNTIF('4月'!DE34:DF34,B$115)+COUNTIF('4月'!DJ34:DK34,B$115)+COUNTIF('4月'!DO34:DP34,B$115)+COUNTIF('4月'!DT34:DU34,B$115)+COUNTIF('4月'!DY34:DZ34,B$115)+COUNTIF('4月'!ED34:EE34,B$115)+COUNTIF('4月'!EI34:EJ34,B$115)+COUNTIF('4月'!EN34:EO34,B$115)+COUNTIF('4月'!ES34:ET34,B$115)</f>
        <v>0</v>
      </c>
      <c r="C147" s="76">
        <f t="shared" si="36"/>
        <v>0</v>
      </c>
      <c r="D147" s="76">
        <f>COUNTIF('4月'!D34:E34,D$115)+COUNTIF('4月'!I34:J34,D$115)+COUNTIF('4月'!N34:O34,D$115)+COUNTIF('4月'!S34:T34,D$115)+COUNTIF('4月'!X34:Y34,D$115)+COUNTIF('4月'!AC34:AD34,D$115)+COUNTIF('4月'!AH34:AI34,D$115)+COUNTIF('4月'!AM34:AN34,D$115)+COUNTIF('4月'!AR34:AS34,D$115)+COUNTIF('4月'!AW34:AX34,D$115)+COUNTIF('4月'!BB34:BC34,D$115)+COUNTIF('4月'!BG34:BH34,D$115)+COUNTIF('4月'!BL34:BM34,D$115)+COUNTIF('4月'!BQ34:BR34,D$115)+COUNTIF('4月'!BV34:BW34,D$115)+COUNTIF('4月'!CA34:CB34,D$115)+COUNTIF('4月'!CF34:CG34,D$115)+COUNTIF('4月'!CK34:CL34,D$115)+COUNTIF('4月'!CP34:CQ34,D$115)+COUNTIF('4月'!CU34:CV34,D$115)+COUNTIF('4月'!CZ34:DA34,D$115)+COUNTIF('4月'!DE34:DF34,D$115)+COUNTIF('4月'!DJ34:DK34,D$115)+COUNTIF('4月'!DO34:DP34,D$115)+COUNTIF('4月'!DT34:DU34,D$115)+COUNTIF('4月'!DY34:DZ34,D$115)+COUNTIF('4月'!ED34:EE34,D$115)+COUNTIF('4月'!EI34:EJ34,D$115)+COUNTIF('4月'!EN34:EO34,D$115)+COUNTIF('4月'!ES34:ET34,D$115)</f>
        <v>0</v>
      </c>
      <c r="E147" s="76">
        <f t="shared" si="37"/>
        <v>0</v>
      </c>
      <c r="F147" s="76">
        <f>COUNTIF('4月'!D34:E34,F$115)+COUNTIF('4月'!I34:J34,F$115)+COUNTIF('4月'!N34:O34,F$115)+COUNTIF('4月'!S34:T34,F$115)+COUNTIF('4月'!X34:Y34,F$115)+COUNTIF('4月'!AC34:AD34,F$115)+COUNTIF('4月'!AH34:AI34,F$115)+COUNTIF('4月'!AM34:AN34,F$115)+COUNTIF('4月'!AR34:AS34,F$115)+COUNTIF('4月'!AW34:AX34,F$115)+COUNTIF('4月'!BB34:BC34,F$115)+COUNTIF('4月'!BG34:BH34,F$115)+COUNTIF('4月'!BL34:BM34,F$115)+COUNTIF('4月'!BQ34:BR34,F$115)+COUNTIF('4月'!BV34:BW34,F$115)+COUNTIF('4月'!CA34:CB34,F$115)+COUNTIF('4月'!CF34:CG34,F$115)+COUNTIF('4月'!CK34:CL34,F$115)+COUNTIF('4月'!CP34:CQ34,F$115)+COUNTIF('4月'!CU34:CV34,F$115)+COUNTIF('4月'!CZ34:DA34,F$115)+COUNTIF('4月'!DE34:DF34,F$115)+COUNTIF('4月'!DJ34:DK34,F$115)+COUNTIF('4月'!DO34:DP34,F$115)+COUNTIF('4月'!DT34:DU34,F$115)+COUNTIF('4月'!DY34:DZ34,F$115)+COUNTIF('4月'!ED34:EE34,F$115)+COUNTIF('4月'!EI34:EJ34,F$115)+COUNTIF('4月'!EN34:EO34,F$115)+COUNTIF('4月'!ES34:ET34,F$115)</f>
        <v>0</v>
      </c>
      <c r="G147" s="76">
        <f t="shared" si="38"/>
        <v>0</v>
      </c>
      <c r="H147" s="76">
        <f>COUNTIF('4月'!D34:E34,H$115)+COUNTIF('4月'!I34:J34,H$115)+COUNTIF('4月'!N34:O34,H$115)+COUNTIF('4月'!S34:T34,H$115)+COUNTIF('4月'!X34:Y34,H$115)+COUNTIF('4月'!AC34:AD34,H$115)+COUNTIF('4月'!AH34:AI34,H$115)+COUNTIF('4月'!AM34:AN34,H$115)+COUNTIF('4月'!AR34:AS34,H$115)+COUNTIF('4月'!AW34:AX34,H$115)+COUNTIF('4月'!BB34:BC34,H$115)+COUNTIF('4月'!BG34:BH34,H$115)+COUNTIF('4月'!BL34:BM34,H$115)+COUNTIF('4月'!BQ34:BR34,H$115)+COUNTIF('4月'!BV34:BW34,H$115)+COUNTIF('4月'!CA34:CB34,H$115)+COUNTIF('4月'!CF34:CG34,H$115)+COUNTIF('4月'!CK34:CL34,H$115)+COUNTIF('4月'!CP34:CQ34,H$115)+COUNTIF('4月'!CU34:CV34,H$115)+COUNTIF('4月'!CZ34:DA34,H$115)+COUNTIF('4月'!DE34:DF34,H$115)+COUNTIF('4月'!DJ34:DK34,H$115)+COUNTIF('4月'!DO34:DP34,H$115)+COUNTIF('4月'!DT34:DU34,H$115)+COUNTIF('4月'!DY34:DZ34,H$115)+COUNTIF('4月'!ED34:EE34,H$115)+COUNTIF('4月'!EI34:EJ34,H$115)+COUNTIF('4月'!EN34:EO34,H$115)+COUNTIF('4月'!ES34:ET34,H$115)+COUNTIF('4月'!D34:E34,"渋谷-夜勤")+COUNTIF('4月'!I34:J34,"渋谷-夜勤")+COUNTIF('4月'!N34:O34,"渋谷-夜勤")+COUNTIF('4月'!S34:T34,"渋谷-夜勤")+COUNTIF('4月'!X34:Y34,"渋谷-夜勤")+COUNTIF('4月'!AC34:AD34,"渋谷-夜勤")+COUNTIF('4月'!AH34:AI34,"渋谷-夜勤")+COUNTIF('4月'!AM34:AN34,"渋谷-夜勤")+COUNTIF('4月'!AR34:AS34,"渋谷-夜勤")+COUNTIF('4月'!AW34:AX34,"渋谷-夜勤")+COUNTIF('4月'!BB34:BC34,"渋谷-夜勤")+COUNTIF('4月'!BG34:BH34,"渋谷-夜勤")+COUNTIF('4月'!BL34:BM34,"渋谷-夜勤")+COUNTIF('4月'!BQ34:BR34,"渋谷-夜勤")+COUNTIF('4月'!BV34:BW34,"渋谷-夜勤")+COUNTIF('4月'!CA34:CB34,"渋谷-夜勤")+COUNTIF('4月'!CF34:CG34,"渋谷-夜勤")+COUNTIF('4月'!CK34:CL34,"渋谷-夜勤")+COUNTIF('4月'!CP34:CQ34,"渋谷-夜勤")+COUNTIF('4月'!CU34:CV34,"渋谷-夜勤")+COUNTIF('4月'!CZ34:DA34,"渋谷-夜勤")+COUNTIF('4月'!DE34:DF34,"渋谷-夜勤")+COUNTIF('4月'!DJ34:DK34,"渋谷-夜勤")+COUNTIF('4月'!DO34:DP34,"渋谷-夜勤")+COUNTIF('4月'!DT34:DU34,"渋谷-夜勤")+COUNTIF('4月'!DY34:DZ34,"渋谷-夜勤")+COUNTIF('4月'!ED34:EE34,"渋谷-夜勤")+COUNTIF('4月'!EI34:EJ34,"渋谷-夜勤")+COUNTIF('4月'!EN34:EO34,"渋谷-夜勤")+COUNTIF('4月'!ES34:ET34,"渋谷-夜勤")</f>
        <v>0</v>
      </c>
      <c r="I147" s="76">
        <f t="shared" si="39"/>
        <v>0</v>
      </c>
      <c r="J147" s="76">
        <f>COUNTIF('4月'!D34:E34,J$115)+COUNTIF('4月'!I34:J34,J$115)+COUNTIF('4月'!N34:O34,J$115)+COUNTIF('4月'!S34:T34,J$115)+COUNTIF('4月'!X34:Y34,J$115)+COUNTIF('4月'!AC34:AD34,J$115)+COUNTIF('4月'!AH34:AI34,J$115)+COUNTIF('4月'!AM34:AN34,J$115)+COUNTIF('4月'!AR34:AS34,J$115)+COUNTIF('4月'!AW34:AX34,J$115)+COUNTIF('4月'!BB34:BC34,J$115)+COUNTIF('4月'!BG34:BH34,J$115)+COUNTIF('4月'!BL34:BM34,J$115)+COUNTIF('4月'!BQ34:BR34,J$115)+COUNTIF('4月'!BV34:BW34,J$115)+COUNTIF('4月'!CA34:CB34,J$115)+COUNTIF('4月'!CF34:CG34,J$115)+COUNTIF('4月'!CK34:CL34,J$115)+COUNTIF('4月'!CP34:CQ34,J$115)+COUNTIF('4月'!CU34:CV34,J$115)+COUNTIF('4月'!CZ34:DA34,J$115)+COUNTIF('4月'!DE34:DF34,J$115)+COUNTIF('4月'!DJ34:DK34,J$115)+COUNTIF('4月'!DO34:DP34,J$115)+COUNTIF('4月'!DT34:DU34,J$115)+COUNTIF('4月'!DY34:DZ34,J$115)+COUNTIF('4月'!ED34:EE34,J$115)+COUNTIF('4月'!EI34:EJ34,J$115)+COUNTIF('4月'!EN34:EO34,J$115)+COUNTIF('4月'!ES34:ET34,J$115)+COUNTIF('4月'!D34:E34,"六本木-夜勤")+COUNTIF('4月'!I34:J34,"六本木-夜勤")+COUNTIF('4月'!N34:O34,"六本木-夜勤")+COUNTIF('4月'!S34:T34,"六本木-夜勤")+COUNTIF('4月'!X34:Y34,"六本木-夜勤")+COUNTIF('4月'!AC34:AD34,"六本木-夜勤")+COUNTIF('4月'!AH34:AI34,"六本木-夜勤")+COUNTIF('4月'!AM34:AN34,"六本木-夜勤")+COUNTIF('4月'!AR34:AS34,"六本木-夜勤")+COUNTIF('4月'!AW34:AX34,"六本木-夜勤")+COUNTIF('4月'!BB34:BC34,"六本木-夜勤")+COUNTIF('4月'!BG34:BH34,"六本木-夜勤")+COUNTIF('4月'!BL34:BM34,"六本木-夜勤")+COUNTIF('4月'!BQ34:BR34,"六本木-夜勤")+COUNTIF('4月'!BV34:BW34,"六本木-夜勤")+COUNTIF('4月'!CA34:CB34,"六本木-夜勤")+COUNTIF('4月'!CF34:CG34,"六本木-夜勤")+COUNTIF('4月'!CK34:CL34,"六本木-夜勤")+COUNTIF('4月'!CP34:CQ34,"六本木-夜勤")+COUNTIF('4月'!CU34:CV34,"六本木-夜勤")+COUNTIF('4月'!CZ34:DA34,"六本木-夜勤")+COUNTIF('4月'!DE34:DF34,"六本木-夜勤")+COUNTIF('4月'!DJ34:DK34,"六本木-夜勤")+COUNTIF('4月'!DO34:DP34,"六本木-夜勤")+COUNTIF('4月'!DT34:DU34,"六本木-夜勤")+COUNTIF('4月'!DY34:DZ34,"六本木-夜勤")+COUNTIF('4月'!ED34:EE34,"六本木-夜勤")+COUNTIF('4月'!EI34:EJ34,"六本木-夜勤")+COUNTIF('4月'!EN34:EO34,"六本木-夜勤")+COUNTIF('4月'!ES34:ET34,"六本木-夜勤")+COUNTIF('4月'!D34:E34,"六本木ー夜勤")+COUNTIF('4月'!I34:J34,"六本木ー夜勤")+COUNTIF('4月'!N34:O34,"六本木ー夜勤")+COUNTIF('4月'!S34:T34,"六本木ー夜勤")+COUNTIF('4月'!X34:Y34,"六本木ー夜勤")+COUNTIF('4月'!AC34:AD34,"六本木ー夜勤")+COUNTIF('4月'!AH34:AI34,"六本木ー夜勤")+COUNTIF('4月'!AM34:AN34,"六本木ー夜勤")+COUNTIF('4月'!AR34:AS34,"六本木ー夜勤")+COUNTIF('4月'!AW34:AX34,"六本木ー夜勤")+COUNTIF('4月'!BB34:BC34,"六本木ー夜勤")+COUNTIF('4月'!BG34:BH34,"六本木ー夜勤")+COUNTIF('4月'!BL34:BM34,"六本木ー夜勤")+COUNTIF('4月'!BQ34:BR34,"六本木ー夜勤")+COUNTIF('4月'!BV34:BW34,"六本木ー夜勤")+COUNTIF('4月'!CA34:CB34,"六本木ー夜勤")+COUNTIF('4月'!CF34:CG34,"六本木ー夜勤")+COUNTIF('4月'!CK34:CL34,"六本木ー夜勤")+COUNTIF('4月'!CP34:CQ34,"六本木ー夜勤")+COUNTIF('4月'!CU34:CV34,"六本木ー夜勤")+COUNTIF('4月'!CZ34:DA34,"六本木ー夜勤")+COUNTIF('4月'!DE34:DF34,"六本木ー夜勤")+COUNTIF('4月'!DJ34:DK34,"六本木ー夜勤")+COUNTIF('4月'!DO34:DP34,"六本木ー夜勤")+COUNTIF('4月'!DT34:DU34,"六本木ー夜勤")+COUNTIF('4月'!DY34:DZ34,"六本木ー夜勤")+COUNTIF('4月'!ED34:EE34,"六本木ー夜勤")+COUNTIF('4月'!EI34:EJ34,"六本木ー夜勤")+COUNTIF('4月'!EN34:EO34,"六本木ー夜勤")+COUNTIF('4月'!ES34:ET34,"六本木ー夜勤")</f>
        <v>0</v>
      </c>
      <c r="K147" s="76">
        <f t="shared" si="40"/>
        <v>0</v>
      </c>
      <c r="L147" s="76">
        <f>COUNTIF('4月'!D34:E34,L$115)+COUNTIF('4月'!I34:J34,L$115)+COUNTIF('4月'!N34:O34,L$115)+COUNTIF('4月'!S34:T34,L$115)+COUNTIF('4月'!X34:Y34,L$115)+COUNTIF('4月'!AC34:AD34,L$115)+COUNTIF('4月'!AH34:AI34,L$115)+COUNTIF('4月'!AM34:AN34,L$115)+COUNTIF('4月'!AR34:AS34,L$115)+COUNTIF('4月'!AW34:AX34,L$115)+COUNTIF('4月'!BB34:BC34,L$115)+COUNTIF('4月'!BG34:BH34,L$115)+COUNTIF('4月'!BL34:BM34,L$115)+COUNTIF('4月'!BQ34:BR34,L$115)+COUNTIF('4月'!BV34:BW34,L$115)+COUNTIF('4月'!CA34:CB34,L$115)+COUNTIF('4月'!CF34:CG34,L$115)+COUNTIF('4月'!CK34:CL34,L$115)+COUNTIF('4月'!CP34:CQ34,L$115)+COUNTIF('4月'!CU34:CV34,L$115)+COUNTIF('4月'!CZ34:DA34,L$115)+COUNTIF('4月'!DE34:DF34,L$115)+COUNTIF('4月'!DJ34:DK34,L$115)+COUNTIF('4月'!DO34:DP34,L$115)+COUNTIF('4月'!DT34:DU34,L$115)+COUNTIF('4月'!DY34:DZ34,L$115)+COUNTIF('4月'!ED34:EE34,L$115)+COUNTIF('4月'!EI34:EJ34,L$115)+COUNTIF('4月'!EN34:EO34,L$115)+COUNTIF('4月'!ES34:ET34,L$115)</f>
        <v>0</v>
      </c>
      <c r="M147" s="76">
        <f t="shared" si="41"/>
        <v>0</v>
      </c>
      <c r="N147" s="76">
        <f>COUNTIF('4月'!D34:E34,N$115)+COUNTIF('4月'!I34:J34,N$115)+COUNTIF('4月'!N34:O34,N$115)+COUNTIF('4月'!S34:T34,N$115)+COUNTIF('4月'!X34:Y34,N$115)+COUNTIF('4月'!AC34:AD34,N$115)+COUNTIF('4月'!AH34:AI34,N$115)+COUNTIF('4月'!AM34:AN34,N$115)+COUNTIF('4月'!AR34:AS34,N$115)+COUNTIF('4月'!AW34:AX34,N$115)+COUNTIF('4月'!BB34:BC34,N$115)+COUNTIF('4月'!BG34:BH34,N$115)+COUNTIF('4月'!BL34:BM34,N$115)+COUNTIF('4月'!BQ34:BR34,N$115)+COUNTIF('4月'!BV34:BW34,N$115)+COUNTIF('4月'!CA34:CB34,N$115)+COUNTIF('4月'!CF34:CG34,N$115)+COUNTIF('4月'!CK34:CL34,N$115)+COUNTIF('4月'!CP34:CQ34,N$115)+COUNTIF('4月'!CU34:CV34,N$115)+COUNTIF('4月'!CZ34:DA34,N$115)+COUNTIF('4月'!DE34:DF34,N$115)+COUNTIF('4月'!DJ34:DK34,N$115)+COUNTIF('4月'!DO34:DP34,N$115)+COUNTIF('4月'!DT34:DU34,N$115)+COUNTIF('4月'!DY34:DZ34,N$115)+COUNTIF('4月'!ED34:EE34,N$115)+COUNTIF('4月'!EI34:EJ34,N$115)+COUNTIF('4月'!EN34:EO34,N$115)+COUNTIF('4月'!ES34:ET34,N$115)+COUNTIF('4月'!D34:E34,"三軒茶屋－夜勤")+COUNTIF('4月'!I34:J34,"三軒茶屋－夜勤")+COUNTIF('4月'!N34:O34,"三軒茶屋－夜勤")+COUNTIF('4月'!S34:T34,"三軒茶屋－夜勤")+COUNTIF('4月'!X34:Y34,"三軒茶屋－夜勤")+COUNTIF('4月'!AC34:AD34,"三軒茶屋－夜勤")+COUNTIF('4月'!AH34:AI34,"三軒茶屋－夜勤")+COUNTIF('4月'!AM34:AN34,"三軒茶屋－夜勤")+COUNTIF('4月'!AR34:AS34,"三軒茶屋－夜勤")+COUNTIF('4月'!AW34:AX34,"三軒茶屋－夜勤")+COUNTIF('4月'!BB34:BC34,"三軒茶屋－夜勤")+COUNTIF('4月'!BG34:BH34,"三軒茶屋－夜勤")+COUNTIF('4月'!BL34:BM34,"三軒茶屋－夜勤")+COUNTIF('4月'!BQ34:BR34,"三軒茶屋－夜勤")+COUNTIF('4月'!BV34:BW34,"三軒茶屋－夜勤")+COUNTIF('4月'!CA34:CB34,"三軒茶屋－夜勤")+COUNTIF('4月'!CF34:CG34,"三軒茶屋－夜勤")+COUNTIF('4月'!CK34:CL34,"三軒茶屋－夜勤")+COUNTIF('4月'!CP34:CQ34,"三軒茶屋－夜勤")+COUNTIF('4月'!CU34:CV34,"三軒茶屋－夜勤")+COUNTIF('4月'!CZ34:DA34,"三軒茶屋－夜勤")+COUNTIF('4月'!DE34:DF34,"三軒茶屋－夜勤")+COUNTIF('4月'!DJ34:DK34,"三軒茶屋－夜勤")+COUNTIF('4月'!DO34:DP34,"三軒茶屋－夜勤")+COUNTIF('4月'!DT34:DU34,"三軒茶屋－夜勤")+COUNTIF('4月'!DY34:DZ34,"三軒茶屋－夜勤")+COUNTIF('4月'!ED34:EE34,"三軒茶屋－夜勤")+COUNTIF('4月'!EI34:EJ34,"三軒茶屋－夜勤")+COUNTIF('4月'!EN34:EO34,"三軒茶屋－夜勤")+COUNTIF('4月'!ES34:ET34,"三軒茶屋－夜勤")</f>
        <v>0</v>
      </c>
      <c r="O147" s="76">
        <f t="shared" si="42"/>
        <v>0</v>
      </c>
      <c r="P147" s="76">
        <f>COUNTIF('4月'!D34:E34,P$115)+COUNTIF('4月'!I34:J34,P$115)+COUNTIF('4月'!N34:O34,P$115)+COUNTIF('4月'!S34:T34,P$115)+COUNTIF('4月'!X34:Y34,P$115)+COUNTIF('4月'!AC34:AD34,P$115)+COUNTIF('4月'!AH34:AI34,P$115)+COUNTIF('4月'!AM34:AN34,P$115)+COUNTIF('4月'!AR34:AS34,P$115)+COUNTIF('4月'!AW34:AX34,P$115)+COUNTIF('4月'!BB34:BC34,P$115)+COUNTIF('4月'!BG34:BH34,P$115)+COUNTIF('4月'!BL34:BM34,P$115)+COUNTIF('4月'!BQ34:BR34,P$115)+COUNTIF('4月'!BV34:BW34,P$115)+COUNTIF('4月'!CA34:CB34,P$115)+COUNTIF('4月'!CF34:CG34,P$115)+COUNTIF('4月'!CK34:CL34,P$115)+COUNTIF('4月'!CP34:CQ34,P$115)+COUNTIF('4月'!CU34:CV34,P$115)+COUNTIF('4月'!CZ34:DA34,P$115)+COUNTIF('4月'!DE34:DF34,P$115)+COUNTIF('4月'!DJ34:DK34,P$115)+COUNTIF('4月'!DO34:DP34,P$115)+COUNTIF('4月'!DT34:DU34,P$115)+COUNTIF('4月'!DY34:DZ34,P$115)+COUNTIF('4月'!ED34:EE34,P$115)+COUNTIF('4月'!EI34:EJ34,P$115)+COUNTIF('4月'!EN34:EO34,P$115)+COUNTIF('4月'!ES34:ET34,P$115)+COUNTIF('4月'!D34:E34,"荻窪ー夜勤")+COUNTIF('4月'!I34:J34,"荻窪ー夜勤")+COUNTIF('4月'!N34:O34,"荻窪ー夜勤")+COUNTIF('4月'!S34:T34,"荻窪ー夜勤")+COUNTIF('4月'!X34:Y34,"荻窪ー夜勤")+COUNTIF('4月'!AC34:AD34,"荻窪ー夜勤")+COUNTIF('4月'!AH34:AI34,"荻窪ー夜勤")+COUNTIF('4月'!AM34:AN34,"荻窪ー夜勤")+COUNTIF('4月'!AR34:AS34,"荻窪ー夜勤")+COUNTIF('4月'!AW34:AX34,"荻窪ー夜勤")+COUNTIF('4月'!BB34:BC34,"荻窪ー夜勤")+COUNTIF('4月'!BG34:BH34,"荻窪ー夜勤")+COUNTIF('4月'!BL34:BM34,"荻窪ー夜勤")+COUNTIF('4月'!BQ34:BR34,"荻窪ー夜勤")+COUNTIF('4月'!BV34:BW34,"荻窪ー夜勤")+COUNTIF('4月'!CA34:CB34,"荻窪ー夜勤")+COUNTIF('4月'!CF34:CG34,"荻窪ー夜勤")+COUNTIF('4月'!CK34:CL34,"荻窪ー夜勤")+COUNTIF('4月'!CP34:CQ34,"荻窪ー夜勤")+COUNTIF('4月'!CU34:CV34,"荻窪ー夜勤")+COUNTIF('4月'!CZ34:DA34,"荻窪ー夜勤")+COUNTIF('4月'!DE34:DF34,"荻窪ー夜勤")+COUNTIF('4月'!DJ34:DK34,"荻窪ー夜勤")+COUNTIF('4月'!DO34:DP34,"荻窪ー夜勤")+COUNTIF('4月'!DT34:DU34,"荻窪ー夜勤")+COUNTIF('4月'!DY34:DZ34,"荻窪ー夜勤")+COUNTIF('4月'!ED34:EE34,"荻窪ー夜勤")+COUNTIF('4月'!EI34:EJ34,"荻窪ー夜勤")+COUNTIF('4月'!EN34:EO34,"荻窪ー夜勤")+COUNTIF('4月'!ES34:ET34,"荻窪ー夜勤")</f>
        <v>0</v>
      </c>
      <c r="Q147" s="76">
        <f t="shared" si="43"/>
        <v>0</v>
      </c>
      <c r="R147" s="76">
        <f>COUNTIF('4月'!D34:E34,R$115)+COUNTIF('4月'!I34:J34,R$115)+COUNTIF('4月'!N34:O34,R$115)+COUNTIF('4月'!S34:T34,R$115)+COUNTIF('4月'!X34:Y34,R$115)+COUNTIF('4月'!AC34:AD34,R$115)+COUNTIF('4月'!AH34:AI34,R$115)+COUNTIF('4月'!AM34:AN34,R$115)+COUNTIF('4月'!AR34:AS34,R$115)+COUNTIF('4月'!AW34:AX34,R$115)+COUNTIF('4月'!BB34:BC34,R$115)+COUNTIF('4月'!BG34:BH34,R$115)+COUNTIF('4月'!BL34:BM34,R$115)+COUNTIF('4月'!BQ34:BR34,R$115)+COUNTIF('4月'!BV34:BW34,R$115)+COUNTIF('4月'!CA34:CB34,R$115)+COUNTIF('4月'!CF34:CG34,R$115)+COUNTIF('4月'!CK34:CL34,R$115)+COUNTIF('4月'!CP34:CQ34,R$115)+COUNTIF('4月'!CU34:CV34,R$115)+COUNTIF('4月'!CZ34:DA34,R$115)+COUNTIF('4月'!DE34:DF34,R$115)+COUNTIF('4月'!DJ34:DK34,R$115)+COUNTIF('4月'!DO34:DP34,R$115)+COUNTIF('4月'!DT34:DU34,R$115)+COUNTIF('4月'!DY34:DZ34,R$115)+COUNTIF('4月'!ED34:EE34,R$115)+COUNTIF('4月'!EI34:EJ34,R$115)+COUNTIF('4月'!EN34:EO34,R$115)+COUNTIF('4月'!ES34:ET34,R$115)</f>
        <v>0</v>
      </c>
      <c r="S147" s="76">
        <f t="shared" si="44"/>
        <v>0</v>
      </c>
      <c r="T147" s="76">
        <f>COUNTIF('4月'!D34:E34,T$115)+COUNTIF('4月'!I34:J34,T$115)+COUNTIF('4月'!N34:O34,T$115)+COUNTIF('4月'!S34:T34,T$115)+COUNTIF('4月'!X34:Y34,T$115)+COUNTIF('4月'!AC34:AD34,T$115)+COUNTIF('4月'!AH34:AI34,T$115)+COUNTIF('4月'!AM34:AN34,T$115)+COUNTIF('4月'!AR34:AS34,T$115)+COUNTIF('4月'!AW34:AX34,T$115)+COUNTIF('4月'!BB34:BC34,T$115)+COUNTIF('4月'!BG34:BH34,T$115)+COUNTIF('4月'!BL34:BM34,T$115)+COUNTIF('4月'!BQ34:BR34,T$115)+COUNTIF('4月'!BV34:BW34,T$115)+COUNTIF('4月'!CA34:CB34,T$115)+COUNTIF('4月'!CF34:CG34,T$115)+COUNTIF('4月'!CK34:CL34,T$115)+COUNTIF('4月'!CP34:CQ34,T$115)+COUNTIF('4月'!CU34:CV34,T$115)+COUNTIF('4月'!CZ34:DA34,T$115)+COUNTIF('4月'!DE34:DF34,T$115)+COUNTIF('4月'!DJ34:DK34,T$115)+COUNTIF('4月'!DO34:DP34,T$115)+COUNTIF('4月'!DT34:DU34,T$115)+COUNTIF('4月'!DY34:DZ34,T$115)+COUNTIF('4月'!ED34:EE34,T$115)+COUNTIF('4月'!EI34:EJ34,T$115)+COUNTIF('4月'!EN34:EO34,T$115)+COUNTIF('4月'!ES34:ET34,T$115)</f>
        <v>0</v>
      </c>
      <c r="U147" s="76">
        <f t="shared" si="45"/>
        <v>0</v>
      </c>
      <c r="V147" s="76">
        <f>COUNTIF('4月'!D34:E34,V$115)+COUNTIF('4月'!I34:J34,V$115)+COUNTIF('4月'!N34:O34,V$115)+COUNTIF('4月'!S34:T34,V$115)+COUNTIF('4月'!X34:Y34,V$115)+COUNTIF('4月'!AC34:AD34,V$115)+COUNTIF('4月'!AH34:AI34,V$115)+COUNTIF('4月'!AM34:AN34,V$115)+COUNTIF('4月'!AR34:AS34,V$115)+COUNTIF('4月'!AW34:AX34,V$115)+COUNTIF('4月'!BB34:BC34,V$115)+COUNTIF('4月'!BG34:BH34,V$115)+COUNTIF('4月'!BL34:BM34,V$115)+COUNTIF('4月'!BQ34:BR34,V$115)+COUNTIF('4月'!BV34:BW34,V$115)+COUNTIF('4月'!CA34:CB34,V$115)+COUNTIF('4月'!CF34:CG34,V$115)+COUNTIF('4月'!CK34:CL34,V$115)+COUNTIF('4月'!CP34:CQ34,V$115)+COUNTIF('4月'!CU34:CV34,V$115)+COUNTIF('4月'!CZ34:DA34,V$115)+COUNTIF('4月'!DE34:DF34,V$115)+COUNTIF('4月'!DJ34:DK34,V$115)+COUNTIF('4月'!DO34:DP34,V$115)+COUNTIF('4月'!DT34:DU34,V$115)+COUNTIF('4月'!DY34:DZ34,V$115)+COUNTIF('4月'!ED34:EE34,V$115)+COUNTIF('4月'!EI34:EJ34,V$115)+COUNTIF('4月'!EN34:EO34,V$115)+COUNTIF('4月'!ES34:ET34,V$115)</f>
        <v>0</v>
      </c>
      <c r="W147" s="76">
        <f t="shared" si="46"/>
        <v>0</v>
      </c>
      <c r="X147" s="76">
        <f>COUNTIF('4月'!D34:E34,X$115)+COUNTIF('4月'!I34:J34,X$115)+COUNTIF('4月'!N34:O34,X$115)+COUNTIF('4月'!S34:T34,X$115)+COUNTIF('4月'!X34:Y34,X$115)+COUNTIF('4月'!AC34:AD34,X$115)+COUNTIF('4月'!AH34:AI34,X$115)+COUNTIF('4月'!AM34:AN34,X$115)+COUNTIF('4月'!AR34:AS34,X$115)+COUNTIF('4月'!AW34:AX34,X$115)+COUNTIF('4月'!BB34:BC34,X$115)+COUNTIF('4月'!BG34:BH34,X$115)+COUNTIF('4月'!BL34:BM34,X$115)+COUNTIF('4月'!BQ34:BR34,X$115)+COUNTIF('4月'!BV34:BW34,X$115)+COUNTIF('4月'!CA34:CB34,X$115)+COUNTIF('4月'!CF34:CG34,X$115)+COUNTIF('4月'!CK34:CL34,X$115)+COUNTIF('4月'!CP34:CQ34,X$115)+COUNTIF('4月'!CU34:CV34,X$115)+COUNTIF('4月'!CZ34:DA34,X$115)+COUNTIF('4月'!DE34:DF34,X$115)+COUNTIF('4月'!DJ34:DK34,X$115)+COUNTIF('4月'!DO34:DP34,X$115)+COUNTIF('4月'!DT34:DU34,X$115)+COUNTIF('4月'!DY34:DZ34,X$115)+COUNTIF('4月'!ED34:EE34,X$115)+COUNTIF('4月'!EI34:EJ34,X$115)+COUNTIF('4月'!EN34:EO34,X$115)+COUNTIF('4月'!ES34:ET34,X$115)</f>
        <v>0</v>
      </c>
      <c r="Y147" s="76">
        <f t="shared" si="47"/>
        <v>0</v>
      </c>
    </row>
    <row r="148" spans="1:25" ht="21.95" customHeight="1">
      <c r="A148" s="65" t="s">
        <v>116</v>
      </c>
      <c r="B148" s="65">
        <f>SUM(B117:B147)</f>
        <v>0</v>
      </c>
      <c r="C148" s="65"/>
      <c r="D148" s="65">
        <f>SUM(D117:D147)</f>
        <v>0</v>
      </c>
      <c r="E148" s="65"/>
      <c r="F148" s="65">
        <f>SUM(F117:F147)</f>
        <v>0</v>
      </c>
      <c r="G148" s="65"/>
      <c r="H148" s="65">
        <f>SUM(H117:H147)</f>
        <v>0</v>
      </c>
      <c r="I148" s="65"/>
      <c r="J148" s="65">
        <f>SUM(J117:J147)</f>
        <v>0</v>
      </c>
      <c r="K148" s="65"/>
      <c r="L148" s="65">
        <f>SUM(L117:L147)</f>
        <v>0</v>
      </c>
      <c r="M148" s="65"/>
      <c r="N148" s="65">
        <f>SUM(N117:N147)</f>
        <v>0</v>
      </c>
      <c r="O148" s="65"/>
      <c r="P148" s="65">
        <f>SUM(P117:P147)</f>
        <v>0</v>
      </c>
      <c r="Q148" s="65"/>
      <c r="R148" s="65">
        <f>SUM(R117:R147)</f>
        <v>0</v>
      </c>
      <c r="S148" s="65"/>
      <c r="T148" s="65">
        <f>SUM(T117:T147)</f>
        <v>0</v>
      </c>
      <c r="U148" s="65"/>
      <c r="V148" s="65">
        <f>SUM(V117:V147)</f>
        <v>0</v>
      </c>
      <c r="W148" s="65"/>
      <c r="X148" s="65">
        <f>SUM(X117:X147)</f>
        <v>0</v>
      </c>
      <c r="Y148" s="65"/>
    </row>
    <row r="149" spans="1:25" ht="21.95" customHeight="1">
      <c r="A149" s="65" t="s">
        <v>117</v>
      </c>
      <c r="B149" s="65">
        <f>SUM('4月'!H4:H34)+SUM('4月'!M4:M34)+SUM('4月'!R4:R34)+SUM('4月'!W4:W34)+SUM('4月'!AB4:AB34)+SUM('4月'!AG4:AG34)+SUM('4月'!AL4:AL34)+SUM('4月'!AQ4:AQ34)+SUM('4月'!AV4:AV34)+SUM('4月'!BA4:BA34)+SUM('4月'!BF4:BF34)+SUM('4月'!BK4:BK34)+SUM('4月'!BP4:BP34)+SUM('4月'!BU4:BU34)+SUM('4月'!BZ4:BZ34)+SUM('4月'!CE4:CE34)+SUM('4月'!CJ4:CJ34)+SUM('4月'!CO4:CO34)+SUM('4月'!CT4:CT34)+SUM('4月'!CY4:CY34)+SUM('4月'!DD4:DD34)+SUM('4月'!DI4:DI34)+SUM('4月'!DN4:DN34)+SUM('4月'!DS4:DS34)+SUM('4月'!DX4:DX34)+SUM('4月'!EC4:EC34)+SUM('4月'!EH4:EH34)+SUM('4月'!EM4:EM34)+SUM('4月'!ER4:ER34)+SUM('4月'!EW4:EW34)</f>
        <v>0</v>
      </c>
      <c r="C149" s="127" t="s">
        <v>118</v>
      </c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</row>
    <row r="150" spans="1:25" ht="9.9499999999999993" customHeight="1"/>
    <row r="151" spans="1:25" ht="21.95" customHeight="1">
      <c r="A151" s="112" t="str">
        <f>対象年度&amp;"年 5月分  30日締め"</f>
        <v>2026年 5月分  30日締め</v>
      </c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</row>
    <row r="152" spans="1:25" ht="21.95" customHeight="1">
      <c r="A152" s="60" t="s">
        <v>113</v>
      </c>
      <c r="B152" s="123" t="str">
        <f>IFERROR(現場マスタ!$C$4,"")</f>
        <v>新宿</v>
      </c>
      <c r="C152" s="123"/>
      <c r="D152" s="123" t="str">
        <f>IFERROR(現場マスタ!$C$5,"")</f>
        <v>赤坂</v>
      </c>
      <c r="E152" s="123"/>
      <c r="F152" s="123" t="str">
        <f>IFERROR(現場マスタ!$C$6,"")</f>
        <v>渋谷ヒカリエ</v>
      </c>
      <c r="G152" s="123"/>
      <c r="H152" s="123" t="str">
        <f>IFERROR(現場マスタ!$C$7,"")</f>
        <v>六本木ヒルズ</v>
      </c>
      <c r="I152" s="123"/>
      <c r="J152" s="123" t="str">
        <f>IFERROR(現場マスタ!$C$10,"")</f>
        <v>有給</v>
      </c>
      <c r="K152" s="123"/>
      <c r="L152" s="123">
        <f>IFERROR(現場マスタ!$C$12,"")</f>
        <v>0</v>
      </c>
      <c r="M152" s="123"/>
      <c r="N152" s="123">
        <f>IFERROR(現場マスタ!$C$16,"")</f>
        <v>0</v>
      </c>
      <c r="O152" s="123"/>
      <c r="P152" s="123">
        <f>IFERROR(現場マスタ!$C$17,"")</f>
        <v>0</v>
      </c>
      <c r="Q152" s="123"/>
      <c r="R152" s="123">
        <f>IFERROR(現場マスタ!$C$18,"")</f>
        <v>0</v>
      </c>
      <c r="S152" s="123"/>
      <c r="T152" s="123">
        <f>IFERROR(現場マスタ!$C$20,"")</f>
        <v>0</v>
      </c>
      <c r="U152" s="123"/>
      <c r="V152" s="123">
        <f>IFERROR(現場マスタ!$C$21,"")</f>
        <v>0</v>
      </c>
      <c r="W152" s="123"/>
      <c r="X152" s="123">
        <f>IFERROR(現場マスタ!$C$22,"")</f>
        <v>0</v>
      </c>
      <c r="Y152" s="123"/>
    </row>
    <row r="153" spans="1:25" ht="20.100000000000001" customHeight="1">
      <c r="A153" s="60" t="s">
        <v>4</v>
      </c>
      <c r="B153" s="65" t="s">
        <v>114</v>
      </c>
      <c r="C153" s="65" t="s">
        <v>115</v>
      </c>
      <c r="D153" s="65" t="s">
        <v>114</v>
      </c>
      <c r="E153" s="65" t="s">
        <v>115</v>
      </c>
      <c r="F153" s="65" t="s">
        <v>114</v>
      </c>
      <c r="G153" s="65" t="s">
        <v>115</v>
      </c>
      <c r="H153" s="65" t="s">
        <v>114</v>
      </c>
      <c r="I153" s="65" t="s">
        <v>115</v>
      </c>
      <c r="J153" s="65" t="s">
        <v>114</v>
      </c>
      <c r="K153" s="65" t="s">
        <v>115</v>
      </c>
      <c r="L153" s="65" t="s">
        <v>114</v>
      </c>
      <c r="M153" s="65" t="s">
        <v>115</v>
      </c>
      <c r="N153" s="65" t="s">
        <v>114</v>
      </c>
      <c r="O153" s="65" t="s">
        <v>115</v>
      </c>
      <c r="P153" s="65" t="s">
        <v>114</v>
      </c>
      <c r="Q153" s="65" t="s">
        <v>115</v>
      </c>
      <c r="R153" s="65" t="s">
        <v>114</v>
      </c>
      <c r="S153" s="65" t="s">
        <v>115</v>
      </c>
      <c r="T153" s="65" t="s">
        <v>114</v>
      </c>
      <c r="U153" s="65" t="s">
        <v>115</v>
      </c>
      <c r="V153" s="65" t="s">
        <v>114</v>
      </c>
      <c r="W153" s="65" t="s">
        <v>115</v>
      </c>
      <c r="X153" s="65" t="s">
        <v>114</v>
      </c>
      <c r="Y153" s="65" t="s">
        <v>115</v>
      </c>
    </row>
    <row r="154" spans="1:25" ht="18" customHeight="1">
      <c r="A154" s="76">
        <v>1</v>
      </c>
      <c r="B154" s="76">
        <f>COUNTIF('5月'!D4:E4,B$152)+COUNTIF('5月'!I4:J4,B$152)+COUNTIF('5月'!N4:O4,B$152)+COUNTIF('5月'!S4:T4,B$152)+COUNTIF('5月'!X4:Y4,B$152)+COUNTIF('5月'!AC4:AD4,B$152)+COUNTIF('5月'!AH4:AI4,B$152)+COUNTIF('5月'!AM4:AN4,B$152)+COUNTIF('5月'!AR4:AS4,B$152)+COUNTIF('5月'!AW4:AX4,B$152)+COUNTIF('5月'!BB4:BC4,B$152)+COUNTIF('5月'!BG4:BH4,B$152)+COUNTIF('5月'!BL4:BM4,B$152)+COUNTIF('5月'!BQ4:BR4,B$152)+COUNTIF('5月'!BV4:BW4,B$152)+COUNTIF('5月'!CA4:CB4,B$152)+COUNTIF('5月'!CF4:CG4,B$152)+COUNTIF('5月'!CK4:CL4,B$152)+COUNTIF('5月'!CP4:CQ4,B$152)+COUNTIF('5月'!CU4:CV4,B$152)+COUNTIF('5月'!CZ4:DA4,B$152)+COUNTIF('5月'!DE4:DF4,B$152)+COUNTIF('5月'!DJ4:DK4,B$152)+COUNTIF('5月'!DO4:DP4,B$152)+COUNTIF('5月'!DT4:DU4,B$152)+COUNTIF('5月'!DY4:DZ4,B$152)+COUNTIF('5月'!ED4:EE4,B$152)+COUNTIF('5月'!EI4:EJ4,B$152)+COUNTIF('5月'!EN4:EO4,B$152)+COUNTIF('5月'!ES4:ET4,B$152)</f>
        <v>0</v>
      </c>
      <c r="C154" s="76">
        <f>IF(B154=0,0,B154)</f>
        <v>0</v>
      </c>
      <c r="D154" s="76">
        <f>COUNTIF('5月'!D4:E4,D$152)+COUNTIF('5月'!I4:J4,D$152)+COUNTIF('5月'!N4:O4,D$152)+COUNTIF('5月'!S4:T4,D$152)+COUNTIF('5月'!X4:Y4,D$152)+COUNTIF('5月'!AC4:AD4,D$152)+COUNTIF('5月'!AH4:AI4,D$152)+COUNTIF('5月'!AM4:AN4,D$152)+COUNTIF('5月'!AR4:AS4,D$152)+COUNTIF('5月'!AW4:AX4,D$152)+COUNTIF('5月'!BB4:BC4,D$152)+COUNTIF('5月'!BG4:BH4,D$152)+COUNTIF('5月'!BL4:BM4,D$152)+COUNTIF('5月'!BQ4:BR4,D$152)+COUNTIF('5月'!BV4:BW4,D$152)+COUNTIF('5月'!CA4:CB4,D$152)+COUNTIF('5月'!CF4:CG4,D$152)+COUNTIF('5月'!CK4:CL4,D$152)+COUNTIF('5月'!CP4:CQ4,D$152)+COUNTIF('5月'!CU4:CV4,D$152)+COUNTIF('5月'!CZ4:DA4,D$152)+COUNTIF('5月'!DE4:DF4,D$152)+COUNTIF('5月'!DJ4:DK4,D$152)+COUNTIF('5月'!DO4:DP4,D$152)+COUNTIF('5月'!DT4:DU4,D$152)+COUNTIF('5月'!DY4:DZ4,D$152)+COUNTIF('5月'!ED4:EE4,D$152)+COUNTIF('5月'!EI4:EJ4,D$152)+COUNTIF('5月'!EN4:EO4,D$152)+COUNTIF('5月'!ES4:ET4,D$152)</f>
        <v>0</v>
      </c>
      <c r="E154" s="76">
        <f>IF(D154=0,0,D154)</f>
        <v>0</v>
      </c>
      <c r="F154" s="76">
        <f>COUNTIF('5月'!D4:E4,F$152)+COUNTIF('5月'!I4:J4,F$152)+COUNTIF('5月'!N4:O4,F$152)+COUNTIF('5月'!S4:T4,F$152)+COUNTIF('5月'!X4:Y4,F$152)+COUNTIF('5月'!AC4:AD4,F$152)+COUNTIF('5月'!AH4:AI4,F$152)+COUNTIF('5月'!AM4:AN4,F$152)+COUNTIF('5月'!AR4:AS4,F$152)+COUNTIF('5月'!AW4:AX4,F$152)+COUNTIF('5月'!BB4:BC4,F$152)+COUNTIF('5月'!BG4:BH4,F$152)+COUNTIF('5月'!BL4:BM4,F$152)+COUNTIF('5月'!BQ4:BR4,F$152)+COUNTIF('5月'!BV4:BW4,F$152)+COUNTIF('5月'!CA4:CB4,F$152)+COUNTIF('5月'!CF4:CG4,F$152)+COUNTIF('5月'!CK4:CL4,F$152)+COUNTIF('5月'!CP4:CQ4,F$152)+COUNTIF('5月'!CU4:CV4,F$152)+COUNTIF('5月'!CZ4:DA4,F$152)+COUNTIF('5月'!DE4:DF4,F$152)+COUNTIF('5月'!DJ4:DK4,F$152)+COUNTIF('5月'!DO4:DP4,F$152)+COUNTIF('5月'!DT4:DU4,F$152)+COUNTIF('5月'!DY4:DZ4,F$152)+COUNTIF('5月'!ED4:EE4,F$152)+COUNTIF('5月'!EI4:EJ4,F$152)+COUNTIF('5月'!EN4:EO4,F$152)+COUNTIF('5月'!ES4:ET4,F$152)</f>
        <v>0</v>
      </c>
      <c r="G154" s="76">
        <f>IF(F154=0,0,F154)</f>
        <v>0</v>
      </c>
      <c r="H154" s="76">
        <f>COUNTIF('5月'!D4:E4,H$152)+COUNTIF('5月'!I4:J4,H$152)+COUNTIF('5月'!N4:O4,H$152)+COUNTIF('5月'!S4:T4,H$152)+COUNTIF('5月'!X4:Y4,H$152)+COUNTIF('5月'!AC4:AD4,H$152)+COUNTIF('5月'!AH4:AI4,H$152)+COUNTIF('5月'!AM4:AN4,H$152)+COUNTIF('5月'!AR4:AS4,H$152)+COUNTIF('5月'!AW4:AX4,H$152)+COUNTIF('5月'!BB4:BC4,H$152)+COUNTIF('5月'!BG4:BH4,H$152)+COUNTIF('5月'!BL4:BM4,H$152)+COUNTIF('5月'!BQ4:BR4,H$152)+COUNTIF('5月'!BV4:BW4,H$152)+COUNTIF('5月'!CA4:CB4,H$152)+COUNTIF('5月'!CF4:CG4,H$152)+COUNTIF('5月'!CK4:CL4,H$152)+COUNTIF('5月'!CP4:CQ4,H$152)+COUNTIF('5月'!CU4:CV4,H$152)+COUNTIF('5月'!CZ4:DA4,H$152)+COUNTIF('5月'!DE4:DF4,H$152)+COUNTIF('5月'!DJ4:DK4,H$152)+COUNTIF('5月'!DO4:DP4,H$152)+COUNTIF('5月'!DT4:DU4,H$152)+COUNTIF('5月'!DY4:DZ4,H$152)+COUNTIF('5月'!ED4:EE4,H$152)+COUNTIF('5月'!EI4:EJ4,H$152)+COUNTIF('5月'!EN4:EO4,H$152)+COUNTIF('5月'!ES4:ET4,H$152)+COUNTIF('5月'!D4:E4,"渋谷-夜勤")+COUNTIF('5月'!I4:J4,"渋谷-夜勤")+COUNTIF('5月'!N4:O4,"渋谷-夜勤")+COUNTIF('5月'!S4:T4,"渋谷-夜勤")+COUNTIF('5月'!X4:Y4,"渋谷-夜勤")+COUNTIF('5月'!AC4:AD4,"渋谷-夜勤")+COUNTIF('5月'!AH4:AI4,"渋谷-夜勤")+COUNTIF('5月'!AM4:AN4,"渋谷-夜勤")+COUNTIF('5月'!AR4:AS4,"渋谷-夜勤")+COUNTIF('5月'!AW4:AX4,"渋谷-夜勤")+COUNTIF('5月'!BB4:BC4,"渋谷-夜勤")+COUNTIF('5月'!BG4:BH4,"渋谷-夜勤")+COUNTIF('5月'!BL4:BM4,"渋谷-夜勤")+COUNTIF('5月'!BQ4:BR4,"渋谷-夜勤")+COUNTIF('5月'!BV4:BW4,"渋谷-夜勤")+COUNTIF('5月'!CA4:CB4,"渋谷-夜勤")+COUNTIF('5月'!CF4:CG4,"渋谷-夜勤")+COUNTIF('5月'!CK4:CL4,"渋谷-夜勤")+COUNTIF('5月'!CP4:CQ4,"渋谷-夜勤")+COUNTIF('5月'!CU4:CV4,"渋谷-夜勤")+COUNTIF('5月'!CZ4:DA4,"渋谷-夜勤")+COUNTIF('5月'!DE4:DF4,"渋谷-夜勤")+COUNTIF('5月'!DJ4:DK4,"渋谷-夜勤")+COUNTIF('5月'!DO4:DP4,"渋谷-夜勤")+COUNTIF('5月'!DT4:DU4,"渋谷-夜勤")+COUNTIF('5月'!DY4:DZ4,"渋谷-夜勤")+COUNTIF('5月'!ED4:EE4,"渋谷-夜勤")+COUNTIF('5月'!EI4:EJ4,"渋谷-夜勤")+COUNTIF('5月'!EN4:EO4,"渋谷-夜勤")+COUNTIF('5月'!ES4:ET4,"渋谷-夜勤")</f>
        <v>0</v>
      </c>
      <c r="I154" s="76">
        <f>IF(H154=0,0,H154)</f>
        <v>0</v>
      </c>
      <c r="J154" s="76">
        <f>COUNTIF('5月'!D4:E4,J$152)+COUNTIF('5月'!I4:J4,J$152)+COUNTIF('5月'!N4:O4,J$152)+COUNTIF('5月'!S4:T4,J$152)+COUNTIF('5月'!X4:Y4,J$152)+COUNTIF('5月'!AC4:AD4,J$152)+COUNTIF('5月'!AH4:AI4,J$152)+COUNTIF('5月'!AM4:AN4,J$152)+COUNTIF('5月'!AR4:AS4,J$152)+COUNTIF('5月'!AW4:AX4,J$152)+COUNTIF('5月'!BB4:BC4,J$152)+COUNTIF('5月'!BG4:BH4,J$152)+COUNTIF('5月'!BL4:BM4,J$152)+COUNTIF('5月'!BQ4:BR4,J$152)+COUNTIF('5月'!BV4:BW4,J$152)+COUNTIF('5月'!CA4:CB4,J$152)+COUNTIF('5月'!CF4:CG4,J$152)+COUNTIF('5月'!CK4:CL4,J$152)+COUNTIF('5月'!CP4:CQ4,J$152)+COUNTIF('5月'!CU4:CV4,J$152)+COUNTIF('5月'!CZ4:DA4,J$152)+COUNTIF('5月'!DE4:DF4,J$152)+COUNTIF('5月'!DJ4:DK4,J$152)+COUNTIF('5月'!DO4:DP4,J$152)+COUNTIF('5月'!DT4:DU4,J$152)+COUNTIF('5月'!DY4:DZ4,J$152)+COUNTIF('5月'!ED4:EE4,J$152)+COUNTIF('5月'!EI4:EJ4,J$152)+COUNTIF('5月'!EN4:EO4,J$152)+COUNTIF('5月'!ES4:ET4,J$152)+COUNTIF('5月'!D4:E4,"六本木-夜勤")+COUNTIF('5月'!I4:J4,"六本木-夜勤")+COUNTIF('5月'!N4:O4,"六本木-夜勤")+COUNTIF('5月'!S4:T4,"六本木-夜勤")+COUNTIF('5月'!X4:Y4,"六本木-夜勤")+COUNTIF('5月'!AC4:AD4,"六本木-夜勤")+COUNTIF('5月'!AH4:AI4,"六本木-夜勤")+COUNTIF('5月'!AM4:AN4,"六本木-夜勤")+COUNTIF('5月'!AR4:AS4,"六本木-夜勤")+COUNTIF('5月'!AW4:AX4,"六本木-夜勤")+COUNTIF('5月'!BB4:BC4,"六本木-夜勤")+COUNTIF('5月'!BG4:BH4,"六本木-夜勤")+COUNTIF('5月'!BL4:BM4,"六本木-夜勤")+COUNTIF('5月'!BQ4:BR4,"六本木-夜勤")+COUNTIF('5月'!BV4:BW4,"六本木-夜勤")+COUNTIF('5月'!CA4:CB4,"六本木-夜勤")+COUNTIF('5月'!CF4:CG4,"六本木-夜勤")+COUNTIF('5月'!CK4:CL4,"六本木-夜勤")+COUNTIF('5月'!CP4:CQ4,"六本木-夜勤")+COUNTIF('5月'!CU4:CV4,"六本木-夜勤")+COUNTIF('5月'!CZ4:DA4,"六本木-夜勤")+COUNTIF('5月'!DE4:DF4,"六本木-夜勤")+COUNTIF('5月'!DJ4:DK4,"六本木-夜勤")+COUNTIF('5月'!DO4:DP4,"六本木-夜勤")+COUNTIF('5月'!DT4:DU4,"六本木-夜勤")+COUNTIF('5月'!DY4:DZ4,"六本木-夜勤")+COUNTIF('5月'!ED4:EE4,"六本木-夜勤")+COUNTIF('5月'!EI4:EJ4,"六本木-夜勤")+COUNTIF('5月'!EN4:EO4,"六本木-夜勤")+COUNTIF('5月'!ES4:ET4,"六本木-夜勤")+COUNTIF('5月'!D4:E4,"六本木ー夜勤")+COUNTIF('5月'!I4:J4,"六本木ー夜勤")+COUNTIF('5月'!N4:O4,"六本木ー夜勤")+COUNTIF('5月'!S4:T4,"六本木ー夜勤")+COUNTIF('5月'!X4:Y4,"六本木ー夜勤")+COUNTIF('5月'!AC4:AD4,"六本木ー夜勤")+COUNTIF('5月'!AH4:AI4,"六本木ー夜勤")+COUNTIF('5月'!AM4:AN4,"六本木ー夜勤")+COUNTIF('5月'!AR4:AS4,"六本木ー夜勤")+COUNTIF('5月'!AW4:AX4,"六本木ー夜勤")+COUNTIF('5月'!BB4:BC4,"六本木ー夜勤")+COUNTIF('5月'!BG4:BH4,"六本木ー夜勤")+COUNTIF('5月'!BL4:BM4,"六本木ー夜勤")+COUNTIF('5月'!BQ4:BR4,"六本木ー夜勤")+COUNTIF('5月'!BV4:BW4,"六本木ー夜勤")+COUNTIF('5月'!CA4:CB4,"六本木ー夜勤")+COUNTIF('5月'!CF4:CG4,"六本木ー夜勤")+COUNTIF('5月'!CK4:CL4,"六本木ー夜勤")+COUNTIF('5月'!CP4:CQ4,"六本木ー夜勤")+COUNTIF('5月'!CU4:CV4,"六本木ー夜勤")+COUNTIF('5月'!CZ4:DA4,"六本木ー夜勤")+COUNTIF('5月'!DE4:DF4,"六本木ー夜勤")+COUNTIF('5月'!DJ4:DK4,"六本木ー夜勤")+COUNTIF('5月'!DO4:DP4,"六本木ー夜勤")+COUNTIF('5月'!DT4:DU4,"六本木ー夜勤")+COUNTIF('5月'!DY4:DZ4,"六本木ー夜勤")+COUNTIF('5月'!ED4:EE4,"六本木ー夜勤")+COUNTIF('5月'!EI4:EJ4,"六本木ー夜勤")+COUNTIF('5月'!EN4:EO4,"六本木ー夜勤")+COUNTIF('5月'!ES4:ET4,"六本木ー夜勤")</f>
        <v>0</v>
      </c>
      <c r="K154" s="76">
        <f>IF(J154=0,0,J154)</f>
        <v>0</v>
      </c>
      <c r="L154" s="76">
        <f>COUNTIF('5月'!D4:E4,L$152)+COUNTIF('5月'!I4:J4,L$152)+COUNTIF('5月'!N4:O4,L$152)+COUNTIF('5月'!S4:T4,L$152)+COUNTIF('5月'!X4:Y4,L$152)+COUNTIF('5月'!AC4:AD4,L$152)+COUNTIF('5月'!AH4:AI4,L$152)+COUNTIF('5月'!AM4:AN4,L$152)+COUNTIF('5月'!AR4:AS4,L$152)+COUNTIF('5月'!AW4:AX4,L$152)+COUNTIF('5月'!BB4:BC4,L$152)+COUNTIF('5月'!BG4:BH4,L$152)+COUNTIF('5月'!BL4:BM4,L$152)+COUNTIF('5月'!BQ4:BR4,L$152)+COUNTIF('5月'!BV4:BW4,L$152)+COUNTIF('5月'!CA4:CB4,L$152)+COUNTIF('5月'!CF4:CG4,L$152)+COUNTIF('5月'!CK4:CL4,L$152)+COUNTIF('5月'!CP4:CQ4,L$152)+COUNTIF('5月'!CU4:CV4,L$152)+COUNTIF('5月'!CZ4:DA4,L$152)+COUNTIF('5月'!DE4:DF4,L$152)+COUNTIF('5月'!DJ4:DK4,L$152)+COUNTIF('5月'!DO4:DP4,L$152)+COUNTIF('5月'!DT4:DU4,L$152)+COUNTIF('5月'!DY4:DZ4,L$152)+COUNTIF('5月'!ED4:EE4,L$152)+COUNTIF('5月'!EI4:EJ4,L$152)+COUNTIF('5月'!EN4:EO4,L$152)+COUNTIF('5月'!ES4:ET4,L$152)</f>
        <v>0</v>
      </c>
      <c r="M154" s="76">
        <f>IF(L154=0,0,L154)</f>
        <v>0</v>
      </c>
      <c r="N154" s="76">
        <f>COUNTIF('5月'!D4:E4,N$152)+COUNTIF('5月'!I4:J4,N$152)+COUNTIF('5月'!N4:O4,N$152)+COUNTIF('5月'!S4:T4,N$152)+COUNTIF('5月'!X4:Y4,N$152)+COUNTIF('5月'!AC4:AD4,N$152)+COUNTIF('5月'!AH4:AI4,N$152)+COUNTIF('5月'!AM4:AN4,N$152)+COUNTIF('5月'!AR4:AS4,N$152)+COUNTIF('5月'!AW4:AX4,N$152)+COUNTIF('5月'!BB4:BC4,N$152)+COUNTIF('5月'!BG4:BH4,N$152)+COUNTIF('5月'!BL4:BM4,N$152)+COUNTIF('5月'!BQ4:BR4,N$152)+COUNTIF('5月'!BV4:BW4,N$152)+COUNTIF('5月'!CA4:CB4,N$152)+COUNTIF('5月'!CF4:CG4,N$152)+COUNTIF('5月'!CK4:CL4,N$152)+COUNTIF('5月'!CP4:CQ4,N$152)+COUNTIF('5月'!CU4:CV4,N$152)+COUNTIF('5月'!CZ4:DA4,N$152)+COUNTIF('5月'!DE4:DF4,N$152)+COUNTIF('5月'!DJ4:DK4,N$152)+COUNTIF('5月'!DO4:DP4,N$152)+COUNTIF('5月'!DT4:DU4,N$152)+COUNTIF('5月'!DY4:DZ4,N$152)+COUNTIF('5月'!ED4:EE4,N$152)+COUNTIF('5月'!EI4:EJ4,N$152)+COUNTIF('5月'!EN4:EO4,N$152)+COUNTIF('5月'!ES4:ET4,N$152)+COUNTIF('5月'!D4:E4,"三軒茶屋－夜勤")+COUNTIF('5月'!I4:J4,"三軒茶屋－夜勤")+COUNTIF('5月'!N4:O4,"三軒茶屋－夜勤")+COUNTIF('5月'!S4:T4,"三軒茶屋－夜勤")+COUNTIF('5月'!X4:Y4,"三軒茶屋－夜勤")+COUNTIF('5月'!AC4:AD4,"三軒茶屋－夜勤")+COUNTIF('5月'!AH4:AI4,"三軒茶屋－夜勤")+COUNTIF('5月'!AM4:AN4,"三軒茶屋－夜勤")+COUNTIF('5月'!AR4:AS4,"三軒茶屋－夜勤")+COUNTIF('5月'!AW4:AX4,"三軒茶屋－夜勤")+COUNTIF('5月'!BB4:BC4,"三軒茶屋－夜勤")+COUNTIF('5月'!BG4:BH4,"三軒茶屋－夜勤")+COUNTIF('5月'!BL4:BM4,"三軒茶屋－夜勤")+COUNTIF('5月'!BQ4:BR4,"三軒茶屋－夜勤")+COUNTIF('5月'!BV4:BW4,"三軒茶屋－夜勤")+COUNTIF('5月'!CA4:CB4,"三軒茶屋－夜勤")+COUNTIF('5月'!CF4:CG4,"三軒茶屋－夜勤")+COUNTIF('5月'!CK4:CL4,"三軒茶屋－夜勤")+COUNTIF('5月'!CP4:CQ4,"三軒茶屋－夜勤")+COUNTIF('5月'!CU4:CV4,"三軒茶屋－夜勤")+COUNTIF('5月'!CZ4:DA4,"三軒茶屋－夜勤")+COUNTIF('5月'!DE4:DF4,"三軒茶屋－夜勤")+COUNTIF('5月'!DJ4:DK4,"三軒茶屋－夜勤")+COUNTIF('5月'!DO4:DP4,"三軒茶屋－夜勤")+COUNTIF('5月'!DT4:DU4,"三軒茶屋－夜勤")+COUNTIF('5月'!DY4:DZ4,"三軒茶屋－夜勤")+COUNTIF('5月'!ED4:EE4,"三軒茶屋－夜勤")+COUNTIF('5月'!EI4:EJ4,"三軒茶屋－夜勤")+COUNTIF('5月'!EN4:EO4,"三軒茶屋－夜勤")+COUNTIF('5月'!ES4:ET4,"三軒茶屋－夜勤")</f>
        <v>0</v>
      </c>
      <c r="O154" s="76">
        <f>IF(N154=0,0,N154)</f>
        <v>0</v>
      </c>
      <c r="P154" s="76">
        <f>COUNTIF('5月'!D4:E4,P$152)+COUNTIF('5月'!I4:J4,P$152)+COUNTIF('5月'!N4:O4,P$152)+COUNTIF('5月'!S4:T4,P$152)+COUNTIF('5月'!X4:Y4,P$152)+COUNTIF('5月'!AC4:AD4,P$152)+COUNTIF('5月'!AH4:AI4,P$152)+COUNTIF('5月'!AM4:AN4,P$152)+COUNTIF('5月'!AR4:AS4,P$152)+COUNTIF('5月'!AW4:AX4,P$152)+COUNTIF('5月'!BB4:BC4,P$152)+COUNTIF('5月'!BG4:BH4,P$152)+COUNTIF('5月'!BL4:BM4,P$152)+COUNTIF('5月'!BQ4:BR4,P$152)+COUNTIF('5月'!BV4:BW4,P$152)+COUNTIF('5月'!CA4:CB4,P$152)+COUNTIF('5月'!CF4:CG4,P$152)+COUNTIF('5月'!CK4:CL4,P$152)+COUNTIF('5月'!CP4:CQ4,P$152)+COUNTIF('5月'!CU4:CV4,P$152)+COUNTIF('5月'!CZ4:DA4,P$152)+COUNTIF('5月'!DE4:DF4,P$152)+COUNTIF('5月'!DJ4:DK4,P$152)+COUNTIF('5月'!DO4:DP4,P$152)+COUNTIF('5月'!DT4:DU4,P$152)+COUNTIF('5月'!DY4:DZ4,P$152)+COUNTIF('5月'!ED4:EE4,P$152)+COUNTIF('5月'!EI4:EJ4,P$152)+COUNTIF('5月'!EN4:EO4,P$152)+COUNTIF('5月'!ES4:ET4,P$152)+COUNTIF('5月'!D4:E4,"荻窪ー夜勤")+COUNTIF('5月'!I4:J4,"荻窪ー夜勤")+COUNTIF('5月'!N4:O4,"荻窪ー夜勤")+COUNTIF('5月'!S4:T4,"荻窪ー夜勤")+COUNTIF('5月'!X4:Y4,"荻窪ー夜勤")+COUNTIF('5月'!AC4:AD4,"荻窪ー夜勤")+COUNTIF('5月'!AH4:AI4,"荻窪ー夜勤")+COUNTIF('5月'!AM4:AN4,"荻窪ー夜勤")+COUNTIF('5月'!AR4:AS4,"荻窪ー夜勤")+COUNTIF('5月'!AW4:AX4,"荻窪ー夜勤")+COUNTIF('5月'!BB4:BC4,"荻窪ー夜勤")+COUNTIF('5月'!BG4:BH4,"荻窪ー夜勤")+COUNTIF('5月'!BL4:BM4,"荻窪ー夜勤")+COUNTIF('5月'!BQ4:BR4,"荻窪ー夜勤")+COUNTIF('5月'!BV4:BW4,"荻窪ー夜勤")+COUNTIF('5月'!CA4:CB4,"荻窪ー夜勤")+COUNTIF('5月'!CF4:CG4,"荻窪ー夜勤")+COUNTIF('5月'!CK4:CL4,"荻窪ー夜勤")+COUNTIF('5月'!CP4:CQ4,"荻窪ー夜勤")+COUNTIF('5月'!CU4:CV4,"荻窪ー夜勤")+COUNTIF('5月'!CZ4:DA4,"荻窪ー夜勤")+COUNTIF('5月'!DE4:DF4,"荻窪ー夜勤")+COUNTIF('5月'!DJ4:DK4,"荻窪ー夜勤")+COUNTIF('5月'!DO4:DP4,"荻窪ー夜勤")+COUNTIF('5月'!DT4:DU4,"荻窪ー夜勤")+COUNTIF('5月'!DY4:DZ4,"荻窪ー夜勤")+COUNTIF('5月'!ED4:EE4,"荻窪ー夜勤")+COUNTIF('5月'!EI4:EJ4,"荻窪ー夜勤")+COUNTIF('5月'!EN4:EO4,"荻窪ー夜勤")+COUNTIF('5月'!ES4:ET4,"荻窪ー夜勤")</f>
        <v>0</v>
      </c>
      <c r="Q154" s="76">
        <f>IF(P154=0,0,P154)</f>
        <v>0</v>
      </c>
      <c r="R154" s="76">
        <f>COUNTIF('5月'!D4:E4,R$152)+COUNTIF('5月'!I4:J4,R$152)+COUNTIF('5月'!N4:O4,R$152)+COUNTIF('5月'!S4:T4,R$152)+COUNTIF('5月'!X4:Y4,R$152)+COUNTIF('5月'!AC4:AD4,R$152)+COUNTIF('5月'!AH4:AI4,R$152)+COUNTIF('5月'!AM4:AN4,R$152)+COUNTIF('5月'!AR4:AS4,R$152)+COUNTIF('5月'!AW4:AX4,R$152)+COUNTIF('5月'!BB4:BC4,R$152)+COUNTIF('5月'!BG4:BH4,R$152)+COUNTIF('5月'!BL4:BM4,R$152)+COUNTIF('5月'!BQ4:BR4,R$152)+COUNTIF('5月'!BV4:BW4,R$152)+COUNTIF('5月'!CA4:CB4,R$152)+COUNTIF('5月'!CF4:CG4,R$152)+COUNTIF('5月'!CK4:CL4,R$152)+COUNTIF('5月'!CP4:CQ4,R$152)+COUNTIF('5月'!CU4:CV4,R$152)+COUNTIF('5月'!CZ4:DA4,R$152)+COUNTIF('5月'!DE4:DF4,R$152)+COUNTIF('5月'!DJ4:DK4,R$152)+COUNTIF('5月'!DO4:DP4,R$152)+COUNTIF('5月'!DT4:DU4,R$152)+COUNTIF('5月'!DY4:DZ4,R$152)+COUNTIF('5月'!ED4:EE4,R$152)+COUNTIF('5月'!EI4:EJ4,R$152)+COUNTIF('5月'!EN4:EO4,R$152)+COUNTIF('5月'!ES4:ET4,R$152)</f>
        <v>0</v>
      </c>
      <c r="S154" s="76">
        <f>IF(R154=0,0,R154)</f>
        <v>0</v>
      </c>
      <c r="T154" s="76">
        <f>COUNTIF('5月'!D4:E4,T$152)+COUNTIF('5月'!I4:J4,T$152)+COUNTIF('5月'!N4:O4,T$152)+COUNTIF('5月'!S4:T4,T$152)+COUNTIF('5月'!X4:Y4,T$152)+COUNTIF('5月'!AC4:AD4,T$152)+COUNTIF('5月'!AH4:AI4,T$152)+COUNTIF('5月'!AM4:AN4,T$152)+COUNTIF('5月'!AR4:AS4,T$152)+COUNTIF('5月'!AW4:AX4,T$152)+COUNTIF('5月'!BB4:BC4,T$152)+COUNTIF('5月'!BG4:BH4,T$152)+COUNTIF('5月'!BL4:BM4,T$152)+COUNTIF('5月'!BQ4:BR4,T$152)+COUNTIF('5月'!BV4:BW4,T$152)+COUNTIF('5月'!CA4:CB4,T$152)+COUNTIF('5月'!CF4:CG4,T$152)+COUNTIF('5月'!CK4:CL4,T$152)+COUNTIF('5月'!CP4:CQ4,T$152)+COUNTIF('5月'!CU4:CV4,T$152)+COUNTIF('5月'!CZ4:DA4,T$152)+COUNTIF('5月'!DE4:DF4,T$152)+COUNTIF('5月'!DJ4:DK4,T$152)+COUNTIF('5月'!DO4:DP4,T$152)+COUNTIF('5月'!DT4:DU4,T$152)+COUNTIF('5月'!DY4:DZ4,T$152)+COUNTIF('5月'!ED4:EE4,T$152)+COUNTIF('5月'!EI4:EJ4,T$152)+COUNTIF('5月'!EN4:EO4,T$152)+COUNTIF('5月'!ES4:ET4,T$152)</f>
        <v>0</v>
      </c>
      <c r="U154" s="76">
        <f>IF(T154=0,0,T154)</f>
        <v>0</v>
      </c>
      <c r="V154" s="76">
        <f>COUNTIF('5月'!D4:E4,V$152)+COUNTIF('5月'!I4:J4,V$152)+COUNTIF('5月'!N4:O4,V$152)+COUNTIF('5月'!S4:T4,V$152)+COUNTIF('5月'!X4:Y4,V$152)+COUNTIF('5月'!AC4:AD4,V$152)+COUNTIF('5月'!AH4:AI4,V$152)+COUNTIF('5月'!AM4:AN4,V$152)+COUNTIF('5月'!AR4:AS4,V$152)+COUNTIF('5月'!AW4:AX4,V$152)+COUNTIF('5月'!BB4:BC4,V$152)+COUNTIF('5月'!BG4:BH4,V$152)+COUNTIF('5月'!BL4:BM4,V$152)+COUNTIF('5月'!BQ4:BR4,V$152)+COUNTIF('5月'!BV4:BW4,V$152)+COUNTIF('5月'!CA4:CB4,V$152)+COUNTIF('5月'!CF4:CG4,V$152)+COUNTIF('5月'!CK4:CL4,V$152)+COUNTIF('5月'!CP4:CQ4,V$152)+COUNTIF('5月'!CU4:CV4,V$152)+COUNTIF('5月'!CZ4:DA4,V$152)+COUNTIF('5月'!DE4:DF4,V$152)+COUNTIF('5月'!DJ4:DK4,V$152)+COUNTIF('5月'!DO4:DP4,V$152)+COUNTIF('5月'!DT4:DU4,V$152)+COUNTIF('5月'!DY4:DZ4,V$152)+COUNTIF('5月'!ED4:EE4,V$152)+COUNTIF('5月'!EI4:EJ4,V$152)+COUNTIF('5月'!EN4:EO4,V$152)+COUNTIF('5月'!ES4:ET4,V$152)</f>
        <v>0</v>
      </c>
      <c r="W154" s="76">
        <f>IF(V154=0,0,V154)</f>
        <v>0</v>
      </c>
      <c r="X154" s="76">
        <f>COUNTIF('5月'!D4:E4,X$152)+COUNTIF('5月'!I4:J4,X$152)+COUNTIF('5月'!N4:O4,X$152)+COUNTIF('5月'!S4:T4,X$152)+COUNTIF('5月'!X4:Y4,X$152)+COUNTIF('5月'!AC4:AD4,X$152)+COUNTIF('5月'!AH4:AI4,X$152)+COUNTIF('5月'!AM4:AN4,X$152)+COUNTIF('5月'!AR4:AS4,X$152)+COUNTIF('5月'!AW4:AX4,X$152)+COUNTIF('5月'!BB4:BC4,X$152)+COUNTIF('5月'!BG4:BH4,X$152)+COUNTIF('5月'!BL4:BM4,X$152)+COUNTIF('5月'!BQ4:BR4,X$152)+COUNTIF('5月'!BV4:BW4,X$152)+COUNTIF('5月'!CA4:CB4,X$152)+COUNTIF('5月'!CF4:CG4,X$152)+COUNTIF('5月'!CK4:CL4,X$152)+COUNTIF('5月'!CP4:CQ4,X$152)+COUNTIF('5月'!CU4:CV4,X$152)+COUNTIF('5月'!CZ4:DA4,X$152)+COUNTIF('5月'!DE4:DF4,X$152)+COUNTIF('5月'!DJ4:DK4,X$152)+COUNTIF('5月'!DO4:DP4,X$152)+COUNTIF('5月'!DT4:DU4,X$152)+COUNTIF('5月'!DY4:DZ4,X$152)+COUNTIF('5月'!ED4:EE4,X$152)+COUNTIF('5月'!EI4:EJ4,X$152)+COUNTIF('5月'!EN4:EO4,X$152)+COUNTIF('5月'!ES4:ET4,X$152)</f>
        <v>0</v>
      </c>
      <c r="Y154" s="76">
        <f>IF(X154=0,0,X154)</f>
        <v>0</v>
      </c>
    </row>
    <row r="155" spans="1:25" ht="18" customHeight="1">
      <c r="A155" s="76">
        <v>2</v>
      </c>
      <c r="B155" s="76">
        <f>COUNTIF('5月'!D5:E5,B$152)+COUNTIF('5月'!I5:J5,B$152)+COUNTIF('5月'!N5:O5,B$152)+COUNTIF('5月'!S5:T5,B$152)+COUNTIF('5月'!X5:Y5,B$152)+COUNTIF('5月'!AC5:AD5,B$152)+COUNTIF('5月'!AH5:AI5,B$152)+COUNTIF('5月'!AM5:AN5,B$152)+COUNTIF('5月'!AR5:AS5,B$152)+COUNTIF('5月'!AW5:AX5,B$152)+COUNTIF('5月'!BB5:BC5,B$152)+COUNTIF('5月'!BG5:BH5,B$152)+COUNTIF('5月'!BL5:BM5,B$152)+COUNTIF('5月'!BQ5:BR5,B$152)+COUNTIF('5月'!BV5:BW5,B$152)+COUNTIF('5月'!CA5:CB5,B$152)+COUNTIF('5月'!CF5:CG5,B$152)+COUNTIF('5月'!CK5:CL5,B$152)+COUNTIF('5月'!CP5:CQ5,B$152)+COUNTIF('5月'!CU5:CV5,B$152)+COUNTIF('5月'!CZ5:DA5,B$152)+COUNTIF('5月'!DE5:DF5,B$152)+COUNTIF('5月'!DJ5:DK5,B$152)+COUNTIF('5月'!DO5:DP5,B$152)+COUNTIF('5月'!DT5:DU5,B$152)+COUNTIF('5月'!DY5:DZ5,B$152)+COUNTIF('5月'!ED5:EE5,B$152)+COUNTIF('5月'!EI5:EJ5,B$152)+COUNTIF('5月'!EN5:EO5,B$152)+COUNTIF('5月'!ES5:ET5,B$152)</f>
        <v>0</v>
      </c>
      <c r="C155" s="76">
        <f t="shared" ref="C155:C184" si="48">IF(B155=0,C154,C154+B155)</f>
        <v>0</v>
      </c>
      <c r="D155" s="76">
        <f>COUNTIF('5月'!D5:E5,D$152)+COUNTIF('5月'!I5:J5,D$152)+COUNTIF('5月'!N5:O5,D$152)+COUNTIF('5月'!S5:T5,D$152)+COUNTIF('5月'!X5:Y5,D$152)+COUNTIF('5月'!AC5:AD5,D$152)+COUNTIF('5月'!AH5:AI5,D$152)+COUNTIF('5月'!AM5:AN5,D$152)+COUNTIF('5月'!AR5:AS5,D$152)+COUNTIF('5月'!AW5:AX5,D$152)+COUNTIF('5月'!BB5:BC5,D$152)+COUNTIF('5月'!BG5:BH5,D$152)+COUNTIF('5月'!BL5:BM5,D$152)+COUNTIF('5月'!BQ5:BR5,D$152)+COUNTIF('5月'!BV5:BW5,D$152)+COUNTIF('5月'!CA5:CB5,D$152)+COUNTIF('5月'!CF5:CG5,D$152)+COUNTIF('5月'!CK5:CL5,D$152)+COUNTIF('5月'!CP5:CQ5,D$152)+COUNTIF('5月'!CU5:CV5,D$152)+COUNTIF('5月'!CZ5:DA5,D$152)+COUNTIF('5月'!DE5:DF5,D$152)+COUNTIF('5月'!DJ5:DK5,D$152)+COUNTIF('5月'!DO5:DP5,D$152)+COUNTIF('5月'!DT5:DU5,D$152)+COUNTIF('5月'!DY5:DZ5,D$152)+COUNTIF('5月'!ED5:EE5,D$152)+COUNTIF('5月'!EI5:EJ5,D$152)+COUNTIF('5月'!EN5:EO5,D$152)+COUNTIF('5月'!ES5:ET5,D$152)</f>
        <v>0</v>
      </c>
      <c r="E155" s="76">
        <f t="shared" ref="E155:E184" si="49">IF(D155=0,E154,E154+D155)</f>
        <v>0</v>
      </c>
      <c r="F155" s="76">
        <f>COUNTIF('5月'!D5:E5,F$152)+COUNTIF('5月'!I5:J5,F$152)+COUNTIF('5月'!N5:O5,F$152)+COUNTIF('5月'!S5:T5,F$152)+COUNTIF('5月'!X5:Y5,F$152)+COUNTIF('5月'!AC5:AD5,F$152)+COUNTIF('5月'!AH5:AI5,F$152)+COUNTIF('5月'!AM5:AN5,F$152)+COUNTIF('5月'!AR5:AS5,F$152)+COUNTIF('5月'!AW5:AX5,F$152)+COUNTIF('5月'!BB5:BC5,F$152)+COUNTIF('5月'!BG5:BH5,F$152)+COUNTIF('5月'!BL5:BM5,F$152)+COUNTIF('5月'!BQ5:BR5,F$152)+COUNTIF('5月'!BV5:BW5,F$152)+COUNTIF('5月'!CA5:CB5,F$152)+COUNTIF('5月'!CF5:CG5,F$152)+COUNTIF('5月'!CK5:CL5,F$152)+COUNTIF('5月'!CP5:CQ5,F$152)+COUNTIF('5月'!CU5:CV5,F$152)+COUNTIF('5月'!CZ5:DA5,F$152)+COUNTIF('5月'!DE5:DF5,F$152)+COUNTIF('5月'!DJ5:DK5,F$152)+COUNTIF('5月'!DO5:DP5,F$152)+COUNTIF('5月'!DT5:DU5,F$152)+COUNTIF('5月'!DY5:DZ5,F$152)+COUNTIF('5月'!ED5:EE5,F$152)+COUNTIF('5月'!EI5:EJ5,F$152)+COUNTIF('5月'!EN5:EO5,F$152)+COUNTIF('5月'!ES5:ET5,F$152)</f>
        <v>0</v>
      </c>
      <c r="G155" s="76">
        <f t="shared" ref="G155:G184" si="50">IF(F155=0,G154,G154+F155)</f>
        <v>0</v>
      </c>
      <c r="H155" s="76">
        <f>COUNTIF('5月'!D5:E5,H$152)+COUNTIF('5月'!I5:J5,H$152)+COUNTIF('5月'!N5:O5,H$152)+COUNTIF('5月'!S5:T5,H$152)+COUNTIF('5月'!X5:Y5,H$152)+COUNTIF('5月'!AC5:AD5,H$152)+COUNTIF('5月'!AH5:AI5,H$152)+COUNTIF('5月'!AM5:AN5,H$152)+COUNTIF('5月'!AR5:AS5,H$152)+COUNTIF('5月'!AW5:AX5,H$152)+COUNTIF('5月'!BB5:BC5,H$152)+COUNTIF('5月'!BG5:BH5,H$152)+COUNTIF('5月'!BL5:BM5,H$152)+COUNTIF('5月'!BQ5:BR5,H$152)+COUNTIF('5月'!BV5:BW5,H$152)+COUNTIF('5月'!CA5:CB5,H$152)+COUNTIF('5月'!CF5:CG5,H$152)+COUNTIF('5月'!CK5:CL5,H$152)+COUNTIF('5月'!CP5:CQ5,H$152)+COUNTIF('5月'!CU5:CV5,H$152)+COUNTIF('5月'!CZ5:DA5,H$152)+COUNTIF('5月'!DE5:DF5,H$152)+COUNTIF('5月'!DJ5:DK5,H$152)+COUNTIF('5月'!DO5:DP5,H$152)+COUNTIF('5月'!DT5:DU5,H$152)+COUNTIF('5月'!DY5:DZ5,H$152)+COUNTIF('5月'!ED5:EE5,H$152)+COUNTIF('5月'!EI5:EJ5,H$152)+COUNTIF('5月'!EN5:EO5,H$152)+COUNTIF('5月'!ES5:ET5,H$152)+COUNTIF('5月'!D5:E5,"渋谷-夜勤")+COUNTIF('5月'!I5:J5,"渋谷-夜勤")+COUNTIF('5月'!N5:O5,"渋谷-夜勤")+COUNTIF('5月'!S5:T5,"渋谷-夜勤")+COUNTIF('5月'!X5:Y5,"渋谷-夜勤")+COUNTIF('5月'!AC5:AD5,"渋谷-夜勤")+COUNTIF('5月'!AH5:AI5,"渋谷-夜勤")+COUNTIF('5月'!AM5:AN5,"渋谷-夜勤")+COUNTIF('5月'!AR5:AS5,"渋谷-夜勤")+COUNTIF('5月'!AW5:AX5,"渋谷-夜勤")+COUNTIF('5月'!BB5:BC5,"渋谷-夜勤")+COUNTIF('5月'!BG5:BH5,"渋谷-夜勤")+COUNTIF('5月'!BL5:BM5,"渋谷-夜勤")+COUNTIF('5月'!BQ5:BR5,"渋谷-夜勤")+COUNTIF('5月'!BV5:BW5,"渋谷-夜勤")+COUNTIF('5月'!CA5:CB5,"渋谷-夜勤")+COUNTIF('5月'!CF5:CG5,"渋谷-夜勤")+COUNTIF('5月'!CK5:CL5,"渋谷-夜勤")+COUNTIF('5月'!CP5:CQ5,"渋谷-夜勤")+COUNTIF('5月'!CU5:CV5,"渋谷-夜勤")+COUNTIF('5月'!CZ5:DA5,"渋谷-夜勤")+COUNTIF('5月'!DE5:DF5,"渋谷-夜勤")+COUNTIF('5月'!DJ5:DK5,"渋谷-夜勤")+COUNTIF('5月'!DO5:DP5,"渋谷-夜勤")+COUNTIF('5月'!DT5:DU5,"渋谷-夜勤")+COUNTIF('5月'!DY5:DZ5,"渋谷-夜勤")+COUNTIF('5月'!ED5:EE5,"渋谷-夜勤")+COUNTIF('5月'!EI5:EJ5,"渋谷-夜勤")+COUNTIF('5月'!EN5:EO5,"渋谷-夜勤")+COUNTIF('5月'!ES5:ET5,"渋谷-夜勤")</f>
        <v>0</v>
      </c>
      <c r="I155" s="76">
        <f t="shared" ref="I155:I184" si="51">IF(H155=0,I154,I154+H155)</f>
        <v>0</v>
      </c>
      <c r="J155" s="76">
        <f>COUNTIF('5月'!D5:E5,J$152)+COUNTIF('5月'!I5:J5,J$152)+COUNTIF('5月'!N5:O5,J$152)+COUNTIF('5月'!S5:T5,J$152)+COUNTIF('5月'!X5:Y5,J$152)+COUNTIF('5月'!AC5:AD5,J$152)+COUNTIF('5月'!AH5:AI5,J$152)+COUNTIF('5月'!AM5:AN5,J$152)+COUNTIF('5月'!AR5:AS5,J$152)+COUNTIF('5月'!AW5:AX5,J$152)+COUNTIF('5月'!BB5:BC5,J$152)+COUNTIF('5月'!BG5:BH5,J$152)+COUNTIF('5月'!BL5:BM5,J$152)+COUNTIF('5月'!BQ5:BR5,J$152)+COUNTIF('5月'!BV5:BW5,J$152)+COUNTIF('5月'!CA5:CB5,J$152)+COUNTIF('5月'!CF5:CG5,J$152)+COUNTIF('5月'!CK5:CL5,J$152)+COUNTIF('5月'!CP5:CQ5,J$152)+COUNTIF('5月'!CU5:CV5,J$152)+COUNTIF('5月'!CZ5:DA5,J$152)+COUNTIF('5月'!DE5:DF5,J$152)+COUNTIF('5月'!DJ5:DK5,J$152)+COUNTIF('5月'!DO5:DP5,J$152)+COUNTIF('5月'!DT5:DU5,J$152)+COUNTIF('5月'!DY5:DZ5,J$152)+COUNTIF('5月'!ED5:EE5,J$152)+COUNTIF('5月'!EI5:EJ5,J$152)+COUNTIF('5月'!EN5:EO5,J$152)+COUNTIF('5月'!ES5:ET5,J$152)+COUNTIF('5月'!D5:E5,"六本木-夜勤")+COUNTIF('5月'!I5:J5,"六本木-夜勤")+COUNTIF('5月'!N5:O5,"六本木-夜勤")+COUNTIF('5月'!S5:T5,"六本木-夜勤")+COUNTIF('5月'!X5:Y5,"六本木-夜勤")+COUNTIF('5月'!AC5:AD5,"六本木-夜勤")+COUNTIF('5月'!AH5:AI5,"六本木-夜勤")+COUNTIF('5月'!AM5:AN5,"六本木-夜勤")+COUNTIF('5月'!AR5:AS5,"六本木-夜勤")+COUNTIF('5月'!AW5:AX5,"六本木-夜勤")+COUNTIF('5月'!BB5:BC5,"六本木-夜勤")+COUNTIF('5月'!BG5:BH5,"六本木-夜勤")+COUNTIF('5月'!BL5:BM5,"六本木-夜勤")+COUNTIF('5月'!BQ5:BR5,"六本木-夜勤")+COUNTIF('5月'!BV5:BW5,"六本木-夜勤")+COUNTIF('5月'!CA5:CB5,"六本木-夜勤")+COUNTIF('5月'!CF5:CG5,"六本木-夜勤")+COUNTIF('5月'!CK5:CL5,"六本木-夜勤")+COUNTIF('5月'!CP5:CQ5,"六本木-夜勤")+COUNTIF('5月'!CU5:CV5,"六本木-夜勤")+COUNTIF('5月'!CZ5:DA5,"六本木-夜勤")+COUNTIF('5月'!DE5:DF5,"六本木-夜勤")+COUNTIF('5月'!DJ5:DK5,"六本木-夜勤")+COUNTIF('5月'!DO5:DP5,"六本木-夜勤")+COUNTIF('5月'!DT5:DU5,"六本木-夜勤")+COUNTIF('5月'!DY5:DZ5,"六本木-夜勤")+COUNTIF('5月'!ED5:EE5,"六本木-夜勤")+COUNTIF('5月'!EI5:EJ5,"六本木-夜勤")+COUNTIF('5月'!EN5:EO5,"六本木-夜勤")+COUNTIF('5月'!ES5:ET5,"六本木-夜勤")+COUNTIF('5月'!D5:E5,"六本木ー夜勤")+COUNTIF('5月'!I5:J5,"六本木ー夜勤")+COUNTIF('5月'!N5:O5,"六本木ー夜勤")+COUNTIF('5月'!S5:T5,"六本木ー夜勤")+COUNTIF('5月'!X5:Y5,"六本木ー夜勤")+COUNTIF('5月'!AC5:AD5,"六本木ー夜勤")+COUNTIF('5月'!AH5:AI5,"六本木ー夜勤")+COUNTIF('5月'!AM5:AN5,"六本木ー夜勤")+COUNTIF('5月'!AR5:AS5,"六本木ー夜勤")+COUNTIF('5月'!AW5:AX5,"六本木ー夜勤")+COUNTIF('5月'!BB5:BC5,"六本木ー夜勤")+COUNTIF('5月'!BG5:BH5,"六本木ー夜勤")+COUNTIF('5月'!BL5:BM5,"六本木ー夜勤")+COUNTIF('5月'!BQ5:BR5,"六本木ー夜勤")+COUNTIF('5月'!BV5:BW5,"六本木ー夜勤")+COUNTIF('5月'!CA5:CB5,"六本木ー夜勤")+COUNTIF('5月'!CF5:CG5,"六本木ー夜勤")+COUNTIF('5月'!CK5:CL5,"六本木ー夜勤")+COUNTIF('5月'!CP5:CQ5,"六本木ー夜勤")+COUNTIF('5月'!CU5:CV5,"六本木ー夜勤")+COUNTIF('5月'!CZ5:DA5,"六本木ー夜勤")+COUNTIF('5月'!DE5:DF5,"六本木ー夜勤")+COUNTIF('5月'!DJ5:DK5,"六本木ー夜勤")+COUNTIF('5月'!DO5:DP5,"六本木ー夜勤")+COUNTIF('5月'!DT5:DU5,"六本木ー夜勤")+COUNTIF('5月'!DY5:DZ5,"六本木ー夜勤")+COUNTIF('5月'!ED5:EE5,"六本木ー夜勤")+COUNTIF('5月'!EI5:EJ5,"六本木ー夜勤")+COUNTIF('5月'!EN5:EO5,"六本木ー夜勤")+COUNTIF('5月'!ES5:ET5,"六本木ー夜勤")</f>
        <v>0</v>
      </c>
      <c r="K155" s="76">
        <f t="shared" ref="K155:K184" si="52">IF(J155=0,K154,K154+J155)</f>
        <v>0</v>
      </c>
      <c r="L155" s="76">
        <f>COUNTIF('5月'!D5:E5,L$152)+COUNTIF('5月'!I5:J5,L$152)+COUNTIF('5月'!N5:O5,L$152)+COUNTIF('5月'!S5:T5,L$152)+COUNTIF('5月'!X5:Y5,L$152)+COUNTIF('5月'!AC5:AD5,L$152)+COUNTIF('5月'!AH5:AI5,L$152)+COUNTIF('5月'!AM5:AN5,L$152)+COUNTIF('5月'!AR5:AS5,L$152)+COUNTIF('5月'!AW5:AX5,L$152)+COUNTIF('5月'!BB5:BC5,L$152)+COUNTIF('5月'!BG5:BH5,L$152)+COUNTIF('5月'!BL5:BM5,L$152)+COUNTIF('5月'!BQ5:BR5,L$152)+COUNTIF('5月'!BV5:BW5,L$152)+COUNTIF('5月'!CA5:CB5,L$152)+COUNTIF('5月'!CF5:CG5,L$152)+COUNTIF('5月'!CK5:CL5,L$152)+COUNTIF('5月'!CP5:CQ5,L$152)+COUNTIF('5月'!CU5:CV5,L$152)+COUNTIF('5月'!CZ5:DA5,L$152)+COUNTIF('5月'!DE5:DF5,L$152)+COUNTIF('5月'!DJ5:DK5,L$152)+COUNTIF('5月'!DO5:DP5,L$152)+COUNTIF('5月'!DT5:DU5,L$152)+COUNTIF('5月'!DY5:DZ5,L$152)+COUNTIF('5月'!ED5:EE5,L$152)+COUNTIF('5月'!EI5:EJ5,L$152)+COUNTIF('5月'!EN5:EO5,L$152)+COUNTIF('5月'!ES5:ET5,L$152)</f>
        <v>0</v>
      </c>
      <c r="M155" s="76">
        <f t="shared" ref="M155:M184" si="53">IF(L155=0,M154,M154+L155)</f>
        <v>0</v>
      </c>
      <c r="N155" s="76">
        <f>COUNTIF('5月'!D5:E5,N$152)+COUNTIF('5月'!I5:J5,N$152)+COUNTIF('5月'!N5:O5,N$152)+COUNTIF('5月'!S5:T5,N$152)+COUNTIF('5月'!X5:Y5,N$152)+COUNTIF('5月'!AC5:AD5,N$152)+COUNTIF('5月'!AH5:AI5,N$152)+COUNTIF('5月'!AM5:AN5,N$152)+COUNTIF('5月'!AR5:AS5,N$152)+COUNTIF('5月'!AW5:AX5,N$152)+COUNTIF('5月'!BB5:BC5,N$152)+COUNTIF('5月'!BG5:BH5,N$152)+COUNTIF('5月'!BL5:BM5,N$152)+COUNTIF('5月'!BQ5:BR5,N$152)+COUNTIF('5月'!BV5:BW5,N$152)+COUNTIF('5月'!CA5:CB5,N$152)+COUNTIF('5月'!CF5:CG5,N$152)+COUNTIF('5月'!CK5:CL5,N$152)+COUNTIF('5月'!CP5:CQ5,N$152)+COUNTIF('5月'!CU5:CV5,N$152)+COUNTIF('5月'!CZ5:DA5,N$152)+COUNTIF('5月'!DE5:DF5,N$152)+COUNTIF('5月'!DJ5:DK5,N$152)+COUNTIF('5月'!DO5:DP5,N$152)+COUNTIF('5月'!DT5:DU5,N$152)+COUNTIF('5月'!DY5:DZ5,N$152)+COUNTIF('5月'!ED5:EE5,N$152)+COUNTIF('5月'!EI5:EJ5,N$152)+COUNTIF('5月'!EN5:EO5,N$152)+COUNTIF('5月'!ES5:ET5,N$152)+COUNTIF('5月'!D5:E5,"三軒茶屋－夜勤")+COUNTIF('5月'!I5:J5,"三軒茶屋－夜勤")+COUNTIF('5月'!N5:O5,"三軒茶屋－夜勤")+COUNTIF('5月'!S5:T5,"三軒茶屋－夜勤")+COUNTIF('5月'!X5:Y5,"三軒茶屋－夜勤")+COUNTIF('5月'!AC5:AD5,"三軒茶屋－夜勤")+COUNTIF('5月'!AH5:AI5,"三軒茶屋－夜勤")+COUNTIF('5月'!AM5:AN5,"三軒茶屋－夜勤")+COUNTIF('5月'!AR5:AS5,"三軒茶屋－夜勤")+COUNTIF('5月'!AW5:AX5,"三軒茶屋－夜勤")+COUNTIF('5月'!BB5:BC5,"三軒茶屋－夜勤")+COUNTIF('5月'!BG5:BH5,"三軒茶屋－夜勤")+COUNTIF('5月'!BL5:BM5,"三軒茶屋－夜勤")+COUNTIF('5月'!BQ5:BR5,"三軒茶屋－夜勤")+COUNTIF('5月'!BV5:BW5,"三軒茶屋－夜勤")+COUNTIF('5月'!CA5:CB5,"三軒茶屋－夜勤")+COUNTIF('5月'!CF5:CG5,"三軒茶屋－夜勤")+COUNTIF('5月'!CK5:CL5,"三軒茶屋－夜勤")+COUNTIF('5月'!CP5:CQ5,"三軒茶屋－夜勤")+COUNTIF('5月'!CU5:CV5,"三軒茶屋－夜勤")+COUNTIF('5月'!CZ5:DA5,"三軒茶屋－夜勤")+COUNTIF('5月'!DE5:DF5,"三軒茶屋－夜勤")+COUNTIF('5月'!DJ5:DK5,"三軒茶屋－夜勤")+COUNTIF('5月'!DO5:DP5,"三軒茶屋－夜勤")+COUNTIF('5月'!DT5:DU5,"三軒茶屋－夜勤")+COUNTIF('5月'!DY5:DZ5,"三軒茶屋－夜勤")+COUNTIF('5月'!ED5:EE5,"三軒茶屋－夜勤")+COUNTIF('5月'!EI5:EJ5,"三軒茶屋－夜勤")+COUNTIF('5月'!EN5:EO5,"三軒茶屋－夜勤")+COUNTIF('5月'!ES5:ET5,"三軒茶屋－夜勤")</f>
        <v>0</v>
      </c>
      <c r="O155" s="76">
        <f t="shared" ref="O155:O184" si="54">IF(N155=0,O154,O154+N155)</f>
        <v>0</v>
      </c>
      <c r="P155" s="76">
        <f>COUNTIF('5月'!D5:E5,P$152)+COUNTIF('5月'!I5:J5,P$152)+COUNTIF('5月'!N5:O5,P$152)+COUNTIF('5月'!S5:T5,P$152)+COUNTIF('5月'!X5:Y5,P$152)+COUNTIF('5月'!AC5:AD5,P$152)+COUNTIF('5月'!AH5:AI5,P$152)+COUNTIF('5月'!AM5:AN5,P$152)+COUNTIF('5月'!AR5:AS5,P$152)+COUNTIF('5月'!AW5:AX5,P$152)+COUNTIF('5月'!BB5:BC5,P$152)+COUNTIF('5月'!BG5:BH5,P$152)+COUNTIF('5月'!BL5:BM5,P$152)+COUNTIF('5月'!BQ5:BR5,P$152)+COUNTIF('5月'!BV5:BW5,P$152)+COUNTIF('5月'!CA5:CB5,P$152)+COUNTIF('5月'!CF5:CG5,P$152)+COUNTIF('5月'!CK5:CL5,P$152)+COUNTIF('5月'!CP5:CQ5,P$152)+COUNTIF('5月'!CU5:CV5,P$152)+COUNTIF('5月'!CZ5:DA5,P$152)+COUNTIF('5月'!DE5:DF5,P$152)+COUNTIF('5月'!DJ5:DK5,P$152)+COUNTIF('5月'!DO5:DP5,P$152)+COUNTIF('5月'!DT5:DU5,P$152)+COUNTIF('5月'!DY5:DZ5,P$152)+COUNTIF('5月'!ED5:EE5,P$152)+COUNTIF('5月'!EI5:EJ5,P$152)+COUNTIF('5月'!EN5:EO5,P$152)+COUNTIF('5月'!ES5:ET5,P$152)+COUNTIF('5月'!D5:E5,"荻窪ー夜勤")+COUNTIF('5月'!I5:J5,"荻窪ー夜勤")+COUNTIF('5月'!N5:O5,"荻窪ー夜勤")+COUNTIF('5月'!S5:T5,"荻窪ー夜勤")+COUNTIF('5月'!X5:Y5,"荻窪ー夜勤")+COUNTIF('5月'!AC5:AD5,"荻窪ー夜勤")+COUNTIF('5月'!AH5:AI5,"荻窪ー夜勤")+COUNTIF('5月'!AM5:AN5,"荻窪ー夜勤")+COUNTIF('5月'!AR5:AS5,"荻窪ー夜勤")+COUNTIF('5月'!AW5:AX5,"荻窪ー夜勤")+COUNTIF('5月'!BB5:BC5,"荻窪ー夜勤")+COUNTIF('5月'!BG5:BH5,"荻窪ー夜勤")+COUNTIF('5月'!BL5:BM5,"荻窪ー夜勤")+COUNTIF('5月'!BQ5:BR5,"荻窪ー夜勤")+COUNTIF('5月'!BV5:BW5,"荻窪ー夜勤")+COUNTIF('5月'!CA5:CB5,"荻窪ー夜勤")+COUNTIF('5月'!CF5:CG5,"荻窪ー夜勤")+COUNTIF('5月'!CK5:CL5,"荻窪ー夜勤")+COUNTIF('5月'!CP5:CQ5,"荻窪ー夜勤")+COUNTIF('5月'!CU5:CV5,"荻窪ー夜勤")+COUNTIF('5月'!CZ5:DA5,"荻窪ー夜勤")+COUNTIF('5月'!DE5:DF5,"荻窪ー夜勤")+COUNTIF('5月'!DJ5:DK5,"荻窪ー夜勤")+COUNTIF('5月'!DO5:DP5,"荻窪ー夜勤")+COUNTIF('5月'!DT5:DU5,"荻窪ー夜勤")+COUNTIF('5月'!DY5:DZ5,"荻窪ー夜勤")+COUNTIF('5月'!ED5:EE5,"荻窪ー夜勤")+COUNTIF('5月'!EI5:EJ5,"荻窪ー夜勤")+COUNTIF('5月'!EN5:EO5,"荻窪ー夜勤")+COUNTIF('5月'!ES5:ET5,"荻窪ー夜勤")</f>
        <v>0</v>
      </c>
      <c r="Q155" s="76">
        <f t="shared" ref="Q155:Q184" si="55">IF(P155=0,Q154,Q154+P155)</f>
        <v>0</v>
      </c>
      <c r="R155" s="76">
        <f>COUNTIF('5月'!D5:E5,R$152)+COUNTIF('5月'!I5:J5,R$152)+COUNTIF('5月'!N5:O5,R$152)+COUNTIF('5月'!S5:T5,R$152)+COUNTIF('5月'!X5:Y5,R$152)+COUNTIF('5月'!AC5:AD5,R$152)+COUNTIF('5月'!AH5:AI5,R$152)+COUNTIF('5月'!AM5:AN5,R$152)+COUNTIF('5月'!AR5:AS5,R$152)+COUNTIF('5月'!AW5:AX5,R$152)+COUNTIF('5月'!BB5:BC5,R$152)+COUNTIF('5月'!BG5:BH5,R$152)+COUNTIF('5月'!BL5:BM5,R$152)+COUNTIF('5月'!BQ5:BR5,R$152)+COUNTIF('5月'!BV5:BW5,R$152)+COUNTIF('5月'!CA5:CB5,R$152)+COUNTIF('5月'!CF5:CG5,R$152)+COUNTIF('5月'!CK5:CL5,R$152)+COUNTIF('5月'!CP5:CQ5,R$152)+COUNTIF('5月'!CU5:CV5,R$152)+COUNTIF('5月'!CZ5:DA5,R$152)+COUNTIF('5月'!DE5:DF5,R$152)+COUNTIF('5月'!DJ5:DK5,R$152)+COUNTIF('5月'!DO5:DP5,R$152)+COUNTIF('5月'!DT5:DU5,R$152)+COUNTIF('5月'!DY5:DZ5,R$152)+COUNTIF('5月'!ED5:EE5,R$152)+COUNTIF('5月'!EI5:EJ5,R$152)+COUNTIF('5月'!EN5:EO5,R$152)+COUNTIF('5月'!ES5:ET5,R$152)</f>
        <v>0</v>
      </c>
      <c r="S155" s="76">
        <f t="shared" ref="S155:S184" si="56">IF(R155=0,S154,S154+R155)</f>
        <v>0</v>
      </c>
      <c r="T155" s="76">
        <f>COUNTIF('5月'!D5:E5,T$152)+COUNTIF('5月'!I5:J5,T$152)+COUNTIF('5月'!N5:O5,T$152)+COUNTIF('5月'!S5:T5,T$152)+COUNTIF('5月'!X5:Y5,T$152)+COUNTIF('5月'!AC5:AD5,T$152)+COUNTIF('5月'!AH5:AI5,T$152)+COUNTIF('5月'!AM5:AN5,T$152)+COUNTIF('5月'!AR5:AS5,T$152)+COUNTIF('5月'!AW5:AX5,T$152)+COUNTIF('5月'!BB5:BC5,T$152)+COUNTIF('5月'!BG5:BH5,T$152)+COUNTIF('5月'!BL5:BM5,T$152)+COUNTIF('5月'!BQ5:BR5,T$152)+COUNTIF('5月'!BV5:BW5,T$152)+COUNTIF('5月'!CA5:CB5,T$152)+COUNTIF('5月'!CF5:CG5,T$152)+COUNTIF('5月'!CK5:CL5,T$152)+COUNTIF('5月'!CP5:CQ5,T$152)+COUNTIF('5月'!CU5:CV5,T$152)+COUNTIF('5月'!CZ5:DA5,T$152)+COUNTIF('5月'!DE5:DF5,T$152)+COUNTIF('5月'!DJ5:DK5,T$152)+COUNTIF('5月'!DO5:DP5,T$152)+COUNTIF('5月'!DT5:DU5,T$152)+COUNTIF('5月'!DY5:DZ5,T$152)+COUNTIF('5月'!ED5:EE5,T$152)+COUNTIF('5月'!EI5:EJ5,T$152)+COUNTIF('5月'!EN5:EO5,T$152)+COUNTIF('5月'!ES5:ET5,T$152)</f>
        <v>0</v>
      </c>
      <c r="U155" s="76">
        <f t="shared" ref="U155:U184" si="57">IF(T155=0,U154,U154+T155)</f>
        <v>0</v>
      </c>
      <c r="V155" s="76">
        <f>COUNTIF('5月'!D5:E5,V$152)+COUNTIF('5月'!I5:J5,V$152)+COUNTIF('5月'!N5:O5,V$152)+COUNTIF('5月'!S5:T5,V$152)+COUNTIF('5月'!X5:Y5,V$152)+COUNTIF('5月'!AC5:AD5,V$152)+COUNTIF('5月'!AH5:AI5,V$152)+COUNTIF('5月'!AM5:AN5,V$152)+COUNTIF('5月'!AR5:AS5,V$152)+COUNTIF('5月'!AW5:AX5,V$152)+COUNTIF('5月'!BB5:BC5,V$152)+COUNTIF('5月'!BG5:BH5,V$152)+COUNTIF('5月'!BL5:BM5,V$152)+COUNTIF('5月'!BQ5:BR5,V$152)+COUNTIF('5月'!BV5:BW5,V$152)+COUNTIF('5月'!CA5:CB5,V$152)+COUNTIF('5月'!CF5:CG5,V$152)+COUNTIF('5月'!CK5:CL5,V$152)+COUNTIF('5月'!CP5:CQ5,V$152)+COUNTIF('5月'!CU5:CV5,V$152)+COUNTIF('5月'!CZ5:DA5,V$152)+COUNTIF('5月'!DE5:DF5,V$152)+COUNTIF('5月'!DJ5:DK5,V$152)+COUNTIF('5月'!DO5:DP5,V$152)+COUNTIF('5月'!DT5:DU5,V$152)+COUNTIF('5月'!DY5:DZ5,V$152)+COUNTIF('5月'!ED5:EE5,V$152)+COUNTIF('5月'!EI5:EJ5,V$152)+COUNTIF('5月'!EN5:EO5,V$152)+COUNTIF('5月'!ES5:ET5,V$152)</f>
        <v>0</v>
      </c>
      <c r="W155" s="76">
        <f t="shared" ref="W155:W184" si="58">IF(V155=0,W154,W154+V155)</f>
        <v>0</v>
      </c>
      <c r="X155" s="76">
        <f>COUNTIF('5月'!D5:E5,X$152)+COUNTIF('5月'!I5:J5,X$152)+COUNTIF('5月'!N5:O5,X$152)+COUNTIF('5月'!S5:T5,X$152)+COUNTIF('5月'!X5:Y5,X$152)+COUNTIF('5月'!AC5:AD5,X$152)+COUNTIF('5月'!AH5:AI5,X$152)+COUNTIF('5月'!AM5:AN5,X$152)+COUNTIF('5月'!AR5:AS5,X$152)+COUNTIF('5月'!AW5:AX5,X$152)+COUNTIF('5月'!BB5:BC5,X$152)+COUNTIF('5月'!BG5:BH5,X$152)+COUNTIF('5月'!BL5:BM5,X$152)+COUNTIF('5月'!BQ5:BR5,X$152)+COUNTIF('5月'!BV5:BW5,X$152)+COUNTIF('5月'!CA5:CB5,X$152)+COUNTIF('5月'!CF5:CG5,X$152)+COUNTIF('5月'!CK5:CL5,X$152)+COUNTIF('5月'!CP5:CQ5,X$152)+COUNTIF('5月'!CU5:CV5,X$152)+COUNTIF('5月'!CZ5:DA5,X$152)+COUNTIF('5月'!DE5:DF5,X$152)+COUNTIF('5月'!DJ5:DK5,X$152)+COUNTIF('5月'!DO5:DP5,X$152)+COUNTIF('5月'!DT5:DU5,X$152)+COUNTIF('5月'!DY5:DZ5,X$152)+COUNTIF('5月'!ED5:EE5,X$152)+COUNTIF('5月'!EI5:EJ5,X$152)+COUNTIF('5月'!EN5:EO5,X$152)+COUNTIF('5月'!ES5:ET5,X$152)</f>
        <v>0</v>
      </c>
      <c r="Y155" s="76">
        <f t="shared" ref="Y155:Y184" si="59">IF(X155=0,Y154,Y154+X155)</f>
        <v>0</v>
      </c>
    </row>
    <row r="156" spans="1:25" ht="18" customHeight="1">
      <c r="A156" s="76">
        <v>3</v>
      </c>
      <c r="B156" s="76">
        <f>COUNTIF('5月'!D6:E6,B$152)+COUNTIF('5月'!I6:J6,B$152)+COUNTIF('5月'!N6:O6,B$152)+COUNTIF('5月'!S6:T6,B$152)+COUNTIF('5月'!X6:Y6,B$152)+COUNTIF('5月'!AC6:AD6,B$152)+COUNTIF('5月'!AH6:AI6,B$152)+COUNTIF('5月'!AM6:AN6,B$152)+COUNTIF('5月'!AR6:AS6,B$152)+COUNTIF('5月'!AW6:AX6,B$152)+COUNTIF('5月'!BB6:BC6,B$152)+COUNTIF('5月'!BG6:BH6,B$152)+COUNTIF('5月'!BL6:BM6,B$152)+COUNTIF('5月'!BQ6:BR6,B$152)+COUNTIF('5月'!BV6:BW6,B$152)+COUNTIF('5月'!CA6:CB6,B$152)+COUNTIF('5月'!CF6:CG6,B$152)+COUNTIF('5月'!CK6:CL6,B$152)+COUNTIF('5月'!CP6:CQ6,B$152)+COUNTIF('5月'!CU6:CV6,B$152)+COUNTIF('5月'!CZ6:DA6,B$152)+COUNTIF('5月'!DE6:DF6,B$152)+COUNTIF('5月'!DJ6:DK6,B$152)+COUNTIF('5月'!DO6:DP6,B$152)+COUNTIF('5月'!DT6:DU6,B$152)+COUNTIF('5月'!DY6:DZ6,B$152)+COUNTIF('5月'!ED6:EE6,B$152)+COUNTIF('5月'!EI6:EJ6,B$152)+COUNTIF('5月'!EN6:EO6,B$152)+COUNTIF('5月'!ES6:ET6,B$152)</f>
        <v>0</v>
      </c>
      <c r="C156" s="76">
        <f t="shared" si="48"/>
        <v>0</v>
      </c>
      <c r="D156" s="76">
        <f>COUNTIF('5月'!D6:E6,D$152)+COUNTIF('5月'!I6:J6,D$152)+COUNTIF('5月'!N6:O6,D$152)+COUNTIF('5月'!S6:T6,D$152)+COUNTIF('5月'!X6:Y6,D$152)+COUNTIF('5月'!AC6:AD6,D$152)+COUNTIF('5月'!AH6:AI6,D$152)+COUNTIF('5月'!AM6:AN6,D$152)+COUNTIF('5月'!AR6:AS6,D$152)+COUNTIF('5月'!AW6:AX6,D$152)+COUNTIF('5月'!BB6:BC6,D$152)+COUNTIF('5月'!BG6:BH6,D$152)+COUNTIF('5月'!BL6:BM6,D$152)+COUNTIF('5月'!BQ6:BR6,D$152)+COUNTIF('5月'!BV6:BW6,D$152)+COUNTIF('5月'!CA6:CB6,D$152)+COUNTIF('5月'!CF6:CG6,D$152)+COUNTIF('5月'!CK6:CL6,D$152)+COUNTIF('5月'!CP6:CQ6,D$152)+COUNTIF('5月'!CU6:CV6,D$152)+COUNTIF('5月'!CZ6:DA6,D$152)+COUNTIF('5月'!DE6:DF6,D$152)+COUNTIF('5月'!DJ6:DK6,D$152)+COUNTIF('5月'!DO6:DP6,D$152)+COUNTIF('5月'!DT6:DU6,D$152)+COUNTIF('5月'!DY6:DZ6,D$152)+COUNTIF('5月'!ED6:EE6,D$152)+COUNTIF('5月'!EI6:EJ6,D$152)+COUNTIF('5月'!EN6:EO6,D$152)+COUNTIF('5月'!ES6:ET6,D$152)</f>
        <v>0</v>
      </c>
      <c r="E156" s="76">
        <f t="shared" si="49"/>
        <v>0</v>
      </c>
      <c r="F156" s="76">
        <f>COUNTIF('5月'!D6:E6,F$152)+COUNTIF('5月'!I6:J6,F$152)+COUNTIF('5月'!N6:O6,F$152)+COUNTIF('5月'!S6:T6,F$152)+COUNTIF('5月'!X6:Y6,F$152)+COUNTIF('5月'!AC6:AD6,F$152)+COUNTIF('5月'!AH6:AI6,F$152)+COUNTIF('5月'!AM6:AN6,F$152)+COUNTIF('5月'!AR6:AS6,F$152)+COUNTIF('5月'!AW6:AX6,F$152)+COUNTIF('5月'!BB6:BC6,F$152)+COUNTIF('5月'!BG6:BH6,F$152)+COUNTIF('5月'!BL6:BM6,F$152)+COUNTIF('5月'!BQ6:BR6,F$152)+COUNTIF('5月'!BV6:BW6,F$152)+COUNTIF('5月'!CA6:CB6,F$152)+COUNTIF('5月'!CF6:CG6,F$152)+COUNTIF('5月'!CK6:CL6,F$152)+COUNTIF('5月'!CP6:CQ6,F$152)+COUNTIF('5月'!CU6:CV6,F$152)+COUNTIF('5月'!CZ6:DA6,F$152)+COUNTIF('5月'!DE6:DF6,F$152)+COUNTIF('5月'!DJ6:DK6,F$152)+COUNTIF('5月'!DO6:DP6,F$152)+COUNTIF('5月'!DT6:DU6,F$152)+COUNTIF('5月'!DY6:DZ6,F$152)+COUNTIF('5月'!ED6:EE6,F$152)+COUNTIF('5月'!EI6:EJ6,F$152)+COUNTIF('5月'!EN6:EO6,F$152)+COUNTIF('5月'!ES6:ET6,F$152)</f>
        <v>0</v>
      </c>
      <c r="G156" s="76">
        <f t="shared" si="50"/>
        <v>0</v>
      </c>
      <c r="H156" s="76">
        <f>COUNTIF('5月'!D6:E6,H$152)+COUNTIF('5月'!I6:J6,H$152)+COUNTIF('5月'!N6:O6,H$152)+COUNTIF('5月'!S6:T6,H$152)+COUNTIF('5月'!X6:Y6,H$152)+COUNTIF('5月'!AC6:AD6,H$152)+COUNTIF('5月'!AH6:AI6,H$152)+COUNTIF('5月'!AM6:AN6,H$152)+COUNTIF('5月'!AR6:AS6,H$152)+COUNTIF('5月'!AW6:AX6,H$152)+COUNTIF('5月'!BB6:BC6,H$152)+COUNTIF('5月'!BG6:BH6,H$152)+COUNTIF('5月'!BL6:BM6,H$152)+COUNTIF('5月'!BQ6:BR6,H$152)+COUNTIF('5月'!BV6:BW6,H$152)+COUNTIF('5月'!CA6:CB6,H$152)+COUNTIF('5月'!CF6:CG6,H$152)+COUNTIF('5月'!CK6:CL6,H$152)+COUNTIF('5月'!CP6:CQ6,H$152)+COUNTIF('5月'!CU6:CV6,H$152)+COUNTIF('5月'!CZ6:DA6,H$152)+COUNTIF('5月'!DE6:DF6,H$152)+COUNTIF('5月'!DJ6:DK6,H$152)+COUNTIF('5月'!DO6:DP6,H$152)+COUNTIF('5月'!DT6:DU6,H$152)+COUNTIF('5月'!DY6:DZ6,H$152)+COUNTIF('5月'!ED6:EE6,H$152)+COUNTIF('5月'!EI6:EJ6,H$152)+COUNTIF('5月'!EN6:EO6,H$152)+COUNTIF('5月'!ES6:ET6,H$152)+COUNTIF('5月'!D6:E6,"渋谷-夜勤")+COUNTIF('5月'!I6:J6,"渋谷-夜勤")+COUNTIF('5月'!N6:O6,"渋谷-夜勤")+COUNTIF('5月'!S6:T6,"渋谷-夜勤")+COUNTIF('5月'!X6:Y6,"渋谷-夜勤")+COUNTIF('5月'!AC6:AD6,"渋谷-夜勤")+COUNTIF('5月'!AH6:AI6,"渋谷-夜勤")+COUNTIF('5月'!AM6:AN6,"渋谷-夜勤")+COUNTIF('5月'!AR6:AS6,"渋谷-夜勤")+COUNTIF('5月'!AW6:AX6,"渋谷-夜勤")+COUNTIF('5月'!BB6:BC6,"渋谷-夜勤")+COUNTIF('5月'!BG6:BH6,"渋谷-夜勤")+COUNTIF('5月'!BL6:BM6,"渋谷-夜勤")+COUNTIF('5月'!BQ6:BR6,"渋谷-夜勤")+COUNTIF('5月'!BV6:BW6,"渋谷-夜勤")+COUNTIF('5月'!CA6:CB6,"渋谷-夜勤")+COUNTIF('5月'!CF6:CG6,"渋谷-夜勤")+COUNTIF('5月'!CK6:CL6,"渋谷-夜勤")+COUNTIF('5月'!CP6:CQ6,"渋谷-夜勤")+COUNTIF('5月'!CU6:CV6,"渋谷-夜勤")+COUNTIF('5月'!CZ6:DA6,"渋谷-夜勤")+COUNTIF('5月'!DE6:DF6,"渋谷-夜勤")+COUNTIF('5月'!DJ6:DK6,"渋谷-夜勤")+COUNTIF('5月'!DO6:DP6,"渋谷-夜勤")+COUNTIF('5月'!DT6:DU6,"渋谷-夜勤")+COUNTIF('5月'!DY6:DZ6,"渋谷-夜勤")+COUNTIF('5月'!ED6:EE6,"渋谷-夜勤")+COUNTIF('5月'!EI6:EJ6,"渋谷-夜勤")+COUNTIF('5月'!EN6:EO6,"渋谷-夜勤")+COUNTIF('5月'!ES6:ET6,"渋谷-夜勤")</f>
        <v>0</v>
      </c>
      <c r="I156" s="76">
        <f t="shared" si="51"/>
        <v>0</v>
      </c>
      <c r="J156" s="76">
        <f>COUNTIF('5月'!D6:E6,J$152)+COUNTIF('5月'!I6:J6,J$152)+COUNTIF('5月'!N6:O6,J$152)+COUNTIF('5月'!S6:T6,J$152)+COUNTIF('5月'!X6:Y6,J$152)+COUNTIF('5月'!AC6:AD6,J$152)+COUNTIF('5月'!AH6:AI6,J$152)+COUNTIF('5月'!AM6:AN6,J$152)+COUNTIF('5月'!AR6:AS6,J$152)+COUNTIF('5月'!AW6:AX6,J$152)+COUNTIF('5月'!BB6:BC6,J$152)+COUNTIF('5月'!BG6:BH6,J$152)+COUNTIF('5月'!BL6:BM6,J$152)+COUNTIF('5月'!BQ6:BR6,J$152)+COUNTIF('5月'!BV6:BW6,J$152)+COUNTIF('5月'!CA6:CB6,J$152)+COUNTIF('5月'!CF6:CG6,J$152)+COUNTIF('5月'!CK6:CL6,J$152)+COUNTIF('5月'!CP6:CQ6,J$152)+COUNTIF('5月'!CU6:CV6,J$152)+COUNTIF('5月'!CZ6:DA6,J$152)+COUNTIF('5月'!DE6:DF6,J$152)+COUNTIF('5月'!DJ6:DK6,J$152)+COUNTIF('5月'!DO6:DP6,J$152)+COUNTIF('5月'!DT6:DU6,J$152)+COUNTIF('5月'!DY6:DZ6,J$152)+COUNTIF('5月'!ED6:EE6,J$152)+COUNTIF('5月'!EI6:EJ6,J$152)+COUNTIF('5月'!EN6:EO6,J$152)+COUNTIF('5月'!ES6:ET6,J$152)+COUNTIF('5月'!D6:E6,"六本木-夜勤")+COUNTIF('5月'!I6:J6,"六本木-夜勤")+COUNTIF('5月'!N6:O6,"六本木-夜勤")+COUNTIF('5月'!S6:T6,"六本木-夜勤")+COUNTIF('5月'!X6:Y6,"六本木-夜勤")+COUNTIF('5月'!AC6:AD6,"六本木-夜勤")+COUNTIF('5月'!AH6:AI6,"六本木-夜勤")+COUNTIF('5月'!AM6:AN6,"六本木-夜勤")+COUNTIF('5月'!AR6:AS6,"六本木-夜勤")+COUNTIF('5月'!AW6:AX6,"六本木-夜勤")+COUNTIF('5月'!BB6:BC6,"六本木-夜勤")+COUNTIF('5月'!BG6:BH6,"六本木-夜勤")+COUNTIF('5月'!BL6:BM6,"六本木-夜勤")+COUNTIF('5月'!BQ6:BR6,"六本木-夜勤")+COUNTIF('5月'!BV6:BW6,"六本木-夜勤")+COUNTIF('5月'!CA6:CB6,"六本木-夜勤")+COUNTIF('5月'!CF6:CG6,"六本木-夜勤")+COUNTIF('5月'!CK6:CL6,"六本木-夜勤")+COUNTIF('5月'!CP6:CQ6,"六本木-夜勤")+COUNTIF('5月'!CU6:CV6,"六本木-夜勤")+COUNTIF('5月'!CZ6:DA6,"六本木-夜勤")+COUNTIF('5月'!DE6:DF6,"六本木-夜勤")+COUNTIF('5月'!DJ6:DK6,"六本木-夜勤")+COUNTIF('5月'!DO6:DP6,"六本木-夜勤")+COUNTIF('5月'!DT6:DU6,"六本木-夜勤")+COUNTIF('5月'!DY6:DZ6,"六本木-夜勤")+COUNTIF('5月'!ED6:EE6,"六本木-夜勤")+COUNTIF('5月'!EI6:EJ6,"六本木-夜勤")+COUNTIF('5月'!EN6:EO6,"六本木-夜勤")+COUNTIF('5月'!ES6:ET6,"六本木-夜勤")+COUNTIF('5月'!D6:E6,"六本木ー夜勤")+COUNTIF('5月'!I6:J6,"六本木ー夜勤")+COUNTIF('5月'!N6:O6,"六本木ー夜勤")+COUNTIF('5月'!S6:T6,"六本木ー夜勤")+COUNTIF('5月'!X6:Y6,"六本木ー夜勤")+COUNTIF('5月'!AC6:AD6,"六本木ー夜勤")+COUNTIF('5月'!AH6:AI6,"六本木ー夜勤")+COUNTIF('5月'!AM6:AN6,"六本木ー夜勤")+COUNTIF('5月'!AR6:AS6,"六本木ー夜勤")+COUNTIF('5月'!AW6:AX6,"六本木ー夜勤")+COUNTIF('5月'!BB6:BC6,"六本木ー夜勤")+COUNTIF('5月'!BG6:BH6,"六本木ー夜勤")+COUNTIF('5月'!BL6:BM6,"六本木ー夜勤")+COUNTIF('5月'!BQ6:BR6,"六本木ー夜勤")+COUNTIF('5月'!BV6:BW6,"六本木ー夜勤")+COUNTIF('5月'!CA6:CB6,"六本木ー夜勤")+COUNTIF('5月'!CF6:CG6,"六本木ー夜勤")+COUNTIF('5月'!CK6:CL6,"六本木ー夜勤")+COUNTIF('5月'!CP6:CQ6,"六本木ー夜勤")+COUNTIF('5月'!CU6:CV6,"六本木ー夜勤")+COUNTIF('5月'!CZ6:DA6,"六本木ー夜勤")+COUNTIF('5月'!DE6:DF6,"六本木ー夜勤")+COUNTIF('5月'!DJ6:DK6,"六本木ー夜勤")+COUNTIF('5月'!DO6:DP6,"六本木ー夜勤")+COUNTIF('5月'!DT6:DU6,"六本木ー夜勤")+COUNTIF('5月'!DY6:DZ6,"六本木ー夜勤")+COUNTIF('5月'!ED6:EE6,"六本木ー夜勤")+COUNTIF('5月'!EI6:EJ6,"六本木ー夜勤")+COUNTIF('5月'!EN6:EO6,"六本木ー夜勤")+COUNTIF('5月'!ES6:ET6,"六本木ー夜勤")</f>
        <v>0</v>
      </c>
      <c r="K156" s="76">
        <f t="shared" si="52"/>
        <v>0</v>
      </c>
      <c r="L156" s="76">
        <f>COUNTIF('5月'!D6:E6,L$152)+COUNTIF('5月'!I6:J6,L$152)+COUNTIF('5月'!N6:O6,L$152)+COUNTIF('5月'!S6:T6,L$152)+COUNTIF('5月'!X6:Y6,L$152)+COUNTIF('5月'!AC6:AD6,L$152)+COUNTIF('5月'!AH6:AI6,L$152)+COUNTIF('5月'!AM6:AN6,L$152)+COUNTIF('5月'!AR6:AS6,L$152)+COUNTIF('5月'!AW6:AX6,L$152)+COUNTIF('5月'!BB6:BC6,L$152)+COUNTIF('5月'!BG6:BH6,L$152)+COUNTIF('5月'!BL6:BM6,L$152)+COUNTIF('5月'!BQ6:BR6,L$152)+COUNTIF('5月'!BV6:BW6,L$152)+COUNTIF('5月'!CA6:CB6,L$152)+COUNTIF('5月'!CF6:CG6,L$152)+COUNTIF('5月'!CK6:CL6,L$152)+COUNTIF('5月'!CP6:CQ6,L$152)+COUNTIF('5月'!CU6:CV6,L$152)+COUNTIF('5月'!CZ6:DA6,L$152)+COUNTIF('5月'!DE6:DF6,L$152)+COUNTIF('5月'!DJ6:DK6,L$152)+COUNTIF('5月'!DO6:DP6,L$152)+COUNTIF('5月'!DT6:DU6,L$152)+COUNTIF('5月'!DY6:DZ6,L$152)+COUNTIF('5月'!ED6:EE6,L$152)+COUNTIF('5月'!EI6:EJ6,L$152)+COUNTIF('5月'!EN6:EO6,L$152)+COUNTIF('5月'!ES6:ET6,L$152)</f>
        <v>0</v>
      </c>
      <c r="M156" s="76">
        <f t="shared" si="53"/>
        <v>0</v>
      </c>
      <c r="N156" s="76">
        <f>COUNTIF('5月'!D6:E6,N$152)+COUNTIF('5月'!I6:J6,N$152)+COUNTIF('5月'!N6:O6,N$152)+COUNTIF('5月'!S6:T6,N$152)+COUNTIF('5月'!X6:Y6,N$152)+COUNTIF('5月'!AC6:AD6,N$152)+COUNTIF('5月'!AH6:AI6,N$152)+COUNTIF('5月'!AM6:AN6,N$152)+COUNTIF('5月'!AR6:AS6,N$152)+COUNTIF('5月'!AW6:AX6,N$152)+COUNTIF('5月'!BB6:BC6,N$152)+COUNTIF('5月'!BG6:BH6,N$152)+COUNTIF('5月'!BL6:BM6,N$152)+COUNTIF('5月'!BQ6:BR6,N$152)+COUNTIF('5月'!BV6:BW6,N$152)+COUNTIF('5月'!CA6:CB6,N$152)+COUNTIF('5月'!CF6:CG6,N$152)+COUNTIF('5月'!CK6:CL6,N$152)+COUNTIF('5月'!CP6:CQ6,N$152)+COUNTIF('5月'!CU6:CV6,N$152)+COUNTIF('5月'!CZ6:DA6,N$152)+COUNTIF('5月'!DE6:DF6,N$152)+COUNTIF('5月'!DJ6:DK6,N$152)+COUNTIF('5月'!DO6:DP6,N$152)+COUNTIF('5月'!DT6:DU6,N$152)+COUNTIF('5月'!DY6:DZ6,N$152)+COUNTIF('5月'!ED6:EE6,N$152)+COUNTIF('5月'!EI6:EJ6,N$152)+COUNTIF('5月'!EN6:EO6,N$152)+COUNTIF('5月'!ES6:ET6,N$152)+COUNTIF('5月'!D6:E6,"三軒茶屋－夜勤")+COUNTIF('5月'!I6:J6,"三軒茶屋－夜勤")+COUNTIF('5月'!N6:O6,"三軒茶屋－夜勤")+COUNTIF('5月'!S6:T6,"三軒茶屋－夜勤")+COUNTIF('5月'!X6:Y6,"三軒茶屋－夜勤")+COUNTIF('5月'!AC6:AD6,"三軒茶屋－夜勤")+COUNTIF('5月'!AH6:AI6,"三軒茶屋－夜勤")+COUNTIF('5月'!AM6:AN6,"三軒茶屋－夜勤")+COUNTIF('5月'!AR6:AS6,"三軒茶屋－夜勤")+COUNTIF('5月'!AW6:AX6,"三軒茶屋－夜勤")+COUNTIF('5月'!BB6:BC6,"三軒茶屋－夜勤")+COUNTIF('5月'!BG6:BH6,"三軒茶屋－夜勤")+COUNTIF('5月'!BL6:BM6,"三軒茶屋－夜勤")+COUNTIF('5月'!BQ6:BR6,"三軒茶屋－夜勤")+COUNTIF('5月'!BV6:BW6,"三軒茶屋－夜勤")+COUNTIF('5月'!CA6:CB6,"三軒茶屋－夜勤")+COUNTIF('5月'!CF6:CG6,"三軒茶屋－夜勤")+COUNTIF('5月'!CK6:CL6,"三軒茶屋－夜勤")+COUNTIF('5月'!CP6:CQ6,"三軒茶屋－夜勤")+COUNTIF('5月'!CU6:CV6,"三軒茶屋－夜勤")+COUNTIF('5月'!CZ6:DA6,"三軒茶屋－夜勤")+COUNTIF('5月'!DE6:DF6,"三軒茶屋－夜勤")+COUNTIF('5月'!DJ6:DK6,"三軒茶屋－夜勤")+COUNTIF('5月'!DO6:DP6,"三軒茶屋－夜勤")+COUNTIF('5月'!DT6:DU6,"三軒茶屋－夜勤")+COUNTIF('5月'!DY6:DZ6,"三軒茶屋－夜勤")+COUNTIF('5月'!ED6:EE6,"三軒茶屋－夜勤")+COUNTIF('5月'!EI6:EJ6,"三軒茶屋－夜勤")+COUNTIF('5月'!EN6:EO6,"三軒茶屋－夜勤")+COUNTIF('5月'!ES6:ET6,"三軒茶屋－夜勤")</f>
        <v>0</v>
      </c>
      <c r="O156" s="76">
        <f t="shared" si="54"/>
        <v>0</v>
      </c>
      <c r="P156" s="76">
        <f>COUNTIF('5月'!D6:E6,P$152)+COUNTIF('5月'!I6:J6,P$152)+COUNTIF('5月'!N6:O6,P$152)+COUNTIF('5月'!S6:T6,P$152)+COUNTIF('5月'!X6:Y6,P$152)+COUNTIF('5月'!AC6:AD6,P$152)+COUNTIF('5月'!AH6:AI6,P$152)+COUNTIF('5月'!AM6:AN6,P$152)+COUNTIF('5月'!AR6:AS6,P$152)+COUNTIF('5月'!AW6:AX6,P$152)+COUNTIF('5月'!BB6:BC6,P$152)+COUNTIF('5月'!BG6:BH6,P$152)+COUNTIF('5月'!BL6:BM6,P$152)+COUNTIF('5月'!BQ6:BR6,P$152)+COUNTIF('5月'!BV6:BW6,P$152)+COUNTIF('5月'!CA6:CB6,P$152)+COUNTIF('5月'!CF6:CG6,P$152)+COUNTIF('5月'!CK6:CL6,P$152)+COUNTIF('5月'!CP6:CQ6,P$152)+COUNTIF('5月'!CU6:CV6,P$152)+COUNTIF('5月'!CZ6:DA6,P$152)+COUNTIF('5月'!DE6:DF6,P$152)+COUNTIF('5月'!DJ6:DK6,P$152)+COUNTIF('5月'!DO6:DP6,P$152)+COUNTIF('5月'!DT6:DU6,P$152)+COUNTIF('5月'!DY6:DZ6,P$152)+COUNTIF('5月'!ED6:EE6,P$152)+COUNTIF('5月'!EI6:EJ6,P$152)+COUNTIF('5月'!EN6:EO6,P$152)+COUNTIF('5月'!ES6:ET6,P$152)+COUNTIF('5月'!D6:E6,"荻窪ー夜勤")+COUNTIF('5月'!I6:J6,"荻窪ー夜勤")+COUNTIF('5月'!N6:O6,"荻窪ー夜勤")+COUNTIF('5月'!S6:T6,"荻窪ー夜勤")+COUNTIF('5月'!X6:Y6,"荻窪ー夜勤")+COUNTIF('5月'!AC6:AD6,"荻窪ー夜勤")+COUNTIF('5月'!AH6:AI6,"荻窪ー夜勤")+COUNTIF('5月'!AM6:AN6,"荻窪ー夜勤")+COUNTIF('5月'!AR6:AS6,"荻窪ー夜勤")+COUNTIF('5月'!AW6:AX6,"荻窪ー夜勤")+COUNTIF('5月'!BB6:BC6,"荻窪ー夜勤")+COUNTIF('5月'!BG6:BH6,"荻窪ー夜勤")+COUNTIF('5月'!BL6:BM6,"荻窪ー夜勤")+COUNTIF('5月'!BQ6:BR6,"荻窪ー夜勤")+COUNTIF('5月'!BV6:BW6,"荻窪ー夜勤")+COUNTIF('5月'!CA6:CB6,"荻窪ー夜勤")+COUNTIF('5月'!CF6:CG6,"荻窪ー夜勤")+COUNTIF('5月'!CK6:CL6,"荻窪ー夜勤")+COUNTIF('5月'!CP6:CQ6,"荻窪ー夜勤")+COUNTIF('5月'!CU6:CV6,"荻窪ー夜勤")+COUNTIF('5月'!CZ6:DA6,"荻窪ー夜勤")+COUNTIF('5月'!DE6:DF6,"荻窪ー夜勤")+COUNTIF('5月'!DJ6:DK6,"荻窪ー夜勤")+COUNTIF('5月'!DO6:DP6,"荻窪ー夜勤")+COUNTIF('5月'!DT6:DU6,"荻窪ー夜勤")+COUNTIF('5月'!DY6:DZ6,"荻窪ー夜勤")+COUNTIF('5月'!ED6:EE6,"荻窪ー夜勤")+COUNTIF('5月'!EI6:EJ6,"荻窪ー夜勤")+COUNTIF('5月'!EN6:EO6,"荻窪ー夜勤")+COUNTIF('5月'!ES6:ET6,"荻窪ー夜勤")</f>
        <v>0</v>
      </c>
      <c r="Q156" s="76">
        <f t="shared" si="55"/>
        <v>0</v>
      </c>
      <c r="R156" s="76">
        <f>COUNTIF('5月'!D6:E6,R$152)+COUNTIF('5月'!I6:J6,R$152)+COUNTIF('5月'!N6:O6,R$152)+COUNTIF('5月'!S6:T6,R$152)+COUNTIF('5月'!X6:Y6,R$152)+COUNTIF('5月'!AC6:AD6,R$152)+COUNTIF('5月'!AH6:AI6,R$152)+COUNTIF('5月'!AM6:AN6,R$152)+COUNTIF('5月'!AR6:AS6,R$152)+COUNTIF('5月'!AW6:AX6,R$152)+COUNTIF('5月'!BB6:BC6,R$152)+COUNTIF('5月'!BG6:BH6,R$152)+COUNTIF('5月'!BL6:BM6,R$152)+COUNTIF('5月'!BQ6:BR6,R$152)+COUNTIF('5月'!BV6:BW6,R$152)+COUNTIF('5月'!CA6:CB6,R$152)+COUNTIF('5月'!CF6:CG6,R$152)+COUNTIF('5月'!CK6:CL6,R$152)+COUNTIF('5月'!CP6:CQ6,R$152)+COUNTIF('5月'!CU6:CV6,R$152)+COUNTIF('5月'!CZ6:DA6,R$152)+COUNTIF('5月'!DE6:DF6,R$152)+COUNTIF('5月'!DJ6:DK6,R$152)+COUNTIF('5月'!DO6:DP6,R$152)+COUNTIF('5月'!DT6:DU6,R$152)+COUNTIF('5月'!DY6:DZ6,R$152)+COUNTIF('5月'!ED6:EE6,R$152)+COUNTIF('5月'!EI6:EJ6,R$152)+COUNTIF('5月'!EN6:EO6,R$152)+COUNTIF('5月'!ES6:ET6,R$152)</f>
        <v>0</v>
      </c>
      <c r="S156" s="76">
        <f t="shared" si="56"/>
        <v>0</v>
      </c>
      <c r="T156" s="76">
        <f>COUNTIF('5月'!D6:E6,T$152)+COUNTIF('5月'!I6:J6,T$152)+COUNTIF('5月'!N6:O6,T$152)+COUNTIF('5月'!S6:T6,T$152)+COUNTIF('5月'!X6:Y6,T$152)+COUNTIF('5月'!AC6:AD6,T$152)+COUNTIF('5月'!AH6:AI6,T$152)+COUNTIF('5月'!AM6:AN6,T$152)+COUNTIF('5月'!AR6:AS6,T$152)+COUNTIF('5月'!AW6:AX6,T$152)+COUNTIF('5月'!BB6:BC6,T$152)+COUNTIF('5月'!BG6:BH6,T$152)+COUNTIF('5月'!BL6:BM6,T$152)+COUNTIF('5月'!BQ6:BR6,T$152)+COUNTIF('5月'!BV6:BW6,T$152)+COUNTIF('5月'!CA6:CB6,T$152)+COUNTIF('5月'!CF6:CG6,T$152)+COUNTIF('5月'!CK6:CL6,T$152)+COUNTIF('5月'!CP6:CQ6,T$152)+COUNTIF('5月'!CU6:CV6,T$152)+COUNTIF('5月'!CZ6:DA6,T$152)+COUNTIF('5月'!DE6:DF6,T$152)+COUNTIF('5月'!DJ6:DK6,T$152)+COUNTIF('5月'!DO6:DP6,T$152)+COUNTIF('5月'!DT6:DU6,T$152)+COUNTIF('5月'!DY6:DZ6,T$152)+COUNTIF('5月'!ED6:EE6,T$152)+COUNTIF('5月'!EI6:EJ6,T$152)+COUNTIF('5月'!EN6:EO6,T$152)+COUNTIF('5月'!ES6:ET6,T$152)</f>
        <v>0</v>
      </c>
      <c r="U156" s="76">
        <f t="shared" si="57"/>
        <v>0</v>
      </c>
      <c r="V156" s="76">
        <f>COUNTIF('5月'!D6:E6,V$152)+COUNTIF('5月'!I6:J6,V$152)+COUNTIF('5月'!N6:O6,V$152)+COUNTIF('5月'!S6:T6,V$152)+COUNTIF('5月'!X6:Y6,V$152)+COUNTIF('5月'!AC6:AD6,V$152)+COUNTIF('5月'!AH6:AI6,V$152)+COUNTIF('5月'!AM6:AN6,V$152)+COUNTIF('5月'!AR6:AS6,V$152)+COUNTIF('5月'!AW6:AX6,V$152)+COUNTIF('5月'!BB6:BC6,V$152)+COUNTIF('5月'!BG6:BH6,V$152)+COUNTIF('5月'!BL6:BM6,V$152)+COUNTIF('5月'!BQ6:BR6,V$152)+COUNTIF('5月'!BV6:BW6,V$152)+COUNTIF('5月'!CA6:CB6,V$152)+COUNTIF('5月'!CF6:CG6,V$152)+COUNTIF('5月'!CK6:CL6,V$152)+COUNTIF('5月'!CP6:CQ6,V$152)+COUNTIF('5月'!CU6:CV6,V$152)+COUNTIF('5月'!CZ6:DA6,V$152)+COUNTIF('5月'!DE6:DF6,V$152)+COUNTIF('5月'!DJ6:DK6,V$152)+COUNTIF('5月'!DO6:DP6,V$152)+COUNTIF('5月'!DT6:DU6,V$152)+COUNTIF('5月'!DY6:DZ6,V$152)+COUNTIF('5月'!ED6:EE6,V$152)+COUNTIF('5月'!EI6:EJ6,V$152)+COUNTIF('5月'!EN6:EO6,V$152)+COUNTIF('5月'!ES6:ET6,V$152)</f>
        <v>0</v>
      </c>
      <c r="W156" s="76">
        <f t="shared" si="58"/>
        <v>0</v>
      </c>
      <c r="X156" s="76">
        <f>COUNTIF('5月'!D6:E6,X$152)+COUNTIF('5月'!I6:J6,X$152)+COUNTIF('5月'!N6:O6,X$152)+COUNTIF('5月'!S6:T6,X$152)+COUNTIF('5月'!X6:Y6,X$152)+COUNTIF('5月'!AC6:AD6,X$152)+COUNTIF('5月'!AH6:AI6,X$152)+COUNTIF('5月'!AM6:AN6,X$152)+COUNTIF('5月'!AR6:AS6,X$152)+COUNTIF('5月'!AW6:AX6,X$152)+COUNTIF('5月'!BB6:BC6,X$152)+COUNTIF('5月'!BG6:BH6,X$152)+COUNTIF('5月'!BL6:BM6,X$152)+COUNTIF('5月'!BQ6:BR6,X$152)+COUNTIF('5月'!BV6:BW6,X$152)+COUNTIF('5月'!CA6:CB6,X$152)+COUNTIF('5月'!CF6:CG6,X$152)+COUNTIF('5月'!CK6:CL6,X$152)+COUNTIF('5月'!CP6:CQ6,X$152)+COUNTIF('5月'!CU6:CV6,X$152)+COUNTIF('5月'!CZ6:DA6,X$152)+COUNTIF('5月'!DE6:DF6,X$152)+COUNTIF('5月'!DJ6:DK6,X$152)+COUNTIF('5月'!DO6:DP6,X$152)+COUNTIF('5月'!DT6:DU6,X$152)+COUNTIF('5月'!DY6:DZ6,X$152)+COUNTIF('5月'!ED6:EE6,X$152)+COUNTIF('5月'!EI6:EJ6,X$152)+COUNTIF('5月'!EN6:EO6,X$152)+COUNTIF('5月'!ES6:ET6,X$152)</f>
        <v>0</v>
      </c>
      <c r="Y156" s="76">
        <f t="shared" si="59"/>
        <v>0</v>
      </c>
    </row>
    <row r="157" spans="1:25" ht="18" customHeight="1">
      <c r="A157" s="76">
        <v>4</v>
      </c>
      <c r="B157" s="76">
        <f>COUNTIF('5月'!D7:E7,B$152)+COUNTIF('5月'!I7:J7,B$152)+COUNTIF('5月'!N7:O7,B$152)+COUNTIF('5月'!S7:T7,B$152)+COUNTIF('5月'!X7:Y7,B$152)+COUNTIF('5月'!AC7:AD7,B$152)+COUNTIF('5月'!AH7:AI7,B$152)+COUNTIF('5月'!AM7:AN7,B$152)+COUNTIF('5月'!AR7:AS7,B$152)+COUNTIF('5月'!AW7:AX7,B$152)+COUNTIF('5月'!BB7:BC7,B$152)+COUNTIF('5月'!BG7:BH7,B$152)+COUNTIF('5月'!BL7:BM7,B$152)+COUNTIF('5月'!BQ7:BR7,B$152)+COUNTIF('5月'!BV7:BW7,B$152)+COUNTIF('5月'!CA7:CB7,B$152)+COUNTIF('5月'!CF7:CG7,B$152)+COUNTIF('5月'!CK7:CL7,B$152)+COUNTIF('5月'!CP7:CQ7,B$152)+COUNTIF('5月'!CU7:CV7,B$152)+COUNTIF('5月'!CZ7:DA7,B$152)+COUNTIF('5月'!DE7:DF7,B$152)+COUNTIF('5月'!DJ7:DK7,B$152)+COUNTIF('5月'!DO7:DP7,B$152)+COUNTIF('5月'!DT7:DU7,B$152)+COUNTIF('5月'!DY7:DZ7,B$152)+COUNTIF('5月'!ED7:EE7,B$152)+COUNTIF('5月'!EI7:EJ7,B$152)+COUNTIF('5月'!EN7:EO7,B$152)+COUNTIF('5月'!ES7:ET7,B$152)</f>
        <v>0</v>
      </c>
      <c r="C157" s="76">
        <f t="shared" si="48"/>
        <v>0</v>
      </c>
      <c r="D157" s="76">
        <f>COUNTIF('5月'!D7:E7,D$152)+COUNTIF('5月'!I7:J7,D$152)+COUNTIF('5月'!N7:O7,D$152)+COUNTIF('5月'!S7:T7,D$152)+COUNTIF('5月'!X7:Y7,D$152)+COUNTIF('5月'!AC7:AD7,D$152)+COUNTIF('5月'!AH7:AI7,D$152)+COUNTIF('5月'!AM7:AN7,D$152)+COUNTIF('5月'!AR7:AS7,D$152)+COUNTIF('5月'!AW7:AX7,D$152)+COUNTIF('5月'!BB7:BC7,D$152)+COUNTIF('5月'!BG7:BH7,D$152)+COUNTIF('5月'!BL7:BM7,D$152)+COUNTIF('5月'!BQ7:BR7,D$152)+COUNTIF('5月'!BV7:BW7,D$152)+COUNTIF('5月'!CA7:CB7,D$152)+COUNTIF('5月'!CF7:CG7,D$152)+COUNTIF('5月'!CK7:CL7,D$152)+COUNTIF('5月'!CP7:CQ7,D$152)+COUNTIF('5月'!CU7:CV7,D$152)+COUNTIF('5月'!CZ7:DA7,D$152)+COUNTIF('5月'!DE7:DF7,D$152)+COUNTIF('5月'!DJ7:DK7,D$152)+COUNTIF('5月'!DO7:DP7,D$152)+COUNTIF('5月'!DT7:DU7,D$152)+COUNTIF('5月'!DY7:DZ7,D$152)+COUNTIF('5月'!ED7:EE7,D$152)+COUNTIF('5月'!EI7:EJ7,D$152)+COUNTIF('5月'!EN7:EO7,D$152)+COUNTIF('5月'!ES7:ET7,D$152)</f>
        <v>0</v>
      </c>
      <c r="E157" s="76">
        <f t="shared" si="49"/>
        <v>0</v>
      </c>
      <c r="F157" s="76">
        <f>COUNTIF('5月'!D7:E7,F$152)+COUNTIF('5月'!I7:J7,F$152)+COUNTIF('5月'!N7:O7,F$152)+COUNTIF('5月'!S7:T7,F$152)+COUNTIF('5月'!X7:Y7,F$152)+COUNTIF('5月'!AC7:AD7,F$152)+COUNTIF('5月'!AH7:AI7,F$152)+COUNTIF('5月'!AM7:AN7,F$152)+COUNTIF('5月'!AR7:AS7,F$152)+COUNTIF('5月'!AW7:AX7,F$152)+COUNTIF('5月'!BB7:BC7,F$152)+COUNTIF('5月'!BG7:BH7,F$152)+COUNTIF('5月'!BL7:BM7,F$152)+COUNTIF('5月'!BQ7:BR7,F$152)+COUNTIF('5月'!BV7:BW7,F$152)+COUNTIF('5月'!CA7:CB7,F$152)+COUNTIF('5月'!CF7:CG7,F$152)+COUNTIF('5月'!CK7:CL7,F$152)+COUNTIF('5月'!CP7:CQ7,F$152)+COUNTIF('5月'!CU7:CV7,F$152)+COUNTIF('5月'!CZ7:DA7,F$152)+COUNTIF('5月'!DE7:DF7,F$152)+COUNTIF('5月'!DJ7:DK7,F$152)+COUNTIF('5月'!DO7:DP7,F$152)+COUNTIF('5月'!DT7:DU7,F$152)+COUNTIF('5月'!DY7:DZ7,F$152)+COUNTIF('5月'!ED7:EE7,F$152)+COUNTIF('5月'!EI7:EJ7,F$152)+COUNTIF('5月'!EN7:EO7,F$152)+COUNTIF('5月'!ES7:ET7,F$152)</f>
        <v>0</v>
      </c>
      <c r="G157" s="76">
        <f t="shared" si="50"/>
        <v>0</v>
      </c>
      <c r="H157" s="76">
        <f>COUNTIF('5月'!D7:E7,H$152)+COUNTIF('5月'!I7:J7,H$152)+COUNTIF('5月'!N7:O7,H$152)+COUNTIF('5月'!S7:T7,H$152)+COUNTIF('5月'!X7:Y7,H$152)+COUNTIF('5月'!AC7:AD7,H$152)+COUNTIF('5月'!AH7:AI7,H$152)+COUNTIF('5月'!AM7:AN7,H$152)+COUNTIF('5月'!AR7:AS7,H$152)+COUNTIF('5月'!AW7:AX7,H$152)+COUNTIF('5月'!BB7:BC7,H$152)+COUNTIF('5月'!BG7:BH7,H$152)+COUNTIF('5月'!BL7:BM7,H$152)+COUNTIF('5月'!BQ7:BR7,H$152)+COUNTIF('5月'!BV7:BW7,H$152)+COUNTIF('5月'!CA7:CB7,H$152)+COUNTIF('5月'!CF7:CG7,H$152)+COUNTIF('5月'!CK7:CL7,H$152)+COUNTIF('5月'!CP7:CQ7,H$152)+COUNTIF('5月'!CU7:CV7,H$152)+COUNTIF('5月'!CZ7:DA7,H$152)+COUNTIF('5月'!DE7:DF7,H$152)+COUNTIF('5月'!DJ7:DK7,H$152)+COUNTIF('5月'!DO7:DP7,H$152)+COUNTIF('5月'!DT7:DU7,H$152)+COUNTIF('5月'!DY7:DZ7,H$152)+COUNTIF('5月'!ED7:EE7,H$152)+COUNTIF('5月'!EI7:EJ7,H$152)+COUNTIF('5月'!EN7:EO7,H$152)+COUNTIF('5月'!ES7:ET7,H$152)+COUNTIF('5月'!D7:E7,"渋谷-夜勤")+COUNTIF('5月'!I7:J7,"渋谷-夜勤")+COUNTIF('5月'!N7:O7,"渋谷-夜勤")+COUNTIF('5月'!S7:T7,"渋谷-夜勤")+COUNTIF('5月'!X7:Y7,"渋谷-夜勤")+COUNTIF('5月'!AC7:AD7,"渋谷-夜勤")+COUNTIF('5月'!AH7:AI7,"渋谷-夜勤")+COUNTIF('5月'!AM7:AN7,"渋谷-夜勤")+COUNTIF('5月'!AR7:AS7,"渋谷-夜勤")+COUNTIF('5月'!AW7:AX7,"渋谷-夜勤")+COUNTIF('5月'!BB7:BC7,"渋谷-夜勤")+COUNTIF('5月'!BG7:BH7,"渋谷-夜勤")+COUNTIF('5月'!BL7:BM7,"渋谷-夜勤")+COUNTIF('5月'!BQ7:BR7,"渋谷-夜勤")+COUNTIF('5月'!BV7:BW7,"渋谷-夜勤")+COUNTIF('5月'!CA7:CB7,"渋谷-夜勤")+COUNTIF('5月'!CF7:CG7,"渋谷-夜勤")+COUNTIF('5月'!CK7:CL7,"渋谷-夜勤")+COUNTIF('5月'!CP7:CQ7,"渋谷-夜勤")+COUNTIF('5月'!CU7:CV7,"渋谷-夜勤")+COUNTIF('5月'!CZ7:DA7,"渋谷-夜勤")+COUNTIF('5月'!DE7:DF7,"渋谷-夜勤")+COUNTIF('5月'!DJ7:DK7,"渋谷-夜勤")+COUNTIF('5月'!DO7:DP7,"渋谷-夜勤")+COUNTIF('5月'!DT7:DU7,"渋谷-夜勤")+COUNTIF('5月'!DY7:DZ7,"渋谷-夜勤")+COUNTIF('5月'!ED7:EE7,"渋谷-夜勤")+COUNTIF('5月'!EI7:EJ7,"渋谷-夜勤")+COUNTIF('5月'!EN7:EO7,"渋谷-夜勤")+COUNTIF('5月'!ES7:ET7,"渋谷-夜勤")</f>
        <v>0</v>
      </c>
      <c r="I157" s="76">
        <f t="shared" si="51"/>
        <v>0</v>
      </c>
      <c r="J157" s="76">
        <f>COUNTIF('5月'!D7:E7,J$152)+COUNTIF('5月'!I7:J7,J$152)+COUNTIF('5月'!N7:O7,J$152)+COUNTIF('5月'!S7:T7,J$152)+COUNTIF('5月'!X7:Y7,J$152)+COUNTIF('5月'!AC7:AD7,J$152)+COUNTIF('5月'!AH7:AI7,J$152)+COUNTIF('5月'!AM7:AN7,J$152)+COUNTIF('5月'!AR7:AS7,J$152)+COUNTIF('5月'!AW7:AX7,J$152)+COUNTIF('5月'!BB7:BC7,J$152)+COUNTIF('5月'!BG7:BH7,J$152)+COUNTIF('5月'!BL7:BM7,J$152)+COUNTIF('5月'!BQ7:BR7,J$152)+COUNTIF('5月'!BV7:BW7,J$152)+COUNTIF('5月'!CA7:CB7,J$152)+COUNTIF('5月'!CF7:CG7,J$152)+COUNTIF('5月'!CK7:CL7,J$152)+COUNTIF('5月'!CP7:CQ7,J$152)+COUNTIF('5月'!CU7:CV7,J$152)+COUNTIF('5月'!CZ7:DA7,J$152)+COUNTIF('5月'!DE7:DF7,J$152)+COUNTIF('5月'!DJ7:DK7,J$152)+COUNTIF('5月'!DO7:DP7,J$152)+COUNTIF('5月'!DT7:DU7,J$152)+COUNTIF('5月'!DY7:DZ7,J$152)+COUNTIF('5月'!ED7:EE7,J$152)+COUNTIF('5月'!EI7:EJ7,J$152)+COUNTIF('5月'!EN7:EO7,J$152)+COUNTIF('5月'!ES7:ET7,J$152)+COUNTIF('5月'!D7:E7,"六本木-夜勤")+COUNTIF('5月'!I7:J7,"六本木-夜勤")+COUNTIF('5月'!N7:O7,"六本木-夜勤")+COUNTIF('5月'!S7:T7,"六本木-夜勤")+COUNTIF('5月'!X7:Y7,"六本木-夜勤")+COUNTIF('5月'!AC7:AD7,"六本木-夜勤")+COUNTIF('5月'!AH7:AI7,"六本木-夜勤")+COUNTIF('5月'!AM7:AN7,"六本木-夜勤")+COUNTIF('5月'!AR7:AS7,"六本木-夜勤")+COUNTIF('5月'!AW7:AX7,"六本木-夜勤")+COUNTIF('5月'!BB7:BC7,"六本木-夜勤")+COUNTIF('5月'!BG7:BH7,"六本木-夜勤")+COUNTIF('5月'!BL7:BM7,"六本木-夜勤")+COUNTIF('5月'!BQ7:BR7,"六本木-夜勤")+COUNTIF('5月'!BV7:BW7,"六本木-夜勤")+COUNTIF('5月'!CA7:CB7,"六本木-夜勤")+COUNTIF('5月'!CF7:CG7,"六本木-夜勤")+COUNTIF('5月'!CK7:CL7,"六本木-夜勤")+COUNTIF('5月'!CP7:CQ7,"六本木-夜勤")+COUNTIF('5月'!CU7:CV7,"六本木-夜勤")+COUNTIF('5月'!CZ7:DA7,"六本木-夜勤")+COUNTIF('5月'!DE7:DF7,"六本木-夜勤")+COUNTIF('5月'!DJ7:DK7,"六本木-夜勤")+COUNTIF('5月'!DO7:DP7,"六本木-夜勤")+COUNTIF('5月'!DT7:DU7,"六本木-夜勤")+COUNTIF('5月'!DY7:DZ7,"六本木-夜勤")+COUNTIF('5月'!ED7:EE7,"六本木-夜勤")+COUNTIF('5月'!EI7:EJ7,"六本木-夜勤")+COUNTIF('5月'!EN7:EO7,"六本木-夜勤")+COUNTIF('5月'!ES7:ET7,"六本木-夜勤")+COUNTIF('5月'!D7:E7,"六本木ー夜勤")+COUNTIF('5月'!I7:J7,"六本木ー夜勤")+COUNTIF('5月'!N7:O7,"六本木ー夜勤")+COUNTIF('5月'!S7:T7,"六本木ー夜勤")+COUNTIF('5月'!X7:Y7,"六本木ー夜勤")+COUNTIF('5月'!AC7:AD7,"六本木ー夜勤")+COUNTIF('5月'!AH7:AI7,"六本木ー夜勤")+COUNTIF('5月'!AM7:AN7,"六本木ー夜勤")+COUNTIF('5月'!AR7:AS7,"六本木ー夜勤")+COUNTIF('5月'!AW7:AX7,"六本木ー夜勤")+COUNTIF('5月'!BB7:BC7,"六本木ー夜勤")+COUNTIF('5月'!BG7:BH7,"六本木ー夜勤")+COUNTIF('5月'!BL7:BM7,"六本木ー夜勤")+COUNTIF('5月'!BQ7:BR7,"六本木ー夜勤")+COUNTIF('5月'!BV7:BW7,"六本木ー夜勤")+COUNTIF('5月'!CA7:CB7,"六本木ー夜勤")+COUNTIF('5月'!CF7:CG7,"六本木ー夜勤")+COUNTIF('5月'!CK7:CL7,"六本木ー夜勤")+COUNTIF('5月'!CP7:CQ7,"六本木ー夜勤")+COUNTIF('5月'!CU7:CV7,"六本木ー夜勤")+COUNTIF('5月'!CZ7:DA7,"六本木ー夜勤")+COUNTIF('5月'!DE7:DF7,"六本木ー夜勤")+COUNTIF('5月'!DJ7:DK7,"六本木ー夜勤")+COUNTIF('5月'!DO7:DP7,"六本木ー夜勤")+COUNTIF('5月'!DT7:DU7,"六本木ー夜勤")+COUNTIF('5月'!DY7:DZ7,"六本木ー夜勤")+COUNTIF('5月'!ED7:EE7,"六本木ー夜勤")+COUNTIF('5月'!EI7:EJ7,"六本木ー夜勤")+COUNTIF('5月'!EN7:EO7,"六本木ー夜勤")+COUNTIF('5月'!ES7:ET7,"六本木ー夜勤")</f>
        <v>0</v>
      </c>
      <c r="K157" s="76">
        <f t="shared" si="52"/>
        <v>0</v>
      </c>
      <c r="L157" s="76">
        <f>COUNTIF('5月'!D7:E7,L$152)+COUNTIF('5月'!I7:J7,L$152)+COUNTIF('5月'!N7:O7,L$152)+COUNTIF('5月'!S7:T7,L$152)+COUNTIF('5月'!X7:Y7,L$152)+COUNTIF('5月'!AC7:AD7,L$152)+COUNTIF('5月'!AH7:AI7,L$152)+COUNTIF('5月'!AM7:AN7,L$152)+COUNTIF('5月'!AR7:AS7,L$152)+COUNTIF('5月'!AW7:AX7,L$152)+COUNTIF('5月'!BB7:BC7,L$152)+COUNTIF('5月'!BG7:BH7,L$152)+COUNTIF('5月'!BL7:BM7,L$152)+COUNTIF('5月'!BQ7:BR7,L$152)+COUNTIF('5月'!BV7:BW7,L$152)+COUNTIF('5月'!CA7:CB7,L$152)+COUNTIF('5月'!CF7:CG7,L$152)+COUNTIF('5月'!CK7:CL7,L$152)+COUNTIF('5月'!CP7:CQ7,L$152)+COUNTIF('5月'!CU7:CV7,L$152)+COUNTIF('5月'!CZ7:DA7,L$152)+COUNTIF('5月'!DE7:DF7,L$152)+COUNTIF('5月'!DJ7:DK7,L$152)+COUNTIF('5月'!DO7:DP7,L$152)+COUNTIF('5月'!DT7:DU7,L$152)+COUNTIF('5月'!DY7:DZ7,L$152)+COUNTIF('5月'!ED7:EE7,L$152)+COUNTIF('5月'!EI7:EJ7,L$152)+COUNTIF('5月'!EN7:EO7,L$152)+COUNTIF('5月'!ES7:ET7,L$152)</f>
        <v>0</v>
      </c>
      <c r="M157" s="76">
        <f t="shared" si="53"/>
        <v>0</v>
      </c>
      <c r="N157" s="76">
        <f>COUNTIF('5月'!D7:E7,N$152)+COUNTIF('5月'!I7:J7,N$152)+COUNTIF('5月'!N7:O7,N$152)+COUNTIF('5月'!S7:T7,N$152)+COUNTIF('5月'!X7:Y7,N$152)+COUNTIF('5月'!AC7:AD7,N$152)+COUNTIF('5月'!AH7:AI7,N$152)+COUNTIF('5月'!AM7:AN7,N$152)+COUNTIF('5月'!AR7:AS7,N$152)+COUNTIF('5月'!AW7:AX7,N$152)+COUNTIF('5月'!BB7:BC7,N$152)+COUNTIF('5月'!BG7:BH7,N$152)+COUNTIF('5月'!BL7:BM7,N$152)+COUNTIF('5月'!BQ7:BR7,N$152)+COUNTIF('5月'!BV7:BW7,N$152)+COUNTIF('5月'!CA7:CB7,N$152)+COUNTIF('5月'!CF7:CG7,N$152)+COUNTIF('5月'!CK7:CL7,N$152)+COUNTIF('5月'!CP7:CQ7,N$152)+COUNTIF('5月'!CU7:CV7,N$152)+COUNTIF('5月'!CZ7:DA7,N$152)+COUNTIF('5月'!DE7:DF7,N$152)+COUNTIF('5月'!DJ7:DK7,N$152)+COUNTIF('5月'!DO7:DP7,N$152)+COUNTIF('5月'!DT7:DU7,N$152)+COUNTIF('5月'!DY7:DZ7,N$152)+COUNTIF('5月'!ED7:EE7,N$152)+COUNTIF('5月'!EI7:EJ7,N$152)+COUNTIF('5月'!EN7:EO7,N$152)+COUNTIF('5月'!ES7:ET7,N$152)+COUNTIF('5月'!D7:E7,"三軒茶屋－夜勤")+COUNTIF('5月'!I7:J7,"三軒茶屋－夜勤")+COUNTIF('5月'!N7:O7,"三軒茶屋－夜勤")+COUNTIF('5月'!S7:T7,"三軒茶屋－夜勤")+COUNTIF('5月'!X7:Y7,"三軒茶屋－夜勤")+COUNTIF('5月'!AC7:AD7,"三軒茶屋－夜勤")+COUNTIF('5月'!AH7:AI7,"三軒茶屋－夜勤")+COUNTIF('5月'!AM7:AN7,"三軒茶屋－夜勤")+COUNTIF('5月'!AR7:AS7,"三軒茶屋－夜勤")+COUNTIF('5月'!AW7:AX7,"三軒茶屋－夜勤")+COUNTIF('5月'!BB7:BC7,"三軒茶屋－夜勤")+COUNTIF('5月'!BG7:BH7,"三軒茶屋－夜勤")+COUNTIF('5月'!BL7:BM7,"三軒茶屋－夜勤")+COUNTIF('5月'!BQ7:BR7,"三軒茶屋－夜勤")+COUNTIF('5月'!BV7:BW7,"三軒茶屋－夜勤")+COUNTIF('5月'!CA7:CB7,"三軒茶屋－夜勤")+COUNTIF('5月'!CF7:CG7,"三軒茶屋－夜勤")+COUNTIF('5月'!CK7:CL7,"三軒茶屋－夜勤")+COUNTIF('5月'!CP7:CQ7,"三軒茶屋－夜勤")+COUNTIF('5月'!CU7:CV7,"三軒茶屋－夜勤")+COUNTIF('5月'!CZ7:DA7,"三軒茶屋－夜勤")+COUNTIF('5月'!DE7:DF7,"三軒茶屋－夜勤")+COUNTIF('5月'!DJ7:DK7,"三軒茶屋－夜勤")+COUNTIF('5月'!DO7:DP7,"三軒茶屋－夜勤")+COUNTIF('5月'!DT7:DU7,"三軒茶屋－夜勤")+COUNTIF('5月'!DY7:DZ7,"三軒茶屋－夜勤")+COUNTIF('5月'!ED7:EE7,"三軒茶屋－夜勤")+COUNTIF('5月'!EI7:EJ7,"三軒茶屋－夜勤")+COUNTIF('5月'!EN7:EO7,"三軒茶屋－夜勤")+COUNTIF('5月'!ES7:ET7,"三軒茶屋－夜勤")</f>
        <v>0</v>
      </c>
      <c r="O157" s="76">
        <f t="shared" si="54"/>
        <v>0</v>
      </c>
      <c r="P157" s="76">
        <f>COUNTIF('5月'!D7:E7,P$152)+COUNTIF('5月'!I7:J7,P$152)+COUNTIF('5月'!N7:O7,P$152)+COUNTIF('5月'!S7:T7,P$152)+COUNTIF('5月'!X7:Y7,P$152)+COUNTIF('5月'!AC7:AD7,P$152)+COUNTIF('5月'!AH7:AI7,P$152)+COUNTIF('5月'!AM7:AN7,P$152)+COUNTIF('5月'!AR7:AS7,P$152)+COUNTIF('5月'!AW7:AX7,P$152)+COUNTIF('5月'!BB7:BC7,P$152)+COUNTIF('5月'!BG7:BH7,P$152)+COUNTIF('5月'!BL7:BM7,P$152)+COUNTIF('5月'!BQ7:BR7,P$152)+COUNTIF('5月'!BV7:BW7,P$152)+COUNTIF('5月'!CA7:CB7,P$152)+COUNTIF('5月'!CF7:CG7,P$152)+COUNTIF('5月'!CK7:CL7,P$152)+COUNTIF('5月'!CP7:CQ7,P$152)+COUNTIF('5月'!CU7:CV7,P$152)+COUNTIF('5月'!CZ7:DA7,P$152)+COUNTIF('5月'!DE7:DF7,P$152)+COUNTIF('5月'!DJ7:DK7,P$152)+COUNTIF('5月'!DO7:DP7,P$152)+COUNTIF('5月'!DT7:DU7,P$152)+COUNTIF('5月'!DY7:DZ7,P$152)+COUNTIF('5月'!ED7:EE7,P$152)+COUNTIF('5月'!EI7:EJ7,P$152)+COUNTIF('5月'!EN7:EO7,P$152)+COUNTIF('5月'!ES7:ET7,P$152)+COUNTIF('5月'!D7:E7,"荻窪ー夜勤")+COUNTIF('5月'!I7:J7,"荻窪ー夜勤")+COUNTIF('5月'!N7:O7,"荻窪ー夜勤")+COUNTIF('5月'!S7:T7,"荻窪ー夜勤")+COUNTIF('5月'!X7:Y7,"荻窪ー夜勤")+COUNTIF('5月'!AC7:AD7,"荻窪ー夜勤")+COUNTIF('5月'!AH7:AI7,"荻窪ー夜勤")+COUNTIF('5月'!AM7:AN7,"荻窪ー夜勤")+COUNTIF('5月'!AR7:AS7,"荻窪ー夜勤")+COUNTIF('5月'!AW7:AX7,"荻窪ー夜勤")+COUNTIF('5月'!BB7:BC7,"荻窪ー夜勤")+COUNTIF('5月'!BG7:BH7,"荻窪ー夜勤")+COUNTIF('5月'!BL7:BM7,"荻窪ー夜勤")+COUNTIF('5月'!BQ7:BR7,"荻窪ー夜勤")+COUNTIF('5月'!BV7:BW7,"荻窪ー夜勤")+COUNTIF('5月'!CA7:CB7,"荻窪ー夜勤")+COUNTIF('5月'!CF7:CG7,"荻窪ー夜勤")+COUNTIF('5月'!CK7:CL7,"荻窪ー夜勤")+COUNTIF('5月'!CP7:CQ7,"荻窪ー夜勤")+COUNTIF('5月'!CU7:CV7,"荻窪ー夜勤")+COUNTIF('5月'!CZ7:DA7,"荻窪ー夜勤")+COUNTIF('5月'!DE7:DF7,"荻窪ー夜勤")+COUNTIF('5月'!DJ7:DK7,"荻窪ー夜勤")+COUNTIF('5月'!DO7:DP7,"荻窪ー夜勤")+COUNTIF('5月'!DT7:DU7,"荻窪ー夜勤")+COUNTIF('5月'!DY7:DZ7,"荻窪ー夜勤")+COUNTIF('5月'!ED7:EE7,"荻窪ー夜勤")+COUNTIF('5月'!EI7:EJ7,"荻窪ー夜勤")+COUNTIF('5月'!EN7:EO7,"荻窪ー夜勤")+COUNTIF('5月'!ES7:ET7,"荻窪ー夜勤")</f>
        <v>0</v>
      </c>
      <c r="Q157" s="76">
        <f t="shared" si="55"/>
        <v>0</v>
      </c>
      <c r="R157" s="76">
        <f>COUNTIF('5月'!D7:E7,R$152)+COUNTIF('5月'!I7:J7,R$152)+COUNTIF('5月'!N7:O7,R$152)+COUNTIF('5月'!S7:T7,R$152)+COUNTIF('5月'!X7:Y7,R$152)+COUNTIF('5月'!AC7:AD7,R$152)+COUNTIF('5月'!AH7:AI7,R$152)+COUNTIF('5月'!AM7:AN7,R$152)+COUNTIF('5月'!AR7:AS7,R$152)+COUNTIF('5月'!AW7:AX7,R$152)+COUNTIF('5月'!BB7:BC7,R$152)+COUNTIF('5月'!BG7:BH7,R$152)+COUNTIF('5月'!BL7:BM7,R$152)+COUNTIF('5月'!BQ7:BR7,R$152)+COUNTIF('5月'!BV7:BW7,R$152)+COUNTIF('5月'!CA7:CB7,R$152)+COUNTIF('5月'!CF7:CG7,R$152)+COUNTIF('5月'!CK7:CL7,R$152)+COUNTIF('5月'!CP7:CQ7,R$152)+COUNTIF('5月'!CU7:CV7,R$152)+COUNTIF('5月'!CZ7:DA7,R$152)+COUNTIF('5月'!DE7:DF7,R$152)+COUNTIF('5月'!DJ7:DK7,R$152)+COUNTIF('5月'!DO7:DP7,R$152)+COUNTIF('5月'!DT7:DU7,R$152)+COUNTIF('5月'!DY7:DZ7,R$152)+COUNTIF('5月'!ED7:EE7,R$152)+COUNTIF('5月'!EI7:EJ7,R$152)+COUNTIF('5月'!EN7:EO7,R$152)+COUNTIF('5月'!ES7:ET7,R$152)</f>
        <v>0</v>
      </c>
      <c r="S157" s="76">
        <f t="shared" si="56"/>
        <v>0</v>
      </c>
      <c r="T157" s="76">
        <f>COUNTIF('5月'!D7:E7,T$152)+COUNTIF('5月'!I7:J7,T$152)+COUNTIF('5月'!N7:O7,T$152)+COUNTIF('5月'!S7:T7,T$152)+COUNTIF('5月'!X7:Y7,T$152)+COUNTIF('5月'!AC7:AD7,T$152)+COUNTIF('5月'!AH7:AI7,T$152)+COUNTIF('5月'!AM7:AN7,T$152)+COUNTIF('5月'!AR7:AS7,T$152)+COUNTIF('5月'!AW7:AX7,T$152)+COUNTIF('5月'!BB7:BC7,T$152)+COUNTIF('5月'!BG7:BH7,T$152)+COUNTIF('5月'!BL7:BM7,T$152)+COUNTIF('5月'!BQ7:BR7,T$152)+COUNTIF('5月'!BV7:BW7,T$152)+COUNTIF('5月'!CA7:CB7,T$152)+COUNTIF('5月'!CF7:CG7,T$152)+COUNTIF('5月'!CK7:CL7,T$152)+COUNTIF('5月'!CP7:CQ7,T$152)+COUNTIF('5月'!CU7:CV7,T$152)+COUNTIF('5月'!CZ7:DA7,T$152)+COUNTIF('5月'!DE7:DF7,T$152)+COUNTIF('5月'!DJ7:DK7,T$152)+COUNTIF('5月'!DO7:DP7,T$152)+COUNTIF('5月'!DT7:DU7,T$152)+COUNTIF('5月'!DY7:DZ7,T$152)+COUNTIF('5月'!ED7:EE7,T$152)+COUNTIF('5月'!EI7:EJ7,T$152)+COUNTIF('5月'!EN7:EO7,T$152)+COUNTIF('5月'!ES7:ET7,T$152)</f>
        <v>0</v>
      </c>
      <c r="U157" s="76">
        <f t="shared" si="57"/>
        <v>0</v>
      </c>
      <c r="V157" s="76">
        <f>COUNTIF('5月'!D7:E7,V$152)+COUNTIF('5月'!I7:J7,V$152)+COUNTIF('5月'!N7:O7,V$152)+COUNTIF('5月'!S7:T7,V$152)+COUNTIF('5月'!X7:Y7,V$152)+COUNTIF('5月'!AC7:AD7,V$152)+COUNTIF('5月'!AH7:AI7,V$152)+COUNTIF('5月'!AM7:AN7,V$152)+COUNTIF('5月'!AR7:AS7,V$152)+COUNTIF('5月'!AW7:AX7,V$152)+COUNTIF('5月'!BB7:BC7,V$152)+COUNTIF('5月'!BG7:BH7,V$152)+COUNTIF('5月'!BL7:BM7,V$152)+COUNTIF('5月'!BQ7:BR7,V$152)+COUNTIF('5月'!BV7:BW7,V$152)+COUNTIF('5月'!CA7:CB7,V$152)+COUNTIF('5月'!CF7:CG7,V$152)+COUNTIF('5月'!CK7:CL7,V$152)+COUNTIF('5月'!CP7:CQ7,V$152)+COUNTIF('5月'!CU7:CV7,V$152)+COUNTIF('5月'!CZ7:DA7,V$152)+COUNTIF('5月'!DE7:DF7,V$152)+COUNTIF('5月'!DJ7:DK7,V$152)+COUNTIF('5月'!DO7:DP7,V$152)+COUNTIF('5月'!DT7:DU7,V$152)+COUNTIF('5月'!DY7:DZ7,V$152)+COUNTIF('5月'!ED7:EE7,V$152)+COUNTIF('5月'!EI7:EJ7,V$152)+COUNTIF('5月'!EN7:EO7,V$152)+COUNTIF('5月'!ES7:ET7,V$152)</f>
        <v>0</v>
      </c>
      <c r="W157" s="76">
        <f t="shared" si="58"/>
        <v>0</v>
      </c>
      <c r="X157" s="76">
        <f>COUNTIF('5月'!D7:E7,X$152)+COUNTIF('5月'!I7:J7,X$152)+COUNTIF('5月'!N7:O7,X$152)+COUNTIF('5月'!S7:T7,X$152)+COUNTIF('5月'!X7:Y7,X$152)+COUNTIF('5月'!AC7:AD7,X$152)+COUNTIF('5月'!AH7:AI7,X$152)+COUNTIF('5月'!AM7:AN7,X$152)+COUNTIF('5月'!AR7:AS7,X$152)+COUNTIF('5月'!AW7:AX7,X$152)+COUNTIF('5月'!BB7:BC7,X$152)+COUNTIF('5月'!BG7:BH7,X$152)+COUNTIF('5月'!BL7:BM7,X$152)+COUNTIF('5月'!BQ7:BR7,X$152)+COUNTIF('5月'!BV7:BW7,X$152)+COUNTIF('5月'!CA7:CB7,X$152)+COUNTIF('5月'!CF7:CG7,X$152)+COUNTIF('5月'!CK7:CL7,X$152)+COUNTIF('5月'!CP7:CQ7,X$152)+COUNTIF('5月'!CU7:CV7,X$152)+COUNTIF('5月'!CZ7:DA7,X$152)+COUNTIF('5月'!DE7:DF7,X$152)+COUNTIF('5月'!DJ7:DK7,X$152)+COUNTIF('5月'!DO7:DP7,X$152)+COUNTIF('5月'!DT7:DU7,X$152)+COUNTIF('5月'!DY7:DZ7,X$152)+COUNTIF('5月'!ED7:EE7,X$152)+COUNTIF('5月'!EI7:EJ7,X$152)+COUNTIF('5月'!EN7:EO7,X$152)+COUNTIF('5月'!ES7:ET7,X$152)</f>
        <v>0</v>
      </c>
      <c r="Y157" s="76">
        <f t="shared" si="59"/>
        <v>0</v>
      </c>
    </row>
    <row r="158" spans="1:25" ht="18" customHeight="1">
      <c r="A158" s="76">
        <v>5</v>
      </c>
      <c r="B158" s="76">
        <f>COUNTIF('5月'!D8:E8,B$152)+COUNTIF('5月'!I8:J8,B$152)+COUNTIF('5月'!N8:O8,B$152)+COUNTIF('5月'!S8:T8,B$152)+COUNTIF('5月'!X8:Y8,B$152)+COUNTIF('5月'!AC8:AD8,B$152)+COUNTIF('5月'!AH8:AI8,B$152)+COUNTIF('5月'!AM8:AN8,B$152)+COUNTIF('5月'!AR8:AS8,B$152)+COUNTIF('5月'!AW8:AX8,B$152)+COUNTIF('5月'!BB8:BC8,B$152)+COUNTIF('5月'!BG8:BH8,B$152)+COUNTIF('5月'!BL8:BM8,B$152)+COUNTIF('5月'!BQ8:BR8,B$152)+COUNTIF('5月'!BV8:BW8,B$152)+COUNTIF('5月'!CA8:CB8,B$152)+COUNTIF('5月'!CF8:CG8,B$152)+COUNTIF('5月'!CK8:CL8,B$152)+COUNTIF('5月'!CP8:CQ8,B$152)+COUNTIF('5月'!CU8:CV8,B$152)+COUNTIF('5月'!CZ8:DA8,B$152)+COUNTIF('5月'!DE8:DF8,B$152)+COUNTIF('5月'!DJ8:DK8,B$152)+COUNTIF('5月'!DO8:DP8,B$152)+COUNTIF('5月'!DT8:DU8,B$152)+COUNTIF('5月'!DY8:DZ8,B$152)+COUNTIF('5月'!ED8:EE8,B$152)+COUNTIF('5月'!EI8:EJ8,B$152)+COUNTIF('5月'!EN8:EO8,B$152)+COUNTIF('5月'!ES8:ET8,B$152)</f>
        <v>0</v>
      </c>
      <c r="C158" s="76">
        <f t="shared" si="48"/>
        <v>0</v>
      </c>
      <c r="D158" s="76">
        <f>COUNTIF('5月'!D8:E8,D$152)+COUNTIF('5月'!I8:J8,D$152)+COUNTIF('5月'!N8:O8,D$152)+COUNTIF('5月'!S8:T8,D$152)+COUNTIF('5月'!X8:Y8,D$152)+COUNTIF('5月'!AC8:AD8,D$152)+COUNTIF('5月'!AH8:AI8,D$152)+COUNTIF('5月'!AM8:AN8,D$152)+COUNTIF('5月'!AR8:AS8,D$152)+COUNTIF('5月'!AW8:AX8,D$152)+COUNTIF('5月'!BB8:BC8,D$152)+COUNTIF('5月'!BG8:BH8,D$152)+COUNTIF('5月'!BL8:BM8,D$152)+COUNTIF('5月'!BQ8:BR8,D$152)+COUNTIF('5月'!BV8:BW8,D$152)+COUNTIF('5月'!CA8:CB8,D$152)+COUNTIF('5月'!CF8:CG8,D$152)+COUNTIF('5月'!CK8:CL8,D$152)+COUNTIF('5月'!CP8:CQ8,D$152)+COUNTIF('5月'!CU8:CV8,D$152)+COUNTIF('5月'!CZ8:DA8,D$152)+COUNTIF('5月'!DE8:DF8,D$152)+COUNTIF('5月'!DJ8:DK8,D$152)+COUNTIF('5月'!DO8:DP8,D$152)+COUNTIF('5月'!DT8:DU8,D$152)+COUNTIF('5月'!DY8:DZ8,D$152)+COUNTIF('5月'!ED8:EE8,D$152)+COUNTIF('5月'!EI8:EJ8,D$152)+COUNTIF('5月'!EN8:EO8,D$152)+COUNTIF('5月'!ES8:ET8,D$152)</f>
        <v>0</v>
      </c>
      <c r="E158" s="76">
        <f t="shared" si="49"/>
        <v>0</v>
      </c>
      <c r="F158" s="76">
        <f>COUNTIF('5月'!D8:E8,F$152)+COUNTIF('5月'!I8:J8,F$152)+COUNTIF('5月'!N8:O8,F$152)+COUNTIF('5月'!S8:T8,F$152)+COUNTIF('5月'!X8:Y8,F$152)+COUNTIF('5月'!AC8:AD8,F$152)+COUNTIF('5月'!AH8:AI8,F$152)+COUNTIF('5月'!AM8:AN8,F$152)+COUNTIF('5月'!AR8:AS8,F$152)+COUNTIF('5月'!AW8:AX8,F$152)+COUNTIF('5月'!BB8:BC8,F$152)+COUNTIF('5月'!BG8:BH8,F$152)+COUNTIF('5月'!BL8:BM8,F$152)+COUNTIF('5月'!BQ8:BR8,F$152)+COUNTIF('5月'!BV8:BW8,F$152)+COUNTIF('5月'!CA8:CB8,F$152)+COUNTIF('5月'!CF8:CG8,F$152)+COUNTIF('5月'!CK8:CL8,F$152)+COUNTIF('5月'!CP8:CQ8,F$152)+COUNTIF('5月'!CU8:CV8,F$152)+COUNTIF('5月'!CZ8:DA8,F$152)+COUNTIF('5月'!DE8:DF8,F$152)+COUNTIF('5月'!DJ8:DK8,F$152)+COUNTIF('5月'!DO8:DP8,F$152)+COUNTIF('5月'!DT8:DU8,F$152)+COUNTIF('5月'!DY8:DZ8,F$152)+COUNTIF('5月'!ED8:EE8,F$152)+COUNTIF('5月'!EI8:EJ8,F$152)+COUNTIF('5月'!EN8:EO8,F$152)+COUNTIF('5月'!ES8:ET8,F$152)</f>
        <v>0</v>
      </c>
      <c r="G158" s="76">
        <f t="shared" si="50"/>
        <v>0</v>
      </c>
      <c r="H158" s="76">
        <f>COUNTIF('5月'!D8:E8,H$152)+COUNTIF('5月'!I8:J8,H$152)+COUNTIF('5月'!N8:O8,H$152)+COUNTIF('5月'!S8:T8,H$152)+COUNTIF('5月'!X8:Y8,H$152)+COUNTIF('5月'!AC8:AD8,H$152)+COUNTIF('5月'!AH8:AI8,H$152)+COUNTIF('5月'!AM8:AN8,H$152)+COUNTIF('5月'!AR8:AS8,H$152)+COUNTIF('5月'!AW8:AX8,H$152)+COUNTIF('5月'!BB8:BC8,H$152)+COUNTIF('5月'!BG8:BH8,H$152)+COUNTIF('5月'!BL8:BM8,H$152)+COUNTIF('5月'!BQ8:BR8,H$152)+COUNTIF('5月'!BV8:BW8,H$152)+COUNTIF('5月'!CA8:CB8,H$152)+COUNTIF('5月'!CF8:CG8,H$152)+COUNTIF('5月'!CK8:CL8,H$152)+COUNTIF('5月'!CP8:CQ8,H$152)+COUNTIF('5月'!CU8:CV8,H$152)+COUNTIF('5月'!CZ8:DA8,H$152)+COUNTIF('5月'!DE8:DF8,H$152)+COUNTIF('5月'!DJ8:DK8,H$152)+COUNTIF('5月'!DO8:DP8,H$152)+COUNTIF('5月'!DT8:DU8,H$152)+COUNTIF('5月'!DY8:DZ8,H$152)+COUNTIF('5月'!ED8:EE8,H$152)+COUNTIF('5月'!EI8:EJ8,H$152)+COUNTIF('5月'!EN8:EO8,H$152)+COUNTIF('5月'!ES8:ET8,H$152)+COUNTIF('5月'!D8:E8,"渋谷-夜勤")+COUNTIF('5月'!I8:J8,"渋谷-夜勤")+COUNTIF('5月'!N8:O8,"渋谷-夜勤")+COUNTIF('5月'!S8:T8,"渋谷-夜勤")+COUNTIF('5月'!X8:Y8,"渋谷-夜勤")+COUNTIF('5月'!AC8:AD8,"渋谷-夜勤")+COUNTIF('5月'!AH8:AI8,"渋谷-夜勤")+COUNTIF('5月'!AM8:AN8,"渋谷-夜勤")+COUNTIF('5月'!AR8:AS8,"渋谷-夜勤")+COUNTIF('5月'!AW8:AX8,"渋谷-夜勤")+COUNTIF('5月'!BB8:BC8,"渋谷-夜勤")+COUNTIF('5月'!BG8:BH8,"渋谷-夜勤")+COUNTIF('5月'!BL8:BM8,"渋谷-夜勤")+COUNTIF('5月'!BQ8:BR8,"渋谷-夜勤")+COUNTIF('5月'!BV8:BW8,"渋谷-夜勤")+COUNTIF('5月'!CA8:CB8,"渋谷-夜勤")+COUNTIF('5月'!CF8:CG8,"渋谷-夜勤")+COUNTIF('5月'!CK8:CL8,"渋谷-夜勤")+COUNTIF('5月'!CP8:CQ8,"渋谷-夜勤")+COUNTIF('5月'!CU8:CV8,"渋谷-夜勤")+COUNTIF('5月'!CZ8:DA8,"渋谷-夜勤")+COUNTIF('5月'!DE8:DF8,"渋谷-夜勤")+COUNTIF('5月'!DJ8:DK8,"渋谷-夜勤")+COUNTIF('5月'!DO8:DP8,"渋谷-夜勤")+COUNTIF('5月'!DT8:DU8,"渋谷-夜勤")+COUNTIF('5月'!DY8:DZ8,"渋谷-夜勤")+COUNTIF('5月'!ED8:EE8,"渋谷-夜勤")+COUNTIF('5月'!EI8:EJ8,"渋谷-夜勤")+COUNTIF('5月'!EN8:EO8,"渋谷-夜勤")+COUNTIF('5月'!ES8:ET8,"渋谷-夜勤")</f>
        <v>0</v>
      </c>
      <c r="I158" s="76">
        <f t="shared" si="51"/>
        <v>0</v>
      </c>
      <c r="J158" s="76">
        <f>COUNTIF('5月'!D8:E8,J$152)+COUNTIF('5月'!I8:J8,J$152)+COUNTIF('5月'!N8:O8,J$152)+COUNTIF('5月'!S8:T8,J$152)+COUNTIF('5月'!X8:Y8,J$152)+COUNTIF('5月'!AC8:AD8,J$152)+COUNTIF('5月'!AH8:AI8,J$152)+COUNTIF('5月'!AM8:AN8,J$152)+COUNTIF('5月'!AR8:AS8,J$152)+COUNTIF('5月'!AW8:AX8,J$152)+COUNTIF('5月'!BB8:BC8,J$152)+COUNTIF('5月'!BG8:BH8,J$152)+COUNTIF('5月'!BL8:BM8,J$152)+COUNTIF('5月'!BQ8:BR8,J$152)+COUNTIF('5月'!BV8:BW8,J$152)+COUNTIF('5月'!CA8:CB8,J$152)+COUNTIF('5月'!CF8:CG8,J$152)+COUNTIF('5月'!CK8:CL8,J$152)+COUNTIF('5月'!CP8:CQ8,J$152)+COUNTIF('5月'!CU8:CV8,J$152)+COUNTIF('5月'!CZ8:DA8,J$152)+COUNTIF('5月'!DE8:DF8,J$152)+COUNTIF('5月'!DJ8:DK8,J$152)+COUNTIF('5月'!DO8:DP8,J$152)+COUNTIF('5月'!DT8:DU8,J$152)+COUNTIF('5月'!DY8:DZ8,J$152)+COUNTIF('5月'!ED8:EE8,J$152)+COUNTIF('5月'!EI8:EJ8,J$152)+COUNTIF('5月'!EN8:EO8,J$152)+COUNTIF('5月'!ES8:ET8,J$152)+COUNTIF('5月'!D8:E8,"六本木-夜勤")+COUNTIF('5月'!I8:J8,"六本木-夜勤")+COUNTIF('5月'!N8:O8,"六本木-夜勤")+COUNTIF('5月'!S8:T8,"六本木-夜勤")+COUNTIF('5月'!X8:Y8,"六本木-夜勤")+COUNTIF('5月'!AC8:AD8,"六本木-夜勤")+COUNTIF('5月'!AH8:AI8,"六本木-夜勤")+COUNTIF('5月'!AM8:AN8,"六本木-夜勤")+COUNTIF('5月'!AR8:AS8,"六本木-夜勤")+COUNTIF('5月'!AW8:AX8,"六本木-夜勤")+COUNTIF('5月'!BB8:BC8,"六本木-夜勤")+COUNTIF('5月'!BG8:BH8,"六本木-夜勤")+COUNTIF('5月'!BL8:BM8,"六本木-夜勤")+COUNTIF('5月'!BQ8:BR8,"六本木-夜勤")+COUNTIF('5月'!BV8:BW8,"六本木-夜勤")+COUNTIF('5月'!CA8:CB8,"六本木-夜勤")+COUNTIF('5月'!CF8:CG8,"六本木-夜勤")+COUNTIF('5月'!CK8:CL8,"六本木-夜勤")+COUNTIF('5月'!CP8:CQ8,"六本木-夜勤")+COUNTIF('5月'!CU8:CV8,"六本木-夜勤")+COUNTIF('5月'!CZ8:DA8,"六本木-夜勤")+COUNTIF('5月'!DE8:DF8,"六本木-夜勤")+COUNTIF('5月'!DJ8:DK8,"六本木-夜勤")+COUNTIF('5月'!DO8:DP8,"六本木-夜勤")+COUNTIF('5月'!DT8:DU8,"六本木-夜勤")+COUNTIF('5月'!DY8:DZ8,"六本木-夜勤")+COUNTIF('5月'!ED8:EE8,"六本木-夜勤")+COUNTIF('5月'!EI8:EJ8,"六本木-夜勤")+COUNTIF('5月'!EN8:EO8,"六本木-夜勤")+COUNTIF('5月'!ES8:ET8,"六本木-夜勤")+COUNTIF('5月'!D8:E8,"六本木ー夜勤")+COUNTIF('5月'!I8:J8,"六本木ー夜勤")+COUNTIF('5月'!N8:O8,"六本木ー夜勤")+COUNTIF('5月'!S8:T8,"六本木ー夜勤")+COUNTIF('5月'!X8:Y8,"六本木ー夜勤")+COUNTIF('5月'!AC8:AD8,"六本木ー夜勤")+COUNTIF('5月'!AH8:AI8,"六本木ー夜勤")+COUNTIF('5月'!AM8:AN8,"六本木ー夜勤")+COUNTIF('5月'!AR8:AS8,"六本木ー夜勤")+COUNTIF('5月'!AW8:AX8,"六本木ー夜勤")+COUNTIF('5月'!BB8:BC8,"六本木ー夜勤")+COUNTIF('5月'!BG8:BH8,"六本木ー夜勤")+COUNTIF('5月'!BL8:BM8,"六本木ー夜勤")+COUNTIF('5月'!BQ8:BR8,"六本木ー夜勤")+COUNTIF('5月'!BV8:BW8,"六本木ー夜勤")+COUNTIF('5月'!CA8:CB8,"六本木ー夜勤")+COUNTIF('5月'!CF8:CG8,"六本木ー夜勤")+COUNTIF('5月'!CK8:CL8,"六本木ー夜勤")+COUNTIF('5月'!CP8:CQ8,"六本木ー夜勤")+COUNTIF('5月'!CU8:CV8,"六本木ー夜勤")+COUNTIF('5月'!CZ8:DA8,"六本木ー夜勤")+COUNTIF('5月'!DE8:DF8,"六本木ー夜勤")+COUNTIF('5月'!DJ8:DK8,"六本木ー夜勤")+COUNTIF('5月'!DO8:DP8,"六本木ー夜勤")+COUNTIF('5月'!DT8:DU8,"六本木ー夜勤")+COUNTIF('5月'!DY8:DZ8,"六本木ー夜勤")+COUNTIF('5月'!ED8:EE8,"六本木ー夜勤")+COUNTIF('5月'!EI8:EJ8,"六本木ー夜勤")+COUNTIF('5月'!EN8:EO8,"六本木ー夜勤")+COUNTIF('5月'!ES8:ET8,"六本木ー夜勤")</f>
        <v>0</v>
      </c>
      <c r="K158" s="76">
        <f t="shared" si="52"/>
        <v>0</v>
      </c>
      <c r="L158" s="76">
        <f>COUNTIF('5月'!D8:E8,L$152)+COUNTIF('5月'!I8:J8,L$152)+COUNTIF('5月'!N8:O8,L$152)+COUNTIF('5月'!S8:T8,L$152)+COUNTIF('5月'!X8:Y8,L$152)+COUNTIF('5月'!AC8:AD8,L$152)+COUNTIF('5月'!AH8:AI8,L$152)+COUNTIF('5月'!AM8:AN8,L$152)+COUNTIF('5月'!AR8:AS8,L$152)+COUNTIF('5月'!AW8:AX8,L$152)+COUNTIF('5月'!BB8:BC8,L$152)+COUNTIF('5月'!BG8:BH8,L$152)+COUNTIF('5月'!BL8:BM8,L$152)+COUNTIF('5月'!BQ8:BR8,L$152)+COUNTIF('5月'!BV8:BW8,L$152)+COUNTIF('5月'!CA8:CB8,L$152)+COUNTIF('5月'!CF8:CG8,L$152)+COUNTIF('5月'!CK8:CL8,L$152)+COUNTIF('5月'!CP8:CQ8,L$152)+COUNTIF('5月'!CU8:CV8,L$152)+COUNTIF('5月'!CZ8:DA8,L$152)+COUNTIF('5月'!DE8:DF8,L$152)+COUNTIF('5月'!DJ8:DK8,L$152)+COUNTIF('5月'!DO8:DP8,L$152)+COUNTIF('5月'!DT8:DU8,L$152)+COUNTIF('5月'!DY8:DZ8,L$152)+COUNTIF('5月'!ED8:EE8,L$152)+COUNTIF('5月'!EI8:EJ8,L$152)+COUNTIF('5月'!EN8:EO8,L$152)+COUNTIF('5月'!ES8:ET8,L$152)</f>
        <v>0</v>
      </c>
      <c r="M158" s="76">
        <f t="shared" si="53"/>
        <v>0</v>
      </c>
      <c r="N158" s="76">
        <f>COUNTIF('5月'!D8:E8,N$152)+COUNTIF('5月'!I8:J8,N$152)+COUNTIF('5月'!N8:O8,N$152)+COUNTIF('5月'!S8:T8,N$152)+COUNTIF('5月'!X8:Y8,N$152)+COUNTIF('5月'!AC8:AD8,N$152)+COUNTIF('5月'!AH8:AI8,N$152)+COUNTIF('5月'!AM8:AN8,N$152)+COUNTIF('5月'!AR8:AS8,N$152)+COUNTIF('5月'!AW8:AX8,N$152)+COUNTIF('5月'!BB8:BC8,N$152)+COUNTIF('5月'!BG8:BH8,N$152)+COUNTIF('5月'!BL8:BM8,N$152)+COUNTIF('5月'!BQ8:BR8,N$152)+COUNTIF('5月'!BV8:BW8,N$152)+COUNTIF('5月'!CA8:CB8,N$152)+COUNTIF('5月'!CF8:CG8,N$152)+COUNTIF('5月'!CK8:CL8,N$152)+COUNTIF('5月'!CP8:CQ8,N$152)+COUNTIF('5月'!CU8:CV8,N$152)+COUNTIF('5月'!CZ8:DA8,N$152)+COUNTIF('5月'!DE8:DF8,N$152)+COUNTIF('5月'!DJ8:DK8,N$152)+COUNTIF('5月'!DO8:DP8,N$152)+COUNTIF('5月'!DT8:DU8,N$152)+COUNTIF('5月'!DY8:DZ8,N$152)+COUNTIF('5月'!ED8:EE8,N$152)+COUNTIF('5月'!EI8:EJ8,N$152)+COUNTIF('5月'!EN8:EO8,N$152)+COUNTIF('5月'!ES8:ET8,N$152)+COUNTIF('5月'!D8:E8,"三軒茶屋－夜勤")+COUNTIF('5月'!I8:J8,"三軒茶屋－夜勤")+COUNTIF('5月'!N8:O8,"三軒茶屋－夜勤")+COUNTIF('5月'!S8:T8,"三軒茶屋－夜勤")+COUNTIF('5月'!X8:Y8,"三軒茶屋－夜勤")+COUNTIF('5月'!AC8:AD8,"三軒茶屋－夜勤")+COUNTIF('5月'!AH8:AI8,"三軒茶屋－夜勤")+COUNTIF('5月'!AM8:AN8,"三軒茶屋－夜勤")+COUNTIF('5月'!AR8:AS8,"三軒茶屋－夜勤")+COUNTIF('5月'!AW8:AX8,"三軒茶屋－夜勤")+COUNTIF('5月'!BB8:BC8,"三軒茶屋－夜勤")+COUNTIF('5月'!BG8:BH8,"三軒茶屋－夜勤")+COUNTIF('5月'!BL8:BM8,"三軒茶屋－夜勤")+COUNTIF('5月'!BQ8:BR8,"三軒茶屋－夜勤")+COUNTIF('5月'!BV8:BW8,"三軒茶屋－夜勤")+COUNTIF('5月'!CA8:CB8,"三軒茶屋－夜勤")+COUNTIF('5月'!CF8:CG8,"三軒茶屋－夜勤")+COUNTIF('5月'!CK8:CL8,"三軒茶屋－夜勤")+COUNTIF('5月'!CP8:CQ8,"三軒茶屋－夜勤")+COUNTIF('5月'!CU8:CV8,"三軒茶屋－夜勤")+COUNTIF('5月'!CZ8:DA8,"三軒茶屋－夜勤")+COUNTIF('5月'!DE8:DF8,"三軒茶屋－夜勤")+COUNTIF('5月'!DJ8:DK8,"三軒茶屋－夜勤")+COUNTIF('5月'!DO8:DP8,"三軒茶屋－夜勤")+COUNTIF('5月'!DT8:DU8,"三軒茶屋－夜勤")+COUNTIF('5月'!DY8:DZ8,"三軒茶屋－夜勤")+COUNTIF('5月'!ED8:EE8,"三軒茶屋－夜勤")+COUNTIF('5月'!EI8:EJ8,"三軒茶屋－夜勤")+COUNTIF('5月'!EN8:EO8,"三軒茶屋－夜勤")+COUNTIF('5月'!ES8:ET8,"三軒茶屋－夜勤")</f>
        <v>0</v>
      </c>
      <c r="O158" s="76">
        <f t="shared" si="54"/>
        <v>0</v>
      </c>
      <c r="P158" s="76">
        <f>COUNTIF('5月'!D8:E8,P$152)+COUNTIF('5月'!I8:J8,P$152)+COUNTIF('5月'!N8:O8,P$152)+COUNTIF('5月'!S8:T8,P$152)+COUNTIF('5月'!X8:Y8,P$152)+COUNTIF('5月'!AC8:AD8,P$152)+COUNTIF('5月'!AH8:AI8,P$152)+COUNTIF('5月'!AM8:AN8,P$152)+COUNTIF('5月'!AR8:AS8,P$152)+COUNTIF('5月'!AW8:AX8,P$152)+COUNTIF('5月'!BB8:BC8,P$152)+COUNTIF('5月'!BG8:BH8,P$152)+COUNTIF('5月'!BL8:BM8,P$152)+COUNTIF('5月'!BQ8:BR8,P$152)+COUNTIF('5月'!BV8:BW8,P$152)+COUNTIF('5月'!CA8:CB8,P$152)+COUNTIF('5月'!CF8:CG8,P$152)+COUNTIF('5月'!CK8:CL8,P$152)+COUNTIF('5月'!CP8:CQ8,P$152)+COUNTIF('5月'!CU8:CV8,P$152)+COUNTIF('5月'!CZ8:DA8,P$152)+COUNTIF('5月'!DE8:DF8,P$152)+COUNTIF('5月'!DJ8:DK8,P$152)+COUNTIF('5月'!DO8:DP8,P$152)+COUNTIF('5月'!DT8:DU8,P$152)+COUNTIF('5月'!DY8:DZ8,P$152)+COUNTIF('5月'!ED8:EE8,P$152)+COUNTIF('5月'!EI8:EJ8,P$152)+COUNTIF('5月'!EN8:EO8,P$152)+COUNTIF('5月'!ES8:ET8,P$152)+COUNTIF('5月'!D8:E8,"荻窪ー夜勤")+COUNTIF('5月'!I8:J8,"荻窪ー夜勤")+COUNTIF('5月'!N8:O8,"荻窪ー夜勤")+COUNTIF('5月'!S8:T8,"荻窪ー夜勤")+COUNTIF('5月'!X8:Y8,"荻窪ー夜勤")+COUNTIF('5月'!AC8:AD8,"荻窪ー夜勤")+COUNTIF('5月'!AH8:AI8,"荻窪ー夜勤")+COUNTIF('5月'!AM8:AN8,"荻窪ー夜勤")+COUNTIF('5月'!AR8:AS8,"荻窪ー夜勤")+COUNTIF('5月'!AW8:AX8,"荻窪ー夜勤")+COUNTIF('5月'!BB8:BC8,"荻窪ー夜勤")+COUNTIF('5月'!BG8:BH8,"荻窪ー夜勤")+COUNTIF('5月'!BL8:BM8,"荻窪ー夜勤")+COUNTIF('5月'!BQ8:BR8,"荻窪ー夜勤")+COUNTIF('5月'!BV8:BW8,"荻窪ー夜勤")+COUNTIF('5月'!CA8:CB8,"荻窪ー夜勤")+COUNTIF('5月'!CF8:CG8,"荻窪ー夜勤")+COUNTIF('5月'!CK8:CL8,"荻窪ー夜勤")+COUNTIF('5月'!CP8:CQ8,"荻窪ー夜勤")+COUNTIF('5月'!CU8:CV8,"荻窪ー夜勤")+COUNTIF('5月'!CZ8:DA8,"荻窪ー夜勤")+COUNTIF('5月'!DE8:DF8,"荻窪ー夜勤")+COUNTIF('5月'!DJ8:DK8,"荻窪ー夜勤")+COUNTIF('5月'!DO8:DP8,"荻窪ー夜勤")+COUNTIF('5月'!DT8:DU8,"荻窪ー夜勤")+COUNTIF('5月'!DY8:DZ8,"荻窪ー夜勤")+COUNTIF('5月'!ED8:EE8,"荻窪ー夜勤")+COUNTIF('5月'!EI8:EJ8,"荻窪ー夜勤")+COUNTIF('5月'!EN8:EO8,"荻窪ー夜勤")+COUNTIF('5月'!ES8:ET8,"荻窪ー夜勤")</f>
        <v>0</v>
      </c>
      <c r="Q158" s="76">
        <f t="shared" si="55"/>
        <v>0</v>
      </c>
      <c r="R158" s="76">
        <f>COUNTIF('5月'!D8:E8,R$152)+COUNTIF('5月'!I8:J8,R$152)+COUNTIF('5月'!N8:O8,R$152)+COUNTIF('5月'!S8:T8,R$152)+COUNTIF('5月'!X8:Y8,R$152)+COUNTIF('5月'!AC8:AD8,R$152)+COUNTIF('5月'!AH8:AI8,R$152)+COUNTIF('5月'!AM8:AN8,R$152)+COUNTIF('5月'!AR8:AS8,R$152)+COUNTIF('5月'!AW8:AX8,R$152)+COUNTIF('5月'!BB8:BC8,R$152)+COUNTIF('5月'!BG8:BH8,R$152)+COUNTIF('5月'!BL8:BM8,R$152)+COUNTIF('5月'!BQ8:BR8,R$152)+COUNTIF('5月'!BV8:BW8,R$152)+COUNTIF('5月'!CA8:CB8,R$152)+COUNTIF('5月'!CF8:CG8,R$152)+COUNTIF('5月'!CK8:CL8,R$152)+COUNTIF('5月'!CP8:CQ8,R$152)+COUNTIF('5月'!CU8:CV8,R$152)+COUNTIF('5月'!CZ8:DA8,R$152)+COUNTIF('5月'!DE8:DF8,R$152)+COUNTIF('5月'!DJ8:DK8,R$152)+COUNTIF('5月'!DO8:DP8,R$152)+COUNTIF('5月'!DT8:DU8,R$152)+COUNTIF('5月'!DY8:DZ8,R$152)+COUNTIF('5月'!ED8:EE8,R$152)+COUNTIF('5月'!EI8:EJ8,R$152)+COUNTIF('5月'!EN8:EO8,R$152)+COUNTIF('5月'!ES8:ET8,R$152)</f>
        <v>0</v>
      </c>
      <c r="S158" s="76">
        <f t="shared" si="56"/>
        <v>0</v>
      </c>
      <c r="T158" s="76">
        <f>COUNTIF('5月'!D8:E8,T$152)+COUNTIF('5月'!I8:J8,T$152)+COUNTIF('5月'!N8:O8,T$152)+COUNTIF('5月'!S8:T8,T$152)+COUNTIF('5月'!X8:Y8,T$152)+COUNTIF('5月'!AC8:AD8,T$152)+COUNTIF('5月'!AH8:AI8,T$152)+COUNTIF('5月'!AM8:AN8,T$152)+COUNTIF('5月'!AR8:AS8,T$152)+COUNTIF('5月'!AW8:AX8,T$152)+COUNTIF('5月'!BB8:BC8,T$152)+COUNTIF('5月'!BG8:BH8,T$152)+COUNTIF('5月'!BL8:BM8,T$152)+COUNTIF('5月'!BQ8:BR8,T$152)+COUNTIF('5月'!BV8:BW8,T$152)+COUNTIF('5月'!CA8:CB8,T$152)+COUNTIF('5月'!CF8:CG8,T$152)+COUNTIF('5月'!CK8:CL8,T$152)+COUNTIF('5月'!CP8:CQ8,T$152)+COUNTIF('5月'!CU8:CV8,T$152)+COUNTIF('5月'!CZ8:DA8,T$152)+COUNTIF('5月'!DE8:DF8,T$152)+COUNTIF('5月'!DJ8:DK8,T$152)+COUNTIF('5月'!DO8:DP8,T$152)+COUNTIF('5月'!DT8:DU8,T$152)+COUNTIF('5月'!DY8:DZ8,T$152)+COUNTIF('5月'!ED8:EE8,T$152)+COUNTIF('5月'!EI8:EJ8,T$152)+COUNTIF('5月'!EN8:EO8,T$152)+COUNTIF('5月'!ES8:ET8,T$152)</f>
        <v>0</v>
      </c>
      <c r="U158" s="76">
        <f t="shared" si="57"/>
        <v>0</v>
      </c>
      <c r="V158" s="76">
        <f>COUNTIF('5月'!D8:E8,V$152)+COUNTIF('5月'!I8:J8,V$152)+COUNTIF('5月'!N8:O8,V$152)+COUNTIF('5月'!S8:T8,V$152)+COUNTIF('5月'!X8:Y8,V$152)+COUNTIF('5月'!AC8:AD8,V$152)+COUNTIF('5月'!AH8:AI8,V$152)+COUNTIF('5月'!AM8:AN8,V$152)+COUNTIF('5月'!AR8:AS8,V$152)+COUNTIF('5月'!AW8:AX8,V$152)+COUNTIF('5月'!BB8:BC8,V$152)+COUNTIF('5月'!BG8:BH8,V$152)+COUNTIF('5月'!BL8:BM8,V$152)+COUNTIF('5月'!BQ8:BR8,V$152)+COUNTIF('5月'!BV8:BW8,V$152)+COUNTIF('5月'!CA8:CB8,V$152)+COUNTIF('5月'!CF8:CG8,V$152)+COUNTIF('5月'!CK8:CL8,V$152)+COUNTIF('5月'!CP8:CQ8,V$152)+COUNTIF('5月'!CU8:CV8,V$152)+COUNTIF('5月'!CZ8:DA8,V$152)+COUNTIF('5月'!DE8:DF8,V$152)+COUNTIF('5月'!DJ8:DK8,V$152)+COUNTIF('5月'!DO8:DP8,V$152)+COUNTIF('5月'!DT8:DU8,V$152)+COUNTIF('5月'!DY8:DZ8,V$152)+COUNTIF('5月'!ED8:EE8,V$152)+COUNTIF('5月'!EI8:EJ8,V$152)+COUNTIF('5月'!EN8:EO8,V$152)+COUNTIF('5月'!ES8:ET8,V$152)</f>
        <v>0</v>
      </c>
      <c r="W158" s="76">
        <f t="shared" si="58"/>
        <v>0</v>
      </c>
      <c r="X158" s="76">
        <f>COUNTIF('5月'!D8:E8,X$152)+COUNTIF('5月'!I8:J8,X$152)+COUNTIF('5月'!N8:O8,X$152)+COUNTIF('5月'!S8:T8,X$152)+COUNTIF('5月'!X8:Y8,X$152)+COUNTIF('5月'!AC8:AD8,X$152)+COUNTIF('5月'!AH8:AI8,X$152)+COUNTIF('5月'!AM8:AN8,X$152)+COUNTIF('5月'!AR8:AS8,X$152)+COUNTIF('5月'!AW8:AX8,X$152)+COUNTIF('5月'!BB8:BC8,X$152)+COUNTIF('5月'!BG8:BH8,X$152)+COUNTIF('5月'!BL8:BM8,X$152)+COUNTIF('5月'!BQ8:BR8,X$152)+COUNTIF('5月'!BV8:BW8,X$152)+COUNTIF('5月'!CA8:CB8,X$152)+COUNTIF('5月'!CF8:CG8,X$152)+COUNTIF('5月'!CK8:CL8,X$152)+COUNTIF('5月'!CP8:CQ8,X$152)+COUNTIF('5月'!CU8:CV8,X$152)+COUNTIF('5月'!CZ8:DA8,X$152)+COUNTIF('5月'!DE8:DF8,X$152)+COUNTIF('5月'!DJ8:DK8,X$152)+COUNTIF('5月'!DO8:DP8,X$152)+COUNTIF('5月'!DT8:DU8,X$152)+COUNTIF('5月'!DY8:DZ8,X$152)+COUNTIF('5月'!ED8:EE8,X$152)+COUNTIF('5月'!EI8:EJ8,X$152)+COUNTIF('5月'!EN8:EO8,X$152)+COUNTIF('5月'!ES8:ET8,X$152)</f>
        <v>0</v>
      </c>
      <c r="Y158" s="76">
        <f t="shared" si="59"/>
        <v>0</v>
      </c>
    </row>
    <row r="159" spans="1:25" ht="18" customHeight="1">
      <c r="A159" s="76">
        <v>6</v>
      </c>
      <c r="B159" s="76">
        <f>COUNTIF('5月'!D9:E9,B$152)+COUNTIF('5月'!I9:J9,B$152)+COUNTIF('5月'!N9:O9,B$152)+COUNTIF('5月'!S9:T9,B$152)+COUNTIF('5月'!X9:Y9,B$152)+COUNTIF('5月'!AC9:AD9,B$152)+COUNTIF('5月'!AH9:AI9,B$152)+COUNTIF('5月'!AM9:AN9,B$152)+COUNTIF('5月'!AR9:AS9,B$152)+COUNTIF('5月'!AW9:AX9,B$152)+COUNTIF('5月'!BB9:BC9,B$152)+COUNTIF('5月'!BG9:BH9,B$152)+COUNTIF('5月'!BL9:BM9,B$152)+COUNTIF('5月'!BQ9:BR9,B$152)+COUNTIF('5月'!BV9:BW9,B$152)+COUNTIF('5月'!CA9:CB9,B$152)+COUNTIF('5月'!CF9:CG9,B$152)+COUNTIF('5月'!CK9:CL9,B$152)+COUNTIF('5月'!CP9:CQ9,B$152)+COUNTIF('5月'!CU9:CV9,B$152)+COUNTIF('5月'!CZ9:DA9,B$152)+COUNTIF('5月'!DE9:DF9,B$152)+COUNTIF('5月'!DJ9:DK9,B$152)+COUNTIF('5月'!DO9:DP9,B$152)+COUNTIF('5月'!DT9:DU9,B$152)+COUNTIF('5月'!DY9:DZ9,B$152)+COUNTIF('5月'!ED9:EE9,B$152)+COUNTIF('5月'!EI9:EJ9,B$152)+COUNTIF('5月'!EN9:EO9,B$152)+COUNTIF('5月'!ES9:ET9,B$152)</f>
        <v>0</v>
      </c>
      <c r="C159" s="76">
        <f t="shared" si="48"/>
        <v>0</v>
      </c>
      <c r="D159" s="76">
        <f>COUNTIF('5月'!D9:E9,D$152)+COUNTIF('5月'!I9:J9,D$152)+COUNTIF('5月'!N9:O9,D$152)+COUNTIF('5月'!S9:T9,D$152)+COUNTIF('5月'!X9:Y9,D$152)+COUNTIF('5月'!AC9:AD9,D$152)+COUNTIF('5月'!AH9:AI9,D$152)+COUNTIF('5月'!AM9:AN9,D$152)+COUNTIF('5月'!AR9:AS9,D$152)+COUNTIF('5月'!AW9:AX9,D$152)+COUNTIF('5月'!BB9:BC9,D$152)+COUNTIF('5月'!BG9:BH9,D$152)+COUNTIF('5月'!BL9:BM9,D$152)+COUNTIF('5月'!BQ9:BR9,D$152)+COUNTIF('5月'!BV9:BW9,D$152)+COUNTIF('5月'!CA9:CB9,D$152)+COUNTIF('5月'!CF9:CG9,D$152)+COUNTIF('5月'!CK9:CL9,D$152)+COUNTIF('5月'!CP9:CQ9,D$152)+COUNTIF('5月'!CU9:CV9,D$152)+COUNTIF('5月'!CZ9:DA9,D$152)+COUNTIF('5月'!DE9:DF9,D$152)+COUNTIF('5月'!DJ9:DK9,D$152)+COUNTIF('5月'!DO9:DP9,D$152)+COUNTIF('5月'!DT9:DU9,D$152)+COUNTIF('5月'!DY9:DZ9,D$152)+COUNTIF('5月'!ED9:EE9,D$152)+COUNTIF('5月'!EI9:EJ9,D$152)+COUNTIF('5月'!EN9:EO9,D$152)+COUNTIF('5月'!ES9:ET9,D$152)</f>
        <v>0</v>
      </c>
      <c r="E159" s="76">
        <f t="shared" si="49"/>
        <v>0</v>
      </c>
      <c r="F159" s="76">
        <f>COUNTIF('5月'!D9:E9,F$152)+COUNTIF('5月'!I9:J9,F$152)+COUNTIF('5月'!N9:O9,F$152)+COUNTIF('5月'!S9:T9,F$152)+COUNTIF('5月'!X9:Y9,F$152)+COUNTIF('5月'!AC9:AD9,F$152)+COUNTIF('5月'!AH9:AI9,F$152)+COUNTIF('5月'!AM9:AN9,F$152)+COUNTIF('5月'!AR9:AS9,F$152)+COUNTIF('5月'!AW9:AX9,F$152)+COUNTIF('5月'!BB9:BC9,F$152)+COUNTIF('5月'!BG9:BH9,F$152)+COUNTIF('5月'!BL9:BM9,F$152)+COUNTIF('5月'!BQ9:BR9,F$152)+COUNTIF('5月'!BV9:BW9,F$152)+COUNTIF('5月'!CA9:CB9,F$152)+COUNTIF('5月'!CF9:CG9,F$152)+COUNTIF('5月'!CK9:CL9,F$152)+COUNTIF('5月'!CP9:CQ9,F$152)+COUNTIF('5月'!CU9:CV9,F$152)+COUNTIF('5月'!CZ9:DA9,F$152)+COUNTIF('5月'!DE9:DF9,F$152)+COUNTIF('5月'!DJ9:DK9,F$152)+COUNTIF('5月'!DO9:DP9,F$152)+COUNTIF('5月'!DT9:DU9,F$152)+COUNTIF('5月'!DY9:DZ9,F$152)+COUNTIF('5月'!ED9:EE9,F$152)+COUNTIF('5月'!EI9:EJ9,F$152)+COUNTIF('5月'!EN9:EO9,F$152)+COUNTIF('5月'!ES9:ET9,F$152)</f>
        <v>0</v>
      </c>
      <c r="G159" s="76">
        <f t="shared" si="50"/>
        <v>0</v>
      </c>
      <c r="H159" s="76">
        <f>COUNTIF('5月'!D9:E9,H$152)+COUNTIF('5月'!I9:J9,H$152)+COUNTIF('5月'!N9:O9,H$152)+COUNTIF('5月'!S9:T9,H$152)+COUNTIF('5月'!X9:Y9,H$152)+COUNTIF('5月'!AC9:AD9,H$152)+COUNTIF('5月'!AH9:AI9,H$152)+COUNTIF('5月'!AM9:AN9,H$152)+COUNTIF('5月'!AR9:AS9,H$152)+COUNTIF('5月'!AW9:AX9,H$152)+COUNTIF('5月'!BB9:BC9,H$152)+COUNTIF('5月'!BG9:BH9,H$152)+COUNTIF('5月'!BL9:BM9,H$152)+COUNTIF('5月'!BQ9:BR9,H$152)+COUNTIF('5月'!BV9:BW9,H$152)+COUNTIF('5月'!CA9:CB9,H$152)+COUNTIF('5月'!CF9:CG9,H$152)+COUNTIF('5月'!CK9:CL9,H$152)+COUNTIF('5月'!CP9:CQ9,H$152)+COUNTIF('5月'!CU9:CV9,H$152)+COUNTIF('5月'!CZ9:DA9,H$152)+COUNTIF('5月'!DE9:DF9,H$152)+COUNTIF('5月'!DJ9:DK9,H$152)+COUNTIF('5月'!DO9:DP9,H$152)+COUNTIF('5月'!DT9:DU9,H$152)+COUNTIF('5月'!DY9:DZ9,H$152)+COUNTIF('5月'!ED9:EE9,H$152)+COUNTIF('5月'!EI9:EJ9,H$152)+COUNTIF('5月'!EN9:EO9,H$152)+COUNTIF('5月'!ES9:ET9,H$152)+COUNTIF('5月'!D9:E9,"渋谷-夜勤")+COUNTIF('5月'!I9:J9,"渋谷-夜勤")+COUNTIF('5月'!N9:O9,"渋谷-夜勤")+COUNTIF('5月'!S9:T9,"渋谷-夜勤")+COUNTIF('5月'!X9:Y9,"渋谷-夜勤")+COUNTIF('5月'!AC9:AD9,"渋谷-夜勤")+COUNTIF('5月'!AH9:AI9,"渋谷-夜勤")+COUNTIF('5月'!AM9:AN9,"渋谷-夜勤")+COUNTIF('5月'!AR9:AS9,"渋谷-夜勤")+COUNTIF('5月'!AW9:AX9,"渋谷-夜勤")+COUNTIF('5月'!BB9:BC9,"渋谷-夜勤")+COUNTIF('5月'!BG9:BH9,"渋谷-夜勤")+COUNTIF('5月'!BL9:BM9,"渋谷-夜勤")+COUNTIF('5月'!BQ9:BR9,"渋谷-夜勤")+COUNTIF('5月'!BV9:BW9,"渋谷-夜勤")+COUNTIF('5月'!CA9:CB9,"渋谷-夜勤")+COUNTIF('5月'!CF9:CG9,"渋谷-夜勤")+COUNTIF('5月'!CK9:CL9,"渋谷-夜勤")+COUNTIF('5月'!CP9:CQ9,"渋谷-夜勤")+COUNTIF('5月'!CU9:CV9,"渋谷-夜勤")+COUNTIF('5月'!CZ9:DA9,"渋谷-夜勤")+COUNTIF('5月'!DE9:DF9,"渋谷-夜勤")+COUNTIF('5月'!DJ9:DK9,"渋谷-夜勤")+COUNTIF('5月'!DO9:DP9,"渋谷-夜勤")+COUNTIF('5月'!DT9:DU9,"渋谷-夜勤")+COUNTIF('5月'!DY9:DZ9,"渋谷-夜勤")+COUNTIF('5月'!ED9:EE9,"渋谷-夜勤")+COUNTIF('5月'!EI9:EJ9,"渋谷-夜勤")+COUNTIF('5月'!EN9:EO9,"渋谷-夜勤")+COUNTIF('5月'!ES9:ET9,"渋谷-夜勤")</f>
        <v>0</v>
      </c>
      <c r="I159" s="76">
        <f t="shared" si="51"/>
        <v>0</v>
      </c>
      <c r="J159" s="76">
        <f>COUNTIF('5月'!D9:E9,J$152)+COUNTIF('5月'!I9:J9,J$152)+COUNTIF('5月'!N9:O9,J$152)+COUNTIF('5月'!S9:T9,J$152)+COUNTIF('5月'!X9:Y9,J$152)+COUNTIF('5月'!AC9:AD9,J$152)+COUNTIF('5月'!AH9:AI9,J$152)+COUNTIF('5月'!AM9:AN9,J$152)+COUNTIF('5月'!AR9:AS9,J$152)+COUNTIF('5月'!AW9:AX9,J$152)+COUNTIF('5月'!BB9:BC9,J$152)+COUNTIF('5月'!BG9:BH9,J$152)+COUNTIF('5月'!BL9:BM9,J$152)+COUNTIF('5月'!BQ9:BR9,J$152)+COUNTIF('5月'!BV9:BW9,J$152)+COUNTIF('5月'!CA9:CB9,J$152)+COUNTIF('5月'!CF9:CG9,J$152)+COUNTIF('5月'!CK9:CL9,J$152)+COUNTIF('5月'!CP9:CQ9,J$152)+COUNTIF('5月'!CU9:CV9,J$152)+COUNTIF('5月'!CZ9:DA9,J$152)+COUNTIF('5月'!DE9:DF9,J$152)+COUNTIF('5月'!DJ9:DK9,J$152)+COUNTIF('5月'!DO9:DP9,J$152)+COUNTIF('5月'!DT9:DU9,J$152)+COUNTIF('5月'!DY9:DZ9,J$152)+COUNTIF('5月'!ED9:EE9,J$152)+COUNTIF('5月'!EI9:EJ9,J$152)+COUNTIF('5月'!EN9:EO9,J$152)+COUNTIF('5月'!ES9:ET9,J$152)+COUNTIF('5月'!D9:E9,"六本木-夜勤")+COUNTIF('5月'!I9:J9,"六本木-夜勤")+COUNTIF('5月'!N9:O9,"六本木-夜勤")+COUNTIF('5月'!S9:T9,"六本木-夜勤")+COUNTIF('5月'!X9:Y9,"六本木-夜勤")+COUNTIF('5月'!AC9:AD9,"六本木-夜勤")+COUNTIF('5月'!AH9:AI9,"六本木-夜勤")+COUNTIF('5月'!AM9:AN9,"六本木-夜勤")+COUNTIF('5月'!AR9:AS9,"六本木-夜勤")+COUNTIF('5月'!AW9:AX9,"六本木-夜勤")+COUNTIF('5月'!BB9:BC9,"六本木-夜勤")+COUNTIF('5月'!BG9:BH9,"六本木-夜勤")+COUNTIF('5月'!BL9:BM9,"六本木-夜勤")+COUNTIF('5月'!BQ9:BR9,"六本木-夜勤")+COUNTIF('5月'!BV9:BW9,"六本木-夜勤")+COUNTIF('5月'!CA9:CB9,"六本木-夜勤")+COUNTIF('5月'!CF9:CG9,"六本木-夜勤")+COUNTIF('5月'!CK9:CL9,"六本木-夜勤")+COUNTIF('5月'!CP9:CQ9,"六本木-夜勤")+COUNTIF('5月'!CU9:CV9,"六本木-夜勤")+COUNTIF('5月'!CZ9:DA9,"六本木-夜勤")+COUNTIF('5月'!DE9:DF9,"六本木-夜勤")+COUNTIF('5月'!DJ9:DK9,"六本木-夜勤")+COUNTIF('5月'!DO9:DP9,"六本木-夜勤")+COUNTIF('5月'!DT9:DU9,"六本木-夜勤")+COUNTIF('5月'!DY9:DZ9,"六本木-夜勤")+COUNTIF('5月'!ED9:EE9,"六本木-夜勤")+COUNTIF('5月'!EI9:EJ9,"六本木-夜勤")+COUNTIF('5月'!EN9:EO9,"六本木-夜勤")+COUNTIF('5月'!ES9:ET9,"六本木-夜勤")+COUNTIF('5月'!D9:E9,"六本木ー夜勤")+COUNTIF('5月'!I9:J9,"六本木ー夜勤")+COUNTIF('5月'!N9:O9,"六本木ー夜勤")+COUNTIF('5月'!S9:T9,"六本木ー夜勤")+COUNTIF('5月'!X9:Y9,"六本木ー夜勤")+COUNTIF('5月'!AC9:AD9,"六本木ー夜勤")+COUNTIF('5月'!AH9:AI9,"六本木ー夜勤")+COUNTIF('5月'!AM9:AN9,"六本木ー夜勤")+COUNTIF('5月'!AR9:AS9,"六本木ー夜勤")+COUNTIF('5月'!AW9:AX9,"六本木ー夜勤")+COUNTIF('5月'!BB9:BC9,"六本木ー夜勤")+COUNTIF('5月'!BG9:BH9,"六本木ー夜勤")+COUNTIF('5月'!BL9:BM9,"六本木ー夜勤")+COUNTIF('5月'!BQ9:BR9,"六本木ー夜勤")+COUNTIF('5月'!BV9:BW9,"六本木ー夜勤")+COUNTIF('5月'!CA9:CB9,"六本木ー夜勤")+COUNTIF('5月'!CF9:CG9,"六本木ー夜勤")+COUNTIF('5月'!CK9:CL9,"六本木ー夜勤")+COUNTIF('5月'!CP9:CQ9,"六本木ー夜勤")+COUNTIF('5月'!CU9:CV9,"六本木ー夜勤")+COUNTIF('5月'!CZ9:DA9,"六本木ー夜勤")+COUNTIF('5月'!DE9:DF9,"六本木ー夜勤")+COUNTIF('5月'!DJ9:DK9,"六本木ー夜勤")+COUNTIF('5月'!DO9:DP9,"六本木ー夜勤")+COUNTIF('5月'!DT9:DU9,"六本木ー夜勤")+COUNTIF('5月'!DY9:DZ9,"六本木ー夜勤")+COUNTIF('5月'!ED9:EE9,"六本木ー夜勤")+COUNTIF('5月'!EI9:EJ9,"六本木ー夜勤")+COUNTIF('5月'!EN9:EO9,"六本木ー夜勤")+COUNTIF('5月'!ES9:ET9,"六本木ー夜勤")</f>
        <v>0</v>
      </c>
      <c r="K159" s="76">
        <f t="shared" si="52"/>
        <v>0</v>
      </c>
      <c r="L159" s="76">
        <f>COUNTIF('5月'!D9:E9,L$152)+COUNTIF('5月'!I9:J9,L$152)+COUNTIF('5月'!N9:O9,L$152)+COUNTIF('5月'!S9:T9,L$152)+COUNTIF('5月'!X9:Y9,L$152)+COUNTIF('5月'!AC9:AD9,L$152)+COUNTIF('5月'!AH9:AI9,L$152)+COUNTIF('5月'!AM9:AN9,L$152)+COUNTIF('5月'!AR9:AS9,L$152)+COUNTIF('5月'!AW9:AX9,L$152)+COUNTIF('5月'!BB9:BC9,L$152)+COUNTIF('5月'!BG9:BH9,L$152)+COUNTIF('5月'!BL9:BM9,L$152)+COUNTIF('5月'!BQ9:BR9,L$152)+COUNTIF('5月'!BV9:BW9,L$152)+COUNTIF('5月'!CA9:CB9,L$152)+COUNTIF('5月'!CF9:CG9,L$152)+COUNTIF('5月'!CK9:CL9,L$152)+COUNTIF('5月'!CP9:CQ9,L$152)+COUNTIF('5月'!CU9:CV9,L$152)+COUNTIF('5月'!CZ9:DA9,L$152)+COUNTIF('5月'!DE9:DF9,L$152)+COUNTIF('5月'!DJ9:DK9,L$152)+COUNTIF('5月'!DO9:DP9,L$152)+COUNTIF('5月'!DT9:DU9,L$152)+COUNTIF('5月'!DY9:DZ9,L$152)+COUNTIF('5月'!ED9:EE9,L$152)+COUNTIF('5月'!EI9:EJ9,L$152)+COUNTIF('5月'!EN9:EO9,L$152)+COUNTIF('5月'!ES9:ET9,L$152)</f>
        <v>0</v>
      </c>
      <c r="M159" s="76">
        <f t="shared" si="53"/>
        <v>0</v>
      </c>
      <c r="N159" s="76">
        <f>COUNTIF('5月'!D9:E9,N$152)+COUNTIF('5月'!I9:J9,N$152)+COUNTIF('5月'!N9:O9,N$152)+COUNTIF('5月'!S9:T9,N$152)+COUNTIF('5月'!X9:Y9,N$152)+COUNTIF('5月'!AC9:AD9,N$152)+COUNTIF('5月'!AH9:AI9,N$152)+COUNTIF('5月'!AM9:AN9,N$152)+COUNTIF('5月'!AR9:AS9,N$152)+COUNTIF('5月'!AW9:AX9,N$152)+COUNTIF('5月'!BB9:BC9,N$152)+COUNTIF('5月'!BG9:BH9,N$152)+COUNTIF('5月'!BL9:BM9,N$152)+COUNTIF('5月'!BQ9:BR9,N$152)+COUNTIF('5月'!BV9:BW9,N$152)+COUNTIF('5月'!CA9:CB9,N$152)+COUNTIF('5月'!CF9:CG9,N$152)+COUNTIF('5月'!CK9:CL9,N$152)+COUNTIF('5月'!CP9:CQ9,N$152)+COUNTIF('5月'!CU9:CV9,N$152)+COUNTIF('5月'!CZ9:DA9,N$152)+COUNTIF('5月'!DE9:DF9,N$152)+COUNTIF('5月'!DJ9:DK9,N$152)+COUNTIF('5月'!DO9:DP9,N$152)+COUNTIF('5月'!DT9:DU9,N$152)+COUNTIF('5月'!DY9:DZ9,N$152)+COUNTIF('5月'!ED9:EE9,N$152)+COUNTIF('5月'!EI9:EJ9,N$152)+COUNTIF('5月'!EN9:EO9,N$152)+COUNTIF('5月'!ES9:ET9,N$152)+COUNTIF('5月'!D9:E9,"三軒茶屋－夜勤")+COUNTIF('5月'!I9:J9,"三軒茶屋－夜勤")+COUNTIF('5月'!N9:O9,"三軒茶屋－夜勤")+COUNTIF('5月'!S9:T9,"三軒茶屋－夜勤")+COUNTIF('5月'!X9:Y9,"三軒茶屋－夜勤")+COUNTIF('5月'!AC9:AD9,"三軒茶屋－夜勤")+COUNTIF('5月'!AH9:AI9,"三軒茶屋－夜勤")+COUNTIF('5月'!AM9:AN9,"三軒茶屋－夜勤")+COUNTIF('5月'!AR9:AS9,"三軒茶屋－夜勤")+COUNTIF('5月'!AW9:AX9,"三軒茶屋－夜勤")+COUNTIF('5月'!BB9:BC9,"三軒茶屋－夜勤")+COUNTIF('5月'!BG9:BH9,"三軒茶屋－夜勤")+COUNTIF('5月'!BL9:BM9,"三軒茶屋－夜勤")+COUNTIF('5月'!BQ9:BR9,"三軒茶屋－夜勤")+COUNTIF('5月'!BV9:BW9,"三軒茶屋－夜勤")+COUNTIF('5月'!CA9:CB9,"三軒茶屋－夜勤")+COUNTIF('5月'!CF9:CG9,"三軒茶屋－夜勤")+COUNTIF('5月'!CK9:CL9,"三軒茶屋－夜勤")+COUNTIF('5月'!CP9:CQ9,"三軒茶屋－夜勤")+COUNTIF('5月'!CU9:CV9,"三軒茶屋－夜勤")+COUNTIF('5月'!CZ9:DA9,"三軒茶屋－夜勤")+COUNTIF('5月'!DE9:DF9,"三軒茶屋－夜勤")+COUNTIF('5月'!DJ9:DK9,"三軒茶屋－夜勤")+COUNTIF('5月'!DO9:DP9,"三軒茶屋－夜勤")+COUNTIF('5月'!DT9:DU9,"三軒茶屋－夜勤")+COUNTIF('5月'!DY9:DZ9,"三軒茶屋－夜勤")+COUNTIF('5月'!ED9:EE9,"三軒茶屋－夜勤")+COUNTIF('5月'!EI9:EJ9,"三軒茶屋－夜勤")+COUNTIF('5月'!EN9:EO9,"三軒茶屋－夜勤")+COUNTIF('5月'!ES9:ET9,"三軒茶屋－夜勤")</f>
        <v>0</v>
      </c>
      <c r="O159" s="76">
        <f t="shared" si="54"/>
        <v>0</v>
      </c>
      <c r="P159" s="76">
        <f>COUNTIF('5月'!D9:E9,P$152)+COUNTIF('5月'!I9:J9,P$152)+COUNTIF('5月'!N9:O9,P$152)+COUNTIF('5月'!S9:T9,P$152)+COUNTIF('5月'!X9:Y9,P$152)+COUNTIF('5月'!AC9:AD9,P$152)+COUNTIF('5月'!AH9:AI9,P$152)+COUNTIF('5月'!AM9:AN9,P$152)+COUNTIF('5月'!AR9:AS9,P$152)+COUNTIF('5月'!AW9:AX9,P$152)+COUNTIF('5月'!BB9:BC9,P$152)+COUNTIF('5月'!BG9:BH9,P$152)+COUNTIF('5月'!BL9:BM9,P$152)+COUNTIF('5月'!BQ9:BR9,P$152)+COUNTIF('5月'!BV9:BW9,P$152)+COUNTIF('5月'!CA9:CB9,P$152)+COUNTIF('5月'!CF9:CG9,P$152)+COUNTIF('5月'!CK9:CL9,P$152)+COUNTIF('5月'!CP9:CQ9,P$152)+COUNTIF('5月'!CU9:CV9,P$152)+COUNTIF('5月'!CZ9:DA9,P$152)+COUNTIF('5月'!DE9:DF9,P$152)+COUNTIF('5月'!DJ9:DK9,P$152)+COUNTIF('5月'!DO9:DP9,P$152)+COUNTIF('5月'!DT9:DU9,P$152)+COUNTIF('5月'!DY9:DZ9,P$152)+COUNTIF('5月'!ED9:EE9,P$152)+COUNTIF('5月'!EI9:EJ9,P$152)+COUNTIF('5月'!EN9:EO9,P$152)+COUNTIF('5月'!ES9:ET9,P$152)+COUNTIF('5月'!D9:E9,"荻窪ー夜勤")+COUNTIF('5月'!I9:J9,"荻窪ー夜勤")+COUNTIF('5月'!N9:O9,"荻窪ー夜勤")+COUNTIF('5月'!S9:T9,"荻窪ー夜勤")+COUNTIF('5月'!X9:Y9,"荻窪ー夜勤")+COUNTIF('5月'!AC9:AD9,"荻窪ー夜勤")+COUNTIF('5月'!AH9:AI9,"荻窪ー夜勤")+COUNTIF('5月'!AM9:AN9,"荻窪ー夜勤")+COUNTIF('5月'!AR9:AS9,"荻窪ー夜勤")+COUNTIF('5月'!AW9:AX9,"荻窪ー夜勤")+COUNTIF('5月'!BB9:BC9,"荻窪ー夜勤")+COUNTIF('5月'!BG9:BH9,"荻窪ー夜勤")+COUNTIF('5月'!BL9:BM9,"荻窪ー夜勤")+COUNTIF('5月'!BQ9:BR9,"荻窪ー夜勤")+COUNTIF('5月'!BV9:BW9,"荻窪ー夜勤")+COUNTIF('5月'!CA9:CB9,"荻窪ー夜勤")+COUNTIF('5月'!CF9:CG9,"荻窪ー夜勤")+COUNTIF('5月'!CK9:CL9,"荻窪ー夜勤")+COUNTIF('5月'!CP9:CQ9,"荻窪ー夜勤")+COUNTIF('5月'!CU9:CV9,"荻窪ー夜勤")+COUNTIF('5月'!CZ9:DA9,"荻窪ー夜勤")+COUNTIF('5月'!DE9:DF9,"荻窪ー夜勤")+COUNTIF('5月'!DJ9:DK9,"荻窪ー夜勤")+COUNTIF('5月'!DO9:DP9,"荻窪ー夜勤")+COUNTIF('5月'!DT9:DU9,"荻窪ー夜勤")+COUNTIF('5月'!DY9:DZ9,"荻窪ー夜勤")+COUNTIF('5月'!ED9:EE9,"荻窪ー夜勤")+COUNTIF('5月'!EI9:EJ9,"荻窪ー夜勤")+COUNTIF('5月'!EN9:EO9,"荻窪ー夜勤")+COUNTIF('5月'!ES9:ET9,"荻窪ー夜勤")</f>
        <v>0</v>
      </c>
      <c r="Q159" s="76">
        <f t="shared" si="55"/>
        <v>0</v>
      </c>
      <c r="R159" s="76">
        <f>COUNTIF('5月'!D9:E9,R$152)+COUNTIF('5月'!I9:J9,R$152)+COUNTIF('5月'!N9:O9,R$152)+COUNTIF('5月'!S9:T9,R$152)+COUNTIF('5月'!X9:Y9,R$152)+COUNTIF('5月'!AC9:AD9,R$152)+COUNTIF('5月'!AH9:AI9,R$152)+COUNTIF('5月'!AM9:AN9,R$152)+COUNTIF('5月'!AR9:AS9,R$152)+COUNTIF('5月'!AW9:AX9,R$152)+COUNTIF('5月'!BB9:BC9,R$152)+COUNTIF('5月'!BG9:BH9,R$152)+COUNTIF('5月'!BL9:BM9,R$152)+COUNTIF('5月'!BQ9:BR9,R$152)+COUNTIF('5月'!BV9:BW9,R$152)+COUNTIF('5月'!CA9:CB9,R$152)+COUNTIF('5月'!CF9:CG9,R$152)+COUNTIF('5月'!CK9:CL9,R$152)+COUNTIF('5月'!CP9:CQ9,R$152)+COUNTIF('5月'!CU9:CV9,R$152)+COUNTIF('5月'!CZ9:DA9,R$152)+COUNTIF('5月'!DE9:DF9,R$152)+COUNTIF('5月'!DJ9:DK9,R$152)+COUNTIF('5月'!DO9:DP9,R$152)+COUNTIF('5月'!DT9:DU9,R$152)+COUNTIF('5月'!DY9:DZ9,R$152)+COUNTIF('5月'!ED9:EE9,R$152)+COUNTIF('5月'!EI9:EJ9,R$152)+COUNTIF('5月'!EN9:EO9,R$152)+COUNTIF('5月'!ES9:ET9,R$152)</f>
        <v>0</v>
      </c>
      <c r="S159" s="76">
        <f t="shared" si="56"/>
        <v>0</v>
      </c>
      <c r="T159" s="76">
        <f>COUNTIF('5月'!D9:E9,T$152)+COUNTIF('5月'!I9:J9,T$152)+COUNTIF('5月'!N9:O9,T$152)+COUNTIF('5月'!S9:T9,T$152)+COUNTIF('5月'!X9:Y9,T$152)+COUNTIF('5月'!AC9:AD9,T$152)+COUNTIF('5月'!AH9:AI9,T$152)+COUNTIF('5月'!AM9:AN9,T$152)+COUNTIF('5月'!AR9:AS9,T$152)+COUNTIF('5月'!AW9:AX9,T$152)+COUNTIF('5月'!BB9:BC9,T$152)+COUNTIF('5月'!BG9:BH9,T$152)+COUNTIF('5月'!BL9:BM9,T$152)+COUNTIF('5月'!BQ9:BR9,T$152)+COUNTIF('5月'!BV9:BW9,T$152)+COUNTIF('5月'!CA9:CB9,T$152)+COUNTIF('5月'!CF9:CG9,T$152)+COUNTIF('5月'!CK9:CL9,T$152)+COUNTIF('5月'!CP9:CQ9,T$152)+COUNTIF('5月'!CU9:CV9,T$152)+COUNTIF('5月'!CZ9:DA9,T$152)+COUNTIF('5月'!DE9:DF9,T$152)+COUNTIF('5月'!DJ9:DK9,T$152)+COUNTIF('5月'!DO9:DP9,T$152)+COUNTIF('5月'!DT9:DU9,T$152)+COUNTIF('5月'!DY9:DZ9,T$152)+COUNTIF('5月'!ED9:EE9,T$152)+COUNTIF('5月'!EI9:EJ9,T$152)+COUNTIF('5月'!EN9:EO9,T$152)+COUNTIF('5月'!ES9:ET9,T$152)</f>
        <v>0</v>
      </c>
      <c r="U159" s="76">
        <f t="shared" si="57"/>
        <v>0</v>
      </c>
      <c r="V159" s="76">
        <f>COUNTIF('5月'!D9:E9,V$152)+COUNTIF('5月'!I9:J9,V$152)+COUNTIF('5月'!N9:O9,V$152)+COUNTIF('5月'!S9:T9,V$152)+COUNTIF('5月'!X9:Y9,V$152)+COUNTIF('5月'!AC9:AD9,V$152)+COUNTIF('5月'!AH9:AI9,V$152)+COUNTIF('5月'!AM9:AN9,V$152)+COUNTIF('5月'!AR9:AS9,V$152)+COUNTIF('5月'!AW9:AX9,V$152)+COUNTIF('5月'!BB9:BC9,V$152)+COUNTIF('5月'!BG9:BH9,V$152)+COUNTIF('5月'!BL9:BM9,V$152)+COUNTIF('5月'!BQ9:BR9,V$152)+COUNTIF('5月'!BV9:BW9,V$152)+COUNTIF('5月'!CA9:CB9,V$152)+COUNTIF('5月'!CF9:CG9,V$152)+COUNTIF('5月'!CK9:CL9,V$152)+COUNTIF('5月'!CP9:CQ9,V$152)+COUNTIF('5月'!CU9:CV9,V$152)+COUNTIF('5月'!CZ9:DA9,V$152)+COUNTIF('5月'!DE9:DF9,V$152)+COUNTIF('5月'!DJ9:DK9,V$152)+COUNTIF('5月'!DO9:DP9,V$152)+COUNTIF('5月'!DT9:DU9,V$152)+COUNTIF('5月'!DY9:DZ9,V$152)+COUNTIF('5月'!ED9:EE9,V$152)+COUNTIF('5月'!EI9:EJ9,V$152)+COUNTIF('5月'!EN9:EO9,V$152)+COUNTIF('5月'!ES9:ET9,V$152)</f>
        <v>0</v>
      </c>
      <c r="W159" s="76">
        <f t="shared" si="58"/>
        <v>0</v>
      </c>
      <c r="X159" s="76">
        <f>COUNTIF('5月'!D9:E9,X$152)+COUNTIF('5月'!I9:J9,X$152)+COUNTIF('5月'!N9:O9,X$152)+COUNTIF('5月'!S9:T9,X$152)+COUNTIF('5月'!X9:Y9,X$152)+COUNTIF('5月'!AC9:AD9,X$152)+COUNTIF('5月'!AH9:AI9,X$152)+COUNTIF('5月'!AM9:AN9,X$152)+COUNTIF('5月'!AR9:AS9,X$152)+COUNTIF('5月'!AW9:AX9,X$152)+COUNTIF('5月'!BB9:BC9,X$152)+COUNTIF('5月'!BG9:BH9,X$152)+COUNTIF('5月'!BL9:BM9,X$152)+COUNTIF('5月'!BQ9:BR9,X$152)+COUNTIF('5月'!BV9:BW9,X$152)+COUNTIF('5月'!CA9:CB9,X$152)+COUNTIF('5月'!CF9:CG9,X$152)+COUNTIF('5月'!CK9:CL9,X$152)+COUNTIF('5月'!CP9:CQ9,X$152)+COUNTIF('5月'!CU9:CV9,X$152)+COUNTIF('5月'!CZ9:DA9,X$152)+COUNTIF('5月'!DE9:DF9,X$152)+COUNTIF('5月'!DJ9:DK9,X$152)+COUNTIF('5月'!DO9:DP9,X$152)+COUNTIF('5月'!DT9:DU9,X$152)+COUNTIF('5月'!DY9:DZ9,X$152)+COUNTIF('5月'!ED9:EE9,X$152)+COUNTIF('5月'!EI9:EJ9,X$152)+COUNTIF('5月'!EN9:EO9,X$152)+COUNTIF('5月'!ES9:ET9,X$152)</f>
        <v>0</v>
      </c>
      <c r="Y159" s="76">
        <f t="shared" si="59"/>
        <v>0</v>
      </c>
    </row>
    <row r="160" spans="1:25" ht="18" customHeight="1">
      <c r="A160" s="76">
        <v>7</v>
      </c>
      <c r="B160" s="76">
        <f>COUNTIF('5月'!D10:E10,B$152)+COUNTIF('5月'!I10:J10,B$152)+COUNTIF('5月'!N10:O10,B$152)+COUNTIF('5月'!S10:T10,B$152)+COUNTIF('5月'!X10:Y10,B$152)+COUNTIF('5月'!AC10:AD10,B$152)+COUNTIF('5月'!AH10:AI10,B$152)+COUNTIF('5月'!AM10:AN10,B$152)+COUNTIF('5月'!AR10:AS10,B$152)+COUNTIF('5月'!AW10:AX10,B$152)+COUNTIF('5月'!BB10:BC10,B$152)+COUNTIF('5月'!BG10:BH10,B$152)+COUNTIF('5月'!BL10:BM10,B$152)+COUNTIF('5月'!BQ10:BR10,B$152)+COUNTIF('5月'!BV10:BW10,B$152)+COUNTIF('5月'!CA10:CB10,B$152)+COUNTIF('5月'!CF10:CG10,B$152)+COUNTIF('5月'!CK10:CL10,B$152)+COUNTIF('5月'!CP10:CQ10,B$152)+COUNTIF('5月'!CU10:CV10,B$152)+COUNTIF('5月'!CZ10:DA10,B$152)+COUNTIF('5月'!DE10:DF10,B$152)+COUNTIF('5月'!DJ10:DK10,B$152)+COUNTIF('5月'!DO10:DP10,B$152)+COUNTIF('5月'!DT10:DU10,B$152)+COUNTIF('5月'!DY10:DZ10,B$152)+COUNTIF('5月'!ED10:EE10,B$152)+COUNTIF('5月'!EI10:EJ10,B$152)+COUNTIF('5月'!EN10:EO10,B$152)+COUNTIF('5月'!ES10:ET10,B$152)</f>
        <v>0</v>
      </c>
      <c r="C160" s="76">
        <f t="shared" si="48"/>
        <v>0</v>
      </c>
      <c r="D160" s="76">
        <f>COUNTIF('5月'!D10:E10,D$152)+COUNTIF('5月'!I10:J10,D$152)+COUNTIF('5月'!N10:O10,D$152)+COUNTIF('5月'!S10:T10,D$152)+COUNTIF('5月'!X10:Y10,D$152)+COUNTIF('5月'!AC10:AD10,D$152)+COUNTIF('5月'!AH10:AI10,D$152)+COUNTIF('5月'!AM10:AN10,D$152)+COUNTIF('5月'!AR10:AS10,D$152)+COUNTIF('5月'!AW10:AX10,D$152)+COUNTIF('5月'!BB10:BC10,D$152)+COUNTIF('5月'!BG10:BH10,D$152)+COUNTIF('5月'!BL10:BM10,D$152)+COUNTIF('5月'!BQ10:BR10,D$152)+COUNTIF('5月'!BV10:BW10,D$152)+COUNTIF('5月'!CA10:CB10,D$152)+COUNTIF('5月'!CF10:CG10,D$152)+COUNTIF('5月'!CK10:CL10,D$152)+COUNTIF('5月'!CP10:CQ10,D$152)+COUNTIF('5月'!CU10:CV10,D$152)+COUNTIF('5月'!CZ10:DA10,D$152)+COUNTIF('5月'!DE10:DF10,D$152)+COUNTIF('5月'!DJ10:DK10,D$152)+COUNTIF('5月'!DO10:DP10,D$152)+COUNTIF('5月'!DT10:DU10,D$152)+COUNTIF('5月'!DY10:DZ10,D$152)+COUNTIF('5月'!ED10:EE10,D$152)+COUNTIF('5月'!EI10:EJ10,D$152)+COUNTIF('5月'!EN10:EO10,D$152)+COUNTIF('5月'!ES10:ET10,D$152)</f>
        <v>0</v>
      </c>
      <c r="E160" s="76">
        <f t="shared" si="49"/>
        <v>0</v>
      </c>
      <c r="F160" s="76">
        <f>COUNTIF('5月'!D10:E10,F$152)+COUNTIF('5月'!I10:J10,F$152)+COUNTIF('5月'!N10:O10,F$152)+COUNTIF('5月'!S10:T10,F$152)+COUNTIF('5月'!X10:Y10,F$152)+COUNTIF('5月'!AC10:AD10,F$152)+COUNTIF('5月'!AH10:AI10,F$152)+COUNTIF('5月'!AM10:AN10,F$152)+COUNTIF('5月'!AR10:AS10,F$152)+COUNTIF('5月'!AW10:AX10,F$152)+COUNTIF('5月'!BB10:BC10,F$152)+COUNTIF('5月'!BG10:BH10,F$152)+COUNTIF('5月'!BL10:BM10,F$152)+COUNTIF('5月'!BQ10:BR10,F$152)+COUNTIF('5月'!BV10:BW10,F$152)+COUNTIF('5月'!CA10:CB10,F$152)+COUNTIF('5月'!CF10:CG10,F$152)+COUNTIF('5月'!CK10:CL10,F$152)+COUNTIF('5月'!CP10:CQ10,F$152)+COUNTIF('5月'!CU10:CV10,F$152)+COUNTIF('5月'!CZ10:DA10,F$152)+COUNTIF('5月'!DE10:DF10,F$152)+COUNTIF('5月'!DJ10:DK10,F$152)+COUNTIF('5月'!DO10:DP10,F$152)+COUNTIF('5月'!DT10:DU10,F$152)+COUNTIF('5月'!DY10:DZ10,F$152)+COUNTIF('5月'!ED10:EE10,F$152)+COUNTIF('5月'!EI10:EJ10,F$152)+COUNTIF('5月'!EN10:EO10,F$152)+COUNTIF('5月'!ES10:ET10,F$152)</f>
        <v>0</v>
      </c>
      <c r="G160" s="76">
        <f t="shared" si="50"/>
        <v>0</v>
      </c>
      <c r="H160" s="76">
        <f>COUNTIF('5月'!D10:E10,H$152)+COUNTIF('5月'!I10:J10,H$152)+COUNTIF('5月'!N10:O10,H$152)+COUNTIF('5月'!S10:T10,H$152)+COUNTIF('5月'!X10:Y10,H$152)+COUNTIF('5月'!AC10:AD10,H$152)+COUNTIF('5月'!AH10:AI10,H$152)+COUNTIF('5月'!AM10:AN10,H$152)+COUNTIF('5月'!AR10:AS10,H$152)+COUNTIF('5月'!AW10:AX10,H$152)+COUNTIF('5月'!BB10:BC10,H$152)+COUNTIF('5月'!BG10:BH10,H$152)+COUNTIF('5月'!BL10:BM10,H$152)+COUNTIF('5月'!BQ10:BR10,H$152)+COUNTIF('5月'!BV10:BW10,H$152)+COUNTIF('5月'!CA10:CB10,H$152)+COUNTIF('5月'!CF10:CG10,H$152)+COUNTIF('5月'!CK10:CL10,H$152)+COUNTIF('5月'!CP10:CQ10,H$152)+COUNTIF('5月'!CU10:CV10,H$152)+COUNTIF('5月'!CZ10:DA10,H$152)+COUNTIF('5月'!DE10:DF10,H$152)+COUNTIF('5月'!DJ10:DK10,H$152)+COUNTIF('5月'!DO10:DP10,H$152)+COUNTIF('5月'!DT10:DU10,H$152)+COUNTIF('5月'!DY10:DZ10,H$152)+COUNTIF('5月'!ED10:EE10,H$152)+COUNTIF('5月'!EI10:EJ10,H$152)+COUNTIF('5月'!EN10:EO10,H$152)+COUNTIF('5月'!ES10:ET10,H$152)+COUNTIF('5月'!D10:E10,"渋谷-夜勤")+COUNTIF('5月'!I10:J10,"渋谷-夜勤")+COUNTIF('5月'!N10:O10,"渋谷-夜勤")+COUNTIF('5月'!S10:T10,"渋谷-夜勤")+COUNTIF('5月'!X10:Y10,"渋谷-夜勤")+COUNTIF('5月'!AC10:AD10,"渋谷-夜勤")+COUNTIF('5月'!AH10:AI10,"渋谷-夜勤")+COUNTIF('5月'!AM10:AN10,"渋谷-夜勤")+COUNTIF('5月'!AR10:AS10,"渋谷-夜勤")+COUNTIF('5月'!AW10:AX10,"渋谷-夜勤")+COUNTIF('5月'!BB10:BC10,"渋谷-夜勤")+COUNTIF('5月'!BG10:BH10,"渋谷-夜勤")+COUNTIF('5月'!BL10:BM10,"渋谷-夜勤")+COUNTIF('5月'!BQ10:BR10,"渋谷-夜勤")+COUNTIF('5月'!BV10:BW10,"渋谷-夜勤")+COUNTIF('5月'!CA10:CB10,"渋谷-夜勤")+COUNTIF('5月'!CF10:CG10,"渋谷-夜勤")+COUNTIF('5月'!CK10:CL10,"渋谷-夜勤")+COUNTIF('5月'!CP10:CQ10,"渋谷-夜勤")+COUNTIF('5月'!CU10:CV10,"渋谷-夜勤")+COUNTIF('5月'!CZ10:DA10,"渋谷-夜勤")+COUNTIF('5月'!DE10:DF10,"渋谷-夜勤")+COUNTIF('5月'!DJ10:DK10,"渋谷-夜勤")+COUNTIF('5月'!DO10:DP10,"渋谷-夜勤")+COUNTIF('5月'!DT10:DU10,"渋谷-夜勤")+COUNTIF('5月'!DY10:DZ10,"渋谷-夜勤")+COUNTIF('5月'!ED10:EE10,"渋谷-夜勤")+COUNTIF('5月'!EI10:EJ10,"渋谷-夜勤")+COUNTIF('5月'!EN10:EO10,"渋谷-夜勤")+COUNTIF('5月'!ES10:ET10,"渋谷-夜勤")</f>
        <v>0</v>
      </c>
      <c r="I160" s="76">
        <f t="shared" si="51"/>
        <v>0</v>
      </c>
      <c r="J160" s="76">
        <f>COUNTIF('5月'!D10:E10,J$152)+COUNTIF('5月'!I10:J10,J$152)+COUNTIF('5月'!N10:O10,J$152)+COUNTIF('5月'!S10:T10,J$152)+COUNTIF('5月'!X10:Y10,J$152)+COUNTIF('5月'!AC10:AD10,J$152)+COUNTIF('5月'!AH10:AI10,J$152)+COUNTIF('5月'!AM10:AN10,J$152)+COUNTIF('5月'!AR10:AS10,J$152)+COUNTIF('5月'!AW10:AX10,J$152)+COUNTIF('5月'!BB10:BC10,J$152)+COUNTIF('5月'!BG10:BH10,J$152)+COUNTIF('5月'!BL10:BM10,J$152)+COUNTIF('5月'!BQ10:BR10,J$152)+COUNTIF('5月'!BV10:BW10,J$152)+COUNTIF('5月'!CA10:CB10,J$152)+COUNTIF('5月'!CF10:CG10,J$152)+COUNTIF('5月'!CK10:CL10,J$152)+COUNTIF('5月'!CP10:CQ10,J$152)+COUNTIF('5月'!CU10:CV10,J$152)+COUNTIF('5月'!CZ10:DA10,J$152)+COUNTIF('5月'!DE10:DF10,J$152)+COUNTIF('5月'!DJ10:DK10,J$152)+COUNTIF('5月'!DO10:DP10,J$152)+COUNTIF('5月'!DT10:DU10,J$152)+COUNTIF('5月'!DY10:DZ10,J$152)+COUNTIF('5月'!ED10:EE10,J$152)+COUNTIF('5月'!EI10:EJ10,J$152)+COUNTIF('5月'!EN10:EO10,J$152)+COUNTIF('5月'!ES10:ET10,J$152)+COUNTIF('5月'!D10:E10,"六本木-夜勤")+COUNTIF('5月'!I10:J10,"六本木-夜勤")+COUNTIF('5月'!N10:O10,"六本木-夜勤")+COUNTIF('5月'!S10:T10,"六本木-夜勤")+COUNTIF('5月'!X10:Y10,"六本木-夜勤")+COUNTIF('5月'!AC10:AD10,"六本木-夜勤")+COUNTIF('5月'!AH10:AI10,"六本木-夜勤")+COUNTIF('5月'!AM10:AN10,"六本木-夜勤")+COUNTIF('5月'!AR10:AS10,"六本木-夜勤")+COUNTIF('5月'!AW10:AX10,"六本木-夜勤")+COUNTIF('5月'!BB10:BC10,"六本木-夜勤")+COUNTIF('5月'!BG10:BH10,"六本木-夜勤")+COUNTIF('5月'!BL10:BM10,"六本木-夜勤")+COUNTIF('5月'!BQ10:BR10,"六本木-夜勤")+COUNTIF('5月'!BV10:BW10,"六本木-夜勤")+COUNTIF('5月'!CA10:CB10,"六本木-夜勤")+COUNTIF('5月'!CF10:CG10,"六本木-夜勤")+COUNTIF('5月'!CK10:CL10,"六本木-夜勤")+COUNTIF('5月'!CP10:CQ10,"六本木-夜勤")+COUNTIF('5月'!CU10:CV10,"六本木-夜勤")+COUNTIF('5月'!CZ10:DA10,"六本木-夜勤")+COUNTIF('5月'!DE10:DF10,"六本木-夜勤")+COUNTIF('5月'!DJ10:DK10,"六本木-夜勤")+COUNTIF('5月'!DO10:DP10,"六本木-夜勤")+COUNTIF('5月'!DT10:DU10,"六本木-夜勤")+COUNTIF('5月'!DY10:DZ10,"六本木-夜勤")+COUNTIF('5月'!ED10:EE10,"六本木-夜勤")+COUNTIF('5月'!EI10:EJ10,"六本木-夜勤")+COUNTIF('5月'!EN10:EO10,"六本木-夜勤")+COUNTIF('5月'!ES10:ET10,"六本木-夜勤")+COUNTIF('5月'!D10:E10,"六本木ー夜勤")+COUNTIF('5月'!I10:J10,"六本木ー夜勤")+COUNTIF('5月'!N10:O10,"六本木ー夜勤")+COUNTIF('5月'!S10:T10,"六本木ー夜勤")+COUNTIF('5月'!X10:Y10,"六本木ー夜勤")+COUNTIF('5月'!AC10:AD10,"六本木ー夜勤")+COUNTIF('5月'!AH10:AI10,"六本木ー夜勤")+COUNTIF('5月'!AM10:AN10,"六本木ー夜勤")+COUNTIF('5月'!AR10:AS10,"六本木ー夜勤")+COUNTIF('5月'!AW10:AX10,"六本木ー夜勤")+COUNTIF('5月'!BB10:BC10,"六本木ー夜勤")+COUNTIF('5月'!BG10:BH10,"六本木ー夜勤")+COUNTIF('5月'!BL10:BM10,"六本木ー夜勤")+COUNTIF('5月'!BQ10:BR10,"六本木ー夜勤")+COUNTIF('5月'!BV10:BW10,"六本木ー夜勤")+COUNTIF('5月'!CA10:CB10,"六本木ー夜勤")+COUNTIF('5月'!CF10:CG10,"六本木ー夜勤")+COUNTIF('5月'!CK10:CL10,"六本木ー夜勤")+COUNTIF('5月'!CP10:CQ10,"六本木ー夜勤")+COUNTIF('5月'!CU10:CV10,"六本木ー夜勤")+COUNTIF('5月'!CZ10:DA10,"六本木ー夜勤")+COUNTIF('5月'!DE10:DF10,"六本木ー夜勤")+COUNTIF('5月'!DJ10:DK10,"六本木ー夜勤")+COUNTIF('5月'!DO10:DP10,"六本木ー夜勤")+COUNTIF('5月'!DT10:DU10,"六本木ー夜勤")+COUNTIF('5月'!DY10:DZ10,"六本木ー夜勤")+COUNTIF('5月'!ED10:EE10,"六本木ー夜勤")+COUNTIF('5月'!EI10:EJ10,"六本木ー夜勤")+COUNTIF('5月'!EN10:EO10,"六本木ー夜勤")+COUNTIF('5月'!ES10:ET10,"六本木ー夜勤")</f>
        <v>0</v>
      </c>
      <c r="K160" s="76">
        <f t="shared" si="52"/>
        <v>0</v>
      </c>
      <c r="L160" s="76">
        <f>COUNTIF('5月'!D10:E10,L$152)+COUNTIF('5月'!I10:J10,L$152)+COUNTIF('5月'!N10:O10,L$152)+COUNTIF('5月'!S10:T10,L$152)+COUNTIF('5月'!X10:Y10,L$152)+COUNTIF('5月'!AC10:AD10,L$152)+COUNTIF('5月'!AH10:AI10,L$152)+COUNTIF('5月'!AM10:AN10,L$152)+COUNTIF('5月'!AR10:AS10,L$152)+COUNTIF('5月'!AW10:AX10,L$152)+COUNTIF('5月'!BB10:BC10,L$152)+COUNTIF('5月'!BG10:BH10,L$152)+COUNTIF('5月'!BL10:BM10,L$152)+COUNTIF('5月'!BQ10:BR10,L$152)+COUNTIF('5月'!BV10:BW10,L$152)+COUNTIF('5月'!CA10:CB10,L$152)+COUNTIF('5月'!CF10:CG10,L$152)+COUNTIF('5月'!CK10:CL10,L$152)+COUNTIF('5月'!CP10:CQ10,L$152)+COUNTIF('5月'!CU10:CV10,L$152)+COUNTIF('5月'!CZ10:DA10,L$152)+COUNTIF('5月'!DE10:DF10,L$152)+COUNTIF('5月'!DJ10:DK10,L$152)+COUNTIF('5月'!DO10:DP10,L$152)+COUNTIF('5月'!DT10:DU10,L$152)+COUNTIF('5月'!DY10:DZ10,L$152)+COUNTIF('5月'!ED10:EE10,L$152)+COUNTIF('5月'!EI10:EJ10,L$152)+COUNTIF('5月'!EN10:EO10,L$152)+COUNTIF('5月'!ES10:ET10,L$152)</f>
        <v>0</v>
      </c>
      <c r="M160" s="76">
        <f t="shared" si="53"/>
        <v>0</v>
      </c>
      <c r="N160" s="76">
        <f>COUNTIF('5月'!D10:E10,N$152)+COUNTIF('5月'!I10:J10,N$152)+COUNTIF('5月'!N10:O10,N$152)+COUNTIF('5月'!S10:T10,N$152)+COUNTIF('5月'!X10:Y10,N$152)+COUNTIF('5月'!AC10:AD10,N$152)+COUNTIF('5月'!AH10:AI10,N$152)+COUNTIF('5月'!AM10:AN10,N$152)+COUNTIF('5月'!AR10:AS10,N$152)+COUNTIF('5月'!AW10:AX10,N$152)+COUNTIF('5月'!BB10:BC10,N$152)+COUNTIF('5月'!BG10:BH10,N$152)+COUNTIF('5月'!BL10:BM10,N$152)+COUNTIF('5月'!BQ10:BR10,N$152)+COUNTIF('5月'!BV10:BW10,N$152)+COUNTIF('5月'!CA10:CB10,N$152)+COUNTIF('5月'!CF10:CG10,N$152)+COUNTIF('5月'!CK10:CL10,N$152)+COUNTIF('5月'!CP10:CQ10,N$152)+COUNTIF('5月'!CU10:CV10,N$152)+COUNTIF('5月'!CZ10:DA10,N$152)+COUNTIF('5月'!DE10:DF10,N$152)+COUNTIF('5月'!DJ10:DK10,N$152)+COUNTIF('5月'!DO10:DP10,N$152)+COUNTIF('5月'!DT10:DU10,N$152)+COUNTIF('5月'!DY10:DZ10,N$152)+COUNTIF('5月'!ED10:EE10,N$152)+COUNTIF('5月'!EI10:EJ10,N$152)+COUNTIF('5月'!EN10:EO10,N$152)+COUNTIF('5月'!ES10:ET10,N$152)+COUNTIF('5月'!D10:E10,"三軒茶屋－夜勤")+COUNTIF('5月'!I10:J10,"三軒茶屋－夜勤")+COUNTIF('5月'!N10:O10,"三軒茶屋－夜勤")+COUNTIF('5月'!S10:T10,"三軒茶屋－夜勤")+COUNTIF('5月'!X10:Y10,"三軒茶屋－夜勤")+COUNTIF('5月'!AC10:AD10,"三軒茶屋－夜勤")+COUNTIF('5月'!AH10:AI10,"三軒茶屋－夜勤")+COUNTIF('5月'!AM10:AN10,"三軒茶屋－夜勤")+COUNTIF('5月'!AR10:AS10,"三軒茶屋－夜勤")+COUNTIF('5月'!AW10:AX10,"三軒茶屋－夜勤")+COUNTIF('5月'!BB10:BC10,"三軒茶屋－夜勤")+COUNTIF('5月'!BG10:BH10,"三軒茶屋－夜勤")+COUNTIF('5月'!BL10:BM10,"三軒茶屋－夜勤")+COUNTIF('5月'!BQ10:BR10,"三軒茶屋－夜勤")+COUNTIF('5月'!BV10:BW10,"三軒茶屋－夜勤")+COUNTIF('5月'!CA10:CB10,"三軒茶屋－夜勤")+COUNTIF('5月'!CF10:CG10,"三軒茶屋－夜勤")+COUNTIF('5月'!CK10:CL10,"三軒茶屋－夜勤")+COUNTIF('5月'!CP10:CQ10,"三軒茶屋－夜勤")+COUNTIF('5月'!CU10:CV10,"三軒茶屋－夜勤")+COUNTIF('5月'!CZ10:DA10,"三軒茶屋－夜勤")+COUNTIF('5月'!DE10:DF10,"三軒茶屋－夜勤")+COUNTIF('5月'!DJ10:DK10,"三軒茶屋－夜勤")+COUNTIF('5月'!DO10:DP10,"三軒茶屋－夜勤")+COUNTIF('5月'!DT10:DU10,"三軒茶屋－夜勤")+COUNTIF('5月'!DY10:DZ10,"三軒茶屋－夜勤")+COUNTIF('5月'!ED10:EE10,"三軒茶屋－夜勤")+COUNTIF('5月'!EI10:EJ10,"三軒茶屋－夜勤")+COUNTIF('5月'!EN10:EO10,"三軒茶屋－夜勤")+COUNTIF('5月'!ES10:ET10,"三軒茶屋－夜勤")</f>
        <v>0</v>
      </c>
      <c r="O160" s="76">
        <f t="shared" si="54"/>
        <v>0</v>
      </c>
      <c r="P160" s="76">
        <f>COUNTIF('5月'!D10:E10,P$152)+COUNTIF('5月'!I10:J10,P$152)+COUNTIF('5月'!N10:O10,P$152)+COUNTIF('5月'!S10:T10,P$152)+COUNTIF('5月'!X10:Y10,P$152)+COUNTIF('5月'!AC10:AD10,P$152)+COUNTIF('5月'!AH10:AI10,P$152)+COUNTIF('5月'!AM10:AN10,P$152)+COUNTIF('5月'!AR10:AS10,P$152)+COUNTIF('5月'!AW10:AX10,P$152)+COUNTIF('5月'!BB10:BC10,P$152)+COUNTIF('5月'!BG10:BH10,P$152)+COUNTIF('5月'!BL10:BM10,P$152)+COUNTIF('5月'!BQ10:BR10,P$152)+COUNTIF('5月'!BV10:BW10,P$152)+COUNTIF('5月'!CA10:CB10,P$152)+COUNTIF('5月'!CF10:CG10,P$152)+COUNTIF('5月'!CK10:CL10,P$152)+COUNTIF('5月'!CP10:CQ10,P$152)+COUNTIF('5月'!CU10:CV10,P$152)+COUNTIF('5月'!CZ10:DA10,P$152)+COUNTIF('5月'!DE10:DF10,P$152)+COUNTIF('5月'!DJ10:DK10,P$152)+COUNTIF('5月'!DO10:DP10,P$152)+COUNTIF('5月'!DT10:DU10,P$152)+COUNTIF('5月'!DY10:DZ10,P$152)+COUNTIF('5月'!ED10:EE10,P$152)+COUNTIF('5月'!EI10:EJ10,P$152)+COUNTIF('5月'!EN10:EO10,P$152)+COUNTIF('5月'!ES10:ET10,P$152)+COUNTIF('5月'!D10:E10,"荻窪ー夜勤")+COUNTIF('5月'!I10:J10,"荻窪ー夜勤")+COUNTIF('5月'!N10:O10,"荻窪ー夜勤")+COUNTIF('5月'!S10:T10,"荻窪ー夜勤")+COUNTIF('5月'!X10:Y10,"荻窪ー夜勤")+COUNTIF('5月'!AC10:AD10,"荻窪ー夜勤")+COUNTIF('5月'!AH10:AI10,"荻窪ー夜勤")+COUNTIF('5月'!AM10:AN10,"荻窪ー夜勤")+COUNTIF('5月'!AR10:AS10,"荻窪ー夜勤")+COUNTIF('5月'!AW10:AX10,"荻窪ー夜勤")+COUNTIF('5月'!BB10:BC10,"荻窪ー夜勤")+COUNTIF('5月'!BG10:BH10,"荻窪ー夜勤")+COUNTIF('5月'!BL10:BM10,"荻窪ー夜勤")+COUNTIF('5月'!BQ10:BR10,"荻窪ー夜勤")+COUNTIF('5月'!BV10:BW10,"荻窪ー夜勤")+COUNTIF('5月'!CA10:CB10,"荻窪ー夜勤")+COUNTIF('5月'!CF10:CG10,"荻窪ー夜勤")+COUNTIF('5月'!CK10:CL10,"荻窪ー夜勤")+COUNTIF('5月'!CP10:CQ10,"荻窪ー夜勤")+COUNTIF('5月'!CU10:CV10,"荻窪ー夜勤")+COUNTIF('5月'!CZ10:DA10,"荻窪ー夜勤")+COUNTIF('5月'!DE10:DF10,"荻窪ー夜勤")+COUNTIF('5月'!DJ10:DK10,"荻窪ー夜勤")+COUNTIF('5月'!DO10:DP10,"荻窪ー夜勤")+COUNTIF('5月'!DT10:DU10,"荻窪ー夜勤")+COUNTIF('5月'!DY10:DZ10,"荻窪ー夜勤")+COUNTIF('5月'!ED10:EE10,"荻窪ー夜勤")+COUNTIF('5月'!EI10:EJ10,"荻窪ー夜勤")+COUNTIF('5月'!EN10:EO10,"荻窪ー夜勤")+COUNTIF('5月'!ES10:ET10,"荻窪ー夜勤")</f>
        <v>0</v>
      </c>
      <c r="Q160" s="76">
        <f t="shared" si="55"/>
        <v>0</v>
      </c>
      <c r="R160" s="76">
        <f>COUNTIF('5月'!D10:E10,R$152)+COUNTIF('5月'!I10:J10,R$152)+COUNTIF('5月'!N10:O10,R$152)+COUNTIF('5月'!S10:T10,R$152)+COUNTIF('5月'!X10:Y10,R$152)+COUNTIF('5月'!AC10:AD10,R$152)+COUNTIF('5月'!AH10:AI10,R$152)+COUNTIF('5月'!AM10:AN10,R$152)+COUNTIF('5月'!AR10:AS10,R$152)+COUNTIF('5月'!AW10:AX10,R$152)+COUNTIF('5月'!BB10:BC10,R$152)+COUNTIF('5月'!BG10:BH10,R$152)+COUNTIF('5月'!BL10:BM10,R$152)+COUNTIF('5月'!BQ10:BR10,R$152)+COUNTIF('5月'!BV10:BW10,R$152)+COUNTIF('5月'!CA10:CB10,R$152)+COUNTIF('5月'!CF10:CG10,R$152)+COUNTIF('5月'!CK10:CL10,R$152)+COUNTIF('5月'!CP10:CQ10,R$152)+COUNTIF('5月'!CU10:CV10,R$152)+COUNTIF('5月'!CZ10:DA10,R$152)+COUNTIF('5月'!DE10:DF10,R$152)+COUNTIF('5月'!DJ10:DK10,R$152)+COUNTIF('5月'!DO10:DP10,R$152)+COUNTIF('5月'!DT10:DU10,R$152)+COUNTIF('5月'!DY10:DZ10,R$152)+COUNTIF('5月'!ED10:EE10,R$152)+COUNTIF('5月'!EI10:EJ10,R$152)+COUNTIF('5月'!EN10:EO10,R$152)+COUNTIF('5月'!ES10:ET10,R$152)</f>
        <v>0</v>
      </c>
      <c r="S160" s="76">
        <f t="shared" si="56"/>
        <v>0</v>
      </c>
      <c r="T160" s="76">
        <f>COUNTIF('5月'!D10:E10,T$152)+COUNTIF('5月'!I10:J10,T$152)+COUNTIF('5月'!N10:O10,T$152)+COUNTIF('5月'!S10:T10,T$152)+COUNTIF('5月'!X10:Y10,T$152)+COUNTIF('5月'!AC10:AD10,T$152)+COUNTIF('5月'!AH10:AI10,T$152)+COUNTIF('5月'!AM10:AN10,T$152)+COUNTIF('5月'!AR10:AS10,T$152)+COUNTIF('5月'!AW10:AX10,T$152)+COUNTIF('5月'!BB10:BC10,T$152)+COUNTIF('5月'!BG10:BH10,T$152)+COUNTIF('5月'!BL10:BM10,T$152)+COUNTIF('5月'!BQ10:BR10,T$152)+COUNTIF('5月'!BV10:BW10,T$152)+COUNTIF('5月'!CA10:CB10,T$152)+COUNTIF('5月'!CF10:CG10,T$152)+COUNTIF('5月'!CK10:CL10,T$152)+COUNTIF('5月'!CP10:CQ10,T$152)+COUNTIF('5月'!CU10:CV10,T$152)+COUNTIF('5月'!CZ10:DA10,T$152)+COUNTIF('5月'!DE10:DF10,T$152)+COUNTIF('5月'!DJ10:DK10,T$152)+COUNTIF('5月'!DO10:DP10,T$152)+COUNTIF('5月'!DT10:DU10,T$152)+COUNTIF('5月'!DY10:DZ10,T$152)+COUNTIF('5月'!ED10:EE10,T$152)+COUNTIF('5月'!EI10:EJ10,T$152)+COUNTIF('5月'!EN10:EO10,T$152)+COUNTIF('5月'!ES10:ET10,T$152)</f>
        <v>0</v>
      </c>
      <c r="U160" s="76">
        <f t="shared" si="57"/>
        <v>0</v>
      </c>
      <c r="V160" s="76">
        <f>COUNTIF('5月'!D10:E10,V$152)+COUNTIF('5月'!I10:J10,V$152)+COUNTIF('5月'!N10:O10,V$152)+COUNTIF('5月'!S10:T10,V$152)+COUNTIF('5月'!X10:Y10,V$152)+COUNTIF('5月'!AC10:AD10,V$152)+COUNTIF('5月'!AH10:AI10,V$152)+COUNTIF('5月'!AM10:AN10,V$152)+COUNTIF('5月'!AR10:AS10,V$152)+COUNTIF('5月'!AW10:AX10,V$152)+COUNTIF('5月'!BB10:BC10,V$152)+COUNTIF('5月'!BG10:BH10,V$152)+COUNTIF('5月'!BL10:BM10,V$152)+COUNTIF('5月'!BQ10:BR10,V$152)+COUNTIF('5月'!BV10:BW10,V$152)+COUNTIF('5月'!CA10:CB10,V$152)+COUNTIF('5月'!CF10:CG10,V$152)+COUNTIF('5月'!CK10:CL10,V$152)+COUNTIF('5月'!CP10:CQ10,V$152)+COUNTIF('5月'!CU10:CV10,V$152)+COUNTIF('5月'!CZ10:DA10,V$152)+COUNTIF('5月'!DE10:DF10,V$152)+COUNTIF('5月'!DJ10:DK10,V$152)+COUNTIF('5月'!DO10:DP10,V$152)+COUNTIF('5月'!DT10:DU10,V$152)+COUNTIF('5月'!DY10:DZ10,V$152)+COUNTIF('5月'!ED10:EE10,V$152)+COUNTIF('5月'!EI10:EJ10,V$152)+COUNTIF('5月'!EN10:EO10,V$152)+COUNTIF('5月'!ES10:ET10,V$152)</f>
        <v>0</v>
      </c>
      <c r="W160" s="76">
        <f t="shared" si="58"/>
        <v>0</v>
      </c>
      <c r="X160" s="76">
        <f>COUNTIF('5月'!D10:E10,X$152)+COUNTIF('5月'!I10:J10,X$152)+COUNTIF('5月'!N10:O10,X$152)+COUNTIF('5月'!S10:T10,X$152)+COUNTIF('5月'!X10:Y10,X$152)+COUNTIF('5月'!AC10:AD10,X$152)+COUNTIF('5月'!AH10:AI10,X$152)+COUNTIF('5月'!AM10:AN10,X$152)+COUNTIF('5月'!AR10:AS10,X$152)+COUNTIF('5月'!AW10:AX10,X$152)+COUNTIF('5月'!BB10:BC10,X$152)+COUNTIF('5月'!BG10:BH10,X$152)+COUNTIF('5月'!BL10:BM10,X$152)+COUNTIF('5月'!BQ10:BR10,X$152)+COUNTIF('5月'!BV10:BW10,X$152)+COUNTIF('5月'!CA10:CB10,X$152)+COUNTIF('5月'!CF10:CG10,X$152)+COUNTIF('5月'!CK10:CL10,X$152)+COUNTIF('5月'!CP10:CQ10,X$152)+COUNTIF('5月'!CU10:CV10,X$152)+COUNTIF('5月'!CZ10:DA10,X$152)+COUNTIF('5月'!DE10:DF10,X$152)+COUNTIF('5月'!DJ10:DK10,X$152)+COUNTIF('5月'!DO10:DP10,X$152)+COUNTIF('5月'!DT10:DU10,X$152)+COUNTIF('5月'!DY10:DZ10,X$152)+COUNTIF('5月'!ED10:EE10,X$152)+COUNTIF('5月'!EI10:EJ10,X$152)+COUNTIF('5月'!EN10:EO10,X$152)+COUNTIF('5月'!ES10:ET10,X$152)</f>
        <v>0</v>
      </c>
      <c r="Y160" s="76">
        <f t="shared" si="59"/>
        <v>0</v>
      </c>
    </row>
    <row r="161" spans="1:25" ht="18" customHeight="1">
      <c r="A161" s="76">
        <v>8</v>
      </c>
      <c r="B161" s="76">
        <f>COUNTIF('5月'!D11:E11,B$152)+COUNTIF('5月'!I11:J11,B$152)+COUNTIF('5月'!N11:O11,B$152)+COUNTIF('5月'!S11:T11,B$152)+COUNTIF('5月'!X11:Y11,B$152)+COUNTIF('5月'!AC11:AD11,B$152)+COUNTIF('5月'!AH11:AI11,B$152)+COUNTIF('5月'!AM11:AN11,B$152)+COUNTIF('5月'!AR11:AS11,B$152)+COUNTIF('5月'!AW11:AX11,B$152)+COUNTIF('5月'!BB11:BC11,B$152)+COUNTIF('5月'!BG11:BH11,B$152)+COUNTIF('5月'!BL11:BM11,B$152)+COUNTIF('5月'!BQ11:BR11,B$152)+COUNTIF('5月'!BV11:BW11,B$152)+COUNTIF('5月'!CA11:CB11,B$152)+COUNTIF('5月'!CF11:CG11,B$152)+COUNTIF('5月'!CK11:CL11,B$152)+COUNTIF('5月'!CP11:CQ11,B$152)+COUNTIF('5月'!CU11:CV11,B$152)+COUNTIF('5月'!CZ11:DA11,B$152)+COUNTIF('5月'!DE11:DF11,B$152)+COUNTIF('5月'!DJ11:DK11,B$152)+COUNTIF('5月'!DO11:DP11,B$152)+COUNTIF('5月'!DT11:DU11,B$152)+COUNTIF('5月'!DY11:DZ11,B$152)+COUNTIF('5月'!ED11:EE11,B$152)+COUNTIF('5月'!EI11:EJ11,B$152)+COUNTIF('5月'!EN11:EO11,B$152)+COUNTIF('5月'!ES11:ET11,B$152)</f>
        <v>0</v>
      </c>
      <c r="C161" s="76">
        <f t="shared" si="48"/>
        <v>0</v>
      </c>
      <c r="D161" s="76">
        <f>COUNTIF('5月'!D11:E11,D$152)+COUNTIF('5月'!I11:J11,D$152)+COUNTIF('5月'!N11:O11,D$152)+COUNTIF('5月'!S11:T11,D$152)+COUNTIF('5月'!X11:Y11,D$152)+COUNTIF('5月'!AC11:AD11,D$152)+COUNTIF('5月'!AH11:AI11,D$152)+COUNTIF('5月'!AM11:AN11,D$152)+COUNTIF('5月'!AR11:AS11,D$152)+COUNTIF('5月'!AW11:AX11,D$152)+COUNTIF('5月'!BB11:BC11,D$152)+COUNTIF('5月'!BG11:BH11,D$152)+COUNTIF('5月'!BL11:BM11,D$152)+COUNTIF('5月'!BQ11:BR11,D$152)+COUNTIF('5月'!BV11:BW11,D$152)+COUNTIF('5月'!CA11:CB11,D$152)+COUNTIF('5月'!CF11:CG11,D$152)+COUNTIF('5月'!CK11:CL11,D$152)+COUNTIF('5月'!CP11:CQ11,D$152)+COUNTIF('5月'!CU11:CV11,D$152)+COUNTIF('5月'!CZ11:DA11,D$152)+COUNTIF('5月'!DE11:DF11,D$152)+COUNTIF('5月'!DJ11:DK11,D$152)+COUNTIF('5月'!DO11:DP11,D$152)+COUNTIF('5月'!DT11:DU11,D$152)+COUNTIF('5月'!DY11:DZ11,D$152)+COUNTIF('5月'!ED11:EE11,D$152)+COUNTIF('5月'!EI11:EJ11,D$152)+COUNTIF('5月'!EN11:EO11,D$152)+COUNTIF('5月'!ES11:ET11,D$152)</f>
        <v>0</v>
      </c>
      <c r="E161" s="76">
        <f t="shared" si="49"/>
        <v>0</v>
      </c>
      <c r="F161" s="76">
        <f>COUNTIF('5月'!D11:E11,F$152)+COUNTIF('5月'!I11:J11,F$152)+COUNTIF('5月'!N11:O11,F$152)+COUNTIF('5月'!S11:T11,F$152)+COUNTIF('5月'!X11:Y11,F$152)+COUNTIF('5月'!AC11:AD11,F$152)+COUNTIF('5月'!AH11:AI11,F$152)+COUNTIF('5月'!AM11:AN11,F$152)+COUNTIF('5月'!AR11:AS11,F$152)+COUNTIF('5月'!AW11:AX11,F$152)+COUNTIF('5月'!BB11:BC11,F$152)+COUNTIF('5月'!BG11:BH11,F$152)+COUNTIF('5月'!BL11:BM11,F$152)+COUNTIF('5月'!BQ11:BR11,F$152)+COUNTIF('5月'!BV11:BW11,F$152)+COUNTIF('5月'!CA11:CB11,F$152)+COUNTIF('5月'!CF11:CG11,F$152)+COUNTIF('5月'!CK11:CL11,F$152)+COUNTIF('5月'!CP11:CQ11,F$152)+COUNTIF('5月'!CU11:CV11,F$152)+COUNTIF('5月'!CZ11:DA11,F$152)+COUNTIF('5月'!DE11:DF11,F$152)+COUNTIF('5月'!DJ11:DK11,F$152)+COUNTIF('5月'!DO11:DP11,F$152)+COUNTIF('5月'!DT11:DU11,F$152)+COUNTIF('5月'!DY11:DZ11,F$152)+COUNTIF('5月'!ED11:EE11,F$152)+COUNTIF('5月'!EI11:EJ11,F$152)+COUNTIF('5月'!EN11:EO11,F$152)+COUNTIF('5月'!ES11:ET11,F$152)</f>
        <v>0</v>
      </c>
      <c r="G161" s="76">
        <f t="shared" si="50"/>
        <v>0</v>
      </c>
      <c r="H161" s="76">
        <f>COUNTIF('5月'!D11:E11,H$152)+COUNTIF('5月'!I11:J11,H$152)+COUNTIF('5月'!N11:O11,H$152)+COUNTIF('5月'!S11:T11,H$152)+COUNTIF('5月'!X11:Y11,H$152)+COUNTIF('5月'!AC11:AD11,H$152)+COUNTIF('5月'!AH11:AI11,H$152)+COUNTIF('5月'!AM11:AN11,H$152)+COUNTIF('5月'!AR11:AS11,H$152)+COUNTIF('5月'!AW11:AX11,H$152)+COUNTIF('5月'!BB11:BC11,H$152)+COUNTIF('5月'!BG11:BH11,H$152)+COUNTIF('5月'!BL11:BM11,H$152)+COUNTIF('5月'!BQ11:BR11,H$152)+COUNTIF('5月'!BV11:BW11,H$152)+COUNTIF('5月'!CA11:CB11,H$152)+COUNTIF('5月'!CF11:CG11,H$152)+COUNTIF('5月'!CK11:CL11,H$152)+COUNTIF('5月'!CP11:CQ11,H$152)+COUNTIF('5月'!CU11:CV11,H$152)+COUNTIF('5月'!CZ11:DA11,H$152)+COUNTIF('5月'!DE11:DF11,H$152)+COUNTIF('5月'!DJ11:DK11,H$152)+COUNTIF('5月'!DO11:DP11,H$152)+COUNTIF('5月'!DT11:DU11,H$152)+COUNTIF('5月'!DY11:DZ11,H$152)+COUNTIF('5月'!ED11:EE11,H$152)+COUNTIF('5月'!EI11:EJ11,H$152)+COUNTIF('5月'!EN11:EO11,H$152)+COUNTIF('5月'!ES11:ET11,H$152)+COUNTIF('5月'!D11:E11,"渋谷-夜勤")+COUNTIF('5月'!I11:J11,"渋谷-夜勤")+COUNTIF('5月'!N11:O11,"渋谷-夜勤")+COUNTIF('5月'!S11:T11,"渋谷-夜勤")+COUNTIF('5月'!X11:Y11,"渋谷-夜勤")+COUNTIF('5月'!AC11:AD11,"渋谷-夜勤")+COUNTIF('5月'!AH11:AI11,"渋谷-夜勤")+COUNTIF('5月'!AM11:AN11,"渋谷-夜勤")+COUNTIF('5月'!AR11:AS11,"渋谷-夜勤")+COUNTIF('5月'!AW11:AX11,"渋谷-夜勤")+COUNTIF('5月'!BB11:BC11,"渋谷-夜勤")+COUNTIF('5月'!BG11:BH11,"渋谷-夜勤")+COUNTIF('5月'!BL11:BM11,"渋谷-夜勤")+COUNTIF('5月'!BQ11:BR11,"渋谷-夜勤")+COUNTIF('5月'!BV11:BW11,"渋谷-夜勤")+COUNTIF('5月'!CA11:CB11,"渋谷-夜勤")+COUNTIF('5月'!CF11:CG11,"渋谷-夜勤")+COUNTIF('5月'!CK11:CL11,"渋谷-夜勤")+COUNTIF('5月'!CP11:CQ11,"渋谷-夜勤")+COUNTIF('5月'!CU11:CV11,"渋谷-夜勤")+COUNTIF('5月'!CZ11:DA11,"渋谷-夜勤")+COUNTIF('5月'!DE11:DF11,"渋谷-夜勤")+COUNTIF('5月'!DJ11:DK11,"渋谷-夜勤")+COUNTIF('5月'!DO11:DP11,"渋谷-夜勤")+COUNTIF('5月'!DT11:DU11,"渋谷-夜勤")+COUNTIF('5月'!DY11:DZ11,"渋谷-夜勤")+COUNTIF('5月'!ED11:EE11,"渋谷-夜勤")+COUNTIF('5月'!EI11:EJ11,"渋谷-夜勤")+COUNTIF('5月'!EN11:EO11,"渋谷-夜勤")+COUNTIF('5月'!ES11:ET11,"渋谷-夜勤")</f>
        <v>0</v>
      </c>
      <c r="I161" s="76">
        <f t="shared" si="51"/>
        <v>0</v>
      </c>
      <c r="J161" s="76">
        <f>COUNTIF('5月'!D11:E11,J$152)+COUNTIF('5月'!I11:J11,J$152)+COUNTIF('5月'!N11:O11,J$152)+COUNTIF('5月'!S11:T11,J$152)+COUNTIF('5月'!X11:Y11,J$152)+COUNTIF('5月'!AC11:AD11,J$152)+COUNTIF('5月'!AH11:AI11,J$152)+COUNTIF('5月'!AM11:AN11,J$152)+COUNTIF('5月'!AR11:AS11,J$152)+COUNTIF('5月'!AW11:AX11,J$152)+COUNTIF('5月'!BB11:BC11,J$152)+COUNTIF('5月'!BG11:BH11,J$152)+COUNTIF('5月'!BL11:BM11,J$152)+COUNTIF('5月'!BQ11:BR11,J$152)+COUNTIF('5月'!BV11:BW11,J$152)+COUNTIF('5月'!CA11:CB11,J$152)+COUNTIF('5月'!CF11:CG11,J$152)+COUNTIF('5月'!CK11:CL11,J$152)+COUNTIF('5月'!CP11:CQ11,J$152)+COUNTIF('5月'!CU11:CV11,J$152)+COUNTIF('5月'!CZ11:DA11,J$152)+COUNTIF('5月'!DE11:DF11,J$152)+COUNTIF('5月'!DJ11:DK11,J$152)+COUNTIF('5月'!DO11:DP11,J$152)+COUNTIF('5月'!DT11:DU11,J$152)+COUNTIF('5月'!DY11:DZ11,J$152)+COUNTIF('5月'!ED11:EE11,J$152)+COUNTIF('5月'!EI11:EJ11,J$152)+COUNTIF('5月'!EN11:EO11,J$152)+COUNTIF('5月'!ES11:ET11,J$152)+COUNTIF('5月'!D11:E11,"六本木-夜勤")+COUNTIF('5月'!I11:J11,"六本木-夜勤")+COUNTIF('5月'!N11:O11,"六本木-夜勤")+COUNTIF('5月'!S11:T11,"六本木-夜勤")+COUNTIF('5月'!X11:Y11,"六本木-夜勤")+COUNTIF('5月'!AC11:AD11,"六本木-夜勤")+COUNTIF('5月'!AH11:AI11,"六本木-夜勤")+COUNTIF('5月'!AM11:AN11,"六本木-夜勤")+COUNTIF('5月'!AR11:AS11,"六本木-夜勤")+COUNTIF('5月'!AW11:AX11,"六本木-夜勤")+COUNTIF('5月'!BB11:BC11,"六本木-夜勤")+COUNTIF('5月'!BG11:BH11,"六本木-夜勤")+COUNTIF('5月'!BL11:BM11,"六本木-夜勤")+COUNTIF('5月'!BQ11:BR11,"六本木-夜勤")+COUNTIF('5月'!BV11:BW11,"六本木-夜勤")+COUNTIF('5月'!CA11:CB11,"六本木-夜勤")+COUNTIF('5月'!CF11:CG11,"六本木-夜勤")+COUNTIF('5月'!CK11:CL11,"六本木-夜勤")+COUNTIF('5月'!CP11:CQ11,"六本木-夜勤")+COUNTIF('5月'!CU11:CV11,"六本木-夜勤")+COUNTIF('5月'!CZ11:DA11,"六本木-夜勤")+COUNTIF('5月'!DE11:DF11,"六本木-夜勤")+COUNTIF('5月'!DJ11:DK11,"六本木-夜勤")+COUNTIF('5月'!DO11:DP11,"六本木-夜勤")+COUNTIF('5月'!DT11:DU11,"六本木-夜勤")+COUNTIF('5月'!DY11:DZ11,"六本木-夜勤")+COUNTIF('5月'!ED11:EE11,"六本木-夜勤")+COUNTIF('5月'!EI11:EJ11,"六本木-夜勤")+COUNTIF('5月'!EN11:EO11,"六本木-夜勤")+COUNTIF('5月'!ES11:ET11,"六本木-夜勤")+COUNTIF('5月'!D11:E11,"六本木ー夜勤")+COUNTIF('5月'!I11:J11,"六本木ー夜勤")+COUNTIF('5月'!N11:O11,"六本木ー夜勤")+COUNTIF('5月'!S11:T11,"六本木ー夜勤")+COUNTIF('5月'!X11:Y11,"六本木ー夜勤")+COUNTIF('5月'!AC11:AD11,"六本木ー夜勤")+COUNTIF('5月'!AH11:AI11,"六本木ー夜勤")+COUNTIF('5月'!AM11:AN11,"六本木ー夜勤")+COUNTIF('5月'!AR11:AS11,"六本木ー夜勤")+COUNTIF('5月'!AW11:AX11,"六本木ー夜勤")+COUNTIF('5月'!BB11:BC11,"六本木ー夜勤")+COUNTIF('5月'!BG11:BH11,"六本木ー夜勤")+COUNTIF('5月'!BL11:BM11,"六本木ー夜勤")+COUNTIF('5月'!BQ11:BR11,"六本木ー夜勤")+COUNTIF('5月'!BV11:BW11,"六本木ー夜勤")+COUNTIF('5月'!CA11:CB11,"六本木ー夜勤")+COUNTIF('5月'!CF11:CG11,"六本木ー夜勤")+COUNTIF('5月'!CK11:CL11,"六本木ー夜勤")+COUNTIF('5月'!CP11:CQ11,"六本木ー夜勤")+COUNTIF('5月'!CU11:CV11,"六本木ー夜勤")+COUNTIF('5月'!CZ11:DA11,"六本木ー夜勤")+COUNTIF('5月'!DE11:DF11,"六本木ー夜勤")+COUNTIF('5月'!DJ11:DK11,"六本木ー夜勤")+COUNTIF('5月'!DO11:DP11,"六本木ー夜勤")+COUNTIF('5月'!DT11:DU11,"六本木ー夜勤")+COUNTIF('5月'!DY11:DZ11,"六本木ー夜勤")+COUNTIF('5月'!ED11:EE11,"六本木ー夜勤")+COUNTIF('5月'!EI11:EJ11,"六本木ー夜勤")+COUNTIF('5月'!EN11:EO11,"六本木ー夜勤")+COUNTIF('5月'!ES11:ET11,"六本木ー夜勤")</f>
        <v>0</v>
      </c>
      <c r="K161" s="76">
        <f t="shared" si="52"/>
        <v>0</v>
      </c>
      <c r="L161" s="76">
        <f>COUNTIF('5月'!D11:E11,L$152)+COUNTIF('5月'!I11:J11,L$152)+COUNTIF('5月'!N11:O11,L$152)+COUNTIF('5月'!S11:T11,L$152)+COUNTIF('5月'!X11:Y11,L$152)+COUNTIF('5月'!AC11:AD11,L$152)+COUNTIF('5月'!AH11:AI11,L$152)+COUNTIF('5月'!AM11:AN11,L$152)+COUNTIF('5月'!AR11:AS11,L$152)+COUNTIF('5月'!AW11:AX11,L$152)+COUNTIF('5月'!BB11:BC11,L$152)+COUNTIF('5月'!BG11:BH11,L$152)+COUNTIF('5月'!BL11:BM11,L$152)+COUNTIF('5月'!BQ11:BR11,L$152)+COUNTIF('5月'!BV11:BW11,L$152)+COUNTIF('5月'!CA11:CB11,L$152)+COUNTIF('5月'!CF11:CG11,L$152)+COUNTIF('5月'!CK11:CL11,L$152)+COUNTIF('5月'!CP11:CQ11,L$152)+COUNTIF('5月'!CU11:CV11,L$152)+COUNTIF('5月'!CZ11:DA11,L$152)+COUNTIF('5月'!DE11:DF11,L$152)+COUNTIF('5月'!DJ11:DK11,L$152)+COUNTIF('5月'!DO11:DP11,L$152)+COUNTIF('5月'!DT11:DU11,L$152)+COUNTIF('5月'!DY11:DZ11,L$152)+COUNTIF('5月'!ED11:EE11,L$152)+COUNTIF('5月'!EI11:EJ11,L$152)+COUNTIF('5月'!EN11:EO11,L$152)+COUNTIF('5月'!ES11:ET11,L$152)</f>
        <v>0</v>
      </c>
      <c r="M161" s="76">
        <f t="shared" si="53"/>
        <v>0</v>
      </c>
      <c r="N161" s="76">
        <f>COUNTIF('5月'!D11:E11,N$152)+COUNTIF('5月'!I11:J11,N$152)+COUNTIF('5月'!N11:O11,N$152)+COUNTIF('5月'!S11:T11,N$152)+COUNTIF('5月'!X11:Y11,N$152)+COUNTIF('5月'!AC11:AD11,N$152)+COUNTIF('5月'!AH11:AI11,N$152)+COUNTIF('5月'!AM11:AN11,N$152)+COUNTIF('5月'!AR11:AS11,N$152)+COUNTIF('5月'!AW11:AX11,N$152)+COUNTIF('5月'!BB11:BC11,N$152)+COUNTIF('5月'!BG11:BH11,N$152)+COUNTIF('5月'!BL11:BM11,N$152)+COUNTIF('5月'!BQ11:BR11,N$152)+COUNTIF('5月'!BV11:BW11,N$152)+COUNTIF('5月'!CA11:CB11,N$152)+COUNTIF('5月'!CF11:CG11,N$152)+COUNTIF('5月'!CK11:CL11,N$152)+COUNTIF('5月'!CP11:CQ11,N$152)+COUNTIF('5月'!CU11:CV11,N$152)+COUNTIF('5月'!CZ11:DA11,N$152)+COUNTIF('5月'!DE11:DF11,N$152)+COUNTIF('5月'!DJ11:DK11,N$152)+COUNTIF('5月'!DO11:DP11,N$152)+COUNTIF('5月'!DT11:DU11,N$152)+COUNTIF('5月'!DY11:DZ11,N$152)+COUNTIF('5月'!ED11:EE11,N$152)+COUNTIF('5月'!EI11:EJ11,N$152)+COUNTIF('5月'!EN11:EO11,N$152)+COUNTIF('5月'!ES11:ET11,N$152)+COUNTIF('5月'!D11:E11,"三軒茶屋－夜勤")+COUNTIF('5月'!I11:J11,"三軒茶屋－夜勤")+COUNTIF('5月'!N11:O11,"三軒茶屋－夜勤")+COUNTIF('5月'!S11:T11,"三軒茶屋－夜勤")+COUNTIF('5月'!X11:Y11,"三軒茶屋－夜勤")+COUNTIF('5月'!AC11:AD11,"三軒茶屋－夜勤")+COUNTIF('5月'!AH11:AI11,"三軒茶屋－夜勤")+COUNTIF('5月'!AM11:AN11,"三軒茶屋－夜勤")+COUNTIF('5月'!AR11:AS11,"三軒茶屋－夜勤")+COUNTIF('5月'!AW11:AX11,"三軒茶屋－夜勤")+COUNTIF('5月'!BB11:BC11,"三軒茶屋－夜勤")+COUNTIF('5月'!BG11:BH11,"三軒茶屋－夜勤")+COUNTIF('5月'!BL11:BM11,"三軒茶屋－夜勤")+COUNTIF('5月'!BQ11:BR11,"三軒茶屋－夜勤")+COUNTIF('5月'!BV11:BW11,"三軒茶屋－夜勤")+COUNTIF('5月'!CA11:CB11,"三軒茶屋－夜勤")+COUNTIF('5月'!CF11:CG11,"三軒茶屋－夜勤")+COUNTIF('5月'!CK11:CL11,"三軒茶屋－夜勤")+COUNTIF('5月'!CP11:CQ11,"三軒茶屋－夜勤")+COUNTIF('5月'!CU11:CV11,"三軒茶屋－夜勤")+COUNTIF('5月'!CZ11:DA11,"三軒茶屋－夜勤")+COUNTIF('5月'!DE11:DF11,"三軒茶屋－夜勤")+COUNTIF('5月'!DJ11:DK11,"三軒茶屋－夜勤")+COUNTIF('5月'!DO11:DP11,"三軒茶屋－夜勤")+COUNTIF('5月'!DT11:DU11,"三軒茶屋－夜勤")+COUNTIF('5月'!DY11:DZ11,"三軒茶屋－夜勤")+COUNTIF('5月'!ED11:EE11,"三軒茶屋－夜勤")+COUNTIF('5月'!EI11:EJ11,"三軒茶屋－夜勤")+COUNTIF('5月'!EN11:EO11,"三軒茶屋－夜勤")+COUNTIF('5月'!ES11:ET11,"三軒茶屋－夜勤")</f>
        <v>0</v>
      </c>
      <c r="O161" s="76">
        <f t="shared" si="54"/>
        <v>0</v>
      </c>
      <c r="P161" s="76">
        <f>COUNTIF('5月'!D11:E11,P$152)+COUNTIF('5月'!I11:J11,P$152)+COUNTIF('5月'!N11:O11,P$152)+COUNTIF('5月'!S11:T11,P$152)+COUNTIF('5月'!X11:Y11,P$152)+COUNTIF('5月'!AC11:AD11,P$152)+COUNTIF('5月'!AH11:AI11,P$152)+COUNTIF('5月'!AM11:AN11,P$152)+COUNTIF('5月'!AR11:AS11,P$152)+COUNTIF('5月'!AW11:AX11,P$152)+COUNTIF('5月'!BB11:BC11,P$152)+COUNTIF('5月'!BG11:BH11,P$152)+COUNTIF('5月'!BL11:BM11,P$152)+COUNTIF('5月'!BQ11:BR11,P$152)+COUNTIF('5月'!BV11:BW11,P$152)+COUNTIF('5月'!CA11:CB11,P$152)+COUNTIF('5月'!CF11:CG11,P$152)+COUNTIF('5月'!CK11:CL11,P$152)+COUNTIF('5月'!CP11:CQ11,P$152)+COUNTIF('5月'!CU11:CV11,P$152)+COUNTIF('5月'!CZ11:DA11,P$152)+COUNTIF('5月'!DE11:DF11,P$152)+COUNTIF('5月'!DJ11:DK11,P$152)+COUNTIF('5月'!DO11:DP11,P$152)+COUNTIF('5月'!DT11:DU11,P$152)+COUNTIF('5月'!DY11:DZ11,P$152)+COUNTIF('5月'!ED11:EE11,P$152)+COUNTIF('5月'!EI11:EJ11,P$152)+COUNTIF('5月'!EN11:EO11,P$152)+COUNTIF('5月'!ES11:ET11,P$152)+COUNTIF('5月'!D11:E11,"荻窪ー夜勤")+COUNTIF('5月'!I11:J11,"荻窪ー夜勤")+COUNTIF('5月'!N11:O11,"荻窪ー夜勤")+COUNTIF('5月'!S11:T11,"荻窪ー夜勤")+COUNTIF('5月'!X11:Y11,"荻窪ー夜勤")+COUNTIF('5月'!AC11:AD11,"荻窪ー夜勤")+COUNTIF('5月'!AH11:AI11,"荻窪ー夜勤")+COUNTIF('5月'!AM11:AN11,"荻窪ー夜勤")+COUNTIF('5月'!AR11:AS11,"荻窪ー夜勤")+COUNTIF('5月'!AW11:AX11,"荻窪ー夜勤")+COUNTIF('5月'!BB11:BC11,"荻窪ー夜勤")+COUNTIF('5月'!BG11:BH11,"荻窪ー夜勤")+COUNTIF('5月'!BL11:BM11,"荻窪ー夜勤")+COUNTIF('5月'!BQ11:BR11,"荻窪ー夜勤")+COUNTIF('5月'!BV11:BW11,"荻窪ー夜勤")+COUNTIF('5月'!CA11:CB11,"荻窪ー夜勤")+COUNTIF('5月'!CF11:CG11,"荻窪ー夜勤")+COUNTIF('5月'!CK11:CL11,"荻窪ー夜勤")+COUNTIF('5月'!CP11:CQ11,"荻窪ー夜勤")+COUNTIF('5月'!CU11:CV11,"荻窪ー夜勤")+COUNTIF('5月'!CZ11:DA11,"荻窪ー夜勤")+COUNTIF('5月'!DE11:DF11,"荻窪ー夜勤")+COUNTIF('5月'!DJ11:DK11,"荻窪ー夜勤")+COUNTIF('5月'!DO11:DP11,"荻窪ー夜勤")+COUNTIF('5月'!DT11:DU11,"荻窪ー夜勤")+COUNTIF('5月'!DY11:DZ11,"荻窪ー夜勤")+COUNTIF('5月'!ED11:EE11,"荻窪ー夜勤")+COUNTIF('5月'!EI11:EJ11,"荻窪ー夜勤")+COUNTIF('5月'!EN11:EO11,"荻窪ー夜勤")+COUNTIF('5月'!ES11:ET11,"荻窪ー夜勤")</f>
        <v>0</v>
      </c>
      <c r="Q161" s="76">
        <f t="shared" si="55"/>
        <v>0</v>
      </c>
      <c r="R161" s="76">
        <f>COUNTIF('5月'!D11:E11,R$152)+COUNTIF('5月'!I11:J11,R$152)+COUNTIF('5月'!N11:O11,R$152)+COUNTIF('5月'!S11:T11,R$152)+COUNTIF('5月'!X11:Y11,R$152)+COUNTIF('5月'!AC11:AD11,R$152)+COUNTIF('5月'!AH11:AI11,R$152)+COUNTIF('5月'!AM11:AN11,R$152)+COUNTIF('5月'!AR11:AS11,R$152)+COUNTIF('5月'!AW11:AX11,R$152)+COUNTIF('5月'!BB11:BC11,R$152)+COUNTIF('5月'!BG11:BH11,R$152)+COUNTIF('5月'!BL11:BM11,R$152)+COUNTIF('5月'!BQ11:BR11,R$152)+COUNTIF('5月'!BV11:BW11,R$152)+COUNTIF('5月'!CA11:CB11,R$152)+COUNTIF('5月'!CF11:CG11,R$152)+COUNTIF('5月'!CK11:CL11,R$152)+COUNTIF('5月'!CP11:CQ11,R$152)+COUNTIF('5月'!CU11:CV11,R$152)+COUNTIF('5月'!CZ11:DA11,R$152)+COUNTIF('5月'!DE11:DF11,R$152)+COUNTIF('5月'!DJ11:DK11,R$152)+COUNTIF('5月'!DO11:DP11,R$152)+COUNTIF('5月'!DT11:DU11,R$152)+COUNTIF('5月'!DY11:DZ11,R$152)+COUNTIF('5月'!ED11:EE11,R$152)+COUNTIF('5月'!EI11:EJ11,R$152)+COUNTIF('5月'!EN11:EO11,R$152)+COUNTIF('5月'!ES11:ET11,R$152)</f>
        <v>0</v>
      </c>
      <c r="S161" s="76">
        <f t="shared" si="56"/>
        <v>0</v>
      </c>
      <c r="T161" s="76">
        <f>COUNTIF('5月'!D11:E11,T$152)+COUNTIF('5月'!I11:J11,T$152)+COUNTIF('5月'!N11:O11,T$152)+COUNTIF('5月'!S11:T11,T$152)+COUNTIF('5月'!X11:Y11,T$152)+COUNTIF('5月'!AC11:AD11,T$152)+COUNTIF('5月'!AH11:AI11,T$152)+COUNTIF('5月'!AM11:AN11,T$152)+COUNTIF('5月'!AR11:AS11,T$152)+COUNTIF('5月'!AW11:AX11,T$152)+COUNTIF('5月'!BB11:BC11,T$152)+COUNTIF('5月'!BG11:BH11,T$152)+COUNTIF('5月'!BL11:BM11,T$152)+COUNTIF('5月'!BQ11:BR11,T$152)+COUNTIF('5月'!BV11:BW11,T$152)+COUNTIF('5月'!CA11:CB11,T$152)+COUNTIF('5月'!CF11:CG11,T$152)+COUNTIF('5月'!CK11:CL11,T$152)+COUNTIF('5月'!CP11:CQ11,T$152)+COUNTIF('5月'!CU11:CV11,T$152)+COUNTIF('5月'!CZ11:DA11,T$152)+COUNTIF('5月'!DE11:DF11,T$152)+COUNTIF('5月'!DJ11:DK11,T$152)+COUNTIF('5月'!DO11:DP11,T$152)+COUNTIF('5月'!DT11:DU11,T$152)+COUNTIF('5月'!DY11:DZ11,T$152)+COUNTIF('5月'!ED11:EE11,T$152)+COUNTIF('5月'!EI11:EJ11,T$152)+COUNTIF('5月'!EN11:EO11,T$152)+COUNTIF('5月'!ES11:ET11,T$152)</f>
        <v>0</v>
      </c>
      <c r="U161" s="76">
        <f t="shared" si="57"/>
        <v>0</v>
      </c>
      <c r="V161" s="76">
        <f>COUNTIF('5月'!D11:E11,V$152)+COUNTIF('5月'!I11:J11,V$152)+COUNTIF('5月'!N11:O11,V$152)+COUNTIF('5月'!S11:T11,V$152)+COUNTIF('5月'!X11:Y11,V$152)+COUNTIF('5月'!AC11:AD11,V$152)+COUNTIF('5月'!AH11:AI11,V$152)+COUNTIF('5月'!AM11:AN11,V$152)+COUNTIF('5月'!AR11:AS11,V$152)+COUNTIF('5月'!AW11:AX11,V$152)+COUNTIF('5月'!BB11:BC11,V$152)+COUNTIF('5月'!BG11:BH11,V$152)+COUNTIF('5月'!BL11:BM11,V$152)+COUNTIF('5月'!BQ11:BR11,V$152)+COUNTIF('5月'!BV11:BW11,V$152)+COUNTIF('5月'!CA11:CB11,V$152)+COUNTIF('5月'!CF11:CG11,V$152)+COUNTIF('5月'!CK11:CL11,V$152)+COUNTIF('5月'!CP11:CQ11,V$152)+COUNTIF('5月'!CU11:CV11,V$152)+COUNTIF('5月'!CZ11:DA11,V$152)+COUNTIF('5月'!DE11:DF11,V$152)+COUNTIF('5月'!DJ11:DK11,V$152)+COUNTIF('5月'!DO11:DP11,V$152)+COUNTIF('5月'!DT11:DU11,V$152)+COUNTIF('5月'!DY11:DZ11,V$152)+COUNTIF('5月'!ED11:EE11,V$152)+COUNTIF('5月'!EI11:EJ11,V$152)+COUNTIF('5月'!EN11:EO11,V$152)+COUNTIF('5月'!ES11:ET11,V$152)</f>
        <v>0</v>
      </c>
      <c r="W161" s="76">
        <f t="shared" si="58"/>
        <v>0</v>
      </c>
      <c r="X161" s="76">
        <f>COUNTIF('5月'!D11:E11,X$152)+COUNTIF('5月'!I11:J11,X$152)+COUNTIF('5月'!N11:O11,X$152)+COUNTIF('5月'!S11:T11,X$152)+COUNTIF('5月'!X11:Y11,X$152)+COUNTIF('5月'!AC11:AD11,X$152)+COUNTIF('5月'!AH11:AI11,X$152)+COUNTIF('5月'!AM11:AN11,X$152)+COUNTIF('5月'!AR11:AS11,X$152)+COUNTIF('5月'!AW11:AX11,X$152)+COUNTIF('5月'!BB11:BC11,X$152)+COUNTIF('5月'!BG11:BH11,X$152)+COUNTIF('5月'!BL11:BM11,X$152)+COUNTIF('5月'!BQ11:BR11,X$152)+COUNTIF('5月'!BV11:BW11,X$152)+COUNTIF('5月'!CA11:CB11,X$152)+COUNTIF('5月'!CF11:CG11,X$152)+COUNTIF('5月'!CK11:CL11,X$152)+COUNTIF('5月'!CP11:CQ11,X$152)+COUNTIF('5月'!CU11:CV11,X$152)+COUNTIF('5月'!CZ11:DA11,X$152)+COUNTIF('5月'!DE11:DF11,X$152)+COUNTIF('5月'!DJ11:DK11,X$152)+COUNTIF('5月'!DO11:DP11,X$152)+COUNTIF('5月'!DT11:DU11,X$152)+COUNTIF('5月'!DY11:DZ11,X$152)+COUNTIF('5月'!ED11:EE11,X$152)+COUNTIF('5月'!EI11:EJ11,X$152)+COUNTIF('5月'!EN11:EO11,X$152)+COUNTIF('5月'!ES11:ET11,X$152)</f>
        <v>0</v>
      </c>
      <c r="Y161" s="76">
        <f t="shared" si="59"/>
        <v>0</v>
      </c>
    </row>
    <row r="162" spans="1:25" ht="18" customHeight="1">
      <c r="A162" s="76">
        <v>9</v>
      </c>
      <c r="B162" s="76">
        <f>COUNTIF('5月'!D12:E12,B$152)+COUNTIF('5月'!I12:J12,B$152)+COUNTIF('5月'!N12:O12,B$152)+COUNTIF('5月'!S12:T12,B$152)+COUNTIF('5月'!X12:Y12,B$152)+COUNTIF('5月'!AC12:AD12,B$152)+COUNTIF('5月'!AH12:AI12,B$152)+COUNTIF('5月'!AM12:AN12,B$152)+COUNTIF('5月'!AR12:AS12,B$152)+COUNTIF('5月'!AW12:AX12,B$152)+COUNTIF('5月'!BB12:BC12,B$152)+COUNTIF('5月'!BG12:BH12,B$152)+COUNTIF('5月'!BL12:BM12,B$152)+COUNTIF('5月'!BQ12:BR12,B$152)+COUNTIF('5月'!BV12:BW12,B$152)+COUNTIF('5月'!CA12:CB12,B$152)+COUNTIF('5月'!CF12:CG12,B$152)+COUNTIF('5月'!CK12:CL12,B$152)+COUNTIF('5月'!CP12:CQ12,B$152)+COUNTIF('5月'!CU12:CV12,B$152)+COUNTIF('5月'!CZ12:DA12,B$152)+COUNTIF('5月'!DE12:DF12,B$152)+COUNTIF('5月'!DJ12:DK12,B$152)+COUNTIF('5月'!DO12:DP12,B$152)+COUNTIF('5月'!DT12:DU12,B$152)+COUNTIF('5月'!DY12:DZ12,B$152)+COUNTIF('5月'!ED12:EE12,B$152)+COUNTIF('5月'!EI12:EJ12,B$152)+COUNTIF('5月'!EN12:EO12,B$152)+COUNTIF('5月'!ES12:ET12,B$152)</f>
        <v>0</v>
      </c>
      <c r="C162" s="76">
        <f t="shared" si="48"/>
        <v>0</v>
      </c>
      <c r="D162" s="76">
        <f>COUNTIF('5月'!D12:E12,D$152)+COUNTIF('5月'!I12:J12,D$152)+COUNTIF('5月'!N12:O12,D$152)+COUNTIF('5月'!S12:T12,D$152)+COUNTIF('5月'!X12:Y12,D$152)+COUNTIF('5月'!AC12:AD12,D$152)+COUNTIF('5月'!AH12:AI12,D$152)+COUNTIF('5月'!AM12:AN12,D$152)+COUNTIF('5月'!AR12:AS12,D$152)+COUNTIF('5月'!AW12:AX12,D$152)+COUNTIF('5月'!BB12:BC12,D$152)+COUNTIF('5月'!BG12:BH12,D$152)+COUNTIF('5月'!BL12:BM12,D$152)+COUNTIF('5月'!BQ12:BR12,D$152)+COUNTIF('5月'!BV12:BW12,D$152)+COUNTIF('5月'!CA12:CB12,D$152)+COUNTIF('5月'!CF12:CG12,D$152)+COUNTIF('5月'!CK12:CL12,D$152)+COUNTIF('5月'!CP12:CQ12,D$152)+COUNTIF('5月'!CU12:CV12,D$152)+COUNTIF('5月'!CZ12:DA12,D$152)+COUNTIF('5月'!DE12:DF12,D$152)+COUNTIF('5月'!DJ12:DK12,D$152)+COUNTIF('5月'!DO12:DP12,D$152)+COUNTIF('5月'!DT12:DU12,D$152)+COUNTIF('5月'!DY12:DZ12,D$152)+COUNTIF('5月'!ED12:EE12,D$152)+COUNTIF('5月'!EI12:EJ12,D$152)+COUNTIF('5月'!EN12:EO12,D$152)+COUNTIF('5月'!ES12:ET12,D$152)</f>
        <v>0</v>
      </c>
      <c r="E162" s="76">
        <f t="shared" si="49"/>
        <v>0</v>
      </c>
      <c r="F162" s="76">
        <f>COUNTIF('5月'!D12:E12,F$152)+COUNTIF('5月'!I12:J12,F$152)+COUNTIF('5月'!N12:O12,F$152)+COUNTIF('5月'!S12:T12,F$152)+COUNTIF('5月'!X12:Y12,F$152)+COUNTIF('5月'!AC12:AD12,F$152)+COUNTIF('5月'!AH12:AI12,F$152)+COUNTIF('5月'!AM12:AN12,F$152)+COUNTIF('5月'!AR12:AS12,F$152)+COUNTIF('5月'!AW12:AX12,F$152)+COUNTIF('5月'!BB12:BC12,F$152)+COUNTIF('5月'!BG12:BH12,F$152)+COUNTIF('5月'!BL12:BM12,F$152)+COUNTIF('5月'!BQ12:BR12,F$152)+COUNTIF('5月'!BV12:BW12,F$152)+COUNTIF('5月'!CA12:CB12,F$152)+COUNTIF('5月'!CF12:CG12,F$152)+COUNTIF('5月'!CK12:CL12,F$152)+COUNTIF('5月'!CP12:CQ12,F$152)+COUNTIF('5月'!CU12:CV12,F$152)+COUNTIF('5月'!CZ12:DA12,F$152)+COUNTIF('5月'!DE12:DF12,F$152)+COUNTIF('5月'!DJ12:DK12,F$152)+COUNTIF('5月'!DO12:DP12,F$152)+COUNTIF('5月'!DT12:DU12,F$152)+COUNTIF('5月'!DY12:DZ12,F$152)+COUNTIF('5月'!ED12:EE12,F$152)+COUNTIF('5月'!EI12:EJ12,F$152)+COUNTIF('5月'!EN12:EO12,F$152)+COUNTIF('5月'!ES12:ET12,F$152)</f>
        <v>0</v>
      </c>
      <c r="G162" s="76">
        <f t="shared" si="50"/>
        <v>0</v>
      </c>
      <c r="H162" s="76">
        <f>COUNTIF('5月'!D12:E12,H$152)+COUNTIF('5月'!I12:J12,H$152)+COUNTIF('5月'!N12:O12,H$152)+COUNTIF('5月'!S12:T12,H$152)+COUNTIF('5月'!X12:Y12,H$152)+COUNTIF('5月'!AC12:AD12,H$152)+COUNTIF('5月'!AH12:AI12,H$152)+COUNTIF('5月'!AM12:AN12,H$152)+COUNTIF('5月'!AR12:AS12,H$152)+COUNTIF('5月'!AW12:AX12,H$152)+COUNTIF('5月'!BB12:BC12,H$152)+COUNTIF('5月'!BG12:BH12,H$152)+COUNTIF('5月'!BL12:BM12,H$152)+COUNTIF('5月'!BQ12:BR12,H$152)+COUNTIF('5月'!BV12:BW12,H$152)+COUNTIF('5月'!CA12:CB12,H$152)+COUNTIF('5月'!CF12:CG12,H$152)+COUNTIF('5月'!CK12:CL12,H$152)+COUNTIF('5月'!CP12:CQ12,H$152)+COUNTIF('5月'!CU12:CV12,H$152)+COUNTIF('5月'!CZ12:DA12,H$152)+COUNTIF('5月'!DE12:DF12,H$152)+COUNTIF('5月'!DJ12:DK12,H$152)+COUNTIF('5月'!DO12:DP12,H$152)+COUNTIF('5月'!DT12:DU12,H$152)+COUNTIF('5月'!DY12:DZ12,H$152)+COUNTIF('5月'!ED12:EE12,H$152)+COUNTIF('5月'!EI12:EJ12,H$152)+COUNTIF('5月'!EN12:EO12,H$152)+COUNTIF('5月'!ES12:ET12,H$152)+COUNTIF('5月'!D12:E12,"渋谷-夜勤")+COUNTIF('5月'!I12:J12,"渋谷-夜勤")+COUNTIF('5月'!N12:O12,"渋谷-夜勤")+COUNTIF('5月'!S12:T12,"渋谷-夜勤")+COUNTIF('5月'!X12:Y12,"渋谷-夜勤")+COUNTIF('5月'!AC12:AD12,"渋谷-夜勤")+COUNTIF('5月'!AH12:AI12,"渋谷-夜勤")+COUNTIF('5月'!AM12:AN12,"渋谷-夜勤")+COUNTIF('5月'!AR12:AS12,"渋谷-夜勤")+COUNTIF('5月'!AW12:AX12,"渋谷-夜勤")+COUNTIF('5月'!BB12:BC12,"渋谷-夜勤")+COUNTIF('5月'!BG12:BH12,"渋谷-夜勤")+COUNTIF('5月'!BL12:BM12,"渋谷-夜勤")+COUNTIF('5月'!BQ12:BR12,"渋谷-夜勤")+COUNTIF('5月'!BV12:BW12,"渋谷-夜勤")+COUNTIF('5月'!CA12:CB12,"渋谷-夜勤")+COUNTIF('5月'!CF12:CG12,"渋谷-夜勤")+COUNTIF('5月'!CK12:CL12,"渋谷-夜勤")+COUNTIF('5月'!CP12:CQ12,"渋谷-夜勤")+COUNTIF('5月'!CU12:CV12,"渋谷-夜勤")+COUNTIF('5月'!CZ12:DA12,"渋谷-夜勤")+COUNTIF('5月'!DE12:DF12,"渋谷-夜勤")+COUNTIF('5月'!DJ12:DK12,"渋谷-夜勤")+COUNTIF('5月'!DO12:DP12,"渋谷-夜勤")+COUNTIF('5月'!DT12:DU12,"渋谷-夜勤")+COUNTIF('5月'!DY12:DZ12,"渋谷-夜勤")+COUNTIF('5月'!ED12:EE12,"渋谷-夜勤")+COUNTIF('5月'!EI12:EJ12,"渋谷-夜勤")+COUNTIF('5月'!EN12:EO12,"渋谷-夜勤")+COUNTIF('5月'!ES12:ET12,"渋谷-夜勤")</f>
        <v>0</v>
      </c>
      <c r="I162" s="76">
        <f t="shared" si="51"/>
        <v>0</v>
      </c>
      <c r="J162" s="76">
        <f>COUNTIF('5月'!D12:E12,J$152)+COUNTIF('5月'!I12:J12,J$152)+COUNTIF('5月'!N12:O12,J$152)+COUNTIF('5月'!S12:T12,J$152)+COUNTIF('5月'!X12:Y12,J$152)+COUNTIF('5月'!AC12:AD12,J$152)+COUNTIF('5月'!AH12:AI12,J$152)+COUNTIF('5月'!AM12:AN12,J$152)+COUNTIF('5月'!AR12:AS12,J$152)+COUNTIF('5月'!AW12:AX12,J$152)+COUNTIF('5月'!BB12:BC12,J$152)+COUNTIF('5月'!BG12:BH12,J$152)+COUNTIF('5月'!BL12:BM12,J$152)+COUNTIF('5月'!BQ12:BR12,J$152)+COUNTIF('5月'!BV12:BW12,J$152)+COUNTIF('5月'!CA12:CB12,J$152)+COUNTIF('5月'!CF12:CG12,J$152)+COUNTIF('5月'!CK12:CL12,J$152)+COUNTIF('5月'!CP12:CQ12,J$152)+COUNTIF('5月'!CU12:CV12,J$152)+COUNTIF('5月'!CZ12:DA12,J$152)+COUNTIF('5月'!DE12:DF12,J$152)+COUNTIF('5月'!DJ12:DK12,J$152)+COUNTIF('5月'!DO12:DP12,J$152)+COUNTIF('5月'!DT12:DU12,J$152)+COUNTIF('5月'!DY12:DZ12,J$152)+COUNTIF('5月'!ED12:EE12,J$152)+COUNTIF('5月'!EI12:EJ12,J$152)+COUNTIF('5月'!EN12:EO12,J$152)+COUNTIF('5月'!ES12:ET12,J$152)+COUNTIF('5月'!D12:E12,"六本木-夜勤")+COUNTIF('5月'!I12:J12,"六本木-夜勤")+COUNTIF('5月'!N12:O12,"六本木-夜勤")+COUNTIF('5月'!S12:T12,"六本木-夜勤")+COUNTIF('5月'!X12:Y12,"六本木-夜勤")+COUNTIF('5月'!AC12:AD12,"六本木-夜勤")+COUNTIF('5月'!AH12:AI12,"六本木-夜勤")+COUNTIF('5月'!AM12:AN12,"六本木-夜勤")+COUNTIF('5月'!AR12:AS12,"六本木-夜勤")+COUNTIF('5月'!AW12:AX12,"六本木-夜勤")+COUNTIF('5月'!BB12:BC12,"六本木-夜勤")+COUNTIF('5月'!BG12:BH12,"六本木-夜勤")+COUNTIF('5月'!BL12:BM12,"六本木-夜勤")+COUNTIF('5月'!BQ12:BR12,"六本木-夜勤")+COUNTIF('5月'!BV12:BW12,"六本木-夜勤")+COUNTIF('5月'!CA12:CB12,"六本木-夜勤")+COUNTIF('5月'!CF12:CG12,"六本木-夜勤")+COUNTIF('5月'!CK12:CL12,"六本木-夜勤")+COUNTIF('5月'!CP12:CQ12,"六本木-夜勤")+COUNTIF('5月'!CU12:CV12,"六本木-夜勤")+COUNTIF('5月'!CZ12:DA12,"六本木-夜勤")+COUNTIF('5月'!DE12:DF12,"六本木-夜勤")+COUNTIF('5月'!DJ12:DK12,"六本木-夜勤")+COUNTIF('5月'!DO12:DP12,"六本木-夜勤")+COUNTIF('5月'!DT12:DU12,"六本木-夜勤")+COUNTIF('5月'!DY12:DZ12,"六本木-夜勤")+COUNTIF('5月'!ED12:EE12,"六本木-夜勤")+COUNTIF('5月'!EI12:EJ12,"六本木-夜勤")+COUNTIF('5月'!EN12:EO12,"六本木-夜勤")+COUNTIF('5月'!ES12:ET12,"六本木-夜勤")+COUNTIF('5月'!D12:E12,"六本木ー夜勤")+COUNTIF('5月'!I12:J12,"六本木ー夜勤")+COUNTIF('5月'!N12:O12,"六本木ー夜勤")+COUNTIF('5月'!S12:T12,"六本木ー夜勤")+COUNTIF('5月'!X12:Y12,"六本木ー夜勤")+COUNTIF('5月'!AC12:AD12,"六本木ー夜勤")+COUNTIF('5月'!AH12:AI12,"六本木ー夜勤")+COUNTIF('5月'!AM12:AN12,"六本木ー夜勤")+COUNTIF('5月'!AR12:AS12,"六本木ー夜勤")+COUNTIF('5月'!AW12:AX12,"六本木ー夜勤")+COUNTIF('5月'!BB12:BC12,"六本木ー夜勤")+COUNTIF('5月'!BG12:BH12,"六本木ー夜勤")+COUNTIF('5月'!BL12:BM12,"六本木ー夜勤")+COUNTIF('5月'!BQ12:BR12,"六本木ー夜勤")+COUNTIF('5月'!BV12:BW12,"六本木ー夜勤")+COUNTIF('5月'!CA12:CB12,"六本木ー夜勤")+COUNTIF('5月'!CF12:CG12,"六本木ー夜勤")+COUNTIF('5月'!CK12:CL12,"六本木ー夜勤")+COUNTIF('5月'!CP12:CQ12,"六本木ー夜勤")+COUNTIF('5月'!CU12:CV12,"六本木ー夜勤")+COUNTIF('5月'!CZ12:DA12,"六本木ー夜勤")+COUNTIF('5月'!DE12:DF12,"六本木ー夜勤")+COUNTIF('5月'!DJ12:DK12,"六本木ー夜勤")+COUNTIF('5月'!DO12:DP12,"六本木ー夜勤")+COUNTIF('5月'!DT12:DU12,"六本木ー夜勤")+COUNTIF('5月'!DY12:DZ12,"六本木ー夜勤")+COUNTIF('5月'!ED12:EE12,"六本木ー夜勤")+COUNTIF('5月'!EI12:EJ12,"六本木ー夜勤")+COUNTIF('5月'!EN12:EO12,"六本木ー夜勤")+COUNTIF('5月'!ES12:ET12,"六本木ー夜勤")</f>
        <v>0</v>
      </c>
      <c r="K162" s="76">
        <f t="shared" si="52"/>
        <v>0</v>
      </c>
      <c r="L162" s="76">
        <f>COUNTIF('5月'!D12:E12,L$152)+COUNTIF('5月'!I12:J12,L$152)+COUNTIF('5月'!N12:O12,L$152)+COUNTIF('5月'!S12:T12,L$152)+COUNTIF('5月'!X12:Y12,L$152)+COUNTIF('5月'!AC12:AD12,L$152)+COUNTIF('5月'!AH12:AI12,L$152)+COUNTIF('5月'!AM12:AN12,L$152)+COUNTIF('5月'!AR12:AS12,L$152)+COUNTIF('5月'!AW12:AX12,L$152)+COUNTIF('5月'!BB12:BC12,L$152)+COUNTIF('5月'!BG12:BH12,L$152)+COUNTIF('5月'!BL12:BM12,L$152)+COUNTIF('5月'!BQ12:BR12,L$152)+COUNTIF('5月'!BV12:BW12,L$152)+COUNTIF('5月'!CA12:CB12,L$152)+COUNTIF('5月'!CF12:CG12,L$152)+COUNTIF('5月'!CK12:CL12,L$152)+COUNTIF('5月'!CP12:CQ12,L$152)+COUNTIF('5月'!CU12:CV12,L$152)+COUNTIF('5月'!CZ12:DA12,L$152)+COUNTIF('5月'!DE12:DF12,L$152)+COUNTIF('5月'!DJ12:DK12,L$152)+COUNTIF('5月'!DO12:DP12,L$152)+COUNTIF('5月'!DT12:DU12,L$152)+COUNTIF('5月'!DY12:DZ12,L$152)+COUNTIF('5月'!ED12:EE12,L$152)+COUNTIF('5月'!EI12:EJ12,L$152)+COUNTIF('5月'!EN12:EO12,L$152)+COUNTIF('5月'!ES12:ET12,L$152)</f>
        <v>0</v>
      </c>
      <c r="M162" s="76">
        <f t="shared" si="53"/>
        <v>0</v>
      </c>
      <c r="N162" s="76">
        <f>COUNTIF('5月'!D12:E12,N$152)+COUNTIF('5月'!I12:J12,N$152)+COUNTIF('5月'!N12:O12,N$152)+COUNTIF('5月'!S12:T12,N$152)+COUNTIF('5月'!X12:Y12,N$152)+COUNTIF('5月'!AC12:AD12,N$152)+COUNTIF('5月'!AH12:AI12,N$152)+COUNTIF('5月'!AM12:AN12,N$152)+COUNTIF('5月'!AR12:AS12,N$152)+COUNTIF('5月'!AW12:AX12,N$152)+COUNTIF('5月'!BB12:BC12,N$152)+COUNTIF('5月'!BG12:BH12,N$152)+COUNTIF('5月'!BL12:BM12,N$152)+COUNTIF('5月'!BQ12:BR12,N$152)+COUNTIF('5月'!BV12:BW12,N$152)+COUNTIF('5月'!CA12:CB12,N$152)+COUNTIF('5月'!CF12:CG12,N$152)+COUNTIF('5月'!CK12:CL12,N$152)+COUNTIF('5月'!CP12:CQ12,N$152)+COUNTIF('5月'!CU12:CV12,N$152)+COUNTIF('5月'!CZ12:DA12,N$152)+COUNTIF('5月'!DE12:DF12,N$152)+COUNTIF('5月'!DJ12:DK12,N$152)+COUNTIF('5月'!DO12:DP12,N$152)+COUNTIF('5月'!DT12:DU12,N$152)+COUNTIF('5月'!DY12:DZ12,N$152)+COUNTIF('5月'!ED12:EE12,N$152)+COUNTIF('5月'!EI12:EJ12,N$152)+COUNTIF('5月'!EN12:EO12,N$152)+COUNTIF('5月'!ES12:ET12,N$152)+COUNTIF('5月'!D12:E12,"三軒茶屋－夜勤")+COUNTIF('5月'!I12:J12,"三軒茶屋－夜勤")+COUNTIF('5月'!N12:O12,"三軒茶屋－夜勤")+COUNTIF('5月'!S12:T12,"三軒茶屋－夜勤")+COUNTIF('5月'!X12:Y12,"三軒茶屋－夜勤")+COUNTIF('5月'!AC12:AD12,"三軒茶屋－夜勤")+COUNTIF('5月'!AH12:AI12,"三軒茶屋－夜勤")+COUNTIF('5月'!AM12:AN12,"三軒茶屋－夜勤")+COUNTIF('5月'!AR12:AS12,"三軒茶屋－夜勤")+COUNTIF('5月'!AW12:AX12,"三軒茶屋－夜勤")+COUNTIF('5月'!BB12:BC12,"三軒茶屋－夜勤")+COUNTIF('5月'!BG12:BH12,"三軒茶屋－夜勤")+COUNTIF('5月'!BL12:BM12,"三軒茶屋－夜勤")+COUNTIF('5月'!BQ12:BR12,"三軒茶屋－夜勤")+COUNTIF('5月'!BV12:BW12,"三軒茶屋－夜勤")+COUNTIF('5月'!CA12:CB12,"三軒茶屋－夜勤")+COUNTIF('5月'!CF12:CG12,"三軒茶屋－夜勤")+COUNTIF('5月'!CK12:CL12,"三軒茶屋－夜勤")+COUNTIF('5月'!CP12:CQ12,"三軒茶屋－夜勤")+COUNTIF('5月'!CU12:CV12,"三軒茶屋－夜勤")+COUNTIF('5月'!CZ12:DA12,"三軒茶屋－夜勤")+COUNTIF('5月'!DE12:DF12,"三軒茶屋－夜勤")+COUNTIF('5月'!DJ12:DK12,"三軒茶屋－夜勤")+COUNTIF('5月'!DO12:DP12,"三軒茶屋－夜勤")+COUNTIF('5月'!DT12:DU12,"三軒茶屋－夜勤")+COUNTIF('5月'!DY12:DZ12,"三軒茶屋－夜勤")+COUNTIF('5月'!ED12:EE12,"三軒茶屋－夜勤")+COUNTIF('5月'!EI12:EJ12,"三軒茶屋－夜勤")+COUNTIF('5月'!EN12:EO12,"三軒茶屋－夜勤")+COUNTIF('5月'!ES12:ET12,"三軒茶屋－夜勤")</f>
        <v>0</v>
      </c>
      <c r="O162" s="76">
        <f t="shared" si="54"/>
        <v>0</v>
      </c>
      <c r="P162" s="76">
        <f>COUNTIF('5月'!D12:E12,P$152)+COUNTIF('5月'!I12:J12,P$152)+COUNTIF('5月'!N12:O12,P$152)+COUNTIF('5月'!S12:T12,P$152)+COUNTIF('5月'!X12:Y12,P$152)+COUNTIF('5月'!AC12:AD12,P$152)+COUNTIF('5月'!AH12:AI12,P$152)+COUNTIF('5月'!AM12:AN12,P$152)+COUNTIF('5月'!AR12:AS12,P$152)+COUNTIF('5月'!AW12:AX12,P$152)+COUNTIF('5月'!BB12:BC12,P$152)+COUNTIF('5月'!BG12:BH12,P$152)+COUNTIF('5月'!BL12:BM12,P$152)+COUNTIF('5月'!BQ12:BR12,P$152)+COUNTIF('5月'!BV12:BW12,P$152)+COUNTIF('5月'!CA12:CB12,P$152)+COUNTIF('5月'!CF12:CG12,P$152)+COUNTIF('5月'!CK12:CL12,P$152)+COUNTIF('5月'!CP12:CQ12,P$152)+COUNTIF('5月'!CU12:CV12,P$152)+COUNTIF('5月'!CZ12:DA12,P$152)+COUNTIF('5月'!DE12:DF12,P$152)+COUNTIF('5月'!DJ12:DK12,P$152)+COUNTIF('5月'!DO12:DP12,P$152)+COUNTIF('5月'!DT12:DU12,P$152)+COUNTIF('5月'!DY12:DZ12,P$152)+COUNTIF('5月'!ED12:EE12,P$152)+COUNTIF('5月'!EI12:EJ12,P$152)+COUNTIF('5月'!EN12:EO12,P$152)+COUNTIF('5月'!ES12:ET12,P$152)+COUNTIF('5月'!D12:E12,"荻窪ー夜勤")+COUNTIF('5月'!I12:J12,"荻窪ー夜勤")+COUNTIF('5月'!N12:O12,"荻窪ー夜勤")+COUNTIF('5月'!S12:T12,"荻窪ー夜勤")+COUNTIF('5月'!X12:Y12,"荻窪ー夜勤")+COUNTIF('5月'!AC12:AD12,"荻窪ー夜勤")+COUNTIF('5月'!AH12:AI12,"荻窪ー夜勤")+COUNTIF('5月'!AM12:AN12,"荻窪ー夜勤")+COUNTIF('5月'!AR12:AS12,"荻窪ー夜勤")+COUNTIF('5月'!AW12:AX12,"荻窪ー夜勤")+COUNTIF('5月'!BB12:BC12,"荻窪ー夜勤")+COUNTIF('5月'!BG12:BH12,"荻窪ー夜勤")+COUNTIF('5月'!BL12:BM12,"荻窪ー夜勤")+COUNTIF('5月'!BQ12:BR12,"荻窪ー夜勤")+COUNTIF('5月'!BV12:BW12,"荻窪ー夜勤")+COUNTIF('5月'!CA12:CB12,"荻窪ー夜勤")+COUNTIF('5月'!CF12:CG12,"荻窪ー夜勤")+COUNTIF('5月'!CK12:CL12,"荻窪ー夜勤")+COUNTIF('5月'!CP12:CQ12,"荻窪ー夜勤")+COUNTIF('5月'!CU12:CV12,"荻窪ー夜勤")+COUNTIF('5月'!CZ12:DA12,"荻窪ー夜勤")+COUNTIF('5月'!DE12:DF12,"荻窪ー夜勤")+COUNTIF('5月'!DJ12:DK12,"荻窪ー夜勤")+COUNTIF('5月'!DO12:DP12,"荻窪ー夜勤")+COUNTIF('5月'!DT12:DU12,"荻窪ー夜勤")+COUNTIF('5月'!DY12:DZ12,"荻窪ー夜勤")+COUNTIF('5月'!ED12:EE12,"荻窪ー夜勤")+COUNTIF('5月'!EI12:EJ12,"荻窪ー夜勤")+COUNTIF('5月'!EN12:EO12,"荻窪ー夜勤")+COUNTIF('5月'!ES12:ET12,"荻窪ー夜勤")</f>
        <v>0</v>
      </c>
      <c r="Q162" s="76">
        <f t="shared" si="55"/>
        <v>0</v>
      </c>
      <c r="R162" s="76">
        <f>COUNTIF('5月'!D12:E12,R$152)+COUNTIF('5月'!I12:J12,R$152)+COUNTIF('5月'!N12:O12,R$152)+COUNTIF('5月'!S12:T12,R$152)+COUNTIF('5月'!X12:Y12,R$152)+COUNTIF('5月'!AC12:AD12,R$152)+COUNTIF('5月'!AH12:AI12,R$152)+COUNTIF('5月'!AM12:AN12,R$152)+COUNTIF('5月'!AR12:AS12,R$152)+COUNTIF('5月'!AW12:AX12,R$152)+COUNTIF('5月'!BB12:BC12,R$152)+COUNTIF('5月'!BG12:BH12,R$152)+COUNTIF('5月'!BL12:BM12,R$152)+COUNTIF('5月'!BQ12:BR12,R$152)+COUNTIF('5月'!BV12:BW12,R$152)+COUNTIF('5月'!CA12:CB12,R$152)+COUNTIF('5月'!CF12:CG12,R$152)+COUNTIF('5月'!CK12:CL12,R$152)+COUNTIF('5月'!CP12:CQ12,R$152)+COUNTIF('5月'!CU12:CV12,R$152)+COUNTIF('5月'!CZ12:DA12,R$152)+COUNTIF('5月'!DE12:DF12,R$152)+COUNTIF('5月'!DJ12:DK12,R$152)+COUNTIF('5月'!DO12:DP12,R$152)+COUNTIF('5月'!DT12:DU12,R$152)+COUNTIF('5月'!DY12:DZ12,R$152)+COUNTIF('5月'!ED12:EE12,R$152)+COUNTIF('5月'!EI12:EJ12,R$152)+COUNTIF('5月'!EN12:EO12,R$152)+COUNTIF('5月'!ES12:ET12,R$152)</f>
        <v>0</v>
      </c>
      <c r="S162" s="76">
        <f t="shared" si="56"/>
        <v>0</v>
      </c>
      <c r="T162" s="76">
        <f>COUNTIF('5月'!D12:E12,T$152)+COUNTIF('5月'!I12:J12,T$152)+COUNTIF('5月'!N12:O12,T$152)+COUNTIF('5月'!S12:T12,T$152)+COUNTIF('5月'!X12:Y12,T$152)+COUNTIF('5月'!AC12:AD12,T$152)+COUNTIF('5月'!AH12:AI12,T$152)+COUNTIF('5月'!AM12:AN12,T$152)+COUNTIF('5月'!AR12:AS12,T$152)+COUNTIF('5月'!AW12:AX12,T$152)+COUNTIF('5月'!BB12:BC12,T$152)+COUNTIF('5月'!BG12:BH12,T$152)+COUNTIF('5月'!BL12:BM12,T$152)+COUNTIF('5月'!BQ12:BR12,T$152)+COUNTIF('5月'!BV12:BW12,T$152)+COUNTIF('5月'!CA12:CB12,T$152)+COUNTIF('5月'!CF12:CG12,T$152)+COUNTIF('5月'!CK12:CL12,T$152)+COUNTIF('5月'!CP12:CQ12,T$152)+COUNTIF('5月'!CU12:CV12,T$152)+COUNTIF('5月'!CZ12:DA12,T$152)+COUNTIF('5月'!DE12:DF12,T$152)+COUNTIF('5月'!DJ12:DK12,T$152)+COUNTIF('5月'!DO12:DP12,T$152)+COUNTIF('5月'!DT12:DU12,T$152)+COUNTIF('5月'!DY12:DZ12,T$152)+COUNTIF('5月'!ED12:EE12,T$152)+COUNTIF('5月'!EI12:EJ12,T$152)+COUNTIF('5月'!EN12:EO12,T$152)+COUNTIF('5月'!ES12:ET12,T$152)</f>
        <v>0</v>
      </c>
      <c r="U162" s="76">
        <f t="shared" si="57"/>
        <v>0</v>
      </c>
      <c r="V162" s="76">
        <f>COUNTIF('5月'!D12:E12,V$152)+COUNTIF('5月'!I12:J12,V$152)+COUNTIF('5月'!N12:O12,V$152)+COUNTIF('5月'!S12:T12,V$152)+COUNTIF('5月'!X12:Y12,V$152)+COUNTIF('5月'!AC12:AD12,V$152)+COUNTIF('5月'!AH12:AI12,V$152)+COUNTIF('5月'!AM12:AN12,V$152)+COUNTIF('5月'!AR12:AS12,V$152)+COUNTIF('5月'!AW12:AX12,V$152)+COUNTIF('5月'!BB12:BC12,V$152)+COUNTIF('5月'!BG12:BH12,V$152)+COUNTIF('5月'!BL12:BM12,V$152)+COUNTIF('5月'!BQ12:BR12,V$152)+COUNTIF('5月'!BV12:BW12,V$152)+COUNTIF('5月'!CA12:CB12,V$152)+COUNTIF('5月'!CF12:CG12,V$152)+COUNTIF('5月'!CK12:CL12,V$152)+COUNTIF('5月'!CP12:CQ12,V$152)+COUNTIF('5月'!CU12:CV12,V$152)+COUNTIF('5月'!CZ12:DA12,V$152)+COUNTIF('5月'!DE12:DF12,V$152)+COUNTIF('5月'!DJ12:DK12,V$152)+COUNTIF('5月'!DO12:DP12,V$152)+COUNTIF('5月'!DT12:DU12,V$152)+COUNTIF('5月'!DY12:DZ12,V$152)+COUNTIF('5月'!ED12:EE12,V$152)+COUNTIF('5月'!EI12:EJ12,V$152)+COUNTIF('5月'!EN12:EO12,V$152)+COUNTIF('5月'!ES12:ET12,V$152)</f>
        <v>0</v>
      </c>
      <c r="W162" s="76">
        <f t="shared" si="58"/>
        <v>0</v>
      </c>
      <c r="X162" s="76">
        <f>COUNTIF('5月'!D12:E12,X$152)+COUNTIF('5月'!I12:J12,X$152)+COUNTIF('5月'!N12:O12,X$152)+COUNTIF('5月'!S12:T12,X$152)+COUNTIF('5月'!X12:Y12,X$152)+COUNTIF('5月'!AC12:AD12,X$152)+COUNTIF('5月'!AH12:AI12,X$152)+COUNTIF('5月'!AM12:AN12,X$152)+COUNTIF('5月'!AR12:AS12,X$152)+COUNTIF('5月'!AW12:AX12,X$152)+COUNTIF('5月'!BB12:BC12,X$152)+COUNTIF('5月'!BG12:BH12,X$152)+COUNTIF('5月'!BL12:BM12,X$152)+COUNTIF('5月'!BQ12:BR12,X$152)+COUNTIF('5月'!BV12:BW12,X$152)+COUNTIF('5月'!CA12:CB12,X$152)+COUNTIF('5月'!CF12:CG12,X$152)+COUNTIF('5月'!CK12:CL12,X$152)+COUNTIF('5月'!CP12:CQ12,X$152)+COUNTIF('5月'!CU12:CV12,X$152)+COUNTIF('5月'!CZ12:DA12,X$152)+COUNTIF('5月'!DE12:DF12,X$152)+COUNTIF('5月'!DJ12:DK12,X$152)+COUNTIF('5月'!DO12:DP12,X$152)+COUNTIF('5月'!DT12:DU12,X$152)+COUNTIF('5月'!DY12:DZ12,X$152)+COUNTIF('5月'!ED12:EE12,X$152)+COUNTIF('5月'!EI12:EJ12,X$152)+COUNTIF('5月'!EN12:EO12,X$152)+COUNTIF('5月'!ES12:ET12,X$152)</f>
        <v>0</v>
      </c>
      <c r="Y162" s="76">
        <f t="shared" si="59"/>
        <v>0</v>
      </c>
    </row>
    <row r="163" spans="1:25" ht="18" customHeight="1">
      <c r="A163" s="76">
        <v>10</v>
      </c>
      <c r="B163" s="76">
        <f>COUNTIF('5月'!D13:E13,B$152)+COUNTIF('5月'!I13:J13,B$152)+COUNTIF('5月'!N13:O13,B$152)+COUNTIF('5月'!S13:T13,B$152)+COUNTIF('5月'!X13:Y13,B$152)+COUNTIF('5月'!AC13:AD13,B$152)+COUNTIF('5月'!AH13:AI13,B$152)+COUNTIF('5月'!AM13:AN13,B$152)+COUNTIF('5月'!AR13:AS13,B$152)+COUNTIF('5月'!AW13:AX13,B$152)+COUNTIF('5月'!BB13:BC13,B$152)+COUNTIF('5月'!BG13:BH13,B$152)+COUNTIF('5月'!BL13:BM13,B$152)+COUNTIF('5月'!BQ13:BR13,B$152)+COUNTIF('5月'!BV13:BW13,B$152)+COUNTIF('5月'!CA13:CB13,B$152)+COUNTIF('5月'!CF13:CG13,B$152)+COUNTIF('5月'!CK13:CL13,B$152)+COUNTIF('5月'!CP13:CQ13,B$152)+COUNTIF('5月'!CU13:CV13,B$152)+COUNTIF('5月'!CZ13:DA13,B$152)+COUNTIF('5月'!DE13:DF13,B$152)+COUNTIF('5月'!DJ13:DK13,B$152)+COUNTIF('5月'!DO13:DP13,B$152)+COUNTIF('5月'!DT13:DU13,B$152)+COUNTIF('5月'!DY13:DZ13,B$152)+COUNTIF('5月'!ED13:EE13,B$152)+COUNTIF('5月'!EI13:EJ13,B$152)+COUNTIF('5月'!EN13:EO13,B$152)+COUNTIF('5月'!ES13:ET13,B$152)</f>
        <v>0</v>
      </c>
      <c r="C163" s="76">
        <f t="shared" si="48"/>
        <v>0</v>
      </c>
      <c r="D163" s="76">
        <f>COUNTIF('5月'!D13:E13,D$152)+COUNTIF('5月'!I13:J13,D$152)+COUNTIF('5月'!N13:O13,D$152)+COUNTIF('5月'!S13:T13,D$152)+COUNTIF('5月'!X13:Y13,D$152)+COUNTIF('5月'!AC13:AD13,D$152)+COUNTIF('5月'!AH13:AI13,D$152)+COUNTIF('5月'!AM13:AN13,D$152)+COUNTIF('5月'!AR13:AS13,D$152)+COUNTIF('5月'!AW13:AX13,D$152)+COUNTIF('5月'!BB13:BC13,D$152)+COUNTIF('5月'!BG13:BH13,D$152)+COUNTIF('5月'!BL13:BM13,D$152)+COUNTIF('5月'!BQ13:BR13,D$152)+COUNTIF('5月'!BV13:BW13,D$152)+COUNTIF('5月'!CA13:CB13,D$152)+COUNTIF('5月'!CF13:CG13,D$152)+COUNTIF('5月'!CK13:CL13,D$152)+COUNTIF('5月'!CP13:CQ13,D$152)+COUNTIF('5月'!CU13:CV13,D$152)+COUNTIF('5月'!CZ13:DA13,D$152)+COUNTIF('5月'!DE13:DF13,D$152)+COUNTIF('5月'!DJ13:DK13,D$152)+COUNTIF('5月'!DO13:DP13,D$152)+COUNTIF('5月'!DT13:DU13,D$152)+COUNTIF('5月'!DY13:DZ13,D$152)+COUNTIF('5月'!ED13:EE13,D$152)+COUNTIF('5月'!EI13:EJ13,D$152)+COUNTIF('5月'!EN13:EO13,D$152)+COUNTIF('5月'!ES13:ET13,D$152)</f>
        <v>0</v>
      </c>
      <c r="E163" s="76">
        <f t="shared" si="49"/>
        <v>0</v>
      </c>
      <c r="F163" s="76">
        <f>COUNTIF('5月'!D13:E13,F$152)+COUNTIF('5月'!I13:J13,F$152)+COUNTIF('5月'!N13:O13,F$152)+COUNTIF('5月'!S13:T13,F$152)+COUNTIF('5月'!X13:Y13,F$152)+COUNTIF('5月'!AC13:AD13,F$152)+COUNTIF('5月'!AH13:AI13,F$152)+COUNTIF('5月'!AM13:AN13,F$152)+COUNTIF('5月'!AR13:AS13,F$152)+COUNTIF('5月'!AW13:AX13,F$152)+COUNTIF('5月'!BB13:BC13,F$152)+COUNTIF('5月'!BG13:BH13,F$152)+COUNTIF('5月'!BL13:BM13,F$152)+COUNTIF('5月'!BQ13:BR13,F$152)+COUNTIF('5月'!BV13:BW13,F$152)+COUNTIF('5月'!CA13:CB13,F$152)+COUNTIF('5月'!CF13:CG13,F$152)+COUNTIF('5月'!CK13:CL13,F$152)+COUNTIF('5月'!CP13:CQ13,F$152)+COUNTIF('5月'!CU13:CV13,F$152)+COUNTIF('5月'!CZ13:DA13,F$152)+COUNTIF('5月'!DE13:DF13,F$152)+COUNTIF('5月'!DJ13:DK13,F$152)+COUNTIF('5月'!DO13:DP13,F$152)+COUNTIF('5月'!DT13:DU13,F$152)+COUNTIF('5月'!DY13:DZ13,F$152)+COUNTIF('5月'!ED13:EE13,F$152)+COUNTIF('5月'!EI13:EJ13,F$152)+COUNTIF('5月'!EN13:EO13,F$152)+COUNTIF('5月'!ES13:ET13,F$152)</f>
        <v>0</v>
      </c>
      <c r="G163" s="76">
        <f t="shared" si="50"/>
        <v>0</v>
      </c>
      <c r="H163" s="76">
        <f>COUNTIF('5月'!D13:E13,H$152)+COUNTIF('5月'!I13:J13,H$152)+COUNTIF('5月'!N13:O13,H$152)+COUNTIF('5月'!S13:T13,H$152)+COUNTIF('5月'!X13:Y13,H$152)+COUNTIF('5月'!AC13:AD13,H$152)+COUNTIF('5月'!AH13:AI13,H$152)+COUNTIF('5月'!AM13:AN13,H$152)+COUNTIF('5月'!AR13:AS13,H$152)+COUNTIF('5月'!AW13:AX13,H$152)+COUNTIF('5月'!BB13:BC13,H$152)+COUNTIF('5月'!BG13:BH13,H$152)+COUNTIF('5月'!BL13:BM13,H$152)+COUNTIF('5月'!BQ13:BR13,H$152)+COUNTIF('5月'!BV13:BW13,H$152)+COUNTIF('5月'!CA13:CB13,H$152)+COUNTIF('5月'!CF13:CG13,H$152)+COUNTIF('5月'!CK13:CL13,H$152)+COUNTIF('5月'!CP13:CQ13,H$152)+COUNTIF('5月'!CU13:CV13,H$152)+COUNTIF('5月'!CZ13:DA13,H$152)+COUNTIF('5月'!DE13:DF13,H$152)+COUNTIF('5月'!DJ13:DK13,H$152)+COUNTIF('5月'!DO13:DP13,H$152)+COUNTIF('5月'!DT13:DU13,H$152)+COUNTIF('5月'!DY13:DZ13,H$152)+COUNTIF('5月'!ED13:EE13,H$152)+COUNTIF('5月'!EI13:EJ13,H$152)+COUNTIF('5月'!EN13:EO13,H$152)+COUNTIF('5月'!ES13:ET13,H$152)+COUNTIF('5月'!D13:E13,"渋谷-夜勤")+COUNTIF('5月'!I13:J13,"渋谷-夜勤")+COUNTIF('5月'!N13:O13,"渋谷-夜勤")+COUNTIF('5月'!S13:T13,"渋谷-夜勤")+COUNTIF('5月'!X13:Y13,"渋谷-夜勤")+COUNTIF('5月'!AC13:AD13,"渋谷-夜勤")+COUNTIF('5月'!AH13:AI13,"渋谷-夜勤")+COUNTIF('5月'!AM13:AN13,"渋谷-夜勤")+COUNTIF('5月'!AR13:AS13,"渋谷-夜勤")+COUNTIF('5月'!AW13:AX13,"渋谷-夜勤")+COUNTIF('5月'!BB13:BC13,"渋谷-夜勤")+COUNTIF('5月'!BG13:BH13,"渋谷-夜勤")+COUNTIF('5月'!BL13:BM13,"渋谷-夜勤")+COUNTIF('5月'!BQ13:BR13,"渋谷-夜勤")+COUNTIF('5月'!BV13:BW13,"渋谷-夜勤")+COUNTIF('5月'!CA13:CB13,"渋谷-夜勤")+COUNTIF('5月'!CF13:CG13,"渋谷-夜勤")+COUNTIF('5月'!CK13:CL13,"渋谷-夜勤")+COUNTIF('5月'!CP13:CQ13,"渋谷-夜勤")+COUNTIF('5月'!CU13:CV13,"渋谷-夜勤")+COUNTIF('5月'!CZ13:DA13,"渋谷-夜勤")+COUNTIF('5月'!DE13:DF13,"渋谷-夜勤")+COUNTIF('5月'!DJ13:DK13,"渋谷-夜勤")+COUNTIF('5月'!DO13:DP13,"渋谷-夜勤")+COUNTIF('5月'!DT13:DU13,"渋谷-夜勤")+COUNTIF('5月'!DY13:DZ13,"渋谷-夜勤")+COUNTIF('5月'!ED13:EE13,"渋谷-夜勤")+COUNTIF('5月'!EI13:EJ13,"渋谷-夜勤")+COUNTIF('5月'!EN13:EO13,"渋谷-夜勤")+COUNTIF('5月'!ES13:ET13,"渋谷-夜勤")</f>
        <v>0</v>
      </c>
      <c r="I163" s="76">
        <f t="shared" si="51"/>
        <v>0</v>
      </c>
      <c r="J163" s="76">
        <f>COUNTIF('5月'!D13:E13,J$152)+COUNTIF('5月'!I13:J13,J$152)+COUNTIF('5月'!N13:O13,J$152)+COUNTIF('5月'!S13:T13,J$152)+COUNTIF('5月'!X13:Y13,J$152)+COUNTIF('5月'!AC13:AD13,J$152)+COUNTIF('5月'!AH13:AI13,J$152)+COUNTIF('5月'!AM13:AN13,J$152)+COUNTIF('5月'!AR13:AS13,J$152)+COUNTIF('5月'!AW13:AX13,J$152)+COUNTIF('5月'!BB13:BC13,J$152)+COUNTIF('5月'!BG13:BH13,J$152)+COUNTIF('5月'!BL13:BM13,J$152)+COUNTIF('5月'!BQ13:BR13,J$152)+COUNTIF('5月'!BV13:BW13,J$152)+COUNTIF('5月'!CA13:CB13,J$152)+COUNTIF('5月'!CF13:CG13,J$152)+COUNTIF('5月'!CK13:CL13,J$152)+COUNTIF('5月'!CP13:CQ13,J$152)+COUNTIF('5月'!CU13:CV13,J$152)+COUNTIF('5月'!CZ13:DA13,J$152)+COUNTIF('5月'!DE13:DF13,J$152)+COUNTIF('5月'!DJ13:DK13,J$152)+COUNTIF('5月'!DO13:DP13,J$152)+COUNTIF('5月'!DT13:DU13,J$152)+COUNTIF('5月'!DY13:DZ13,J$152)+COUNTIF('5月'!ED13:EE13,J$152)+COUNTIF('5月'!EI13:EJ13,J$152)+COUNTIF('5月'!EN13:EO13,J$152)+COUNTIF('5月'!ES13:ET13,J$152)+COUNTIF('5月'!D13:E13,"六本木-夜勤")+COUNTIF('5月'!I13:J13,"六本木-夜勤")+COUNTIF('5月'!N13:O13,"六本木-夜勤")+COUNTIF('5月'!S13:T13,"六本木-夜勤")+COUNTIF('5月'!X13:Y13,"六本木-夜勤")+COUNTIF('5月'!AC13:AD13,"六本木-夜勤")+COUNTIF('5月'!AH13:AI13,"六本木-夜勤")+COUNTIF('5月'!AM13:AN13,"六本木-夜勤")+COUNTIF('5月'!AR13:AS13,"六本木-夜勤")+COUNTIF('5月'!AW13:AX13,"六本木-夜勤")+COUNTIF('5月'!BB13:BC13,"六本木-夜勤")+COUNTIF('5月'!BG13:BH13,"六本木-夜勤")+COUNTIF('5月'!BL13:BM13,"六本木-夜勤")+COUNTIF('5月'!BQ13:BR13,"六本木-夜勤")+COUNTIF('5月'!BV13:BW13,"六本木-夜勤")+COUNTIF('5月'!CA13:CB13,"六本木-夜勤")+COUNTIF('5月'!CF13:CG13,"六本木-夜勤")+COUNTIF('5月'!CK13:CL13,"六本木-夜勤")+COUNTIF('5月'!CP13:CQ13,"六本木-夜勤")+COUNTIF('5月'!CU13:CV13,"六本木-夜勤")+COUNTIF('5月'!CZ13:DA13,"六本木-夜勤")+COUNTIF('5月'!DE13:DF13,"六本木-夜勤")+COUNTIF('5月'!DJ13:DK13,"六本木-夜勤")+COUNTIF('5月'!DO13:DP13,"六本木-夜勤")+COUNTIF('5月'!DT13:DU13,"六本木-夜勤")+COUNTIF('5月'!DY13:DZ13,"六本木-夜勤")+COUNTIF('5月'!ED13:EE13,"六本木-夜勤")+COUNTIF('5月'!EI13:EJ13,"六本木-夜勤")+COUNTIF('5月'!EN13:EO13,"六本木-夜勤")+COUNTIF('5月'!ES13:ET13,"六本木-夜勤")+COUNTIF('5月'!D13:E13,"六本木ー夜勤")+COUNTIF('5月'!I13:J13,"六本木ー夜勤")+COUNTIF('5月'!N13:O13,"六本木ー夜勤")+COUNTIF('5月'!S13:T13,"六本木ー夜勤")+COUNTIF('5月'!X13:Y13,"六本木ー夜勤")+COUNTIF('5月'!AC13:AD13,"六本木ー夜勤")+COUNTIF('5月'!AH13:AI13,"六本木ー夜勤")+COUNTIF('5月'!AM13:AN13,"六本木ー夜勤")+COUNTIF('5月'!AR13:AS13,"六本木ー夜勤")+COUNTIF('5月'!AW13:AX13,"六本木ー夜勤")+COUNTIF('5月'!BB13:BC13,"六本木ー夜勤")+COUNTIF('5月'!BG13:BH13,"六本木ー夜勤")+COUNTIF('5月'!BL13:BM13,"六本木ー夜勤")+COUNTIF('5月'!BQ13:BR13,"六本木ー夜勤")+COUNTIF('5月'!BV13:BW13,"六本木ー夜勤")+COUNTIF('5月'!CA13:CB13,"六本木ー夜勤")+COUNTIF('5月'!CF13:CG13,"六本木ー夜勤")+COUNTIF('5月'!CK13:CL13,"六本木ー夜勤")+COUNTIF('5月'!CP13:CQ13,"六本木ー夜勤")+COUNTIF('5月'!CU13:CV13,"六本木ー夜勤")+COUNTIF('5月'!CZ13:DA13,"六本木ー夜勤")+COUNTIF('5月'!DE13:DF13,"六本木ー夜勤")+COUNTIF('5月'!DJ13:DK13,"六本木ー夜勤")+COUNTIF('5月'!DO13:DP13,"六本木ー夜勤")+COUNTIF('5月'!DT13:DU13,"六本木ー夜勤")+COUNTIF('5月'!DY13:DZ13,"六本木ー夜勤")+COUNTIF('5月'!ED13:EE13,"六本木ー夜勤")+COUNTIF('5月'!EI13:EJ13,"六本木ー夜勤")+COUNTIF('5月'!EN13:EO13,"六本木ー夜勤")+COUNTIF('5月'!ES13:ET13,"六本木ー夜勤")</f>
        <v>0</v>
      </c>
      <c r="K163" s="76">
        <f t="shared" si="52"/>
        <v>0</v>
      </c>
      <c r="L163" s="76">
        <f>COUNTIF('5月'!D13:E13,L$152)+COUNTIF('5月'!I13:J13,L$152)+COUNTIF('5月'!N13:O13,L$152)+COUNTIF('5月'!S13:T13,L$152)+COUNTIF('5月'!X13:Y13,L$152)+COUNTIF('5月'!AC13:AD13,L$152)+COUNTIF('5月'!AH13:AI13,L$152)+COUNTIF('5月'!AM13:AN13,L$152)+COUNTIF('5月'!AR13:AS13,L$152)+COUNTIF('5月'!AW13:AX13,L$152)+COUNTIF('5月'!BB13:BC13,L$152)+COUNTIF('5月'!BG13:BH13,L$152)+COUNTIF('5月'!BL13:BM13,L$152)+COUNTIF('5月'!BQ13:BR13,L$152)+COUNTIF('5月'!BV13:BW13,L$152)+COUNTIF('5月'!CA13:CB13,L$152)+COUNTIF('5月'!CF13:CG13,L$152)+COUNTIF('5月'!CK13:CL13,L$152)+COUNTIF('5月'!CP13:CQ13,L$152)+COUNTIF('5月'!CU13:CV13,L$152)+COUNTIF('5月'!CZ13:DA13,L$152)+COUNTIF('5月'!DE13:DF13,L$152)+COUNTIF('5月'!DJ13:DK13,L$152)+COUNTIF('5月'!DO13:DP13,L$152)+COUNTIF('5月'!DT13:DU13,L$152)+COUNTIF('5月'!DY13:DZ13,L$152)+COUNTIF('5月'!ED13:EE13,L$152)+COUNTIF('5月'!EI13:EJ13,L$152)+COUNTIF('5月'!EN13:EO13,L$152)+COUNTIF('5月'!ES13:ET13,L$152)</f>
        <v>0</v>
      </c>
      <c r="M163" s="76">
        <f t="shared" si="53"/>
        <v>0</v>
      </c>
      <c r="N163" s="76">
        <f>COUNTIF('5月'!D13:E13,N$152)+COUNTIF('5月'!I13:J13,N$152)+COUNTIF('5月'!N13:O13,N$152)+COUNTIF('5月'!S13:T13,N$152)+COUNTIF('5月'!X13:Y13,N$152)+COUNTIF('5月'!AC13:AD13,N$152)+COUNTIF('5月'!AH13:AI13,N$152)+COUNTIF('5月'!AM13:AN13,N$152)+COUNTIF('5月'!AR13:AS13,N$152)+COUNTIF('5月'!AW13:AX13,N$152)+COUNTIF('5月'!BB13:BC13,N$152)+COUNTIF('5月'!BG13:BH13,N$152)+COUNTIF('5月'!BL13:BM13,N$152)+COUNTIF('5月'!BQ13:BR13,N$152)+COUNTIF('5月'!BV13:BW13,N$152)+COUNTIF('5月'!CA13:CB13,N$152)+COUNTIF('5月'!CF13:CG13,N$152)+COUNTIF('5月'!CK13:CL13,N$152)+COUNTIF('5月'!CP13:CQ13,N$152)+COUNTIF('5月'!CU13:CV13,N$152)+COUNTIF('5月'!CZ13:DA13,N$152)+COUNTIF('5月'!DE13:DF13,N$152)+COUNTIF('5月'!DJ13:DK13,N$152)+COUNTIF('5月'!DO13:DP13,N$152)+COUNTIF('5月'!DT13:DU13,N$152)+COUNTIF('5月'!DY13:DZ13,N$152)+COUNTIF('5月'!ED13:EE13,N$152)+COUNTIF('5月'!EI13:EJ13,N$152)+COUNTIF('5月'!EN13:EO13,N$152)+COUNTIF('5月'!ES13:ET13,N$152)+COUNTIF('5月'!D13:E13,"三軒茶屋－夜勤")+COUNTIF('5月'!I13:J13,"三軒茶屋－夜勤")+COUNTIF('5月'!N13:O13,"三軒茶屋－夜勤")+COUNTIF('5月'!S13:T13,"三軒茶屋－夜勤")+COUNTIF('5月'!X13:Y13,"三軒茶屋－夜勤")+COUNTIF('5月'!AC13:AD13,"三軒茶屋－夜勤")+COUNTIF('5月'!AH13:AI13,"三軒茶屋－夜勤")+COUNTIF('5月'!AM13:AN13,"三軒茶屋－夜勤")+COUNTIF('5月'!AR13:AS13,"三軒茶屋－夜勤")+COUNTIF('5月'!AW13:AX13,"三軒茶屋－夜勤")+COUNTIF('5月'!BB13:BC13,"三軒茶屋－夜勤")+COUNTIF('5月'!BG13:BH13,"三軒茶屋－夜勤")+COUNTIF('5月'!BL13:BM13,"三軒茶屋－夜勤")+COUNTIF('5月'!BQ13:BR13,"三軒茶屋－夜勤")+COUNTIF('5月'!BV13:BW13,"三軒茶屋－夜勤")+COUNTIF('5月'!CA13:CB13,"三軒茶屋－夜勤")+COUNTIF('5月'!CF13:CG13,"三軒茶屋－夜勤")+COUNTIF('5月'!CK13:CL13,"三軒茶屋－夜勤")+COUNTIF('5月'!CP13:CQ13,"三軒茶屋－夜勤")+COUNTIF('5月'!CU13:CV13,"三軒茶屋－夜勤")+COUNTIF('5月'!CZ13:DA13,"三軒茶屋－夜勤")+COUNTIF('5月'!DE13:DF13,"三軒茶屋－夜勤")+COUNTIF('5月'!DJ13:DK13,"三軒茶屋－夜勤")+COUNTIF('5月'!DO13:DP13,"三軒茶屋－夜勤")+COUNTIF('5月'!DT13:DU13,"三軒茶屋－夜勤")+COUNTIF('5月'!DY13:DZ13,"三軒茶屋－夜勤")+COUNTIF('5月'!ED13:EE13,"三軒茶屋－夜勤")+COUNTIF('5月'!EI13:EJ13,"三軒茶屋－夜勤")+COUNTIF('5月'!EN13:EO13,"三軒茶屋－夜勤")+COUNTIF('5月'!ES13:ET13,"三軒茶屋－夜勤")</f>
        <v>0</v>
      </c>
      <c r="O163" s="76">
        <f t="shared" si="54"/>
        <v>0</v>
      </c>
      <c r="P163" s="76">
        <f>COUNTIF('5月'!D13:E13,P$152)+COUNTIF('5月'!I13:J13,P$152)+COUNTIF('5月'!N13:O13,P$152)+COUNTIF('5月'!S13:T13,P$152)+COUNTIF('5月'!X13:Y13,P$152)+COUNTIF('5月'!AC13:AD13,P$152)+COUNTIF('5月'!AH13:AI13,P$152)+COUNTIF('5月'!AM13:AN13,P$152)+COUNTIF('5月'!AR13:AS13,P$152)+COUNTIF('5月'!AW13:AX13,P$152)+COUNTIF('5月'!BB13:BC13,P$152)+COUNTIF('5月'!BG13:BH13,P$152)+COUNTIF('5月'!BL13:BM13,P$152)+COUNTIF('5月'!BQ13:BR13,P$152)+COUNTIF('5月'!BV13:BW13,P$152)+COUNTIF('5月'!CA13:CB13,P$152)+COUNTIF('5月'!CF13:CG13,P$152)+COUNTIF('5月'!CK13:CL13,P$152)+COUNTIF('5月'!CP13:CQ13,P$152)+COUNTIF('5月'!CU13:CV13,P$152)+COUNTIF('5月'!CZ13:DA13,P$152)+COUNTIF('5月'!DE13:DF13,P$152)+COUNTIF('5月'!DJ13:DK13,P$152)+COUNTIF('5月'!DO13:DP13,P$152)+COUNTIF('5月'!DT13:DU13,P$152)+COUNTIF('5月'!DY13:DZ13,P$152)+COUNTIF('5月'!ED13:EE13,P$152)+COUNTIF('5月'!EI13:EJ13,P$152)+COUNTIF('5月'!EN13:EO13,P$152)+COUNTIF('5月'!ES13:ET13,P$152)+COUNTIF('5月'!D13:E13,"荻窪ー夜勤")+COUNTIF('5月'!I13:J13,"荻窪ー夜勤")+COUNTIF('5月'!N13:O13,"荻窪ー夜勤")+COUNTIF('5月'!S13:T13,"荻窪ー夜勤")+COUNTIF('5月'!X13:Y13,"荻窪ー夜勤")+COUNTIF('5月'!AC13:AD13,"荻窪ー夜勤")+COUNTIF('5月'!AH13:AI13,"荻窪ー夜勤")+COUNTIF('5月'!AM13:AN13,"荻窪ー夜勤")+COUNTIF('5月'!AR13:AS13,"荻窪ー夜勤")+COUNTIF('5月'!AW13:AX13,"荻窪ー夜勤")+COUNTIF('5月'!BB13:BC13,"荻窪ー夜勤")+COUNTIF('5月'!BG13:BH13,"荻窪ー夜勤")+COUNTIF('5月'!BL13:BM13,"荻窪ー夜勤")+COUNTIF('5月'!BQ13:BR13,"荻窪ー夜勤")+COUNTIF('5月'!BV13:BW13,"荻窪ー夜勤")+COUNTIF('5月'!CA13:CB13,"荻窪ー夜勤")+COUNTIF('5月'!CF13:CG13,"荻窪ー夜勤")+COUNTIF('5月'!CK13:CL13,"荻窪ー夜勤")+COUNTIF('5月'!CP13:CQ13,"荻窪ー夜勤")+COUNTIF('5月'!CU13:CV13,"荻窪ー夜勤")+COUNTIF('5月'!CZ13:DA13,"荻窪ー夜勤")+COUNTIF('5月'!DE13:DF13,"荻窪ー夜勤")+COUNTIF('5月'!DJ13:DK13,"荻窪ー夜勤")+COUNTIF('5月'!DO13:DP13,"荻窪ー夜勤")+COUNTIF('5月'!DT13:DU13,"荻窪ー夜勤")+COUNTIF('5月'!DY13:DZ13,"荻窪ー夜勤")+COUNTIF('5月'!ED13:EE13,"荻窪ー夜勤")+COUNTIF('5月'!EI13:EJ13,"荻窪ー夜勤")+COUNTIF('5月'!EN13:EO13,"荻窪ー夜勤")+COUNTIF('5月'!ES13:ET13,"荻窪ー夜勤")</f>
        <v>0</v>
      </c>
      <c r="Q163" s="76">
        <f t="shared" si="55"/>
        <v>0</v>
      </c>
      <c r="R163" s="76">
        <f>COUNTIF('5月'!D13:E13,R$152)+COUNTIF('5月'!I13:J13,R$152)+COUNTIF('5月'!N13:O13,R$152)+COUNTIF('5月'!S13:T13,R$152)+COUNTIF('5月'!X13:Y13,R$152)+COUNTIF('5月'!AC13:AD13,R$152)+COUNTIF('5月'!AH13:AI13,R$152)+COUNTIF('5月'!AM13:AN13,R$152)+COUNTIF('5月'!AR13:AS13,R$152)+COUNTIF('5月'!AW13:AX13,R$152)+COUNTIF('5月'!BB13:BC13,R$152)+COUNTIF('5月'!BG13:BH13,R$152)+COUNTIF('5月'!BL13:BM13,R$152)+COUNTIF('5月'!BQ13:BR13,R$152)+COUNTIF('5月'!BV13:BW13,R$152)+COUNTIF('5月'!CA13:CB13,R$152)+COUNTIF('5月'!CF13:CG13,R$152)+COUNTIF('5月'!CK13:CL13,R$152)+COUNTIF('5月'!CP13:CQ13,R$152)+COUNTIF('5月'!CU13:CV13,R$152)+COUNTIF('5月'!CZ13:DA13,R$152)+COUNTIF('5月'!DE13:DF13,R$152)+COUNTIF('5月'!DJ13:DK13,R$152)+COUNTIF('5月'!DO13:DP13,R$152)+COUNTIF('5月'!DT13:DU13,R$152)+COUNTIF('5月'!DY13:DZ13,R$152)+COUNTIF('5月'!ED13:EE13,R$152)+COUNTIF('5月'!EI13:EJ13,R$152)+COUNTIF('5月'!EN13:EO13,R$152)+COUNTIF('5月'!ES13:ET13,R$152)</f>
        <v>0</v>
      </c>
      <c r="S163" s="76">
        <f t="shared" si="56"/>
        <v>0</v>
      </c>
      <c r="T163" s="76">
        <f>COUNTIF('5月'!D13:E13,T$152)+COUNTIF('5月'!I13:J13,T$152)+COUNTIF('5月'!N13:O13,T$152)+COUNTIF('5月'!S13:T13,T$152)+COUNTIF('5月'!X13:Y13,T$152)+COUNTIF('5月'!AC13:AD13,T$152)+COUNTIF('5月'!AH13:AI13,T$152)+COUNTIF('5月'!AM13:AN13,T$152)+COUNTIF('5月'!AR13:AS13,T$152)+COUNTIF('5月'!AW13:AX13,T$152)+COUNTIF('5月'!BB13:BC13,T$152)+COUNTIF('5月'!BG13:BH13,T$152)+COUNTIF('5月'!BL13:BM13,T$152)+COUNTIF('5月'!BQ13:BR13,T$152)+COUNTIF('5月'!BV13:BW13,T$152)+COUNTIF('5月'!CA13:CB13,T$152)+COUNTIF('5月'!CF13:CG13,T$152)+COUNTIF('5月'!CK13:CL13,T$152)+COUNTIF('5月'!CP13:CQ13,T$152)+COUNTIF('5月'!CU13:CV13,T$152)+COUNTIF('5月'!CZ13:DA13,T$152)+COUNTIF('5月'!DE13:DF13,T$152)+COUNTIF('5月'!DJ13:DK13,T$152)+COUNTIF('5月'!DO13:DP13,T$152)+COUNTIF('5月'!DT13:DU13,T$152)+COUNTIF('5月'!DY13:DZ13,T$152)+COUNTIF('5月'!ED13:EE13,T$152)+COUNTIF('5月'!EI13:EJ13,T$152)+COUNTIF('5月'!EN13:EO13,T$152)+COUNTIF('5月'!ES13:ET13,T$152)</f>
        <v>0</v>
      </c>
      <c r="U163" s="76">
        <f t="shared" si="57"/>
        <v>0</v>
      </c>
      <c r="V163" s="76">
        <f>COUNTIF('5月'!D13:E13,V$152)+COUNTIF('5月'!I13:J13,V$152)+COUNTIF('5月'!N13:O13,V$152)+COUNTIF('5月'!S13:T13,V$152)+COUNTIF('5月'!X13:Y13,V$152)+COUNTIF('5月'!AC13:AD13,V$152)+COUNTIF('5月'!AH13:AI13,V$152)+COUNTIF('5月'!AM13:AN13,V$152)+COUNTIF('5月'!AR13:AS13,V$152)+COUNTIF('5月'!AW13:AX13,V$152)+COUNTIF('5月'!BB13:BC13,V$152)+COUNTIF('5月'!BG13:BH13,V$152)+COUNTIF('5月'!BL13:BM13,V$152)+COUNTIF('5月'!BQ13:BR13,V$152)+COUNTIF('5月'!BV13:BW13,V$152)+COUNTIF('5月'!CA13:CB13,V$152)+COUNTIF('5月'!CF13:CG13,V$152)+COUNTIF('5月'!CK13:CL13,V$152)+COUNTIF('5月'!CP13:CQ13,V$152)+COUNTIF('5月'!CU13:CV13,V$152)+COUNTIF('5月'!CZ13:DA13,V$152)+COUNTIF('5月'!DE13:DF13,V$152)+COUNTIF('5月'!DJ13:DK13,V$152)+COUNTIF('5月'!DO13:DP13,V$152)+COUNTIF('5月'!DT13:DU13,V$152)+COUNTIF('5月'!DY13:DZ13,V$152)+COUNTIF('5月'!ED13:EE13,V$152)+COUNTIF('5月'!EI13:EJ13,V$152)+COUNTIF('5月'!EN13:EO13,V$152)+COUNTIF('5月'!ES13:ET13,V$152)</f>
        <v>0</v>
      </c>
      <c r="W163" s="76">
        <f t="shared" si="58"/>
        <v>0</v>
      </c>
      <c r="X163" s="76">
        <f>COUNTIF('5月'!D13:E13,X$152)+COUNTIF('5月'!I13:J13,X$152)+COUNTIF('5月'!N13:O13,X$152)+COUNTIF('5月'!S13:T13,X$152)+COUNTIF('5月'!X13:Y13,X$152)+COUNTIF('5月'!AC13:AD13,X$152)+COUNTIF('5月'!AH13:AI13,X$152)+COUNTIF('5月'!AM13:AN13,X$152)+COUNTIF('5月'!AR13:AS13,X$152)+COUNTIF('5月'!AW13:AX13,X$152)+COUNTIF('5月'!BB13:BC13,X$152)+COUNTIF('5月'!BG13:BH13,X$152)+COUNTIF('5月'!BL13:BM13,X$152)+COUNTIF('5月'!BQ13:BR13,X$152)+COUNTIF('5月'!BV13:BW13,X$152)+COUNTIF('5月'!CA13:CB13,X$152)+COUNTIF('5月'!CF13:CG13,X$152)+COUNTIF('5月'!CK13:CL13,X$152)+COUNTIF('5月'!CP13:CQ13,X$152)+COUNTIF('5月'!CU13:CV13,X$152)+COUNTIF('5月'!CZ13:DA13,X$152)+COUNTIF('5月'!DE13:DF13,X$152)+COUNTIF('5月'!DJ13:DK13,X$152)+COUNTIF('5月'!DO13:DP13,X$152)+COUNTIF('5月'!DT13:DU13,X$152)+COUNTIF('5月'!DY13:DZ13,X$152)+COUNTIF('5月'!ED13:EE13,X$152)+COUNTIF('5月'!EI13:EJ13,X$152)+COUNTIF('5月'!EN13:EO13,X$152)+COUNTIF('5月'!ES13:ET13,X$152)</f>
        <v>0</v>
      </c>
      <c r="Y163" s="76">
        <f t="shared" si="59"/>
        <v>0</v>
      </c>
    </row>
    <row r="164" spans="1:25" ht="18" customHeight="1">
      <c r="A164" s="76">
        <v>11</v>
      </c>
      <c r="B164" s="76">
        <f>COUNTIF('5月'!D14:E14,B$152)+COUNTIF('5月'!I14:J14,B$152)+COUNTIF('5月'!N14:O14,B$152)+COUNTIF('5月'!S14:T14,B$152)+COUNTIF('5月'!X14:Y14,B$152)+COUNTIF('5月'!AC14:AD14,B$152)+COUNTIF('5月'!AH14:AI14,B$152)+COUNTIF('5月'!AM14:AN14,B$152)+COUNTIF('5月'!AR14:AS14,B$152)+COUNTIF('5月'!AW14:AX14,B$152)+COUNTIF('5月'!BB14:BC14,B$152)+COUNTIF('5月'!BG14:BH14,B$152)+COUNTIF('5月'!BL14:BM14,B$152)+COUNTIF('5月'!BQ14:BR14,B$152)+COUNTIF('5月'!BV14:BW14,B$152)+COUNTIF('5月'!CA14:CB14,B$152)+COUNTIF('5月'!CF14:CG14,B$152)+COUNTIF('5月'!CK14:CL14,B$152)+COUNTIF('5月'!CP14:CQ14,B$152)+COUNTIF('5月'!CU14:CV14,B$152)+COUNTIF('5月'!CZ14:DA14,B$152)+COUNTIF('5月'!DE14:DF14,B$152)+COUNTIF('5月'!DJ14:DK14,B$152)+COUNTIF('5月'!DO14:DP14,B$152)+COUNTIF('5月'!DT14:DU14,B$152)+COUNTIF('5月'!DY14:DZ14,B$152)+COUNTIF('5月'!ED14:EE14,B$152)+COUNTIF('5月'!EI14:EJ14,B$152)+COUNTIF('5月'!EN14:EO14,B$152)+COUNTIF('5月'!ES14:ET14,B$152)</f>
        <v>0</v>
      </c>
      <c r="C164" s="76">
        <f t="shared" si="48"/>
        <v>0</v>
      </c>
      <c r="D164" s="76">
        <f>COUNTIF('5月'!D14:E14,D$152)+COUNTIF('5月'!I14:J14,D$152)+COUNTIF('5月'!N14:O14,D$152)+COUNTIF('5月'!S14:T14,D$152)+COUNTIF('5月'!X14:Y14,D$152)+COUNTIF('5月'!AC14:AD14,D$152)+COUNTIF('5月'!AH14:AI14,D$152)+COUNTIF('5月'!AM14:AN14,D$152)+COUNTIF('5月'!AR14:AS14,D$152)+COUNTIF('5月'!AW14:AX14,D$152)+COUNTIF('5月'!BB14:BC14,D$152)+COUNTIF('5月'!BG14:BH14,D$152)+COUNTIF('5月'!BL14:BM14,D$152)+COUNTIF('5月'!BQ14:BR14,D$152)+COUNTIF('5月'!BV14:BW14,D$152)+COUNTIF('5月'!CA14:CB14,D$152)+COUNTIF('5月'!CF14:CG14,D$152)+COUNTIF('5月'!CK14:CL14,D$152)+COUNTIF('5月'!CP14:CQ14,D$152)+COUNTIF('5月'!CU14:CV14,D$152)+COUNTIF('5月'!CZ14:DA14,D$152)+COUNTIF('5月'!DE14:DF14,D$152)+COUNTIF('5月'!DJ14:DK14,D$152)+COUNTIF('5月'!DO14:DP14,D$152)+COUNTIF('5月'!DT14:DU14,D$152)+COUNTIF('5月'!DY14:DZ14,D$152)+COUNTIF('5月'!ED14:EE14,D$152)+COUNTIF('5月'!EI14:EJ14,D$152)+COUNTIF('5月'!EN14:EO14,D$152)+COUNTIF('5月'!ES14:ET14,D$152)</f>
        <v>0</v>
      </c>
      <c r="E164" s="76">
        <f t="shared" si="49"/>
        <v>0</v>
      </c>
      <c r="F164" s="76">
        <f>COUNTIF('5月'!D14:E14,F$152)+COUNTIF('5月'!I14:J14,F$152)+COUNTIF('5月'!N14:O14,F$152)+COUNTIF('5月'!S14:T14,F$152)+COUNTIF('5月'!X14:Y14,F$152)+COUNTIF('5月'!AC14:AD14,F$152)+COUNTIF('5月'!AH14:AI14,F$152)+COUNTIF('5月'!AM14:AN14,F$152)+COUNTIF('5月'!AR14:AS14,F$152)+COUNTIF('5月'!AW14:AX14,F$152)+COUNTIF('5月'!BB14:BC14,F$152)+COUNTIF('5月'!BG14:BH14,F$152)+COUNTIF('5月'!BL14:BM14,F$152)+COUNTIF('5月'!BQ14:BR14,F$152)+COUNTIF('5月'!BV14:BW14,F$152)+COUNTIF('5月'!CA14:CB14,F$152)+COUNTIF('5月'!CF14:CG14,F$152)+COUNTIF('5月'!CK14:CL14,F$152)+COUNTIF('5月'!CP14:CQ14,F$152)+COUNTIF('5月'!CU14:CV14,F$152)+COUNTIF('5月'!CZ14:DA14,F$152)+COUNTIF('5月'!DE14:DF14,F$152)+COUNTIF('5月'!DJ14:DK14,F$152)+COUNTIF('5月'!DO14:DP14,F$152)+COUNTIF('5月'!DT14:DU14,F$152)+COUNTIF('5月'!DY14:DZ14,F$152)+COUNTIF('5月'!ED14:EE14,F$152)+COUNTIF('5月'!EI14:EJ14,F$152)+COUNTIF('5月'!EN14:EO14,F$152)+COUNTIF('5月'!ES14:ET14,F$152)</f>
        <v>0</v>
      </c>
      <c r="G164" s="76">
        <f t="shared" si="50"/>
        <v>0</v>
      </c>
      <c r="H164" s="76">
        <f>COUNTIF('5月'!D14:E14,H$152)+COUNTIF('5月'!I14:J14,H$152)+COUNTIF('5月'!N14:O14,H$152)+COUNTIF('5月'!S14:T14,H$152)+COUNTIF('5月'!X14:Y14,H$152)+COUNTIF('5月'!AC14:AD14,H$152)+COUNTIF('5月'!AH14:AI14,H$152)+COUNTIF('5月'!AM14:AN14,H$152)+COUNTIF('5月'!AR14:AS14,H$152)+COUNTIF('5月'!AW14:AX14,H$152)+COUNTIF('5月'!BB14:BC14,H$152)+COUNTIF('5月'!BG14:BH14,H$152)+COUNTIF('5月'!BL14:BM14,H$152)+COUNTIF('5月'!BQ14:BR14,H$152)+COUNTIF('5月'!BV14:BW14,H$152)+COUNTIF('5月'!CA14:CB14,H$152)+COUNTIF('5月'!CF14:CG14,H$152)+COUNTIF('5月'!CK14:CL14,H$152)+COUNTIF('5月'!CP14:CQ14,H$152)+COUNTIF('5月'!CU14:CV14,H$152)+COUNTIF('5月'!CZ14:DA14,H$152)+COUNTIF('5月'!DE14:DF14,H$152)+COUNTIF('5月'!DJ14:DK14,H$152)+COUNTIF('5月'!DO14:DP14,H$152)+COUNTIF('5月'!DT14:DU14,H$152)+COUNTIF('5月'!DY14:DZ14,H$152)+COUNTIF('5月'!ED14:EE14,H$152)+COUNTIF('5月'!EI14:EJ14,H$152)+COUNTIF('5月'!EN14:EO14,H$152)+COUNTIF('5月'!ES14:ET14,H$152)+COUNTIF('5月'!D14:E14,"渋谷-夜勤")+COUNTIF('5月'!I14:J14,"渋谷-夜勤")+COUNTIF('5月'!N14:O14,"渋谷-夜勤")+COUNTIF('5月'!S14:T14,"渋谷-夜勤")+COUNTIF('5月'!X14:Y14,"渋谷-夜勤")+COUNTIF('5月'!AC14:AD14,"渋谷-夜勤")+COUNTIF('5月'!AH14:AI14,"渋谷-夜勤")+COUNTIF('5月'!AM14:AN14,"渋谷-夜勤")+COUNTIF('5月'!AR14:AS14,"渋谷-夜勤")+COUNTIF('5月'!AW14:AX14,"渋谷-夜勤")+COUNTIF('5月'!BB14:BC14,"渋谷-夜勤")+COUNTIF('5月'!BG14:BH14,"渋谷-夜勤")+COUNTIF('5月'!BL14:BM14,"渋谷-夜勤")+COUNTIF('5月'!BQ14:BR14,"渋谷-夜勤")+COUNTIF('5月'!BV14:BW14,"渋谷-夜勤")+COUNTIF('5月'!CA14:CB14,"渋谷-夜勤")+COUNTIF('5月'!CF14:CG14,"渋谷-夜勤")+COUNTIF('5月'!CK14:CL14,"渋谷-夜勤")+COUNTIF('5月'!CP14:CQ14,"渋谷-夜勤")+COUNTIF('5月'!CU14:CV14,"渋谷-夜勤")+COUNTIF('5月'!CZ14:DA14,"渋谷-夜勤")+COUNTIF('5月'!DE14:DF14,"渋谷-夜勤")+COUNTIF('5月'!DJ14:DK14,"渋谷-夜勤")+COUNTIF('5月'!DO14:DP14,"渋谷-夜勤")+COUNTIF('5月'!DT14:DU14,"渋谷-夜勤")+COUNTIF('5月'!DY14:DZ14,"渋谷-夜勤")+COUNTIF('5月'!ED14:EE14,"渋谷-夜勤")+COUNTIF('5月'!EI14:EJ14,"渋谷-夜勤")+COUNTIF('5月'!EN14:EO14,"渋谷-夜勤")+COUNTIF('5月'!ES14:ET14,"渋谷-夜勤")</f>
        <v>0</v>
      </c>
      <c r="I164" s="76">
        <f t="shared" si="51"/>
        <v>0</v>
      </c>
      <c r="J164" s="76">
        <f>COUNTIF('5月'!D14:E14,J$152)+COUNTIF('5月'!I14:J14,J$152)+COUNTIF('5月'!N14:O14,J$152)+COUNTIF('5月'!S14:T14,J$152)+COUNTIF('5月'!X14:Y14,J$152)+COUNTIF('5月'!AC14:AD14,J$152)+COUNTIF('5月'!AH14:AI14,J$152)+COUNTIF('5月'!AM14:AN14,J$152)+COUNTIF('5月'!AR14:AS14,J$152)+COUNTIF('5月'!AW14:AX14,J$152)+COUNTIF('5月'!BB14:BC14,J$152)+COUNTIF('5月'!BG14:BH14,J$152)+COUNTIF('5月'!BL14:BM14,J$152)+COUNTIF('5月'!BQ14:BR14,J$152)+COUNTIF('5月'!BV14:BW14,J$152)+COUNTIF('5月'!CA14:CB14,J$152)+COUNTIF('5月'!CF14:CG14,J$152)+COUNTIF('5月'!CK14:CL14,J$152)+COUNTIF('5月'!CP14:CQ14,J$152)+COUNTIF('5月'!CU14:CV14,J$152)+COUNTIF('5月'!CZ14:DA14,J$152)+COUNTIF('5月'!DE14:DF14,J$152)+COUNTIF('5月'!DJ14:DK14,J$152)+COUNTIF('5月'!DO14:DP14,J$152)+COUNTIF('5月'!DT14:DU14,J$152)+COUNTIF('5月'!DY14:DZ14,J$152)+COUNTIF('5月'!ED14:EE14,J$152)+COUNTIF('5月'!EI14:EJ14,J$152)+COUNTIF('5月'!EN14:EO14,J$152)+COUNTIF('5月'!ES14:ET14,J$152)+COUNTIF('5月'!D14:E14,"六本木-夜勤")+COUNTIF('5月'!I14:J14,"六本木-夜勤")+COUNTIF('5月'!N14:O14,"六本木-夜勤")+COUNTIF('5月'!S14:T14,"六本木-夜勤")+COUNTIF('5月'!X14:Y14,"六本木-夜勤")+COUNTIF('5月'!AC14:AD14,"六本木-夜勤")+COUNTIF('5月'!AH14:AI14,"六本木-夜勤")+COUNTIF('5月'!AM14:AN14,"六本木-夜勤")+COUNTIF('5月'!AR14:AS14,"六本木-夜勤")+COUNTIF('5月'!AW14:AX14,"六本木-夜勤")+COUNTIF('5月'!BB14:BC14,"六本木-夜勤")+COUNTIF('5月'!BG14:BH14,"六本木-夜勤")+COUNTIF('5月'!BL14:BM14,"六本木-夜勤")+COUNTIF('5月'!BQ14:BR14,"六本木-夜勤")+COUNTIF('5月'!BV14:BW14,"六本木-夜勤")+COUNTIF('5月'!CA14:CB14,"六本木-夜勤")+COUNTIF('5月'!CF14:CG14,"六本木-夜勤")+COUNTIF('5月'!CK14:CL14,"六本木-夜勤")+COUNTIF('5月'!CP14:CQ14,"六本木-夜勤")+COUNTIF('5月'!CU14:CV14,"六本木-夜勤")+COUNTIF('5月'!CZ14:DA14,"六本木-夜勤")+COUNTIF('5月'!DE14:DF14,"六本木-夜勤")+COUNTIF('5月'!DJ14:DK14,"六本木-夜勤")+COUNTIF('5月'!DO14:DP14,"六本木-夜勤")+COUNTIF('5月'!DT14:DU14,"六本木-夜勤")+COUNTIF('5月'!DY14:DZ14,"六本木-夜勤")+COUNTIF('5月'!ED14:EE14,"六本木-夜勤")+COUNTIF('5月'!EI14:EJ14,"六本木-夜勤")+COUNTIF('5月'!EN14:EO14,"六本木-夜勤")+COUNTIF('5月'!ES14:ET14,"六本木-夜勤")+COUNTIF('5月'!D14:E14,"六本木ー夜勤")+COUNTIF('5月'!I14:J14,"六本木ー夜勤")+COUNTIF('5月'!N14:O14,"六本木ー夜勤")+COUNTIF('5月'!S14:T14,"六本木ー夜勤")+COUNTIF('5月'!X14:Y14,"六本木ー夜勤")+COUNTIF('5月'!AC14:AD14,"六本木ー夜勤")+COUNTIF('5月'!AH14:AI14,"六本木ー夜勤")+COUNTIF('5月'!AM14:AN14,"六本木ー夜勤")+COUNTIF('5月'!AR14:AS14,"六本木ー夜勤")+COUNTIF('5月'!AW14:AX14,"六本木ー夜勤")+COUNTIF('5月'!BB14:BC14,"六本木ー夜勤")+COUNTIF('5月'!BG14:BH14,"六本木ー夜勤")+COUNTIF('5月'!BL14:BM14,"六本木ー夜勤")+COUNTIF('5月'!BQ14:BR14,"六本木ー夜勤")+COUNTIF('5月'!BV14:BW14,"六本木ー夜勤")+COUNTIF('5月'!CA14:CB14,"六本木ー夜勤")+COUNTIF('5月'!CF14:CG14,"六本木ー夜勤")+COUNTIF('5月'!CK14:CL14,"六本木ー夜勤")+COUNTIF('5月'!CP14:CQ14,"六本木ー夜勤")+COUNTIF('5月'!CU14:CV14,"六本木ー夜勤")+COUNTIF('5月'!CZ14:DA14,"六本木ー夜勤")+COUNTIF('5月'!DE14:DF14,"六本木ー夜勤")+COUNTIF('5月'!DJ14:DK14,"六本木ー夜勤")+COUNTIF('5月'!DO14:DP14,"六本木ー夜勤")+COUNTIF('5月'!DT14:DU14,"六本木ー夜勤")+COUNTIF('5月'!DY14:DZ14,"六本木ー夜勤")+COUNTIF('5月'!ED14:EE14,"六本木ー夜勤")+COUNTIF('5月'!EI14:EJ14,"六本木ー夜勤")+COUNTIF('5月'!EN14:EO14,"六本木ー夜勤")+COUNTIF('5月'!ES14:ET14,"六本木ー夜勤")</f>
        <v>0</v>
      </c>
      <c r="K164" s="76">
        <f t="shared" si="52"/>
        <v>0</v>
      </c>
      <c r="L164" s="76">
        <f>COUNTIF('5月'!D14:E14,L$152)+COUNTIF('5月'!I14:J14,L$152)+COUNTIF('5月'!N14:O14,L$152)+COUNTIF('5月'!S14:T14,L$152)+COUNTIF('5月'!X14:Y14,L$152)+COUNTIF('5月'!AC14:AD14,L$152)+COUNTIF('5月'!AH14:AI14,L$152)+COUNTIF('5月'!AM14:AN14,L$152)+COUNTIF('5月'!AR14:AS14,L$152)+COUNTIF('5月'!AW14:AX14,L$152)+COUNTIF('5月'!BB14:BC14,L$152)+COUNTIF('5月'!BG14:BH14,L$152)+COUNTIF('5月'!BL14:BM14,L$152)+COUNTIF('5月'!BQ14:BR14,L$152)+COUNTIF('5月'!BV14:BW14,L$152)+COUNTIF('5月'!CA14:CB14,L$152)+COUNTIF('5月'!CF14:CG14,L$152)+COUNTIF('5月'!CK14:CL14,L$152)+COUNTIF('5月'!CP14:CQ14,L$152)+COUNTIF('5月'!CU14:CV14,L$152)+COUNTIF('5月'!CZ14:DA14,L$152)+COUNTIF('5月'!DE14:DF14,L$152)+COUNTIF('5月'!DJ14:DK14,L$152)+COUNTIF('5月'!DO14:DP14,L$152)+COUNTIF('5月'!DT14:DU14,L$152)+COUNTIF('5月'!DY14:DZ14,L$152)+COUNTIF('5月'!ED14:EE14,L$152)+COUNTIF('5月'!EI14:EJ14,L$152)+COUNTIF('5月'!EN14:EO14,L$152)+COUNTIF('5月'!ES14:ET14,L$152)</f>
        <v>0</v>
      </c>
      <c r="M164" s="76">
        <f t="shared" si="53"/>
        <v>0</v>
      </c>
      <c r="N164" s="76">
        <f>COUNTIF('5月'!D14:E14,N$152)+COUNTIF('5月'!I14:J14,N$152)+COUNTIF('5月'!N14:O14,N$152)+COUNTIF('5月'!S14:T14,N$152)+COUNTIF('5月'!X14:Y14,N$152)+COUNTIF('5月'!AC14:AD14,N$152)+COUNTIF('5月'!AH14:AI14,N$152)+COUNTIF('5月'!AM14:AN14,N$152)+COUNTIF('5月'!AR14:AS14,N$152)+COUNTIF('5月'!AW14:AX14,N$152)+COUNTIF('5月'!BB14:BC14,N$152)+COUNTIF('5月'!BG14:BH14,N$152)+COUNTIF('5月'!BL14:BM14,N$152)+COUNTIF('5月'!BQ14:BR14,N$152)+COUNTIF('5月'!BV14:BW14,N$152)+COUNTIF('5月'!CA14:CB14,N$152)+COUNTIF('5月'!CF14:CG14,N$152)+COUNTIF('5月'!CK14:CL14,N$152)+COUNTIF('5月'!CP14:CQ14,N$152)+COUNTIF('5月'!CU14:CV14,N$152)+COUNTIF('5月'!CZ14:DA14,N$152)+COUNTIF('5月'!DE14:DF14,N$152)+COUNTIF('5月'!DJ14:DK14,N$152)+COUNTIF('5月'!DO14:DP14,N$152)+COUNTIF('5月'!DT14:DU14,N$152)+COUNTIF('5月'!DY14:DZ14,N$152)+COUNTIF('5月'!ED14:EE14,N$152)+COUNTIF('5月'!EI14:EJ14,N$152)+COUNTIF('5月'!EN14:EO14,N$152)+COUNTIF('5月'!ES14:ET14,N$152)+COUNTIF('5月'!D14:E14,"三軒茶屋－夜勤")+COUNTIF('5月'!I14:J14,"三軒茶屋－夜勤")+COUNTIF('5月'!N14:O14,"三軒茶屋－夜勤")+COUNTIF('5月'!S14:T14,"三軒茶屋－夜勤")+COUNTIF('5月'!X14:Y14,"三軒茶屋－夜勤")+COUNTIF('5月'!AC14:AD14,"三軒茶屋－夜勤")+COUNTIF('5月'!AH14:AI14,"三軒茶屋－夜勤")+COUNTIF('5月'!AM14:AN14,"三軒茶屋－夜勤")+COUNTIF('5月'!AR14:AS14,"三軒茶屋－夜勤")+COUNTIF('5月'!AW14:AX14,"三軒茶屋－夜勤")+COUNTIF('5月'!BB14:BC14,"三軒茶屋－夜勤")+COUNTIF('5月'!BG14:BH14,"三軒茶屋－夜勤")+COUNTIF('5月'!BL14:BM14,"三軒茶屋－夜勤")+COUNTIF('5月'!BQ14:BR14,"三軒茶屋－夜勤")+COUNTIF('5月'!BV14:BW14,"三軒茶屋－夜勤")+COUNTIF('5月'!CA14:CB14,"三軒茶屋－夜勤")+COUNTIF('5月'!CF14:CG14,"三軒茶屋－夜勤")+COUNTIF('5月'!CK14:CL14,"三軒茶屋－夜勤")+COUNTIF('5月'!CP14:CQ14,"三軒茶屋－夜勤")+COUNTIF('5月'!CU14:CV14,"三軒茶屋－夜勤")+COUNTIF('5月'!CZ14:DA14,"三軒茶屋－夜勤")+COUNTIF('5月'!DE14:DF14,"三軒茶屋－夜勤")+COUNTIF('5月'!DJ14:DK14,"三軒茶屋－夜勤")+COUNTIF('5月'!DO14:DP14,"三軒茶屋－夜勤")+COUNTIF('5月'!DT14:DU14,"三軒茶屋－夜勤")+COUNTIF('5月'!DY14:DZ14,"三軒茶屋－夜勤")+COUNTIF('5月'!ED14:EE14,"三軒茶屋－夜勤")+COUNTIF('5月'!EI14:EJ14,"三軒茶屋－夜勤")+COUNTIF('5月'!EN14:EO14,"三軒茶屋－夜勤")+COUNTIF('5月'!ES14:ET14,"三軒茶屋－夜勤")</f>
        <v>0</v>
      </c>
      <c r="O164" s="76">
        <f t="shared" si="54"/>
        <v>0</v>
      </c>
      <c r="P164" s="76">
        <f>COUNTIF('5月'!D14:E14,P$152)+COUNTIF('5月'!I14:J14,P$152)+COUNTIF('5月'!N14:O14,P$152)+COUNTIF('5月'!S14:T14,P$152)+COUNTIF('5月'!X14:Y14,P$152)+COUNTIF('5月'!AC14:AD14,P$152)+COUNTIF('5月'!AH14:AI14,P$152)+COUNTIF('5月'!AM14:AN14,P$152)+COUNTIF('5月'!AR14:AS14,P$152)+COUNTIF('5月'!AW14:AX14,P$152)+COUNTIF('5月'!BB14:BC14,P$152)+COUNTIF('5月'!BG14:BH14,P$152)+COUNTIF('5月'!BL14:BM14,P$152)+COUNTIF('5月'!BQ14:BR14,P$152)+COUNTIF('5月'!BV14:BW14,P$152)+COUNTIF('5月'!CA14:CB14,P$152)+COUNTIF('5月'!CF14:CG14,P$152)+COUNTIF('5月'!CK14:CL14,P$152)+COUNTIF('5月'!CP14:CQ14,P$152)+COUNTIF('5月'!CU14:CV14,P$152)+COUNTIF('5月'!CZ14:DA14,P$152)+COUNTIF('5月'!DE14:DF14,P$152)+COUNTIF('5月'!DJ14:DK14,P$152)+COUNTIF('5月'!DO14:DP14,P$152)+COUNTIF('5月'!DT14:DU14,P$152)+COUNTIF('5月'!DY14:DZ14,P$152)+COUNTIF('5月'!ED14:EE14,P$152)+COUNTIF('5月'!EI14:EJ14,P$152)+COUNTIF('5月'!EN14:EO14,P$152)+COUNTIF('5月'!ES14:ET14,P$152)+COUNTIF('5月'!D14:E14,"荻窪ー夜勤")+COUNTIF('5月'!I14:J14,"荻窪ー夜勤")+COUNTIF('5月'!N14:O14,"荻窪ー夜勤")+COUNTIF('5月'!S14:T14,"荻窪ー夜勤")+COUNTIF('5月'!X14:Y14,"荻窪ー夜勤")+COUNTIF('5月'!AC14:AD14,"荻窪ー夜勤")+COUNTIF('5月'!AH14:AI14,"荻窪ー夜勤")+COUNTIF('5月'!AM14:AN14,"荻窪ー夜勤")+COUNTIF('5月'!AR14:AS14,"荻窪ー夜勤")+COUNTIF('5月'!AW14:AX14,"荻窪ー夜勤")+COUNTIF('5月'!BB14:BC14,"荻窪ー夜勤")+COUNTIF('5月'!BG14:BH14,"荻窪ー夜勤")+COUNTIF('5月'!BL14:BM14,"荻窪ー夜勤")+COUNTIF('5月'!BQ14:BR14,"荻窪ー夜勤")+COUNTIF('5月'!BV14:BW14,"荻窪ー夜勤")+COUNTIF('5月'!CA14:CB14,"荻窪ー夜勤")+COUNTIF('5月'!CF14:CG14,"荻窪ー夜勤")+COUNTIF('5月'!CK14:CL14,"荻窪ー夜勤")+COUNTIF('5月'!CP14:CQ14,"荻窪ー夜勤")+COUNTIF('5月'!CU14:CV14,"荻窪ー夜勤")+COUNTIF('5月'!CZ14:DA14,"荻窪ー夜勤")+COUNTIF('5月'!DE14:DF14,"荻窪ー夜勤")+COUNTIF('5月'!DJ14:DK14,"荻窪ー夜勤")+COUNTIF('5月'!DO14:DP14,"荻窪ー夜勤")+COUNTIF('5月'!DT14:DU14,"荻窪ー夜勤")+COUNTIF('5月'!DY14:DZ14,"荻窪ー夜勤")+COUNTIF('5月'!ED14:EE14,"荻窪ー夜勤")+COUNTIF('5月'!EI14:EJ14,"荻窪ー夜勤")+COUNTIF('5月'!EN14:EO14,"荻窪ー夜勤")+COUNTIF('5月'!ES14:ET14,"荻窪ー夜勤")</f>
        <v>0</v>
      </c>
      <c r="Q164" s="76">
        <f t="shared" si="55"/>
        <v>0</v>
      </c>
      <c r="R164" s="76">
        <f>COUNTIF('5月'!D14:E14,R$152)+COUNTIF('5月'!I14:J14,R$152)+COUNTIF('5月'!N14:O14,R$152)+COUNTIF('5月'!S14:T14,R$152)+COUNTIF('5月'!X14:Y14,R$152)+COUNTIF('5月'!AC14:AD14,R$152)+COUNTIF('5月'!AH14:AI14,R$152)+COUNTIF('5月'!AM14:AN14,R$152)+COUNTIF('5月'!AR14:AS14,R$152)+COUNTIF('5月'!AW14:AX14,R$152)+COUNTIF('5月'!BB14:BC14,R$152)+COUNTIF('5月'!BG14:BH14,R$152)+COUNTIF('5月'!BL14:BM14,R$152)+COUNTIF('5月'!BQ14:BR14,R$152)+COUNTIF('5月'!BV14:BW14,R$152)+COUNTIF('5月'!CA14:CB14,R$152)+COUNTIF('5月'!CF14:CG14,R$152)+COUNTIF('5月'!CK14:CL14,R$152)+COUNTIF('5月'!CP14:CQ14,R$152)+COUNTIF('5月'!CU14:CV14,R$152)+COUNTIF('5月'!CZ14:DA14,R$152)+COUNTIF('5月'!DE14:DF14,R$152)+COUNTIF('5月'!DJ14:DK14,R$152)+COUNTIF('5月'!DO14:DP14,R$152)+COUNTIF('5月'!DT14:DU14,R$152)+COUNTIF('5月'!DY14:DZ14,R$152)+COUNTIF('5月'!ED14:EE14,R$152)+COUNTIF('5月'!EI14:EJ14,R$152)+COUNTIF('5月'!EN14:EO14,R$152)+COUNTIF('5月'!ES14:ET14,R$152)</f>
        <v>0</v>
      </c>
      <c r="S164" s="76">
        <f t="shared" si="56"/>
        <v>0</v>
      </c>
      <c r="T164" s="76">
        <f>COUNTIF('5月'!D14:E14,T$152)+COUNTIF('5月'!I14:J14,T$152)+COUNTIF('5月'!N14:O14,T$152)+COUNTIF('5月'!S14:T14,T$152)+COUNTIF('5月'!X14:Y14,T$152)+COUNTIF('5月'!AC14:AD14,T$152)+COUNTIF('5月'!AH14:AI14,T$152)+COUNTIF('5月'!AM14:AN14,T$152)+COUNTIF('5月'!AR14:AS14,T$152)+COUNTIF('5月'!AW14:AX14,T$152)+COUNTIF('5月'!BB14:BC14,T$152)+COUNTIF('5月'!BG14:BH14,T$152)+COUNTIF('5月'!BL14:BM14,T$152)+COUNTIF('5月'!BQ14:BR14,T$152)+COUNTIF('5月'!BV14:BW14,T$152)+COUNTIF('5月'!CA14:CB14,T$152)+COUNTIF('5月'!CF14:CG14,T$152)+COUNTIF('5月'!CK14:CL14,T$152)+COUNTIF('5月'!CP14:CQ14,T$152)+COUNTIF('5月'!CU14:CV14,T$152)+COUNTIF('5月'!CZ14:DA14,T$152)+COUNTIF('5月'!DE14:DF14,T$152)+COUNTIF('5月'!DJ14:DK14,T$152)+COUNTIF('5月'!DO14:DP14,T$152)+COUNTIF('5月'!DT14:DU14,T$152)+COUNTIF('5月'!DY14:DZ14,T$152)+COUNTIF('5月'!ED14:EE14,T$152)+COUNTIF('5月'!EI14:EJ14,T$152)+COUNTIF('5月'!EN14:EO14,T$152)+COUNTIF('5月'!ES14:ET14,T$152)</f>
        <v>0</v>
      </c>
      <c r="U164" s="76">
        <f t="shared" si="57"/>
        <v>0</v>
      </c>
      <c r="V164" s="76">
        <f>COUNTIF('5月'!D14:E14,V$152)+COUNTIF('5月'!I14:J14,V$152)+COUNTIF('5月'!N14:O14,V$152)+COUNTIF('5月'!S14:T14,V$152)+COUNTIF('5月'!X14:Y14,V$152)+COUNTIF('5月'!AC14:AD14,V$152)+COUNTIF('5月'!AH14:AI14,V$152)+COUNTIF('5月'!AM14:AN14,V$152)+COUNTIF('5月'!AR14:AS14,V$152)+COUNTIF('5月'!AW14:AX14,V$152)+COUNTIF('5月'!BB14:BC14,V$152)+COUNTIF('5月'!BG14:BH14,V$152)+COUNTIF('5月'!BL14:BM14,V$152)+COUNTIF('5月'!BQ14:BR14,V$152)+COUNTIF('5月'!BV14:BW14,V$152)+COUNTIF('5月'!CA14:CB14,V$152)+COUNTIF('5月'!CF14:CG14,V$152)+COUNTIF('5月'!CK14:CL14,V$152)+COUNTIF('5月'!CP14:CQ14,V$152)+COUNTIF('5月'!CU14:CV14,V$152)+COUNTIF('5月'!CZ14:DA14,V$152)+COUNTIF('5月'!DE14:DF14,V$152)+COUNTIF('5月'!DJ14:DK14,V$152)+COUNTIF('5月'!DO14:DP14,V$152)+COUNTIF('5月'!DT14:DU14,V$152)+COUNTIF('5月'!DY14:DZ14,V$152)+COUNTIF('5月'!ED14:EE14,V$152)+COUNTIF('5月'!EI14:EJ14,V$152)+COUNTIF('5月'!EN14:EO14,V$152)+COUNTIF('5月'!ES14:ET14,V$152)</f>
        <v>0</v>
      </c>
      <c r="W164" s="76">
        <f t="shared" si="58"/>
        <v>0</v>
      </c>
      <c r="X164" s="76">
        <f>COUNTIF('5月'!D14:E14,X$152)+COUNTIF('5月'!I14:J14,X$152)+COUNTIF('5月'!N14:O14,X$152)+COUNTIF('5月'!S14:T14,X$152)+COUNTIF('5月'!X14:Y14,X$152)+COUNTIF('5月'!AC14:AD14,X$152)+COUNTIF('5月'!AH14:AI14,X$152)+COUNTIF('5月'!AM14:AN14,X$152)+COUNTIF('5月'!AR14:AS14,X$152)+COUNTIF('5月'!AW14:AX14,X$152)+COUNTIF('5月'!BB14:BC14,X$152)+COUNTIF('5月'!BG14:BH14,X$152)+COUNTIF('5月'!BL14:BM14,X$152)+COUNTIF('5月'!BQ14:BR14,X$152)+COUNTIF('5月'!BV14:BW14,X$152)+COUNTIF('5月'!CA14:CB14,X$152)+COUNTIF('5月'!CF14:CG14,X$152)+COUNTIF('5月'!CK14:CL14,X$152)+COUNTIF('5月'!CP14:CQ14,X$152)+COUNTIF('5月'!CU14:CV14,X$152)+COUNTIF('5月'!CZ14:DA14,X$152)+COUNTIF('5月'!DE14:DF14,X$152)+COUNTIF('5月'!DJ14:DK14,X$152)+COUNTIF('5月'!DO14:DP14,X$152)+COUNTIF('5月'!DT14:DU14,X$152)+COUNTIF('5月'!DY14:DZ14,X$152)+COUNTIF('5月'!ED14:EE14,X$152)+COUNTIF('5月'!EI14:EJ14,X$152)+COUNTIF('5月'!EN14:EO14,X$152)+COUNTIF('5月'!ES14:ET14,X$152)</f>
        <v>0</v>
      </c>
      <c r="Y164" s="76">
        <f t="shared" si="59"/>
        <v>0</v>
      </c>
    </row>
    <row r="165" spans="1:25" ht="18" customHeight="1">
      <c r="A165" s="76">
        <v>12</v>
      </c>
      <c r="B165" s="76">
        <f>COUNTIF('5月'!D15:E15,B$152)+COUNTIF('5月'!I15:J15,B$152)+COUNTIF('5月'!N15:O15,B$152)+COUNTIF('5月'!S15:T15,B$152)+COUNTIF('5月'!X15:Y15,B$152)+COUNTIF('5月'!AC15:AD15,B$152)+COUNTIF('5月'!AH15:AI15,B$152)+COUNTIF('5月'!AM15:AN15,B$152)+COUNTIF('5月'!AR15:AS15,B$152)+COUNTIF('5月'!AW15:AX15,B$152)+COUNTIF('5月'!BB15:BC15,B$152)+COUNTIF('5月'!BG15:BH15,B$152)+COUNTIF('5月'!BL15:BM15,B$152)+COUNTIF('5月'!BQ15:BR15,B$152)+COUNTIF('5月'!BV15:BW15,B$152)+COUNTIF('5月'!CA15:CB15,B$152)+COUNTIF('5月'!CF15:CG15,B$152)+COUNTIF('5月'!CK15:CL15,B$152)+COUNTIF('5月'!CP15:CQ15,B$152)+COUNTIF('5月'!CU15:CV15,B$152)+COUNTIF('5月'!CZ15:DA15,B$152)+COUNTIF('5月'!DE15:DF15,B$152)+COUNTIF('5月'!DJ15:DK15,B$152)+COUNTIF('5月'!DO15:DP15,B$152)+COUNTIF('5月'!DT15:DU15,B$152)+COUNTIF('5月'!DY15:DZ15,B$152)+COUNTIF('5月'!ED15:EE15,B$152)+COUNTIF('5月'!EI15:EJ15,B$152)+COUNTIF('5月'!EN15:EO15,B$152)+COUNTIF('5月'!ES15:ET15,B$152)</f>
        <v>0</v>
      </c>
      <c r="C165" s="76">
        <f t="shared" si="48"/>
        <v>0</v>
      </c>
      <c r="D165" s="76">
        <f>COUNTIF('5月'!D15:E15,D$152)+COUNTIF('5月'!I15:J15,D$152)+COUNTIF('5月'!N15:O15,D$152)+COUNTIF('5月'!S15:T15,D$152)+COUNTIF('5月'!X15:Y15,D$152)+COUNTIF('5月'!AC15:AD15,D$152)+COUNTIF('5月'!AH15:AI15,D$152)+COUNTIF('5月'!AM15:AN15,D$152)+COUNTIF('5月'!AR15:AS15,D$152)+COUNTIF('5月'!AW15:AX15,D$152)+COUNTIF('5月'!BB15:BC15,D$152)+COUNTIF('5月'!BG15:BH15,D$152)+COUNTIF('5月'!BL15:BM15,D$152)+COUNTIF('5月'!BQ15:BR15,D$152)+COUNTIF('5月'!BV15:BW15,D$152)+COUNTIF('5月'!CA15:CB15,D$152)+COUNTIF('5月'!CF15:CG15,D$152)+COUNTIF('5月'!CK15:CL15,D$152)+COUNTIF('5月'!CP15:CQ15,D$152)+COUNTIF('5月'!CU15:CV15,D$152)+COUNTIF('5月'!CZ15:DA15,D$152)+COUNTIF('5月'!DE15:DF15,D$152)+COUNTIF('5月'!DJ15:DK15,D$152)+COUNTIF('5月'!DO15:DP15,D$152)+COUNTIF('5月'!DT15:DU15,D$152)+COUNTIF('5月'!DY15:DZ15,D$152)+COUNTIF('5月'!ED15:EE15,D$152)+COUNTIF('5月'!EI15:EJ15,D$152)+COUNTIF('5月'!EN15:EO15,D$152)+COUNTIF('5月'!ES15:ET15,D$152)</f>
        <v>0</v>
      </c>
      <c r="E165" s="76">
        <f t="shared" si="49"/>
        <v>0</v>
      </c>
      <c r="F165" s="76">
        <f>COUNTIF('5月'!D15:E15,F$152)+COUNTIF('5月'!I15:J15,F$152)+COUNTIF('5月'!N15:O15,F$152)+COUNTIF('5月'!S15:T15,F$152)+COUNTIF('5月'!X15:Y15,F$152)+COUNTIF('5月'!AC15:AD15,F$152)+COUNTIF('5月'!AH15:AI15,F$152)+COUNTIF('5月'!AM15:AN15,F$152)+COUNTIF('5月'!AR15:AS15,F$152)+COUNTIF('5月'!AW15:AX15,F$152)+COUNTIF('5月'!BB15:BC15,F$152)+COUNTIF('5月'!BG15:BH15,F$152)+COUNTIF('5月'!BL15:BM15,F$152)+COUNTIF('5月'!BQ15:BR15,F$152)+COUNTIF('5月'!BV15:BW15,F$152)+COUNTIF('5月'!CA15:CB15,F$152)+COUNTIF('5月'!CF15:CG15,F$152)+COUNTIF('5月'!CK15:CL15,F$152)+COUNTIF('5月'!CP15:CQ15,F$152)+COUNTIF('5月'!CU15:CV15,F$152)+COUNTIF('5月'!CZ15:DA15,F$152)+COUNTIF('5月'!DE15:DF15,F$152)+COUNTIF('5月'!DJ15:DK15,F$152)+COUNTIF('5月'!DO15:DP15,F$152)+COUNTIF('5月'!DT15:DU15,F$152)+COUNTIF('5月'!DY15:DZ15,F$152)+COUNTIF('5月'!ED15:EE15,F$152)+COUNTIF('5月'!EI15:EJ15,F$152)+COUNTIF('5月'!EN15:EO15,F$152)+COUNTIF('5月'!ES15:ET15,F$152)</f>
        <v>0</v>
      </c>
      <c r="G165" s="76">
        <f t="shared" si="50"/>
        <v>0</v>
      </c>
      <c r="H165" s="76">
        <f>COUNTIF('5月'!D15:E15,H$152)+COUNTIF('5月'!I15:J15,H$152)+COUNTIF('5月'!N15:O15,H$152)+COUNTIF('5月'!S15:T15,H$152)+COUNTIF('5月'!X15:Y15,H$152)+COUNTIF('5月'!AC15:AD15,H$152)+COUNTIF('5月'!AH15:AI15,H$152)+COUNTIF('5月'!AM15:AN15,H$152)+COUNTIF('5月'!AR15:AS15,H$152)+COUNTIF('5月'!AW15:AX15,H$152)+COUNTIF('5月'!BB15:BC15,H$152)+COUNTIF('5月'!BG15:BH15,H$152)+COUNTIF('5月'!BL15:BM15,H$152)+COUNTIF('5月'!BQ15:BR15,H$152)+COUNTIF('5月'!BV15:BW15,H$152)+COUNTIF('5月'!CA15:CB15,H$152)+COUNTIF('5月'!CF15:CG15,H$152)+COUNTIF('5月'!CK15:CL15,H$152)+COUNTIF('5月'!CP15:CQ15,H$152)+COUNTIF('5月'!CU15:CV15,H$152)+COUNTIF('5月'!CZ15:DA15,H$152)+COUNTIF('5月'!DE15:DF15,H$152)+COUNTIF('5月'!DJ15:DK15,H$152)+COUNTIF('5月'!DO15:DP15,H$152)+COUNTIF('5月'!DT15:DU15,H$152)+COUNTIF('5月'!DY15:DZ15,H$152)+COUNTIF('5月'!ED15:EE15,H$152)+COUNTIF('5月'!EI15:EJ15,H$152)+COUNTIF('5月'!EN15:EO15,H$152)+COUNTIF('5月'!ES15:ET15,H$152)+COUNTIF('5月'!D15:E15,"渋谷-夜勤")+COUNTIF('5月'!I15:J15,"渋谷-夜勤")+COUNTIF('5月'!N15:O15,"渋谷-夜勤")+COUNTIF('5月'!S15:T15,"渋谷-夜勤")+COUNTIF('5月'!X15:Y15,"渋谷-夜勤")+COUNTIF('5月'!AC15:AD15,"渋谷-夜勤")+COUNTIF('5月'!AH15:AI15,"渋谷-夜勤")+COUNTIF('5月'!AM15:AN15,"渋谷-夜勤")+COUNTIF('5月'!AR15:AS15,"渋谷-夜勤")+COUNTIF('5月'!AW15:AX15,"渋谷-夜勤")+COUNTIF('5月'!BB15:BC15,"渋谷-夜勤")+COUNTIF('5月'!BG15:BH15,"渋谷-夜勤")+COUNTIF('5月'!BL15:BM15,"渋谷-夜勤")+COUNTIF('5月'!BQ15:BR15,"渋谷-夜勤")+COUNTIF('5月'!BV15:BW15,"渋谷-夜勤")+COUNTIF('5月'!CA15:CB15,"渋谷-夜勤")+COUNTIF('5月'!CF15:CG15,"渋谷-夜勤")+COUNTIF('5月'!CK15:CL15,"渋谷-夜勤")+COUNTIF('5月'!CP15:CQ15,"渋谷-夜勤")+COUNTIF('5月'!CU15:CV15,"渋谷-夜勤")+COUNTIF('5月'!CZ15:DA15,"渋谷-夜勤")+COUNTIF('5月'!DE15:DF15,"渋谷-夜勤")+COUNTIF('5月'!DJ15:DK15,"渋谷-夜勤")+COUNTIF('5月'!DO15:DP15,"渋谷-夜勤")+COUNTIF('5月'!DT15:DU15,"渋谷-夜勤")+COUNTIF('5月'!DY15:DZ15,"渋谷-夜勤")+COUNTIF('5月'!ED15:EE15,"渋谷-夜勤")+COUNTIF('5月'!EI15:EJ15,"渋谷-夜勤")+COUNTIF('5月'!EN15:EO15,"渋谷-夜勤")+COUNTIF('5月'!ES15:ET15,"渋谷-夜勤")</f>
        <v>0</v>
      </c>
      <c r="I165" s="76">
        <f t="shared" si="51"/>
        <v>0</v>
      </c>
      <c r="J165" s="76">
        <f>COUNTIF('5月'!D15:E15,J$152)+COUNTIF('5月'!I15:J15,J$152)+COUNTIF('5月'!N15:O15,J$152)+COUNTIF('5月'!S15:T15,J$152)+COUNTIF('5月'!X15:Y15,J$152)+COUNTIF('5月'!AC15:AD15,J$152)+COUNTIF('5月'!AH15:AI15,J$152)+COUNTIF('5月'!AM15:AN15,J$152)+COUNTIF('5月'!AR15:AS15,J$152)+COUNTIF('5月'!AW15:AX15,J$152)+COUNTIF('5月'!BB15:BC15,J$152)+COUNTIF('5月'!BG15:BH15,J$152)+COUNTIF('5月'!BL15:BM15,J$152)+COUNTIF('5月'!BQ15:BR15,J$152)+COUNTIF('5月'!BV15:BW15,J$152)+COUNTIF('5月'!CA15:CB15,J$152)+COUNTIF('5月'!CF15:CG15,J$152)+COUNTIF('5月'!CK15:CL15,J$152)+COUNTIF('5月'!CP15:CQ15,J$152)+COUNTIF('5月'!CU15:CV15,J$152)+COUNTIF('5月'!CZ15:DA15,J$152)+COUNTIF('5月'!DE15:DF15,J$152)+COUNTIF('5月'!DJ15:DK15,J$152)+COUNTIF('5月'!DO15:DP15,J$152)+COUNTIF('5月'!DT15:DU15,J$152)+COUNTIF('5月'!DY15:DZ15,J$152)+COUNTIF('5月'!ED15:EE15,J$152)+COUNTIF('5月'!EI15:EJ15,J$152)+COUNTIF('5月'!EN15:EO15,J$152)+COUNTIF('5月'!ES15:ET15,J$152)+COUNTIF('5月'!D15:E15,"六本木-夜勤")+COUNTIF('5月'!I15:J15,"六本木-夜勤")+COUNTIF('5月'!N15:O15,"六本木-夜勤")+COUNTIF('5月'!S15:T15,"六本木-夜勤")+COUNTIF('5月'!X15:Y15,"六本木-夜勤")+COUNTIF('5月'!AC15:AD15,"六本木-夜勤")+COUNTIF('5月'!AH15:AI15,"六本木-夜勤")+COUNTIF('5月'!AM15:AN15,"六本木-夜勤")+COUNTIF('5月'!AR15:AS15,"六本木-夜勤")+COUNTIF('5月'!AW15:AX15,"六本木-夜勤")+COUNTIF('5月'!BB15:BC15,"六本木-夜勤")+COUNTIF('5月'!BG15:BH15,"六本木-夜勤")+COUNTIF('5月'!BL15:BM15,"六本木-夜勤")+COUNTIF('5月'!BQ15:BR15,"六本木-夜勤")+COUNTIF('5月'!BV15:BW15,"六本木-夜勤")+COUNTIF('5月'!CA15:CB15,"六本木-夜勤")+COUNTIF('5月'!CF15:CG15,"六本木-夜勤")+COUNTIF('5月'!CK15:CL15,"六本木-夜勤")+COUNTIF('5月'!CP15:CQ15,"六本木-夜勤")+COUNTIF('5月'!CU15:CV15,"六本木-夜勤")+COUNTIF('5月'!CZ15:DA15,"六本木-夜勤")+COUNTIF('5月'!DE15:DF15,"六本木-夜勤")+COUNTIF('5月'!DJ15:DK15,"六本木-夜勤")+COUNTIF('5月'!DO15:DP15,"六本木-夜勤")+COUNTIF('5月'!DT15:DU15,"六本木-夜勤")+COUNTIF('5月'!DY15:DZ15,"六本木-夜勤")+COUNTIF('5月'!ED15:EE15,"六本木-夜勤")+COUNTIF('5月'!EI15:EJ15,"六本木-夜勤")+COUNTIF('5月'!EN15:EO15,"六本木-夜勤")+COUNTIF('5月'!ES15:ET15,"六本木-夜勤")+COUNTIF('5月'!D15:E15,"六本木ー夜勤")+COUNTIF('5月'!I15:J15,"六本木ー夜勤")+COUNTIF('5月'!N15:O15,"六本木ー夜勤")+COUNTIF('5月'!S15:T15,"六本木ー夜勤")+COUNTIF('5月'!X15:Y15,"六本木ー夜勤")+COUNTIF('5月'!AC15:AD15,"六本木ー夜勤")+COUNTIF('5月'!AH15:AI15,"六本木ー夜勤")+COUNTIF('5月'!AM15:AN15,"六本木ー夜勤")+COUNTIF('5月'!AR15:AS15,"六本木ー夜勤")+COUNTIF('5月'!AW15:AX15,"六本木ー夜勤")+COUNTIF('5月'!BB15:BC15,"六本木ー夜勤")+COUNTIF('5月'!BG15:BH15,"六本木ー夜勤")+COUNTIF('5月'!BL15:BM15,"六本木ー夜勤")+COUNTIF('5月'!BQ15:BR15,"六本木ー夜勤")+COUNTIF('5月'!BV15:BW15,"六本木ー夜勤")+COUNTIF('5月'!CA15:CB15,"六本木ー夜勤")+COUNTIF('5月'!CF15:CG15,"六本木ー夜勤")+COUNTIF('5月'!CK15:CL15,"六本木ー夜勤")+COUNTIF('5月'!CP15:CQ15,"六本木ー夜勤")+COUNTIF('5月'!CU15:CV15,"六本木ー夜勤")+COUNTIF('5月'!CZ15:DA15,"六本木ー夜勤")+COUNTIF('5月'!DE15:DF15,"六本木ー夜勤")+COUNTIF('5月'!DJ15:DK15,"六本木ー夜勤")+COUNTIF('5月'!DO15:DP15,"六本木ー夜勤")+COUNTIF('5月'!DT15:DU15,"六本木ー夜勤")+COUNTIF('5月'!DY15:DZ15,"六本木ー夜勤")+COUNTIF('5月'!ED15:EE15,"六本木ー夜勤")+COUNTIF('5月'!EI15:EJ15,"六本木ー夜勤")+COUNTIF('5月'!EN15:EO15,"六本木ー夜勤")+COUNTIF('5月'!ES15:ET15,"六本木ー夜勤")</f>
        <v>0</v>
      </c>
      <c r="K165" s="76">
        <f t="shared" si="52"/>
        <v>0</v>
      </c>
      <c r="L165" s="76">
        <f>COUNTIF('5月'!D15:E15,L$152)+COUNTIF('5月'!I15:J15,L$152)+COUNTIF('5月'!N15:O15,L$152)+COUNTIF('5月'!S15:T15,L$152)+COUNTIF('5月'!X15:Y15,L$152)+COUNTIF('5月'!AC15:AD15,L$152)+COUNTIF('5月'!AH15:AI15,L$152)+COUNTIF('5月'!AM15:AN15,L$152)+COUNTIF('5月'!AR15:AS15,L$152)+COUNTIF('5月'!AW15:AX15,L$152)+COUNTIF('5月'!BB15:BC15,L$152)+COUNTIF('5月'!BG15:BH15,L$152)+COUNTIF('5月'!BL15:BM15,L$152)+COUNTIF('5月'!BQ15:BR15,L$152)+COUNTIF('5月'!BV15:BW15,L$152)+COUNTIF('5月'!CA15:CB15,L$152)+COUNTIF('5月'!CF15:CG15,L$152)+COUNTIF('5月'!CK15:CL15,L$152)+COUNTIF('5月'!CP15:CQ15,L$152)+COUNTIF('5月'!CU15:CV15,L$152)+COUNTIF('5月'!CZ15:DA15,L$152)+COUNTIF('5月'!DE15:DF15,L$152)+COUNTIF('5月'!DJ15:DK15,L$152)+COUNTIF('5月'!DO15:DP15,L$152)+COUNTIF('5月'!DT15:DU15,L$152)+COUNTIF('5月'!DY15:DZ15,L$152)+COUNTIF('5月'!ED15:EE15,L$152)+COUNTIF('5月'!EI15:EJ15,L$152)+COUNTIF('5月'!EN15:EO15,L$152)+COUNTIF('5月'!ES15:ET15,L$152)</f>
        <v>0</v>
      </c>
      <c r="M165" s="76">
        <f t="shared" si="53"/>
        <v>0</v>
      </c>
      <c r="N165" s="76">
        <f>COUNTIF('5月'!D15:E15,N$152)+COUNTIF('5月'!I15:J15,N$152)+COUNTIF('5月'!N15:O15,N$152)+COUNTIF('5月'!S15:T15,N$152)+COUNTIF('5月'!X15:Y15,N$152)+COUNTIF('5月'!AC15:AD15,N$152)+COUNTIF('5月'!AH15:AI15,N$152)+COUNTIF('5月'!AM15:AN15,N$152)+COUNTIF('5月'!AR15:AS15,N$152)+COUNTIF('5月'!AW15:AX15,N$152)+COUNTIF('5月'!BB15:BC15,N$152)+COUNTIF('5月'!BG15:BH15,N$152)+COUNTIF('5月'!BL15:BM15,N$152)+COUNTIF('5月'!BQ15:BR15,N$152)+COUNTIF('5月'!BV15:BW15,N$152)+COUNTIF('5月'!CA15:CB15,N$152)+COUNTIF('5月'!CF15:CG15,N$152)+COUNTIF('5月'!CK15:CL15,N$152)+COUNTIF('5月'!CP15:CQ15,N$152)+COUNTIF('5月'!CU15:CV15,N$152)+COUNTIF('5月'!CZ15:DA15,N$152)+COUNTIF('5月'!DE15:DF15,N$152)+COUNTIF('5月'!DJ15:DK15,N$152)+COUNTIF('5月'!DO15:DP15,N$152)+COUNTIF('5月'!DT15:DU15,N$152)+COUNTIF('5月'!DY15:DZ15,N$152)+COUNTIF('5月'!ED15:EE15,N$152)+COUNTIF('5月'!EI15:EJ15,N$152)+COUNTIF('5月'!EN15:EO15,N$152)+COUNTIF('5月'!ES15:ET15,N$152)+COUNTIF('5月'!D15:E15,"三軒茶屋－夜勤")+COUNTIF('5月'!I15:J15,"三軒茶屋－夜勤")+COUNTIF('5月'!N15:O15,"三軒茶屋－夜勤")+COUNTIF('5月'!S15:T15,"三軒茶屋－夜勤")+COUNTIF('5月'!X15:Y15,"三軒茶屋－夜勤")+COUNTIF('5月'!AC15:AD15,"三軒茶屋－夜勤")+COUNTIF('5月'!AH15:AI15,"三軒茶屋－夜勤")+COUNTIF('5月'!AM15:AN15,"三軒茶屋－夜勤")+COUNTIF('5月'!AR15:AS15,"三軒茶屋－夜勤")+COUNTIF('5月'!AW15:AX15,"三軒茶屋－夜勤")+COUNTIF('5月'!BB15:BC15,"三軒茶屋－夜勤")+COUNTIF('5月'!BG15:BH15,"三軒茶屋－夜勤")+COUNTIF('5月'!BL15:BM15,"三軒茶屋－夜勤")+COUNTIF('5月'!BQ15:BR15,"三軒茶屋－夜勤")+COUNTIF('5月'!BV15:BW15,"三軒茶屋－夜勤")+COUNTIF('5月'!CA15:CB15,"三軒茶屋－夜勤")+COUNTIF('5月'!CF15:CG15,"三軒茶屋－夜勤")+COUNTIF('5月'!CK15:CL15,"三軒茶屋－夜勤")+COUNTIF('5月'!CP15:CQ15,"三軒茶屋－夜勤")+COUNTIF('5月'!CU15:CV15,"三軒茶屋－夜勤")+COUNTIF('5月'!CZ15:DA15,"三軒茶屋－夜勤")+COUNTIF('5月'!DE15:DF15,"三軒茶屋－夜勤")+COUNTIF('5月'!DJ15:DK15,"三軒茶屋－夜勤")+COUNTIF('5月'!DO15:DP15,"三軒茶屋－夜勤")+COUNTIF('5月'!DT15:DU15,"三軒茶屋－夜勤")+COUNTIF('5月'!DY15:DZ15,"三軒茶屋－夜勤")+COUNTIF('5月'!ED15:EE15,"三軒茶屋－夜勤")+COUNTIF('5月'!EI15:EJ15,"三軒茶屋－夜勤")+COUNTIF('5月'!EN15:EO15,"三軒茶屋－夜勤")+COUNTIF('5月'!ES15:ET15,"三軒茶屋－夜勤")</f>
        <v>0</v>
      </c>
      <c r="O165" s="76">
        <f t="shared" si="54"/>
        <v>0</v>
      </c>
      <c r="P165" s="76">
        <f>COUNTIF('5月'!D15:E15,P$152)+COUNTIF('5月'!I15:J15,P$152)+COUNTIF('5月'!N15:O15,P$152)+COUNTIF('5月'!S15:T15,P$152)+COUNTIF('5月'!X15:Y15,P$152)+COUNTIF('5月'!AC15:AD15,P$152)+COUNTIF('5月'!AH15:AI15,P$152)+COUNTIF('5月'!AM15:AN15,P$152)+COUNTIF('5月'!AR15:AS15,P$152)+COUNTIF('5月'!AW15:AX15,P$152)+COUNTIF('5月'!BB15:BC15,P$152)+COUNTIF('5月'!BG15:BH15,P$152)+COUNTIF('5月'!BL15:BM15,P$152)+COUNTIF('5月'!BQ15:BR15,P$152)+COUNTIF('5月'!BV15:BW15,P$152)+COUNTIF('5月'!CA15:CB15,P$152)+COUNTIF('5月'!CF15:CG15,P$152)+COUNTIF('5月'!CK15:CL15,P$152)+COUNTIF('5月'!CP15:CQ15,P$152)+COUNTIF('5月'!CU15:CV15,P$152)+COUNTIF('5月'!CZ15:DA15,P$152)+COUNTIF('5月'!DE15:DF15,P$152)+COUNTIF('5月'!DJ15:DK15,P$152)+COUNTIF('5月'!DO15:DP15,P$152)+COUNTIF('5月'!DT15:DU15,P$152)+COUNTIF('5月'!DY15:DZ15,P$152)+COUNTIF('5月'!ED15:EE15,P$152)+COUNTIF('5月'!EI15:EJ15,P$152)+COUNTIF('5月'!EN15:EO15,P$152)+COUNTIF('5月'!ES15:ET15,P$152)+COUNTIF('5月'!D15:E15,"荻窪ー夜勤")+COUNTIF('5月'!I15:J15,"荻窪ー夜勤")+COUNTIF('5月'!N15:O15,"荻窪ー夜勤")+COUNTIF('5月'!S15:T15,"荻窪ー夜勤")+COUNTIF('5月'!X15:Y15,"荻窪ー夜勤")+COUNTIF('5月'!AC15:AD15,"荻窪ー夜勤")+COUNTIF('5月'!AH15:AI15,"荻窪ー夜勤")+COUNTIF('5月'!AM15:AN15,"荻窪ー夜勤")+COUNTIF('5月'!AR15:AS15,"荻窪ー夜勤")+COUNTIF('5月'!AW15:AX15,"荻窪ー夜勤")+COUNTIF('5月'!BB15:BC15,"荻窪ー夜勤")+COUNTIF('5月'!BG15:BH15,"荻窪ー夜勤")+COUNTIF('5月'!BL15:BM15,"荻窪ー夜勤")+COUNTIF('5月'!BQ15:BR15,"荻窪ー夜勤")+COUNTIF('5月'!BV15:BW15,"荻窪ー夜勤")+COUNTIF('5月'!CA15:CB15,"荻窪ー夜勤")+COUNTIF('5月'!CF15:CG15,"荻窪ー夜勤")+COUNTIF('5月'!CK15:CL15,"荻窪ー夜勤")+COUNTIF('5月'!CP15:CQ15,"荻窪ー夜勤")+COUNTIF('5月'!CU15:CV15,"荻窪ー夜勤")+COUNTIF('5月'!CZ15:DA15,"荻窪ー夜勤")+COUNTIF('5月'!DE15:DF15,"荻窪ー夜勤")+COUNTIF('5月'!DJ15:DK15,"荻窪ー夜勤")+COUNTIF('5月'!DO15:DP15,"荻窪ー夜勤")+COUNTIF('5月'!DT15:DU15,"荻窪ー夜勤")+COUNTIF('5月'!DY15:DZ15,"荻窪ー夜勤")+COUNTIF('5月'!ED15:EE15,"荻窪ー夜勤")+COUNTIF('5月'!EI15:EJ15,"荻窪ー夜勤")+COUNTIF('5月'!EN15:EO15,"荻窪ー夜勤")+COUNTIF('5月'!ES15:ET15,"荻窪ー夜勤")</f>
        <v>0</v>
      </c>
      <c r="Q165" s="76">
        <f t="shared" si="55"/>
        <v>0</v>
      </c>
      <c r="R165" s="76">
        <f>COUNTIF('5月'!D15:E15,R$152)+COUNTIF('5月'!I15:J15,R$152)+COUNTIF('5月'!N15:O15,R$152)+COUNTIF('5月'!S15:T15,R$152)+COUNTIF('5月'!X15:Y15,R$152)+COUNTIF('5月'!AC15:AD15,R$152)+COUNTIF('5月'!AH15:AI15,R$152)+COUNTIF('5月'!AM15:AN15,R$152)+COUNTIF('5月'!AR15:AS15,R$152)+COUNTIF('5月'!AW15:AX15,R$152)+COUNTIF('5月'!BB15:BC15,R$152)+COUNTIF('5月'!BG15:BH15,R$152)+COUNTIF('5月'!BL15:BM15,R$152)+COUNTIF('5月'!BQ15:BR15,R$152)+COUNTIF('5月'!BV15:BW15,R$152)+COUNTIF('5月'!CA15:CB15,R$152)+COUNTIF('5月'!CF15:CG15,R$152)+COUNTIF('5月'!CK15:CL15,R$152)+COUNTIF('5月'!CP15:CQ15,R$152)+COUNTIF('5月'!CU15:CV15,R$152)+COUNTIF('5月'!CZ15:DA15,R$152)+COUNTIF('5月'!DE15:DF15,R$152)+COUNTIF('5月'!DJ15:DK15,R$152)+COUNTIF('5月'!DO15:DP15,R$152)+COUNTIF('5月'!DT15:DU15,R$152)+COUNTIF('5月'!DY15:DZ15,R$152)+COUNTIF('5月'!ED15:EE15,R$152)+COUNTIF('5月'!EI15:EJ15,R$152)+COUNTIF('5月'!EN15:EO15,R$152)+COUNTIF('5月'!ES15:ET15,R$152)</f>
        <v>0</v>
      </c>
      <c r="S165" s="76">
        <f t="shared" si="56"/>
        <v>0</v>
      </c>
      <c r="T165" s="76">
        <f>COUNTIF('5月'!D15:E15,T$152)+COUNTIF('5月'!I15:J15,T$152)+COUNTIF('5月'!N15:O15,T$152)+COUNTIF('5月'!S15:T15,T$152)+COUNTIF('5月'!X15:Y15,T$152)+COUNTIF('5月'!AC15:AD15,T$152)+COUNTIF('5月'!AH15:AI15,T$152)+COUNTIF('5月'!AM15:AN15,T$152)+COUNTIF('5月'!AR15:AS15,T$152)+COUNTIF('5月'!AW15:AX15,T$152)+COUNTIF('5月'!BB15:BC15,T$152)+COUNTIF('5月'!BG15:BH15,T$152)+COUNTIF('5月'!BL15:BM15,T$152)+COUNTIF('5月'!BQ15:BR15,T$152)+COUNTIF('5月'!BV15:BW15,T$152)+COUNTIF('5月'!CA15:CB15,T$152)+COUNTIF('5月'!CF15:CG15,T$152)+COUNTIF('5月'!CK15:CL15,T$152)+COUNTIF('5月'!CP15:CQ15,T$152)+COUNTIF('5月'!CU15:CV15,T$152)+COUNTIF('5月'!CZ15:DA15,T$152)+COUNTIF('5月'!DE15:DF15,T$152)+COUNTIF('5月'!DJ15:DK15,T$152)+COUNTIF('5月'!DO15:DP15,T$152)+COUNTIF('5月'!DT15:DU15,T$152)+COUNTIF('5月'!DY15:DZ15,T$152)+COUNTIF('5月'!ED15:EE15,T$152)+COUNTIF('5月'!EI15:EJ15,T$152)+COUNTIF('5月'!EN15:EO15,T$152)+COUNTIF('5月'!ES15:ET15,T$152)</f>
        <v>0</v>
      </c>
      <c r="U165" s="76">
        <f t="shared" si="57"/>
        <v>0</v>
      </c>
      <c r="V165" s="76">
        <f>COUNTIF('5月'!D15:E15,V$152)+COUNTIF('5月'!I15:J15,V$152)+COUNTIF('5月'!N15:O15,V$152)+COUNTIF('5月'!S15:T15,V$152)+COUNTIF('5月'!X15:Y15,V$152)+COUNTIF('5月'!AC15:AD15,V$152)+COUNTIF('5月'!AH15:AI15,V$152)+COUNTIF('5月'!AM15:AN15,V$152)+COUNTIF('5月'!AR15:AS15,V$152)+COUNTIF('5月'!AW15:AX15,V$152)+COUNTIF('5月'!BB15:BC15,V$152)+COUNTIF('5月'!BG15:BH15,V$152)+COUNTIF('5月'!BL15:BM15,V$152)+COUNTIF('5月'!BQ15:BR15,V$152)+COUNTIF('5月'!BV15:BW15,V$152)+COUNTIF('5月'!CA15:CB15,V$152)+COUNTIF('5月'!CF15:CG15,V$152)+COUNTIF('5月'!CK15:CL15,V$152)+COUNTIF('5月'!CP15:CQ15,V$152)+COUNTIF('5月'!CU15:CV15,V$152)+COUNTIF('5月'!CZ15:DA15,V$152)+COUNTIF('5月'!DE15:DF15,V$152)+COUNTIF('5月'!DJ15:DK15,V$152)+COUNTIF('5月'!DO15:DP15,V$152)+COUNTIF('5月'!DT15:DU15,V$152)+COUNTIF('5月'!DY15:DZ15,V$152)+COUNTIF('5月'!ED15:EE15,V$152)+COUNTIF('5月'!EI15:EJ15,V$152)+COUNTIF('5月'!EN15:EO15,V$152)+COUNTIF('5月'!ES15:ET15,V$152)</f>
        <v>0</v>
      </c>
      <c r="W165" s="76">
        <f t="shared" si="58"/>
        <v>0</v>
      </c>
      <c r="X165" s="76">
        <f>COUNTIF('5月'!D15:E15,X$152)+COUNTIF('5月'!I15:J15,X$152)+COUNTIF('5月'!N15:O15,X$152)+COUNTIF('5月'!S15:T15,X$152)+COUNTIF('5月'!X15:Y15,X$152)+COUNTIF('5月'!AC15:AD15,X$152)+COUNTIF('5月'!AH15:AI15,X$152)+COUNTIF('5月'!AM15:AN15,X$152)+COUNTIF('5月'!AR15:AS15,X$152)+COUNTIF('5月'!AW15:AX15,X$152)+COUNTIF('5月'!BB15:BC15,X$152)+COUNTIF('5月'!BG15:BH15,X$152)+COUNTIF('5月'!BL15:BM15,X$152)+COUNTIF('5月'!BQ15:BR15,X$152)+COUNTIF('5月'!BV15:BW15,X$152)+COUNTIF('5月'!CA15:CB15,X$152)+COUNTIF('5月'!CF15:CG15,X$152)+COUNTIF('5月'!CK15:CL15,X$152)+COUNTIF('5月'!CP15:CQ15,X$152)+COUNTIF('5月'!CU15:CV15,X$152)+COUNTIF('5月'!CZ15:DA15,X$152)+COUNTIF('5月'!DE15:DF15,X$152)+COUNTIF('5月'!DJ15:DK15,X$152)+COUNTIF('5月'!DO15:DP15,X$152)+COUNTIF('5月'!DT15:DU15,X$152)+COUNTIF('5月'!DY15:DZ15,X$152)+COUNTIF('5月'!ED15:EE15,X$152)+COUNTIF('5月'!EI15:EJ15,X$152)+COUNTIF('5月'!EN15:EO15,X$152)+COUNTIF('5月'!ES15:ET15,X$152)</f>
        <v>0</v>
      </c>
      <c r="Y165" s="76">
        <f t="shared" si="59"/>
        <v>0</v>
      </c>
    </row>
    <row r="166" spans="1:25" ht="18" customHeight="1">
      <c r="A166" s="76">
        <v>13</v>
      </c>
      <c r="B166" s="76">
        <f>COUNTIF('5月'!D16:E16,B$152)+COUNTIF('5月'!I16:J16,B$152)+COUNTIF('5月'!N16:O16,B$152)+COUNTIF('5月'!S16:T16,B$152)+COUNTIF('5月'!X16:Y16,B$152)+COUNTIF('5月'!AC16:AD16,B$152)+COUNTIF('5月'!AH16:AI16,B$152)+COUNTIF('5月'!AM16:AN16,B$152)+COUNTIF('5月'!AR16:AS16,B$152)+COUNTIF('5月'!AW16:AX16,B$152)+COUNTIF('5月'!BB16:BC16,B$152)+COUNTIF('5月'!BG16:BH16,B$152)+COUNTIF('5月'!BL16:BM16,B$152)+COUNTIF('5月'!BQ16:BR16,B$152)+COUNTIF('5月'!BV16:BW16,B$152)+COUNTIF('5月'!CA16:CB16,B$152)+COUNTIF('5月'!CF16:CG16,B$152)+COUNTIF('5月'!CK16:CL16,B$152)+COUNTIF('5月'!CP16:CQ16,B$152)+COUNTIF('5月'!CU16:CV16,B$152)+COUNTIF('5月'!CZ16:DA16,B$152)+COUNTIF('5月'!DE16:DF16,B$152)+COUNTIF('5月'!DJ16:DK16,B$152)+COUNTIF('5月'!DO16:DP16,B$152)+COUNTIF('5月'!DT16:DU16,B$152)+COUNTIF('5月'!DY16:DZ16,B$152)+COUNTIF('5月'!ED16:EE16,B$152)+COUNTIF('5月'!EI16:EJ16,B$152)+COUNTIF('5月'!EN16:EO16,B$152)+COUNTIF('5月'!ES16:ET16,B$152)</f>
        <v>0</v>
      </c>
      <c r="C166" s="76">
        <f t="shared" si="48"/>
        <v>0</v>
      </c>
      <c r="D166" s="76">
        <f>COUNTIF('5月'!D16:E16,D$152)+COUNTIF('5月'!I16:J16,D$152)+COUNTIF('5月'!N16:O16,D$152)+COUNTIF('5月'!S16:T16,D$152)+COUNTIF('5月'!X16:Y16,D$152)+COUNTIF('5月'!AC16:AD16,D$152)+COUNTIF('5月'!AH16:AI16,D$152)+COUNTIF('5月'!AM16:AN16,D$152)+COUNTIF('5月'!AR16:AS16,D$152)+COUNTIF('5月'!AW16:AX16,D$152)+COUNTIF('5月'!BB16:BC16,D$152)+COUNTIF('5月'!BG16:BH16,D$152)+COUNTIF('5月'!BL16:BM16,D$152)+COUNTIF('5月'!BQ16:BR16,D$152)+COUNTIF('5月'!BV16:BW16,D$152)+COUNTIF('5月'!CA16:CB16,D$152)+COUNTIF('5月'!CF16:CG16,D$152)+COUNTIF('5月'!CK16:CL16,D$152)+COUNTIF('5月'!CP16:CQ16,D$152)+COUNTIF('5月'!CU16:CV16,D$152)+COUNTIF('5月'!CZ16:DA16,D$152)+COUNTIF('5月'!DE16:DF16,D$152)+COUNTIF('5月'!DJ16:DK16,D$152)+COUNTIF('5月'!DO16:DP16,D$152)+COUNTIF('5月'!DT16:DU16,D$152)+COUNTIF('5月'!DY16:DZ16,D$152)+COUNTIF('5月'!ED16:EE16,D$152)+COUNTIF('5月'!EI16:EJ16,D$152)+COUNTIF('5月'!EN16:EO16,D$152)+COUNTIF('5月'!ES16:ET16,D$152)</f>
        <v>0</v>
      </c>
      <c r="E166" s="76">
        <f t="shared" si="49"/>
        <v>0</v>
      </c>
      <c r="F166" s="76">
        <f>COUNTIF('5月'!D16:E16,F$152)+COUNTIF('5月'!I16:J16,F$152)+COUNTIF('5月'!N16:O16,F$152)+COUNTIF('5月'!S16:T16,F$152)+COUNTIF('5月'!X16:Y16,F$152)+COUNTIF('5月'!AC16:AD16,F$152)+COUNTIF('5月'!AH16:AI16,F$152)+COUNTIF('5月'!AM16:AN16,F$152)+COUNTIF('5月'!AR16:AS16,F$152)+COUNTIF('5月'!AW16:AX16,F$152)+COUNTIF('5月'!BB16:BC16,F$152)+COUNTIF('5月'!BG16:BH16,F$152)+COUNTIF('5月'!BL16:BM16,F$152)+COUNTIF('5月'!BQ16:BR16,F$152)+COUNTIF('5月'!BV16:BW16,F$152)+COUNTIF('5月'!CA16:CB16,F$152)+COUNTIF('5月'!CF16:CG16,F$152)+COUNTIF('5月'!CK16:CL16,F$152)+COUNTIF('5月'!CP16:CQ16,F$152)+COUNTIF('5月'!CU16:CV16,F$152)+COUNTIF('5月'!CZ16:DA16,F$152)+COUNTIF('5月'!DE16:DF16,F$152)+COUNTIF('5月'!DJ16:DK16,F$152)+COUNTIF('5月'!DO16:DP16,F$152)+COUNTIF('5月'!DT16:DU16,F$152)+COUNTIF('5月'!DY16:DZ16,F$152)+COUNTIF('5月'!ED16:EE16,F$152)+COUNTIF('5月'!EI16:EJ16,F$152)+COUNTIF('5月'!EN16:EO16,F$152)+COUNTIF('5月'!ES16:ET16,F$152)</f>
        <v>0</v>
      </c>
      <c r="G166" s="76">
        <f t="shared" si="50"/>
        <v>0</v>
      </c>
      <c r="H166" s="76">
        <f>COUNTIF('5月'!D16:E16,H$152)+COUNTIF('5月'!I16:J16,H$152)+COUNTIF('5月'!N16:O16,H$152)+COUNTIF('5月'!S16:T16,H$152)+COUNTIF('5月'!X16:Y16,H$152)+COUNTIF('5月'!AC16:AD16,H$152)+COUNTIF('5月'!AH16:AI16,H$152)+COUNTIF('5月'!AM16:AN16,H$152)+COUNTIF('5月'!AR16:AS16,H$152)+COUNTIF('5月'!AW16:AX16,H$152)+COUNTIF('5月'!BB16:BC16,H$152)+COUNTIF('5月'!BG16:BH16,H$152)+COUNTIF('5月'!BL16:BM16,H$152)+COUNTIF('5月'!BQ16:BR16,H$152)+COUNTIF('5月'!BV16:BW16,H$152)+COUNTIF('5月'!CA16:CB16,H$152)+COUNTIF('5月'!CF16:CG16,H$152)+COUNTIF('5月'!CK16:CL16,H$152)+COUNTIF('5月'!CP16:CQ16,H$152)+COUNTIF('5月'!CU16:CV16,H$152)+COUNTIF('5月'!CZ16:DA16,H$152)+COUNTIF('5月'!DE16:DF16,H$152)+COUNTIF('5月'!DJ16:DK16,H$152)+COUNTIF('5月'!DO16:DP16,H$152)+COUNTIF('5月'!DT16:DU16,H$152)+COUNTIF('5月'!DY16:DZ16,H$152)+COUNTIF('5月'!ED16:EE16,H$152)+COUNTIF('5月'!EI16:EJ16,H$152)+COUNTIF('5月'!EN16:EO16,H$152)+COUNTIF('5月'!ES16:ET16,H$152)+COUNTIF('5月'!D16:E16,"渋谷-夜勤")+COUNTIF('5月'!I16:J16,"渋谷-夜勤")+COUNTIF('5月'!N16:O16,"渋谷-夜勤")+COUNTIF('5月'!S16:T16,"渋谷-夜勤")+COUNTIF('5月'!X16:Y16,"渋谷-夜勤")+COUNTIF('5月'!AC16:AD16,"渋谷-夜勤")+COUNTIF('5月'!AH16:AI16,"渋谷-夜勤")+COUNTIF('5月'!AM16:AN16,"渋谷-夜勤")+COUNTIF('5月'!AR16:AS16,"渋谷-夜勤")+COUNTIF('5月'!AW16:AX16,"渋谷-夜勤")+COUNTIF('5月'!BB16:BC16,"渋谷-夜勤")+COUNTIF('5月'!BG16:BH16,"渋谷-夜勤")+COUNTIF('5月'!BL16:BM16,"渋谷-夜勤")+COUNTIF('5月'!BQ16:BR16,"渋谷-夜勤")+COUNTIF('5月'!BV16:BW16,"渋谷-夜勤")+COUNTIF('5月'!CA16:CB16,"渋谷-夜勤")+COUNTIF('5月'!CF16:CG16,"渋谷-夜勤")+COUNTIF('5月'!CK16:CL16,"渋谷-夜勤")+COUNTIF('5月'!CP16:CQ16,"渋谷-夜勤")+COUNTIF('5月'!CU16:CV16,"渋谷-夜勤")+COUNTIF('5月'!CZ16:DA16,"渋谷-夜勤")+COUNTIF('5月'!DE16:DF16,"渋谷-夜勤")+COUNTIF('5月'!DJ16:DK16,"渋谷-夜勤")+COUNTIF('5月'!DO16:DP16,"渋谷-夜勤")+COUNTIF('5月'!DT16:DU16,"渋谷-夜勤")+COUNTIF('5月'!DY16:DZ16,"渋谷-夜勤")+COUNTIF('5月'!ED16:EE16,"渋谷-夜勤")+COUNTIF('5月'!EI16:EJ16,"渋谷-夜勤")+COUNTIF('5月'!EN16:EO16,"渋谷-夜勤")+COUNTIF('5月'!ES16:ET16,"渋谷-夜勤")</f>
        <v>0</v>
      </c>
      <c r="I166" s="76">
        <f t="shared" si="51"/>
        <v>0</v>
      </c>
      <c r="J166" s="76">
        <f>COUNTIF('5月'!D16:E16,J$152)+COUNTIF('5月'!I16:J16,J$152)+COUNTIF('5月'!N16:O16,J$152)+COUNTIF('5月'!S16:T16,J$152)+COUNTIF('5月'!X16:Y16,J$152)+COUNTIF('5月'!AC16:AD16,J$152)+COUNTIF('5月'!AH16:AI16,J$152)+COUNTIF('5月'!AM16:AN16,J$152)+COUNTIF('5月'!AR16:AS16,J$152)+COUNTIF('5月'!AW16:AX16,J$152)+COUNTIF('5月'!BB16:BC16,J$152)+COUNTIF('5月'!BG16:BH16,J$152)+COUNTIF('5月'!BL16:BM16,J$152)+COUNTIF('5月'!BQ16:BR16,J$152)+COUNTIF('5月'!BV16:BW16,J$152)+COUNTIF('5月'!CA16:CB16,J$152)+COUNTIF('5月'!CF16:CG16,J$152)+COUNTIF('5月'!CK16:CL16,J$152)+COUNTIF('5月'!CP16:CQ16,J$152)+COUNTIF('5月'!CU16:CV16,J$152)+COUNTIF('5月'!CZ16:DA16,J$152)+COUNTIF('5月'!DE16:DF16,J$152)+COUNTIF('5月'!DJ16:DK16,J$152)+COUNTIF('5月'!DO16:DP16,J$152)+COUNTIF('5月'!DT16:DU16,J$152)+COUNTIF('5月'!DY16:DZ16,J$152)+COUNTIF('5月'!ED16:EE16,J$152)+COUNTIF('5月'!EI16:EJ16,J$152)+COUNTIF('5月'!EN16:EO16,J$152)+COUNTIF('5月'!ES16:ET16,J$152)+COUNTIF('5月'!D16:E16,"六本木-夜勤")+COUNTIF('5月'!I16:J16,"六本木-夜勤")+COUNTIF('5月'!N16:O16,"六本木-夜勤")+COUNTIF('5月'!S16:T16,"六本木-夜勤")+COUNTIF('5月'!X16:Y16,"六本木-夜勤")+COUNTIF('5月'!AC16:AD16,"六本木-夜勤")+COUNTIF('5月'!AH16:AI16,"六本木-夜勤")+COUNTIF('5月'!AM16:AN16,"六本木-夜勤")+COUNTIF('5月'!AR16:AS16,"六本木-夜勤")+COUNTIF('5月'!AW16:AX16,"六本木-夜勤")+COUNTIF('5月'!BB16:BC16,"六本木-夜勤")+COUNTIF('5月'!BG16:BH16,"六本木-夜勤")+COUNTIF('5月'!BL16:BM16,"六本木-夜勤")+COUNTIF('5月'!BQ16:BR16,"六本木-夜勤")+COUNTIF('5月'!BV16:BW16,"六本木-夜勤")+COUNTIF('5月'!CA16:CB16,"六本木-夜勤")+COUNTIF('5月'!CF16:CG16,"六本木-夜勤")+COUNTIF('5月'!CK16:CL16,"六本木-夜勤")+COUNTIF('5月'!CP16:CQ16,"六本木-夜勤")+COUNTIF('5月'!CU16:CV16,"六本木-夜勤")+COUNTIF('5月'!CZ16:DA16,"六本木-夜勤")+COUNTIF('5月'!DE16:DF16,"六本木-夜勤")+COUNTIF('5月'!DJ16:DK16,"六本木-夜勤")+COUNTIF('5月'!DO16:DP16,"六本木-夜勤")+COUNTIF('5月'!DT16:DU16,"六本木-夜勤")+COUNTIF('5月'!DY16:DZ16,"六本木-夜勤")+COUNTIF('5月'!ED16:EE16,"六本木-夜勤")+COUNTIF('5月'!EI16:EJ16,"六本木-夜勤")+COUNTIF('5月'!EN16:EO16,"六本木-夜勤")+COUNTIF('5月'!ES16:ET16,"六本木-夜勤")+COUNTIF('5月'!D16:E16,"六本木ー夜勤")+COUNTIF('5月'!I16:J16,"六本木ー夜勤")+COUNTIF('5月'!N16:O16,"六本木ー夜勤")+COUNTIF('5月'!S16:T16,"六本木ー夜勤")+COUNTIF('5月'!X16:Y16,"六本木ー夜勤")+COUNTIF('5月'!AC16:AD16,"六本木ー夜勤")+COUNTIF('5月'!AH16:AI16,"六本木ー夜勤")+COUNTIF('5月'!AM16:AN16,"六本木ー夜勤")+COUNTIF('5月'!AR16:AS16,"六本木ー夜勤")+COUNTIF('5月'!AW16:AX16,"六本木ー夜勤")+COUNTIF('5月'!BB16:BC16,"六本木ー夜勤")+COUNTIF('5月'!BG16:BH16,"六本木ー夜勤")+COUNTIF('5月'!BL16:BM16,"六本木ー夜勤")+COUNTIF('5月'!BQ16:BR16,"六本木ー夜勤")+COUNTIF('5月'!BV16:BW16,"六本木ー夜勤")+COUNTIF('5月'!CA16:CB16,"六本木ー夜勤")+COUNTIF('5月'!CF16:CG16,"六本木ー夜勤")+COUNTIF('5月'!CK16:CL16,"六本木ー夜勤")+COUNTIF('5月'!CP16:CQ16,"六本木ー夜勤")+COUNTIF('5月'!CU16:CV16,"六本木ー夜勤")+COUNTIF('5月'!CZ16:DA16,"六本木ー夜勤")+COUNTIF('5月'!DE16:DF16,"六本木ー夜勤")+COUNTIF('5月'!DJ16:DK16,"六本木ー夜勤")+COUNTIF('5月'!DO16:DP16,"六本木ー夜勤")+COUNTIF('5月'!DT16:DU16,"六本木ー夜勤")+COUNTIF('5月'!DY16:DZ16,"六本木ー夜勤")+COUNTIF('5月'!ED16:EE16,"六本木ー夜勤")+COUNTIF('5月'!EI16:EJ16,"六本木ー夜勤")+COUNTIF('5月'!EN16:EO16,"六本木ー夜勤")+COUNTIF('5月'!ES16:ET16,"六本木ー夜勤")</f>
        <v>0</v>
      </c>
      <c r="K166" s="76">
        <f t="shared" si="52"/>
        <v>0</v>
      </c>
      <c r="L166" s="76">
        <f>COUNTIF('5月'!D16:E16,L$152)+COUNTIF('5月'!I16:J16,L$152)+COUNTIF('5月'!N16:O16,L$152)+COUNTIF('5月'!S16:T16,L$152)+COUNTIF('5月'!X16:Y16,L$152)+COUNTIF('5月'!AC16:AD16,L$152)+COUNTIF('5月'!AH16:AI16,L$152)+COUNTIF('5月'!AM16:AN16,L$152)+COUNTIF('5月'!AR16:AS16,L$152)+COUNTIF('5月'!AW16:AX16,L$152)+COUNTIF('5月'!BB16:BC16,L$152)+COUNTIF('5月'!BG16:BH16,L$152)+COUNTIF('5月'!BL16:BM16,L$152)+COUNTIF('5月'!BQ16:BR16,L$152)+COUNTIF('5月'!BV16:BW16,L$152)+COUNTIF('5月'!CA16:CB16,L$152)+COUNTIF('5月'!CF16:CG16,L$152)+COUNTIF('5月'!CK16:CL16,L$152)+COUNTIF('5月'!CP16:CQ16,L$152)+COUNTIF('5月'!CU16:CV16,L$152)+COUNTIF('5月'!CZ16:DA16,L$152)+COUNTIF('5月'!DE16:DF16,L$152)+COUNTIF('5月'!DJ16:DK16,L$152)+COUNTIF('5月'!DO16:DP16,L$152)+COUNTIF('5月'!DT16:DU16,L$152)+COUNTIF('5月'!DY16:DZ16,L$152)+COUNTIF('5月'!ED16:EE16,L$152)+COUNTIF('5月'!EI16:EJ16,L$152)+COUNTIF('5月'!EN16:EO16,L$152)+COUNTIF('5月'!ES16:ET16,L$152)</f>
        <v>0</v>
      </c>
      <c r="M166" s="76">
        <f t="shared" si="53"/>
        <v>0</v>
      </c>
      <c r="N166" s="76">
        <f>COUNTIF('5月'!D16:E16,N$152)+COUNTIF('5月'!I16:J16,N$152)+COUNTIF('5月'!N16:O16,N$152)+COUNTIF('5月'!S16:T16,N$152)+COUNTIF('5月'!X16:Y16,N$152)+COUNTIF('5月'!AC16:AD16,N$152)+COUNTIF('5月'!AH16:AI16,N$152)+COUNTIF('5月'!AM16:AN16,N$152)+COUNTIF('5月'!AR16:AS16,N$152)+COUNTIF('5月'!AW16:AX16,N$152)+COUNTIF('5月'!BB16:BC16,N$152)+COUNTIF('5月'!BG16:BH16,N$152)+COUNTIF('5月'!BL16:BM16,N$152)+COUNTIF('5月'!BQ16:BR16,N$152)+COUNTIF('5月'!BV16:BW16,N$152)+COUNTIF('5月'!CA16:CB16,N$152)+COUNTIF('5月'!CF16:CG16,N$152)+COUNTIF('5月'!CK16:CL16,N$152)+COUNTIF('5月'!CP16:CQ16,N$152)+COUNTIF('5月'!CU16:CV16,N$152)+COUNTIF('5月'!CZ16:DA16,N$152)+COUNTIF('5月'!DE16:DF16,N$152)+COUNTIF('5月'!DJ16:DK16,N$152)+COUNTIF('5月'!DO16:DP16,N$152)+COUNTIF('5月'!DT16:DU16,N$152)+COUNTIF('5月'!DY16:DZ16,N$152)+COUNTIF('5月'!ED16:EE16,N$152)+COUNTIF('5月'!EI16:EJ16,N$152)+COUNTIF('5月'!EN16:EO16,N$152)+COUNTIF('5月'!ES16:ET16,N$152)+COUNTIF('5月'!D16:E16,"三軒茶屋－夜勤")+COUNTIF('5月'!I16:J16,"三軒茶屋－夜勤")+COUNTIF('5月'!N16:O16,"三軒茶屋－夜勤")+COUNTIF('5月'!S16:T16,"三軒茶屋－夜勤")+COUNTIF('5月'!X16:Y16,"三軒茶屋－夜勤")+COUNTIF('5月'!AC16:AD16,"三軒茶屋－夜勤")+COUNTIF('5月'!AH16:AI16,"三軒茶屋－夜勤")+COUNTIF('5月'!AM16:AN16,"三軒茶屋－夜勤")+COUNTIF('5月'!AR16:AS16,"三軒茶屋－夜勤")+COUNTIF('5月'!AW16:AX16,"三軒茶屋－夜勤")+COUNTIF('5月'!BB16:BC16,"三軒茶屋－夜勤")+COUNTIF('5月'!BG16:BH16,"三軒茶屋－夜勤")+COUNTIF('5月'!BL16:BM16,"三軒茶屋－夜勤")+COUNTIF('5月'!BQ16:BR16,"三軒茶屋－夜勤")+COUNTIF('5月'!BV16:BW16,"三軒茶屋－夜勤")+COUNTIF('5月'!CA16:CB16,"三軒茶屋－夜勤")+COUNTIF('5月'!CF16:CG16,"三軒茶屋－夜勤")+COUNTIF('5月'!CK16:CL16,"三軒茶屋－夜勤")+COUNTIF('5月'!CP16:CQ16,"三軒茶屋－夜勤")+COUNTIF('5月'!CU16:CV16,"三軒茶屋－夜勤")+COUNTIF('5月'!CZ16:DA16,"三軒茶屋－夜勤")+COUNTIF('5月'!DE16:DF16,"三軒茶屋－夜勤")+COUNTIF('5月'!DJ16:DK16,"三軒茶屋－夜勤")+COUNTIF('5月'!DO16:DP16,"三軒茶屋－夜勤")+COUNTIF('5月'!DT16:DU16,"三軒茶屋－夜勤")+COUNTIF('5月'!DY16:DZ16,"三軒茶屋－夜勤")+COUNTIF('5月'!ED16:EE16,"三軒茶屋－夜勤")+COUNTIF('5月'!EI16:EJ16,"三軒茶屋－夜勤")+COUNTIF('5月'!EN16:EO16,"三軒茶屋－夜勤")+COUNTIF('5月'!ES16:ET16,"三軒茶屋－夜勤")</f>
        <v>0</v>
      </c>
      <c r="O166" s="76">
        <f t="shared" si="54"/>
        <v>0</v>
      </c>
      <c r="P166" s="76">
        <f>COUNTIF('5月'!D16:E16,P$152)+COUNTIF('5月'!I16:J16,P$152)+COUNTIF('5月'!N16:O16,P$152)+COUNTIF('5月'!S16:T16,P$152)+COUNTIF('5月'!X16:Y16,P$152)+COUNTIF('5月'!AC16:AD16,P$152)+COUNTIF('5月'!AH16:AI16,P$152)+COUNTIF('5月'!AM16:AN16,P$152)+COUNTIF('5月'!AR16:AS16,P$152)+COUNTIF('5月'!AW16:AX16,P$152)+COUNTIF('5月'!BB16:BC16,P$152)+COUNTIF('5月'!BG16:BH16,P$152)+COUNTIF('5月'!BL16:BM16,P$152)+COUNTIF('5月'!BQ16:BR16,P$152)+COUNTIF('5月'!BV16:BW16,P$152)+COUNTIF('5月'!CA16:CB16,P$152)+COUNTIF('5月'!CF16:CG16,P$152)+COUNTIF('5月'!CK16:CL16,P$152)+COUNTIF('5月'!CP16:CQ16,P$152)+COUNTIF('5月'!CU16:CV16,P$152)+COUNTIF('5月'!CZ16:DA16,P$152)+COUNTIF('5月'!DE16:DF16,P$152)+COUNTIF('5月'!DJ16:DK16,P$152)+COUNTIF('5月'!DO16:DP16,P$152)+COUNTIF('5月'!DT16:DU16,P$152)+COUNTIF('5月'!DY16:DZ16,P$152)+COUNTIF('5月'!ED16:EE16,P$152)+COUNTIF('5月'!EI16:EJ16,P$152)+COUNTIF('5月'!EN16:EO16,P$152)+COUNTIF('5月'!ES16:ET16,P$152)+COUNTIF('5月'!D16:E16,"荻窪ー夜勤")+COUNTIF('5月'!I16:J16,"荻窪ー夜勤")+COUNTIF('5月'!N16:O16,"荻窪ー夜勤")+COUNTIF('5月'!S16:T16,"荻窪ー夜勤")+COUNTIF('5月'!X16:Y16,"荻窪ー夜勤")+COUNTIF('5月'!AC16:AD16,"荻窪ー夜勤")+COUNTIF('5月'!AH16:AI16,"荻窪ー夜勤")+COUNTIF('5月'!AM16:AN16,"荻窪ー夜勤")+COUNTIF('5月'!AR16:AS16,"荻窪ー夜勤")+COUNTIF('5月'!AW16:AX16,"荻窪ー夜勤")+COUNTIF('5月'!BB16:BC16,"荻窪ー夜勤")+COUNTIF('5月'!BG16:BH16,"荻窪ー夜勤")+COUNTIF('5月'!BL16:BM16,"荻窪ー夜勤")+COUNTIF('5月'!BQ16:BR16,"荻窪ー夜勤")+COUNTIF('5月'!BV16:BW16,"荻窪ー夜勤")+COUNTIF('5月'!CA16:CB16,"荻窪ー夜勤")+COUNTIF('5月'!CF16:CG16,"荻窪ー夜勤")+COUNTIF('5月'!CK16:CL16,"荻窪ー夜勤")+COUNTIF('5月'!CP16:CQ16,"荻窪ー夜勤")+COUNTIF('5月'!CU16:CV16,"荻窪ー夜勤")+COUNTIF('5月'!CZ16:DA16,"荻窪ー夜勤")+COUNTIF('5月'!DE16:DF16,"荻窪ー夜勤")+COUNTIF('5月'!DJ16:DK16,"荻窪ー夜勤")+COUNTIF('5月'!DO16:DP16,"荻窪ー夜勤")+COUNTIF('5月'!DT16:DU16,"荻窪ー夜勤")+COUNTIF('5月'!DY16:DZ16,"荻窪ー夜勤")+COUNTIF('5月'!ED16:EE16,"荻窪ー夜勤")+COUNTIF('5月'!EI16:EJ16,"荻窪ー夜勤")+COUNTIF('5月'!EN16:EO16,"荻窪ー夜勤")+COUNTIF('5月'!ES16:ET16,"荻窪ー夜勤")</f>
        <v>0</v>
      </c>
      <c r="Q166" s="76">
        <f t="shared" si="55"/>
        <v>0</v>
      </c>
      <c r="R166" s="76">
        <f>COUNTIF('5月'!D16:E16,R$152)+COUNTIF('5月'!I16:J16,R$152)+COUNTIF('5月'!N16:O16,R$152)+COUNTIF('5月'!S16:T16,R$152)+COUNTIF('5月'!X16:Y16,R$152)+COUNTIF('5月'!AC16:AD16,R$152)+COUNTIF('5月'!AH16:AI16,R$152)+COUNTIF('5月'!AM16:AN16,R$152)+COUNTIF('5月'!AR16:AS16,R$152)+COUNTIF('5月'!AW16:AX16,R$152)+COUNTIF('5月'!BB16:BC16,R$152)+COUNTIF('5月'!BG16:BH16,R$152)+COUNTIF('5月'!BL16:BM16,R$152)+COUNTIF('5月'!BQ16:BR16,R$152)+COUNTIF('5月'!BV16:BW16,R$152)+COUNTIF('5月'!CA16:CB16,R$152)+COUNTIF('5月'!CF16:CG16,R$152)+COUNTIF('5月'!CK16:CL16,R$152)+COUNTIF('5月'!CP16:CQ16,R$152)+COUNTIF('5月'!CU16:CV16,R$152)+COUNTIF('5月'!CZ16:DA16,R$152)+COUNTIF('5月'!DE16:DF16,R$152)+COUNTIF('5月'!DJ16:DK16,R$152)+COUNTIF('5月'!DO16:DP16,R$152)+COUNTIF('5月'!DT16:DU16,R$152)+COUNTIF('5月'!DY16:DZ16,R$152)+COUNTIF('5月'!ED16:EE16,R$152)+COUNTIF('5月'!EI16:EJ16,R$152)+COUNTIF('5月'!EN16:EO16,R$152)+COUNTIF('5月'!ES16:ET16,R$152)</f>
        <v>0</v>
      </c>
      <c r="S166" s="76">
        <f t="shared" si="56"/>
        <v>0</v>
      </c>
      <c r="T166" s="76">
        <f>COUNTIF('5月'!D16:E16,T$152)+COUNTIF('5月'!I16:J16,T$152)+COUNTIF('5月'!N16:O16,T$152)+COUNTIF('5月'!S16:T16,T$152)+COUNTIF('5月'!X16:Y16,T$152)+COUNTIF('5月'!AC16:AD16,T$152)+COUNTIF('5月'!AH16:AI16,T$152)+COUNTIF('5月'!AM16:AN16,T$152)+COUNTIF('5月'!AR16:AS16,T$152)+COUNTIF('5月'!AW16:AX16,T$152)+COUNTIF('5月'!BB16:BC16,T$152)+COUNTIF('5月'!BG16:BH16,T$152)+COUNTIF('5月'!BL16:BM16,T$152)+COUNTIF('5月'!BQ16:BR16,T$152)+COUNTIF('5月'!BV16:BW16,T$152)+COUNTIF('5月'!CA16:CB16,T$152)+COUNTIF('5月'!CF16:CG16,T$152)+COUNTIF('5月'!CK16:CL16,T$152)+COUNTIF('5月'!CP16:CQ16,T$152)+COUNTIF('5月'!CU16:CV16,T$152)+COUNTIF('5月'!CZ16:DA16,T$152)+COUNTIF('5月'!DE16:DF16,T$152)+COUNTIF('5月'!DJ16:DK16,T$152)+COUNTIF('5月'!DO16:DP16,T$152)+COUNTIF('5月'!DT16:DU16,T$152)+COUNTIF('5月'!DY16:DZ16,T$152)+COUNTIF('5月'!ED16:EE16,T$152)+COUNTIF('5月'!EI16:EJ16,T$152)+COUNTIF('5月'!EN16:EO16,T$152)+COUNTIF('5月'!ES16:ET16,T$152)</f>
        <v>0</v>
      </c>
      <c r="U166" s="76">
        <f t="shared" si="57"/>
        <v>0</v>
      </c>
      <c r="V166" s="76">
        <f>COUNTIF('5月'!D16:E16,V$152)+COUNTIF('5月'!I16:J16,V$152)+COUNTIF('5月'!N16:O16,V$152)+COUNTIF('5月'!S16:T16,V$152)+COUNTIF('5月'!X16:Y16,V$152)+COUNTIF('5月'!AC16:AD16,V$152)+COUNTIF('5月'!AH16:AI16,V$152)+COUNTIF('5月'!AM16:AN16,V$152)+COUNTIF('5月'!AR16:AS16,V$152)+COUNTIF('5月'!AW16:AX16,V$152)+COUNTIF('5月'!BB16:BC16,V$152)+COUNTIF('5月'!BG16:BH16,V$152)+COUNTIF('5月'!BL16:BM16,V$152)+COUNTIF('5月'!BQ16:BR16,V$152)+COUNTIF('5月'!BV16:BW16,V$152)+COUNTIF('5月'!CA16:CB16,V$152)+COUNTIF('5月'!CF16:CG16,V$152)+COUNTIF('5月'!CK16:CL16,V$152)+COUNTIF('5月'!CP16:CQ16,V$152)+COUNTIF('5月'!CU16:CV16,V$152)+COUNTIF('5月'!CZ16:DA16,V$152)+COUNTIF('5月'!DE16:DF16,V$152)+COUNTIF('5月'!DJ16:DK16,V$152)+COUNTIF('5月'!DO16:DP16,V$152)+COUNTIF('5月'!DT16:DU16,V$152)+COUNTIF('5月'!DY16:DZ16,V$152)+COUNTIF('5月'!ED16:EE16,V$152)+COUNTIF('5月'!EI16:EJ16,V$152)+COUNTIF('5月'!EN16:EO16,V$152)+COUNTIF('5月'!ES16:ET16,V$152)</f>
        <v>0</v>
      </c>
      <c r="W166" s="76">
        <f t="shared" si="58"/>
        <v>0</v>
      </c>
      <c r="X166" s="76">
        <f>COUNTIF('5月'!D16:E16,X$152)+COUNTIF('5月'!I16:J16,X$152)+COUNTIF('5月'!N16:O16,X$152)+COUNTIF('5月'!S16:T16,X$152)+COUNTIF('5月'!X16:Y16,X$152)+COUNTIF('5月'!AC16:AD16,X$152)+COUNTIF('5月'!AH16:AI16,X$152)+COUNTIF('5月'!AM16:AN16,X$152)+COUNTIF('5月'!AR16:AS16,X$152)+COUNTIF('5月'!AW16:AX16,X$152)+COUNTIF('5月'!BB16:BC16,X$152)+COUNTIF('5月'!BG16:BH16,X$152)+COUNTIF('5月'!BL16:BM16,X$152)+COUNTIF('5月'!BQ16:BR16,X$152)+COUNTIF('5月'!BV16:BW16,X$152)+COUNTIF('5月'!CA16:CB16,X$152)+COUNTIF('5月'!CF16:CG16,X$152)+COUNTIF('5月'!CK16:CL16,X$152)+COUNTIF('5月'!CP16:CQ16,X$152)+COUNTIF('5月'!CU16:CV16,X$152)+COUNTIF('5月'!CZ16:DA16,X$152)+COUNTIF('5月'!DE16:DF16,X$152)+COUNTIF('5月'!DJ16:DK16,X$152)+COUNTIF('5月'!DO16:DP16,X$152)+COUNTIF('5月'!DT16:DU16,X$152)+COUNTIF('5月'!DY16:DZ16,X$152)+COUNTIF('5月'!ED16:EE16,X$152)+COUNTIF('5月'!EI16:EJ16,X$152)+COUNTIF('5月'!EN16:EO16,X$152)+COUNTIF('5月'!ES16:ET16,X$152)</f>
        <v>0</v>
      </c>
      <c r="Y166" s="76">
        <f t="shared" si="59"/>
        <v>0</v>
      </c>
    </row>
    <row r="167" spans="1:25" ht="18" customHeight="1">
      <c r="A167" s="76">
        <v>14</v>
      </c>
      <c r="B167" s="76">
        <f>COUNTIF('5月'!D17:E17,B$152)+COUNTIF('5月'!I17:J17,B$152)+COUNTIF('5月'!N17:O17,B$152)+COUNTIF('5月'!S17:T17,B$152)+COUNTIF('5月'!X17:Y17,B$152)+COUNTIF('5月'!AC17:AD17,B$152)+COUNTIF('5月'!AH17:AI17,B$152)+COUNTIF('5月'!AM17:AN17,B$152)+COUNTIF('5月'!AR17:AS17,B$152)+COUNTIF('5月'!AW17:AX17,B$152)+COUNTIF('5月'!BB17:BC17,B$152)+COUNTIF('5月'!BG17:BH17,B$152)+COUNTIF('5月'!BL17:BM17,B$152)+COUNTIF('5月'!BQ17:BR17,B$152)+COUNTIF('5月'!BV17:BW17,B$152)+COUNTIF('5月'!CA17:CB17,B$152)+COUNTIF('5月'!CF17:CG17,B$152)+COUNTIF('5月'!CK17:CL17,B$152)+COUNTIF('5月'!CP17:CQ17,B$152)+COUNTIF('5月'!CU17:CV17,B$152)+COUNTIF('5月'!CZ17:DA17,B$152)+COUNTIF('5月'!DE17:DF17,B$152)+COUNTIF('5月'!DJ17:DK17,B$152)+COUNTIF('5月'!DO17:DP17,B$152)+COUNTIF('5月'!DT17:DU17,B$152)+COUNTIF('5月'!DY17:DZ17,B$152)+COUNTIF('5月'!ED17:EE17,B$152)+COUNTIF('5月'!EI17:EJ17,B$152)+COUNTIF('5月'!EN17:EO17,B$152)+COUNTIF('5月'!ES17:ET17,B$152)</f>
        <v>0</v>
      </c>
      <c r="C167" s="76">
        <f t="shared" si="48"/>
        <v>0</v>
      </c>
      <c r="D167" s="76">
        <f>COUNTIF('5月'!D17:E17,D$152)+COUNTIF('5月'!I17:J17,D$152)+COUNTIF('5月'!N17:O17,D$152)+COUNTIF('5月'!S17:T17,D$152)+COUNTIF('5月'!X17:Y17,D$152)+COUNTIF('5月'!AC17:AD17,D$152)+COUNTIF('5月'!AH17:AI17,D$152)+COUNTIF('5月'!AM17:AN17,D$152)+COUNTIF('5月'!AR17:AS17,D$152)+COUNTIF('5月'!AW17:AX17,D$152)+COUNTIF('5月'!BB17:BC17,D$152)+COUNTIF('5月'!BG17:BH17,D$152)+COUNTIF('5月'!BL17:BM17,D$152)+COUNTIF('5月'!BQ17:BR17,D$152)+COUNTIF('5月'!BV17:BW17,D$152)+COUNTIF('5月'!CA17:CB17,D$152)+COUNTIF('5月'!CF17:CG17,D$152)+COUNTIF('5月'!CK17:CL17,D$152)+COUNTIF('5月'!CP17:CQ17,D$152)+COUNTIF('5月'!CU17:CV17,D$152)+COUNTIF('5月'!CZ17:DA17,D$152)+COUNTIF('5月'!DE17:DF17,D$152)+COUNTIF('5月'!DJ17:DK17,D$152)+COUNTIF('5月'!DO17:DP17,D$152)+COUNTIF('5月'!DT17:DU17,D$152)+COUNTIF('5月'!DY17:DZ17,D$152)+COUNTIF('5月'!ED17:EE17,D$152)+COUNTIF('5月'!EI17:EJ17,D$152)+COUNTIF('5月'!EN17:EO17,D$152)+COUNTIF('5月'!ES17:ET17,D$152)</f>
        <v>0</v>
      </c>
      <c r="E167" s="76">
        <f t="shared" si="49"/>
        <v>0</v>
      </c>
      <c r="F167" s="76">
        <f>COUNTIF('5月'!D17:E17,F$152)+COUNTIF('5月'!I17:J17,F$152)+COUNTIF('5月'!N17:O17,F$152)+COUNTIF('5月'!S17:T17,F$152)+COUNTIF('5月'!X17:Y17,F$152)+COUNTIF('5月'!AC17:AD17,F$152)+COUNTIF('5月'!AH17:AI17,F$152)+COUNTIF('5月'!AM17:AN17,F$152)+COUNTIF('5月'!AR17:AS17,F$152)+COUNTIF('5月'!AW17:AX17,F$152)+COUNTIF('5月'!BB17:BC17,F$152)+COUNTIF('5月'!BG17:BH17,F$152)+COUNTIF('5月'!BL17:BM17,F$152)+COUNTIF('5月'!BQ17:BR17,F$152)+COUNTIF('5月'!BV17:BW17,F$152)+COUNTIF('5月'!CA17:CB17,F$152)+COUNTIF('5月'!CF17:CG17,F$152)+COUNTIF('5月'!CK17:CL17,F$152)+COUNTIF('5月'!CP17:CQ17,F$152)+COUNTIF('5月'!CU17:CV17,F$152)+COUNTIF('5月'!CZ17:DA17,F$152)+COUNTIF('5月'!DE17:DF17,F$152)+COUNTIF('5月'!DJ17:DK17,F$152)+COUNTIF('5月'!DO17:DP17,F$152)+COUNTIF('5月'!DT17:DU17,F$152)+COUNTIF('5月'!DY17:DZ17,F$152)+COUNTIF('5月'!ED17:EE17,F$152)+COUNTIF('5月'!EI17:EJ17,F$152)+COUNTIF('5月'!EN17:EO17,F$152)+COUNTIF('5月'!ES17:ET17,F$152)</f>
        <v>0</v>
      </c>
      <c r="G167" s="76">
        <f t="shared" si="50"/>
        <v>0</v>
      </c>
      <c r="H167" s="76">
        <f>COUNTIF('5月'!D17:E17,H$152)+COUNTIF('5月'!I17:J17,H$152)+COUNTIF('5月'!N17:O17,H$152)+COUNTIF('5月'!S17:T17,H$152)+COUNTIF('5月'!X17:Y17,H$152)+COUNTIF('5月'!AC17:AD17,H$152)+COUNTIF('5月'!AH17:AI17,H$152)+COUNTIF('5月'!AM17:AN17,H$152)+COUNTIF('5月'!AR17:AS17,H$152)+COUNTIF('5月'!AW17:AX17,H$152)+COUNTIF('5月'!BB17:BC17,H$152)+COUNTIF('5月'!BG17:BH17,H$152)+COUNTIF('5月'!BL17:BM17,H$152)+COUNTIF('5月'!BQ17:BR17,H$152)+COUNTIF('5月'!BV17:BW17,H$152)+COUNTIF('5月'!CA17:CB17,H$152)+COUNTIF('5月'!CF17:CG17,H$152)+COUNTIF('5月'!CK17:CL17,H$152)+COUNTIF('5月'!CP17:CQ17,H$152)+COUNTIF('5月'!CU17:CV17,H$152)+COUNTIF('5月'!CZ17:DA17,H$152)+COUNTIF('5月'!DE17:DF17,H$152)+COUNTIF('5月'!DJ17:DK17,H$152)+COUNTIF('5月'!DO17:DP17,H$152)+COUNTIF('5月'!DT17:DU17,H$152)+COUNTIF('5月'!DY17:DZ17,H$152)+COUNTIF('5月'!ED17:EE17,H$152)+COUNTIF('5月'!EI17:EJ17,H$152)+COUNTIF('5月'!EN17:EO17,H$152)+COUNTIF('5月'!ES17:ET17,H$152)+COUNTIF('5月'!D17:E17,"渋谷-夜勤")+COUNTIF('5月'!I17:J17,"渋谷-夜勤")+COUNTIF('5月'!N17:O17,"渋谷-夜勤")+COUNTIF('5月'!S17:T17,"渋谷-夜勤")+COUNTIF('5月'!X17:Y17,"渋谷-夜勤")+COUNTIF('5月'!AC17:AD17,"渋谷-夜勤")+COUNTIF('5月'!AH17:AI17,"渋谷-夜勤")+COUNTIF('5月'!AM17:AN17,"渋谷-夜勤")+COUNTIF('5月'!AR17:AS17,"渋谷-夜勤")+COUNTIF('5月'!AW17:AX17,"渋谷-夜勤")+COUNTIF('5月'!BB17:BC17,"渋谷-夜勤")+COUNTIF('5月'!BG17:BH17,"渋谷-夜勤")+COUNTIF('5月'!BL17:BM17,"渋谷-夜勤")+COUNTIF('5月'!BQ17:BR17,"渋谷-夜勤")+COUNTIF('5月'!BV17:BW17,"渋谷-夜勤")+COUNTIF('5月'!CA17:CB17,"渋谷-夜勤")+COUNTIF('5月'!CF17:CG17,"渋谷-夜勤")+COUNTIF('5月'!CK17:CL17,"渋谷-夜勤")+COUNTIF('5月'!CP17:CQ17,"渋谷-夜勤")+COUNTIF('5月'!CU17:CV17,"渋谷-夜勤")+COUNTIF('5月'!CZ17:DA17,"渋谷-夜勤")+COUNTIF('5月'!DE17:DF17,"渋谷-夜勤")+COUNTIF('5月'!DJ17:DK17,"渋谷-夜勤")+COUNTIF('5月'!DO17:DP17,"渋谷-夜勤")+COUNTIF('5月'!DT17:DU17,"渋谷-夜勤")+COUNTIF('5月'!DY17:DZ17,"渋谷-夜勤")+COUNTIF('5月'!ED17:EE17,"渋谷-夜勤")+COUNTIF('5月'!EI17:EJ17,"渋谷-夜勤")+COUNTIF('5月'!EN17:EO17,"渋谷-夜勤")+COUNTIF('5月'!ES17:ET17,"渋谷-夜勤")</f>
        <v>0</v>
      </c>
      <c r="I167" s="76">
        <f t="shared" si="51"/>
        <v>0</v>
      </c>
      <c r="J167" s="76">
        <f>COUNTIF('5月'!D17:E17,J$152)+COUNTIF('5月'!I17:J17,J$152)+COUNTIF('5月'!N17:O17,J$152)+COUNTIF('5月'!S17:T17,J$152)+COUNTIF('5月'!X17:Y17,J$152)+COUNTIF('5月'!AC17:AD17,J$152)+COUNTIF('5月'!AH17:AI17,J$152)+COUNTIF('5月'!AM17:AN17,J$152)+COUNTIF('5月'!AR17:AS17,J$152)+COUNTIF('5月'!AW17:AX17,J$152)+COUNTIF('5月'!BB17:BC17,J$152)+COUNTIF('5月'!BG17:BH17,J$152)+COUNTIF('5月'!BL17:BM17,J$152)+COUNTIF('5月'!BQ17:BR17,J$152)+COUNTIF('5月'!BV17:BW17,J$152)+COUNTIF('5月'!CA17:CB17,J$152)+COUNTIF('5月'!CF17:CG17,J$152)+COUNTIF('5月'!CK17:CL17,J$152)+COUNTIF('5月'!CP17:CQ17,J$152)+COUNTIF('5月'!CU17:CV17,J$152)+COUNTIF('5月'!CZ17:DA17,J$152)+COUNTIF('5月'!DE17:DF17,J$152)+COUNTIF('5月'!DJ17:DK17,J$152)+COUNTIF('5月'!DO17:DP17,J$152)+COUNTIF('5月'!DT17:DU17,J$152)+COUNTIF('5月'!DY17:DZ17,J$152)+COUNTIF('5月'!ED17:EE17,J$152)+COUNTIF('5月'!EI17:EJ17,J$152)+COUNTIF('5月'!EN17:EO17,J$152)+COUNTIF('5月'!ES17:ET17,J$152)+COUNTIF('5月'!D17:E17,"六本木-夜勤")+COUNTIF('5月'!I17:J17,"六本木-夜勤")+COUNTIF('5月'!N17:O17,"六本木-夜勤")+COUNTIF('5月'!S17:T17,"六本木-夜勤")+COUNTIF('5月'!X17:Y17,"六本木-夜勤")+COUNTIF('5月'!AC17:AD17,"六本木-夜勤")+COUNTIF('5月'!AH17:AI17,"六本木-夜勤")+COUNTIF('5月'!AM17:AN17,"六本木-夜勤")+COUNTIF('5月'!AR17:AS17,"六本木-夜勤")+COUNTIF('5月'!AW17:AX17,"六本木-夜勤")+COUNTIF('5月'!BB17:BC17,"六本木-夜勤")+COUNTIF('5月'!BG17:BH17,"六本木-夜勤")+COUNTIF('5月'!BL17:BM17,"六本木-夜勤")+COUNTIF('5月'!BQ17:BR17,"六本木-夜勤")+COUNTIF('5月'!BV17:BW17,"六本木-夜勤")+COUNTIF('5月'!CA17:CB17,"六本木-夜勤")+COUNTIF('5月'!CF17:CG17,"六本木-夜勤")+COUNTIF('5月'!CK17:CL17,"六本木-夜勤")+COUNTIF('5月'!CP17:CQ17,"六本木-夜勤")+COUNTIF('5月'!CU17:CV17,"六本木-夜勤")+COUNTIF('5月'!CZ17:DA17,"六本木-夜勤")+COUNTIF('5月'!DE17:DF17,"六本木-夜勤")+COUNTIF('5月'!DJ17:DK17,"六本木-夜勤")+COUNTIF('5月'!DO17:DP17,"六本木-夜勤")+COUNTIF('5月'!DT17:DU17,"六本木-夜勤")+COUNTIF('5月'!DY17:DZ17,"六本木-夜勤")+COUNTIF('5月'!ED17:EE17,"六本木-夜勤")+COUNTIF('5月'!EI17:EJ17,"六本木-夜勤")+COUNTIF('5月'!EN17:EO17,"六本木-夜勤")+COUNTIF('5月'!ES17:ET17,"六本木-夜勤")+COUNTIF('5月'!D17:E17,"六本木ー夜勤")+COUNTIF('5月'!I17:J17,"六本木ー夜勤")+COUNTIF('5月'!N17:O17,"六本木ー夜勤")+COUNTIF('5月'!S17:T17,"六本木ー夜勤")+COUNTIF('5月'!X17:Y17,"六本木ー夜勤")+COUNTIF('5月'!AC17:AD17,"六本木ー夜勤")+COUNTIF('5月'!AH17:AI17,"六本木ー夜勤")+COUNTIF('5月'!AM17:AN17,"六本木ー夜勤")+COUNTIF('5月'!AR17:AS17,"六本木ー夜勤")+COUNTIF('5月'!AW17:AX17,"六本木ー夜勤")+COUNTIF('5月'!BB17:BC17,"六本木ー夜勤")+COUNTIF('5月'!BG17:BH17,"六本木ー夜勤")+COUNTIF('5月'!BL17:BM17,"六本木ー夜勤")+COUNTIF('5月'!BQ17:BR17,"六本木ー夜勤")+COUNTIF('5月'!BV17:BW17,"六本木ー夜勤")+COUNTIF('5月'!CA17:CB17,"六本木ー夜勤")+COUNTIF('5月'!CF17:CG17,"六本木ー夜勤")+COUNTIF('5月'!CK17:CL17,"六本木ー夜勤")+COUNTIF('5月'!CP17:CQ17,"六本木ー夜勤")+COUNTIF('5月'!CU17:CV17,"六本木ー夜勤")+COUNTIF('5月'!CZ17:DA17,"六本木ー夜勤")+COUNTIF('5月'!DE17:DF17,"六本木ー夜勤")+COUNTIF('5月'!DJ17:DK17,"六本木ー夜勤")+COUNTIF('5月'!DO17:DP17,"六本木ー夜勤")+COUNTIF('5月'!DT17:DU17,"六本木ー夜勤")+COUNTIF('5月'!DY17:DZ17,"六本木ー夜勤")+COUNTIF('5月'!ED17:EE17,"六本木ー夜勤")+COUNTIF('5月'!EI17:EJ17,"六本木ー夜勤")+COUNTIF('5月'!EN17:EO17,"六本木ー夜勤")+COUNTIF('5月'!ES17:ET17,"六本木ー夜勤")</f>
        <v>0</v>
      </c>
      <c r="K167" s="76">
        <f t="shared" si="52"/>
        <v>0</v>
      </c>
      <c r="L167" s="76">
        <f>COUNTIF('5月'!D17:E17,L$152)+COUNTIF('5月'!I17:J17,L$152)+COUNTIF('5月'!N17:O17,L$152)+COUNTIF('5月'!S17:T17,L$152)+COUNTIF('5月'!X17:Y17,L$152)+COUNTIF('5月'!AC17:AD17,L$152)+COUNTIF('5月'!AH17:AI17,L$152)+COUNTIF('5月'!AM17:AN17,L$152)+COUNTIF('5月'!AR17:AS17,L$152)+COUNTIF('5月'!AW17:AX17,L$152)+COUNTIF('5月'!BB17:BC17,L$152)+COUNTIF('5月'!BG17:BH17,L$152)+COUNTIF('5月'!BL17:BM17,L$152)+COUNTIF('5月'!BQ17:BR17,L$152)+COUNTIF('5月'!BV17:BW17,L$152)+COUNTIF('5月'!CA17:CB17,L$152)+COUNTIF('5月'!CF17:CG17,L$152)+COUNTIF('5月'!CK17:CL17,L$152)+COUNTIF('5月'!CP17:CQ17,L$152)+COUNTIF('5月'!CU17:CV17,L$152)+COUNTIF('5月'!CZ17:DA17,L$152)+COUNTIF('5月'!DE17:DF17,L$152)+COUNTIF('5月'!DJ17:DK17,L$152)+COUNTIF('5月'!DO17:DP17,L$152)+COUNTIF('5月'!DT17:DU17,L$152)+COUNTIF('5月'!DY17:DZ17,L$152)+COUNTIF('5月'!ED17:EE17,L$152)+COUNTIF('5月'!EI17:EJ17,L$152)+COUNTIF('5月'!EN17:EO17,L$152)+COUNTIF('5月'!ES17:ET17,L$152)</f>
        <v>0</v>
      </c>
      <c r="M167" s="76">
        <f t="shared" si="53"/>
        <v>0</v>
      </c>
      <c r="N167" s="76">
        <f>COUNTIF('5月'!D17:E17,N$152)+COUNTIF('5月'!I17:J17,N$152)+COUNTIF('5月'!N17:O17,N$152)+COUNTIF('5月'!S17:T17,N$152)+COUNTIF('5月'!X17:Y17,N$152)+COUNTIF('5月'!AC17:AD17,N$152)+COUNTIF('5月'!AH17:AI17,N$152)+COUNTIF('5月'!AM17:AN17,N$152)+COUNTIF('5月'!AR17:AS17,N$152)+COUNTIF('5月'!AW17:AX17,N$152)+COUNTIF('5月'!BB17:BC17,N$152)+COUNTIF('5月'!BG17:BH17,N$152)+COUNTIF('5月'!BL17:BM17,N$152)+COUNTIF('5月'!BQ17:BR17,N$152)+COUNTIF('5月'!BV17:BW17,N$152)+COUNTIF('5月'!CA17:CB17,N$152)+COUNTIF('5月'!CF17:CG17,N$152)+COUNTIF('5月'!CK17:CL17,N$152)+COUNTIF('5月'!CP17:CQ17,N$152)+COUNTIF('5月'!CU17:CV17,N$152)+COUNTIF('5月'!CZ17:DA17,N$152)+COUNTIF('5月'!DE17:DF17,N$152)+COUNTIF('5月'!DJ17:DK17,N$152)+COUNTIF('5月'!DO17:DP17,N$152)+COUNTIF('5月'!DT17:DU17,N$152)+COUNTIF('5月'!DY17:DZ17,N$152)+COUNTIF('5月'!ED17:EE17,N$152)+COUNTIF('5月'!EI17:EJ17,N$152)+COUNTIF('5月'!EN17:EO17,N$152)+COUNTIF('5月'!ES17:ET17,N$152)+COUNTIF('5月'!D17:E17,"三軒茶屋－夜勤")+COUNTIF('5月'!I17:J17,"三軒茶屋－夜勤")+COUNTIF('5月'!N17:O17,"三軒茶屋－夜勤")+COUNTIF('5月'!S17:T17,"三軒茶屋－夜勤")+COUNTIF('5月'!X17:Y17,"三軒茶屋－夜勤")+COUNTIF('5月'!AC17:AD17,"三軒茶屋－夜勤")+COUNTIF('5月'!AH17:AI17,"三軒茶屋－夜勤")+COUNTIF('5月'!AM17:AN17,"三軒茶屋－夜勤")+COUNTIF('5月'!AR17:AS17,"三軒茶屋－夜勤")+COUNTIF('5月'!AW17:AX17,"三軒茶屋－夜勤")+COUNTIF('5月'!BB17:BC17,"三軒茶屋－夜勤")+COUNTIF('5月'!BG17:BH17,"三軒茶屋－夜勤")+COUNTIF('5月'!BL17:BM17,"三軒茶屋－夜勤")+COUNTIF('5月'!BQ17:BR17,"三軒茶屋－夜勤")+COUNTIF('5月'!BV17:BW17,"三軒茶屋－夜勤")+COUNTIF('5月'!CA17:CB17,"三軒茶屋－夜勤")+COUNTIF('5月'!CF17:CG17,"三軒茶屋－夜勤")+COUNTIF('5月'!CK17:CL17,"三軒茶屋－夜勤")+COUNTIF('5月'!CP17:CQ17,"三軒茶屋－夜勤")+COUNTIF('5月'!CU17:CV17,"三軒茶屋－夜勤")+COUNTIF('5月'!CZ17:DA17,"三軒茶屋－夜勤")+COUNTIF('5月'!DE17:DF17,"三軒茶屋－夜勤")+COUNTIF('5月'!DJ17:DK17,"三軒茶屋－夜勤")+COUNTIF('5月'!DO17:DP17,"三軒茶屋－夜勤")+COUNTIF('5月'!DT17:DU17,"三軒茶屋－夜勤")+COUNTIF('5月'!DY17:DZ17,"三軒茶屋－夜勤")+COUNTIF('5月'!ED17:EE17,"三軒茶屋－夜勤")+COUNTIF('5月'!EI17:EJ17,"三軒茶屋－夜勤")+COUNTIF('5月'!EN17:EO17,"三軒茶屋－夜勤")+COUNTIF('5月'!ES17:ET17,"三軒茶屋－夜勤")</f>
        <v>0</v>
      </c>
      <c r="O167" s="76">
        <f t="shared" si="54"/>
        <v>0</v>
      </c>
      <c r="P167" s="76">
        <f>COUNTIF('5月'!D17:E17,P$152)+COUNTIF('5月'!I17:J17,P$152)+COUNTIF('5月'!N17:O17,P$152)+COUNTIF('5月'!S17:T17,P$152)+COUNTIF('5月'!X17:Y17,P$152)+COUNTIF('5月'!AC17:AD17,P$152)+COUNTIF('5月'!AH17:AI17,P$152)+COUNTIF('5月'!AM17:AN17,P$152)+COUNTIF('5月'!AR17:AS17,P$152)+COUNTIF('5月'!AW17:AX17,P$152)+COUNTIF('5月'!BB17:BC17,P$152)+COUNTIF('5月'!BG17:BH17,P$152)+COUNTIF('5月'!BL17:BM17,P$152)+COUNTIF('5月'!BQ17:BR17,P$152)+COUNTIF('5月'!BV17:BW17,P$152)+COUNTIF('5月'!CA17:CB17,P$152)+COUNTIF('5月'!CF17:CG17,P$152)+COUNTIF('5月'!CK17:CL17,P$152)+COUNTIF('5月'!CP17:CQ17,P$152)+COUNTIF('5月'!CU17:CV17,P$152)+COUNTIF('5月'!CZ17:DA17,P$152)+COUNTIF('5月'!DE17:DF17,P$152)+COUNTIF('5月'!DJ17:DK17,P$152)+COUNTIF('5月'!DO17:DP17,P$152)+COUNTIF('5月'!DT17:DU17,P$152)+COUNTIF('5月'!DY17:DZ17,P$152)+COUNTIF('5月'!ED17:EE17,P$152)+COUNTIF('5月'!EI17:EJ17,P$152)+COUNTIF('5月'!EN17:EO17,P$152)+COUNTIF('5月'!ES17:ET17,P$152)+COUNTIF('5月'!D17:E17,"荻窪ー夜勤")+COUNTIF('5月'!I17:J17,"荻窪ー夜勤")+COUNTIF('5月'!N17:O17,"荻窪ー夜勤")+COUNTIF('5月'!S17:T17,"荻窪ー夜勤")+COUNTIF('5月'!X17:Y17,"荻窪ー夜勤")+COUNTIF('5月'!AC17:AD17,"荻窪ー夜勤")+COUNTIF('5月'!AH17:AI17,"荻窪ー夜勤")+COUNTIF('5月'!AM17:AN17,"荻窪ー夜勤")+COUNTIF('5月'!AR17:AS17,"荻窪ー夜勤")+COUNTIF('5月'!AW17:AX17,"荻窪ー夜勤")+COUNTIF('5月'!BB17:BC17,"荻窪ー夜勤")+COUNTIF('5月'!BG17:BH17,"荻窪ー夜勤")+COUNTIF('5月'!BL17:BM17,"荻窪ー夜勤")+COUNTIF('5月'!BQ17:BR17,"荻窪ー夜勤")+COUNTIF('5月'!BV17:BW17,"荻窪ー夜勤")+COUNTIF('5月'!CA17:CB17,"荻窪ー夜勤")+COUNTIF('5月'!CF17:CG17,"荻窪ー夜勤")+COUNTIF('5月'!CK17:CL17,"荻窪ー夜勤")+COUNTIF('5月'!CP17:CQ17,"荻窪ー夜勤")+COUNTIF('5月'!CU17:CV17,"荻窪ー夜勤")+COUNTIF('5月'!CZ17:DA17,"荻窪ー夜勤")+COUNTIF('5月'!DE17:DF17,"荻窪ー夜勤")+COUNTIF('5月'!DJ17:DK17,"荻窪ー夜勤")+COUNTIF('5月'!DO17:DP17,"荻窪ー夜勤")+COUNTIF('5月'!DT17:DU17,"荻窪ー夜勤")+COUNTIF('5月'!DY17:DZ17,"荻窪ー夜勤")+COUNTIF('5月'!ED17:EE17,"荻窪ー夜勤")+COUNTIF('5月'!EI17:EJ17,"荻窪ー夜勤")+COUNTIF('5月'!EN17:EO17,"荻窪ー夜勤")+COUNTIF('5月'!ES17:ET17,"荻窪ー夜勤")</f>
        <v>0</v>
      </c>
      <c r="Q167" s="76">
        <f t="shared" si="55"/>
        <v>0</v>
      </c>
      <c r="R167" s="76">
        <f>COUNTIF('5月'!D17:E17,R$152)+COUNTIF('5月'!I17:J17,R$152)+COUNTIF('5月'!N17:O17,R$152)+COUNTIF('5月'!S17:T17,R$152)+COUNTIF('5月'!X17:Y17,R$152)+COUNTIF('5月'!AC17:AD17,R$152)+COUNTIF('5月'!AH17:AI17,R$152)+COUNTIF('5月'!AM17:AN17,R$152)+COUNTIF('5月'!AR17:AS17,R$152)+COUNTIF('5月'!AW17:AX17,R$152)+COUNTIF('5月'!BB17:BC17,R$152)+COUNTIF('5月'!BG17:BH17,R$152)+COUNTIF('5月'!BL17:BM17,R$152)+COUNTIF('5月'!BQ17:BR17,R$152)+COUNTIF('5月'!BV17:BW17,R$152)+COUNTIF('5月'!CA17:CB17,R$152)+COUNTIF('5月'!CF17:CG17,R$152)+COUNTIF('5月'!CK17:CL17,R$152)+COUNTIF('5月'!CP17:CQ17,R$152)+COUNTIF('5月'!CU17:CV17,R$152)+COUNTIF('5月'!CZ17:DA17,R$152)+COUNTIF('5月'!DE17:DF17,R$152)+COUNTIF('5月'!DJ17:DK17,R$152)+COUNTIF('5月'!DO17:DP17,R$152)+COUNTIF('5月'!DT17:DU17,R$152)+COUNTIF('5月'!DY17:DZ17,R$152)+COUNTIF('5月'!ED17:EE17,R$152)+COUNTIF('5月'!EI17:EJ17,R$152)+COUNTIF('5月'!EN17:EO17,R$152)+COUNTIF('5月'!ES17:ET17,R$152)</f>
        <v>0</v>
      </c>
      <c r="S167" s="76">
        <f t="shared" si="56"/>
        <v>0</v>
      </c>
      <c r="T167" s="76">
        <f>COUNTIF('5月'!D17:E17,T$152)+COUNTIF('5月'!I17:J17,T$152)+COUNTIF('5月'!N17:O17,T$152)+COUNTIF('5月'!S17:T17,T$152)+COUNTIF('5月'!X17:Y17,T$152)+COUNTIF('5月'!AC17:AD17,T$152)+COUNTIF('5月'!AH17:AI17,T$152)+COUNTIF('5月'!AM17:AN17,T$152)+COUNTIF('5月'!AR17:AS17,T$152)+COUNTIF('5月'!AW17:AX17,T$152)+COUNTIF('5月'!BB17:BC17,T$152)+COUNTIF('5月'!BG17:BH17,T$152)+COUNTIF('5月'!BL17:BM17,T$152)+COUNTIF('5月'!BQ17:BR17,T$152)+COUNTIF('5月'!BV17:BW17,T$152)+COUNTIF('5月'!CA17:CB17,T$152)+COUNTIF('5月'!CF17:CG17,T$152)+COUNTIF('5月'!CK17:CL17,T$152)+COUNTIF('5月'!CP17:CQ17,T$152)+COUNTIF('5月'!CU17:CV17,T$152)+COUNTIF('5月'!CZ17:DA17,T$152)+COUNTIF('5月'!DE17:DF17,T$152)+COUNTIF('5月'!DJ17:DK17,T$152)+COUNTIF('5月'!DO17:DP17,T$152)+COUNTIF('5月'!DT17:DU17,T$152)+COUNTIF('5月'!DY17:DZ17,T$152)+COUNTIF('5月'!ED17:EE17,T$152)+COUNTIF('5月'!EI17:EJ17,T$152)+COUNTIF('5月'!EN17:EO17,T$152)+COUNTIF('5月'!ES17:ET17,T$152)</f>
        <v>0</v>
      </c>
      <c r="U167" s="76">
        <f t="shared" si="57"/>
        <v>0</v>
      </c>
      <c r="V167" s="76">
        <f>COUNTIF('5月'!D17:E17,V$152)+COUNTIF('5月'!I17:J17,V$152)+COUNTIF('5月'!N17:O17,V$152)+COUNTIF('5月'!S17:T17,V$152)+COUNTIF('5月'!X17:Y17,V$152)+COUNTIF('5月'!AC17:AD17,V$152)+COUNTIF('5月'!AH17:AI17,V$152)+COUNTIF('5月'!AM17:AN17,V$152)+COUNTIF('5月'!AR17:AS17,V$152)+COUNTIF('5月'!AW17:AX17,V$152)+COUNTIF('5月'!BB17:BC17,V$152)+COUNTIF('5月'!BG17:BH17,V$152)+COUNTIF('5月'!BL17:BM17,V$152)+COUNTIF('5月'!BQ17:BR17,V$152)+COUNTIF('5月'!BV17:BW17,V$152)+COUNTIF('5月'!CA17:CB17,V$152)+COUNTIF('5月'!CF17:CG17,V$152)+COUNTIF('5月'!CK17:CL17,V$152)+COUNTIF('5月'!CP17:CQ17,V$152)+COUNTIF('5月'!CU17:CV17,V$152)+COUNTIF('5月'!CZ17:DA17,V$152)+COUNTIF('5月'!DE17:DF17,V$152)+COUNTIF('5月'!DJ17:DK17,V$152)+COUNTIF('5月'!DO17:DP17,V$152)+COUNTIF('5月'!DT17:DU17,V$152)+COUNTIF('5月'!DY17:DZ17,V$152)+COUNTIF('5月'!ED17:EE17,V$152)+COUNTIF('5月'!EI17:EJ17,V$152)+COUNTIF('5月'!EN17:EO17,V$152)+COUNTIF('5月'!ES17:ET17,V$152)</f>
        <v>0</v>
      </c>
      <c r="W167" s="76">
        <f t="shared" si="58"/>
        <v>0</v>
      </c>
      <c r="X167" s="76">
        <f>COUNTIF('5月'!D17:E17,X$152)+COUNTIF('5月'!I17:J17,X$152)+COUNTIF('5月'!N17:O17,X$152)+COUNTIF('5月'!S17:T17,X$152)+COUNTIF('5月'!X17:Y17,X$152)+COUNTIF('5月'!AC17:AD17,X$152)+COUNTIF('5月'!AH17:AI17,X$152)+COUNTIF('5月'!AM17:AN17,X$152)+COUNTIF('5月'!AR17:AS17,X$152)+COUNTIF('5月'!AW17:AX17,X$152)+COUNTIF('5月'!BB17:BC17,X$152)+COUNTIF('5月'!BG17:BH17,X$152)+COUNTIF('5月'!BL17:BM17,X$152)+COUNTIF('5月'!BQ17:BR17,X$152)+COUNTIF('5月'!BV17:BW17,X$152)+COUNTIF('5月'!CA17:CB17,X$152)+COUNTIF('5月'!CF17:CG17,X$152)+COUNTIF('5月'!CK17:CL17,X$152)+COUNTIF('5月'!CP17:CQ17,X$152)+COUNTIF('5月'!CU17:CV17,X$152)+COUNTIF('5月'!CZ17:DA17,X$152)+COUNTIF('5月'!DE17:DF17,X$152)+COUNTIF('5月'!DJ17:DK17,X$152)+COUNTIF('5月'!DO17:DP17,X$152)+COUNTIF('5月'!DT17:DU17,X$152)+COUNTIF('5月'!DY17:DZ17,X$152)+COUNTIF('5月'!ED17:EE17,X$152)+COUNTIF('5月'!EI17:EJ17,X$152)+COUNTIF('5月'!EN17:EO17,X$152)+COUNTIF('5月'!ES17:ET17,X$152)</f>
        <v>0</v>
      </c>
      <c r="Y167" s="76">
        <f t="shared" si="59"/>
        <v>0</v>
      </c>
    </row>
    <row r="168" spans="1:25" ht="18" customHeight="1">
      <c r="A168" s="76">
        <v>15</v>
      </c>
      <c r="B168" s="76">
        <f>COUNTIF('5月'!D18:E18,B$152)+COUNTIF('5月'!I18:J18,B$152)+COUNTIF('5月'!N18:O18,B$152)+COUNTIF('5月'!S18:T18,B$152)+COUNTIF('5月'!X18:Y18,B$152)+COUNTIF('5月'!AC18:AD18,B$152)+COUNTIF('5月'!AH18:AI18,B$152)+COUNTIF('5月'!AM18:AN18,B$152)+COUNTIF('5月'!AR18:AS18,B$152)+COUNTIF('5月'!AW18:AX18,B$152)+COUNTIF('5月'!BB18:BC18,B$152)+COUNTIF('5月'!BG18:BH18,B$152)+COUNTIF('5月'!BL18:BM18,B$152)+COUNTIF('5月'!BQ18:BR18,B$152)+COUNTIF('5月'!BV18:BW18,B$152)+COUNTIF('5月'!CA18:CB18,B$152)+COUNTIF('5月'!CF18:CG18,B$152)+COUNTIF('5月'!CK18:CL18,B$152)+COUNTIF('5月'!CP18:CQ18,B$152)+COUNTIF('5月'!CU18:CV18,B$152)+COUNTIF('5月'!CZ18:DA18,B$152)+COUNTIF('5月'!DE18:DF18,B$152)+COUNTIF('5月'!DJ18:DK18,B$152)+COUNTIF('5月'!DO18:DP18,B$152)+COUNTIF('5月'!DT18:DU18,B$152)+COUNTIF('5月'!DY18:DZ18,B$152)+COUNTIF('5月'!ED18:EE18,B$152)+COUNTIF('5月'!EI18:EJ18,B$152)+COUNTIF('5月'!EN18:EO18,B$152)+COUNTIF('5月'!ES18:ET18,B$152)</f>
        <v>0</v>
      </c>
      <c r="C168" s="76">
        <f t="shared" si="48"/>
        <v>0</v>
      </c>
      <c r="D168" s="76">
        <f>COUNTIF('5月'!D18:E18,D$152)+COUNTIF('5月'!I18:J18,D$152)+COUNTIF('5月'!N18:O18,D$152)+COUNTIF('5月'!S18:T18,D$152)+COUNTIF('5月'!X18:Y18,D$152)+COUNTIF('5月'!AC18:AD18,D$152)+COUNTIF('5月'!AH18:AI18,D$152)+COUNTIF('5月'!AM18:AN18,D$152)+COUNTIF('5月'!AR18:AS18,D$152)+COUNTIF('5月'!AW18:AX18,D$152)+COUNTIF('5月'!BB18:BC18,D$152)+COUNTIF('5月'!BG18:BH18,D$152)+COUNTIF('5月'!BL18:BM18,D$152)+COUNTIF('5月'!BQ18:BR18,D$152)+COUNTIF('5月'!BV18:BW18,D$152)+COUNTIF('5月'!CA18:CB18,D$152)+COUNTIF('5月'!CF18:CG18,D$152)+COUNTIF('5月'!CK18:CL18,D$152)+COUNTIF('5月'!CP18:CQ18,D$152)+COUNTIF('5月'!CU18:CV18,D$152)+COUNTIF('5月'!CZ18:DA18,D$152)+COUNTIF('5月'!DE18:DF18,D$152)+COUNTIF('5月'!DJ18:DK18,D$152)+COUNTIF('5月'!DO18:DP18,D$152)+COUNTIF('5月'!DT18:DU18,D$152)+COUNTIF('5月'!DY18:DZ18,D$152)+COUNTIF('5月'!ED18:EE18,D$152)+COUNTIF('5月'!EI18:EJ18,D$152)+COUNTIF('5月'!EN18:EO18,D$152)+COUNTIF('5月'!ES18:ET18,D$152)</f>
        <v>0</v>
      </c>
      <c r="E168" s="76">
        <f t="shared" si="49"/>
        <v>0</v>
      </c>
      <c r="F168" s="76">
        <f>COUNTIF('5月'!D18:E18,F$152)+COUNTIF('5月'!I18:J18,F$152)+COUNTIF('5月'!N18:O18,F$152)+COUNTIF('5月'!S18:T18,F$152)+COUNTIF('5月'!X18:Y18,F$152)+COUNTIF('5月'!AC18:AD18,F$152)+COUNTIF('5月'!AH18:AI18,F$152)+COUNTIF('5月'!AM18:AN18,F$152)+COUNTIF('5月'!AR18:AS18,F$152)+COUNTIF('5月'!AW18:AX18,F$152)+COUNTIF('5月'!BB18:BC18,F$152)+COUNTIF('5月'!BG18:BH18,F$152)+COUNTIF('5月'!BL18:BM18,F$152)+COUNTIF('5月'!BQ18:BR18,F$152)+COUNTIF('5月'!BV18:BW18,F$152)+COUNTIF('5月'!CA18:CB18,F$152)+COUNTIF('5月'!CF18:CG18,F$152)+COUNTIF('5月'!CK18:CL18,F$152)+COUNTIF('5月'!CP18:CQ18,F$152)+COUNTIF('5月'!CU18:CV18,F$152)+COUNTIF('5月'!CZ18:DA18,F$152)+COUNTIF('5月'!DE18:DF18,F$152)+COUNTIF('5月'!DJ18:DK18,F$152)+COUNTIF('5月'!DO18:DP18,F$152)+COUNTIF('5月'!DT18:DU18,F$152)+COUNTIF('5月'!DY18:DZ18,F$152)+COUNTIF('5月'!ED18:EE18,F$152)+COUNTIF('5月'!EI18:EJ18,F$152)+COUNTIF('5月'!EN18:EO18,F$152)+COUNTIF('5月'!ES18:ET18,F$152)</f>
        <v>0</v>
      </c>
      <c r="G168" s="76">
        <f t="shared" si="50"/>
        <v>0</v>
      </c>
      <c r="H168" s="76">
        <f>COUNTIF('5月'!D18:E18,H$152)+COUNTIF('5月'!I18:J18,H$152)+COUNTIF('5月'!N18:O18,H$152)+COUNTIF('5月'!S18:T18,H$152)+COUNTIF('5月'!X18:Y18,H$152)+COUNTIF('5月'!AC18:AD18,H$152)+COUNTIF('5月'!AH18:AI18,H$152)+COUNTIF('5月'!AM18:AN18,H$152)+COUNTIF('5月'!AR18:AS18,H$152)+COUNTIF('5月'!AW18:AX18,H$152)+COUNTIF('5月'!BB18:BC18,H$152)+COUNTIF('5月'!BG18:BH18,H$152)+COUNTIF('5月'!BL18:BM18,H$152)+COUNTIF('5月'!BQ18:BR18,H$152)+COUNTIF('5月'!BV18:BW18,H$152)+COUNTIF('5月'!CA18:CB18,H$152)+COUNTIF('5月'!CF18:CG18,H$152)+COUNTIF('5月'!CK18:CL18,H$152)+COUNTIF('5月'!CP18:CQ18,H$152)+COUNTIF('5月'!CU18:CV18,H$152)+COUNTIF('5月'!CZ18:DA18,H$152)+COUNTIF('5月'!DE18:DF18,H$152)+COUNTIF('5月'!DJ18:DK18,H$152)+COUNTIF('5月'!DO18:DP18,H$152)+COUNTIF('5月'!DT18:DU18,H$152)+COUNTIF('5月'!DY18:DZ18,H$152)+COUNTIF('5月'!ED18:EE18,H$152)+COUNTIF('5月'!EI18:EJ18,H$152)+COUNTIF('5月'!EN18:EO18,H$152)+COUNTIF('5月'!ES18:ET18,H$152)+COUNTIF('5月'!D18:E18,"渋谷-夜勤")+COUNTIF('5月'!I18:J18,"渋谷-夜勤")+COUNTIF('5月'!N18:O18,"渋谷-夜勤")+COUNTIF('5月'!S18:T18,"渋谷-夜勤")+COUNTIF('5月'!X18:Y18,"渋谷-夜勤")+COUNTIF('5月'!AC18:AD18,"渋谷-夜勤")+COUNTIF('5月'!AH18:AI18,"渋谷-夜勤")+COUNTIF('5月'!AM18:AN18,"渋谷-夜勤")+COUNTIF('5月'!AR18:AS18,"渋谷-夜勤")+COUNTIF('5月'!AW18:AX18,"渋谷-夜勤")+COUNTIF('5月'!BB18:BC18,"渋谷-夜勤")+COUNTIF('5月'!BG18:BH18,"渋谷-夜勤")+COUNTIF('5月'!BL18:BM18,"渋谷-夜勤")+COUNTIF('5月'!BQ18:BR18,"渋谷-夜勤")+COUNTIF('5月'!BV18:BW18,"渋谷-夜勤")+COUNTIF('5月'!CA18:CB18,"渋谷-夜勤")+COUNTIF('5月'!CF18:CG18,"渋谷-夜勤")+COUNTIF('5月'!CK18:CL18,"渋谷-夜勤")+COUNTIF('5月'!CP18:CQ18,"渋谷-夜勤")+COUNTIF('5月'!CU18:CV18,"渋谷-夜勤")+COUNTIF('5月'!CZ18:DA18,"渋谷-夜勤")+COUNTIF('5月'!DE18:DF18,"渋谷-夜勤")+COUNTIF('5月'!DJ18:DK18,"渋谷-夜勤")+COUNTIF('5月'!DO18:DP18,"渋谷-夜勤")+COUNTIF('5月'!DT18:DU18,"渋谷-夜勤")+COUNTIF('5月'!DY18:DZ18,"渋谷-夜勤")+COUNTIF('5月'!ED18:EE18,"渋谷-夜勤")+COUNTIF('5月'!EI18:EJ18,"渋谷-夜勤")+COUNTIF('5月'!EN18:EO18,"渋谷-夜勤")+COUNTIF('5月'!ES18:ET18,"渋谷-夜勤")</f>
        <v>0</v>
      </c>
      <c r="I168" s="76">
        <f t="shared" si="51"/>
        <v>0</v>
      </c>
      <c r="J168" s="76">
        <f>COUNTIF('5月'!D18:E18,J$152)+COUNTIF('5月'!I18:J18,J$152)+COUNTIF('5月'!N18:O18,J$152)+COUNTIF('5月'!S18:T18,J$152)+COUNTIF('5月'!X18:Y18,J$152)+COUNTIF('5月'!AC18:AD18,J$152)+COUNTIF('5月'!AH18:AI18,J$152)+COUNTIF('5月'!AM18:AN18,J$152)+COUNTIF('5月'!AR18:AS18,J$152)+COUNTIF('5月'!AW18:AX18,J$152)+COUNTIF('5月'!BB18:BC18,J$152)+COUNTIF('5月'!BG18:BH18,J$152)+COUNTIF('5月'!BL18:BM18,J$152)+COUNTIF('5月'!BQ18:BR18,J$152)+COUNTIF('5月'!BV18:BW18,J$152)+COUNTIF('5月'!CA18:CB18,J$152)+COUNTIF('5月'!CF18:CG18,J$152)+COUNTIF('5月'!CK18:CL18,J$152)+COUNTIF('5月'!CP18:CQ18,J$152)+COUNTIF('5月'!CU18:CV18,J$152)+COUNTIF('5月'!CZ18:DA18,J$152)+COUNTIF('5月'!DE18:DF18,J$152)+COUNTIF('5月'!DJ18:DK18,J$152)+COUNTIF('5月'!DO18:DP18,J$152)+COUNTIF('5月'!DT18:DU18,J$152)+COUNTIF('5月'!DY18:DZ18,J$152)+COUNTIF('5月'!ED18:EE18,J$152)+COUNTIF('5月'!EI18:EJ18,J$152)+COUNTIF('5月'!EN18:EO18,J$152)+COUNTIF('5月'!ES18:ET18,J$152)+COUNTIF('5月'!D18:E18,"六本木-夜勤")+COUNTIF('5月'!I18:J18,"六本木-夜勤")+COUNTIF('5月'!N18:O18,"六本木-夜勤")+COUNTIF('5月'!S18:T18,"六本木-夜勤")+COUNTIF('5月'!X18:Y18,"六本木-夜勤")+COUNTIF('5月'!AC18:AD18,"六本木-夜勤")+COUNTIF('5月'!AH18:AI18,"六本木-夜勤")+COUNTIF('5月'!AM18:AN18,"六本木-夜勤")+COUNTIF('5月'!AR18:AS18,"六本木-夜勤")+COUNTIF('5月'!AW18:AX18,"六本木-夜勤")+COUNTIF('5月'!BB18:BC18,"六本木-夜勤")+COUNTIF('5月'!BG18:BH18,"六本木-夜勤")+COUNTIF('5月'!BL18:BM18,"六本木-夜勤")+COUNTIF('5月'!BQ18:BR18,"六本木-夜勤")+COUNTIF('5月'!BV18:BW18,"六本木-夜勤")+COUNTIF('5月'!CA18:CB18,"六本木-夜勤")+COUNTIF('5月'!CF18:CG18,"六本木-夜勤")+COUNTIF('5月'!CK18:CL18,"六本木-夜勤")+COUNTIF('5月'!CP18:CQ18,"六本木-夜勤")+COUNTIF('5月'!CU18:CV18,"六本木-夜勤")+COUNTIF('5月'!CZ18:DA18,"六本木-夜勤")+COUNTIF('5月'!DE18:DF18,"六本木-夜勤")+COUNTIF('5月'!DJ18:DK18,"六本木-夜勤")+COUNTIF('5月'!DO18:DP18,"六本木-夜勤")+COUNTIF('5月'!DT18:DU18,"六本木-夜勤")+COUNTIF('5月'!DY18:DZ18,"六本木-夜勤")+COUNTIF('5月'!ED18:EE18,"六本木-夜勤")+COUNTIF('5月'!EI18:EJ18,"六本木-夜勤")+COUNTIF('5月'!EN18:EO18,"六本木-夜勤")+COUNTIF('5月'!ES18:ET18,"六本木-夜勤")+COUNTIF('5月'!D18:E18,"六本木ー夜勤")+COUNTIF('5月'!I18:J18,"六本木ー夜勤")+COUNTIF('5月'!N18:O18,"六本木ー夜勤")+COUNTIF('5月'!S18:T18,"六本木ー夜勤")+COUNTIF('5月'!X18:Y18,"六本木ー夜勤")+COUNTIF('5月'!AC18:AD18,"六本木ー夜勤")+COUNTIF('5月'!AH18:AI18,"六本木ー夜勤")+COUNTIF('5月'!AM18:AN18,"六本木ー夜勤")+COUNTIF('5月'!AR18:AS18,"六本木ー夜勤")+COUNTIF('5月'!AW18:AX18,"六本木ー夜勤")+COUNTIF('5月'!BB18:BC18,"六本木ー夜勤")+COUNTIF('5月'!BG18:BH18,"六本木ー夜勤")+COUNTIF('5月'!BL18:BM18,"六本木ー夜勤")+COUNTIF('5月'!BQ18:BR18,"六本木ー夜勤")+COUNTIF('5月'!BV18:BW18,"六本木ー夜勤")+COUNTIF('5月'!CA18:CB18,"六本木ー夜勤")+COUNTIF('5月'!CF18:CG18,"六本木ー夜勤")+COUNTIF('5月'!CK18:CL18,"六本木ー夜勤")+COUNTIF('5月'!CP18:CQ18,"六本木ー夜勤")+COUNTIF('5月'!CU18:CV18,"六本木ー夜勤")+COUNTIF('5月'!CZ18:DA18,"六本木ー夜勤")+COUNTIF('5月'!DE18:DF18,"六本木ー夜勤")+COUNTIF('5月'!DJ18:DK18,"六本木ー夜勤")+COUNTIF('5月'!DO18:DP18,"六本木ー夜勤")+COUNTIF('5月'!DT18:DU18,"六本木ー夜勤")+COUNTIF('5月'!DY18:DZ18,"六本木ー夜勤")+COUNTIF('5月'!ED18:EE18,"六本木ー夜勤")+COUNTIF('5月'!EI18:EJ18,"六本木ー夜勤")+COUNTIF('5月'!EN18:EO18,"六本木ー夜勤")+COUNTIF('5月'!ES18:ET18,"六本木ー夜勤")</f>
        <v>0</v>
      </c>
      <c r="K168" s="76">
        <f t="shared" si="52"/>
        <v>0</v>
      </c>
      <c r="L168" s="76">
        <f>COUNTIF('5月'!D18:E18,L$152)+COUNTIF('5月'!I18:J18,L$152)+COUNTIF('5月'!N18:O18,L$152)+COUNTIF('5月'!S18:T18,L$152)+COUNTIF('5月'!X18:Y18,L$152)+COUNTIF('5月'!AC18:AD18,L$152)+COUNTIF('5月'!AH18:AI18,L$152)+COUNTIF('5月'!AM18:AN18,L$152)+COUNTIF('5月'!AR18:AS18,L$152)+COUNTIF('5月'!AW18:AX18,L$152)+COUNTIF('5月'!BB18:BC18,L$152)+COUNTIF('5月'!BG18:BH18,L$152)+COUNTIF('5月'!BL18:BM18,L$152)+COUNTIF('5月'!BQ18:BR18,L$152)+COUNTIF('5月'!BV18:BW18,L$152)+COUNTIF('5月'!CA18:CB18,L$152)+COUNTIF('5月'!CF18:CG18,L$152)+COUNTIF('5月'!CK18:CL18,L$152)+COUNTIF('5月'!CP18:CQ18,L$152)+COUNTIF('5月'!CU18:CV18,L$152)+COUNTIF('5月'!CZ18:DA18,L$152)+COUNTIF('5月'!DE18:DF18,L$152)+COUNTIF('5月'!DJ18:DK18,L$152)+COUNTIF('5月'!DO18:DP18,L$152)+COUNTIF('5月'!DT18:DU18,L$152)+COUNTIF('5月'!DY18:DZ18,L$152)+COUNTIF('5月'!ED18:EE18,L$152)+COUNTIF('5月'!EI18:EJ18,L$152)+COUNTIF('5月'!EN18:EO18,L$152)+COUNTIF('5月'!ES18:ET18,L$152)</f>
        <v>0</v>
      </c>
      <c r="M168" s="76">
        <f t="shared" si="53"/>
        <v>0</v>
      </c>
      <c r="N168" s="76">
        <f>COUNTIF('5月'!D18:E18,N$152)+COUNTIF('5月'!I18:J18,N$152)+COUNTIF('5月'!N18:O18,N$152)+COUNTIF('5月'!S18:T18,N$152)+COUNTIF('5月'!X18:Y18,N$152)+COUNTIF('5月'!AC18:AD18,N$152)+COUNTIF('5月'!AH18:AI18,N$152)+COUNTIF('5月'!AM18:AN18,N$152)+COUNTIF('5月'!AR18:AS18,N$152)+COUNTIF('5月'!AW18:AX18,N$152)+COUNTIF('5月'!BB18:BC18,N$152)+COUNTIF('5月'!BG18:BH18,N$152)+COUNTIF('5月'!BL18:BM18,N$152)+COUNTIF('5月'!BQ18:BR18,N$152)+COUNTIF('5月'!BV18:BW18,N$152)+COUNTIF('5月'!CA18:CB18,N$152)+COUNTIF('5月'!CF18:CG18,N$152)+COUNTIF('5月'!CK18:CL18,N$152)+COUNTIF('5月'!CP18:CQ18,N$152)+COUNTIF('5月'!CU18:CV18,N$152)+COUNTIF('5月'!CZ18:DA18,N$152)+COUNTIF('5月'!DE18:DF18,N$152)+COUNTIF('5月'!DJ18:DK18,N$152)+COUNTIF('5月'!DO18:DP18,N$152)+COUNTIF('5月'!DT18:DU18,N$152)+COUNTIF('5月'!DY18:DZ18,N$152)+COUNTIF('5月'!ED18:EE18,N$152)+COUNTIF('5月'!EI18:EJ18,N$152)+COUNTIF('5月'!EN18:EO18,N$152)+COUNTIF('5月'!ES18:ET18,N$152)+COUNTIF('5月'!D18:E18,"三軒茶屋－夜勤")+COUNTIF('5月'!I18:J18,"三軒茶屋－夜勤")+COUNTIF('5月'!N18:O18,"三軒茶屋－夜勤")+COUNTIF('5月'!S18:T18,"三軒茶屋－夜勤")+COUNTIF('5月'!X18:Y18,"三軒茶屋－夜勤")+COUNTIF('5月'!AC18:AD18,"三軒茶屋－夜勤")+COUNTIF('5月'!AH18:AI18,"三軒茶屋－夜勤")+COUNTIF('5月'!AM18:AN18,"三軒茶屋－夜勤")+COUNTIF('5月'!AR18:AS18,"三軒茶屋－夜勤")+COUNTIF('5月'!AW18:AX18,"三軒茶屋－夜勤")+COUNTIF('5月'!BB18:BC18,"三軒茶屋－夜勤")+COUNTIF('5月'!BG18:BH18,"三軒茶屋－夜勤")+COUNTIF('5月'!BL18:BM18,"三軒茶屋－夜勤")+COUNTIF('5月'!BQ18:BR18,"三軒茶屋－夜勤")+COUNTIF('5月'!BV18:BW18,"三軒茶屋－夜勤")+COUNTIF('5月'!CA18:CB18,"三軒茶屋－夜勤")+COUNTIF('5月'!CF18:CG18,"三軒茶屋－夜勤")+COUNTIF('5月'!CK18:CL18,"三軒茶屋－夜勤")+COUNTIF('5月'!CP18:CQ18,"三軒茶屋－夜勤")+COUNTIF('5月'!CU18:CV18,"三軒茶屋－夜勤")+COUNTIF('5月'!CZ18:DA18,"三軒茶屋－夜勤")+COUNTIF('5月'!DE18:DF18,"三軒茶屋－夜勤")+COUNTIF('5月'!DJ18:DK18,"三軒茶屋－夜勤")+COUNTIF('5月'!DO18:DP18,"三軒茶屋－夜勤")+COUNTIF('5月'!DT18:DU18,"三軒茶屋－夜勤")+COUNTIF('5月'!DY18:DZ18,"三軒茶屋－夜勤")+COUNTIF('5月'!ED18:EE18,"三軒茶屋－夜勤")+COUNTIF('5月'!EI18:EJ18,"三軒茶屋－夜勤")+COUNTIF('5月'!EN18:EO18,"三軒茶屋－夜勤")+COUNTIF('5月'!ES18:ET18,"三軒茶屋－夜勤")</f>
        <v>0</v>
      </c>
      <c r="O168" s="76">
        <f t="shared" si="54"/>
        <v>0</v>
      </c>
      <c r="P168" s="76">
        <f>COUNTIF('5月'!D18:E18,P$152)+COUNTIF('5月'!I18:J18,P$152)+COUNTIF('5月'!N18:O18,P$152)+COUNTIF('5月'!S18:T18,P$152)+COUNTIF('5月'!X18:Y18,P$152)+COUNTIF('5月'!AC18:AD18,P$152)+COUNTIF('5月'!AH18:AI18,P$152)+COUNTIF('5月'!AM18:AN18,P$152)+COUNTIF('5月'!AR18:AS18,P$152)+COUNTIF('5月'!AW18:AX18,P$152)+COUNTIF('5月'!BB18:BC18,P$152)+COUNTIF('5月'!BG18:BH18,P$152)+COUNTIF('5月'!BL18:BM18,P$152)+COUNTIF('5月'!BQ18:BR18,P$152)+COUNTIF('5月'!BV18:BW18,P$152)+COUNTIF('5月'!CA18:CB18,P$152)+COUNTIF('5月'!CF18:CG18,P$152)+COUNTIF('5月'!CK18:CL18,P$152)+COUNTIF('5月'!CP18:CQ18,P$152)+COUNTIF('5月'!CU18:CV18,P$152)+COUNTIF('5月'!CZ18:DA18,P$152)+COUNTIF('5月'!DE18:DF18,P$152)+COUNTIF('5月'!DJ18:DK18,P$152)+COUNTIF('5月'!DO18:DP18,P$152)+COUNTIF('5月'!DT18:DU18,P$152)+COUNTIF('5月'!DY18:DZ18,P$152)+COUNTIF('5月'!ED18:EE18,P$152)+COUNTIF('5月'!EI18:EJ18,P$152)+COUNTIF('5月'!EN18:EO18,P$152)+COUNTIF('5月'!ES18:ET18,P$152)+COUNTIF('5月'!D18:E18,"荻窪ー夜勤")+COUNTIF('5月'!I18:J18,"荻窪ー夜勤")+COUNTIF('5月'!N18:O18,"荻窪ー夜勤")+COUNTIF('5月'!S18:T18,"荻窪ー夜勤")+COUNTIF('5月'!X18:Y18,"荻窪ー夜勤")+COUNTIF('5月'!AC18:AD18,"荻窪ー夜勤")+COUNTIF('5月'!AH18:AI18,"荻窪ー夜勤")+COUNTIF('5月'!AM18:AN18,"荻窪ー夜勤")+COUNTIF('5月'!AR18:AS18,"荻窪ー夜勤")+COUNTIF('5月'!AW18:AX18,"荻窪ー夜勤")+COUNTIF('5月'!BB18:BC18,"荻窪ー夜勤")+COUNTIF('5月'!BG18:BH18,"荻窪ー夜勤")+COUNTIF('5月'!BL18:BM18,"荻窪ー夜勤")+COUNTIF('5月'!BQ18:BR18,"荻窪ー夜勤")+COUNTIF('5月'!BV18:BW18,"荻窪ー夜勤")+COUNTIF('5月'!CA18:CB18,"荻窪ー夜勤")+COUNTIF('5月'!CF18:CG18,"荻窪ー夜勤")+COUNTIF('5月'!CK18:CL18,"荻窪ー夜勤")+COUNTIF('5月'!CP18:CQ18,"荻窪ー夜勤")+COUNTIF('5月'!CU18:CV18,"荻窪ー夜勤")+COUNTIF('5月'!CZ18:DA18,"荻窪ー夜勤")+COUNTIF('5月'!DE18:DF18,"荻窪ー夜勤")+COUNTIF('5月'!DJ18:DK18,"荻窪ー夜勤")+COUNTIF('5月'!DO18:DP18,"荻窪ー夜勤")+COUNTIF('5月'!DT18:DU18,"荻窪ー夜勤")+COUNTIF('5月'!DY18:DZ18,"荻窪ー夜勤")+COUNTIF('5月'!ED18:EE18,"荻窪ー夜勤")+COUNTIF('5月'!EI18:EJ18,"荻窪ー夜勤")+COUNTIF('5月'!EN18:EO18,"荻窪ー夜勤")+COUNTIF('5月'!ES18:ET18,"荻窪ー夜勤")</f>
        <v>0</v>
      </c>
      <c r="Q168" s="76">
        <f t="shared" si="55"/>
        <v>0</v>
      </c>
      <c r="R168" s="76">
        <f>COUNTIF('5月'!D18:E18,R$152)+COUNTIF('5月'!I18:J18,R$152)+COUNTIF('5月'!N18:O18,R$152)+COUNTIF('5月'!S18:T18,R$152)+COUNTIF('5月'!X18:Y18,R$152)+COUNTIF('5月'!AC18:AD18,R$152)+COUNTIF('5月'!AH18:AI18,R$152)+COUNTIF('5月'!AM18:AN18,R$152)+COUNTIF('5月'!AR18:AS18,R$152)+COUNTIF('5月'!AW18:AX18,R$152)+COUNTIF('5月'!BB18:BC18,R$152)+COUNTIF('5月'!BG18:BH18,R$152)+COUNTIF('5月'!BL18:BM18,R$152)+COUNTIF('5月'!BQ18:BR18,R$152)+COUNTIF('5月'!BV18:BW18,R$152)+COUNTIF('5月'!CA18:CB18,R$152)+COUNTIF('5月'!CF18:CG18,R$152)+COUNTIF('5月'!CK18:CL18,R$152)+COUNTIF('5月'!CP18:CQ18,R$152)+COUNTIF('5月'!CU18:CV18,R$152)+COUNTIF('5月'!CZ18:DA18,R$152)+COUNTIF('5月'!DE18:DF18,R$152)+COUNTIF('5月'!DJ18:DK18,R$152)+COUNTIF('5月'!DO18:DP18,R$152)+COUNTIF('5月'!DT18:DU18,R$152)+COUNTIF('5月'!DY18:DZ18,R$152)+COUNTIF('5月'!ED18:EE18,R$152)+COUNTIF('5月'!EI18:EJ18,R$152)+COUNTIF('5月'!EN18:EO18,R$152)+COUNTIF('5月'!ES18:ET18,R$152)</f>
        <v>0</v>
      </c>
      <c r="S168" s="76">
        <f t="shared" si="56"/>
        <v>0</v>
      </c>
      <c r="T168" s="76">
        <f>COUNTIF('5月'!D18:E18,T$152)+COUNTIF('5月'!I18:J18,T$152)+COUNTIF('5月'!N18:O18,T$152)+COUNTIF('5月'!S18:T18,T$152)+COUNTIF('5月'!X18:Y18,T$152)+COUNTIF('5月'!AC18:AD18,T$152)+COUNTIF('5月'!AH18:AI18,T$152)+COUNTIF('5月'!AM18:AN18,T$152)+COUNTIF('5月'!AR18:AS18,T$152)+COUNTIF('5月'!AW18:AX18,T$152)+COUNTIF('5月'!BB18:BC18,T$152)+COUNTIF('5月'!BG18:BH18,T$152)+COUNTIF('5月'!BL18:BM18,T$152)+COUNTIF('5月'!BQ18:BR18,T$152)+COUNTIF('5月'!BV18:BW18,T$152)+COUNTIF('5月'!CA18:CB18,T$152)+COUNTIF('5月'!CF18:CG18,T$152)+COUNTIF('5月'!CK18:CL18,T$152)+COUNTIF('5月'!CP18:CQ18,T$152)+COUNTIF('5月'!CU18:CV18,T$152)+COUNTIF('5月'!CZ18:DA18,T$152)+COUNTIF('5月'!DE18:DF18,T$152)+COUNTIF('5月'!DJ18:DK18,T$152)+COUNTIF('5月'!DO18:DP18,T$152)+COUNTIF('5月'!DT18:DU18,T$152)+COUNTIF('5月'!DY18:DZ18,T$152)+COUNTIF('5月'!ED18:EE18,T$152)+COUNTIF('5月'!EI18:EJ18,T$152)+COUNTIF('5月'!EN18:EO18,T$152)+COUNTIF('5月'!ES18:ET18,T$152)</f>
        <v>0</v>
      </c>
      <c r="U168" s="76">
        <f t="shared" si="57"/>
        <v>0</v>
      </c>
      <c r="V168" s="76">
        <f>COUNTIF('5月'!D18:E18,V$152)+COUNTIF('5月'!I18:J18,V$152)+COUNTIF('5月'!N18:O18,V$152)+COUNTIF('5月'!S18:T18,V$152)+COUNTIF('5月'!X18:Y18,V$152)+COUNTIF('5月'!AC18:AD18,V$152)+COUNTIF('5月'!AH18:AI18,V$152)+COUNTIF('5月'!AM18:AN18,V$152)+COUNTIF('5月'!AR18:AS18,V$152)+COUNTIF('5月'!AW18:AX18,V$152)+COUNTIF('5月'!BB18:BC18,V$152)+COUNTIF('5月'!BG18:BH18,V$152)+COUNTIF('5月'!BL18:BM18,V$152)+COUNTIF('5月'!BQ18:BR18,V$152)+COUNTIF('5月'!BV18:BW18,V$152)+COUNTIF('5月'!CA18:CB18,V$152)+COUNTIF('5月'!CF18:CG18,V$152)+COUNTIF('5月'!CK18:CL18,V$152)+COUNTIF('5月'!CP18:CQ18,V$152)+COUNTIF('5月'!CU18:CV18,V$152)+COUNTIF('5月'!CZ18:DA18,V$152)+COUNTIF('5月'!DE18:DF18,V$152)+COUNTIF('5月'!DJ18:DK18,V$152)+COUNTIF('5月'!DO18:DP18,V$152)+COUNTIF('5月'!DT18:DU18,V$152)+COUNTIF('5月'!DY18:DZ18,V$152)+COUNTIF('5月'!ED18:EE18,V$152)+COUNTIF('5月'!EI18:EJ18,V$152)+COUNTIF('5月'!EN18:EO18,V$152)+COUNTIF('5月'!ES18:ET18,V$152)</f>
        <v>0</v>
      </c>
      <c r="W168" s="76">
        <f t="shared" si="58"/>
        <v>0</v>
      </c>
      <c r="X168" s="76">
        <f>COUNTIF('5月'!D18:E18,X$152)+COUNTIF('5月'!I18:J18,X$152)+COUNTIF('5月'!N18:O18,X$152)+COUNTIF('5月'!S18:T18,X$152)+COUNTIF('5月'!X18:Y18,X$152)+COUNTIF('5月'!AC18:AD18,X$152)+COUNTIF('5月'!AH18:AI18,X$152)+COUNTIF('5月'!AM18:AN18,X$152)+COUNTIF('5月'!AR18:AS18,X$152)+COUNTIF('5月'!AW18:AX18,X$152)+COUNTIF('5月'!BB18:BC18,X$152)+COUNTIF('5月'!BG18:BH18,X$152)+COUNTIF('5月'!BL18:BM18,X$152)+COUNTIF('5月'!BQ18:BR18,X$152)+COUNTIF('5月'!BV18:BW18,X$152)+COUNTIF('5月'!CA18:CB18,X$152)+COUNTIF('5月'!CF18:CG18,X$152)+COUNTIF('5月'!CK18:CL18,X$152)+COUNTIF('5月'!CP18:CQ18,X$152)+COUNTIF('5月'!CU18:CV18,X$152)+COUNTIF('5月'!CZ18:DA18,X$152)+COUNTIF('5月'!DE18:DF18,X$152)+COUNTIF('5月'!DJ18:DK18,X$152)+COUNTIF('5月'!DO18:DP18,X$152)+COUNTIF('5月'!DT18:DU18,X$152)+COUNTIF('5月'!DY18:DZ18,X$152)+COUNTIF('5月'!ED18:EE18,X$152)+COUNTIF('5月'!EI18:EJ18,X$152)+COUNTIF('5月'!EN18:EO18,X$152)+COUNTIF('5月'!ES18:ET18,X$152)</f>
        <v>0</v>
      </c>
      <c r="Y168" s="76">
        <f t="shared" si="59"/>
        <v>0</v>
      </c>
    </row>
    <row r="169" spans="1:25" ht="18" customHeight="1">
      <c r="A169" s="76">
        <v>16</v>
      </c>
      <c r="B169" s="76">
        <f>COUNTIF('5月'!D19:E19,B$152)+COUNTIF('5月'!I19:J19,B$152)+COUNTIF('5月'!N19:O19,B$152)+COUNTIF('5月'!S19:T19,B$152)+COUNTIF('5月'!X19:Y19,B$152)+COUNTIF('5月'!AC19:AD19,B$152)+COUNTIF('5月'!AH19:AI19,B$152)+COUNTIF('5月'!AM19:AN19,B$152)+COUNTIF('5月'!AR19:AS19,B$152)+COUNTIF('5月'!AW19:AX19,B$152)+COUNTIF('5月'!BB19:BC19,B$152)+COUNTIF('5月'!BG19:BH19,B$152)+COUNTIF('5月'!BL19:BM19,B$152)+COUNTIF('5月'!BQ19:BR19,B$152)+COUNTIF('5月'!BV19:BW19,B$152)+COUNTIF('5月'!CA19:CB19,B$152)+COUNTIF('5月'!CF19:CG19,B$152)+COUNTIF('5月'!CK19:CL19,B$152)+COUNTIF('5月'!CP19:CQ19,B$152)+COUNTIF('5月'!CU19:CV19,B$152)+COUNTIF('5月'!CZ19:DA19,B$152)+COUNTIF('5月'!DE19:DF19,B$152)+COUNTIF('5月'!DJ19:DK19,B$152)+COUNTIF('5月'!DO19:DP19,B$152)+COUNTIF('5月'!DT19:DU19,B$152)+COUNTIF('5月'!DY19:DZ19,B$152)+COUNTIF('5月'!ED19:EE19,B$152)+COUNTIF('5月'!EI19:EJ19,B$152)+COUNTIF('5月'!EN19:EO19,B$152)+COUNTIF('5月'!ES19:ET19,B$152)</f>
        <v>0</v>
      </c>
      <c r="C169" s="76">
        <f t="shared" si="48"/>
        <v>0</v>
      </c>
      <c r="D169" s="76">
        <f>COUNTIF('5月'!D19:E19,D$152)+COUNTIF('5月'!I19:J19,D$152)+COUNTIF('5月'!N19:O19,D$152)+COUNTIF('5月'!S19:T19,D$152)+COUNTIF('5月'!X19:Y19,D$152)+COUNTIF('5月'!AC19:AD19,D$152)+COUNTIF('5月'!AH19:AI19,D$152)+COUNTIF('5月'!AM19:AN19,D$152)+COUNTIF('5月'!AR19:AS19,D$152)+COUNTIF('5月'!AW19:AX19,D$152)+COUNTIF('5月'!BB19:BC19,D$152)+COUNTIF('5月'!BG19:BH19,D$152)+COUNTIF('5月'!BL19:BM19,D$152)+COUNTIF('5月'!BQ19:BR19,D$152)+COUNTIF('5月'!BV19:BW19,D$152)+COUNTIF('5月'!CA19:CB19,D$152)+COUNTIF('5月'!CF19:CG19,D$152)+COUNTIF('5月'!CK19:CL19,D$152)+COUNTIF('5月'!CP19:CQ19,D$152)+COUNTIF('5月'!CU19:CV19,D$152)+COUNTIF('5月'!CZ19:DA19,D$152)+COUNTIF('5月'!DE19:DF19,D$152)+COUNTIF('5月'!DJ19:DK19,D$152)+COUNTIF('5月'!DO19:DP19,D$152)+COUNTIF('5月'!DT19:DU19,D$152)+COUNTIF('5月'!DY19:DZ19,D$152)+COUNTIF('5月'!ED19:EE19,D$152)+COUNTIF('5月'!EI19:EJ19,D$152)+COUNTIF('5月'!EN19:EO19,D$152)+COUNTIF('5月'!ES19:ET19,D$152)</f>
        <v>0</v>
      </c>
      <c r="E169" s="76">
        <f t="shared" si="49"/>
        <v>0</v>
      </c>
      <c r="F169" s="76">
        <f>COUNTIF('5月'!D19:E19,F$152)+COUNTIF('5月'!I19:J19,F$152)+COUNTIF('5月'!N19:O19,F$152)+COUNTIF('5月'!S19:T19,F$152)+COUNTIF('5月'!X19:Y19,F$152)+COUNTIF('5月'!AC19:AD19,F$152)+COUNTIF('5月'!AH19:AI19,F$152)+COUNTIF('5月'!AM19:AN19,F$152)+COUNTIF('5月'!AR19:AS19,F$152)+COUNTIF('5月'!AW19:AX19,F$152)+COUNTIF('5月'!BB19:BC19,F$152)+COUNTIF('5月'!BG19:BH19,F$152)+COUNTIF('5月'!BL19:BM19,F$152)+COUNTIF('5月'!BQ19:BR19,F$152)+COUNTIF('5月'!BV19:BW19,F$152)+COUNTIF('5月'!CA19:CB19,F$152)+COUNTIF('5月'!CF19:CG19,F$152)+COUNTIF('5月'!CK19:CL19,F$152)+COUNTIF('5月'!CP19:CQ19,F$152)+COUNTIF('5月'!CU19:CV19,F$152)+COUNTIF('5月'!CZ19:DA19,F$152)+COUNTIF('5月'!DE19:DF19,F$152)+COUNTIF('5月'!DJ19:DK19,F$152)+COUNTIF('5月'!DO19:DP19,F$152)+COUNTIF('5月'!DT19:DU19,F$152)+COUNTIF('5月'!DY19:DZ19,F$152)+COUNTIF('5月'!ED19:EE19,F$152)+COUNTIF('5月'!EI19:EJ19,F$152)+COUNTIF('5月'!EN19:EO19,F$152)+COUNTIF('5月'!ES19:ET19,F$152)</f>
        <v>0</v>
      </c>
      <c r="G169" s="76">
        <f t="shared" si="50"/>
        <v>0</v>
      </c>
      <c r="H169" s="76">
        <f>COUNTIF('5月'!D19:E19,H$152)+COUNTIF('5月'!I19:J19,H$152)+COUNTIF('5月'!N19:O19,H$152)+COUNTIF('5月'!S19:T19,H$152)+COUNTIF('5月'!X19:Y19,H$152)+COUNTIF('5月'!AC19:AD19,H$152)+COUNTIF('5月'!AH19:AI19,H$152)+COUNTIF('5月'!AM19:AN19,H$152)+COUNTIF('5月'!AR19:AS19,H$152)+COUNTIF('5月'!AW19:AX19,H$152)+COUNTIF('5月'!BB19:BC19,H$152)+COUNTIF('5月'!BG19:BH19,H$152)+COUNTIF('5月'!BL19:BM19,H$152)+COUNTIF('5月'!BQ19:BR19,H$152)+COUNTIF('5月'!BV19:BW19,H$152)+COUNTIF('5月'!CA19:CB19,H$152)+COUNTIF('5月'!CF19:CG19,H$152)+COUNTIF('5月'!CK19:CL19,H$152)+COUNTIF('5月'!CP19:CQ19,H$152)+COUNTIF('5月'!CU19:CV19,H$152)+COUNTIF('5月'!CZ19:DA19,H$152)+COUNTIF('5月'!DE19:DF19,H$152)+COUNTIF('5月'!DJ19:DK19,H$152)+COUNTIF('5月'!DO19:DP19,H$152)+COUNTIF('5月'!DT19:DU19,H$152)+COUNTIF('5月'!DY19:DZ19,H$152)+COUNTIF('5月'!ED19:EE19,H$152)+COUNTIF('5月'!EI19:EJ19,H$152)+COUNTIF('5月'!EN19:EO19,H$152)+COUNTIF('5月'!ES19:ET19,H$152)+COUNTIF('5月'!D19:E19,"渋谷-夜勤")+COUNTIF('5月'!I19:J19,"渋谷-夜勤")+COUNTIF('5月'!N19:O19,"渋谷-夜勤")+COUNTIF('5月'!S19:T19,"渋谷-夜勤")+COUNTIF('5月'!X19:Y19,"渋谷-夜勤")+COUNTIF('5月'!AC19:AD19,"渋谷-夜勤")+COUNTIF('5月'!AH19:AI19,"渋谷-夜勤")+COUNTIF('5月'!AM19:AN19,"渋谷-夜勤")+COUNTIF('5月'!AR19:AS19,"渋谷-夜勤")+COUNTIF('5月'!AW19:AX19,"渋谷-夜勤")+COUNTIF('5月'!BB19:BC19,"渋谷-夜勤")+COUNTIF('5月'!BG19:BH19,"渋谷-夜勤")+COUNTIF('5月'!BL19:BM19,"渋谷-夜勤")+COUNTIF('5月'!BQ19:BR19,"渋谷-夜勤")+COUNTIF('5月'!BV19:BW19,"渋谷-夜勤")+COUNTIF('5月'!CA19:CB19,"渋谷-夜勤")+COUNTIF('5月'!CF19:CG19,"渋谷-夜勤")+COUNTIF('5月'!CK19:CL19,"渋谷-夜勤")+COUNTIF('5月'!CP19:CQ19,"渋谷-夜勤")+COUNTIF('5月'!CU19:CV19,"渋谷-夜勤")+COUNTIF('5月'!CZ19:DA19,"渋谷-夜勤")+COUNTIF('5月'!DE19:DF19,"渋谷-夜勤")+COUNTIF('5月'!DJ19:DK19,"渋谷-夜勤")+COUNTIF('5月'!DO19:DP19,"渋谷-夜勤")+COUNTIF('5月'!DT19:DU19,"渋谷-夜勤")+COUNTIF('5月'!DY19:DZ19,"渋谷-夜勤")+COUNTIF('5月'!ED19:EE19,"渋谷-夜勤")+COUNTIF('5月'!EI19:EJ19,"渋谷-夜勤")+COUNTIF('5月'!EN19:EO19,"渋谷-夜勤")+COUNTIF('5月'!ES19:ET19,"渋谷-夜勤")</f>
        <v>0</v>
      </c>
      <c r="I169" s="76">
        <f t="shared" si="51"/>
        <v>0</v>
      </c>
      <c r="J169" s="76">
        <f>COUNTIF('5月'!D19:E19,J$152)+COUNTIF('5月'!I19:J19,J$152)+COUNTIF('5月'!N19:O19,J$152)+COUNTIF('5月'!S19:T19,J$152)+COUNTIF('5月'!X19:Y19,J$152)+COUNTIF('5月'!AC19:AD19,J$152)+COUNTIF('5月'!AH19:AI19,J$152)+COUNTIF('5月'!AM19:AN19,J$152)+COUNTIF('5月'!AR19:AS19,J$152)+COUNTIF('5月'!AW19:AX19,J$152)+COUNTIF('5月'!BB19:BC19,J$152)+COUNTIF('5月'!BG19:BH19,J$152)+COUNTIF('5月'!BL19:BM19,J$152)+COUNTIF('5月'!BQ19:BR19,J$152)+COUNTIF('5月'!BV19:BW19,J$152)+COUNTIF('5月'!CA19:CB19,J$152)+COUNTIF('5月'!CF19:CG19,J$152)+COUNTIF('5月'!CK19:CL19,J$152)+COUNTIF('5月'!CP19:CQ19,J$152)+COUNTIF('5月'!CU19:CV19,J$152)+COUNTIF('5月'!CZ19:DA19,J$152)+COUNTIF('5月'!DE19:DF19,J$152)+COUNTIF('5月'!DJ19:DK19,J$152)+COUNTIF('5月'!DO19:DP19,J$152)+COUNTIF('5月'!DT19:DU19,J$152)+COUNTIF('5月'!DY19:DZ19,J$152)+COUNTIF('5月'!ED19:EE19,J$152)+COUNTIF('5月'!EI19:EJ19,J$152)+COUNTIF('5月'!EN19:EO19,J$152)+COUNTIF('5月'!ES19:ET19,J$152)+COUNTIF('5月'!D19:E19,"六本木-夜勤")+COUNTIF('5月'!I19:J19,"六本木-夜勤")+COUNTIF('5月'!N19:O19,"六本木-夜勤")+COUNTIF('5月'!S19:T19,"六本木-夜勤")+COUNTIF('5月'!X19:Y19,"六本木-夜勤")+COUNTIF('5月'!AC19:AD19,"六本木-夜勤")+COUNTIF('5月'!AH19:AI19,"六本木-夜勤")+COUNTIF('5月'!AM19:AN19,"六本木-夜勤")+COUNTIF('5月'!AR19:AS19,"六本木-夜勤")+COUNTIF('5月'!AW19:AX19,"六本木-夜勤")+COUNTIF('5月'!BB19:BC19,"六本木-夜勤")+COUNTIF('5月'!BG19:BH19,"六本木-夜勤")+COUNTIF('5月'!BL19:BM19,"六本木-夜勤")+COUNTIF('5月'!BQ19:BR19,"六本木-夜勤")+COUNTIF('5月'!BV19:BW19,"六本木-夜勤")+COUNTIF('5月'!CA19:CB19,"六本木-夜勤")+COUNTIF('5月'!CF19:CG19,"六本木-夜勤")+COUNTIF('5月'!CK19:CL19,"六本木-夜勤")+COUNTIF('5月'!CP19:CQ19,"六本木-夜勤")+COUNTIF('5月'!CU19:CV19,"六本木-夜勤")+COUNTIF('5月'!CZ19:DA19,"六本木-夜勤")+COUNTIF('5月'!DE19:DF19,"六本木-夜勤")+COUNTIF('5月'!DJ19:DK19,"六本木-夜勤")+COUNTIF('5月'!DO19:DP19,"六本木-夜勤")+COUNTIF('5月'!DT19:DU19,"六本木-夜勤")+COUNTIF('5月'!DY19:DZ19,"六本木-夜勤")+COUNTIF('5月'!ED19:EE19,"六本木-夜勤")+COUNTIF('5月'!EI19:EJ19,"六本木-夜勤")+COUNTIF('5月'!EN19:EO19,"六本木-夜勤")+COUNTIF('5月'!ES19:ET19,"六本木-夜勤")+COUNTIF('5月'!D19:E19,"六本木ー夜勤")+COUNTIF('5月'!I19:J19,"六本木ー夜勤")+COUNTIF('5月'!N19:O19,"六本木ー夜勤")+COUNTIF('5月'!S19:T19,"六本木ー夜勤")+COUNTIF('5月'!X19:Y19,"六本木ー夜勤")+COUNTIF('5月'!AC19:AD19,"六本木ー夜勤")+COUNTIF('5月'!AH19:AI19,"六本木ー夜勤")+COUNTIF('5月'!AM19:AN19,"六本木ー夜勤")+COUNTIF('5月'!AR19:AS19,"六本木ー夜勤")+COUNTIF('5月'!AW19:AX19,"六本木ー夜勤")+COUNTIF('5月'!BB19:BC19,"六本木ー夜勤")+COUNTIF('5月'!BG19:BH19,"六本木ー夜勤")+COUNTIF('5月'!BL19:BM19,"六本木ー夜勤")+COUNTIF('5月'!BQ19:BR19,"六本木ー夜勤")+COUNTIF('5月'!BV19:BW19,"六本木ー夜勤")+COUNTIF('5月'!CA19:CB19,"六本木ー夜勤")+COUNTIF('5月'!CF19:CG19,"六本木ー夜勤")+COUNTIF('5月'!CK19:CL19,"六本木ー夜勤")+COUNTIF('5月'!CP19:CQ19,"六本木ー夜勤")+COUNTIF('5月'!CU19:CV19,"六本木ー夜勤")+COUNTIF('5月'!CZ19:DA19,"六本木ー夜勤")+COUNTIF('5月'!DE19:DF19,"六本木ー夜勤")+COUNTIF('5月'!DJ19:DK19,"六本木ー夜勤")+COUNTIF('5月'!DO19:DP19,"六本木ー夜勤")+COUNTIF('5月'!DT19:DU19,"六本木ー夜勤")+COUNTIF('5月'!DY19:DZ19,"六本木ー夜勤")+COUNTIF('5月'!ED19:EE19,"六本木ー夜勤")+COUNTIF('5月'!EI19:EJ19,"六本木ー夜勤")+COUNTIF('5月'!EN19:EO19,"六本木ー夜勤")+COUNTIF('5月'!ES19:ET19,"六本木ー夜勤")</f>
        <v>0</v>
      </c>
      <c r="K169" s="76">
        <f t="shared" si="52"/>
        <v>0</v>
      </c>
      <c r="L169" s="76">
        <f>COUNTIF('5月'!D19:E19,L$152)+COUNTIF('5月'!I19:J19,L$152)+COUNTIF('5月'!N19:O19,L$152)+COUNTIF('5月'!S19:T19,L$152)+COUNTIF('5月'!X19:Y19,L$152)+COUNTIF('5月'!AC19:AD19,L$152)+COUNTIF('5月'!AH19:AI19,L$152)+COUNTIF('5月'!AM19:AN19,L$152)+COUNTIF('5月'!AR19:AS19,L$152)+COUNTIF('5月'!AW19:AX19,L$152)+COUNTIF('5月'!BB19:BC19,L$152)+COUNTIF('5月'!BG19:BH19,L$152)+COUNTIF('5月'!BL19:BM19,L$152)+COUNTIF('5月'!BQ19:BR19,L$152)+COUNTIF('5月'!BV19:BW19,L$152)+COUNTIF('5月'!CA19:CB19,L$152)+COUNTIF('5月'!CF19:CG19,L$152)+COUNTIF('5月'!CK19:CL19,L$152)+COUNTIF('5月'!CP19:CQ19,L$152)+COUNTIF('5月'!CU19:CV19,L$152)+COUNTIF('5月'!CZ19:DA19,L$152)+COUNTIF('5月'!DE19:DF19,L$152)+COUNTIF('5月'!DJ19:DK19,L$152)+COUNTIF('5月'!DO19:DP19,L$152)+COUNTIF('5月'!DT19:DU19,L$152)+COUNTIF('5月'!DY19:DZ19,L$152)+COUNTIF('5月'!ED19:EE19,L$152)+COUNTIF('5月'!EI19:EJ19,L$152)+COUNTIF('5月'!EN19:EO19,L$152)+COUNTIF('5月'!ES19:ET19,L$152)</f>
        <v>0</v>
      </c>
      <c r="M169" s="76">
        <f t="shared" si="53"/>
        <v>0</v>
      </c>
      <c r="N169" s="76">
        <f>COUNTIF('5月'!D19:E19,N$152)+COUNTIF('5月'!I19:J19,N$152)+COUNTIF('5月'!N19:O19,N$152)+COUNTIF('5月'!S19:T19,N$152)+COUNTIF('5月'!X19:Y19,N$152)+COUNTIF('5月'!AC19:AD19,N$152)+COUNTIF('5月'!AH19:AI19,N$152)+COUNTIF('5月'!AM19:AN19,N$152)+COUNTIF('5月'!AR19:AS19,N$152)+COUNTIF('5月'!AW19:AX19,N$152)+COUNTIF('5月'!BB19:BC19,N$152)+COUNTIF('5月'!BG19:BH19,N$152)+COUNTIF('5月'!BL19:BM19,N$152)+COUNTIF('5月'!BQ19:BR19,N$152)+COUNTIF('5月'!BV19:BW19,N$152)+COUNTIF('5月'!CA19:CB19,N$152)+COUNTIF('5月'!CF19:CG19,N$152)+COUNTIF('5月'!CK19:CL19,N$152)+COUNTIF('5月'!CP19:CQ19,N$152)+COUNTIF('5月'!CU19:CV19,N$152)+COUNTIF('5月'!CZ19:DA19,N$152)+COUNTIF('5月'!DE19:DF19,N$152)+COUNTIF('5月'!DJ19:DK19,N$152)+COUNTIF('5月'!DO19:DP19,N$152)+COUNTIF('5月'!DT19:DU19,N$152)+COUNTIF('5月'!DY19:DZ19,N$152)+COUNTIF('5月'!ED19:EE19,N$152)+COUNTIF('5月'!EI19:EJ19,N$152)+COUNTIF('5月'!EN19:EO19,N$152)+COUNTIF('5月'!ES19:ET19,N$152)+COUNTIF('5月'!D19:E19,"三軒茶屋－夜勤")+COUNTIF('5月'!I19:J19,"三軒茶屋－夜勤")+COUNTIF('5月'!N19:O19,"三軒茶屋－夜勤")+COUNTIF('5月'!S19:T19,"三軒茶屋－夜勤")+COUNTIF('5月'!X19:Y19,"三軒茶屋－夜勤")+COUNTIF('5月'!AC19:AD19,"三軒茶屋－夜勤")+COUNTIF('5月'!AH19:AI19,"三軒茶屋－夜勤")+COUNTIF('5月'!AM19:AN19,"三軒茶屋－夜勤")+COUNTIF('5月'!AR19:AS19,"三軒茶屋－夜勤")+COUNTIF('5月'!AW19:AX19,"三軒茶屋－夜勤")+COUNTIF('5月'!BB19:BC19,"三軒茶屋－夜勤")+COUNTIF('5月'!BG19:BH19,"三軒茶屋－夜勤")+COUNTIF('5月'!BL19:BM19,"三軒茶屋－夜勤")+COUNTIF('5月'!BQ19:BR19,"三軒茶屋－夜勤")+COUNTIF('5月'!BV19:BW19,"三軒茶屋－夜勤")+COUNTIF('5月'!CA19:CB19,"三軒茶屋－夜勤")+COUNTIF('5月'!CF19:CG19,"三軒茶屋－夜勤")+COUNTIF('5月'!CK19:CL19,"三軒茶屋－夜勤")+COUNTIF('5月'!CP19:CQ19,"三軒茶屋－夜勤")+COUNTIF('5月'!CU19:CV19,"三軒茶屋－夜勤")+COUNTIF('5月'!CZ19:DA19,"三軒茶屋－夜勤")+COUNTIF('5月'!DE19:DF19,"三軒茶屋－夜勤")+COUNTIF('5月'!DJ19:DK19,"三軒茶屋－夜勤")+COUNTIF('5月'!DO19:DP19,"三軒茶屋－夜勤")+COUNTIF('5月'!DT19:DU19,"三軒茶屋－夜勤")+COUNTIF('5月'!DY19:DZ19,"三軒茶屋－夜勤")+COUNTIF('5月'!ED19:EE19,"三軒茶屋－夜勤")+COUNTIF('5月'!EI19:EJ19,"三軒茶屋－夜勤")+COUNTIF('5月'!EN19:EO19,"三軒茶屋－夜勤")+COUNTIF('5月'!ES19:ET19,"三軒茶屋－夜勤")</f>
        <v>0</v>
      </c>
      <c r="O169" s="76">
        <f t="shared" si="54"/>
        <v>0</v>
      </c>
      <c r="P169" s="76">
        <f>COUNTIF('5月'!D19:E19,P$152)+COUNTIF('5月'!I19:J19,P$152)+COUNTIF('5月'!N19:O19,P$152)+COUNTIF('5月'!S19:T19,P$152)+COUNTIF('5月'!X19:Y19,P$152)+COUNTIF('5月'!AC19:AD19,P$152)+COUNTIF('5月'!AH19:AI19,P$152)+COUNTIF('5月'!AM19:AN19,P$152)+COUNTIF('5月'!AR19:AS19,P$152)+COUNTIF('5月'!AW19:AX19,P$152)+COUNTIF('5月'!BB19:BC19,P$152)+COUNTIF('5月'!BG19:BH19,P$152)+COUNTIF('5月'!BL19:BM19,P$152)+COUNTIF('5月'!BQ19:BR19,P$152)+COUNTIF('5月'!BV19:BW19,P$152)+COUNTIF('5月'!CA19:CB19,P$152)+COUNTIF('5月'!CF19:CG19,P$152)+COUNTIF('5月'!CK19:CL19,P$152)+COUNTIF('5月'!CP19:CQ19,P$152)+COUNTIF('5月'!CU19:CV19,P$152)+COUNTIF('5月'!CZ19:DA19,P$152)+COUNTIF('5月'!DE19:DF19,P$152)+COUNTIF('5月'!DJ19:DK19,P$152)+COUNTIF('5月'!DO19:DP19,P$152)+COUNTIF('5月'!DT19:DU19,P$152)+COUNTIF('5月'!DY19:DZ19,P$152)+COUNTIF('5月'!ED19:EE19,P$152)+COUNTIF('5月'!EI19:EJ19,P$152)+COUNTIF('5月'!EN19:EO19,P$152)+COUNTIF('5月'!ES19:ET19,P$152)+COUNTIF('5月'!D19:E19,"荻窪ー夜勤")+COUNTIF('5月'!I19:J19,"荻窪ー夜勤")+COUNTIF('5月'!N19:O19,"荻窪ー夜勤")+COUNTIF('5月'!S19:T19,"荻窪ー夜勤")+COUNTIF('5月'!X19:Y19,"荻窪ー夜勤")+COUNTIF('5月'!AC19:AD19,"荻窪ー夜勤")+COUNTIF('5月'!AH19:AI19,"荻窪ー夜勤")+COUNTIF('5月'!AM19:AN19,"荻窪ー夜勤")+COUNTIF('5月'!AR19:AS19,"荻窪ー夜勤")+COUNTIF('5月'!AW19:AX19,"荻窪ー夜勤")+COUNTIF('5月'!BB19:BC19,"荻窪ー夜勤")+COUNTIF('5月'!BG19:BH19,"荻窪ー夜勤")+COUNTIF('5月'!BL19:BM19,"荻窪ー夜勤")+COUNTIF('5月'!BQ19:BR19,"荻窪ー夜勤")+COUNTIF('5月'!BV19:BW19,"荻窪ー夜勤")+COUNTIF('5月'!CA19:CB19,"荻窪ー夜勤")+COUNTIF('5月'!CF19:CG19,"荻窪ー夜勤")+COUNTIF('5月'!CK19:CL19,"荻窪ー夜勤")+COUNTIF('5月'!CP19:CQ19,"荻窪ー夜勤")+COUNTIF('5月'!CU19:CV19,"荻窪ー夜勤")+COUNTIF('5月'!CZ19:DA19,"荻窪ー夜勤")+COUNTIF('5月'!DE19:DF19,"荻窪ー夜勤")+COUNTIF('5月'!DJ19:DK19,"荻窪ー夜勤")+COUNTIF('5月'!DO19:DP19,"荻窪ー夜勤")+COUNTIF('5月'!DT19:DU19,"荻窪ー夜勤")+COUNTIF('5月'!DY19:DZ19,"荻窪ー夜勤")+COUNTIF('5月'!ED19:EE19,"荻窪ー夜勤")+COUNTIF('5月'!EI19:EJ19,"荻窪ー夜勤")+COUNTIF('5月'!EN19:EO19,"荻窪ー夜勤")+COUNTIF('5月'!ES19:ET19,"荻窪ー夜勤")</f>
        <v>0</v>
      </c>
      <c r="Q169" s="76">
        <f t="shared" si="55"/>
        <v>0</v>
      </c>
      <c r="R169" s="76">
        <f>COUNTIF('5月'!D19:E19,R$152)+COUNTIF('5月'!I19:J19,R$152)+COUNTIF('5月'!N19:O19,R$152)+COUNTIF('5月'!S19:T19,R$152)+COUNTIF('5月'!X19:Y19,R$152)+COUNTIF('5月'!AC19:AD19,R$152)+COUNTIF('5月'!AH19:AI19,R$152)+COUNTIF('5月'!AM19:AN19,R$152)+COUNTIF('5月'!AR19:AS19,R$152)+COUNTIF('5月'!AW19:AX19,R$152)+COUNTIF('5月'!BB19:BC19,R$152)+COUNTIF('5月'!BG19:BH19,R$152)+COUNTIF('5月'!BL19:BM19,R$152)+COUNTIF('5月'!BQ19:BR19,R$152)+COUNTIF('5月'!BV19:BW19,R$152)+COUNTIF('5月'!CA19:CB19,R$152)+COUNTIF('5月'!CF19:CG19,R$152)+COUNTIF('5月'!CK19:CL19,R$152)+COUNTIF('5月'!CP19:CQ19,R$152)+COUNTIF('5月'!CU19:CV19,R$152)+COUNTIF('5月'!CZ19:DA19,R$152)+COUNTIF('5月'!DE19:DF19,R$152)+COUNTIF('5月'!DJ19:DK19,R$152)+COUNTIF('5月'!DO19:DP19,R$152)+COUNTIF('5月'!DT19:DU19,R$152)+COUNTIF('5月'!DY19:DZ19,R$152)+COUNTIF('5月'!ED19:EE19,R$152)+COUNTIF('5月'!EI19:EJ19,R$152)+COUNTIF('5月'!EN19:EO19,R$152)+COUNTIF('5月'!ES19:ET19,R$152)</f>
        <v>0</v>
      </c>
      <c r="S169" s="76">
        <f t="shared" si="56"/>
        <v>0</v>
      </c>
      <c r="T169" s="76">
        <f>COUNTIF('5月'!D19:E19,T$152)+COUNTIF('5月'!I19:J19,T$152)+COUNTIF('5月'!N19:O19,T$152)+COUNTIF('5月'!S19:T19,T$152)+COUNTIF('5月'!X19:Y19,T$152)+COUNTIF('5月'!AC19:AD19,T$152)+COUNTIF('5月'!AH19:AI19,T$152)+COUNTIF('5月'!AM19:AN19,T$152)+COUNTIF('5月'!AR19:AS19,T$152)+COUNTIF('5月'!AW19:AX19,T$152)+COUNTIF('5月'!BB19:BC19,T$152)+COUNTIF('5月'!BG19:BH19,T$152)+COUNTIF('5月'!BL19:BM19,T$152)+COUNTIF('5月'!BQ19:BR19,T$152)+COUNTIF('5月'!BV19:BW19,T$152)+COUNTIF('5月'!CA19:CB19,T$152)+COUNTIF('5月'!CF19:CG19,T$152)+COUNTIF('5月'!CK19:CL19,T$152)+COUNTIF('5月'!CP19:CQ19,T$152)+COUNTIF('5月'!CU19:CV19,T$152)+COUNTIF('5月'!CZ19:DA19,T$152)+COUNTIF('5月'!DE19:DF19,T$152)+COUNTIF('5月'!DJ19:DK19,T$152)+COUNTIF('5月'!DO19:DP19,T$152)+COUNTIF('5月'!DT19:DU19,T$152)+COUNTIF('5月'!DY19:DZ19,T$152)+COUNTIF('5月'!ED19:EE19,T$152)+COUNTIF('5月'!EI19:EJ19,T$152)+COUNTIF('5月'!EN19:EO19,T$152)+COUNTIF('5月'!ES19:ET19,T$152)</f>
        <v>0</v>
      </c>
      <c r="U169" s="76">
        <f t="shared" si="57"/>
        <v>0</v>
      </c>
      <c r="V169" s="76">
        <f>COUNTIF('5月'!D19:E19,V$152)+COUNTIF('5月'!I19:J19,V$152)+COUNTIF('5月'!N19:O19,V$152)+COUNTIF('5月'!S19:T19,V$152)+COUNTIF('5月'!X19:Y19,V$152)+COUNTIF('5月'!AC19:AD19,V$152)+COUNTIF('5月'!AH19:AI19,V$152)+COUNTIF('5月'!AM19:AN19,V$152)+COUNTIF('5月'!AR19:AS19,V$152)+COUNTIF('5月'!AW19:AX19,V$152)+COUNTIF('5月'!BB19:BC19,V$152)+COUNTIF('5月'!BG19:BH19,V$152)+COUNTIF('5月'!BL19:BM19,V$152)+COUNTIF('5月'!BQ19:BR19,V$152)+COUNTIF('5月'!BV19:BW19,V$152)+COUNTIF('5月'!CA19:CB19,V$152)+COUNTIF('5月'!CF19:CG19,V$152)+COUNTIF('5月'!CK19:CL19,V$152)+COUNTIF('5月'!CP19:CQ19,V$152)+COUNTIF('5月'!CU19:CV19,V$152)+COUNTIF('5月'!CZ19:DA19,V$152)+COUNTIF('5月'!DE19:DF19,V$152)+COUNTIF('5月'!DJ19:DK19,V$152)+COUNTIF('5月'!DO19:DP19,V$152)+COUNTIF('5月'!DT19:DU19,V$152)+COUNTIF('5月'!DY19:DZ19,V$152)+COUNTIF('5月'!ED19:EE19,V$152)+COUNTIF('5月'!EI19:EJ19,V$152)+COUNTIF('5月'!EN19:EO19,V$152)+COUNTIF('5月'!ES19:ET19,V$152)</f>
        <v>0</v>
      </c>
      <c r="W169" s="76">
        <f t="shared" si="58"/>
        <v>0</v>
      </c>
      <c r="X169" s="76">
        <f>COUNTIF('5月'!D19:E19,X$152)+COUNTIF('5月'!I19:J19,X$152)+COUNTIF('5月'!N19:O19,X$152)+COUNTIF('5月'!S19:T19,X$152)+COUNTIF('5月'!X19:Y19,X$152)+COUNTIF('5月'!AC19:AD19,X$152)+COUNTIF('5月'!AH19:AI19,X$152)+COUNTIF('5月'!AM19:AN19,X$152)+COUNTIF('5月'!AR19:AS19,X$152)+COUNTIF('5月'!AW19:AX19,X$152)+COUNTIF('5月'!BB19:BC19,X$152)+COUNTIF('5月'!BG19:BH19,X$152)+COUNTIF('5月'!BL19:BM19,X$152)+COUNTIF('5月'!BQ19:BR19,X$152)+COUNTIF('5月'!BV19:BW19,X$152)+COUNTIF('5月'!CA19:CB19,X$152)+COUNTIF('5月'!CF19:CG19,X$152)+COUNTIF('5月'!CK19:CL19,X$152)+COUNTIF('5月'!CP19:CQ19,X$152)+COUNTIF('5月'!CU19:CV19,X$152)+COUNTIF('5月'!CZ19:DA19,X$152)+COUNTIF('5月'!DE19:DF19,X$152)+COUNTIF('5月'!DJ19:DK19,X$152)+COUNTIF('5月'!DO19:DP19,X$152)+COUNTIF('5月'!DT19:DU19,X$152)+COUNTIF('5月'!DY19:DZ19,X$152)+COUNTIF('5月'!ED19:EE19,X$152)+COUNTIF('5月'!EI19:EJ19,X$152)+COUNTIF('5月'!EN19:EO19,X$152)+COUNTIF('5月'!ES19:ET19,X$152)</f>
        <v>0</v>
      </c>
      <c r="Y169" s="76">
        <f t="shared" si="59"/>
        <v>0</v>
      </c>
    </row>
    <row r="170" spans="1:25" ht="18" customHeight="1">
      <c r="A170" s="76">
        <v>17</v>
      </c>
      <c r="B170" s="76">
        <f>COUNTIF('5月'!D20:E20,B$152)+COUNTIF('5月'!I20:J20,B$152)+COUNTIF('5月'!N20:O20,B$152)+COUNTIF('5月'!S20:T20,B$152)+COUNTIF('5月'!X20:Y20,B$152)+COUNTIF('5月'!AC20:AD20,B$152)+COUNTIF('5月'!AH20:AI20,B$152)+COUNTIF('5月'!AM20:AN20,B$152)+COUNTIF('5月'!AR20:AS20,B$152)+COUNTIF('5月'!AW20:AX20,B$152)+COUNTIF('5月'!BB20:BC20,B$152)+COUNTIF('5月'!BG20:BH20,B$152)+COUNTIF('5月'!BL20:BM20,B$152)+COUNTIF('5月'!BQ20:BR20,B$152)+COUNTIF('5月'!BV20:BW20,B$152)+COUNTIF('5月'!CA20:CB20,B$152)+COUNTIF('5月'!CF20:CG20,B$152)+COUNTIF('5月'!CK20:CL20,B$152)+COUNTIF('5月'!CP20:CQ20,B$152)+COUNTIF('5月'!CU20:CV20,B$152)+COUNTIF('5月'!CZ20:DA20,B$152)+COUNTIF('5月'!DE20:DF20,B$152)+COUNTIF('5月'!DJ20:DK20,B$152)+COUNTIF('5月'!DO20:DP20,B$152)+COUNTIF('5月'!DT20:DU20,B$152)+COUNTIF('5月'!DY20:DZ20,B$152)+COUNTIF('5月'!ED20:EE20,B$152)+COUNTIF('5月'!EI20:EJ20,B$152)+COUNTIF('5月'!EN20:EO20,B$152)+COUNTIF('5月'!ES20:ET20,B$152)</f>
        <v>0</v>
      </c>
      <c r="C170" s="76">
        <f t="shared" si="48"/>
        <v>0</v>
      </c>
      <c r="D170" s="76">
        <f>COUNTIF('5月'!D20:E20,D$152)+COUNTIF('5月'!I20:J20,D$152)+COUNTIF('5月'!N20:O20,D$152)+COUNTIF('5月'!S20:T20,D$152)+COUNTIF('5月'!X20:Y20,D$152)+COUNTIF('5月'!AC20:AD20,D$152)+COUNTIF('5月'!AH20:AI20,D$152)+COUNTIF('5月'!AM20:AN20,D$152)+COUNTIF('5月'!AR20:AS20,D$152)+COUNTIF('5月'!AW20:AX20,D$152)+COUNTIF('5月'!BB20:BC20,D$152)+COUNTIF('5月'!BG20:BH20,D$152)+COUNTIF('5月'!BL20:BM20,D$152)+COUNTIF('5月'!BQ20:BR20,D$152)+COUNTIF('5月'!BV20:BW20,D$152)+COUNTIF('5月'!CA20:CB20,D$152)+COUNTIF('5月'!CF20:CG20,D$152)+COUNTIF('5月'!CK20:CL20,D$152)+COUNTIF('5月'!CP20:CQ20,D$152)+COUNTIF('5月'!CU20:CV20,D$152)+COUNTIF('5月'!CZ20:DA20,D$152)+COUNTIF('5月'!DE20:DF20,D$152)+COUNTIF('5月'!DJ20:DK20,D$152)+COUNTIF('5月'!DO20:DP20,D$152)+COUNTIF('5月'!DT20:DU20,D$152)+COUNTIF('5月'!DY20:DZ20,D$152)+COUNTIF('5月'!ED20:EE20,D$152)+COUNTIF('5月'!EI20:EJ20,D$152)+COUNTIF('5月'!EN20:EO20,D$152)+COUNTIF('5月'!ES20:ET20,D$152)</f>
        <v>0</v>
      </c>
      <c r="E170" s="76">
        <f t="shared" si="49"/>
        <v>0</v>
      </c>
      <c r="F170" s="76">
        <f>COUNTIF('5月'!D20:E20,F$152)+COUNTIF('5月'!I20:J20,F$152)+COUNTIF('5月'!N20:O20,F$152)+COUNTIF('5月'!S20:T20,F$152)+COUNTIF('5月'!X20:Y20,F$152)+COUNTIF('5月'!AC20:AD20,F$152)+COUNTIF('5月'!AH20:AI20,F$152)+COUNTIF('5月'!AM20:AN20,F$152)+COUNTIF('5月'!AR20:AS20,F$152)+COUNTIF('5月'!AW20:AX20,F$152)+COUNTIF('5月'!BB20:BC20,F$152)+COUNTIF('5月'!BG20:BH20,F$152)+COUNTIF('5月'!BL20:BM20,F$152)+COUNTIF('5月'!BQ20:BR20,F$152)+COUNTIF('5月'!BV20:BW20,F$152)+COUNTIF('5月'!CA20:CB20,F$152)+COUNTIF('5月'!CF20:CG20,F$152)+COUNTIF('5月'!CK20:CL20,F$152)+COUNTIF('5月'!CP20:CQ20,F$152)+COUNTIF('5月'!CU20:CV20,F$152)+COUNTIF('5月'!CZ20:DA20,F$152)+COUNTIF('5月'!DE20:DF20,F$152)+COUNTIF('5月'!DJ20:DK20,F$152)+COUNTIF('5月'!DO20:DP20,F$152)+COUNTIF('5月'!DT20:DU20,F$152)+COUNTIF('5月'!DY20:DZ20,F$152)+COUNTIF('5月'!ED20:EE20,F$152)+COUNTIF('5月'!EI20:EJ20,F$152)+COUNTIF('5月'!EN20:EO20,F$152)+COUNTIF('5月'!ES20:ET20,F$152)</f>
        <v>0</v>
      </c>
      <c r="G170" s="76">
        <f t="shared" si="50"/>
        <v>0</v>
      </c>
      <c r="H170" s="76">
        <f>COUNTIF('5月'!D20:E20,H$152)+COUNTIF('5月'!I20:J20,H$152)+COUNTIF('5月'!N20:O20,H$152)+COUNTIF('5月'!S20:T20,H$152)+COUNTIF('5月'!X20:Y20,H$152)+COUNTIF('5月'!AC20:AD20,H$152)+COUNTIF('5月'!AH20:AI20,H$152)+COUNTIF('5月'!AM20:AN20,H$152)+COUNTIF('5月'!AR20:AS20,H$152)+COUNTIF('5月'!AW20:AX20,H$152)+COUNTIF('5月'!BB20:BC20,H$152)+COUNTIF('5月'!BG20:BH20,H$152)+COUNTIF('5月'!BL20:BM20,H$152)+COUNTIF('5月'!BQ20:BR20,H$152)+COUNTIF('5月'!BV20:BW20,H$152)+COUNTIF('5月'!CA20:CB20,H$152)+COUNTIF('5月'!CF20:CG20,H$152)+COUNTIF('5月'!CK20:CL20,H$152)+COUNTIF('5月'!CP20:CQ20,H$152)+COUNTIF('5月'!CU20:CV20,H$152)+COUNTIF('5月'!CZ20:DA20,H$152)+COUNTIF('5月'!DE20:DF20,H$152)+COUNTIF('5月'!DJ20:DK20,H$152)+COUNTIF('5月'!DO20:DP20,H$152)+COUNTIF('5月'!DT20:DU20,H$152)+COUNTIF('5月'!DY20:DZ20,H$152)+COUNTIF('5月'!ED20:EE20,H$152)+COUNTIF('5月'!EI20:EJ20,H$152)+COUNTIF('5月'!EN20:EO20,H$152)+COUNTIF('5月'!ES20:ET20,H$152)+COUNTIF('5月'!D20:E20,"渋谷-夜勤")+COUNTIF('5月'!I20:J20,"渋谷-夜勤")+COUNTIF('5月'!N20:O20,"渋谷-夜勤")+COUNTIF('5月'!S20:T20,"渋谷-夜勤")+COUNTIF('5月'!X20:Y20,"渋谷-夜勤")+COUNTIF('5月'!AC20:AD20,"渋谷-夜勤")+COUNTIF('5月'!AH20:AI20,"渋谷-夜勤")+COUNTIF('5月'!AM20:AN20,"渋谷-夜勤")+COUNTIF('5月'!AR20:AS20,"渋谷-夜勤")+COUNTIF('5月'!AW20:AX20,"渋谷-夜勤")+COUNTIF('5月'!BB20:BC20,"渋谷-夜勤")+COUNTIF('5月'!BG20:BH20,"渋谷-夜勤")+COUNTIF('5月'!BL20:BM20,"渋谷-夜勤")+COUNTIF('5月'!BQ20:BR20,"渋谷-夜勤")+COUNTIF('5月'!BV20:BW20,"渋谷-夜勤")+COUNTIF('5月'!CA20:CB20,"渋谷-夜勤")+COUNTIF('5月'!CF20:CG20,"渋谷-夜勤")+COUNTIF('5月'!CK20:CL20,"渋谷-夜勤")+COUNTIF('5月'!CP20:CQ20,"渋谷-夜勤")+COUNTIF('5月'!CU20:CV20,"渋谷-夜勤")+COUNTIF('5月'!CZ20:DA20,"渋谷-夜勤")+COUNTIF('5月'!DE20:DF20,"渋谷-夜勤")+COUNTIF('5月'!DJ20:DK20,"渋谷-夜勤")+COUNTIF('5月'!DO20:DP20,"渋谷-夜勤")+COUNTIF('5月'!DT20:DU20,"渋谷-夜勤")+COUNTIF('5月'!DY20:DZ20,"渋谷-夜勤")+COUNTIF('5月'!ED20:EE20,"渋谷-夜勤")+COUNTIF('5月'!EI20:EJ20,"渋谷-夜勤")+COUNTIF('5月'!EN20:EO20,"渋谷-夜勤")+COUNTIF('5月'!ES20:ET20,"渋谷-夜勤")</f>
        <v>0</v>
      </c>
      <c r="I170" s="76">
        <f t="shared" si="51"/>
        <v>0</v>
      </c>
      <c r="J170" s="76">
        <f>COUNTIF('5月'!D20:E20,J$152)+COUNTIF('5月'!I20:J20,J$152)+COUNTIF('5月'!N20:O20,J$152)+COUNTIF('5月'!S20:T20,J$152)+COUNTIF('5月'!X20:Y20,J$152)+COUNTIF('5月'!AC20:AD20,J$152)+COUNTIF('5月'!AH20:AI20,J$152)+COUNTIF('5月'!AM20:AN20,J$152)+COUNTIF('5月'!AR20:AS20,J$152)+COUNTIF('5月'!AW20:AX20,J$152)+COUNTIF('5月'!BB20:BC20,J$152)+COUNTIF('5月'!BG20:BH20,J$152)+COUNTIF('5月'!BL20:BM20,J$152)+COUNTIF('5月'!BQ20:BR20,J$152)+COUNTIF('5月'!BV20:BW20,J$152)+COUNTIF('5月'!CA20:CB20,J$152)+COUNTIF('5月'!CF20:CG20,J$152)+COUNTIF('5月'!CK20:CL20,J$152)+COUNTIF('5月'!CP20:CQ20,J$152)+COUNTIF('5月'!CU20:CV20,J$152)+COUNTIF('5月'!CZ20:DA20,J$152)+COUNTIF('5月'!DE20:DF20,J$152)+COUNTIF('5月'!DJ20:DK20,J$152)+COUNTIF('5月'!DO20:DP20,J$152)+COUNTIF('5月'!DT20:DU20,J$152)+COUNTIF('5月'!DY20:DZ20,J$152)+COUNTIF('5月'!ED20:EE20,J$152)+COUNTIF('5月'!EI20:EJ20,J$152)+COUNTIF('5月'!EN20:EO20,J$152)+COUNTIF('5月'!ES20:ET20,J$152)+COUNTIF('5月'!D20:E20,"六本木-夜勤")+COUNTIF('5月'!I20:J20,"六本木-夜勤")+COUNTIF('5月'!N20:O20,"六本木-夜勤")+COUNTIF('5月'!S20:T20,"六本木-夜勤")+COUNTIF('5月'!X20:Y20,"六本木-夜勤")+COUNTIF('5月'!AC20:AD20,"六本木-夜勤")+COUNTIF('5月'!AH20:AI20,"六本木-夜勤")+COUNTIF('5月'!AM20:AN20,"六本木-夜勤")+COUNTIF('5月'!AR20:AS20,"六本木-夜勤")+COUNTIF('5月'!AW20:AX20,"六本木-夜勤")+COUNTIF('5月'!BB20:BC20,"六本木-夜勤")+COUNTIF('5月'!BG20:BH20,"六本木-夜勤")+COUNTIF('5月'!BL20:BM20,"六本木-夜勤")+COUNTIF('5月'!BQ20:BR20,"六本木-夜勤")+COUNTIF('5月'!BV20:BW20,"六本木-夜勤")+COUNTIF('5月'!CA20:CB20,"六本木-夜勤")+COUNTIF('5月'!CF20:CG20,"六本木-夜勤")+COUNTIF('5月'!CK20:CL20,"六本木-夜勤")+COUNTIF('5月'!CP20:CQ20,"六本木-夜勤")+COUNTIF('5月'!CU20:CV20,"六本木-夜勤")+COUNTIF('5月'!CZ20:DA20,"六本木-夜勤")+COUNTIF('5月'!DE20:DF20,"六本木-夜勤")+COUNTIF('5月'!DJ20:DK20,"六本木-夜勤")+COUNTIF('5月'!DO20:DP20,"六本木-夜勤")+COUNTIF('5月'!DT20:DU20,"六本木-夜勤")+COUNTIF('5月'!DY20:DZ20,"六本木-夜勤")+COUNTIF('5月'!ED20:EE20,"六本木-夜勤")+COUNTIF('5月'!EI20:EJ20,"六本木-夜勤")+COUNTIF('5月'!EN20:EO20,"六本木-夜勤")+COUNTIF('5月'!ES20:ET20,"六本木-夜勤")+COUNTIF('5月'!D20:E20,"六本木ー夜勤")+COUNTIF('5月'!I20:J20,"六本木ー夜勤")+COUNTIF('5月'!N20:O20,"六本木ー夜勤")+COUNTIF('5月'!S20:T20,"六本木ー夜勤")+COUNTIF('5月'!X20:Y20,"六本木ー夜勤")+COUNTIF('5月'!AC20:AD20,"六本木ー夜勤")+COUNTIF('5月'!AH20:AI20,"六本木ー夜勤")+COUNTIF('5月'!AM20:AN20,"六本木ー夜勤")+COUNTIF('5月'!AR20:AS20,"六本木ー夜勤")+COUNTIF('5月'!AW20:AX20,"六本木ー夜勤")+COUNTIF('5月'!BB20:BC20,"六本木ー夜勤")+COUNTIF('5月'!BG20:BH20,"六本木ー夜勤")+COUNTIF('5月'!BL20:BM20,"六本木ー夜勤")+COUNTIF('5月'!BQ20:BR20,"六本木ー夜勤")+COUNTIF('5月'!BV20:BW20,"六本木ー夜勤")+COUNTIF('5月'!CA20:CB20,"六本木ー夜勤")+COUNTIF('5月'!CF20:CG20,"六本木ー夜勤")+COUNTIF('5月'!CK20:CL20,"六本木ー夜勤")+COUNTIF('5月'!CP20:CQ20,"六本木ー夜勤")+COUNTIF('5月'!CU20:CV20,"六本木ー夜勤")+COUNTIF('5月'!CZ20:DA20,"六本木ー夜勤")+COUNTIF('5月'!DE20:DF20,"六本木ー夜勤")+COUNTIF('5月'!DJ20:DK20,"六本木ー夜勤")+COUNTIF('5月'!DO20:DP20,"六本木ー夜勤")+COUNTIF('5月'!DT20:DU20,"六本木ー夜勤")+COUNTIF('5月'!DY20:DZ20,"六本木ー夜勤")+COUNTIF('5月'!ED20:EE20,"六本木ー夜勤")+COUNTIF('5月'!EI20:EJ20,"六本木ー夜勤")+COUNTIF('5月'!EN20:EO20,"六本木ー夜勤")+COUNTIF('5月'!ES20:ET20,"六本木ー夜勤")</f>
        <v>0</v>
      </c>
      <c r="K170" s="76">
        <f t="shared" si="52"/>
        <v>0</v>
      </c>
      <c r="L170" s="76">
        <f>COUNTIF('5月'!D20:E20,L$152)+COUNTIF('5月'!I20:J20,L$152)+COUNTIF('5月'!N20:O20,L$152)+COUNTIF('5月'!S20:T20,L$152)+COUNTIF('5月'!X20:Y20,L$152)+COUNTIF('5月'!AC20:AD20,L$152)+COUNTIF('5月'!AH20:AI20,L$152)+COUNTIF('5月'!AM20:AN20,L$152)+COUNTIF('5月'!AR20:AS20,L$152)+COUNTIF('5月'!AW20:AX20,L$152)+COUNTIF('5月'!BB20:BC20,L$152)+COUNTIF('5月'!BG20:BH20,L$152)+COUNTIF('5月'!BL20:BM20,L$152)+COUNTIF('5月'!BQ20:BR20,L$152)+COUNTIF('5月'!BV20:BW20,L$152)+COUNTIF('5月'!CA20:CB20,L$152)+COUNTIF('5月'!CF20:CG20,L$152)+COUNTIF('5月'!CK20:CL20,L$152)+COUNTIF('5月'!CP20:CQ20,L$152)+COUNTIF('5月'!CU20:CV20,L$152)+COUNTIF('5月'!CZ20:DA20,L$152)+COUNTIF('5月'!DE20:DF20,L$152)+COUNTIF('5月'!DJ20:DK20,L$152)+COUNTIF('5月'!DO20:DP20,L$152)+COUNTIF('5月'!DT20:DU20,L$152)+COUNTIF('5月'!DY20:DZ20,L$152)+COUNTIF('5月'!ED20:EE20,L$152)+COUNTIF('5月'!EI20:EJ20,L$152)+COUNTIF('5月'!EN20:EO20,L$152)+COUNTIF('5月'!ES20:ET20,L$152)</f>
        <v>0</v>
      </c>
      <c r="M170" s="76">
        <f t="shared" si="53"/>
        <v>0</v>
      </c>
      <c r="N170" s="76">
        <f>COUNTIF('5月'!D20:E20,N$152)+COUNTIF('5月'!I20:J20,N$152)+COUNTIF('5月'!N20:O20,N$152)+COUNTIF('5月'!S20:T20,N$152)+COUNTIF('5月'!X20:Y20,N$152)+COUNTIF('5月'!AC20:AD20,N$152)+COUNTIF('5月'!AH20:AI20,N$152)+COUNTIF('5月'!AM20:AN20,N$152)+COUNTIF('5月'!AR20:AS20,N$152)+COUNTIF('5月'!AW20:AX20,N$152)+COUNTIF('5月'!BB20:BC20,N$152)+COUNTIF('5月'!BG20:BH20,N$152)+COUNTIF('5月'!BL20:BM20,N$152)+COUNTIF('5月'!BQ20:BR20,N$152)+COUNTIF('5月'!BV20:BW20,N$152)+COUNTIF('5月'!CA20:CB20,N$152)+COUNTIF('5月'!CF20:CG20,N$152)+COUNTIF('5月'!CK20:CL20,N$152)+COUNTIF('5月'!CP20:CQ20,N$152)+COUNTIF('5月'!CU20:CV20,N$152)+COUNTIF('5月'!CZ20:DA20,N$152)+COUNTIF('5月'!DE20:DF20,N$152)+COUNTIF('5月'!DJ20:DK20,N$152)+COUNTIF('5月'!DO20:DP20,N$152)+COUNTIF('5月'!DT20:DU20,N$152)+COUNTIF('5月'!DY20:DZ20,N$152)+COUNTIF('5月'!ED20:EE20,N$152)+COUNTIF('5月'!EI20:EJ20,N$152)+COUNTIF('5月'!EN20:EO20,N$152)+COUNTIF('5月'!ES20:ET20,N$152)+COUNTIF('5月'!D20:E20,"三軒茶屋－夜勤")+COUNTIF('5月'!I20:J20,"三軒茶屋－夜勤")+COUNTIF('5月'!N20:O20,"三軒茶屋－夜勤")+COUNTIF('5月'!S20:T20,"三軒茶屋－夜勤")+COUNTIF('5月'!X20:Y20,"三軒茶屋－夜勤")+COUNTIF('5月'!AC20:AD20,"三軒茶屋－夜勤")+COUNTIF('5月'!AH20:AI20,"三軒茶屋－夜勤")+COUNTIF('5月'!AM20:AN20,"三軒茶屋－夜勤")+COUNTIF('5月'!AR20:AS20,"三軒茶屋－夜勤")+COUNTIF('5月'!AW20:AX20,"三軒茶屋－夜勤")+COUNTIF('5月'!BB20:BC20,"三軒茶屋－夜勤")+COUNTIF('5月'!BG20:BH20,"三軒茶屋－夜勤")+COUNTIF('5月'!BL20:BM20,"三軒茶屋－夜勤")+COUNTIF('5月'!BQ20:BR20,"三軒茶屋－夜勤")+COUNTIF('5月'!BV20:BW20,"三軒茶屋－夜勤")+COUNTIF('5月'!CA20:CB20,"三軒茶屋－夜勤")+COUNTIF('5月'!CF20:CG20,"三軒茶屋－夜勤")+COUNTIF('5月'!CK20:CL20,"三軒茶屋－夜勤")+COUNTIF('5月'!CP20:CQ20,"三軒茶屋－夜勤")+COUNTIF('5月'!CU20:CV20,"三軒茶屋－夜勤")+COUNTIF('5月'!CZ20:DA20,"三軒茶屋－夜勤")+COUNTIF('5月'!DE20:DF20,"三軒茶屋－夜勤")+COUNTIF('5月'!DJ20:DK20,"三軒茶屋－夜勤")+COUNTIF('5月'!DO20:DP20,"三軒茶屋－夜勤")+COUNTIF('5月'!DT20:DU20,"三軒茶屋－夜勤")+COUNTIF('5月'!DY20:DZ20,"三軒茶屋－夜勤")+COUNTIF('5月'!ED20:EE20,"三軒茶屋－夜勤")+COUNTIF('5月'!EI20:EJ20,"三軒茶屋－夜勤")+COUNTIF('5月'!EN20:EO20,"三軒茶屋－夜勤")+COUNTIF('5月'!ES20:ET20,"三軒茶屋－夜勤")</f>
        <v>0</v>
      </c>
      <c r="O170" s="76">
        <f t="shared" si="54"/>
        <v>0</v>
      </c>
      <c r="P170" s="76">
        <f>COUNTIF('5月'!D20:E20,P$152)+COUNTIF('5月'!I20:J20,P$152)+COUNTIF('5月'!N20:O20,P$152)+COUNTIF('5月'!S20:T20,P$152)+COUNTIF('5月'!X20:Y20,P$152)+COUNTIF('5月'!AC20:AD20,P$152)+COUNTIF('5月'!AH20:AI20,P$152)+COUNTIF('5月'!AM20:AN20,P$152)+COUNTIF('5月'!AR20:AS20,P$152)+COUNTIF('5月'!AW20:AX20,P$152)+COUNTIF('5月'!BB20:BC20,P$152)+COUNTIF('5月'!BG20:BH20,P$152)+COUNTIF('5月'!BL20:BM20,P$152)+COUNTIF('5月'!BQ20:BR20,P$152)+COUNTIF('5月'!BV20:BW20,P$152)+COUNTIF('5月'!CA20:CB20,P$152)+COUNTIF('5月'!CF20:CG20,P$152)+COUNTIF('5月'!CK20:CL20,P$152)+COUNTIF('5月'!CP20:CQ20,P$152)+COUNTIF('5月'!CU20:CV20,P$152)+COUNTIF('5月'!CZ20:DA20,P$152)+COUNTIF('5月'!DE20:DF20,P$152)+COUNTIF('5月'!DJ20:DK20,P$152)+COUNTIF('5月'!DO20:DP20,P$152)+COUNTIF('5月'!DT20:DU20,P$152)+COUNTIF('5月'!DY20:DZ20,P$152)+COUNTIF('5月'!ED20:EE20,P$152)+COUNTIF('5月'!EI20:EJ20,P$152)+COUNTIF('5月'!EN20:EO20,P$152)+COUNTIF('5月'!ES20:ET20,P$152)+COUNTIF('5月'!D20:E20,"荻窪ー夜勤")+COUNTIF('5月'!I20:J20,"荻窪ー夜勤")+COUNTIF('5月'!N20:O20,"荻窪ー夜勤")+COUNTIF('5月'!S20:T20,"荻窪ー夜勤")+COUNTIF('5月'!X20:Y20,"荻窪ー夜勤")+COUNTIF('5月'!AC20:AD20,"荻窪ー夜勤")+COUNTIF('5月'!AH20:AI20,"荻窪ー夜勤")+COUNTIF('5月'!AM20:AN20,"荻窪ー夜勤")+COUNTIF('5月'!AR20:AS20,"荻窪ー夜勤")+COUNTIF('5月'!AW20:AX20,"荻窪ー夜勤")+COUNTIF('5月'!BB20:BC20,"荻窪ー夜勤")+COUNTIF('5月'!BG20:BH20,"荻窪ー夜勤")+COUNTIF('5月'!BL20:BM20,"荻窪ー夜勤")+COUNTIF('5月'!BQ20:BR20,"荻窪ー夜勤")+COUNTIF('5月'!BV20:BW20,"荻窪ー夜勤")+COUNTIF('5月'!CA20:CB20,"荻窪ー夜勤")+COUNTIF('5月'!CF20:CG20,"荻窪ー夜勤")+COUNTIF('5月'!CK20:CL20,"荻窪ー夜勤")+COUNTIF('5月'!CP20:CQ20,"荻窪ー夜勤")+COUNTIF('5月'!CU20:CV20,"荻窪ー夜勤")+COUNTIF('5月'!CZ20:DA20,"荻窪ー夜勤")+COUNTIF('5月'!DE20:DF20,"荻窪ー夜勤")+COUNTIF('5月'!DJ20:DK20,"荻窪ー夜勤")+COUNTIF('5月'!DO20:DP20,"荻窪ー夜勤")+COUNTIF('5月'!DT20:DU20,"荻窪ー夜勤")+COUNTIF('5月'!DY20:DZ20,"荻窪ー夜勤")+COUNTIF('5月'!ED20:EE20,"荻窪ー夜勤")+COUNTIF('5月'!EI20:EJ20,"荻窪ー夜勤")+COUNTIF('5月'!EN20:EO20,"荻窪ー夜勤")+COUNTIF('5月'!ES20:ET20,"荻窪ー夜勤")</f>
        <v>0</v>
      </c>
      <c r="Q170" s="76">
        <f t="shared" si="55"/>
        <v>0</v>
      </c>
      <c r="R170" s="76">
        <f>COUNTIF('5月'!D20:E20,R$152)+COUNTIF('5月'!I20:J20,R$152)+COUNTIF('5月'!N20:O20,R$152)+COUNTIF('5月'!S20:T20,R$152)+COUNTIF('5月'!X20:Y20,R$152)+COUNTIF('5月'!AC20:AD20,R$152)+COUNTIF('5月'!AH20:AI20,R$152)+COUNTIF('5月'!AM20:AN20,R$152)+COUNTIF('5月'!AR20:AS20,R$152)+COUNTIF('5月'!AW20:AX20,R$152)+COUNTIF('5月'!BB20:BC20,R$152)+COUNTIF('5月'!BG20:BH20,R$152)+COUNTIF('5月'!BL20:BM20,R$152)+COUNTIF('5月'!BQ20:BR20,R$152)+COUNTIF('5月'!BV20:BW20,R$152)+COUNTIF('5月'!CA20:CB20,R$152)+COUNTIF('5月'!CF20:CG20,R$152)+COUNTIF('5月'!CK20:CL20,R$152)+COUNTIF('5月'!CP20:CQ20,R$152)+COUNTIF('5月'!CU20:CV20,R$152)+COUNTIF('5月'!CZ20:DA20,R$152)+COUNTIF('5月'!DE20:DF20,R$152)+COUNTIF('5月'!DJ20:DK20,R$152)+COUNTIF('5月'!DO20:DP20,R$152)+COUNTIF('5月'!DT20:DU20,R$152)+COUNTIF('5月'!DY20:DZ20,R$152)+COUNTIF('5月'!ED20:EE20,R$152)+COUNTIF('5月'!EI20:EJ20,R$152)+COUNTIF('5月'!EN20:EO20,R$152)+COUNTIF('5月'!ES20:ET20,R$152)</f>
        <v>0</v>
      </c>
      <c r="S170" s="76">
        <f t="shared" si="56"/>
        <v>0</v>
      </c>
      <c r="T170" s="76">
        <f>COUNTIF('5月'!D20:E20,T$152)+COUNTIF('5月'!I20:J20,T$152)+COUNTIF('5月'!N20:O20,T$152)+COUNTIF('5月'!S20:T20,T$152)+COUNTIF('5月'!X20:Y20,T$152)+COUNTIF('5月'!AC20:AD20,T$152)+COUNTIF('5月'!AH20:AI20,T$152)+COUNTIF('5月'!AM20:AN20,T$152)+COUNTIF('5月'!AR20:AS20,T$152)+COUNTIF('5月'!AW20:AX20,T$152)+COUNTIF('5月'!BB20:BC20,T$152)+COUNTIF('5月'!BG20:BH20,T$152)+COUNTIF('5月'!BL20:BM20,T$152)+COUNTIF('5月'!BQ20:BR20,T$152)+COUNTIF('5月'!BV20:BW20,T$152)+COUNTIF('5月'!CA20:CB20,T$152)+COUNTIF('5月'!CF20:CG20,T$152)+COUNTIF('5月'!CK20:CL20,T$152)+COUNTIF('5月'!CP20:CQ20,T$152)+COUNTIF('5月'!CU20:CV20,T$152)+COUNTIF('5月'!CZ20:DA20,T$152)+COUNTIF('5月'!DE20:DF20,T$152)+COUNTIF('5月'!DJ20:DK20,T$152)+COUNTIF('5月'!DO20:DP20,T$152)+COUNTIF('5月'!DT20:DU20,T$152)+COUNTIF('5月'!DY20:DZ20,T$152)+COUNTIF('5月'!ED20:EE20,T$152)+COUNTIF('5月'!EI20:EJ20,T$152)+COUNTIF('5月'!EN20:EO20,T$152)+COUNTIF('5月'!ES20:ET20,T$152)</f>
        <v>0</v>
      </c>
      <c r="U170" s="76">
        <f t="shared" si="57"/>
        <v>0</v>
      </c>
      <c r="V170" s="76">
        <f>COUNTIF('5月'!D20:E20,V$152)+COUNTIF('5月'!I20:J20,V$152)+COUNTIF('5月'!N20:O20,V$152)+COUNTIF('5月'!S20:T20,V$152)+COUNTIF('5月'!X20:Y20,V$152)+COUNTIF('5月'!AC20:AD20,V$152)+COUNTIF('5月'!AH20:AI20,V$152)+COUNTIF('5月'!AM20:AN20,V$152)+COUNTIF('5月'!AR20:AS20,V$152)+COUNTIF('5月'!AW20:AX20,V$152)+COUNTIF('5月'!BB20:BC20,V$152)+COUNTIF('5月'!BG20:BH20,V$152)+COUNTIF('5月'!BL20:BM20,V$152)+COUNTIF('5月'!BQ20:BR20,V$152)+COUNTIF('5月'!BV20:BW20,V$152)+COUNTIF('5月'!CA20:CB20,V$152)+COUNTIF('5月'!CF20:CG20,V$152)+COUNTIF('5月'!CK20:CL20,V$152)+COUNTIF('5月'!CP20:CQ20,V$152)+COUNTIF('5月'!CU20:CV20,V$152)+COUNTIF('5月'!CZ20:DA20,V$152)+COUNTIF('5月'!DE20:DF20,V$152)+COUNTIF('5月'!DJ20:DK20,V$152)+COUNTIF('5月'!DO20:DP20,V$152)+COUNTIF('5月'!DT20:DU20,V$152)+COUNTIF('5月'!DY20:DZ20,V$152)+COUNTIF('5月'!ED20:EE20,V$152)+COUNTIF('5月'!EI20:EJ20,V$152)+COUNTIF('5月'!EN20:EO20,V$152)+COUNTIF('5月'!ES20:ET20,V$152)</f>
        <v>0</v>
      </c>
      <c r="W170" s="76">
        <f t="shared" si="58"/>
        <v>0</v>
      </c>
      <c r="X170" s="76">
        <f>COUNTIF('5月'!D20:E20,X$152)+COUNTIF('5月'!I20:J20,X$152)+COUNTIF('5月'!N20:O20,X$152)+COUNTIF('5月'!S20:T20,X$152)+COUNTIF('5月'!X20:Y20,X$152)+COUNTIF('5月'!AC20:AD20,X$152)+COUNTIF('5月'!AH20:AI20,X$152)+COUNTIF('5月'!AM20:AN20,X$152)+COUNTIF('5月'!AR20:AS20,X$152)+COUNTIF('5月'!AW20:AX20,X$152)+COUNTIF('5月'!BB20:BC20,X$152)+COUNTIF('5月'!BG20:BH20,X$152)+COUNTIF('5月'!BL20:BM20,X$152)+COUNTIF('5月'!BQ20:BR20,X$152)+COUNTIF('5月'!BV20:BW20,X$152)+COUNTIF('5月'!CA20:CB20,X$152)+COUNTIF('5月'!CF20:CG20,X$152)+COUNTIF('5月'!CK20:CL20,X$152)+COUNTIF('5月'!CP20:CQ20,X$152)+COUNTIF('5月'!CU20:CV20,X$152)+COUNTIF('5月'!CZ20:DA20,X$152)+COUNTIF('5月'!DE20:DF20,X$152)+COUNTIF('5月'!DJ20:DK20,X$152)+COUNTIF('5月'!DO20:DP20,X$152)+COUNTIF('5月'!DT20:DU20,X$152)+COUNTIF('5月'!DY20:DZ20,X$152)+COUNTIF('5月'!ED20:EE20,X$152)+COUNTIF('5月'!EI20:EJ20,X$152)+COUNTIF('5月'!EN20:EO20,X$152)+COUNTIF('5月'!ES20:ET20,X$152)</f>
        <v>0</v>
      </c>
      <c r="Y170" s="76">
        <f t="shared" si="59"/>
        <v>0</v>
      </c>
    </row>
    <row r="171" spans="1:25" ht="18" customHeight="1">
      <c r="A171" s="76">
        <v>18</v>
      </c>
      <c r="B171" s="76">
        <f>COUNTIF('5月'!D21:E21,B$152)+COUNTIF('5月'!I21:J21,B$152)+COUNTIF('5月'!N21:O21,B$152)+COUNTIF('5月'!S21:T21,B$152)+COUNTIF('5月'!X21:Y21,B$152)+COUNTIF('5月'!AC21:AD21,B$152)+COUNTIF('5月'!AH21:AI21,B$152)+COUNTIF('5月'!AM21:AN21,B$152)+COUNTIF('5月'!AR21:AS21,B$152)+COUNTIF('5月'!AW21:AX21,B$152)+COUNTIF('5月'!BB21:BC21,B$152)+COUNTIF('5月'!BG21:BH21,B$152)+COUNTIF('5月'!BL21:BM21,B$152)+COUNTIF('5月'!BQ21:BR21,B$152)+COUNTIF('5月'!BV21:BW21,B$152)+COUNTIF('5月'!CA21:CB21,B$152)+COUNTIF('5月'!CF21:CG21,B$152)+COUNTIF('5月'!CK21:CL21,B$152)+COUNTIF('5月'!CP21:CQ21,B$152)+COUNTIF('5月'!CU21:CV21,B$152)+COUNTIF('5月'!CZ21:DA21,B$152)+COUNTIF('5月'!DE21:DF21,B$152)+COUNTIF('5月'!DJ21:DK21,B$152)+COUNTIF('5月'!DO21:DP21,B$152)+COUNTIF('5月'!DT21:DU21,B$152)+COUNTIF('5月'!DY21:DZ21,B$152)+COUNTIF('5月'!ED21:EE21,B$152)+COUNTIF('5月'!EI21:EJ21,B$152)+COUNTIF('5月'!EN21:EO21,B$152)+COUNTIF('5月'!ES21:ET21,B$152)</f>
        <v>0</v>
      </c>
      <c r="C171" s="76">
        <f t="shared" si="48"/>
        <v>0</v>
      </c>
      <c r="D171" s="76">
        <f>COUNTIF('5月'!D21:E21,D$152)+COUNTIF('5月'!I21:J21,D$152)+COUNTIF('5月'!N21:O21,D$152)+COUNTIF('5月'!S21:T21,D$152)+COUNTIF('5月'!X21:Y21,D$152)+COUNTIF('5月'!AC21:AD21,D$152)+COUNTIF('5月'!AH21:AI21,D$152)+COUNTIF('5月'!AM21:AN21,D$152)+COUNTIF('5月'!AR21:AS21,D$152)+COUNTIF('5月'!AW21:AX21,D$152)+COUNTIF('5月'!BB21:BC21,D$152)+COUNTIF('5月'!BG21:BH21,D$152)+COUNTIF('5月'!BL21:BM21,D$152)+COUNTIF('5月'!BQ21:BR21,D$152)+COUNTIF('5月'!BV21:BW21,D$152)+COUNTIF('5月'!CA21:CB21,D$152)+COUNTIF('5月'!CF21:CG21,D$152)+COUNTIF('5月'!CK21:CL21,D$152)+COUNTIF('5月'!CP21:CQ21,D$152)+COUNTIF('5月'!CU21:CV21,D$152)+COUNTIF('5月'!CZ21:DA21,D$152)+COUNTIF('5月'!DE21:DF21,D$152)+COUNTIF('5月'!DJ21:DK21,D$152)+COUNTIF('5月'!DO21:DP21,D$152)+COUNTIF('5月'!DT21:DU21,D$152)+COUNTIF('5月'!DY21:DZ21,D$152)+COUNTIF('5月'!ED21:EE21,D$152)+COUNTIF('5月'!EI21:EJ21,D$152)+COUNTIF('5月'!EN21:EO21,D$152)+COUNTIF('5月'!ES21:ET21,D$152)</f>
        <v>0</v>
      </c>
      <c r="E171" s="76">
        <f t="shared" si="49"/>
        <v>0</v>
      </c>
      <c r="F171" s="76">
        <f>COUNTIF('5月'!D21:E21,F$152)+COUNTIF('5月'!I21:J21,F$152)+COUNTIF('5月'!N21:O21,F$152)+COUNTIF('5月'!S21:T21,F$152)+COUNTIF('5月'!X21:Y21,F$152)+COUNTIF('5月'!AC21:AD21,F$152)+COUNTIF('5月'!AH21:AI21,F$152)+COUNTIF('5月'!AM21:AN21,F$152)+COUNTIF('5月'!AR21:AS21,F$152)+COUNTIF('5月'!AW21:AX21,F$152)+COUNTIF('5月'!BB21:BC21,F$152)+COUNTIF('5月'!BG21:BH21,F$152)+COUNTIF('5月'!BL21:BM21,F$152)+COUNTIF('5月'!BQ21:BR21,F$152)+COUNTIF('5月'!BV21:BW21,F$152)+COUNTIF('5月'!CA21:CB21,F$152)+COUNTIF('5月'!CF21:CG21,F$152)+COUNTIF('5月'!CK21:CL21,F$152)+COUNTIF('5月'!CP21:CQ21,F$152)+COUNTIF('5月'!CU21:CV21,F$152)+COUNTIF('5月'!CZ21:DA21,F$152)+COUNTIF('5月'!DE21:DF21,F$152)+COUNTIF('5月'!DJ21:DK21,F$152)+COUNTIF('5月'!DO21:DP21,F$152)+COUNTIF('5月'!DT21:DU21,F$152)+COUNTIF('5月'!DY21:DZ21,F$152)+COUNTIF('5月'!ED21:EE21,F$152)+COUNTIF('5月'!EI21:EJ21,F$152)+COUNTIF('5月'!EN21:EO21,F$152)+COUNTIF('5月'!ES21:ET21,F$152)</f>
        <v>0</v>
      </c>
      <c r="G171" s="76">
        <f t="shared" si="50"/>
        <v>0</v>
      </c>
      <c r="H171" s="76">
        <f>COUNTIF('5月'!D21:E21,H$152)+COUNTIF('5月'!I21:J21,H$152)+COUNTIF('5月'!N21:O21,H$152)+COUNTIF('5月'!S21:T21,H$152)+COUNTIF('5月'!X21:Y21,H$152)+COUNTIF('5月'!AC21:AD21,H$152)+COUNTIF('5月'!AH21:AI21,H$152)+COUNTIF('5月'!AM21:AN21,H$152)+COUNTIF('5月'!AR21:AS21,H$152)+COUNTIF('5月'!AW21:AX21,H$152)+COUNTIF('5月'!BB21:BC21,H$152)+COUNTIF('5月'!BG21:BH21,H$152)+COUNTIF('5月'!BL21:BM21,H$152)+COUNTIF('5月'!BQ21:BR21,H$152)+COUNTIF('5月'!BV21:BW21,H$152)+COUNTIF('5月'!CA21:CB21,H$152)+COUNTIF('5月'!CF21:CG21,H$152)+COUNTIF('5月'!CK21:CL21,H$152)+COUNTIF('5月'!CP21:CQ21,H$152)+COUNTIF('5月'!CU21:CV21,H$152)+COUNTIF('5月'!CZ21:DA21,H$152)+COUNTIF('5月'!DE21:DF21,H$152)+COUNTIF('5月'!DJ21:DK21,H$152)+COUNTIF('5月'!DO21:DP21,H$152)+COUNTIF('5月'!DT21:DU21,H$152)+COUNTIF('5月'!DY21:DZ21,H$152)+COUNTIF('5月'!ED21:EE21,H$152)+COUNTIF('5月'!EI21:EJ21,H$152)+COUNTIF('5月'!EN21:EO21,H$152)+COUNTIF('5月'!ES21:ET21,H$152)+COUNTIF('5月'!D21:E21,"渋谷-夜勤")+COUNTIF('5月'!I21:J21,"渋谷-夜勤")+COUNTIF('5月'!N21:O21,"渋谷-夜勤")+COUNTIF('5月'!S21:T21,"渋谷-夜勤")+COUNTIF('5月'!X21:Y21,"渋谷-夜勤")+COUNTIF('5月'!AC21:AD21,"渋谷-夜勤")+COUNTIF('5月'!AH21:AI21,"渋谷-夜勤")+COUNTIF('5月'!AM21:AN21,"渋谷-夜勤")+COUNTIF('5月'!AR21:AS21,"渋谷-夜勤")+COUNTIF('5月'!AW21:AX21,"渋谷-夜勤")+COUNTIF('5月'!BB21:BC21,"渋谷-夜勤")+COUNTIF('5月'!BG21:BH21,"渋谷-夜勤")+COUNTIF('5月'!BL21:BM21,"渋谷-夜勤")+COUNTIF('5月'!BQ21:BR21,"渋谷-夜勤")+COUNTIF('5月'!BV21:BW21,"渋谷-夜勤")+COUNTIF('5月'!CA21:CB21,"渋谷-夜勤")+COUNTIF('5月'!CF21:CG21,"渋谷-夜勤")+COUNTIF('5月'!CK21:CL21,"渋谷-夜勤")+COUNTIF('5月'!CP21:CQ21,"渋谷-夜勤")+COUNTIF('5月'!CU21:CV21,"渋谷-夜勤")+COUNTIF('5月'!CZ21:DA21,"渋谷-夜勤")+COUNTIF('5月'!DE21:DF21,"渋谷-夜勤")+COUNTIF('5月'!DJ21:DK21,"渋谷-夜勤")+COUNTIF('5月'!DO21:DP21,"渋谷-夜勤")+COUNTIF('5月'!DT21:DU21,"渋谷-夜勤")+COUNTIF('5月'!DY21:DZ21,"渋谷-夜勤")+COUNTIF('5月'!ED21:EE21,"渋谷-夜勤")+COUNTIF('5月'!EI21:EJ21,"渋谷-夜勤")+COUNTIF('5月'!EN21:EO21,"渋谷-夜勤")+COUNTIF('5月'!ES21:ET21,"渋谷-夜勤")</f>
        <v>0</v>
      </c>
      <c r="I171" s="76">
        <f t="shared" si="51"/>
        <v>0</v>
      </c>
      <c r="J171" s="76">
        <f>COUNTIF('5月'!D21:E21,J$152)+COUNTIF('5月'!I21:J21,J$152)+COUNTIF('5月'!N21:O21,J$152)+COUNTIF('5月'!S21:T21,J$152)+COUNTIF('5月'!X21:Y21,J$152)+COUNTIF('5月'!AC21:AD21,J$152)+COUNTIF('5月'!AH21:AI21,J$152)+COUNTIF('5月'!AM21:AN21,J$152)+COUNTIF('5月'!AR21:AS21,J$152)+COUNTIF('5月'!AW21:AX21,J$152)+COUNTIF('5月'!BB21:BC21,J$152)+COUNTIF('5月'!BG21:BH21,J$152)+COUNTIF('5月'!BL21:BM21,J$152)+COUNTIF('5月'!BQ21:BR21,J$152)+COUNTIF('5月'!BV21:BW21,J$152)+COUNTIF('5月'!CA21:CB21,J$152)+COUNTIF('5月'!CF21:CG21,J$152)+COUNTIF('5月'!CK21:CL21,J$152)+COUNTIF('5月'!CP21:CQ21,J$152)+COUNTIF('5月'!CU21:CV21,J$152)+COUNTIF('5月'!CZ21:DA21,J$152)+COUNTIF('5月'!DE21:DF21,J$152)+COUNTIF('5月'!DJ21:DK21,J$152)+COUNTIF('5月'!DO21:DP21,J$152)+COUNTIF('5月'!DT21:DU21,J$152)+COUNTIF('5月'!DY21:DZ21,J$152)+COUNTIF('5月'!ED21:EE21,J$152)+COUNTIF('5月'!EI21:EJ21,J$152)+COUNTIF('5月'!EN21:EO21,J$152)+COUNTIF('5月'!ES21:ET21,J$152)+COUNTIF('5月'!D21:E21,"六本木-夜勤")+COUNTIF('5月'!I21:J21,"六本木-夜勤")+COUNTIF('5月'!N21:O21,"六本木-夜勤")+COUNTIF('5月'!S21:T21,"六本木-夜勤")+COUNTIF('5月'!X21:Y21,"六本木-夜勤")+COUNTIF('5月'!AC21:AD21,"六本木-夜勤")+COUNTIF('5月'!AH21:AI21,"六本木-夜勤")+COUNTIF('5月'!AM21:AN21,"六本木-夜勤")+COUNTIF('5月'!AR21:AS21,"六本木-夜勤")+COUNTIF('5月'!AW21:AX21,"六本木-夜勤")+COUNTIF('5月'!BB21:BC21,"六本木-夜勤")+COUNTIF('5月'!BG21:BH21,"六本木-夜勤")+COUNTIF('5月'!BL21:BM21,"六本木-夜勤")+COUNTIF('5月'!BQ21:BR21,"六本木-夜勤")+COUNTIF('5月'!BV21:BW21,"六本木-夜勤")+COUNTIF('5月'!CA21:CB21,"六本木-夜勤")+COUNTIF('5月'!CF21:CG21,"六本木-夜勤")+COUNTIF('5月'!CK21:CL21,"六本木-夜勤")+COUNTIF('5月'!CP21:CQ21,"六本木-夜勤")+COUNTIF('5月'!CU21:CV21,"六本木-夜勤")+COUNTIF('5月'!CZ21:DA21,"六本木-夜勤")+COUNTIF('5月'!DE21:DF21,"六本木-夜勤")+COUNTIF('5月'!DJ21:DK21,"六本木-夜勤")+COUNTIF('5月'!DO21:DP21,"六本木-夜勤")+COUNTIF('5月'!DT21:DU21,"六本木-夜勤")+COUNTIF('5月'!DY21:DZ21,"六本木-夜勤")+COUNTIF('5月'!ED21:EE21,"六本木-夜勤")+COUNTIF('5月'!EI21:EJ21,"六本木-夜勤")+COUNTIF('5月'!EN21:EO21,"六本木-夜勤")+COUNTIF('5月'!ES21:ET21,"六本木-夜勤")+COUNTIF('5月'!D21:E21,"六本木ー夜勤")+COUNTIF('5月'!I21:J21,"六本木ー夜勤")+COUNTIF('5月'!N21:O21,"六本木ー夜勤")+COUNTIF('5月'!S21:T21,"六本木ー夜勤")+COUNTIF('5月'!X21:Y21,"六本木ー夜勤")+COUNTIF('5月'!AC21:AD21,"六本木ー夜勤")+COUNTIF('5月'!AH21:AI21,"六本木ー夜勤")+COUNTIF('5月'!AM21:AN21,"六本木ー夜勤")+COUNTIF('5月'!AR21:AS21,"六本木ー夜勤")+COUNTIF('5月'!AW21:AX21,"六本木ー夜勤")+COUNTIF('5月'!BB21:BC21,"六本木ー夜勤")+COUNTIF('5月'!BG21:BH21,"六本木ー夜勤")+COUNTIF('5月'!BL21:BM21,"六本木ー夜勤")+COUNTIF('5月'!BQ21:BR21,"六本木ー夜勤")+COUNTIF('5月'!BV21:BW21,"六本木ー夜勤")+COUNTIF('5月'!CA21:CB21,"六本木ー夜勤")+COUNTIF('5月'!CF21:CG21,"六本木ー夜勤")+COUNTIF('5月'!CK21:CL21,"六本木ー夜勤")+COUNTIF('5月'!CP21:CQ21,"六本木ー夜勤")+COUNTIF('5月'!CU21:CV21,"六本木ー夜勤")+COUNTIF('5月'!CZ21:DA21,"六本木ー夜勤")+COUNTIF('5月'!DE21:DF21,"六本木ー夜勤")+COUNTIF('5月'!DJ21:DK21,"六本木ー夜勤")+COUNTIF('5月'!DO21:DP21,"六本木ー夜勤")+COUNTIF('5月'!DT21:DU21,"六本木ー夜勤")+COUNTIF('5月'!DY21:DZ21,"六本木ー夜勤")+COUNTIF('5月'!ED21:EE21,"六本木ー夜勤")+COUNTIF('5月'!EI21:EJ21,"六本木ー夜勤")+COUNTIF('5月'!EN21:EO21,"六本木ー夜勤")+COUNTIF('5月'!ES21:ET21,"六本木ー夜勤")</f>
        <v>0</v>
      </c>
      <c r="K171" s="76">
        <f t="shared" si="52"/>
        <v>0</v>
      </c>
      <c r="L171" s="76">
        <f>COUNTIF('5月'!D21:E21,L$152)+COUNTIF('5月'!I21:J21,L$152)+COUNTIF('5月'!N21:O21,L$152)+COUNTIF('5月'!S21:T21,L$152)+COUNTIF('5月'!X21:Y21,L$152)+COUNTIF('5月'!AC21:AD21,L$152)+COUNTIF('5月'!AH21:AI21,L$152)+COUNTIF('5月'!AM21:AN21,L$152)+COUNTIF('5月'!AR21:AS21,L$152)+COUNTIF('5月'!AW21:AX21,L$152)+COUNTIF('5月'!BB21:BC21,L$152)+COUNTIF('5月'!BG21:BH21,L$152)+COUNTIF('5月'!BL21:BM21,L$152)+COUNTIF('5月'!BQ21:BR21,L$152)+COUNTIF('5月'!BV21:BW21,L$152)+COUNTIF('5月'!CA21:CB21,L$152)+COUNTIF('5月'!CF21:CG21,L$152)+COUNTIF('5月'!CK21:CL21,L$152)+COUNTIF('5月'!CP21:CQ21,L$152)+COUNTIF('5月'!CU21:CV21,L$152)+COUNTIF('5月'!CZ21:DA21,L$152)+COUNTIF('5月'!DE21:DF21,L$152)+COUNTIF('5月'!DJ21:DK21,L$152)+COUNTIF('5月'!DO21:DP21,L$152)+COUNTIF('5月'!DT21:DU21,L$152)+COUNTIF('5月'!DY21:DZ21,L$152)+COUNTIF('5月'!ED21:EE21,L$152)+COUNTIF('5月'!EI21:EJ21,L$152)+COUNTIF('5月'!EN21:EO21,L$152)+COUNTIF('5月'!ES21:ET21,L$152)</f>
        <v>0</v>
      </c>
      <c r="M171" s="76">
        <f t="shared" si="53"/>
        <v>0</v>
      </c>
      <c r="N171" s="76">
        <f>COUNTIF('5月'!D21:E21,N$152)+COUNTIF('5月'!I21:J21,N$152)+COUNTIF('5月'!N21:O21,N$152)+COUNTIF('5月'!S21:T21,N$152)+COUNTIF('5月'!X21:Y21,N$152)+COUNTIF('5月'!AC21:AD21,N$152)+COUNTIF('5月'!AH21:AI21,N$152)+COUNTIF('5月'!AM21:AN21,N$152)+COUNTIF('5月'!AR21:AS21,N$152)+COUNTIF('5月'!AW21:AX21,N$152)+COUNTIF('5月'!BB21:BC21,N$152)+COUNTIF('5月'!BG21:BH21,N$152)+COUNTIF('5月'!BL21:BM21,N$152)+COUNTIF('5月'!BQ21:BR21,N$152)+COUNTIF('5月'!BV21:BW21,N$152)+COUNTIF('5月'!CA21:CB21,N$152)+COUNTIF('5月'!CF21:CG21,N$152)+COUNTIF('5月'!CK21:CL21,N$152)+COUNTIF('5月'!CP21:CQ21,N$152)+COUNTIF('5月'!CU21:CV21,N$152)+COUNTIF('5月'!CZ21:DA21,N$152)+COUNTIF('5月'!DE21:DF21,N$152)+COUNTIF('5月'!DJ21:DK21,N$152)+COUNTIF('5月'!DO21:DP21,N$152)+COUNTIF('5月'!DT21:DU21,N$152)+COUNTIF('5月'!DY21:DZ21,N$152)+COUNTIF('5月'!ED21:EE21,N$152)+COUNTIF('5月'!EI21:EJ21,N$152)+COUNTIF('5月'!EN21:EO21,N$152)+COUNTIF('5月'!ES21:ET21,N$152)+COUNTIF('5月'!D21:E21,"三軒茶屋－夜勤")+COUNTIF('5月'!I21:J21,"三軒茶屋－夜勤")+COUNTIF('5月'!N21:O21,"三軒茶屋－夜勤")+COUNTIF('5月'!S21:T21,"三軒茶屋－夜勤")+COUNTIF('5月'!X21:Y21,"三軒茶屋－夜勤")+COUNTIF('5月'!AC21:AD21,"三軒茶屋－夜勤")+COUNTIF('5月'!AH21:AI21,"三軒茶屋－夜勤")+COUNTIF('5月'!AM21:AN21,"三軒茶屋－夜勤")+COUNTIF('5月'!AR21:AS21,"三軒茶屋－夜勤")+COUNTIF('5月'!AW21:AX21,"三軒茶屋－夜勤")+COUNTIF('5月'!BB21:BC21,"三軒茶屋－夜勤")+COUNTIF('5月'!BG21:BH21,"三軒茶屋－夜勤")+COUNTIF('5月'!BL21:BM21,"三軒茶屋－夜勤")+COUNTIF('5月'!BQ21:BR21,"三軒茶屋－夜勤")+COUNTIF('5月'!BV21:BW21,"三軒茶屋－夜勤")+COUNTIF('5月'!CA21:CB21,"三軒茶屋－夜勤")+COUNTIF('5月'!CF21:CG21,"三軒茶屋－夜勤")+COUNTIF('5月'!CK21:CL21,"三軒茶屋－夜勤")+COUNTIF('5月'!CP21:CQ21,"三軒茶屋－夜勤")+COUNTIF('5月'!CU21:CV21,"三軒茶屋－夜勤")+COUNTIF('5月'!CZ21:DA21,"三軒茶屋－夜勤")+COUNTIF('5月'!DE21:DF21,"三軒茶屋－夜勤")+COUNTIF('5月'!DJ21:DK21,"三軒茶屋－夜勤")+COUNTIF('5月'!DO21:DP21,"三軒茶屋－夜勤")+COUNTIF('5月'!DT21:DU21,"三軒茶屋－夜勤")+COUNTIF('5月'!DY21:DZ21,"三軒茶屋－夜勤")+COUNTIF('5月'!ED21:EE21,"三軒茶屋－夜勤")+COUNTIF('5月'!EI21:EJ21,"三軒茶屋－夜勤")+COUNTIF('5月'!EN21:EO21,"三軒茶屋－夜勤")+COUNTIF('5月'!ES21:ET21,"三軒茶屋－夜勤")</f>
        <v>0</v>
      </c>
      <c r="O171" s="76">
        <f t="shared" si="54"/>
        <v>0</v>
      </c>
      <c r="P171" s="76">
        <f>COUNTIF('5月'!D21:E21,P$152)+COUNTIF('5月'!I21:J21,P$152)+COUNTIF('5月'!N21:O21,P$152)+COUNTIF('5月'!S21:T21,P$152)+COUNTIF('5月'!X21:Y21,P$152)+COUNTIF('5月'!AC21:AD21,P$152)+COUNTIF('5月'!AH21:AI21,P$152)+COUNTIF('5月'!AM21:AN21,P$152)+COUNTIF('5月'!AR21:AS21,P$152)+COUNTIF('5月'!AW21:AX21,P$152)+COUNTIF('5月'!BB21:BC21,P$152)+COUNTIF('5月'!BG21:BH21,P$152)+COUNTIF('5月'!BL21:BM21,P$152)+COUNTIF('5月'!BQ21:BR21,P$152)+COUNTIF('5月'!BV21:BW21,P$152)+COUNTIF('5月'!CA21:CB21,P$152)+COUNTIF('5月'!CF21:CG21,P$152)+COUNTIF('5月'!CK21:CL21,P$152)+COUNTIF('5月'!CP21:CQ21,P$152)+COUNTIF('5月'!CU21:CV21,P$152)+COUNTIF('5月'!CZ21:DA21,P$152)+COUNTIF('5月'!DE21:DF21,P$152)+COUNTIF('5月'!DJ21:DK21,P$152)+COUNTIF('5月'!DO21:DP21,P$152)+COUNTIF('5月'!DT21:DU21,P$152)+COUNTIF('5月'!DY21:DZ21,P$152)+COUNTIF('5月'!ED21:EE21,P$152)+COUNTIF('5月'!EI21:EJ21,P$152)+COUNTIF('5月'!EN21:EO21,P$152)+COUNTIF('5月'!ES21:ET21,P$152)+COUNTIF('5月'!D21:E21,"荻窪ー夜勤")+COUNTIF('5月'!I21:J21,"荻窪ー夜勤")+COUNTIF('5月'!N21:O21,"荻窪ー夜勤")+COUNTIF('5月'!S21:T21,"荻窪ー夜勤")+COUNTIF('5月'!X21:Y21,"荻窪ー夜勤")+COUNTIF('5月'!AC21:AD21,"荻窪ー夜勤")+COUNTIF('5月'!AH21:AI21,"荻窪ー夜勤")+COUNTIF('5月'!AM21:AN21,"荻窪ー夜勤")+COUNTIF('5月'!AR21:AS21,"荻窪ー夜勤")+COUNTIF('5月'!AW21:AX21,"荻窪ー夜勤")+COUNTIF('5月'!BB21:BC21,"荻窪ー夜勤")+COUNTIF('5月'!BG21:BH21,"荻窪ー夜勤")+COUNTIF('5月'!BL21:BM21,"荻窪ー夜勤")+COUNTIF('5月'!BQ21:BR21,"荻窪ー夜勤")+COUNTIF('5月'!BV21:BW21,"荻窪ー夜勤")+COUNTIF('5月'!CA21:CB21,"荻窪ー夜勤")+COUNTIF('5月'!CF21:CG21,"荻窪ー夜勤")+COUNTIF('5月'!CK21:CL21,"荻窪ー夜勤")+COUNTIF('5月'!CP21:CQ21,"荻窪ー夜勤")+COUNTIF('5月'!CU21:CV21,"荻窪ー夜勤")+COUNTIF('5月'!CZ21:DA21,"荻窪ー夜勤")+COUNTIF('5月'!DE21:DF21,"荻窪ー夜勤")+COUNTIF('5月'!DJ21:DK21,"荻窪ー夜勤")+COUNTIF('5月'!DO21:DP21,"荻窪ー夜勤")+COUNTIF('5月'!DT21:DU21,"荻窪ー夜勤")+COUNTIF('5月'!DY21:DZ21,"荻窪ー夜勤")+COUNTIF('5月'!ED21:EE21,"荻窪ー夜勤")+COUNTIF('5月'!EI21:EJ21,"荻窪ー夜勤")+COUNTIF('5月'!EN21:EO21,"荻窪ー夜勤")+COUNTIF('5月'!ES21:ET21,"荻窪ー夜勤")</f>
        <v>0</v>
      </c>
      <c r="Q171" s="76">
        <f t="shared" si="55"/>
        <v>0</v>
      </c>
      <c r="R171" s="76">
        <f>COUNTIF('5月'!D21:E21,R$152)+COUNTIF('5月'!I21:J21,R$152)+COUNTIF('5月'!N21:O21,R$152)+COUNTIF('5月'!S21:T21,R$152)+COUNTIF('5月'!X21:Y21,R$152)+COUNTIF('5月'!AC21:AD21,R$152)+COUNTIF('5月'!AH21:AI21,R$152)+COUNTIF('5月'!AM21:AN21,R$152)+COUNTIF('5月'!AR21:AS21,R$152)+COUNTIF('5月'!AW21:AX21,R$152)+COUNTIF('5月'!BB21:BC21,R$152)+COUNTIF('5月'!BG21:BH21,R$152)+COUNTIF('5月'!BL21:BM21,R$152)+COUNTIF('5月'!BQ21:BR21,R$152)+COUNTIF('5月'!BV21:BW21,R$152)+COUNTIF('5月'!CA21:CB21,R$152)+COUNTIF('5月'!CF21:CG21,R$152)+COUNTIF('5月'!CK21:CL21,R$152)+COUNTIF('5月'!CP21:CQ21,R$152)+COUNTIF('5月'!CU21:CV21,R$152)+COUNTIF('5月'!CZ21:DA21,R$152)+COUNTIF('5月'!DE21:DF21,R$152)+COUNTIF('5月'!DJ21:DK21,R$152)+COUNTIF('5月'!DO21:DP21,R$152)+COUNTIF('5月'!DT21:DU21,R$152)+COUNTIF('5月'!DY21:DZ21,R$152)+COUNTIF('5月'!ED21:EE21,R$152)+COUNTIF('5月'!EI21:EJ21,R$152)+COUNTIF('5月'!EN21:EO21,R$152)+COUNTIF('5月'!ES21:ET21,R$152)</f>
        <v>0</v>
      </c>
      <c r="S171" s="76">
        <f t="shared" si="56"/>
        <v>0</v>
      </c>
      <c r="T171" s="76">
        <f>COUNTIF('5月'!D21:E21,T$152)+COUNTIF('5月'!I21:J21,T$152)+COUNTIF('5月'!N21:O21,T$152)+COUNTIF('5月'!S21:T21,T$152)+COUNTIF('5月'!X21:Y21,T$152)+COUNTIF('5月'!AC21:AD21,T$152)+COUNTIF('5月'!AH21:AI21,T$152)+COUNTIF('5月'!AM21:AN21,T$152)+COUNTIF('5月'!AR21:AS21,T$152)+COUNTIF('5月'!AW21:AX21,T$152)+COUNTIF('5月'!BB21:BC21,T$152)+COUNTIF('5月'!BG21:BH21,T$152)+COUNTIF('5月'!BL21:BM21,T$152)+COUNTIF('5月'!BQ21:BR21,T$152)+COUNTIF('5月'!BV21:BW21,T$152)+COUNTIF('5月'!CA21:CB21,T$152)+COUNTIF('5月'!CF21:CG21,T$152)+COUNTIF('5月'!CK21:CL21,T$152)+COUNTIF('5月'!CP21:CQ21,T$152)+COUNTIF('5月'!CU21:CV21,T$152)+COUNTIF('5月'!CZ21:DA21,T$152)+COUNTIF('5月'!DE21:DF21,T$152)+COUNTIF('5月'!DJ21:DK21,T$152)+COUNTIF('5月'!DO21:DP21,T$152)+COUNTIF('5月'!DT21:DU21,T$152)+COUNTIF('5月'!DY21:DZ21,T$152)+COUNTIF('5月'!ED21:EE21,T$152)+COUNTIF('5月'!EI21:EJ21,T$152)+COUNTIF('5月'!EN21:EO21,T$152)+COUNTIF('5月'!ES21:ET21,T$152)</f>
        <v>0</v>
      </c>
      <c r="U171" s="76">
        <f t="shared" si="57"/>
        <v>0</v>
      </c>
      <c r="V171" s="76">
        <f>COUNTIF('5月'!D21:E21,V$152)+COUNTIF('5月'!I21:J21,V$152)+COUNTIF('5月'!N21:O21,V$152)+COUNTIF('5月'!S21:T21,V$152)+COUNTIF('5月'!X21:Y21,V$152)+COUNTIF('5月'!AC21:AD21,V$152)+COUNTIF('5月'!AH21:AI21,V$152)+COUNTIF('5月'!AM21:AN21,V$152)+COUNTIF('5月'!AR21:AS21,V$152)+COUNTIF('5月'!AW21:AX21,V$152)+COUNTIF('5月'!BB21:BC21,V$152)+COUNTIF('5月'!BG21:BH21,V$152)+COUNTIF('5月'!BL21:BM21,V$152)+COUNTIF('5月'!BQ21:BR21,V$152)+COUNTIF('5月'!BV21:BW21,V$152)+COUNTIF('5月'!CA21:CB21,V$152)+COUNTIF('5月'!CF21:CG21,V$152)+COUNTIF('5月'!CK21:CL21,V$152)+COUNTIF('5月'!CP21:CQ21,V$152)+COUNTIF('5月'!CU21:CV21,V$152)+COUNTIF('5月'!CZ21:DA21,V$152)+COUNTIF('5月'!DE21:DF21,V$152)+COUNTIF('5月'!DJ21:DK21,V$152)+COUNTIF('5月'!DO21:DP21,V$152)+COUNTIF('5月'!DT21:DU21,V$152)+COUNTIF('5月'!DY21:DZ21,V$152)+COUNTIF('5月'!ED21:EE21,V$152)+COUNTIF('5月'!EI21:EJ21,V$152)+COUNTIF('5月'!EN21:EO21,V$152)+COUNTIF('5月'!ES21:ET21,V$152)</f>
        <v>0</v>
      </c>
      <c r="W171" s="76">
        <f t="shared" si="58"/>
        <v>0</v>
      </c>
      <c r="X171" s="76">
        <f>COUNTIF('5月'!D21:E21,X$152)+COUNTIF('5月'!I21:J21,X$152)+COUNTIF('5月'!N21:O21,X$152)+COUNTIF('5月'!S21:T21,X$152)+COUNTIF('5月'!X21:Y21,X$152)+COUNTIF('5月'!AC21:AD21,X$152)+COUNTIF('5月'!AH21:AI21,X$152)+COUNTIF('5月'!AM21:AN21,X$152)+COUNTIF('5月'!AR21:AS21,X$152)+COUNTIF('5月'!AW21:AX21,X$152)+COUNTIF('5月'!BB21:BC21,X$152)+COUNTIF('5月'!BG21:BH21,X$152)+COUNTIF('5月'!BL21:BM21,X$152)+COUNTIF('5月'!BQ21:BR21,X$152)+COUNTIF('5月'!BV21:BW21,X$152)+COUNTIF('5月'!CA21:CB21,X$152)+COUNTIF('5月'!CF21:CG21,X$152)+COUNTIF('5月'!CK21:CL21,X$152)+COUNTIF('5月'!CP21:CQ21,X$152)+COUNTIF('5月'!CU21:CV21,X$152)+COUNTIF('5月'!CZ21:DA21,X$152)+COUNTIF('5月'!DE21:DF21,X$152)+COUNTIF('5月'!DJ21:DK21,X$152)+COUNTIF('5月'!DO21:DP21,X$152)+COUNTIF('5月'!DT21:DU21,X$152)+COUNTIF('5月'!DY21:DZ21,X$152)+COUNTIF('5月'!ED21:EE21,X$152)+COUNTIF('5月'!EI21:EJ21,X$152)+COUNTIF('5月'!EN21:EO21,X$152)+COUNTIF('5月'!ES21:ET21,X$152)</f>
        <v>0</v>
      </c>
      <c r="Y171" s="76">
        <f t="shared" si="59"/>
        <v>0</v>
      </c>
    </row>
    <row r="172" spans="1:25" ht="18" customHeight="1">
      <c r="A172" s="76">
        <v>19</v>
      </c>
      <c r="B172" s="76">
        <f>COUNTIF('5月'!D22:E22,B$152)+COUNTIF('5月'!I22:J22,B$152)+COUNTIF('5月'!N22:O22,B$152)+COUNTIF('5月'!S22:T22,B$152)+COUNTIF('5月'!X22:Y22,B$152)+COUNTIF('5月'!AC22:AD22,B$152)+COUNTIF('5月'!AH22:AI22,B$152)+COUNTIF('5月'!AM22:AN22,B$152)+COUNTIF('5月'!AR22:AS22,B$152)+COUNTIF('5月'!AW22:AX22,B$152)+COUNTIF('5月'!BB22:BC22,B$152)+COUNTIF('5月'!BG22:BH22,B$152)+COUNTIF('5月'!BL22:BM22,B$152)+COUNTIF('5月'!BQ22:BR22,B$152)+COUNTIF('5月'!BV22:BW22,B$152)+COUNTIF('5月'!CA22:CB22,B$152)+COUNTIF('5月'!CF22:CG22,B$152)+COUNTIF('5月'!CK22:CL22,B$152)+COUNTIF('5月'!CP22:CQ22,B$152)+COUNTIF('5月'!CU22:CV22,B$152)+COUNTIF('5月'!CZ22:DA22,B$152)+COUNTIF('5月'!DE22:DF22,B$152)+COUNTIF('5月'!DJ22:DK22,B$152)+COUNTIF('5月'!DO22:DP22,B$152)+COUNTIF('5月'!DT22:DU22,B$152)+COUNTIF('5月'!DY22:DZ22,B$152)+COUNTIF('5月'!ED22:EE22,B$152)+COUNTIF('5月'!EI22:EJ22,B$152)+COUNTIF('5月'!EN22:EO22,B$152)+COUNTIF('5月'!ES22:ET22,B$152)</f>
        <v>0</v>
      </c>
      <c r="C172" s="76">
        <f t="shared" si="48"/>
        <v>0</v>
      </c>
      <c r="D172" s="76">
        <f>COUNTIF('5月'!D22:E22,D$152)+COUNTIF('5月'!I22:J22,D$152)+COUNTIF('5月'!N22:O22,D$152)+COUNTIF('5月'!S22:T22,D$152)+COUNTIF('5月'!X22:Y22,D$152)+COUNTIF('5月'!AC22:AD22,D$152)+COUNTIF('5月'!AH22:AI22,D$152)+COUNTIF('5月'!AM22:AN22,D$152)+COUNTIF('5月'!AR22:AS22,D$152)+COUNTIF('5月'!AW22:AX22,D$152)+COUNTIF('5月'!BB22:BC22,D$152)+COUNTIF('5月'!BG22:BH22,D$152)+COUNTIF('5月'!BL22:BM22,D$152)+COUNTIF('5月'!BQ22:BR22,D$152)+COUNTIF('5月'!BV22:BW22,D$152)+COUNTIF('5月'!CA22:CB22,D$152)+COUNTIF('5月'!CF22:CG22,D$152)+COUNTIF('5月'!CK22:CL22,D$152)+COUNTIF('5月'!CP22:CQ22,D$152)+COUNTIF('5月'!CU22:CV22,D$152)+COUNTIF('5月'!CZ22:DA22,D$152)+COUNTIF('5月'!DE22:DF22,D$152)+COUNTIF('5月'!DJ22:DK22,D$152)+COUNTIF('5月'!DO22:DP22,D$152)+COUNTIF('5月'!DT22:DU22,D$152)+COUNTIF('5月'!DY22:DZ22,D$152)+COUNTIF('5月'!ED22:EE22,D$152)+COUNTIF('5月'!EI22:EJ22,D$152)+COUNTIF('5月'!EN22:EO22,D$152)+COUNTIF('5月'!ES22:ET22,D$152)</f>
        <v>0</v>
      </c>
      <c r="E172" s="76">
        <f t="shared" si="49"/>
        <v>0</v>
      </c>
      <c r="F172" s="76">
        <f>COUNTIF('5月'!D22:E22,F$152)+COUNTIF('5月'!I22:J22,F$152)+COUNTIF('5月'!N22:O22,F$152)+COUNTIF('5月'!S22:T22,F$152)+COUNTIF('5月'!X22:Y22,F$152)+COUNTIF('5月'!AC22:AD22,F$152)+COUNTIF('5月'!AH22:AI22,F$152)+COUNTIF('5月'!AM22:AN22,F$152)+COUNTIF('5月'!AR22:AS22,F$152)+COUNTIF('5月'!AW22:AX22,F$152)+COUNTIF('5月'!BB22:BC22,F$152)+COUNTIF('5月'!BG22:BH22,F$152)+COUNTIF('5月'!BL22:BM22,F$152)+COUNTIF('5月'!BQ22:BR22,F$152)+COUNTIF('5月'!BV22:BW22,F$152)+COUNTIF('5月'!CA22:CB22,F$152)+COUNTIF('5月'!CF22:CG22,F$152)+COUNTIF('5月'!CK22:CL22,F$152)+COUNTIF('5月'!CP22:CQ22,F$152)+COUNTIF('5月'!CU22:CV22,F$152)+COUNTIF('5月'!CZ22:DA22,F$152)+COUNTIF('5月'!DE22:DF22,F$152)+COUNTIF('5月'!DJ22:DK22,F$152)+COUNTIF('5月'!DO22:DP22,F$152)+COUNTIF('5月'!DT22:DU22,F$152)+COUNTIF('5月'!DY22:DZ22,F$152)+COUNTIF('5月'!ED22:EE22,F$152)+COUNTIF('5月'!EI22:EJ22,F$152)+COUNTIF('5月'!EN22:EO22,F$152)+COUNTIF('5月'!ES22:ET22,F$152)</f>
        <v>0</v>
      </c>
      <c r="G172" s="76">
        <f t="shared" si="50"/>
        <v>0</v>
      </c>
      <c r="H172" s="76">
        <f>COUNTIF('5月'!D22:E22,H$152)+COUNTIF('5月'!I22:J22,H$152)+COUNTIF('5月'!N22:O22,H$152)+COUNTIF('5月'!S22:T22,H$152)+COUNTIF('5月'!X22:Y22,H$152)+COUNTIF('5月'!AC22:AD22,H$152)+COUNTIF('5月'!AH22:AI22,H$152)+COUNTIF('5月'!AM22:AN22,H$152)+COUNTIF('5月'!AR22:AS22,H$152)+COUNTIF('5月'!AW22:AX22,H$152)+COUNTIF('5月'!BB22:BC22,H$152)+COUNTIF('5月'!BG22:BH22,H$152)+COUNTIF('5月'!BL22:BM22,H$152)+COUNTIF('5月'!BQ22:BR22,H$152)+COUNTIF('5月'!BV22:BW22,H$152)+COUNTIF('5月'!CA22:CB22,H$152)+COUNTIF('5月'!CF22:CG22,H$152)+COUNTIF('5月'!CK22:CL22,H$152)+COUNTIF('5月'!CP22:CQ22,H$152)+COUNTIF('5月'!CU22:CV22,H$152)+COUNTIF('5月'!CZ22:DA22,H$152)+COUNTIF('5月'!DE22:DF22,H$152)+COUNTIF('5月'!DJ22:DK22,H$152)+COUNTIF('5月'!DO22:DP22,H$152)+COUNTIF('5月'!DT22:DU22,H$152)+COUNTIF('5月'!DY22:DZ22,H$152)+COUNTIF('5月'!ED22:EE22,H$152)+COUNTIF('5月'!EI22:EJ22,H$152)+COUNTIF('5月'!EN22:EO22,H$152)+COUNTIF('5月'!ES22:ET22,H$152)+COUNTIF('5月'!D22:E22,"渋谷-夜勤")+COUNTIF('5月'!I22:J22,"渋谷-夜勤")+COUNTIF('5月'!N22:O22,"渋谷-夜勤")+COUNTIF('5月'!S22:T22,"渋谷-夜勤")+COUNTIF('5月'!X22:Y22,"渋谷-夜勤")+COUNTIF('5月'!AC22:AD22,"渋谷-夜勤")+COUNTIF('5月'!AH22:AI22,"渋谷-夜勤")+COUNTIF('5月'!AM22:AN22,"渋谷-夜勤")+COUNTIF('5月'!AR22:AS22,"渋谷-夜勤")+COUNTIF('5月'!AW22:AX22,"渋谷-夜勤")+COUNTIF('5月'!BB22:BC22,"渋谷-夜勤")+COUNTIF('5月'!BG22:BH22,"渋谷-夜勤")+COUNTIF('5月'!BL22:BM22,"渋谷-夜勤")+COUNTIF('5月'!BQ22:BR22,"渋谷-夜勤")+COUNTIF('5月'!BV22:BW22,"渋谷-夜勤")+COUNTIF('5月'!CA22:CB22,"渋谷-夜勤")+COUNTIF('5月'!CF22:CG22,"渋谷-夜勤")+COUNTIF('5月'!CK22:CL22,"渋谷-夜勤")+COUNTIF('5月'!CP22:CQ22,"渋谷-夜勤")+COUNTIF('5月'!CU22:CV22,"渋谷-夜勤")+COUNTIF('5月'!CZ22:DA22,"渋谷-夜勤")+COUNTIF('5月'!DE22:DF22,"渋谷-夜勤")+COUNTIF('5月'!DJ22:DK22,"渋谷-夜勤")+COUNTIF('5月'!DO22:DP22,"渋谷-夜勤")+COUNTIF('5月'!DT22:DU22,"渋谷-夜勤")+COUNTIF('5月'!DY22:DZ22,"渋谷-夜勤")+COUNTIF('5月'!ED22:EE22,"渋谷-夜勤")+COUNTIF('5月'!EI22:EJ22,"渋谷-夜勤")+COUNTIF('5月'!EN22:EO22,"渋谷-夜勤")+COUNTIF('5月'!ES22:ET22,"渋谷-夜勤")</f>
        <v>0</v>
      </c>
      <c r="I172" s="76">
        <f t="shared" si="51"/>
        <v>0</v>
      </c>
      <c r="J172" s="76">
        <f>COUNTIF('5月'!D22:E22,J$152)+COUNTIF('5月'!I22:J22,J$152)+COUNTIF('5月'!N22:O22,J$152)+COUNTIF('5月'!S22:T22,J$152)+COUNTIF('5月'!X22:Y22,J$152)+COUNTIF('5月'!AC22:AD22,J$152)+COUNTIF('5月'!AH22:AI22,J$152)+COUNTIF('5月'!AM22:AN22,J$152)+COUNTIF('5月'!AR22:AS22,J$152)+COUNTIF('5月'!AW22:AX22,J$152)+COUNTIF('5月'!BB22:BC22,J$152)+COUNTIF('5月'!BG22:BH22,J$152)+COUNTIF('5月'!BL22:BM22,J$152)+COUNTIF('5月'!BQ22:BR22,J$152)+COUNTIF('5月'!BV22:BW22,J$152)+COUNTIF('5月'!CA22:CB22,J$152)+COUNTIF('5月'!CF22:CG22,J$152)+COUNTIF('5月'!CK22:CL22,J$152)+COUNTIF('5月'!CP22:CQ22,J$152)+COUNTIF('5月'!CU22:CV22,J$152)+COUNTIF('5月'!CZ22:DA22,J$152)+COUNTIF('5月'!DE22:DF22,J$152)+COUNTIF('5月'!DJ22:DK22,J$152)+COUNTIF('5月'!DO22:DP22,J$152)+COUNTIF('5月'!DT22:DU22,J$152)+COUNTIF('5月'!DY22:DZ22,J$152)+COUNTIF('5月'!ED22:EE22,J$152)+COUNTIF('5月'!EI22:EJ22,J$152)+COUNTIF('5月'!EN22:EO22,J$152)+COUNTIF('5月'!ES22:ET22,J$152)+COUNTIF('5月'!D22:E22,"六本木-夜勤")+COUNTIF('5月'!I22:J22,"六本木-夜勤")+COUNTIF('5月'!N22:O22,"六本木-夜勤")+COUNTIF('5月'!S22:T22,"六本木-夜勤")+COUNTIF('5月'!X22:Y22,"六本木-夜勤")+COUNTIF('5月'!AC22:AD22,"六本木-夜勤")+COUNTIF('5月'!AH22:AI22,"六本木-夜勤")+COUNTIF('5月'!AM22:AN22,"六本木-夜勤")+COUNTIF('5月'!AR22:AS22,"六本木-夜勤")+COUNTIF('5月'!AW22:AX22,"六本木-夜勤")+COUNTIF('5月'!BB22:BC22,"六本木-夜勤")+COUNTIF('5月'!BG22:BH22,"六本木-夜勤")+COUNTIF('5月'!BL22:BM22,"六本木-夜勤")+COUNTIF('5月'!BQ22:BR22,"六本木-夜勤")+COUNTIF('5月'!BV22:BW22,"六本木-夜勤")+COUNTIF('5月'!CA22:CB22,"六本木-夜勤")+COUNTIF('5月'!CF22:CG22,"六本木-夜勤")+COUNTIF('5月'!CK22:CL22,"六本木-夜勤")+COUNTIF('5月'!CP22:CQ22,"六本木-夜勤")+COUNTIF('5月'!CU22:CV22,"六本木-夜勤")+COUNTIF('5月'!CZ22:DA22,"六本木-夜勤")+COUNTIF('5月'!DE22:DF22,"六本木-夜勤")+COUNTIF('5月'!DJ22:DK22,"六本木-夜勤")+COUNTIF('5月'!DO22:DP22,"六本木-夜勤")+COUNTIF('5月'!DT22:DU22,"六本木-夜勤")+COUNTIF('5月'!DY22:DZ22,"六本木-夜勤")+COUNTIF('5月'!ED22:EE22,"六本木-夜勤")+COUNTIF('5月'!EI22:EJ22,"六本木-夜勤")+COUNTIF('5月'!EN22:EO22,"六本木-夜勤")+COUNTIF('5月'!ES22:ET22,"六本木-夜勤")+COUNTIF('5月'!D22:E22,"六本木ー夜勤")+COUNTIF('5月'!I22:J22,"六本木ー夜勤")+COUNTIF('5月'!N22:O22,"六本木ー夜勤")+COUNTIF('5月'!S22:T22,"六本木ー夜勤")+COUNTIF('5月'!X22:Y22,"六本木ー夜勤")+COUNTIF('5月'!AC22:AD22,"六本木ー夜勤")+COUNTIF('5月'!AH22:AI22,"六本木ー夜勤")+COUNTIF('5月'!AM22:AN22,"六本木ー夜勤")+COUNTIF('5月'!AR22:AS22,"六本木ー夜勤")+COUNTIF('5月'!AW22:AX22,"六本木ー夜勤")+COUNTIF('5月'!BB22:BC22,"六本木ー夜勤")+COUNTIF('5月'!BG22:BH22,"六本木ー夜勤")+COUNTIF('5月'!BL22:BM22,"六本木ー夜勤")+COUNTIF('5月'!BQ22:BR22,"六本木ー夜勤")+COUNTIF('5月'!BV22:BW22,"六本木ー夜勤")+COUNTIF('5月'!CA22:CB22,"六本木ー夜勤")+COUNTIF('5月'!CF22:CG22,"六本木ー夜勤")+COUNTIF('5月'!CK22:CL22,"六本木ー夜勤")+COUNTIF('5月'!CP22:CQ22,"六本木ー夜勤")+COUNTIF('5月'!CU22:CV22,"六本木ー夜勤")+COUNTIF('5月'!CZ22:DA22,"六本木ー夜勤")+COUNTIF('5月'!DE22:DF22,"六本木ー夜勤")+COUNTIF('5月'!DJ22:DK22,"六本木ー夜勤")+COUNTIF('5月'!DO22:DP22,"六本木ー夜勤")+COUNTIF('5月'!DT22:DU22,"六本木ー夜勤")+COUNTIF('5月'!DY22:DZ22,"六本木ー夜勤")+COUNTIF('5月'!ED22:EE22,"六本木ー夜勤")+COUNTIF('5月'!EI22:EJ22,"六本木ー夜勤")+COUNTIF('5月'!EN22:EO22,"六本木ー夜勤")+COUNTIF('5月'!ES22:ET22,"六本木ー夜勤")</f>
        <v>0</v>
      </c>
      <c r="K172" s="76">
        <f t="shared" si="52"/>
        <v>0</v>
      </c>
      <c r="L172" s="76">
        <f>COUNTIF('5月'!D22:E22,L$152)+COUNTIF('5月'!I22:J22,L$152)+COUNTIF('5月'!N22:O22,L$152)+COUNTIF('5月'!S22:T22,L$152)+COUNTIF('5月'!X22:Y22,L$152)+COUNTIF('5月'!AC22:AD22,L$152)+COUNTIF('5月'!AH22:AI22,L$152)+COUNTIF('5月'!AM22:AN22,L$152)+COUNTIF('5月'!AR22:AS22,L$152)+COUNTIF('5月'!AW22:AX22,L$152)+COUNTIF('5月'!BB22:BC22,L$152)+COUNTIF('5月'!BG22:BH22,L$152)+COUNTIF('5月'!BL22:BM22,L$152)+COUNTIF('5月'!BQ22:BR22,L$152)+COUNTIF('5月'!BV22:BW22,L$152)+COUNTIF('5月'!CA22:CB22,L$152)+COUNTIF('5月'!CF22:CG22,L$152)+COUNTIF('5月'!CK22:CL22,L$152)+COUNTIF('5月'!CP22:CQ22,L$152)+COUNTIF('5月'!CU22:CV22,L$152)+COUNTIF('5月'!CZ22:DA22,L$152)+COUNTIF('5月'!DE22:DF22,L$152)+COUNTIF('5月'!DJ22:DK22,L$152)+COUNTIF('5月'!DO22:DP22,L$152)+COUNTIF('5月'!DT22:DU22,L$152)+COUNTIF('5月'!DY22:DZ22,L$152)+COUNTIF('5月'!ED22:EE22,L$152)+COUNTIF('5月'!EI22:EJ22,L$152)+COUNTIF('5月'!EN22:EO22,L$152)+COUNTIF('5月'!ES22:ET22,L$152)</f>
        <v>0</v>
      </c>
      <c r="M172" s="76">
        <f t="shared" si="53"/>
        <v>0</v>
      </c>
      <c r="N172" s="76">
        <f>COUNTIF('5月'!D22:E22,N$152)+COUNTIF('5月'!I22:J22,N$152)+COUNTIF('5月'!N22:O22,N$152)+COUNTIF('5月'!S22:T22,N$152)+COUNTIF('5月'!X22:Y22,N$152)+COUNTIF('5月'!AC22:AD22,N$152)+COUNTIF('5月'!AH22:AI22,N$152)+COUNTIF('5月'!AM22:AN22,N$152)+COUNTIF('5月'!AR22:AS22,N$152)+COUNTIF('5月'!AW22:AX22,N$152)+COUNTIF('5月'!BB22:BC22,N$152)+COUNTIF('5月'!BG22:BH22,N$152)+COUNTIF('5月'!BL22:BM22,N$152)+COUNTIF('5月'!BQ22:BR22,N$152)+COUNTIF('5月'!BV22:BW22,N$152)+COUNTIF('5月'!CA22:CB22,N$152)+COUNTIF('5月'!CF22:CG22,N$152)+COUNTIF('5月'!CK22:CL22,N$152)+COUNTIF('5月'!CP22:CQ22,N$152)+COUNTIF('5月'!CU22:CV22,N$152)+COUNTIF('5月'!CZ22:DA22,N$152)+COUNTIF('5月'!DE22:DF22,N$152)+COUNTIF('5月'!DJ22:DK22,N$152)+COUNTIF('5月'!DO22:DP22,N$152)+COUNTIF('5月'!DT22:DU22,N$152)+COUNTIF('5月'!DY22:DZ22,N$152)+COUNTIF('5月'!ED22:EE22,N$152)+COUNTIF('5月'!EI22:EJ22,N$152)+COUNTIF('5月'!EN22:EO22,N$152)+COUNTIF('5月'!ES22:ET22,N$152)+COUNTIF('5月'!D22:E22,"三軒茶屋－夜勤")+COUNTIF('5月'!I22:J22,"三軒茶屋－夜勤")+COUNTIF('5月'!N22:O22,"三軒茶屋－夜勤")+COUNTIF('5月'!S22:T22,"三軒茶屋－夜勤")+COUNTIF('5月'!X22:Y22,"三軒茶屋－夜勤")+COUNTIF('5月'!AC22:AD22,"三軒茶屋－夜勤")+COUNTIF('5月'!AH22:AI22,"三軒茶屋－夜勤")+COUNTIF('5月'!AM22:AN22,"三軒茶屋－夜勤")+COUNTIF('5月'!AR22:AS22,"三軒茶屋－夜勤")+COUNTIF('5月'!AW22:AX22,"三軒茶屋－夜勤")+COUNTIF('5月'!BB22:BC22,"三軒茶屋－夜勤")+COUNTIF('5月'!BG22:BH22,"三軒茶屋－夜勤")+COUNTIF('5月'!BL22:BM22,"三軒茶屋－夜勤")+COUNTIF('5月'!BQ22:BR22,"三軒茶屋－夜勤")+COUNTIF('5月'!BV22:BW22,"三軒茶屋－夜勤")+COUNTIF('5月'!CA22:CB22,"三軒茶屋－夜勤")+COUNTIF('5月'!CF22:CG22,"三軒茶屋－夜勤")+COUNTIF('5月'!CK22:CL22,"三軒茶屋－夜勤")+COUNTIF('5月'!CP22:CQ22,"三軒茶屋－夜勤")+COUNTIF('5月'!CU22:CV22,"三軒茶屋－夜勤")+COUNTIF('5月'!CZ22:DA22,"三軒茶屋－夜勤")+COUNTIF('5月'!DE22:DF22,"三軒茶屋－夜勤")+COUNTIF('5月'!DJ22:DK22,"三軒茶屋－夜勤")+COUNTIF('5月'!DO22:DP22,"三軒茶屋－夜勤")+COUNTIF('5月'!DT22:DU22,"三軒茶屋－夜勤")+COUNTIF('5月'!DY22:DZ22,"三軒茶屋－夜勤")+COUNTIF('5月'!ED22:EE22,"三軒茶屋－夜勤")+COUNTIF('5月'!EI22:EJ22,"三軒茶屋－夜勤")+COUNTIF('5月'!EN22:EO22,"三軒茶屋－夜勤")+COUNTIF('5月'!ES22:ET22,"三軒茶屋－夜勤")</f>
        <v>0</v>
      </c>
      <c r="O172" s="76">
        <f t="shared" si="54"/>
        <v>0</v>
      </c>
      <c r="P172" s="76">
        <f>COUNTIF('5月'!D22:E22,P$152)+COUNTIF('5月'!I22:J22,P$152)+COUNTIF('5月'!N22:O22,P$152)+COUNTIF('5月'!S22:T22,P$152)+COUNTIF('5月'!X22:Y22,P$152)+COUNTIF('5月'!AC22:AD22,P$152)+COUNTIF('5月'!AH22:AI22,P$152)+COUNTIF('5月'!AM22:AN22,P$152)+COUNTIF('5月'!AR22:AS22,P$152)+COUNTIF('5月'!AW22:AX22,P$152)+COUNTIF('5月'!BB22:BC22,P$152)+COUNTIF('5月'!BG22:BH22,P$152)+COUNTIF('5月'!BL22:BM22,P$152)+COUNTIF('5月'!BQ22:BR22,P$152)+COUNTIF('5月'!BV22:BW22,P$152)+COUNTIF('5月'!CA22:CB22,P$152)+COUNTIF('5月'!CF22:CG22,P$152)+COUNTIF('5月'!CK22:CL22,P$152)+COUNTIF('5月'!CP22:CQ22,P$152)+COUNTIF('5月'!CU22:CV22,P$152)+COUNTIF('5月'!CZ22:DA22,P$152)+COUNTIF('5月'!DE22:DF22,P$152)+COUNTIF('5月'!DJ22:DK22,P$152)+COUNTIF('5月'!DO22:DP22,P$152)+COUNTIF('5月'!DT22:DU22,P$152)+COUNTIF('5月'!DY22:DZ22,P$152)+COUNTIF('5月'!ED22:EE22,P$152)+COUNTIF('5月'!EI22:EJ22,P$152)+COUNTIF('5月'!EN22:EO22,P$152)+COUNTIF('5月'!ES22:ET22,P$152)+COUNTIF('5月'!D22:E22,"荻窪ー夜勤")+COUNTIF('5月'!I22:J22,"荻窪ー夜勤")+COUNTIF('5月'!N22:O22,"荻窪ー夜勤")+COUNTIF('5月'!S22:T22,"荻窪ー夜勤")+COUNTIF('5月'!X22:Y22,"荻窪ー夜勤")+COUNTIF('5月'!AC22:AD22,"荻窪ー夜勤")+COUNTIF('5月'!AH22:AI22,"荻窪ー夜勤")+COUNTIF('5月'!AM22:AN22,"荻窪ー夜勤")+COUNTIF('5月'!AR22:AS22,"荻窪ー夜勤")+COUNTIF('5月'!AW22:AX22,"荻窪ー夜勤")+COUNTIF('5月'!BB22:BC22,"荻窪ー夜勤")+COUNTIF('5月'!BG22:BH22,"荻窪ー夜勤")+COUNTIF('5月'!BL22:BM22,"荻窪ー夜勤")+COUNTIF('5月'!BQ22:BR22,"荻窪ー夜勤")+COUNTIF('5月'!BV22:BW22,"荻窪ー夜勤")+COUNTIF('5月'!CA22:CB22,"荻窪ー夜勤")+COUNTIF('5月'!CF22:CG22,"荻窪ー夜勤")+COUNTIF('5月'!CK22:CL22,"荻窪ー夜勤")+COUNTIF('5月'!CP22:CQ22,"荻窪ー夜勤")+COUNTIF('5月'!CU22:CV22,"荻窪ー夜勤")+COUNTIF('5月'!CZ22:DA22,"荻窪ー夜勤")+COUNTIF('5月'!DE22:DF22,"荻窪ー夜勤")+COUNTIF('5月'!DJ22:DK22,"荻窪ー夜勤")+COUNTIF('5月'!DO22:DP22,"荻窪ー夜勤")+COUNTIF('5月'!DT22:DU22,"荻窪ー夜勤")+COUNTIF('5月'!DY22:DZ22,"荻窪ー夜勤")+COUNTIF('5月'!ED22:EE22,"荻窪ー夜勤")+COUNTIF('5月'!EI22:EJ22,"荻窪ー夜勤")+COUNTIF('5月'!EN22:EO22,"荻窪ー夜勤")+COUNTIF('5月'!ES22:ET22,"荻窪ー夜勤")</f>
        <v>0</v>
      </c>
      <c r="Q172" s="76">
        <f t="shared" si="55"/>
        <v>0</v>
      </c>
      <c r="R172" s="76">
        <f>COUNTIF('5月'!D22:E22,R$152)+COUNTIF('5月'!I22:J22,R$152)+COUNTIF('5月'!N22:O22,R$152)+COUNTIF('5月'!S22:T22,R$152)+COUNTIF('5月'!X22:Y22,R$152)+COUNTIF('5月'!AC22:AD22,R$152)+COUNTIF('5月'!AH22:AI22,R$152)+COUNTIF('5月'!AM22:AN22,R$152)+COUNTIF('5月'!AR22:AS22,R$152)+COUNTIF('5月'!AW22:AX22,R$152)+COUNTIF('5月'!BB22:BC22,R$152)+COUNTIF('5月'!BG22:BH22,R$152)+COUNTIF('5月'!BL22:BM22,R$152)+COUNTIF('5月'!BQ22:BR22,R$152)+COUNTIF('5月'!BV22:BW22,R$152)+COUNTIF('5月'!CA22:CB22,R$152)+COUNTIF('5月'!CF22:CG22,R$152)+COUNTIF('5月'!CK22:CL22,R$152)+COUNTIF('5月'!CP22:CQ22,R$152)+COUNTIF('5月'!CU22:CV22,R$152)+COUNTIF('5月'!CZ22:DA22,R$152)+COUNTIF('5月'!DE22:DF22,R$152)+COUNTIF('5月'!DJ22:DK22,R$152)+COUNTIF('5月'!DO22:DP22,R$152)+COUNTIF('5月'!DT22:DU22,R$152)+COUNTIF('5月'!DY22:DZ22,R$152)+COUNTIF('5月'!ED22:EE22,R$152)+COUNTIF('5月'!EI22:EJ22,R$152)+COUNTIF('5月'!EN22:EO22,R$152)+COUNTIF('5月'!ES22:ET22,R$152)</f>
        <v>0</v>
      </c>
      <c r="S172" s="76">
        <f t="shared" si="56"/>
        <v>0</v>
      </c>
      <c r="T172" s="76">
        <f>COUNTIF('5月'!D22:E22,T$152)+COUNTIF('5月'!I22:J22,T$152)+COUNTIF('5月'!N22:O22,T$152)+COUNTIF('5月'!S22:T22,T$152)+COUNTIF('5月'!X22:Y22,T$152)+COUNTIF('5月'!AC22:AD22,T$152)+COUNTIF('5月'!AH22:AI22,T$152)+COUNTIF('5月'!AM22:AN22,T$152)+COUNTIF('5月'!AR22:AS22,T$152)+COUNTIF('5月'!AW22:AX22,T$152)+COUNTIF('5月'!BB22:BC22,T$152)+COUNTIF('5月'!BG22:BH22,T$152)+COUNTIF('5月'!BL22:BM22,T$152)+COUNTIF('5月'!BQ22:BR22,T$152)+COUNTIF('5月'!BV22:BW22,T$152)+COUNTIF('5月'!CA22:CB22,T$152)+COUNTIF('5月'!CF22:CG22,T$152)+COUNTIF('5月'!CK22:CL22,T$152)+COUNTIF('5月'!CP22:CQ22,T$152)+COUNTIF('5月'!CU22:CV22,T$152)+COUNTIF('5月'!CZ22:DA22,T$152)+COUNTIF('5月'!DE22:DF22,T$152)+COUNTIF('5月'!DJ22:DK22,T$152)+COUNTIF('5月'!DO22:DP22,T$152)+COUNTIF('5月'!DT22:DU22,T$152)+COUNTIF('5月'!DY22:DZ22,T$152)+COUNTIF('5月'!ED22:EE22,T$152)+COUNTIF('5月'!EI22:EJ22,T$152)+COUNTIF('5月'!EN22:EO22,T$152)+COUNTIF('5月'!ES22:ET22,T$152)</f>
        <v>0</v>
      </c>
      <c r="U172" s="76">
        <f t="shared" si="57"/>
        <v>0</v>
      </c>
      <c r="V172" s="76">
        <f>COUNTIF('5月'!D22:E22,V$152)+COUNTIF('5月'!I22:J22,V$152)+COUNTIF('5月'!N22:O22,V$152)+COUNTIF('5月'!S22:T22,V$152)+COUNTIF('5月'!X22:Y22,V$152)+COUNTIF('5月'!AC22:AD22,V$152)+COUNTIF('5月'!AH22:AI22,V$152)+COUNTIF('5月'!AM22:AN22,V$152)+COUNTIF('5月'!AR22:AS22,V$152)+COUNTIF('5月'!AW22:AX22,V$152)+COUNTIF('5月'!BB22:BC22,V$152)+COUNTIF('5月'!BG22:BH22,V$152)+COUNTIF('5月'!BL22:BM22,V$152)+COUNTIF('5月'!BQ22:BR22,V$152)+COUNTIF('5月'!BV22:BW22,V$152)+COUNTIF('5月'!CA22:CB22,V$152)+COUNTIF('5月'!CF22:CG22,V$152)+COUNTIF('5月'!CK22:CL22,V$152)+COUNTIF('5月'!CP22:CQ22,V$152)+COUNTIF('5月'!CU22:CV22,V$152)+COUNTIF('5月'!CZ22:DA22,V$152)+COUNTIF('5月'!DE22:DF22,V$152)+COUNTIF('5月'!DJ22:DK22,V$152)+COUNTIF('5月'!DO22:DP22,V$152)+COUNTIF('5月'!DT22:DU22,V$152)+COUNTIF('5月'!DY22:DZ22,V$152)+COUNTIF('5月'!ED22:EE22,V$152)+COUNTIF('5月'!EI22:EJ22,V$152)+COUNTIF('5月'!EN22:EO22,V$152)+COUNTIF('5月'!ES22:ET22,V$152)</f>
        <v>0</v>
      </c>
      <c r="W172" s="76">
        <f t="shared" si="58"/>
        <v>0</v>
      </c>
      <c r="X172" s="76">
        <f>COUNTIF('5月'!D22:E22,X$152)+COUNTIF('5月'!I22:J22,X$152)+COUNTIF('5月'!N22:O22,X$152)+COUNTIF('5月'!S22:T22,X$152)+COUNTIF('5月'!X22:Y22,X$152)+COUNTIF('5月'!AC22:AD22,X$152)+COUNTIF('5月'!AH22:AI22,X$152)+COUNTIF('5月'!AM22:AN22,X$152)+COUNTIF('5月'!AR22:AS22,X$152)+COUNTIF('5月'!AW22:AX22,X$152)+COUNTIF('5月'!BB22:BC22,X$152)+COUNTIF('5月'!BG22:BH22,X$152)+COUNTIF('5月'!BL22:BM22,X$152)+COUNTIF('5月'!BQ22:BR22,X$152)+COUNTIF('5月'!BV22:BW22,X$152)+COUNTIF('5月'!CA22:CB22,X$152)+COUNTIF('5月'!CF22:CG22,X$152)+COUNTIF('5月'!CK22:CL22,X$152)+COUNTIF('5月'!CP22:CQ22,X$152)+COUNTIF('5月'!CU22:CV22,X$152)+COUNTIF('5月'!CZ22:DA22,X$152)+COUNTIF('5月'!DE22:DF22,X$152)+COUNTIF('5月'!DJ22:DK22,X$152)+COUNTIF('5月'!DO22:DP22,X$152)+COUNTIF('5月'!DT22:DU22,X$152)+COUNTIF('5月'!DY22:DZ22,X$152)+COUNTIF('5月'!ED22:EE22,X$152)+COUNTIF('5月'!EI22:EJ22,X$152)+COUNTIF('5月'!EN22:EO22,X$152)+COUNTIF('5月'!ES22:ET22,X$152)</f>
        <v>0</v>
      </c>
      <c r="Y172" s="76">
        <f t="shared" si="59"/>
        <v>0</v>
      </c>
    </row>
    <row r="173" spans="1:25" ht="18" customHeight="1">
      <c r="A173" s="76">
        <v>20</v>
      </c>
      <c r="B173" s="76">
        <f>COUNTIF('5月'!D23:E23,B$152)+COUNTIF('5月'!I23:J23,B$152)+COUNTIF('5月'!N23:O23,B$152)+COUNTIF('5月'!S23:T23,B$152)+COUNTIF('5月'!X23:Y23,B$152)+COUNTIF('5月'!AC23:AD23,B$152)+COUNTIF('5月'!AH23:AI23,B$152)+COUNTIF('5月'!AM23:AN23,B$152)+COUNTIF('5月'!AR23:AS23,B$152)+COUNTIF('5月'!AW23:AX23,B$152)+COUNTIF('5月'!BB23:BC23,B$152)+COUNTIF('5月'!BG23:BH23,B$152)+COUNTIF('5月'!BL23:BM23,B$152)+COUNTIF('5月'!BQ23:BR23,B$152)+COUNTIF('5月'!BV23:BW23,B$152)+COUNTIF('5月'!CA23:CB23,B$152)+COUNTIF('5月'!CF23:CG23,B$152)+COUNTIF('5月'!CK23:CL23,B$152)+COUNTIF('5月'!CP23:CQ23,B$152)+COUNTIF('5月'!CU23:CV23,B$152)+COUNTIF('5月'!CZ23:DA23,B$152)+COUNTIF('5月'!DE23:DF23,B$152)+COUNTIF('5月'!DJ23:DK23,B$152)+COUNTIF('5月'!DO23:DP23,B$152)+COUNTIF('5月'!DT23:DU23,B$152)+COUNTIF('5月'!DY23:DZ23,B$152)+COUNTIF('5月'!ED23:EE23,B$152)+COUNTIF('5月'!EI23:EJ23,B$152)+COUNTIF('5月'!EN23:EO23,B$152)+COUNTIF('5月'!ES23:ET23,B$152)</f>
        <v>0</v>
      </c>
      <c r="C173" s="76">
        <f t="shared" si="48"/>
        <v>0</v>
      </c>
      <c r="D173" s="76">
        <f>COUNTIF('5月'!D23:E23,D$152)+COUNTIF('5月'!I23:J23,D$152)+COUNTIF('5月'!N23:O23,D$152)+COUNTIF('5月'!S23:T23,D$152)+COUNTIF('5月'!X23:Y23,D$152)+COUNTIF('5月'!AC23:AD23,D$152)+COUNTIF('5月'!AH23:AI23,D$152)+COUNTIF('5月'!AM23:AN23,D$152)+COUNTIF('5月'!AR23:AS23,D$152)+COUNTIF('5月'!AW23:AX23,D$152)+COUNTIF('5月'!BB23:BC23,D$152)+COUNTIF('5月'!BG23:BH23,D$152)+COUNTIF('5月'!BL23:BM23,D$152)+COUNTIF('5月'!BQ23:BR23,D$152)+COUNTIF('5月'!BV23:BW23,D$152)+COUNTIF('5月'!CA23:CB23,D$152)+COUNTIF('5月'!CF23:CG23,D$152)+COUNTIF('5月'!CK23:CL23,D$152)+COUNTIF('5月'!CP23:CQ23,D$152)+COUNTIF('5月'!CU23:CV23,D$152)+COUNTIF('5月'!CZ23:DA23,D$152)+COUNTIF('5月'!DE23:DF23,D$152)+COUNTIF('5月'!DJ23:DK23,D$152)+COUNTIF('5月'!DO23:DP23,D$152)+COUNTIF('5月'!DT23:DU23,D$152)+COUNTIF('5月'!DY23:DZ23,D$152)+COUNTIF('5月'!ED23:EE23,D$152)+COUNTIF('5月'!EI23:EJ23,D$152)+COUNTIF('5月'!EN23:EO23,D$152)+COUNTIF('5月'!ES23:ET23,D$152)</f>
        <v>0</v>
      </c>
      <c r="E173" s="76">
        <f t="shared" si="49"/>
        <v>0</v>
      </c>
      <c r="F173" s="76">
        <f>COUNTIF('5月'!D23:E23,F$152)+COUNTIF('5月'!I23:J23,F$152)+COUNTIF('5月'!N23:O23,F$152)+COUNTIF('5月'!S23:T23,F$152)+COUNTIF('5月'!X23:Y23,F$152)+COUNTIF('5月'!AC23:AD23,F$152)+COUNTIF('5月'!AH23:AI23,F$152)+COUNTIF('5月'!AM23:AN23,F$152)+COUNTIF('5月'!AR23:AS23,F$152)+COUNTIF('5月'!AW23:AX23,F$152)+COUNTIF('5月'!BB23:BC23,F$152)+COUNTIF('5月'!BG23:BH23,F$152)+COUNTIF('5月'!BL23:BM23,F$152)+COUNTIF('5月'!BQ23:BR23,F$152)+COUNTIF('5月'!BV23:BW23,F$152)+COUNTIF('5月'!CA23:CB23,F$152)+COUNTIF('5月'!CF23:CG23,F$152)+COUNTIF('5月'!CK23:CL23,F$152)+COUNTIF('5月'!CP23:CQ23,F$152)+COUNTIF('5月'!CU23:CV23,F$152)+COUNTIF('5月'!CZ23:DA23,F$152)+COUNTIF('5月'!DE23:DF23,F$152)+COUNTIF('5月'!DJ23:DK23,F$152)+COUNTIF('5月'!DO23:DP23,F$152)+COUNTIF('5月'!DT23:DU23,F$152)+COUNTIF('5月'!DY23:DZ23,F$152)+COUNTIF('5月'!ED23:EE23,F$152)+COUNTIF('5月'!EI23:EJ23,F$152)+COUNTIF('5月'!EN23:EO23,F$152)+COUNTIF('5月'!ES23:ET23,F$152)</f>
        <v>0</v>
      </c>
      <c r="G173" s="76">
        <f t="shared" si="50"/>
        <v>0</v>
      </c>
      <c r="H173" s="76">
        <f>COUNTIF('5月'!D23:E23,H$152)+COUNTIF('5月'!I23:J23,H$152)+COUNTIF('5月'!N23:O23,H$152)+COUNTIF('5月'!S23:T23,H$152)+COUNTIF('5月'!X23:Y23,H$152)+COUNTIF('5月'!AC23:AD23,H$152)+COUNTIF('5月'!AH23:AI23,H$152)+COUNTIF('5月'!AM23:AN23,H$152)+COUNTIF('5月'!AR23:AS23,H$152)+COUNTIF('5月'!AW23:AX23,H$152)+COUNTIF('5月'!BB23:BC23,H$152)+COUNTIF('5月'!BG23:BH23,H$152)+COUNTIF('5月'!BL23:BM23,H$152)+COUNTIF('5月'!BQ23:BR23,H$152)+COUNTIF('5月'!BV23:BW23,H$152)+COUNTIF('5月'!CA23:CB23,H$152)+COUNTIF('5月'!CF23:CG23,H$152)+COUNTIF('5月'!CK23:CL23,H$152)+COUNTIF('5月'!CP23:CQ23,H$152)+COUNTIF('5月'!CU23:CV23,H$152)+COUNTIF('5月'!CZ23:DA23,H$152)+COUNTIF('5月'!DE23:DF23,H$152)+COUNTIF('5月'!DJ23:DK23,H$152)+COUNTIF('5月'!DO23:DP23,H$152)+COUNTIF('5月'!DT23:DU23,H$152)+COUNTIF('5月'!DY23:DZ23,H$152)+COUNTIF('5月'!ED23:EE23,H$152)+COUNTIF('5月'!EI23:EJ23,H$152)+COUNTIF('5月'!EN23:EO23,H$152)+COUNTIF('5月'!ES23:ET23,H$152)+COUNTIF('5月'!D23:E23,"渋谷-夜勤")+COUNTIF('5月'!I23:J23,"渋谷-夜勤")+COUNTIF('5月'!N23:O23,"渋谷-夜勤")+COUNTIF('5月'!S23:T23,"渋谷-夜勤")+COUNTIF('5月'!X23:Y23,"渋谷-夜勤")+COUNTIF('5月'!AC23:AD23,"渋谷-夜勤")+COUNTIF('5月'!AH23:AI23,"渋谷-夜勤")+COUNTIF('5月'!AM23:AN23,"渋谷-夜勤")+COUNTIF('5月'!AR23:AS23,"渋谷-夜勤")+COUNTIF('5月'!AW23:AX23,"渋谷-夜勤")+COUNTIF('5月'!BB23:BC23,"渋谷-夜勤")+COUNTIF('5月'!BG23:BH23,"渋谷-夜勤")+COUNTIF('5月'!BL23:BM23,"渋谷-夜勤")+COUNTIF('5月'!BQ23:BR23,"渋谷-夜勤")+COUNTIF('5月'!BV23:BW23,"渋谷-夜勤")+COUNTIF('5月'!CA23:CB23,"渋谷-夜勤")+COUNTIF('5月'!CF23:CG23,"渋谷-夜勤")+COUNTIF('5月'!CK23:CL23,"渋谷-夜勤")+COUNTIF('5月'!CP23:CQ23,"渋谷-夜勤")+COUNTIF('5月'!CU23:CV23,"渋谷-夜勤")+COUNTIF('5月'!CZ23:DA23,"渋谷-夜勤")+COUNTIF('5月'!DE23:DF23,"渋谷-夜勤")+COUNTIF('5月'!DJ23:DK23,"渋谷-夜勤")+COUNTIF('5月'!DO23:DP23,"渋谷-夜勤")+COUNTIF('5月'!DT23:DU23,"渋谷-夜勤")+COUNTIF('5月'!DY23:DZ23,"渋谷-夜勤")+COUNTIF('5月'!ED23:EE23,"渋谷-夜勤")+COUNTIF('5月'!EI23:EJ23,"渋谷-夜勤")+COUNTIF('5月'!EN23:EO23,"渋谷-夜勤")+COUNTIF('5月'!ES23:ET23,"渋谷-夜勤")</f>
        <v>0</v>
      </c>
      <c r="I173" s="76">
        <f t="shared" si="51"/>
        <v>0</v>
      </c>
      <c r="J173" s="76">
        <f>COUNTIF('5月'!D23:E23,J$152)+COUNTIF('5月'!I23:J23,J$152)+COUNTIF('5月'!N23:O23,J$152)+COUNTIF('5月'!S23:T23,J$152)+COUNTIF('5月'!X23:Y23,J$152)+COUNTIF('5月'!AC23:AD23,J$152)+COUNTIF('5月'!AH23:AI23,J$152)+COUNTIF('5月'!AM23:AN23,J$152)+COUNTIF('5月'!AR23:AS23,J$152)+COUNTIF('5月'!AW23:AX23,J$152)+COUNTIF('5月'!BB23:BC23,J$152)+COUNTIF('5月'!BG23:BH23,J$152)+COUNTIF('5月'!BL23:BM23,J$152)+COUNTIF('5月'!BQ23:BR23,J$152)+COUNTIF('5月'!BV23:BW23,J$152)+COUNTIF('5月'!CA23:CB23,J$152)+COUNTIF('5月'!CF23:CG23,J$152)+COUNTIF('5月'!CK23:CL23,J$152)+COUNTIF('5月'!CP23:CQ23,J$152)+COUNTIF('5月'!CU23:CV23,J$152)+COUNTIF('5月'!CZ23:DA23,J$152)+COUNTIF('5月'!DE23:DF23,J$152)+COUNTIF('5月'!DJ23:DK23,J$152)+COUNTIF('5月'!DO23:DP23,J$152)+COUNTIF('5月'!DT23:DU23,J$152)+COUNTIF('5月'!DY23:DZ23,J$152)+COUNTIF('5月'!ED23:EE23,J$152)+COUNTIF('5月'!EI23:EJ23,J$152)+COUNTIF('5月'!EN23:EO23,J$152)+COUNTIF('5月'!ES23:ET23,J$152)+COUNTIF('5月'!D23:E23,"六本木-夜勤")+COUNTIF('5月'!I23:J23,"六本木-夜勤")+COUNTIF('5月'!N23:O23,"六本木-夜勤")+COUNTIF('5月'!S23:T23,"六本木-夜勤")+COUNTIF('5月'!X23:Y23,"六本木-夜勤")+COUNTIF('5月'!AC23:AD23,"六本木-夜勤")+COUNTIF('5月'!AH23:AI23,"六本木-夜勤")+COUNTIF('5月'!AM23:AN23,"六本木-夜勤")+COUNTIF('5月'!AR23:AS23,"六本木-夜勤")+COUNTIF('5月'!AW23:AX23,"六本木-夜勤")+COUNTIF('5月'!BB23:BC23,"六本木-夜勤")+COUNTIF('5月'!BG23:BH23,"六本木-夜勤")+COUNTIF('5月'!BL23:BM23,"六本木-夜勤")+COUNTIF('5月'!BQ23:BR23,"六本木-夜勤")+COUNTIF('5月'!BV23:BW23,"六本木-夜勤")+COUNTIF('5月'!CA23:CB23,"六本木-夜勤")+COUNTIF('5月'!CF23:CG23,"六本木-夜勤")+COUNTIF('5月'!CK23:CL23,"六本木-夜勤")+COUNTIF('5月'!CP23:CQ23,"六本木-夜勤")+COUNTIF('5月'!CU23:CV23,"六本木-夜勤")+COUNTIF('5月'!CZ23:DA23,"六本木-夜勤")+COUNTIF('5月'!DE23:DF23,"六本木-夜勤")+COUNTIF('5月'!DJ23:DK23,"六本木-夜勤")+COUNTIF('5月'!DO23:DP23,"六本木-夜勤")+COUNTIF('5月'!DT23:DU23,"六本木-夜勤")+COUNTIF('5月'!DY23:DZ23,"六本木-夜勤")+COUNTIF('5月'!ED23:EE23,"六本木-夜勤")+COUNTIF('5月'!EI23:EJ23,"六本木-夜勤")+COUNTIF('5月'!EN23:EO23,"六本木-夜勤")+COUNTIF('5月'!ES23:ET23,"六本木-夜勤")+COUNTIF('5月'!D23:E23,"六本木ー夜勤")+COUNTIF('5月'!I23:J23,"六本木ー夜勤")+COUNTIF('5月'!N23:O23,"六本木ー夜勤")+COUNTIF('5月'!S23:T23,"六本木ー夜勤")+COUNTIF('5月'!X23:Y23,"六本木ー夜勤")+COUNTIF('5月'!AC23:AD23,"六本木ー夜勤")+COUNTIF('5月'!AH23:AI23,"六本木ー夜勤")+COUNTIF('5月'!AM23:AN23,"六本木ー夜勤")+COUNTIF('5月'!AR23:AS23,"六本木ー夜勤")+COUNTIF('5月'!AW23:AX23,"六本木ー夜勤")+COUNTIF('5月'!BB23:BC23,"六本木ー夜勤")+COUNTIF('5月'!BG23:BH23,"六本木ー夜勤")+COUNTIF('5月'!BL23:BM23,"六本木ー夜勤")+COUNTIF('5月'!BQ23:BR23,"六本木ー夜勤")+COUNTIF('5月'!BV23:BW23,"六本木ー夜勤")+COUNTIF('5月'!CA23:CB23,"六本木ー夜勤")+COUNTIF('5月'!CF23:CG23,"六本木ー夜勤")+COUNTIF('5月'!CK23:CL23,"六本木ー夜勤")+COUNTIF('5月'!CP23:CQ23,"六本木ー夜勤")+COUNTIF('5月'!CU23:CV23,"六本木ー夜勤")+COUNTIF('5月'!CZ23:DA23,"六本木ー夜勤")+COUNTIF('5月'!DE23:DF23,"六本木ー夜勤")+COUNTIF('5月'!DJ23:DK23,"六本木ー夜勤")+COUNTIF('5月'!DO23:DP23,"六本木ー夜勤")+COUNTIF('5月'!DT23:DU23,"六本木ー夜勤")+COUNTIF('5月'!DY23:DZ23,"六本木ー夜勤")+COUNTIF('5月'!ED23:EE23,"六本木ー夜勤")+COUNTIF('5月'!EI23:EJ23,"六本木ー夜勤")+COUNTIF('5月'!EN23:EO23,"六本木ー夜勤")+COUNTIF('5月'!ES23:ET23,"六本木ー夜勤")</f>
        <v>0</v>
      </c>
      <c r="K173" s="76">
        <f t="shared" si="52"/>
        <v>0</v>
      </c>
      <c r="L173" s="76">
        <f>COUNTIF('5月'!D23:E23,L$152)+COUNTIF('5月'!I23:J23,L$152)+COUNTIF('5月'!N23:O23,L$152)+COUNTIF('5月'!S23:T23,L$152)+COUNTIF('5月'!X23:Y23,L$152)+COUNTIF('5月'!AC23:AD23,L$152)+COUNTIF('5月'!AH23:AI23,L$152)+COUNTIF('5月'!AM23:AN23,L$152)+COUNTIF('5月'!AR23:AS23,L$152)+COUNTIF('5月'!AW23:AX23,L$152)+COUNTIF('5月'!BB23:BC23,L$152)+COUNTIF('5月'!BG23:BH23,L$152)+COUNTIF('5月'!BL23:BM23,L$152)+COUNTIF('5月'!BQ23:BR23,L$152)+COUNTIF('5月'!BV23:BW23,L$152)+COUNTIF('5月'!CA23:CB23,L$152)+COUNTIF('5月'!CF23:CG23,L$152)+COUNTIF('5月'!CK23:CL23,L$152)+COUNTIF('5月'!CP23:CQ23,L$152)+COUNTIF('5月'!CU23:CV23,L$152)+COUNTIF('5月'!CZ23:DA23,L$152)+COUNTIF('5月'!DE23:DF23,L$152)+COUNTIF('5月'!DJ23:DK23,L$152)+COUNTIF('5月'!DO23:DP23,L$152)+COUNTIF('5月'!DT23:DU23,L$152)+COUNTIF('5月'!DY23:DZ23,L$152)+COUNTIF('5月'!ED23:EE23,L$152)+COUNTIF('5月'!EI23:EJ23,L$152)+COUNTIF('5月'!EN23:EO23,L$152)+COUNTIF('5月'!ES23:ET23,L$152)</f>
        <v>0</v>
      </c>
      <c r="M173" s="76">
        <f t="shared" si="53"/>
        <v>0</v>
      </c>
      <c r="N173" s="76">
        <f>COUNTIF('5月'!D23:E23,N$152)+COUNTIF('5月'!I23:J23,N$152)+COUNTIF('5月'!N23:O23,N$152)+COUNTIF('5月'!S23:T23,N$152)+COUNTIF('5月'!X23:Y23,N$152)+COUNTIF('5月'!AC23:AD23,N$152)+COUNTIF('5月'!AH23:AI23,N$152)+COUNTIF('5月'!AM23:AN23,N$152)+COUNTIF('5月'!AR23:AS23,N$152)+COUNTIF('5月'!AW23:AX23,N$152)+COUNTIF('5月'!BB23:BC23,N$152)+COUNTIF('5月'!BG23:BH23,N$152)+COUNTIF('5月'!BL23:BM23,N$152)+COUNTIF('5月'!BQ23:BR23,N$152)+COUNTIF('5月'!BV23:BW23,N$152)+COUNTIF('5月'!CA23:CB23,N$152)+COUNTIF('5月'!CF23:CG23,N$152)+COUNTIF('5月'!CK23:CL23,N$152)+COUNTIF('5月'!CP23:CQ23,N$152)+COUNTIF('5月'!CU23:CV23,N$152)+COUNTIF('5月'!CZ23:DA23,N$152)+COUNTIF('5月'!DE23:DF23,N$152)+COUNTIF('5月'!DJ23:DK23,N$152)+COUNTIF('5月'!DO23:DP23,N$152)+COUNTIF('5月'!DT23:DU23,N$152)+COUNTIF('5月'!DY23:DZ23,N$152)+COUNTIF('5月'!ED23:EE23,N$152)+COUNTIF('5月'!EI23:EJ23,N$152)+COUNTIF('5月'!EN23:EO23,N$152)+COUNTIF('5月'!ES23:ET23,N$152)+COUNTIF('5月'!D23:E23,"三軒茶屋－夜勤")+COUNTIF('5月'!I23:J23,"三軒茶屋－夜勤")+COUNTIF('5月'!N23:O23,"三軒茶屋－夜勤")+COUNTIF('5月'!S23:T23,"三軒茶屋－夜勤")+COUNTIF('5月'!X23:Y23,"三軒茶屋－夜勤")+COUNTIF('5月'!AC23:AD23,"三軒茶屋－夜勤")+COUNTIF('5月'!AH23:AI23,"三軒茶屋－夜勤")+COUNTIF('5月'!AM23:AN23,"三軒茶屋－夜勤")+COUNTIF('5月'!AR23:AS23,"三軒茶屋－夜勤")+COUNTIF('5月'!AW23:AX23,"三軒茶屋－夜勤")+COUNTIF('5月'!BB23:BC23,"三軒茶屋－夜勤")+COUNTIF('5月'!BG23:BH23,"三軒茶屋－夜勤")+COUNTIF('5月'!BL23:BM23,"三軒茶屋－夜勤")+COUNTIF('5月'!BQ23:BR23,"三軒茶屋－夜勤")+COUNTIF('5月'!BV23:BW23,"三軒茶屋－夜勤")+COUNTIF('5月'!CA23:CB23,"三軒茶屋－夜勤")+COUNTIF('5月'!CF23:CG23,"三軒茶屋－夜勤")+COUNTIF('5月'!CK23:CL23,"三軒茶屋－夜勤")+COUNTIF('5月'!CP23:CQ23,"三軒茶屋－夜勤")+COUNTIF('5月'!CU23:CV23,"三軒茶屋－夜勤")+COUNTIF('5月'!CZ23:DA23,"三軒茶屋－夜勤")+COUNTIF('5月'!DE23:DF23,"三軒茶屋－夜勤")+COUNTIF('5月'!DJ23:DK23,"三軒茶屋－夜勤")+COUNTIF('5月'!DO23:DP23,"三軒茶屋－夜勤")+COUNTIF('5月'!DT23:DU23,"三軒茶屋－夜勤")+COUNTIF('5月'!DY23:DZ23,"三軒茶屋－夜勤")+COUNTIF('5月'!ED23:EE23,"三軒茶屋－夜勤")+COUNTIF('5月'!EI23:EJ23,"三軒茶屋－夜勤")+COUNTIF('5月'!EN23:EO23,"三軒茶屋－夜勤")+COUNTIF('5月'!ES23:ET23,"三軒茶屋－夜勤")</f>
        <v>0</v>
      </c>
      <c r="O173" s="76">
        <f t="shared" si="54"/>
        <v>0</v>
      </c>
      <c r="P173" s="76">
        <f>COUNTIF('5月'!D23:E23,P$152)+COUNTIF('5月'!I23:J23,P$152)+COUNTIF('5月'!N23:O23,P$152)+COUNTIF('5月'!S23:T23,P$152)+COUNTIF('5月'!X23:Y23,P$152)+COUNTIF('5月'!AC23:AD23,P$152)+COUNTIF('5月'!AH23:AI23,P$152)+COUNTIF('5月'!AM23:AN23,P$152)+COUNTIF('5月'!AR23:AS23,P$152)+COUNTIF('5月'!AW23:AX23,P$152)+COUNTIF('5月'!BB23:BC23,P$152)+COUNTIF('5月'!BG23:BH23,P$152)+COUNTIF('5月'!BL23:BM23,P$152)+COUNTIF('5月'!BQ23:BR23,P$152)+COUNTIF('5月'!BV23:BW23,P$152)+COUNTIF('5月'!CA23:CB23,P$152)+COUNTIF('5月'!CF23:CG23,P$152)+COUNTIF('5月'!CK23:CL23,P$152)+COUNTIF('5月'!CP23:CQ23,P$152)+COUNTIF('5月'!CU23:CV23,P$152)+COUNTIF('5月'!CZ23:DA23,P$152)+COUNTIF('5月'!DE23:DF23,P$152)+COUNTIF('5月'!DJ23:DK23,P$152)+COUNTIF('5月'!DO23:DP23,P$152)+COUNTIF('5月'!DT23:DU23,P$152)+COUNTIF('5月'!DY23:DZ23,P$152)+COUNTIF('5月'!ED23:EE23,P$152)+COUNTIF('5月'!EI23:EJ23,P$152)+COUNTIF('5月'!EN23:EO23,P$152)+COUNTIF('5月'!ES23:ET23,P$152)+COUNTIF('5月'!D23:E23,"荻窪ー夜勤")+COUNTIF('5月'!I23:J23,"荻窪ー夜勤")+COUNTIF('5月'!N23:O23,"荻窪ー夜勤")+COUNTIF('5月'!S23:T23,"荻窪ー夜勤")+COUNTIF('5月'!X23:Y23,"荻窪ー夜勤")+COUNTIF('5月'!AC23:AD23,"荻窪ー夜勤")+COUNTIF('5月'!AH23:AI23,"荻窪ー夜勤")+COUNTIF('5月'!AM23:AN23,"荻窪ー夜勤")+COUNTIF('5月'!AR23:AS23,"荻窪ー夜勤")+COUNTIF('5月'!AW23:AX23,"荻窪ー夜勤")+COUNTIF('5月'!BB23:BC23,"荻窪ー夜勤")+COUNTIF('5月'!BG23:BH23,"荻窪ー夜勤")+COUNTIF('5月'!BL23:BM23,"荻窪ー夜勤")+COUNTIF('5月'!BQ23:BR23,"荻窪ー夜勤")+COUNTIF('5月'!BV23:BW23,"荻窪ー夜勤")+COUNTIF('5月'!CA23:CB23,"荻窪ー夜勤")+COUNTIF('5月'!CF23:CG23,"荻窪ー夜勤")+COUNTIF('5月'!CK23:CL23,"荻窪ー夜勤")+COUNTIF('5月'!CP23:CQ23,"荻窪ー夜勤")+COUNTIF('5月'!CU23:CV23,"荻窪ー夜勤")+COUNTIF('5月'!CZ23:DA23,"荻窪ー夜勤")+COUNTIF('5月'!DE23:DF23,"荻窪ー夜勤")+COUNTIF('5月'!DJ23:DK23,"荻窪ー夜勤")+COUNTIF('5月'!DO23:DP23,"荻窪ー夜勤")+COUNTIF('5月'!DT23:DU23,"荻窪ー夜勤")+COUNTIF('5月'!DY23:DZ23,"荻窪ー夜勤")+COUNTIF('5月'!ED23:EE23,"荻窪ー夜勤")+COUNTIF('5月'!EI23:EJ23,"荻窪ー夜勤")+COUNTIF('5月'!EN23:EO23,"荻窪ー夜勤")+COUNTIF('5月'!ES23:ET23,"荻窪ー夜勤")</f>
        <v>0</v>
      </c>
      <c r="Q173" s="76">
        <f t="shared" si="55"/>
        <v>0</v>
      </c>
      <c r="R173" s="76">
        <f>COUNTIF('5月'!D23:E23,R$152)+COUNTIF('5月'!I23:J23,R$152)+COUNTIF('5月'!N23:O23,R$152)+COUNTIF('5月'!S23:T23,R$152)+COUNTIF('5月'!X23:Y23,R$152)+COUNTIF('5月'!AC23:AD23,R$152)+COUNTIF('5月'!AH23:AI23,R$152)+COUNTIF('5月'!AM23:AN23,R$152)+COUNTIF('5月'!AR23:AS23,R$152)+COUNTIF('5月'!AW23:AX23,R$152)+COUNTIF('5月'!BB23:BC23,R$152)+COUNTIF('5月'!BG23:BH23,R$152)+COUNTIF('5月'!BL23:BM23,R$152)+COUNTIF('5月'!BQ23:BR23,R$152)+COUNTIF('5月'!BV23:BW23,R$152)+COUNTIF('5月'!CA23:CB23,R$152)+COUNTIF('5月'!CF23:CG23,R$152)+COUNTIF('5月'!CK23:CL23,R$152)+COUNTIF('5月'!CP23:CQ23,R$152)+COUNTIF('5月'!CU23:CV23,R$152)+COUNTIF('5月'!CZ23:DA23,R$152)+COUNTIF('5月'!DE23:DF23,R$152)+COUNTIF('5月'!DJ23:DK23,R$152)+COUNTIF('5月'!DO23:DP23,R$152)+COUNTIF('5月'!DT23:DU23,R$152)+COUNTIF('5月'!DY23:DZ23,R$152)+COUNTIF('5月'!ED23:EE23,R$152)+COUNTIF('5月'!EI23:EJ23,R$152)+COUNTIF('5月'!EN23:EO23,R$152)+COUNTIF('5月'!ES23:ET23,R$152)</f>
        <v>0</v>
      </c>
      <c r="S173" s="76">
        <f t="shared" si="56"/>
        <v>0</v>
      </c>
      <c r="T173" s="76">
        <f>COUNTIF('5月'!D23:E23,T$152)+COUNTIF('5月'!I23:J23,T$152)+COUNTIF('5月'!N23:O23,T$152)+COUNTIF('5月'!S23:T23,T$152)+COUNTIF('5月'!X23:Y23,T$152)+COUNTIF('5月'!AC23:AD23,T$152)+COUNTIF('5月'!AH23:AI23,T$152)+COUNTIF('5月'!AM23:AN23,T$152)+COUNTIF('5月'!AR23:AS23,T$152)+COUNTIF('5月'!AW23:AX23,T$152)+COUNTIF('5月'!BB23:BC23,T$152)+COUNTIF('5月'!BG23:BH23,T$152)+COUNTIF('5月'!BL23:BM23,T$152)+COUNTIF('5月'!BQ23:BR23,T$152)+COUNTIF('5月'!BV23:BW23,T$152)+COUNTIF('5月'!CA23:CB23,T$152)+COUNTIF('5月'!CF23:CG23,T$152)+COUNTIF('5月'!CK23:CL23,T$152)+COUNTIF('5月'!CP23:CQ23,T$152)+COUNTIF('5月'!CU23:CV23,T$152)+COUNTIF('5月'!CZ23:DA23,T$152)+COUNTIF('5月'!DE23:DF23,T$152)+COUNTIF('5月'!DJ23:DK23,T$152)+COUNTIF('5月'!DO23:DP23,T$152)+COUNTIF('5月'!DT23:DU23,T$152)+COUNTIF('5月'!DY23:DZ23,T$152)+COUNTIF('5月'!ED23:EE23,T$152)+COUNTIF('5月'!EI23:EJ23,T$152)+COUNTIF('5月'!EN23:EO23,T$152)+COUNTIF('5月'!ES23:ET23,T$152)</f>
        <v>0</v>
      </c>
      <c r="U173" s="76">
        <f t="shared" si="57"/>
        <v>0</v>
      </c>
      <c r="V173" s="76">
        <f>COUNTIF('5月'!D23:E23,V$152)+COUNTIF('5月'!I23:J23,V$152)+COUNTIF('5月'!N23:O23,V$152)+COUNTIF('5月'!S23:T23,V$152)+COUNTIF('5月'!X23:Y23,V$152)+COUNTIF('5月'!AC23:AD23,V$152)+COUNTIF('5月'!AH23:AI23,V$152)+COUNTIF('5月'!AM23:AN23,V$152)+COUNTIF('5月'!AR23:AS23,V$152)+COUNTIF('5月'!AW23:AX23,V$152)+COUNTIF('5月'!BB23:BC23,V$152)+COUNTIF('5月'!BG23:BH23,V$152)+COUNTIF('5月'!BL23:BM23,V$152)+COUNTIF('5月'!BQ23:BR23,V$152)+COUNTIF('5月'!BV23:BW23,V$152)+COUNTIF('5月'!CA23:CB23,V$152)+COUNTIF('5月'!CF23:CG23,V$152)+COUNTIF('5月'!CK23:CL23,V$152)+COUNTIF('5月'!CP23:CQ23,V$152)+COUNTIF('5月'!CU23:CV23,V$152)+COUNTIF('5月'!CZ23:DA23,V$152)+COUNTIF('5月'!DE23:DF23,V$152)+COUNTIF('5月'!DJ23:DK23,V$152)+COUNTIF('5月'!DO23:DP23,V$152)+COUNTIF('5月'!DT23:DU23,V$152)+COUNTIF('5月'!DY23:DZ23,V$152)+COUNTIF('5月'!ED23:EE23,V$152)+COUNTIF('5月'!EI23:EJ23,V$152)+COUNTIF('5月'!EN23:EO23,V$152)+COUNTIF('5月'!ES23:ET23,V$152)</f>
        <v>0</v>
      </c>
      <c r="W173" s="76">
        <f t="shared" si="58"/>
        <v>0</v>
      </c>
      <c r="X173" s="76">
        <f>COUNTIF('5月'!D23:E23,X$152)+COUNTIF('5月'!I23:J23,X$152)+COUNTIF('5月'!N23:O23,X$152)+COUNTIF('5月'!S23:T23,X$152)+COUNTIF('5月'!X23:Y23,X$152)+COUNTIF('5月'!AC23:AD23,X$152)+COUNTIF('5月'!AH23:AI23,X$152)+COUNTIF('5月'!AM23:AN23,X$152)+COUNTIF('5月'!AR23:AS23,X$152)+COUNTIF('5月'!AW23:AX23,X$152)+COUNTIF('5月'!BB23:BC23,X$152)+COUNTIF('5月'!BG23:BH23,X$152)+COUNTIF('5月'!BL23:BM23,X$152)+COUNTIF('5月'!BQ23:BR23,X$152)+COUNTIF('5月'!BV23:BW23,X$152)+COUNTIF('5月'!CA23:CB23,X$152)+COUNTIF('5月'!CF23:CG23,X$152)+COUNTIF('5月'!CK23:CL23,X$152)+COUNTIF('5月'!CP23:CQ23,X$152)+COUNTIF('5月'!CU23:CV23,X$152)+COUNTIF('5月'!CZ23:DA23,X$152)+COUNTIF('5月'!DE23:DF23,X$152)+COUNTIF('5月'!DJ23:DK23,X$152)+COUNTIF('5月'!DO23:DP23,X$152)+COUNTIF('5月'!DT23:DU23,X$152)+COUNTIF('5月'!DY23:DZ23,X$152)+COUNTIF('5月'!ED23:EE23,X$152)+COUNTIF('5月'!EI23:EJ23,X$152)+COUNTIF('5月'!EN23:EO23,X$152)+COUNTIF('5月'!ES23:ET23,X$152)</f>
        <v>0</v>
      </c>
      <c r="Y173" s="76">
        <f t="shared" si="59"/>
        <v>0</v>
      </c>
    </row>
    <row r="174" spans="1:25" ht="18" customHeight="1">
      <c r="A174" s="76">
        <v>21</v>
      </c>
      <c r="B174" s="76">
        <f>COUNTIF('5月'!D24:E24,B$152)+COUNTIF('5月'!I24:J24,B$152)+COUNTIF('5月'!N24:O24,B$152)+COUNTIF('5月'!S24:T24,B$152)+COUNTIF('5月'!X24:Y24,B$152)+COUNTIF('5月'!AC24:AD24,B$152)+COUNTIF('5月'!AH24:AI24,B$152)+COUNTIF('5月'!AM24:AN24,B$152)+COUNTIF('5月'!AR24:AS24,B$152)+COUNTIF('5月'!AW24:AX24,B$152)+COUNTIF('5月'!BB24:BC24,B$152)+COUNTIF('5月'!BG24:BH24,B$152)+COUNTIF('5月'!BL24:BM24,B$152)+COUNTIF('5月'!BQ24:BR24,B$152)+COUNTIF('5月'!BV24:BW24,B$152)+COUNTIF('5月'!CA24:CB24,B$152)+COUNTIF('5月'!CF24:CG24,B$152)+COUNTIF('5月'!CK24:CL24,B$152)+COUNTIF('5月'!CP24:CQ24,B$152)+COUNTIF('5月'!CU24:CV24,B$152)+COUNTIF('5月'!CZ24:DA24,B$152)+COUNTIF('5月'!DE24:DF24,B$152)+COUNTIF('5月'!DJ24:DK24,B$152)+COUNTIF('5月'!DO24:DP24,B$152)+COUNTIF('5月'!DT24:DU24,B$152)+COUNTIF('5月'!DY24:DZ24,B$152)+COUNTIF('5月'!ED24:EE24,B$152)+COUNTIF('5月'!EI24:EJ24,B$152)+COUNTIF('5月'!EN24:EO24,B$152)+COUNTIF('5月'!ES24:ET24,B$152)</f>
        <v>0</v>
      </c>
      <c r="C174" s="76">
        <f t="shared" si="48"/>
        <v>0</v>
      </c>
      <c r="D174" s="76">
        <f>COUNTIF('5月'!D24:E24,D$152)+COUNTIF('5月'!I24:J24,D$152)+COUNTIF('5月'!N24:O24,D$152)+COUNTIF('5月'!S24:T24,D$152)+COUNTIF('5月'!X24:Y24,D$152)+COUNTIF('5月'!AC24:AD24,D$152)+COUNTIF('5月'!AH24:AI24,D$152)+COUNTIF('5月'!AM24:AN24,D$152)+COUNTIF('5月'!AR24:AS24,D$152)+COUNTIF('5月'!AW24:AX24,D$152)+COUNTIF('5月'!BB24:BC24,D$152)+COUNTIF('5月'!BG24:BH24,D$152)+COUNTIF('5月'!BL24:BM24,D$152)+COUNTIF('5月'!BQ24:BR24,D$152)+COUNTIF('5月'!BV24:BW24,D$152)+COUNTIF('5月'!CA24:CB24,D$152)+COUNTIF('5月'!CF24:CG24,D$152)+COUNTIF('5月'!CK24:CL24,D$152)+COUNTIF('5月'!CP24:CQ24,D$152)+COUNTIF('5月'!CU24:CV24,D$152)+COUNTIF('5月'!CZ24:DA24,D$152)+COUNTIF('5月'!DE24:DF24,D$152)+COUNTIF('5月'!DJ24:DK24,D$152)+COUNTIF('5月'!DO24:DP24,D$152)+COUNTIF('5月'!DT24:DU24,D$152)+COUNTIF('5月'!DY24:DZ24,D$152)+COUNTIF('5月'!ED24:EE24,D$152)+COUNTIF('5月'!EI24:EJ24,D$152)+COUNTIF('5月'!EN24:EO24,D$152)+COUNTIF('5月'!ES24:ET24,D$152)</f>
        <v>0</v>
      </c>
      <c r="E174" s="76">
        <f t="shared" si="49"/>
        <v>0</v>
      </c>
      <c r="F174" s="76">
        <f>COUNTIF('5月'!D24:E24,F$152)+COUNTIF('5月'!I24:J24,F$152)+COUNTIF('5月'!N24:O24,F$152)+COUNTIF('5月'!S24:T24,F$152)+COUNTIF('5月'!X24:Y24,F$152)+COUNTIF('5月'!AC24:AD24,F$152)+COUNTIF('5月'!AH24:AI24,F$152)+COUNTIF('5月'!AM24:AN24,F$152)+COUNTIF('5月'!AR24:AS24,F$152)+COUNTIF('5月'!AW24:AX24,F$152)+COUNTIF('5月'!BB24:BC24,F$152)+COUNTIF('5月'!BG24:BH24,F$152)+COUNTIF('5月'!BL24:BM24,F$152)+COUNTIF('5月'!BQ24:BR24,F$152)+COUNTIF('5月'!BV24:BW24,F$152)+COUNTIF('5月'!CA24:CB24,F$152)+COUNTIF('5月'!CF24:CG24,F$152)+COUNTIF('5月'!CK24:CL24,F$152)+COUNTIF('5月'!CP24:CQ24,F$152)+COUNTIF('5月'!CU24:CV24,F$152)+COUNTIF('5月'!CZ24:DA24,F$152)+COUNTIF('5月'!DE24:DF24,F$152)+COUNTIF('5月'!DJ24:DK24,F$152)+COUNTIF('5月'!DO24:DP24,F$152)+COUNTIF('5月'!DT24:DU24,F$152)+COUNTIF('5月'!DY24:DZ24,F$152)+COUNTIF('5月'!ED24:EE24,F$152)+COUNTIF('5月'!EI24:EJ24,F$152)+COUNTIF('5月'!EN24:EO24,F$152)+COUNTIF('5月'!ES24:ET24,F$152)</f>
        <v>0</v>
      </c>
      <c r="G174" s="76">
        <f t="shared" si="50"/>
        <v>0</v>
      </c>
      <c r="H174" s="76">
        <f>COUNTIF('5月'!D24:E24,H$152)+COUNTIF('5月'!I24:J24,H$152)+COUNTIF('5月'!N24:O24,H$152)+COUNTIF('5月'!S24:T24,H$152)+COUNTIF('5月'!X24:Y24,H$152)+COUNTIF('5月'!AC24:AD24,H$152)+COUNTIF('5月'!AH24:AI24,H$152)+COUNTIF('5月'!AM24:AN24,H$152)+COUNTIF('5月'!AR24:AS24,H$152)+COUNTIF('5月'!AW24:AX24,H$152)+COUNTIF('5月'!BB24:BC24,H$152)+COUNTIF('5月'!BG24:BH24,H$152)+COUNTIF('5月'!BL24:BM24,H$152)+COUNTIF('5月'!BQ24:BR24,H$152)+COUNTIF('5月'!BV24:BW24,H$152)+COUNTIF('5月'!CA24:CB24,H$152)+COUNTIF('5月'!CF24:CG24,H$152)+COUNTIF('5月'!CK24:CL24,H$152)+COUNTIF('5月'!CP24:CQ24,H$152)+COUNTIF('5月'!CU24:CV24,H$152)+COUNTIF('5月'!CZ24:DA24,H$152)+COUNTIF('5月'!DE24:DF24,H$152)+COUNTIF('5月'!DJ24:DK24,H$152)+COUNTIF('5月'!DO24:DP24,H$152)+COUNTIF('5月'!DT24:DU24,H$152)+COUNTIF('5月'!DY24:DZ24,H$152)+COUNTIF('5月'!ED24:EE24,H$152)+COUNTIF('5月'!EI24:EJ24,H$152)+COUNTIF('5月'!EN24:EO24,H$152)+COUNTIF('5月'!ES24:ET24,H$152)+COUNTIF('5月'!D24:E24,"渋谷-夜勤")+COUNTIF('5月'!I24:J24,"渋谷-夜勤")+COUNTIF('5月'!N24:O24,"渋谷-夜勤")+COUNTIF('5月'!S24:T24,"渋谷-夜勤")+COUNTIF('5月'!X24:Y24,"渋谷-夜勤")+COUNTIF('5月'!AC24:AD24,"渋谷-夜勤")+COUNTIF('5月'!AH24:AI24,"渋谷-夜勤")+COUNTIF('5月'!AM24:AN24,"渋谷-夜勤")+COUNTIF('5月'!AR24:AS24,"渋谷-夜勤")+COUNTIF('5月'!AW24:AX24,"渋谷-夜勤")+COUNTIF('5月'!BB24:BC24,"渋谷-夜勤")+COUNTIF('5月'!BG24:BH24,"渋谷-夜勤")+COUNTIF('5月'!BL24:BM24,"渋谷-夜勤")+COUNTIF('5月'!BQ24:BR24,"渋谷-夜勤")+COUNTIF('5月'!BV24:BW24,"渋谷-夜勤")+COUNTIF('5月'!CA24:CB24,"渋谷-夜勤")+COUNTIF('5月'!CF24:CG24,"渋谷-夜勤")+COUNTIF('5月'!CK24:CL24,"渋谷-夜勤")+COUNTIF('5月'!CP24:CQ24,"渋谷-夜勤")+COUNTIF('5月'!CU24:CV24,"渋谷-夜勤")+COUNTIF('5月'!CZ24:DA24,"渋谷-夜勤")+COUNTIF('5月'!DE24:DF24,"渋谷-夜勤")+COUNTIF('5月'!DJ24:DK24,"渋谷-夜勤")+COUNTIF('5月'!DO24:DP24,"渋谷-夜勤")+COUNTIF('5月'!DT24:DU24,"渋谷-夜勤")+COUNTIF('5月'!DY24:DZ24,"渋谷-夜勤")+COUNTIF('5月'!ED24:EE24,"渋谷-夜勤")+COUNTIF('5月'!EI24:EJ24,"渋谷-夜勤")+COUNTIF('5月'!EN24:EO24,"渋谷-夜勤")+COUNTIF('5月'!ES24:ET24,"渋谷-夜勤")</f>
        <v>0</v>
      </c>
      <c r="I174" s="76">
        <f t="shared" si="51"/>
        <v>0</v>
      </c>
      <c r="J174" s="76">
        <f>COUNTIF('5月'!D24:E24,J$152)+COUNTIF('5月'!I24:J24,J$152)+COUNTIF('5月'!N24:O24,J$152)+COUNTIF('5月'!S24:T24,J$152)+COUNTIF('5月'!X24:Y24,J$152)+COUNTIF('5月'!AC24:AD24,J$152)+COUNTIF('5月'!AH24:AI24,J$152)+COUNTIF('5月'!AM24:AN24,J$152)+COUNTIF('5月'!AR24:AS24,J$152)+COUNTIF('5月'!AW24:AX24,J$152)+COUNTIF('5月'!BB24:BC24,J$152)+COUNTIF('5月'!BG24:BH24,J$152)+COUNTIF('5月'!BL24:BM24,J$152)+COUNTIF('5月'!BQ24:BR24,J$152)+COUNTIF('5月'!BV24:BW24,J$152)+COUNTIF('5月'!CA24:CB24,J$152)+COUNTIF('5月'!CF24:CG24,J$152)+COUNTIF('5月'!CK24:CL24,J$152)+COUNTIF('5月'!CP24:CQ24,J$152)+COUNTIF('5月'!CU24:CV24,J$152)+COUNTIF('5月'!CZ24:DA24,J$152)+COUNTIF('5月'!DE24:DF24,J$152)+COUNTIF('5月'!DJ24:DK24,J$152)+COUNTIF('5月'!DO24:DP24,J$152)+COUNTIF('5月'!DT24:DU24,J$152)+COUNTIF('5月'!DY24:DZ24,J$152)+COUNTIF('5月'!ED24:EE24,J$152)+COUNTIF('5月'!EI24:EJ24,J$152)+COUNTIF('5月'!EN24:EO24,J$152)+COUNTIF('5月'!ES24:ET24,J$152)+COUNTIF('5月'!D24:E24,"六本木-夜勤")+COUNTIF('5月'!I24:J24,"六本木-夜勤")+COUNTIF('5月'!N24:O24,"六本木-夜勤")+COUNTIF('5月'!S24:T24,"六本木-夜勤")+COUNTIF('5月'!X24:Y24,"六本木-夜勤")+COUNTIF('5月'!AC24:AD24,"六本木-夜勤")+COUNTIF('5月'!AH24:AI24,"六本木-夜勤")+COUNTIF('5月'!AM24:AN24,"六本木-夜勤")+COUNTIF('5月'!AR24:AS24,"六本木-夜勤")+COUNTIF('5月'!AW24:AX24,"六本木-夜勤")+COUNTIF('5月'!BB24:BC24,"六本木-夜勤")+COUNTIF('5月'!BG24:BH24,"六本木-夜勤")+COUNTIF('5月'!BL24:BM24,"六本木-夜勤")+COUNTIF('5月'!BQ24:BR24,"六本木-夜勤")+COUNTIF('5月'!BV24:BW24,"六本木-夜勤")+COUNTIF('5月'!CA24:CB24,"六本木-夜勤")+COUNTIF('5月'!CF24:CG24,"六本木-夜勤")+COUNTIF('5月'!CK24:CL24,"六本木-夜勤")+COUNTIF('5月'!CP24:CQ24,"六本木-夜勤")+COUNTIF('5月'!CU24:CV24,"六本木-夜勤")+COUNTIF('5月'!CZ24:DA24,"六本木-夜勤")+COUNTIF('5月'!DE24:DF24,"六本木-夜勤")+COUNTIF('5月'!DJ24:DK24,"六本木-夜勤")+COUNTIF('5月'!DO24:DP24,"六本木-夜勤")+COUNTIF('5月'!DT24:DU24,"六本木-夜勤")+COUNTIF('5月'!DY24:DZ24,"六本木-夜勤")+COUNTIF('5月'!ED24:EE24,"六本木-夜勤")+COUNTIF('5月'!EI24:EJ24,"六本木-夜勤")+COUNTIF('5月'!EN24:EO24,"六本木-夜勤")+COUNTIF('5月'!ES24:ET24,"六本木-夜勤")+COUNTIF('5月'!D24:E24,"六本木ー夜勤")+COUNTIF('5月'!I24:J24,"六本木ー夜勤")+COUNTIF('5月'!N24:O24,"六本木ー夜勤")+COUNTIF('5月'!S24:T24,"六本木ー夜勤")+COUNTIF('5月'!X24:Y24,"六本木ー夜勤")+COUNTIF('5月'!AC24:AD24,"六本木ー夜勤")+COUNTIF('5月'!AH24:AI24,"六本木ー夜勤")+COUNTIF('5月'!AM24:AN24,"六本木ー夜勤")+COUNTIF('5月'!AR24:AS24,"六本木ー夜勤")+COUNTIF('5月'!AW24:AX24,"六本木ー夜勤")+COUNTIF('5月'!BB24:BC24,"六本木ー夜勤")+COUNTIF('5月'!BG24:BH24,"六本木ー夜勤")+COUNTIF('5月'!BL24:BM24,"六本木ー夜勤")+COUNTIF('5月'!BQ24:BR24,"六本木ー夜勤")+COUNTIF('5月'!BV24:BW24,"六本木ー夜勤")+COUNTIF('5月'!CA24:CB24,"六本木ー夜勤")+COUNTIF('5月'!CF24:CG24,"六本木ー夜勤")+COUNTIF('5月'!CK24:CL24,"六本木ー夜勤")+COUNTIF('5月'!CP24:CQ24,"六本木ー夜勤")+COUNTIF('5月'!CU24:CV24,"六本木ー夜勤")+COUNTIF('5月'!CZ24:DA24,"六本木ー夜勤")+COUNTIF('5月'!DE24:DF24,"六本木ー夜勤")+COUNTIF('5月'!DJ24:DK24,"六本木ー夜勤")+COUNTIF('5月'!DO24:DP24,"六本木ー夜勤")+COUNTIF('5月'!DT24:DU24,"六本木ー夜勤")+COUNTIF('5月'!DY24:DZ24,"六本木ー夜勤")+COUNTIF('5月'!ED24:EE24,"六本木ー夜勤")+COUNTIF('5月'!EI24:EJ24,"六本木ー夜勤")+COUNTIF('5月'!EN24:EO24,"六本木ー夜勤")+COUNTIF('5月'!ES24:ET24,"六本木ー夜勤")</f>
        <v>0</v>
      </c>
      <c r="K174" s="76">
        <f t="shared" si="52"/>
        <v>0</v>
      </c>
      <c r="L174" s="76">
        <f>COUNTIF('5月'!D24:E24,L$152)+COUNTIF('5月'!I24:J24,L$152)+COUNTIF('5月'!N24:O24,L$152)+COUNTIF('5月'!S24:T24,L$152)+COUNTIF('5月'!X24:Y24,L$152)+COUNTIF('5月'!AC24:AD24,L$152)+COUNTIF('5月'!AH24:AI24,L$152)+COUNTIF('5月'!AM24:AN24,L$152)+COUNTIF('5月'!AR24:AS24,L$152)+COUNTIF('5月'!AW24:AX24,L$152)+COUNTIF('5月'!BB24:BC24,L$152)+COUNTIF('5月'!BG24:BH24,L$152)+COUNTIF('5月'!BL24:BM24,L$152)+COUNTIF('5月'!BQ24:BR24,L$152)+COUNTIF('5月'!BV24:BW24,L$152)+COUNTIF('5月'!CA24:CB24,L$152)+COUNTIF('5月'!CF24:CG24,L$152)+COUNTIF('5月'!CK24:CL24,L$152)+COUNTIF('5月'!CP24:CQ24,L$152)+COUNTIF('5月'!CU24:CV24,L$152)+COUNTIF('5月'!CZ24:DA24,L$152)+COUNTIF('5月'!DE24:DF24,L$152)+COUNTIF('5月'!DJ24:DK24,L$152)+COUNTIF('5月'!DO24:DP24,L$152)+COUNTIF('5月'!DT24:DU24,L$152)+COUNTIF('5月'!DY24:DZ24,L$152)+COUNTIF('5月'!ED24:EE24,L$152)+COUNTIF('5月'!EI24:EJ24,L$152)+COUNTIF('5月'!EN24:EO24,L$152)+COUNTIF('5月'!ES24:ET24,L$152)</f>
        <v>0</v>
      </c>
      <c r="M174" s="76">
        <f t="shared" si="53"/>
        <v>0</v>
      </c>
      <c r="N174" s="76">
        <f>COUNTIF('5月'!D24:E24,N$152)+COUNTIF('5月'!I24:J24,N$152)+COUNTIF('5月'!N24:O24,N$152)+COUNTIF('5月'!S24:T24,N$152)+COUNTIF('5月'!X24:Y24,N$152)+COUNTIF('5月'!AC24:AD24,N$152)+COUNTIF('5月'!AH24:AI24,N$152)+COUNTIF('5月'!AM24:AN24,N$152)+COUNTIF('5月'!AR24:AS24,N$152)+COUNTIF('5月'!AW24:AX24,N$152)+COUNTIF('5月'!BB24:BC24,N$152)+COUNTIF('5月'!BG24:BH24,N$152)+COUNTIF('5月'!BL24:BM24,N$152)+COUNTIF('5月'!BQ24:BR24,N$152)+COUNTIF('5月'!BV24:BW24,N$152)+COUNTIF('5月'!CA24:CB24,N$152)+COUNTIF('5月'!CF24:CG24,N$152)+COUNTIF('5月'!CK24:CL24,N$152)+COUNTIF('5月'!CP24:CQ24,N$152)+COUNTIF('5月'!CU24:CV24,N$152)+COUNTIF('5月'!CZ24:DA24,N$152)+COUNTIF('5月'!DE24:DF24,N$152)+COUNTIF('5月'!DJ24:DK24,N$152)+COUNTIF('5月'!DO24:DP24,N$152)+COUNTIF('5月'!DT24:DU24,N$152)+COUNTIF('5月'!DY24:DZ24,N$152)+COUNTIF('5月'!ED24:EE24,N$152)+COUNTIF('5月'!EI24:EJ24,N$152)+COUNTIF('5月'!EN24:EO24,N$152)+COUNTIF('5月'!ES24:ET24,N$152)+COUNTIF('5月'!D24:E24,"三軒茶屋－夜勤")+COUNTIF('5月'!I24:J24,"三軒茶屋－夜勤")+COUNTIF('5月'!N24:O24,"三軒茶屋－夜勤")+COUNTIF('5月'!S24:T24,"三軒茶屋－夜勤")+COUNTIF('5月'!X24:Y24,"三軒茶屋－夜勤")+COUNTIF('5月'!AC24:AD24,"三軒茶屋－夜勤")+COUNTIF('5月'!AH24:AI24,"三軒茶屋－夜勤")+COUNTIF('5月'!AM24:AN24,"三軒茶屋－夜勤")+COUNTIF('5月'!AR24:AS24,"三軒茶屋－夜勤")+COUNTIF('5月'!AW24:AX24,"三軒茶屋－夜勤")+COUNTIF('5月'!BB24:BC24,"三軒茶屋－夜勤")+COUNTIF('5月'!BG24:BH24,"三軒茶屋－夜勤")+COUNTIF('5月'!BL24:BM24,"三軒茶屋－夜勤")+COUNTIF('5月'!BQ24:BR24,"三軒茶屋－夜勤")+COUNTIF('5月'!BV24:BW24,"三軒茶屋－夜勤")+COUNTIF('5月'!CA24:CB24,"三軒茶屋－夜勤")+COUNTIF('5月'!CF24:CG24,"三軒茶屋－夜勤")+COUNTIF('5月'!CK24:CL24,"三軒茶屋－夜勤")+COUNTIF('5月'!CP24:CQ24,"三軒茶屋－夜勤")+COUNTIF('5月'!CU24:CV24,"三軒茶屋－夜勤")+COUNTIF('5月'!CZ24:DA24,"三軒茶屋－夜勤")+COUNTIF('5月'!DE24:DF24,"三軒茶屋－夜勤")+COUNTIF('5月'!DJ24:DK24,"三軒茶屋－夜勤")+COUNTIF('5月'!DO24:DP24,"三軒茶屋－夜勤")+COUNTIF('5月'!DT24:DU24,"三軒茶屋－夜勤")+COUNTIF('5月'!DY24:DZ24,"三軒茶屋－夜勤")+COUNTIF('5月'!ED24:EE24,"三軒茶屋－夜勤")+COUNTIF('5月'!EI24:EJ24,"三軒茶屋－夜勤")+COUNTIF('5月'!EN24:EO24,"三軒茶屋－夜勤")+COUNTIF('5月'!ES24:ET24,"三軒茶屋－夜勤")</f>
        <v>0</v>
      </c>
      <c r="O174" s="76">
        <f t="shared" si="54"/>
        <v>0</v>
      </c>
      <c r="P174" s="76">
        <f>COUNTIF('5月'!D24:E24,P$152)+COUNTIF('5月'!I24:J24,P$152)+COUNTIF('5月'!N24:O24,P$152)+COUNTIF('5月'!S24:T24,P$152)+COUNTIF('5月'!X24:Y24,P$152)+COUNTIF('5月'!AC24:AD24,P$152)+COUNTIF('5月'!AH24:AI24,P$152)+COUNTIF('5月'!AM24:AN24,P$152)+COUNTIF('5月'!AR24:AS24,P$152)+COUNTIF('5月'!AW24:AX24,P$152)+COUNTIF('5月'!BB24:BC24,P$152)+COUNTIF('5月'!BG24:BH24,P$152)+COUNTIF('5月'!BL24:BM24,P$152)+COUNTIF('5月'!BQ24:BR24,P$152)+COUNTIF('5月'!BV24:BW24,P$152)+COUNTIF('5月'!CA24:CB24,P$152)+COUNTIF('5月'!CF24:CG24,P$152)+COUNTIF('5月'!CK24:CL24,P$152)+COUNTIF('5月'!CP24:CQ24,P$152)+COUNTIF('5月'!CU24:CV24,P$152)+COUNTIF('5月'!CZ24:DA24,P$152)+COUNTIF('5月'!DE24:DF24,P$152)+COUNTIF('5月'!DJ24:DK24,P$152)+COUNTIF('5月'!DO24:DP24,P$152)+COUNTIF('5月'!DT24:DU24,P$152)+COUNTIF('5月'!DY24:DZ24,P$152)+COUNTIF('5月'!ED24:EE24,P$152)+COUNTIF('5月'!EI24:EJ24,P$152)+COUNTIF('5月'!EN24:EO24,P$152)+COUNTIF('5月'!ES24:ET24,P$152)+COUNTIF('5月'!D24:E24,"荻窪ー夜勤")+COUNTIF('5月'!I24:J24,"荻窪ー夜勤")+COUNTIF('5月'!N24:O24,"荻窪ー夜勤")+COUNTIF('5月'!S24:T24,"荻窪ー夜勤")+COUNTIF('5月'!X24:Y24,"荻窪ー夜勤")+COUNTIF('5月'!AC24:AD24,"荻窪ー夜勤")+COUNTIF('5月'!AH24:AI24,"荻窪ー夜勤")+COUNTIF('5月'!AM24:AN24,"荻窪ー夜勤")+COUNTIF('5月'!AR24:AS24,"荻窪ー夜勤")+COUNTIF('5月'!AW24:AX24,"荻窪ー夜勤")+COUNTIF('5月'!BB24:BC24,"荻窪ー夜勤")+COUNTIF('5月'!BG24:BH24,"荻窪ー夜勤")+COUNTIF('5月'!BL24:BM24,"荻窪ー夜勤")+COUNTIF('5月'!BQ24:BR24,"荻窪ー夜勤")+COUNTIF('5月'!BV24:BW24,"荻窪ー夜勤")+COUNTIF('5月'!CA24:CB24,"荻窪ー夜勤")+COUNTIF('5月'!CF24:CG24,"荻窪ー夜勤")+COUNTIF('5月'!CK24:CL24,"荻窪ー夜勤")+COUNTIF('5月'!CP24:CQ24,"荻窪ー夜勤")+COUNTIF('5月'!CU24:CV24,"荻窪ー夜勤")+COUNTIF('5月'!CZ24:DA24,"荻窪ー夜勤")+COUNTIF('5月'!DE24:DF24,"荻窪ー夜勤")+COUNTIF('5月'!DJ24:DK24,"荻窪ー夜勤")+COUNTIF('5月'!DO24:DP24,"荻窪ー夜勤")+COUNTIF('5月'!DT24:DU24,"荻窪ー夜勤")+COUNTIF('5月'!DY24:DZ24,"荻窪ー夜勤")+COUNTIF('5月'!ED24:EE24,"荻窪ー夜勤")+COUNTIF('5月'!EI24:EJ24,"荻窪ー夜勤")+COUNTIF('5月'!EN24:EO24,"荻窪ー夜勤")+COUNTIF('5月'!ES24:ET24,"荻窪ー夜勤")</f>
        <v>0</v>
      </c>
      <c r="Q174" s="76">
        <f t="shared" si="55"/>
        <v>0</v>
      </c>
      <c r="R174" s="76">
        <f>COUNTIF('5月'!D24:E24,R$152)+COUNTIF('5月'!I24:J24,R$152)+COUNTIF('5月'!N24:O24,R$152)+COUNTIF('5月'!S24:T24,R$152)+COUNTIF('5月'!X24:Y24,R$152)+COUNTIF('5月'!AC24:AD24,R$152)+COUNTIF('5月'!AH24:AI24,R$152)+COUNTIF('5月'!AM24:AN24,R$152)+COUNTIF('5月'!AR24:AS24,R$152)+COUNTIF('5月'!AW24:AX24,R$152)+COUNTIF('5月'!BB24:BC24,R$152)+COUNTIF('5月'!BG24:BH24,R$152)+COUNTIF('5月'!BL24:BM24,R$152)+COUNTIF('5月'!BQ24:BR24,R$152)+COUNTIF('5月'!BV24:BW24,R$152)+COUNTIF('5月'!CA24:CB24,R$152)+COUNTIF('5月'!CF24:CG24,R$152)+COUNTIF('5月'!CK24:CL24,R$152)+COUNTIF('5月'!CP24:CQ24,R$152)+COUNTIF('5月'!CU24:CV24,R$152)+COUNTIF('5月'!CZ24:DA24,R$152)+COUNTIF('5月'!DE24:DF24,R$152)+COUNTIF('5月'!DJ24:DK24,R$152)+COUNTIF('5月'!DO24:DP24,R$152)+COUNTIF('5月'!DT24:DU24,R$152)+COUNTIF('5月'!DY24:DZ24,R$152)+COUNTIF('5月'!ED24:EE24,R$152)+COUNTIF('5月'!EI24:EJ24,R$152)+COUNTIF('5月'!EN24:EO24,R$152)+COUNTIF('5月'!ES24:ET24,R$152)</f>
        <v>0</v>
      </c>
      <c r="S174" s="76">
        <f t="shared" si="56"/>
        <v>0</v>
      </c>
      <c r="T174" s="76">
        <f>COUNTIF('5月'!D24:E24,T$152)+COUNTIF('5月'!I24:J24,T$152)+COUNTIF('5月'!N24:O24,T$152)+COUNTIF('5月'!S24:T24,T$152)+COUNTIF('5月'!X24:Y24,T$152)+COUNTIF('5月'!AC24:AD24,T$152)+COUNTIF('5月'!AH24:AI24,T$152)+COUNTIF('5月'!AM24:AN24,T$152)+COUNTIF('5月'!AR24:AS24,T$152)+COUNTIF('5月'!AW24:AX24,T$152)+COUNTIF('5月'!BB24:BC24,T$152)+COUNTIF('5月'!BG24:BH24,T$152)+COUNTIF('5月'!BL24:BM24,T$152)+COUNTIF('5月'!BQ24:BR24,T$152)+COUNTIF('5月'!BV24:BW24,T$152)+COUNTIF('5月'!CA24:CB24,T$152)+COUNTIF('5月'!CF24:CG24,T$152)+COUNTIF('5月'!CK24:CL24,T$152)+COUNTIF('5月'!CP24:CQ24,T$152)+COUNTIF('5月'!CU24:CV24,T$152)+COUNTIF('5月'!CZ24:DA24,T$152)+COUNTIF('5月'!DE24:DF24,T$152)+COUNTIF('5月'!DJ24:DK24,T$152)+COUNTIF('5月'!DO24:DP24,T$152)+COUNTIF('5月'!DT24:DU24,T$152)+COUNTIF('5月'!DY24:DZ24,T$152)+COUNTIF('5月'!ED24:EE24,T$152)+COUNTIF('5月'!EI24:EJ24,T$152)+COUNTIF('5月'!EN24:EO24,T$152)+COUNTIF('5月'!ES24:ET24,T$152)</f>
        <v>0</v>
      </c>
      <c r="U174" s="76">
        <f t="shared" si="57"/>
        <v>0</v>
      </c>
      <c r="V174" s="76">
        <f>COUNTIF('5月'!D24:E24,V$152)+COUNTIF('5月'!I24:J24,V$152)+COUNTIF('5月'!N24:O24,V$152)+COUNTIF('5月'!S24:T24,V$152)+COUNTIF('5月'!X24:Y24,V$152)+COUNTIF('5月'!AC24:AD24,V$152)+COUNTIF('5月'!AH24:AI24,V$152)+COUNTIF('5月'!AM24:AN24,V$152)+COUNTIF('5月'!AR24:AS24,V$152)+COUNTIF('5月'!AW24:AX24,V$152)+COUNTIF('5月'!BB24:BC24,V$152)+COUNTIF('5月'!BG24:BH24,V$152)+COUNTIF('5月'!BL24:BM24,V$152)+COUNTIF('5月'!BQ24:BR24,V$152)+COUNTIF('5月'!BV24:BW24,V$152)+COUNTIF('5月'!CA24:CB24,V$152)+COUNTIF('5月'!CF24:CG24,V$152)+COUNTIF('5月'!CK24:CL24,V$152)+COUNTIF('5月'!CP24:CQ24,V$152)+COUNTIF('5月'!CU24:CV24,V$152)+COUNTIF('5月'!CZ24:DA24,V$152)+COUNTIF('5月'!DE24:DF24,V$152)+COUNTIF('5月'!DJ24:DK24,V$152)+COUNTIF('5月'!DO24:DP24,V$152)+COUNTIF('5月'!DT24:DU24,V$152)+COUNTIF('5月'!DY24:DZ24,V$152)+COUNTIF('5月'!ED24:EE24,V$152)+COUNTIF('5月'!EI24:EJ24,V$152)+COUNTIF('5月'!EN24:EO24,V$152)+COUNTIF('5月'!ES24:ET24,V$152)</f>
        <v>0</v>
      </c>
      <c r="W174" s="76">
        <f t="shared" si="58"/>
        <v>0</v>
      </c>
      <c r="X174" s="76">
        <f>COUNTIF('5月'!D24:E24,X$152)+COUNTIF('5月'!I24:J24,X$152)+COUNTIF('5月'!N24:O24,X$152)+COUNTIF('5月'!S24:T24,X$152)+COUNTIF('5月'!X24:Y24,X$152)+COUNTIF('5月'!AC24:AD24,X$152)+COUNTIF('5月'!AH24:AI24,X$152)+COUNTIF('5月'!AM24:AN24,X$152)+COUNTIF('5月'!AR24:AS24,X$152)+COUNTIF('5月'!AW24:AX24,X$152)+COUNTIF('5月'!BB24:BC24,X$152)+COUNTIF('5月'!BG24:BH24,X$152)+COUNTIF('5月'!BL24:BM24,X$152)+COUNTIF('5月'!BQ24:BR24,X$152)+COUNTIF('5月'!BV24:BW24,X$152)+COUNTIF('5月'!CA24:CB24,X$152)+COUNTIF('5月'!CF24:CG24,X$152)+COUNTIF('5月'!CK24:CL24,X$152)+COUNTIF('5月'!CP24:CQ24,X$152)+COUNTIF('5月'!CU24:CV24,X$152)+COUNTIF('5月'!CZ24:DA24,X$152)+COUNTIF('5月'!DE24:DF24,X$152)+COUNTIF('5月'!DJ24:DK24,X$152)+COUNTIF('5月'!DO24:DP24,X$152)+COUNTIF('5月'!DT24:DU24,X$152)+COUNTIF('5月'!DY24:DZ24,X$152)+COUNTIF('5月'!ED24:EE24,X$152)+COUNTIF('5月'!EI24:EJ24,X$152)+COUNTIF('5月'!EN24:EO24,X$152)+COUNTIF('5月'!ES24:ET24,X$152)</f>
        <v>0</v>
      </c>
      <c r="Y174" s="76">
        <f t="shared" si="59"/>
        <v>0</v>
      </c>
    </row>
    <row r="175" spans="1:25" ht="18" customHeight="1">
      <c r="A175" s="76">
        <v>22</v>
      </c>
      <c r="B175" s="76">
        <f>COUNTIF('5月'!D25:E25,B$152)+COUNTIF('5月'!I25:J25,B$152)+COUNTIF('5月'!N25:O25,B$152)+COUNTIF('5月'!S25:T25,B$152)+COUNTIF('5月'!X25:Y25,B$152)+COUNTIF('5月'!AC25:AD25,B$152)+COUNTIF('5月'!AH25:AI25,B$152)+COUNTIF('5月'!AM25:AN25,B$152)+COUNTIF('5月'!AR25:AS25,B$152)+COUNTIF('5月'!AW25:AX25,B$152)+COUNTIF('5月'!BB25:BC25,B$152)+COUNTIF('5月'!BG25:BH25,B$152)+COUNTIF('5月'!BL25:BM25,B$152)+COUNTIF('5月'!BQ25:BR25,B$152)+COUNTIF('5月'!BV25:BW25,B$152)+COUNTIF('5月'!CA25:CB25,B$152)+COUNTIF('5月'!CF25:CG25,B$152)+COUNTIF('5月'!CK25:CL25,B$152)+COUNTIF('5月'!CP25:CQ25,B$152)+COUNTIF('5月'!CU25:CV25,B$152)+COUNTIF('5月'!CZ25:DA25,B$152)+COUNTIF('5月'!DE25:DF25,B$152)+COUNTIF('5月'!DJ25:DK25,B$152)+COUNTIF('5月'!DO25:DP25,B$152)+COUNTIF('5月'!DT25:DU25,B$152)+COUNTIF('5月'!DY25:DZ25,B$152)+COUNTIF('5月'!ED25:EE25,B$152)+COUNTIF('5月'!EI25:EJ25,B$152)+COUNTIF('5月'!EN25:EO25,B$152)+COUNTIF('5月'!ES25:ET25,B$152)</f>
        <v>0</v>
      </c>
      <c r="C175" s="76">
        <f t="shared" si="48"/>
        <v>0</v>
      </c>
      <c r="D175" s="76">
        <f>COUNTIF('5月'!D25:E25,D$152)+COUNTIF('5月'!I25:J25,D$152)+COUNTIF('5月'!N25:O25,D$152)+COUNTIF('5月'!S25:T25,D$152)+COUNTIF('5月'!X25:Y25,D$152)+COUNTIF('5月'!AC25:AD25,D$152)+COUNTIF('5月'!AH25:AI25,D$152)+COUNTIF('5月'!AM25:AN25,D$152)+COUNTIF('5月'!AR25:AS25,D$152)+COUNTIF('5月'!AW25:AX25,D$152)+COUNTIF('5月'!BB25:BC25,D$152)+COUNTIF('5月'!BG25:BH25,D$152)+COUNTIF('5月'!BL25:BM25,D$152)+COUNTIF('5月'!BQ25:BR25,D$152)+COUNTIF('5月'!BV25:BW25,D$152)+COUNTIF('5月'!CA25:CB25,D$152)+COUNTIF('5月'!CF25:CG25,D$152)+COUNTIF('5月'!CK25:CL25,D$152)+COUNTIF('5月'!CP25:CQ25,D$152)+COUNTIF('5月'!CU25:CV25,D$152)+COUNTIF('5月'!CZ25:DA25,D$152)+COUNTIF('5月'!DE25:DF25,D$152)+COUNTIF('5月'!DJ25:DK25,D$152)+COUNTIF('5月'!DO25:DP25,D$152)+COUNTIF('5月'!DT25:DU25,D$152)+COUNTIF('5月'!DY25:DZ25,D$152)+COUNTIF('5月'!ED25:EE25,D$152)+COUNTIF('5月'!EI25:EJ25,D$152)+COUNTIF('5月'!EN25:EO25,D$152)+COUNTIF('5月'!ES25:ET25,D$152)</f>
        <v>0</v>
      </c>
      <c r="E175" s="76">
        <f t="shared" si="49"/>
        <v>0</v>
      </c>
      <c r="F175" s="76">
        <f>COUNTIF('5月'!D25:E25,F$152)+COUNTIF('5月'!I25:J25,F$152)+COUNTIF('5月'!N25:O25,F$152)+COUNTIF('5月'!S25:T25,F$152)+COUNTIF('5月'!X25:Y25,F$152)+COUNTIF('5月'!AC25:AD25,F$152)+COUNTIF('5月'!AH25:AI25,F$152)+COUNTIF('5月'!AM25:AN25,F$152)+COUNTIF('5月'!AR25:AS25,F$152)+COUNTIF('5月'!AW25:AX25,F$152)+COUNTIF('5月'!BB25:BC25,F$152)+COUNTIF('5月'!BG25:BH25,F$152)+COUNTIF('5月'!BL25:BM25,F$152)+COUNTIF('5月'!BQ25:BR25,F$152)+COUNTIF('5月'!BV25:BW25,F$152)+COUNTIF('5月'!CA25:CB25,F$152)+COUNTIF('5月'!CF25:CG25,F$152)+COUNTIF('5月'!CK25:CL25,F$152)+COUNTIF('5月'!CP25:CQ25,F$152)+COUNTIF('5月'!CU25:CV25,F$152)+COUNTIF('5月'!CZ25:DA25,F$152)+COUNTIF('5月'!DE25:DF25,F$152)+COUNTIF('5月'!DJ25:DK25,F$152)+COUNTIF('5月'!DO25:DP25,F$152)+COUNTIF('5月'!DT25:DU25,F$152)+COUNTIF('5月'!DY25:DZ25,F$152)+COUNTIF('5月'!ED25:EE25,F$152)+COUNTIF('5月'!EI25:EJ25,F$152)+COUNTIF('5月'!EN25:EO25,F$152)+COUNTIF('5月'!ES25:ET25,F$152)</f>
        <v>0</v>
      </c>
      <c r="G175" s="76">
        <f t="shared" si="50"/>
        <v>0</v>
      </c>
      <c r="H175" s="76">
        <f>COUNTIF('5月'!D25:E25,H$152)+COUNTIF('5月'!I25:J25,H$152)+COUNTIF('5月'!N25:O25,H$152)+COUNTIF('5月'!S25:T25,H$152)+COUNTIF('5月'!X25:Y25,H$152)+COUNTIF('5月'!AC25:AD25,H$152)+COUNTIF('5月'!AH25:AI25,H$152)+COUNTIF('5月'!AM25:AN25,H$152)+COUNTIF('5月'!AR25:AS25,H$152)+COUNTIF('5月'!AW25:AX25,H$152)+COUNTIF('5月'!BB25:BC25,H$152)+COUNTIF('5月'!BG25:BH25,H$152)+COUNTIF('5月'!BL25:BM25,H$152)+COUNTIF('5月'!BQ25:BR25,H$152)+COUNTIF('5月'!BV25:BW25,H$152)+COUNTIF('5月'!CA25:CB25,H$152)+COUNTIF('5月'!CF25:CG25,H$152)+COUNTIF('5月'!CK25:CL25,H$152)+COUNTIF('5月'!CP25:CQ25,H$152)+COUNTIF('5月'!CU25:CV25,H$152)+COUNTIF('5月'!CZ25:DA25,H$152)+COUNTIF('5月'!DE25:DF25,H$152)+COUNTIF('5月'!DJ25:DK25,H$152)+COUNTIF('5月'!DO25:DP25,H$152)+COUNTIF('5月'!DT25:DU25,H$152)+COUNTIF('5月'!DY25:DZ25,H$152)+COUNTIF('5月'!ED25:EE25,H$152)+COUNTIF('5月'!EI25:EJ25,H$152)+COUNTIF('5月'!EN25:EO25,H$152)+COUNTIF('5月'!ES25:ET25,H$152)+COUNTIF('5月'!D25:E25,"渋谷-夜勤")+COUNTIF('5月'!I25:J25,"渋谷-夜勤")+COUNTIF('5月'!N25:O25,"渋谷-夜勤")+COUNTIF('5月'!S25:T25,"渋谷-夜勤")+COUNTIF('5月'!X25:Y25,"渋谷-夜勤")+COUNTIF('5月'!AC25:AD25,"渋谷-夜勤")+COUNTIF('5月'!AH25:AI25,"渋谷-夜勤")+COUNTIF('5月'!AM25:AN25,"渋谷-夜勤")+COUNTIF('5月'!AR25:AS25,"渋谷-夜勤")+COUNTIF('5月'!AW25:AX25,"渋谷-夜勤")+COUNTIF('5月'!BB25:BC25,"渋谷-夜勤")+COUNTIF('5月'!BG25:BH25,"渋谷-夜勤")+COUNTIF('5月'!BL25:BM25,"渋谷-夜勤")+COUNTIF('5月'!BQ25:BR25,"渋谷-夜勤")+COUNTIF('5月'!BV25:BW25,"渋谷-夜勤")+COUNTIF('5月'!CA25:CB25,"渋谷-夜勤")+COUNTIF('5月'!CF25:CG25,"渋谷-夜勤")+COUNTIF('5月'!CK25:CL25,"渋谷-夜勤")+COUNTIF('5月'!CP25:CQ25,"渋谷-夜勤")+COUNTIF('5月'!CU25:CV25,"渋谷-夜勤")+COUNTIF('5月'!CZ25:DA25,"渋谷-夜勤")+COUNTIF('5月'!DE25:DF25,"渋谷-夜勤")+COUNTIF('5月'!DJ25:DK25,"渋谷-夜勤")+COUNTIF('5月'!DO25:DP25,"渋谷-夜勤")+COUNTIF('5月'!DT25:DU25,"渋谷-夜勤")+COUNTIF('5月'!DY25:DZ25,"渋谷-夜勤")+COUNTIF('5月'!ED25:EE25,"渋谷-夜勤")+COUNTIF('5月'!EI25:EJ25,"渋谷-夜勤")+COUNTIF('5月'!EN25:EO25,"渋谷-夜勤")+COUNTIF('5月'!ES25:ET25,"渋谷-夜勤")</f>
        <v>0</v>
      </c>
      <c r="I175" s="76">
        <f t="shared" si="51"/>
        <v>0</v>
      </c>
      <c r="J175" s="76">
        <f>COUNTIF('5月'!D25:E25,J$152)+COUNTIF('5月'!I25:J25,J$152)+COUNTIF('5月'!N25:O25,J$152)+COUNTIF('5月'!S25:T25,J$152)+COUNTIF('5月'!X25:Y25,J$152)+COUNTIF('5月'!AC25:AD25,J$152)+COUNTIF('5月'!AH25:AI25,J$152)+COUNTIF('5月'!AM25:AN25,J$152)+COUNTIF('5月'!AR25:AS25,J$152)+COUNTIF('5月'!AW25:AX25,J$152)+COUNTIF('5月'!BB25:BC25,J$152)+COUNTIF('5月'!BG25:BH25,J$152)+COUNTIF('5月'!BL25:BM25,J$152)+COUNTIF('5月'!BQ25:BR25,J$152)+COUNTIF('5月'!BV25:BW25,J$152)+COUNTIF('5月'!CA25:CB25,J$152)+COUNTIF('5月'!CF25:CG25,J$152)+COUNTIF('5月'!CK25:CL25,J$152)+COUNTIF('5月'!CP25:CQ25,J$152)+COUNTIF('5月'!CU25:CV25,J$152)+COUNTIF('5月'!CZ25:DA25,J$152)+COUNTIF('5月'!DE25:DF25,J$152)+COUNTIF('5月'!DJ25:DK25,J$152)+COUNTIF('5月'!DO25:DP25,J$152)+COUNTIF('5月'!DT25:DU25,J$152)+COUNTIF('5月'!DY25:DZ25,J$152)+COUNTIF('5月'!ED25:EE25,J$152)+COUNTIF('5月'!EI25:EJ25,J$152)+COUNTIF('5月'!EN25:EO25,J$152)+COUNTIF('5月'!ES25:ET25,J$152)+COUNTIF('5月'!D25:E25,"六本木-夜勤")+COUNTIF('5月'!I25:J25,"六本木-夜勤")+COUNTIF('5月'!N25:O25,"六本木-夜勤")+COUNTIF('5月'!S25:T25,"六本木-夜勤")+COUNTIF('5月'!X25:Y25,"六本木-夜勤")+COUNTIF('5月'!AC25:AD25,"六本木-夜勤")+COUNTIF('5月'!AH25:AI25,"六本木-夜勤")+COUNTIF('5月'!AM25:AN25,"六本木-夜勤")+COUNTIF('5月'!AR25:AS25,"六本木-夜勤")+COUNTIF('5月'!AW25:AX25,"六本木-夜勤")+COUNTIF('5月'!BB25:BC25,"六本木-夜勤")+COUNTIF('5月'!BG25:BH25,"六本木-夜勤")+COUNTIF('5月'!BL25:BM25,"六本木-夜勤")+COUNTIF('5月'!BQ25:BR25,"六本木-夜勤")+COUNTIF('5月'!BV25:BW25,"六本木-夜勤")+COUNTIF('5月'!CA25:CB25,"六本木-夜勤")+COUNTIF('5月'!CF25:CG25,"六本木-夜勤")+COUNTIF('5月'!CK25:CL25,"六本木-夜勤")+COUNTIF('5月'!CP25:CQ25,"六本木-夜勤")+COUNTIF('5月'!CU25:CV25,"六本木-夜勤")+COUNTIF('5月'!CZ25:DA25,"六本木-夜勤")+COUNTIF('5月'!DE25:DF25,"六本木-夜勤")+COUNTIF('5月'!DJ25:DK25,"六本木-夜勤")+COUNTIF('5月'!DO25:DP25,"六本木-夜勤")+COUNTIF('5月'!DT25:DU25,"六本木-夜勤")+COUNTIF('5月'!DY25:DZ25,"六本木-夜勤")+COUNTIF('5月'!ED25:EE25,"六本木-夜勤")+COUNTIF('5月'!EI25:EJ25,"六本木-夜勤")+COUNTIF('5月'!EN25:EO25,"六本木-夜勤")+COUNTIF('5月'!ES25:ET25,"六本木-夜勤")+COUNTIF('5月'!D25:E25,"六本木ー夜勤")+COUNTIF('5月'!I25:J25,"六本木ー夜勤")+COUNTIF('5月'!N25:O25,"六本木ー夜勤")+COUNTIF('5月'!S25:T25,"六本木ー夜勤")+COUNTIF('5月'!X25:Y25,"六本木ー夜勤")+COUNTIF('5月'!AC25:AD25,"六本木ー夜勤")+COUNTIF('5月'!AH25:AI25,"六本木ー夜勤")+COUNTIF('5月'!AM25:AN25,"六本木ー夜勤")+COUNTIF('5月'!AR25:AS25,"六本木ー夜勤")+COUNTIF('5月'!AW25:AX25,"六本木ー夜勤")+COUNTIF('5月'!BB25:BC25,"六本木ー夜勤")+COUNTIF('5月'!BG25:BH25,"六本木ー夜勤")+COUNTIF('5月'!BL25:BM25,"六本木ー夜勤")+COUNTIF('5月'!BQ25:BR25,"六本木ー夜勤")+COUNTIF('5月'!BV25:BW25,"六本木ー夜勤")+COUNTIF('5月'!CA25:CB25,"六本木ー夜勤")+COUNTIF('5月'!CF25:CG25,"六本木ー夜勤")+COUNTIF('5月'!CK25:CL25,"六本木ー夜勤")+COUNTIF('5月'!CP25:CQ25,"六本木ー夜勤")+COUNTIF('5月'!CU25:CV25,"六本木ー夜勤")+COUNTIF('5月'!CZ25:DA25,"六本木ー夜勤")+COUNTIF('5月'!DE25:DF25,"六本木ー夜勤")+COUNTIF('5月'!DJ25:DK25,"六本木ー夜勤")+COUNTIF('5月'!DO25:DP25,"六本木ー夜勤")+COUNTIF('5月'!DT25:DU25,"六本木ー夜勤")+COUNTIF('5月'!DY25:DZ25,"六本木ー夜勤")+COUNTIF('5月'!ED25:EE25,"六本木ー夜勤")+COUNTIF('5月'!EI25:EJ25,"六本木ー夜勤")+COUNTIF('5月'!EN25:EO25,"六本木ー夜勤")+COUNTIF('5月'!ES25:ET25,"六本木ー夜勤")</f>
        <v>0</v>
      </c>
      <c r="K175" s="76">
        <f t="shared" si="52"/>
        <v>0</v>
      </c>
      <c r="L175" s="76">
        <f>COUNTIF('5月'!D25:E25,L$152)+COUNTIF('5月'!I25:J25,L$152)+COUNTIF('5月'!N25:O25,L$152)+COUNTIF('5月'!S25:T25,L$152)+COUNTIF('5月'!X25:Y25,L$152)+COUNTIF('5月'!AC25:AD25,L$152)+COUNTIF('5月'!AH25:AI25,L$152)+COUNTIF('5月'!AM25:AN25,L$152)+COUNTIF('5月'!AR25:AS25,L$152)+COUNTIF('5月'!AW25:AX25,L$152)+COUNTIF('5月'!BB25:BC25,L$152)+COUNTIF('5月'!BG25:BH25,L$152)+COUNTIF('5月'!BL25:BM25,L$152)+COUNTIF('5月'!BQ25:BR25,L$152)+COUNTIF('5月'!BV25:BW25,L$152)+COUNTIF('5月'!CA25:CB25,L$152)+COUNTIF('5月'!CF25:CG25,L$152)+COUNTIF('5月'!CK25:CL25,L$152)+COUNTIF('5月'!CP25:CQ25,L$152)+COUNTIF('5月'!CU25:CV25,L$152)+COUNTIF('5月'!CZ25:DA25,L$152)+COUNTIF('5月'!DE25:DF25,L$152)+COUNTIF('5月'!DJ25:DK25,L$152)+COUNTIF('5月'!DO25:DP25,L$152)+COUNTIF('5月'!DT25:DU25,L$152)+COUNTIF('5月'!DY25:DZ25,L$152)+COUNTIF('5月'!ED25:EE25,L$152)+COUNTIF('5月'!EI25:EJ25,L$152)+COUNTIF('5月'!EN25:EO25,L$152)+COUNTIF('5月'!ES25:ET25,L$152)</f>
        <v>0</v>
      </c>
      <c r="M175" s="76">
        <f t="shared" si="53"/>
        <v>0</v>
      </c>
      <c r="N175" s="76">
        <f>COUNTIF('5月'!D25:E25,N$152)+COUNTIF('5月'!I25:J25,N$152)+COUNTIF('5月'!N25:O25,N$152)+COUNTIF('5月'!S25:T25,N$152)+COUNTIF('5月'!X25:Y25,N$152)+COUNTIF('5月'!AC25:AD25,N$152)+COUNTIF('5月'!AH25:AI25,N$152)+COUNTIF('5月'!AM25:AN25,N$152)+COUNTIF('5月'!AR25:AS25,N$152)+COUNTIF('5月'!AW25:AX25,N$152)+COUNTIF('5月'!BB25:BC25,N$152)+COUNTIF('5月'!BG25:BH25,N$152)+COUNTIF('5月'!BL25:BM25,N$152)+COUNTIF('5月'!BQ25:BR25,N$152)+COUNTIF('5月'!BV25:BW25,N$152)+COUNTIF('5月'!CA25:CB25,N$152)+COUNTIF('5月'!CF25:CG25,N$152)+COUNTIF('5月'!CK25:CL25,N$152)+COUNTIF('5月'!CP25:CQ25,N$152)+COUNTIF('5月'!CU25:CV25,N$152)+COUNTIF('5月'!CZ25:DA25,N$152)+COUNTIF('5月'!DE25:DF25,N$152)+COUNTIF('5月'!DJ25:DK25,N$152)+COUNTIF('5月'!DO25:DP25,N$152)+COUNTIF('5月'!DT25:DU25,N$152)+COUNTIF('5月'!DY25:DZ25,N$152)+COUNTIF('5月'!ED25:EE25,N$152)+COUNTIF('5月'!EI25:EJ25,N$152)+COUNTIF('5月'!EN25:EO25,N$152)+COUNTIF('5月'!ES25:ET25,N$152)+COUNTIF('5月'!D25:E25,"三軒茶屋－夜勤")+COUNTIF('5月'!I25:J25,"三軒茶屋－夜勤")+COUNTIF('5月'!N25:O25,"三軒茶屋－夜勤")+COUNTIF('5月'!S25:T25,"三軒茶屋－夜勤")+COUNTIF('5月'!X25:Y25,"三軒茶屋－夜勤")+COUNTIF('5月'!AC25:AD25,"三軒茶屋－夜勤")+COUNTIF('5月'!AH25:AI25,"三軒茶屋－夜勤")+COUNTIF('5月'!AM25:AN25,"三軒茶屋－夜勤")+COUNTIF('5月'!AR25:AS25,"三軒茶屋－夜勤")+COUNTIF('5月'!AW25:AX25,"三軒茶屋－夜勤")+COUNTIF('5月'!BB25:BC25,"三軒茶屋－夜勤")+COUNTIF('5月'!BG25:BH25,"三軒茶屋－夜勤")+COUNTIF('5月'!BL25:BM25,"三軒茶屋－夜勤")+COUNTIF('5月'!BQ25:BR25,"三軒茶屋－夜勤")+COUNTIF('5月'!BV25:BW25,"三軒茶屋－夜勤")+COUNTIF('5月'!CA25:CB25,"三軒茶屋－夜勤")+COUNTIF('5月'!CF25:CG25,"三軒茶屋－夜勤")+COUNTIF('5月'!CK25:CL25,"三軒茶屋－夜勤")+COUNTIF('5月'!CP25:CQ25,"三軒茶屋－夜勤")+COUNTIF('5月'!CU25:CV25,"三軒茶屋－夜勤")+COUNTIF('5月'!CZ25:DA25,"三軒茶屋－夜勤")+COUNTIF('5月'!DE25:DF25,"三軒茶屋－夜勤")+COUNTIF('5月'!DJ25:DK25,"三軒茶屋－夜勤")+COUNTIF('5月'!DO25:DP25,"三軒茶屋－夜勤")+COUNTIF('5月'!DT25:DU25,"三軒茶屋－夜勤")+COUNTIF('5月'!DY25:DZ25,"三軒茶屋－夜勤")+COUNTIF('5月'!ED25:EE25,"三軒茶屋－夜勤")+COUNTIF('5月'!EI25:EJ25,"三軒茶屋－夜勤")+COUNTIF('5月'!EN25:EO25,"三軒茶屋－夜勤")+COUNTIF('5月'!ES25:ET25,"三軒茶屋－夜勤")</f>
        <v>0</v>
      </c>
      <c r="O175" s="76">
        <f t="shared" si="54"/>
        <v>0</v>
      </c>
      <c r="P175" s="76">
        <f>COUNTIF('5月'!D25:E25,P$152)+COUNTIF('5月'!I25:J25,P$152)+COUNTIF('5月'!N25:O25,P$152)+COUNTIF('5月'!S25:T25,P$152)+COUNTIF('5月'!X25:Y25,P$152)+COUNTIF('5月'!AC25:AD25,P$152)+COUNTIF('5月'!AH25:AI25,P$152)+COUNTIF('5月'!AM25:AN25,P$152)+COUNTIF('5月'!AR25:AS25,P$152)+COUNTIF('5月'!AW25:AX25,P$152)+COUNTIF('5月'!BB25:BC25,P$152)+COUNTIF('5月'!BG25:BH25,P$152)+COUNTIF('5月'!BL25:BM25,P$152)+COUNTIF('5月'!BQ25:BR25,P$152)+COUNTIF('5月'!BV25:BW25,P$152)+COUNTIF('5月'!CA25:CB25,P$152)+COUNTIF('5月'!CF25:CG25,P$152)+COUNTIF('5月'!CK25:CL25,P$152)+COUNTIF('5月'!CP25:CQ25,P$152)+COUNTIF('5月'!CU25:CV25,P$152)+COUNTIF('5月'!CZ25:DA25,P$152)+COUNTIF('5月'!DE25:DF25,P$152)+COUNTIF('5月'!DJ25:DK25,P$152)+COUNTIF('5月'!DO25:DP25,P$152)+COUNTIF('5月'!DT25:DU25,P$152)+COUNTIF('5月'!DY25:DZ25,P$152)+COUNTIF('5月'!ED25:EE25,P$152)+COUNTIF('5月'!EI25:EJ25,P$152)+COUNTIF('5月'!EN25:EO25,P$152)+COUNTIF('5月'!ES25:ET25,P$152)+COUNTIF('5月'!D25:E25,"荻窪ー夜勤")+COUNTIF('5月'!I25:J25,"荻窪ー夜勤")+COUNTIF('5月'!N25:O25,"荻窪ー夜勤")+COUNTIF('5月'!S25:T25,"荻窪ー夜勤")+COUNTIF('5月'!X25:Y25,"荻窪ー夜勤")+COUNTIF('5月'!AC25:AD25,"荻窪ー夜勤")+COUNTIF('5月'!AH25:AI25,"荻窪ー夜勤")+COUNTIF('5月'!AM25:AN25,"荻窪ー夜勤")+COUNTIF('5月'!AR25:AS25,"荻窪ー夜勤")+COUNTIF('5月'!AW25:AX25,"荻窪ー夜勤")+COUNTIF('5月'!BB25:BC25,"荻窪ー夜勤")+COUNTIF('5月'!BG25:BH25,"荻窪ー夜勤")+COUNTIF('5月'!BL25:BM25,"荻窪ー夜勤")+COUNTIF('5月'!BQ25:BR25,"荻窪ー夜勤")+COUNTIF('5月'!BV25:BW25,"荻窪ー夜勤")+COUNTIF('5月'!CA25:CB25,"荻窪ー夜勤")+COUNTIF('5月'!CF25:CG25,"荻窪ー夜勤")+COUNTIF('5月'!CK25:CL25,"荻窪ー夜勤")+COUNTIF('5月'!CP25:CQ25,"荻窪ー夜勤")+COUNTIF('5月'!CU25:CV25,"荻窪ー夜勤")+COUNTIF('5月'!CZ25:DA25,"荻窪ー夜勤")+COUNTIF('5月'!DE25:DF25,"荻窪ー夜勤")+COUNTIF('5月'!DJ25:DK25,"荻窪ー夜勤")+COUNTIF('5月'!DO25:DP25,"荻窪ー夜勤")+COUNTIF('5月'!DT25:DU25,"荻窪ー夜勤")+COUNTIF('5月'!DY25:DZ25,"荻窪ー夜勤")+COUNTIF('5月'!ED25:EE25,"荻窪ー夜勤")+COUNTIF('5月'!EI25:EJ25,"荻窪ー夜勤")+COUNTIF('5月'!EN25:EO25,"荻窪ー夜勤")+COUNTIF('5月'!ES25:ET25,"荻窪ー夜勤")</f>
        <v>0</v>
      </c>
      <c r="Q175" s="76">
        <f t="shared" si="55"/>
        <v>0</v>
      </c>
      <c r="R175" s="76">
        <f>COUNTIF('5月'!D25:E25,R$152)+COUNTIF('5月'!I25:J25,R$152)+COUNTIF('5月'!N25:O25,R$152)+COUNTIF('5月'!S25:T25,R$152)+COUNTIF('5月'!X25:Y25,R$152)+COUNTIF('5月'!AC25:AD25,R$152)+COUNTIF('5月'!AH25:AI25,R$152)+COUNTIF('5月'!AM25:AN25,R$152)+COUNTIF('5月'!AR25:AS25,R$152)+COUNTIF('5月'!AW25:AX25,R$152)+COUNTIF('5月'!BB25:BC25,R$152)+COUNTIF('5月'!BG25:BH25,R$152)+COUNTIF('5月'!BL25:BM25,R$152)+COUNTIF('5月'!BQ25:BR25,R$152)+COUNTIF('5月'!BV25:BW25,R$152)+COUNTIF('5月'!CA25:CB25,R$152)+COUNTIF('5月'!CF25:CG25,R$152)+COUNTIF('5月'!CK25:CL25,R$152)+COUNTIF('5月'!CP25:CQ25,R$152)+COUNTIF('5月'!CU25:CV25,R$152)+COUNTIF('5月'!CZ25:DA25,R$152)+COUNTIF('5月'!DE25:DF25,R$152)+COUNTIF('5月'!DJ25:DK25,R$152)+COUNTIF('5月'!DO25:DP25,R$152)+COUNTIF('5月'!DT25:DU25,R$152)+COUNTIF('5月'!DY25:DZ25,R$152)+COUNTIF('5月'!ED25:EE25,R$152)+COUNTIF('5月'!EI25:EJ25,R$152)+COUNTIF('5月'!EN25:EO25,R$152)+COUNTIF('5月'!ES25:ET25,R$152)</f>
        <v>0</v>
      </c>
      <c r="S175" s="76">
        <f t="shared" si="56"/>
        <v>0</v>
      </c>
      <c r="T175" s="76">
        <f>COUNTIF('5月'!D25:E25,T$152)+COUNTIF('5月'!I25:J25,T$152)+COUNTIF('5月'!N25:O25,T$152)+COUNTIF('5月'!S25:T25,T$152)+COUNTIF('5月'!X25:Y25,T$152)+COUNTIF('5月'!AC25:AD25,T$152)+COUNTIF('5月'!AH25:AI25,T$152)+COUNTIF('5月'!AM25:AN25,T$152)+COUNTIF('5月'!AR25:AS25,T$152)+COUNTIF('5月'!AW25:AX25,T$152)+COUNTIF('5月'!BB25:BC25,T$152)+COUNTIF('5月'!BG25:BH25,T$152)+COUNTIF('5月'!BL25:BM25,T$152)+COUNTIF('5月'!BQ25:BR25,T$152)+COUNTIF('5月'!BV25:BW25,T$152)+COUNTIF('5月'!CA25:CB25,T$152)+COUNTIF('5月'!CF25:CG25,T$152)+COUNTIF('5月'!CK25:CL25,T$152)+COUNTIF('5月'!CP25:CQ25,T$152)+COUNTIF('5月'!CU25:CV25,T$152)+COUNTIF('5月'!CZ25:DA25,T$152)+COUNTIF('5月'!DE25:DF25,T$152)+COUNTIF('5月'!DJ25:DK25,T$152)+COUNTIF('5月'!DO25:DP25,T$152)+COUNTIF('5月'!DT25:DU25,T$152)+COUNTIF('5月'!DY25:DZ25,T$152)+COUNTIF('5月'!ED25:EE25,T$152)+COUNTIF('5月'!EI25:EJ25,T$152)+COUNTIF('5月'!EN25:EO25,T$152)+COUNTIF('5月'!ES25:ET25,T$152)</f>
        <v>0</v>
      </c>
      <c r="U175" s="76">
        <f t="shared" si="57"/>
        <v>0</v>
      </c>
      <c r="V175" s="76">
        <f>COUNTIF('5月'!D25:E25,V$152)+COUNTIF('5月'!I25:J25,V$152)+COUNTIF('5月'!N25:O25,V$152)+COUNTIF('5月'!S25:T25,V$152)+COUNTIF('5月'!X25:Y25,V$152)+COUNTIF('5月'!AC25:AD25,V$152)+COUNTIF('5月'!AH25:AI25,V$152)+COUNTIF('5月'!AM25:AN25,V$152)+COUNTIF('5月'!AR25:AS25,V$152)+COUNTIF('5月'!AW25:AX25,V$152)+COUNTIF('5月'!BB25:BC25,V$152)+COUNTIF('5月'!BG25:BH25,V$152)+COUNTIF('5月'!BL25:BM25,V$152)+COUNTIF('5月'!BQ25:BR25,V$152)+COUNTIF('5月'!BV25:BW25,V$152)+COUNTIF('5月'!CA25:CB25,V$152)+COUNTIF('5月'!CF25:CG25,V$152)+COUNTIF('5月'!CK25:CL25,V$152)+COUNTIF('5月'!CP25:CQ25,V$152)+COUNTIF('5月'!CU25:CV25,V$152)+COUNTIF('5月'!CZ25:DA25,V$152)+COUNTIF('5月'!DE25:DF25,V$152)+COUNTIF('5月'!DJ25:DK25,V$152)+COUNTIF('5月'!DO25:DP25,V$152)+COUNTIF('5月'!DT25:DU25,V$152)+COUNTIF('5月'!DY25:DZ25,V$152)+COUNTIF('5月'!ED25:EE25,V$152)+COUNTIF('5月'!EI25:EJ25,V$152)+COUNTIF('5月'!EN25:EO25,V$152)+COUNTIF('5月'!ES25:ET25,V$152)</f>
        <v>0</v>
      </c>
      <c r="W175" s="76">
        <f t="shared" si="58"/>
        <v>0</v>
      </c>
      <c r="X175" s="76">
        <f>COUNTIF('5月'!D25:E25,X$152)+COUNTIF('5月'!I25:J25,X$152)+COUNTIF('5月'!N25:O25,X$152)+COUNTIF('5月'!S25:T25,X$152)+COUNTIF('5月'!X25:Y25,X$152)+COUNTIF('5月'!AC25:AD25,X$152)+COUNTIF('5月'!AH25:AI25,X$152)+COUNTIF('5月'!AM25:AN25,X$152)+COUNTIF('5月'!AR25:AS25,X$152)+COUNTIF('5月'!AW25:AX25,X$152)+COUNTIF('5月'!BB25:BC25,X$152)+COUNTIF('5月'!BG25:BH25,X$152)+COUNTIF('5月'!BL25:BM25,X$152)+COUNTIF('5月'!BQ25:BR25,X$152)+COUNTIF('5月'!BV25:BW25,X$152)+COUNTIF('5月'!CA25:CB25,X$152)+COUNTIF('5月'!CF25:CG25,X$152)+COUNTIF('5月'!CK25:CL25,X$152)+COUNTIF('5月'!CP25:CQ25,X$152)+COUNTIF('5月'!CU25:CV25,X$152)+COUNTIF('5月'!CZ25:DA25,X$152)+COUNTIF('5月'!DE25:DF25,X$152)+COUNTIF('5月'!DJ25:DK25,X$152)+COUNTIF('5月'!DO25:DP25,X$152)+COUNTIF('5月'!DT25:DU25,X$152)+COUNTIF('5月'!DY25:DZ25,X$152)+COUNTIF('5月'!ED25:EE25,X$152)+COUNTIF('5月'!EI25:EJ25,X$152)+COUNTIF('5月'!EN25:EO25,X$152)+COUNTIF('5月'!ES25:ET25,X$152)</f>
        <v>0</v>
      </c>
      <c r="Y175" s="76">
        <f t="shared" si="59"/>
        <v>0</v>
      </c>
    </row>
    <row r="176" spans="1:25" ht="18" customHeight="1">
      <c r="A176" s="76">
        <v>23</v>
      </c>
      <c r="B176" s="76">
        <f>COUNTIF('5月'!D26:E26,B$152)+COUNTIF('5月'!I26:J26,B$152)+COUNTIF('5月'!N26:O26,B$152)+COUNTIF('5月'!S26:T26,B$152)+COUNTIF('5月'!X26:Y26,B$152)+COUNTIF('5月'!AC26:AD26,B$152)+COUNTIF('5月'!AH26:AI26,B$152)+COUNTIF('5月'!AM26:AN26,B$152)+COUNTIF('5月'!AR26:AS26,B$152)+COUNTIF('5月'!AW26:AX26,B$152)+COUNTIF('5月'!BB26:BC26,B$152)+COUNTIF('5月'!BG26:BH26,B$152)+COUNTIF('5月'!BL26:BM26,B$152)+COUNTIF('5月'!BQ26:BR26,B$152)+COUNTIF('5月'!BV26:BW26,B$152)+COUNTIF('5月'!CA26:CB26,B$152)+COUNTIF('5月'!CF26:CG26,B$152)+COUNTIF('5月'!CK26:CL26,B$152)+COUNTIF('5月'!CP26:CQ26,B$152)+COUNTIF('5月'!CU26:CV26,B$152)+COUNTIF('5月'!CZ26:DA26,B$152)+COUNTIF('5月'!DE26:DF26,B$152)+COUNTIF('5月'!DJ26:DK26,B$152)+COUNTIF('5月'!DO26:DP26,B$152)+COUNTIF('5月'!DT26:DU26,B$152)+COUNTIF('5月'!DY26:DZ26,B$152)+COUNTIF('5月'!ED26:EE26,B$152)+COUNTIF('5月'!EI26:EJ26,B$152)+COUNTIF('5月'!EN26:EO26,B$152)+COUNTIF('5月'!ES26:ET26,B$152)</f>
        <v>0</v>
      </c>
      <c r="C176" s="76">
        <f t="shared" si="48"/>
        <v>0</v>
      </c>
      <c r="D176" s="76">
        <f>COUNTIF('5月'!D26:E26,D$152)+COUNTIF('5月'!I26:J26,D$152)+COUNTIF('5月'!N26:O26,D$152)+COUNTIF('5月'!S26:T26,D$152)+COUNTIF('5月'!X26:Y26,D$152)+COUNTIF('5月'!AC26:AD26,D$152)+COUNTIF('5月'!AH26:AI26,D$152)+COUNTIF('5月'!AM26:AN26,D$152)+COUNTIF('5月'!AR26:AS26,D$152)+COUNTIF('5月'!AW26:AX26,D$152)+COUNTIF('5月'!BB26:BC26,D$152)+COUNTIF('5月'!BG26:BH26,D$152)+COUNTIF('5月'!BL26:BM26,D$152)+COUNTIF('5月'!BQ26:BR26,D$152)+COUNTIF('5月'!BV26:BW26,D$152)+COUNTIF('5月'!CA26:CB26,D$152)+COUNTIF('5月'!CF26:CG26,D$152)+COUNTIF('5月'!CK26:CL26,D$152)+COUNTIF('5月'!CP26:CQ26,D$152)+COUNTIF('5月'!CU26:CV26,D$152)+COUNTIF('5月'!CZ26:DA26,D$152)+COUNTIF('5月'!DE26:DF26,D$152)+COUNTIF('5月'!DJ26:DK26,D$152)+COUNTIF('5月'!DO26:DP26,D$152)+COUNTIF('5月'!DT26:DU26,D$152)+COUNTIF('5月'!DY26:DZ26,D$152)+COUNTIF('5月'!ED26:EE26,D$152)+COUNTIF('5月'!EI26:EJ26,D$152)+COUNTIF('5月'!EN26:EO26,D$152)+COUNTIF('5月'!ES26:ET26,D$152)</f>
        <v>0</v>
      </c>
      <c r="E176" s="76">
        <f t="shared" si="49"/>
        <v>0</v>
      </c>
      <c r="F176" s="76">
        <f>COUNTIF('5月'!D26:E26,F$152)+COUNTIF('5月'!I26:J26,F$152)+COUNTIF('5月'!N26:O26,F$152)+COUNTIF('5月'!S26:T26,F$152)+COUNTIF('5月'!X26:Y26,F$152)+COUNTIF('5月'!AC26:AD26,F$152)+COUNTIF('5月'!AH26:AI26,F$152)+COUNTIF('5月'!AM26:AN26,F$152)+COUNTIF('5月'!AR26:AS26,F$152)+COUNTIF('5月'!AW26:AX26,F$152)+COUNTIF('5月'!BB26:BC26,F$152)+COUNTIF('5月'!BG26:BH26,F$152)+COUNTIF('5月'!BL26:BM26,F$152)+COUNTIF('5月'!BQ26:BR26,F$152)+COUNTIF('5月'!BV26:BW26,F$152)+COUNTIF('5月'!CA26:CB26,F$152)+COUNTIF('5月'!CF26:CG26,F$152)+COUNTIF('5月'!CK26:CL26,F$152)+COUNTIF('5月'!CP26:CQ26,F$152)+COUNTIF('5月'!CU26:CV26,F$152)+COUNTIF('5月'!CZ26:DA26,F$152)+COUNTIF('5月'!DE26:DF26,F$152)+COUNTIF('5月'!DJ26:DK26,F$152)+COUNTIF('5月'!DO26:DP26,F$152)+COUNTIF('5月'!DT26:DU26,F$152)+COUNTIF('5月'!DY26:DZ26,F$152)+COUNTIF('5月'!ED26:EE26,F$152)+COUNTIF('5月'!EI26:EJ26,F$152)+COUNTIF('5月'!EN26:EO26,F$152)+COUNTIF('5月'!ES26:ET26,F$152)</f>
        <v>0</v>
      </c>
      <c r="G176" s="76">
        <f t="shared" si="50"/>
        <v>0</v>
      </c>
      <c r="H176" s="76">
        <f>COUNTIF('5月'!D26:E26,H$152)+COUNTIF('5月'!I26:J26,H$152)+COUNTIF('5月'!N26:O26,H$152)+COUNTIF('5月'!S26:T26,H$152)+COUNTIF('5月'!X26:Y26,H$152)+COUNTIF('5月'!AC26:AD26,H$152)+COUNTIF('5月'!AH26:AI26,H$152)+COUNTIF('5月'!AM26:AN26,H$152)+COUNTIF('5月'!AR26:AS26,H$152)+COUNTIF('5月'!AW26:AX26,H$152)+COUNTIF('5月'!BB26:BC26,H$152)+COUNTIF('5月'!BG26:BH26,H$152)+COUNTIF('5月'!BL26:BM26,H$152)+COUNTIF('5月'!BQ26:BR26,H$152)+COUNTIF('5月'!BV26:BW26,H$152)+COUNTIF('5月'!CA26:CB26,H$152)+COUNTIF('5月'!CF26:CG26,H$152)+COUNTIF('5月'!CK26:CL26,H$152)+COUNTIF('5月'!CP26:CQ26,H$152)+COUNTIF('5月'!CU26:CV26,H$152)+COUNTIF('5月'!CZ26:DA26,H$152)+COUNTIF('5月'!DE26:DF26,H$152)+COUNTIF('5月'!DJ26:DK26,H$152)+COUNTIF('5月'!DO26:DP26,H$152)+COUNTIF('5月'!DT26:DU26,H$152)+COUNTIF('5月'!DY26:DZ26,H$152)+COUNTIF('5月'!ED26:EE26,H$152)+COUNTIF('5月'!EI26:EJ26,H$152)+COUNTIF('5月'!EN26:EO26,H$152)+COUNTIF('5月'!ES26:ET26,H$152)+COUNTIF('5月'!D26:E26,"渋谷-夜勤")+COUNTIF('5月'!I26:J26,"渋谷-夜勤")+COUNTIF('5月'!N26:O26,"渋谷-夜勤")+COUNTIF('5月'!S26:T26,"渋谷-夜勤")+COUNTIF('5月'!X26:Y26,"渋谷-夜勤")+COUNTIF('5月'!AC26:AD26,"渋谷-夜勤")+COUNTIF('5月'!AH26:AI26,"渋谷-夜勤")+COUNTIF('5月'!AM26:AN26,"渋谷-夜勤")+COUNTIF('5月'!AR26:AS26,"渋谷-夜勤")+COUNTIF('5月'!AW26:AX26,"渋谷-夜勤")+COUNTIF('5月'!BB26:BC26,"渋谷-夜勤")+COUNTIF('5月'!BG26:BH26,"渋谷-夜勤")+COUNTIF('5月'!BL26:BM26,"渋谷-夜勤")+COUNTIF('5月'!BQ26:BR26,"渋谷-夜勤")+COUNTIF('5月'!BV26:BW26,"渋谷-夜勤")+COUNTIF('5月'!CA26:CB26,"渋谷-夜勤")+COUNTIF('5月'!CF26:CG26,"渋谷-夜勤")+COUNTIF('5月'!CK26:CL26,"渋谷-夜勤")+COUNTIF('5月'!CP26:CQ26,"渋谷-夜勤")+COUNTIF('5月'!CU26:CV26,"渋谷-夜勤")+COUNTIF('5月'!CZ26:DA26,"渋谷-夜勤")+COUNTIF('5月'!DE26:DF26,"渋谷-夜勤")+COUNTIF('5月'!DJ26:DK26,"渋谷-夜勤")+COUNTIF('5月'!DO26:DP26,"渋谷-夜勤")+COUNTIF('5月'!DT26:DU26,"渋谷-夜勤")+COUNTIF('5月'!DY26:DZ26,"渋谷-夜勤")+COUNTIF('5月'!ED26:EE26,"渋谷-夜勤")+COUNTIF('5月'!EI26:EJ26,"渋谷-夜勤")+COUNTIF('5月'!EN26:EO26,"渋谷-夜勤")+COUNTIF('5月'!ES26:ET26,"渋谷-夜勤")</f>
        <v>0</v>
      </c>
      <c r="I176" s="76">
        <f t="shared" si="51"/>
        <v>0</v>
      </c>
      <c r="J176" s="76">
        <f>COUNTIF('5月'!D26:E26,J$152)+COUNTIF('5月'!I26:J26,J$152)+COUNTIF('5月'!N26:O26,J$152)+COUNTIF('5月'!S26:T26,J$152)+COUNTIF('5月'!X26:Y26,J$152)+COUNTIF('5月'!AC26:AD26,J$152)+COUNTIF('5月'!AH26:AI26,J$152)+COUNTIF('5月'!AM26:AN26,J$152)+COUNTIF('5月'!AR26:AS26,J$152)+COUNTIF('5月'!AW26:AX26,J$152)+COUNTIF('5月'!BB26:BC26,J$152)+COUNTIF('5月'!BG26:BH26,J$152)+COUNTIF('5月'!BL26:BM26,J$152)+COUNTIF('5月'!BQ26:BR26,J$152)+COUNTIF('5月'!BV26:BW26,J$152)+COUNTIF('5月'!CA26:CB26,J$152)+COUNTIF('5月'!CF26:CG26,J$152)+COUNTIF('5月'!CK26:CL26,J$152)+COUNTIF('5月'!CP26:CQ26,J$152)+COUNTIF('5月'!CU26:CV26,J$152)+COUNTIF('5月'!CZ26:DA26,J$152)+COUNTIF('5月'!DE26:DF26,J$152)+COUNTIF('5月'!DJ26:DK26,J$152)+COUNTIF('5月'!DO26:DP26,J$152)+COUNTIF('5月'!DT26:DU26,J$152)+COUNTIF('5月'!DY26:DZ26,J$152)+COUNTIF('5月'!ED26:EE26,J$152)+COUNTIF('5月'!EI26:EJ26,J$152)+COUNTIF('5月'!EN26:EO26,J$152)+COUNTIF('5月'!ES26:ET26,J$152)+COUNTIF('5月'!D26:E26,"六本木-夜勤")+COUNTIF('5月'!I26:J26,"六本木-夜勤")+COUNTIF('5月'!N26:O26,"六本木-夜勤")+COUNTIF('5月'!S26:T26,"六本木-夜勤")+COUNTIF('5月'!X26:Y26,"六本木-夜勤")+COUNTIF('5月'!AC26:AD26,"六本木-夜勤")+COUNTIF('5月'!AH26:AI26,"六本木-夜勤")+COUNTIF('5月'!AM26:AN26,"六本木-夜勤")+COUNTIF('5月'!AR26:AS26,"六本木-夜勤")+COUNTIF('5月'!AW26:AX26,"六本木-夜勤")+COUNTIF('5月'!BB26:BC26,"六本木-夜勤")+COUNTIF('5月'!BG26:BH26,"六本木-夜勤")+COUNTIF('5月'!BL26:BM26,"六本木-夜勤")+COUNTIF('5月'!BQ26:BR26,"六本木-夜勤")+COUNTIF('5月'!BV26:BW26,"六本木-夜勤")+COUNTIF('5月'!CA26:CB26,"六本木-夜勤")+COUNTIF('5月'!CF26:CG26,"六本木-夜勤")+COUNTIF('5月'!CK26:CL26,"六本木-夜勤")+COUNTIF('5月'!CP26:CQ26,"六本木-夜勤")+COUNTIF('5月'!CU26:CV26,"六本木-夜勤")+COUNTIF('5月'!CZ26:DA26,"六本木-夜勤")+COUNTIF('5月'!DE26:DF26,"六本木-夜勤")+COUNTIF('5月'!DJ26:DK26,"六本木-夜勤")+COUNTIF('5月'!DO26:DP26,"六本木-夜勤")+COUNTIF('5月'!DT26:DU26,"六本木-夜勤")+COUNTIF('5月'!DY26:DZ26,"六本木-夜勤")+COUNTIF('5月'!ED26:EE26,"六本木-夜勤")+COUNTIF('5月'!EI26:EJ26,"六本木-夜勤")+COUNTIF('5月'!EN26:EO26,"六本木-夜勤")+COUNTIF('5月'!ES26:ET26,"六本木-夜勤")+COUNTIF('5月'!D26:E26,"六本木ー夜勤")+COUNTIF('5月'!I26:J26,"六本木ー夜勤")+COUNTIF('5月'!N26:O26,"六本木ー夜勤")+COUNTIF('5月'!S26:T26,"六本木ー夜勤")+COUNTIF('5月'!X26:Y26,"六本木ー夜勤")+COUNTIF('5月'!AC26:AD26,"六本木ー夜勤")+COUNTIF('5月'!AH26:AI26,"六本木ー夜勤")+COUNTIF('5月'!AM26:AN26,"六本木ー夜勤")+COUNTIF('5月'!AR26:AS26,"六本木ー夜勤")+COUNTIF('5月'!AW26:AX26,"六本木ー夜勤")+COUNTIF('5月'!BB26:BC26,"六本木ー夜勤")+COUNTIF('5月'!BG26:BH26,"六本木ー夜勤")+COUNTIF('5月'!BL26:BM26,"六本木ー夜勤")+COUNTIF('5月'!BQ26:BR26,"六本木ー夜勤")+COUNTIF('5月'!BV26:BW26,"六本木ー夜勤")+COUNTIF('5月'!CA26:CB26,"六本木ー夜勤")+COUNTIF('5月'!CF26:CG26,"六本木ー夜勤")+COUNTIF('5月'!CK26:CL26,"六本木ー夜勤")+COUNTIF('5月'!CP26:CQ26,"六本木ー夜勤")+COUNTIF('5月'!CU26:CV26,"六本木ー夜勤")+COUNTIF('5月'!CZ26:DA26,"六本木ー夜勤")+COUNTIF('5月'!DE26:DF26,"六本木ー夜勤")+COUNTIF('5月'!DJ26:DK26,"六本木ー夜勤")+COUNTIF('5月'!DO26:DP26,"六本木ー夜勤")+COUNTIF('5月'!DT26:DU26,"六本木ー夜勤")+COUNTIF('5月'!DY26:DZ26,"六本木ー夜勤")+COUNTIF('5月'!ED26:EE26,"六本木ー夜勤")+COUNTIF('5月'!EI26:EJ26,"六本木ー夜勤")+COUNTIF('5月'!EN26:EO26,"六本木ー夜勤")+COUNTIF('5月'!ES26:ET26,"六本木ー夜勤")</f>
        <v>0</v>
      </c>
      <c r="K176" s="76">
        <f t="shared" si="52"/>
        <v>0</v>
      </c>
      <c r="L176" s="76">
        <f>COUNTIF('5月'!D26:E26,L$152)+COUNTIF('5月'!I26:J26,L$152)+COUNTIF('5月'!N26:O26,L$152)+COUNTIF('5月'!S26:T26,L$152)+COUNTIF('5月'!X26:Y26,L$152)+COUNTIF('5月'!AC26:AD26,L$152)+COUNTIF('5月'!AH26:AI26,L$152)+COUNTIF('5月'!AM26:AN26,L$152)+COUNTIF('5月'!AR26:AS26,L$152)+COUNTIF('5月'!AW26:AX26,L$152)+COUNTIF('5月'!BB26:BC26,L$152)+COUNTIF('5月'!BG26:BH26,L$152)+COUNTIF('5月'!BL26:BM26,L$152)+COUNTIF('5月'!BQ26:BR26,L$152)+COUNTIF('5月'!BV26:BW26,L$152)+COUNTIF('5月'!CA26:CB26,L$152)+COUNTIF('5月'!CF26:CG26,L$152)+COUNTIF('5月'!CK26:CL26,L$152)+COUNTIF('5月'!CP26:CQ26,L$152)+COUNTIF('5月'!CU26:CV26,L$152)+COUNTIF('5月'!CZ26:DA26,L$152)+COUNTIF('5月'!DE26:DF26,L$152)+COUNTIF('5月'!DJ26:DK26,L$152)+COUNTIF('5月'!DO26:DP26,L$152)+COUNTIF('5月'!DT26:DU26,L$152)+COUNTIF('5月'!DY26:DZ26,L$152)+COUNTIF('5月'!ED26:EE26,L$152)+COUNTIF('5月'!EI26:EJ26,L$152)+COUNTIF('5月'!EN26:EO26,L$152)+COUNTIF('5月'!ES26:ET26,L$152)</f>
        <v>0</v>
      </c>
      <c r="M176" s="76">
        <f t="shared" si="53"/>
        <v>0</v>
      </c>
      <c r="N176" s="76">
        <f>COUNTIF('5月'!D26:E26,N$152)+COUNTIF('5月'!I26:J26,N$152)+COUNTIF('5月'!N26:O26,N$152)+COUNTIF('5月'!S26:T26,N$152)+COUNTIF('5月'!X26:Y26,N$152)+COUNTIF('5月'!AC26:AD26,N$152)+COUNTIF('5月'!AH26:AI26,N$152)+COUNTIF('5月'!AM26:AN26,N$152)+COUNTIF('5月'!AR26:AS26,N$152)+COUNTIF('5月'!AW26:AX26,N$152)+COUNTIF('5月'!BB26:BC26,N$152)+COUNTIF('5月'!BG26:BH26,N$152)+COUNTIF('5月'!BL26:BM26,N$152)+COUNTIF('5月'!BQ26:BR26,N$152)+COUNTIF('5月'!BV26:BW26,N$152)+COUNTIF('5月'!CA26:CB26,N$152)+COUNTIF('5月'!CF26:CG26,N$152)+COUNTIF('5月'!CK26:CL26,N$152)+COUNTIF('5月'!CP26:CQ26,N$152)+COUNTIF('5月'!CU26:CV26,N$152)+COUNTIF('5月'!CZ26:DA26,N$152)+COUNTIF('5月'!DE26:DF26,N$152)+COUNTIF('5月'!DJ26:DK26,N$152)+COUNTIF('5月'!DO26:DP26,N$152)+COUNTIF('5月'!DT26:DU26,N$152)+COUNTIF('5月'!DY26:DZ26,N$152)+COUNTIF('5月'!ED26:EE26,N$152)+COUNTIF('5月'!EI26:EJ26,N$152)+COUNTIF('5月'!EN26:EO26,N$152)+COUNTIF('5月'!ES26:ET26,N$152)+COUNTIF('5月'!D26:E26,"三軒茶屋－夜勤")+COUNTIF('5月'!I26:J26,"三軒茶屋－夜勤")+COUNTIF('5月'!N26:O26,"三軒茶屋－夜勤")+COUNTIF('5月'!S26:T26,"三軒茶屋－夜勤")+COUNTIF('5月'!X26:Y26,"三軒茶屋－夜勤")+COUNTIF('5月'!AC26:AD26,"三軒茶屋－夜勤")+COUNTIF('5月'!AH26:AI26,"三軒茶屋－夜勤")+COUNTIF('5月'!AM26:AN26,"三軒茶屋－夜勤")+COUNTIF('5月'!AR26:AS26,"三軒茶屋－夜勤")+COUNTIF('5月'!AW26:AX26,"三軒茶屋－夜勤")+COUNTIF('5月'!BB26:BC26,"三軒茶屋－夜勤")+COUNTIF('5月'!BG26:BH26,"三軒茶屋－夜勤")+COUNTIF('5月'!BL26:BM26,"三軒茶屋－夜勤")+COUNTIF('5月'!BQ26:BR26,"三軒茶屋－夜勤")+COUNTIF('5月'!BV26:BW26,"三軒茶屋－夜勤")+COUNTIF('5月'!CA26:CB26,"三軒茶屋－夜勤")+COUNTIF('5月'!CF26:CG26,"三軒茶屋－夜勤")+COUNTIF('5月'!CK26:CL26,"三軒茶屋－夜勤")+COUNTIF('5月'!CP26:CQ26,"三軒茶屋－夜勤")+COUNTIF('5月'!CU26:CV26,"三軒茶屋－夜勤")+COUNTIF('5月'!CZ26:DA26,"三軒茶屋－夜勤")+COUNTIF('5月'!DE26:DF26,"三軒茶屋－夜勤")+COUNTIF('5月'!DJ26:DK26,"三軒茶屋－夜勤")+COUNTIF('5月'!DO26:DP26,"三軒茶屋－夜勤")+COUNTIF('5月'!DT26:DU26,"三軒茶屋－夜勤")+COUNTIF('5月'!DY26:DZ26,"三軒茶屋－夜勤")+COUNTIF('5月'!ED26:EE26,"三軒茶屋－夜勤")+COUNTIF('5月'!EI26:EJ26,"三軒茶屋－夜勤")+COUNTIF('5月'!EN26:EO26,"三軒茶屋－夜勤")+COUNTIF('5月'!ES26:ET26,"三軒茶屋－夜勤")</f>
        <v>0</v>
      </c>
      <c r="O176" s="76">
        <f t="shared" si="54"/>
        <v>0</v>
      </c>
      <c r="P176" s="76">
        <f>COUNTIF('5月'!D26:E26,P$152)+COUNTIF('5月'!I26:J26,P$152)+COUNTIF('5月'!N26:O26,P$152)+COUNTIF('5月'!S26:T26,P$152)+COUNTIF('5月'!X26:Y26,P$152)+COUNTIF('5月'!AC26:AD26,P$152)+COUNTIF('5月'!AH26:AI26,P$152)+COUNTIF('5月'!AM26:AN26,P$152)+COUNTIF('5月'!AR26:AS26,P$152)+COUNTIF('5月'!AW26:AX26,P$152)+COUNTIF('5月'!BB26:BC26,P$152)+COUNTIF('5月'!BG26:BH26,P$152)+COUNTIF('5月'!BL26:BM26,P$152)+COUNTIF('5月'!BQ26:BR26,P$152)+COUNTIF('5月'!BV26:BW26,P$152)+COUNTIF('5月'!CA26:CB26,P$152)+COUNTIF('5月'!CF26:CG26,P$152)+COUNTIF('5月'!CK26:CL26,P$152)+COUNTIF('5月'!CP26:CQ26,P$152)+COUNTIF('5月'!CU26:CV26,P$152)+COUNTIF('5月'!CZ26:DA26,P$152)+COUNTIF('5月'!DE26:DF26,P$152)+COUNTIF('5月'!DJ26:DK26,P$152)+COUNTIF('5月'!DO26:DP26,P$152)+COUNTIF('5月'!DT26:DU26,P$152)+COUNTIF('5月'!DY26:DZ26,P$152)+COUNTIF('5月'!ED26:EE26,P$152)+COUNTIF('5月'!EI26:EJ26,P$152)+COUNTIF('5月'!EN26:EO26,P$152)+COUNTIF('5月'!ES26:ET26,P$152)+COUNTIF('5月'!D26:E26,"荻窪ー夜勤")+COUNTIF('5月'!I26:J26,"荻窪ー夜勤")+COUNTIF('5月'!N26:O26,"荻窪ー夜勤")+COUNTIF('5月'!S26:T26,"荻窪ー夜勤")+COUNTIF('5月'!X26:Y26,"荻窪ー夜勤")+COUNTIF('5月'!AC26:AD26,"荻窪ー夜勤")+COUNTIF('5月'!AH26:AI26,"荻窪ー夜勤")+COUNTIF('5月'!AM26:AN26,"荻窪ー夜勤")+COUNTIF('5月'!AR26:AS26,"荻窪ー夜勤")+COUNTIF('5月'!AW26:AX26,"荻窪ー夜勤")+COUNTIF('5月'!BB26:BC26,"荻窪ー夜勤")+COUNTIF('5月'!BG26:BH26,"荻窪ー夜勤")+COUNTIF('5月'!BL26:BM26,"荻窪ー夜勤")+COUNTIF('5月'!BQ26:BR26,"荻窪ー夜勤")+COUNTIF('5月'!BV26:BW26,"荻窪ー夜勤")+COUNTIF('5月'!CA26:CB26,"荻窪ー夜勤")+COUNTIF('5月'!CF26:CG26,"荻窪ー夜勤")+COUNTIF('5月'!CK26:CL26,"荻窪ー夜勤")+COUNTIF('5月'!CP26:CQ26,"荻窪ー夜勤")+COUNTIF('5月'!CU26:CV26,"荻窪ー夜勤")+COUNTIF('5月'!CZ26:DA26,"荻窪ー夜勤")+COUNTIF('5月'!DE26:DF26,"荻窪ー夜勤")+COUNTIF('5月'!DJ26:DK26,"荻窪ー夜勤")+COUNTIF('5月'!DO26:DP26,"荻窪ー夜勤")+COUNTIF('5月'!DT26:DU26,"荻窪ー夜勤")+COUNTIF('5月'!DY26:DZ26,"荻窪ー夜勤")+COUNTIF('5月'!ED26:EE26,"荻窪ー夜勤")+COUNTIF('5月'!EI26:EJ26,"荻窪ー夜勤")+COUNTIF('5月'!EN26:EO26,"荻窪ー夜勤")+COUNTIF('5月'!ES26:ET26,"荻窪ー夜勤")</f>
        <v>0</v>
      </c>
      <c r="Q176" s="76">
        <f t="shared" si="55"/>
        <v>0</v>
      </c>
      <c r="R176" s="76">
        <f>COUNTIF('5月'!D26:E26,R$152)+COUNTIF('5月'!I26:J26,R$152)+COUNTIF('5月'!N26:O26,R$152)+COUNTIF('5月'!S26:T26,R$152)+COUNTIF('5月'!X26:Y26,R$152)+COUNTIF('5月'!AC26:AD26,R$152)+COUNTIF('5月'!AH26:AI26,R$152)+COUNTIF('5月'!AM26:AN26,R$152)+COUNTIF('5月'!AR26:AS26,R$152)+COUNTIF('5月'!AW26:AX26,R$152)+COUNTIF('5月'!BB26:BC26,R$152)+COUNTIF('5月'!BG26:BH26,R$152)+COUNTIF('5月'!BL26:BM26,R$152)+COUNTIF('5月'!BQ26:BR26,R$152)+COUNTIF('5月'!BV26:BW26,R$152)+COUNTIF('5月'!CA26:CB26,R$152)+COUNTIF('5月'!CF26:CG26,R$152)+COUNTIF('5月'!CK26:CL26,R$152)+COUNTIF('5月'!CP26:CQ26,R$152)+COUNTIF('5月'!CU26:CV26,R$152)+COUNTIF('5月'!CZ26:DA26,R$152)+COUNTIF('5月'!DE26:DF26,R$152)+COUNTIF('5月'!DJ26:DK26,R$152)+COUNTIF('5月'!DO26:DP26,R$152)+COUNTIF('5月'!DT26:DU26,R$152)+COUNTIF('5月'!DY26:DZ26,R$152)+COUNTIF('5月'!ED26:EE26,R$152)+COUNTIF('5月'!EI26:EJ26,R$152)+COUNTIF('5月'!EN26:EO26,R$152)+COUNTIF('5月'!ES26:ET26,R$152)</f>
        <v>0</v>
      </c>
      <c r="S176" s="76">
        <f t="shared" si="56"/>
        <v>0</v>
      </c>
      <c r="T176" s="76">
        <f>COUNTIF('5月'!D26:E26,T$152)+COUNTIF('5月'!I26:J26,T$152)+COUNTIF('5月'!N26:O26,T$152)+COUNTIF('5月'!S26:T26,T$152)+COUNTIF('5月'!X26:Y26,T$152)+COUNTIF('5月'!AC26:AD26,T$152)+COUNTIF('5月'!AH26:AI26,T$152)+COUNTIF('5月'!AM26:AN26,T$152)+COUNTIF('5月'!AR26:AS26,T$152)+COUNTIF('5月'!AW26:AX26,T$152)+COUNTIF('5月'!BB26:BC26,T$152)+COUNTIF('5月'!BG26:BH26,T$152)+COUNTIF('5月'!BL26:BM26,T$152)+COUNTIF('5月'!BQ26:BR26,T$152)+COUNTIF('5月'!BV26:BW26,T$152)+COUNTIF('5月'!CA26:CB26,T$152)+COUNTIF('5月'!CF26:CG26,T$152)+COUNTIF('5月'!CK26:CL26,T$152)+COUNTIF('5月'!CP26:CQ26,T$152)+COUNTIF('5月'!CU26:CV26,T$152)+COUNTIF('5月'!CZ26:DA26,T$152)+COUNTIF('5月'!DE26:DF26,T$152)+COUNTIF('5月'!DJ26:DK26,T$152)+COUNTIF('5月'!DO26:DP26,T$152)+COUNTIF('5月'!DT26:DU26,T$152)+COUNTIF('5月'!DY26:DZ26,T$152)+COUNTIF('5月'!ED26:EE26,T$152)+COUNTIF('5月'!EI26:EJ26,T$152)+COUNTIF('5月'!EN26:EO26,T$152)+COUNTIF('5月'!ES26:ET26,T$152)</f>
        <v>0</v>
      </c>
      <c r="U176" s="76">
        <f t="shared" si="57"/>
        <v>0</v>
      </c>
      <c r="V176" s="76">
        <f>COUNTIF('5月'!D26:E26,V$152)+COUNTIF('5月'!I26:J26,V$152)+COUNTIF('5月'!N26:O26,V$152)+COUNTIF('5月'!S26:T26,V$152)+COUNTIF('5月'!X26:Y26,V$152)+COUNTIF('5月'!AC26:AD26,V$152)+COUNTIF('5月'!AH26:AI26,V$152)+COUNTIF('5月'!AM26:AN26,V$152)+COUNTIF('5月'!AR26:AS26,V$152)+COUNTIF('5月'!AW26:AX26,V$152)+COUNTIF('5月'!BB26:BC26,V$152)+COUNTIF('5月'!BG26:BH26,V$152)+COUNTIF('5月'!BL26:BM26,V$152)+COUNTIF('5月'!BQ26:BR26,V$152)+COUNTIF('5月'!BV26:BW26,V$152)+COUNTIF('5月'!CA26:CB26,V$152)+COUNTIF('5月'!CF26:CG26,V$152)+COUNTIF('5月'!CK26:CL26,V$152)+COUNTIF('5月'!CP26:CQ26,V$152)+COUNTIF('5月'!CU26:CV26,V$152)+COUNTIF('5月'!CZ26:DA26,V$152)+COUNTIF('5月'!DE26:DF26,V$152)+COUNTIF('5月'!DJ26:DK26,V$152)+COUNTIF('5月'!DO26:DP26,V$152)+COUNTIF('5月'!DT26:DU26,V$152)+COUNTIF('5月'!DY26:DZ26,V$152)+COUNTIF('5月'!ED26:EE26,V$152)+COUNTIF('5月'!EI26:EJ26,V$152)+COUNTIF('5月'!EN26:EO26,V$152)+COUNTIF('5月'!ES26:ET26,V$152)</f>
        <v>0</v>
      </c>
      <c r="W176" s="76">
        <f t="shared" si="58"/>
        <v>0</v>
      </c>
      <c r="X176" s="76">
        <f>COUNTIF('5月'!D26:E26,X$152)+COUNTIF('5月'!I26:J26,X$152)+COUNTIF('5月'!N26:O26,X$152)+COUNTIF('5月'!S26:T26,X$152)+COUNTIF('5月'!X26:Y26,X$152)+COUNTIF('5月'!AC26:AD26,X$152)+COUNTIF('5月'!AH26:AI26,X$152)+COUNTIF('5月'!AM26:AN26,X$152)+COUNTIF('5月'!AR26:AS26,X$152)+COUNTIF('5月'!AW26:AX26,X$152)+COUNTIF('5月'!BB26:BC26,X$152)+COUNTIF('5月'!BG26:BH26,X$152)+COUNTIF('5月'!BL26:BM26,X$152)+COUNTIF('5月'!BQ26:BR26,X$152)+COUNTIF('5月'!BV26:BW26,X$152)+COUNTIF('5月'!CA26:CB26,X$152)+COUNTIF('5月'!CF26:CG26,X$152)+COUNTIF('5月'!CK26:CL26,X$152)+COUNTIF('5月'!CP26:CQ26,X$152)+COUNTIF('5月'!CU26:CV26,X$152)+COUNTIF('5月'!CZ26:DA26,X$152)+COUNTIF('5月'!DE26:DF26,X$152)+COUNTIF('5月'!DJ26:DK26,X$152)+COUNTIF('5月'!DO26:DP26,X$152)+COUNTIF('5月'!DT26:DU26,X$152)+COUNTIF('5月'!DY26:DZ26,X$152)+COUNTIF('5月'!ED26:EE26,X$152)+COUNTIF('5月'!EI26:EJ26,X$152)+COUNTIF('5月'!EN26:EO26,X$152)+COUNTIF('5月'!ES26:ET26,X$152)</f>
        <v>0</v>
      </c>
      <c r="Y176" s="76">
        <f t="shared" si="59"/>
        <v>0</v>
      </c>
    </row>
    <row r="177" spans="1:25" ht="18" customHeight="1">
      <c r="A177" s="76">
        <v>24</v>
      </c>
      <c r="B177" s="76">
        <f>COUNTIF('5月'!D27:E27,B$152)+COUNTIF('5月'!I27:J27,B$152)+COUNTIF('5月'!N27:O27,B$152)+COUNTIF('5月'!S27:T27,B$152)+COUNTIF('5月'!X27:Y27,B$152)+COUNTIF('5月'!AC27:AD27,B$152)+COUNTIF('5月'!AH27:AI27,B$152)+COUNTIF('5月'!AM27:AN27,B$152)+COUNTIF('5月'!AR27:AS27,B$152)+COUNTIF('5月'!AW27:AX27,B$152)+COUNTIF('5月'!BB27:BC27,B$152)+COUNTIF('5月'!BG27:BH27,B$152)+COUNTIF('5月'!BL27:BM27,B$152)+COUNTIF('5月'!BQ27:BR27,B$152)+COUNTIF('5月'!BV27:BW27,B$152)+COUNTIF('5月'!CA27:CB27,B$152)+COUNTIF('5月'!CF27:CG27,B$152)+COUNTIF('5月'!CK27:CL27,B$152)+COUNTIF('5月'!CP27:CQ27,B$152)+COUNTIF('5月'!CU27:CV27,B$152)+COUNTIF('5月'!CZ27:DA27,B$152)+COUNTIF('5月'!DE27:DF27,B$152)+COUNTIF('5月'!DJ27:DK27,B$152)+COUNTIF('5月'!DO27:DP27,B$152)+COUNTIF('5月'!DT27:DU27,B$152)+COUNTIF('5月'!DY27:DZ27,B$152)+COUNTIF('5月'!ED27:EE27,B$152)+COUNTIF('5月'!EI27:EJ27,B$152)+COUNTIF('5月'!EN27:EO27,B$152)+COUNTIF('5月'!ES27:ET27,B$152)</f>
        <v>0</v>
      </c>
      <c r="C177" s="76">
        <f t="shared" si="48"/>
        <v>0</v>
      </c>
      <c r="D177" s="76">
        <f>COUNTIF('5月'!D27:E27,D$152)+COUNTIF('5月'!I27:J27,D$152)+COUNTIF('5月'!N27:O27,D$152)+COUNTIF('5月'!S27:T27,D$152)+COUNTIF('5月'!X27:Y27,D$152)+COUNTIF('5月'!AC27:AD27,D$152)+COUNTIF('5月'!AH27:AI27,D$152)+COUNTIF('5月'!AM27:AN27,D$152)+COUNTIF('5月'!AR27:AS27,D$152)+COUNTIF('5月'!AW27:AX27,D$152)+COUNTIF('5月'!BB27:BC27,D$152)+COUNTIF('5月'!BG27:BH27,D$152)+COUNTIF('5月'!BL27:BM27,D$152)+COUNTIF('5月'!BQ27:BR27,D$152)+COUNTIF('5月'!BV27:BW27,D$152)+COUNTIF('5月'!CA27:CB27,D$152)+COUNTIF('5月'!CF27:CG27,D$152)+COUNTIF('5月'!CK27:CL27,D$152)+COUNTIF('5月'!CP27:CQ27,D$152)+COUNTIF('5月'!CU27:CV27,D$152)+COUNTIF('5月'!CZ27:DA27,D$152)+COUNTIF('5月'!DE27:DF27,D$152)+COUNTIF('5月'!DJ27:DK27,D$152)+COUNTIF('5月'!DO27:DP27,D$152)+COUNTIF('5月'!DT27:DU27,D$152)+COUNTIF('5月'!DY27:DZ27,D$152)+COUNTIF('5月'!ED27:EE27,D$152)+COUNTIF('5月'!EI27:EJ27,D$152)+COUNTIF('5月'!EN27:EO27,D$152)+COUNTIF('5月'!ES27:ET27,D$152)</f>
        <v>0</v>
      </c>
      <c r="E177" s="76">
        <f t="shared" si="49"/>
        <v>0</v>
      </c>
      <c r="F177" s="76">
        <f>COUNTIF('5月'!D27:E27,F$152)+COUNTIF('5月'!I27:J27,F$152)+COUNTIF('5月'!N27:O27,F$152)+COUNTIF('5月'!S27:T27,F$152)+COUNTIF('5月'!X27:Y27,F$152)+COUNTIF('5月'!AC27:AD27,F$152)+COUNTIF('5月'!AH27:AI27,F$152)+COUNTIF('5月'!AM27:AN27,F$152)+COUNTIF('5月'!AR27:AS27,F$152)+COUNTIF('5月'!AW27:AX27,F$152)+COUNTIF('5月'!BB27:BC27,F$152)+COUNTIF('5月'!BG27:BH27,F$152)+COUNTIF('5月'!BL27:BM27,F$152)+COUNTIF('5月'!BQ27:BR27,F$152)+COUNTIF('5月'!BV27:BW27,F$152)+COUNTIF('5月'!CA27:CB27,F$152)+COUNTIF('5月'!CF27:CG27,F$152)+COUNTIF('5月'!CK27:CL27,F$152)+COUNTIF('5月'!CP27:CQ27,F$152)+COUNTIF('5月'!CU27:CV27,F$152)+COUNTIF('5月'!CZ27:DA27,F$152)+COUNTIF('5月'!DE27:DF27,F$152)+COUNTIF('5月'!DJ27:DK27,F$152)+COUNTIF('5月'!DO27:DP27,F$152)+COUNTIF('5月'!DT27:DU27,F$152)+COUNTIF('5月'!DY27:DZ27,F$152)+COUNTIF('5月'!ED27:EE27,F$152)+COUNTIF('5月'!EI27:EJ27,F$152)+COUNTIF('5月'!EN27:EO27,F$152)+COUNTIF('5月'!ES27:ET27,F$152)</f>
        <v>0</v>
      </c>
      <c r="G177" s="76">
        <f t="shared" si="50"/>
        <v>0</v>
      </c>
      <c r="H177" s="76">
        <f>COUNTIF('5月'!D27:E27,H$152)+COUNTIF('5月'!I27:J27,H$152)+COUNTIF('5月'!N27:O27,H$152)+COUNTIF('5月'!S27:T27,H$152)+COUNTIF('5月'!X27:Y27,H$152)+COUNTIF('5月'!AC27:AD27,H$152)+COUNTIF('5月'!AH27:AI27,H$152)+COUNTIF('5月'!AM27:AN27,H$152)+COUNTIF('5月'!AR27:AS27,H$152)+COUNTIF('5月'!AW27:AX27,H$152)+COUNTIF('5月'!BB27:BC27,H$152)+COUNTIF('5月'!BG27:BH27,H$152)+COUNTIF('5月'!BL27:BM27,H$152)+COUNTIF('5月'!BQ27:BR27,H$152)+COUNTIF('5月'!BV27:BW27,H$152)+COUNTIF('5月'!CA27:CB27,H$152)+COUNTIF('5月'!CF27:CG27,H$152)+COUNTIF('5月'!CK27:CL27,H$152)+COUNTIF('5月'!CP27:CQ27,H$152)+COUNTIF('5月'!CU27:CV27,H$152)+COUNTIF('5月'!CZ27:DA27,H$152)+COUNTIF('5月'!DE27:DF27,H$152)+COUNTIF('5月'!DJ27:DK27,H$152)+COUNTIF('5月'!DO27:DP27,H$152)+COUNTIF('5月'!DT27:DU27,H$152)+COUNTIF('5月'!DY27:DZ27,H$152)+COUNTIF('5月'!ED27:EE27,H$152)+COUNTIF('5月'!EI27:EJ27,H$152)+COUNTIF('5月'!EN27:EO27,H$152)+COUNTIF('5月'!ES27:ET27,H$152)+COUNTIF('5月'!D27:E27,"渋谷-夜勤")+COUNTIF('5月'!I27:J27,"渋谷-夜勤")+COUNTIF('5月'!N27:O27,"渋谷-夜勤")+COUNTIF('5月'!S27:T27,"渋谷-夜勤")+COUNTIF('5月'!X27:Y27,"渋谷-夜勤")+COUNTIF('5月'!AC27:AD27,"渋谷-夜勤")+COUNTIF('5月'!AH27:AI27,"渋谷-夜勤")+COUNTIF('5月'!AM27:AN27,"渋谷-夜勤")+COUNTIF('5月'!AR27:AS27,"渋谷-夜勤")+COUNTIF('5月'!AW27:AX27,"渋谷-夜勤")+COUNTIF('5月'!BB27:BC27,"渋谷-夜勤")+COUNTIF('5月'!BG27:BH27,"渋谷-夜勤")+COUNTIF('5月'!BL27:BM27,"渋谷-夜勤")+COUNTIF('5月'!BQ27:BR27,"渋谷-夜勤")+COUNTIF('5月'!BV27:BW27,"渋谷-夜勤")+COUNTIF('5月'!CA27:CB27,"渋谷-夜勤")+COUNTIF('5月'!CF27:CG27,"渋谷-夜勤")+COUNTIF('5月'!CK27:CL27,"渋谷-夜勤")+COUNTIF('5月'!CP27:CQ27,"渋谷-夜勤")+COUNTIF('5月'!CU27:CV27,"渋谷-夜勤")+COUNTIF('5月'!CZ27:DA27,"渋谷-夜勤")+COUNTIF('5月'!DE27:DF27,"渋谷-夜勤")+COUNTIF('5月'!DJ27:DK27,"渋谷-夜勤")+COUNTIF('5月'!DO27:DP27,"渋谷-夜勤")+COUNTIF('5月'!DT27:DU27,"渋谷-夜勤")+COUNTIF('5月'!DY27:DZ27,"渋谷-夜勤")+COUNTIF('5月'!ED27:EE27,"渋谷-夜勤")+COUNTIF('5月'!EI27:EJ27,"渋谷-夜勤")+COUNTIF('5月'!EN27:EO27,"渋谷-夜勤")+COUNTIF('5月'!ES27:ET27,"渋谷-夜勤")</f>
        <v>0</v>
      </c>
      <c r="I177" s="76">
        <f t="shared" si="51"/>
        <v>0</v>
      </c>
      <c r="J177" s="76">
        <f>COUNTIF('5月'!D27:E27,J$152)+COUNTIF('5月'!I27:J27,J$152)+COUNTIF('5月'!N27:O27,J$152)+COUNTIF('5月'!S27:T27,J$152)+COUNTIF('5月'!X27:Y27,J$152)+COUNTIF('5月'!AC27:AD27,J$152)+COUNTIF('5月'!AH27:AI27,J$152)+COUNTIF('5月'!AM27:AN27,J$152)+COUNTIF('5月'!AR27:AS27,J$152)+COUNTIF('5月'!AW27:AX27,J$152)+COUNTIF('5月'!BB27:BC27,J$152)+COUNTIF('5月'!BG27:BH27,J$152)+COUNTIF('5月'!BL27:BM27,J$152)+COUNTIF('5月'!BQ27:BR27,J$152)+COUNTIF('5月'!BV27:BW27,J$152)+COUNTIF('5月'!CA27:CB27,J$152)+COUNTIF('5月'!CF27:CG27,J$152)+COUNTIF('5月'!CK27:CL27,J$152)+COUNTIF('5月'!CP27:CQ27,J$152)+COUNTIF('5月'!CU27:CV27,J$152)+COUNTIF('5月'!CZ27:DA27,J$152)+COUNTIF('5月'!DE27:DF27,J$152)+COUNTIF('5月'!DJ27:DK27,J$152)+COUNTIF('5月'!DO27:DP27,J$152)+COUNTIF('5月'!DT27:DU27,J$152)+COUNTIF('5月'!DY27:DZ27,J$152)+COUNTIF('5月'!ED27:EE27,J$152)+COUNTIF('5月'!EI27:EJ27,J$152)+COUNTIF('5月'!EN27:EO27,J$152)+COUNTIF('5月'!ES27:ET27,J$152)+COUNTIF('5月'!D27:E27,"六本木-夜勤")+COUNTIF('5月'!I27:J27,"六本木-夜勤")+COUNTIF('5月'!N27:O27,"六本木-夜勤")+COUNTIF('5月'!S27:T27,"六本木-夜勤")+COUNTIF('5月'!X27:Y27,"六本木-夜勤")+COUNTIF('5月'!AC27:AD27,"六本木-夜勤")+COUNTIF('5月'!AH27:AI27,"六本木-夜勤")+COUNTIF('5月'!AM27:AN27,"六本木-夜勤")+COUNTIF('5月'!AR27:AS27,"六本木-夜勤")+COUNTIF('5月'!AW27:AX27,"六本木-夜勤")+COUNTIF('5月'!BB27:BC27,"六本木-夜勤")+COUNTIF('5月'!BG27:BH27,"六本木-夜勤")+COUNTIF('5月'!BL27:BM27,"六本木-夜勤")+COUNTIF('5月'!BQ27:BR27,"六本木-夜勤")+COUNTIF('5月'!BV27:BW27,"六本木-夜勤")+COUNTIF('5月'!CA27:CB27,"六本木-夜勤")+COUNTIF('5月'!CF27:CG27,"六本木-夜勤")+COUNTIF('5月'!CK27:CL27,"六本木-夜勤")+COUNTIF('5月'!CP27:CQ27,"六本木-夜勤")+COUNTIF('5月'!CU27:CV27,"六本木-夜勤")+COUNTIF('5月'!CZ27:DA27,"六本木-夜勤")+COUNTIF('5月'!DE27:DF27,"六本木-夜勤")+COUNTIF('5月'!DJ27:DK27,"六本木-夜勤")+COUNTIF('5月'!DO27:DP27,"六本木-夜勤")+COUNTIF('5月'!DT27:DU27,"六本木-夜勤")+COUNTIF('5月'!DY27:DZ27,"六本木-夜勤")+COUNTIF('5月'!ED27:EE27,"六本木-夜勤")+COUNTIF('5月'!EI27:EJ27,"六本木-夜勤")+COUNTIF('5月'!EN27:EO27,"六本木-夜勤")+COUNTIF('5月'!ES27:ET27,"六本木-夜勤")+COUNTIF('5月'!D27:E27,"六本木ー夜勤")+COUNTIF('5月'!I27:J27,"六本木ー夜勤")+COUNTIF('5月'!N27:O27,"六本木ー夜勤")+COUNTIF('5月'!S27:T27,"六本木ー夜勤")+COUNTIF('5月'!X27:Y27,"六本木ー夜勤")+COUNTIF('5月'!AC27:AD27,"六本木ー夜勤")+COUNTIF('5月'!AH27:AI27,"六本木ー夜勤")+COUNTIF('5月'!AM27:AN27,"六本木ー夜勤")+COUNTIF('5月'!AR27:AS27,"六本木ー夜勤")+COUNTIF('5月'!AW27:AX27,"六本木ー夜勤")+COUNTIF('5月'!BB27:BC27,"六本木ー夜勤")+COUNTIF('5月'!BG27:BH27,"六本木ー夜勤")+COUNTIF('5月'!BL27:BM27,"六本木ー夜勤")+COUNTIF('5月'!BQ27:BR27,"六本木ー夜勤")+COUNTIF('5月'!BV27:BW27,"六本木ー夜勤")+COUNTIF('5月'!CA27:CB27,"六本木ー夜勤")+COUNTIF('5月'!CF27:CG27,"六本木ー夜勤")+COUNTIF('5月'!CK27:CL27,"六本木ー夜勤")+COUNTIF('5月'!CP27:CQ27,"六本木ー夜勤")+COUNTIF('5月'!CU27:CV27,"六本木ー夜勤")+COUNTIF('5月'!CZ27:DA27,"六本木ー夜勤")+COUNTIF('5月'!DE27:DF27,"六本木ー夜勤")+COUNTIF('5月'!DJ27:DK27,"六本木ー夜勤")+COUNTIF('5月'!DO27:DP27,"六本木ー夜勤")+COUNTIF('5月'!DT27:DU27,"六本木ー夜勤")+COUNTIF('5月'!DY27:DZ27,"六本木ー夜勤")+COUNTIF('5月'!ED27:EE27,"六本木ー夜勤")+COUNTIF('5月'!EI27:EJ27,"六本木ー夜勤")+COUNTIF('5月'!EN27:EO27,"六本木ー夜勤")+COUNTIF('5月'!ES27:ET27,"六本木ー夜勤")</f>
        <v>0</v>
      </c>
      <c r="K177" s="76">
        <f t="shared" si="52"/>
        <v>0</v>
      </c>
      <c r="L177" s="76">
        <f>COUNTIF('5月'!D27:E27,L$152)+COUNTIF('5月'!I27:J27,L$152)+COUNTIF('5月'!N27:O27,L$152)+COUNTIF('5月'!S27:T27,L$152)+COUNTIF('5月'!X27:Y27,L$152)+COUNTIF('5月'!AC27:AD27,L$152)+COUNTIF('5月'!AH27:AI27,L$152)+COUNTIF('5月'!AM27:AN27,L$152)+COUNTIF('5月'!AR27:AS27,L$152)+COUNTIF('5月'!AW27:AX27,L$152)+COUNTIF('5月'!BB27:BC27,L$152)+COUNTIF('5月'!BG27:BH27,L$152)+COUNTIF('5月'!BL27:BM27,L$152)+COUNTIF('5月'!BQ27:BR27,L$152)+COUNTIF('5月'!BV27:BW27,L$152)+COUNTIF('5月'!CA27:CB27,L$152)+COUNTIF('5月'!CF27:CG27,L$152)+COUNTIF('5月'!CK27:CL27,L$152)+COUNTIF('5月'!CP27:CQ27,L$152)+COUNTIF('5月'!CU27:CV27,L$152)+COUNTIF('5月'!CZ27:DA27,L$152)+COUNTIF('5月'!DE27:DF27,L$152)+COUNTIF('5月'!DJ27:DK27,L$152)+COUNTIF('5月'!DO27:DP27,L$152)+COUNTIF('5月'!DT27:DU27,L$152)+COUNTIF('5月'!DY27:DZ27,L$152)+COUNTIF('5月'!ED27:EE27,L$152)+COUNTIF('5月'!EI27:EJ27,L$152)+COUNTIF('5月'!EN27:EO27,L$152)+COUNTIF('5月'!ES27:ET27,L$152)</f>
        <v>0</v>
      </c>
      <c r="M177" s="76">
        <f t="shared" si="53"/>
        <v>0</v>
      </c>
      <c r="N177" s="76">
        <f>COUNTIF('5月'!D27:E27,N$152)+COUNTIF('5月'!I27:J27,N$152)+COUNTIF('5月'!N27:O27,N$152)+COUNTIF('5月'!S27:T27,N$152)+COUNTIF('5月'!X27:Y27,N$152)+COUNTIF('5月'!AC27:AD27,N$152)+COUNTIF('5月'!AH27:AI27,N$152)+COUNTIF('5月'!AM27:AN27,N$152)+COUNTIF('5月'!AR27:AS27,N$152)+COUNTIF('5月'!AW27:AX27,N$152)+COUNTIF('5月'!BB27:BC27,N$152)+COUNTIF('5月'!BG27:BH27,N$152)+COUNTIF('5月'!BL27:BM27,N$152)+COUNTIF('5月'!BQ27:BR27,N$152)+COUNTIF('5月'!BV27:BW27,N$152)+COUNTIF('5月'!CA27:CB27,N$152)+COUNTIF('5月'!CF27:CG27,N$152)+COUNTIF('5月'!CK27:CL27,N$152)+COUNTIF('5月'!CP27:CQ27,N$152)+COUNTIF('5月'!CU27:CV27,N$152)+COUNTIF('5月'!CZ27:DA27,N$152)+COUNTIF('5月'!DE27:DF27,N$152)+COUNTIF('5月'!DJ27:DK27,N$152)+COUNTIF('5月'!DO27:DP27,N$152)+COUNTIF('5月'!DT27:DU27,N$152)+COUNTIF('5月'!DY27:DZ27,N$152)+COUNTIF('5月'!ED27:EE27,N$152)+COUNTIF('5月'!EI27:EJ27,N$152)+COUNTIF('5月'!EN27:EO27,N$152)+COUNTIF('5月'!ES27:ET27,N$152)+COUNTIF('5月'!D27:E27,"三軒茶屋－夜勤")+COUNTIF('5月'!I27:J27,"三軒茶屋－夜勤")+COUNTIF('5月'!N27:O27,"三軒茶屋－夜勤")+COUNTIF('5月'!S27:T27,"三軒茶屋－夜勤")+COUNTIF('5月'!X27:Y27,"三軒茶屋－夜勤")+COUNTIF('5月'!AC27:AD27,"三軒茶屋－夜勤")+COUNTIF('5月'!AH27:AI27,"三軒茶屋－夜勤")+COUNTIF('5月'!AM27:AN27,"三軒茶屋－夜勤")+COUNTIF('5月'!AR27:AS27,"三軒茶屋－夜勤")+COUNTIF('5月'!AW27:AX27,"三軒茶屋－夜勤")+COUNTIF('5月'!BB27:BC27,"三軒茶屋－夜勤")+COUNTIF('5月'!BG27:BH27,"三軒茶屋－夜勤")+COUNTIF('5月'!BL27:BM27,"三軒茶屋－夜勤")+COUNTIF('5月'!BQ27:BR27,"三軒茶屋－夜勤")+COUNTIF('5月'!BV27:BW27,"三軒茶屋－夜勤")+COUNTIF('5月'!CA27:CB27,"三軒茶屋－夜勤")+COUNTIF('5月'!CF27:CG27,"三軒茶屋－夜勤")+COUNTIF('5月'!CK27:CL27,"三軒茶屋－夜勤")+COUNTIF('5月'!CP27:CQ27,"三軒茶屋－夜勤")+COUNTIF('5月'!CU27:CV27,"三軒茶屋－夜勤")+COUNTIF('5月'!CZ27:DA27,"三軒茶屋－夜勤")+COUNTIF('5月'!DE27:DF27,"三軒茶屋－夜勤")+COUNTIF('5月'!DJ27:DK27,"三軒茶屋－夜勤")+COUNTIF('5月'!DO27:DP27,"三軒茶屋－夜勤")+COUNTIF('5月'!DT27:DU27,"三軒茶屋－夜勤")+COUNTIF('5月'!DY27:DZ27,"三軒茶屋－夜勤")+COUNTIF('5月'!ED27:EE27,"三軒茶屋－夜勤")+COUNTIF('5月'!EI27:EJ27,"三軒茶屋－夜勤")+COUNTIF('5月'!EN27:EO27,"三軒茶屋－夜勤")+COUNTIF('5月'!ES27:ET27,"三軒茶屋－夜勤")</f>
        <v>0</v>
      </c>
      <c r="O177" s="76">
        <f t="shared" si="54"/>
        <v>0</v>
      </c>
      <c r="P177" s="76">
        <f>COUNTIF('5月'!D27:E27,P$152)+COUNTIF('5月'!I27:J27,P$152)+COUNTIF('5月'!N27:O27,P$152)+COUNTIF('5月'!S27:T27,P$152)+COUNTIF('5月'!X27:Y27,P$152)+COUNTIF('5月'!AC27:AD27,P$152)+COUNTIF('5月'!AH27:AI27,P$152)+COUNTIF('5月'!AM27:AN27,P$152)+COUNTIF('5月'!AR27:AS27,P$152)+COUNTIF('5月'!AW27:AX27,P$152)+COUNTIF('5月'!BB27:BC27,P$152)+COUNTIF('5月'!BG27:BH27,P$152)+COUNTIF('5月'!BL27:BM27,P$152)+COUNTIF('5月'!BQ27:BR27,P$152)+COUNTIF('5月'!BV27:BW27,P$152)+COUNTIF('5月'!CA27:CB27,P$152)+COUNTIF('5月'!CF27:CG27,P$152)+COUNTIF('5月'!CK27:CL27,P$152)+COUNTIF('5月'!CP27:CQ27,P$152)+COUNTIF('5月'!CU27:CV27,P$152)+COUNTIF('5月'!CZ27:DA27,P$152)+COUNTIF('5月'!DE27:DF27,P$152)+COUNTIF('5月'!DJ27:DK27,P$152)+COUNTIF('5月'!DO27:DP27,P$152)+COUNTIF('5月'!DT27:DU27,P$152)+COUNTIF('5月'!DY27:DZ27,P$152)+COUNTIF('5月'!ED27:EE27,P$152)+COUNTIF('5月'!EI27:EJ27,P$152)+COUNTIF('5月'!EN27:EO27,P$152)+COUNTIF('5月'!ES27:ET27,P$152)+COUNTIF('5月'!D27:E27,"荻窪ー夜勤")+COUNTIF('5月'!I27:J27,"荻窪ー夜勤")+COUNTIF('5月'!N27:O27,"荻窪ー夜勤")+COUNTIF('5月'!S27:T27,"荻窪ー夜勤")+COUNTIF('5月'!X27:Y27,"荻窪ー夜勤")+COUNTIF('5月'!AC27:AD27,"荻窪ー夜勤")+COUNTIF('5月'!AH27:AI27,"荻窪ー夜勤")+COUNTIF('5月'!AM27:AN27,"荻窪ー夜勤")+COUNTIF('5月'!AR27:AS27,"荻窪ー夜勤")+COUNTIF('5月'!AW27:AX27,"荻窪ー夜勤")+COUNTIF('5月'!BB27:BC27,"荻窪ー夜勤")+COUNTIF('5月'!BG27:BH27,"荻窪ー夜勤")+COUNTIF('5月'!BL27:BM27,"荻窪ー夜勤")+COUNTIF('5月'!BQ27:BR27,"荻窪ー夜勤")+COUNTIF('5月'!BV27:BW27,"荻窪ー夜勤")+COUNTIF('5月'!CA27:CB27,"荻窪ー夜勤")+COUNTIF('5月'!CF27:CG27,"荻窪ー夜勤")+COUNTIF('5月'!CK27:CL27,"荻窪ー夜勤")+COUNTIF('5月'!CP27:CQ27,"荻窪ー夜勤")+COUNTIF('5月'!CU27:CV27,"荻窪ー夜勤")+COUNTIF('5月'!CZ27:DA27,"荻窪ー夜勤")+COUNTIF('5月'!DE27:DF27,"荻窪ー夜勤")+COUNTIF('5月'!DJ27:DK27,"荻窪ー夜勤")+COUNTIF('5月'!DO27:DP27,"荻窪ー夜勤")+COUNTIF('5月'!DT27:DU27,"荻窪ー夜勤")+COUNTIF('5月'!DY27:DZ27,"荻窪ー夜勤")+COUNTIF('5月'!ED27:EE27,"荻窪ー夜勤")+COUNTIF('5月'!EI27:EJ27,"荻窪ー夜勤")+COUNTIF('5月'!EN27:EO27,"荻窪ー夜勤")+COUNTIF('5月'!ES27:ET27,"荻窪ー夜勤")</f>
        <v>0</v>
      </c>
      <c r="Q177" s="76">
        <f t="shared" si="55"/>
        <v>0</v>
      </c>
      <c r="R177" s="76">
        <f>COUNTIF('5月'!D27:E27,R$152)+COUNTIF('5月'!I27:J27,R$152)+COUNTIF('5月'!N27:O27,R$152)+COUNTIF('5月'!S27:T27,R$152)+COUNTIF('5月'!X27:Y27,R$152)+COUNTIF('5月'!AC27:AD27,R$152)+COUNTIF('5月'!AH27:AI27,R$152)+COUNTIF('5月'!AM27:AN27,R$152)+COUNTIF('5月'!AR27:AS27,R$152)+COUNTIF('5月'!AW27:AX27,R$152)+COUNTIF('5月'!BB27:BC27,R$152)+COUNTIF('5月'!BG27:BH27,R$152)+COUNTIF('5月'!BL27:BM27,R$152)+COUNTIF('5月'!BQ27:BR27,R$152)+COUNTIF('5月'!BV27:BW27,R$152)+COUNTIF('5月'!CA27:CB27,R$152)+COUNTIF('5月'!CF27:CG27,R$152)+COUNTIF('5月'!CK27:CL27,R$152)+COUNTIF('5月'!CP27:CQ27,R$152)+COUNTIF('5月'!CU27:CV27,R$152)+COUNTIF('5月'!CZ27:DA27,R$152)+COUNTIF('5月'!DE27:DF27,R$152)+COUNTIF('5月'!DJ27:DK27,R$152)+COUNTIF('5月'!DO27:DP27,R$152)+COUNTIF('5月'!DT27:DU27,R$152)+COUNTIF('5月'!DY27:DZ27,R$152)+COUNTIF('5月'!ED27:EE27,R$152)+COUNTIF('5月'!EI27:EJ27,R$152)+COUNTIF('5月'!EN27:EO27,R$152)+COUNTIF('5月'!ES27:ET27,R$152)</f>
        <v>0</v>
      </c>
      <c r="S177" s="76">
        <f t="shared" si="56"/>
        <v>0</v>
      </c>
      <c r="T177" s="76">
        <f>COUNTIF('5月'!D27:E27,T$152)+COUNTIF('5月'!I27:J27,T$152)+COUNTIF('5月'!N27:O27,T$152)+COUNTIF('5月'!S27:T27,T$152)+COUNTIF('5月'!X27:Y27,T$152)+COUNTIF('5月'!AC27:AD27,T$152)+COUNTIF('5月'!AH27:AI27,T$152)+COUNTIF('5月'!AM27:AN27,T$152)+COUNTIF('5月'!AR27:AS27,T$152)+COUNTIF('5月'!AW27:AX27,T$152)+COUNTIF('5月'!BB27:BC27,T$152)+COUNTIF('5月'!BG27:BH27,T$152)+COUNTIF('5月'!BL27:BM27,T$152)+COUNTIF('5月'!BQ27:BR27,T$152)+COUNTIF('5月'!BV27:BW27,T$152)+COUNTIF('5月'!CA27:CB27,T$152)+COUNTIF('5月'!CF27:CG27,T$152)+COUNTIF('5月'!CK27:CL27,T$152)+COUNTIF('5月'!CP27:CQ27,T$152)+COUNTIF('5月'!CU27:CV27,T$152)+COUNTIF('5月'!CZ27:DA27,T$152)+COUNTIF('5月'!DE27:DF27,T$152)+COUNTIF('5月'!DJ27:DK27,T$152)+COUNTIF('5月'!DO27:DP27,T$152)+COUNTIF('5月'!DT27:DU27,T$152)+COUNTIF('5月'!DY27:DZ27,T$152)+COUNTIF('5月'!ED27:EE27,T$152)+COUNTIF('5月'!EI27:EJ27,T$152)+COUNTIF('5月'!EN27:EO27,T$152)+COUNTIF('5月'!ES27:ET27,T$152)</f>
        <v>0</v>
      </c>
      <c r="U177" s="76">
        <f t="shared" si="57"/>
        <v>0</v>
      </c>
      <c r="V177" s="76">
        <f>COUNTIF('5月'!D27:E27,V$152)+COUNTIF('5月'!I27:J27,V$152)+COUNTIF('5月'!N27:O27,V$152)+COUNTIF('5月'!S27:T27,V$152)+COUNTIF('5月'!X27:Y27,V$152)+COUNTIF('5月'!AC27:AD27,V$152)+COUNTIF('5月'!AH27:AI27,V$152)+COUNTIF('5月'!AM27:AN27,V$152)+COUNTIF('5月'!AR27:AS27,V$152)+COUNTIF('5月'!AW27:AX27,V$152)+COUNTIF('5月'!BB27:BC27,V$152)+COUNTIF('5月'!BG27:BH27,V$152)+COUNTIF('5月'!BL27:BM27,V$152)+COUNTIF('5月'!BQ27:BR27,V$152)+COUNTIF('5月'!BV27:BW27,V$152)+COUNTIF('5月'!CA27:CB27,V$152)+COUNTIF('5月'!CF27:CG27,V$152)+COUNTIF('5月'!CK27:CL27,V$152)+COUNTIF('5月'!CP27:CQ27,V$152)+COUNTIF('5月'!CU27:CV27,V$152)+COUNTIF('5月'!CZ27:DA27,V$152)+COUNTIF('5月'!DE27:DF27,V$152)+COUNTIF('5月'!DJ27:DK27,V$152)+COUNTIF('5月'!DO27:DP27,V$152)+COUNTIF('5月'!DT27:DU27,V$152)+COUNTIF('5月'!DY27:DZ27,V$152)+COUNTIF('5月'!ED27:EE27,V$152)+COUNTIF('5月'!EI27:EJ27,V$152)+COUNTIF('5月'!EN27:EO27,V$152)+COUNTIF('5月'!ES27:ET27,V$152)</f>
        <v>0</v>
      </c>
      <c r="W177" s="76">
        <f t="shared" si="58"/>
        <v>0</v>
      </c>
      <c r="X177" s="76">
        <f>COUNTIF('5月'!D27:E27,X$152)+COUNTIF('5月'!I27:J27,X$152)+COUNTIF('5月'!N27:O27,X$152)+COUNTIF('5月'!S27:T27,X$152)+COUNTIF('5月'!X27:Y27,X$152)+COUNTIF('5月'!AC27:AD27,X$152)+COUNTIF('5月'!AH27:AI27,X$152)+COUNTIF('5月'!AM27:AN27,X$152)+COUNTIF('5月'!AR27:AS27,X$152)+COUNTIF('5月'!AW27:AX27,X$152)+COUNTIF('5月'!BB27:BC27,X$152)+COUNTIF('5月'!BG27:BH27,X$152)+COUNTIF('5月'!BL27:BM27,X$152)+COUNTIF('5月'!BQ27:BR27,X$152)+COUNTIF('5月'!BV27:BW27,X$152)+COUNTIF('5月'!CA27:CB27,X$152)+COUNTIF('5月'!CF27:CG27,X$152)+COUNTIF('5月'!CK27:CL27,X$152)+COUNTIF('5月'!CP27:CQ27,X$152)+COUNTIF('5月'!CU27:CV27,X$152)+COUNTIF('5月'!CZ27:DA27,X$152)+COUNTIF('5月'!DE27:DF27,X$152)+COUNTIF('5月'!DJ27:DK27,X$152)+COUNTIF('5月'!DO27:DP27,X$152)+COUNTIF('5月'!DT27:DU27,X$152)+COUNTIF('5月'!DY27:DZ27,X$152)+COUNTIF('5月'!ED27:EE27,X$152)+COUNTIF('5月'!EI27:EJ27,X$152)+COUNTIF('5月'!EN27:EO27,X$152)+COUNTIF('5月'!ES27:ET27,X$152)</f>
        <v>0</v>
      </c>
      <c r="Y177" s="76">
        <f t="shared" si="59"/>
        <v>0</v>
      </c>
    </row>
    <row r="178" spans="1:25" ht="18" customHeight="1">
      <c r="A178" s="76">
        <v>25</v>
      </c>
      <c r="B178" s="76">
        <f>COUNTIF('5月'!D28:E28,B$152)+COUNTIF('5月'!I28:J28,B$152)+COUNTIF('5月'!N28:O28,B$152)+COUNTIF('5月'!S28:T28,B$152)+COUNTIF('5月'!X28:Y28,B$152)+COUNTIF('5月'!AC28:AD28,B$152)+COUNTIF('5月'!AH28:AI28,B$152)+COUNTIF('5月'!AM28:AN28,B$152)+COUNTIF('5月'!AR28:AS28,B$152)+COUNTIF('5月'!AW28:AX28,B$152)+COUNTIF('5月'!BB28:BC28,B$152)+COUNTIF('5月'!BG28:BH28,B$152)+COUNTIF('5月'!BL28:BM28,B$152)+COUNTIF('5月'!BQ28:BR28,B$152)+COUNTIF('5月'!BV28:BW28,B$152)+COUNTIF('5月'!CA28:CB28,B$152)+COUNTIF('5月'!CF28:CG28,B$152)+COUNTIF('5月'!CK28:CL28,B$152)+COUNTIF('5月'!CP28:CQ28,B$152)+COUNTIF('5月'!CU28:CV28,B$152)+COUNTIF('5月'!CZ28:DA28,B$152)+COUNTIF('5月'!DE28:DF28,B$152)+COUNTIF('5月'!DJ28:DK28,B$152)+COUNTIF('5月'!DO28:DP28,B$152)+COUNTIF('5月'!DT28:DU28,B$152)+COUNTIF('5月'!DY28:DZ28,B$152)+COUNTIF('5月'!ED28:EE28,B$152)+COUNTIF('5月'!EI28:EJ28,B$152)+COUNTIF('5月'!EN28:EO28,B$152)+COUNTIF('5月'!ES28:ET28,B$152)</f>
        <v>0</v>
      </c>
      <c r="C178" s="76">
        <f t="shared" si="48"/>
        <v>0</v>
      </c>
      <c r="D178" s="76">
        <f>COUNTIF('5月'!D28:E28,D$152)+COUNTIF('5月'!I28:J28,D$152)+COUNTIF('5月'!N28:O28,D$152)+COUNTIF('5月'!S28:T28,D$152)+COUNTIF('5月'!X28:Y28,D$152)+COUNTIF('5月'!AC28:AD28,D$152)+COUNTIF('5月'!AH28:AI28,D$152)+COUNTIF('5月'!AM28:AN28,D$152)+COUNTIF('5月'!AR28:AS28,D$152)+COUNTIF('5月'!AW28:AX28,D$152)+COUNTIF('5月'!BB28:BC28,D$152)+COUNTIF('5月'!BG28:BH28,D$152)+COUNTIF('5月'!BL28:BM28,D$152)+COUNTIF('5月'!BQ28:BR28,D$152)+COUNTIF('5月'!BV28:BW28,D$152)+COUNTIF('5月'!CA28:CB28,D$152)+COUNTIF('5月'!CF28:CG28,D$152)+COUNTIF('5月'!CK28:CL28,D$152)+COUNTIF('5月'!CP28:CQ28,D$152)+COUNTIF('5月'!CU28:CV28,D$152)+COUNTIF('5月'!CZ28:DA28,D$152)+COUNTIF('5月'!DE28:DF28,D$152)+COUNTIF('5月'!DJ28:DK28,D$152)+COUNTIF('5月'!DO28:DP28,D$152)+COUNTIF('5月'!DT28:DU28,D$152)+COUNTIF('5月'!DY28:DZ28,D$152)+COUNTIF('5月'!ED28:EE28,D$152)+COUNTIF('5月'!EI28:EJ28,D$152)+COUNTIF('5月'!EN28:EO28,D$152)+COUNTIF('5月'!ES28:ET28,D$152)</f>
        <v>0</v>
      </c>
      <c r="E178" s="76">
        <f t="shared" si="49"/>
        <v>0</v>
      </c>
      <c r="F178" s="76">
        <f>COUNTIF('5月'!D28:E28,F$152)+COUNTIF('5月'!I28:J28,F$152)+COUNTIF('5月'!N28:O28,F$152)+COUNTIF('5月'!S28:T28,F$152)+COUNTIF('5月'!X28:Y28,F$152)+COUNTIF('5月'!AC28:AD28,F$152)+COUNTIF('5月'!AH28:AI28,F$152)+COUNTIF('5月'!AM28:AN28,F$152)+COUNTIF('5月'!AR28:AS28,F$152)+COUNTIF('5月'!AW28:AX28,F$152)+COUNTIF('5月'!BB28:BC28,F$152)+COUNTIF('5月'!BG28:BH28,F$152)+COUNTIF('5月'!BL28:BM28,F$152)+COUNTIF('5月'!BQ28:BR28,F$152)+COUNTIF('5月'!BV28:BW28,F$152)+COUNTIF('5月'!CA28:CB28,F$152)+COUNTIF('5月'!CF28:CG28,F$152)+COUNTIF('5月'!CK28:CL28,F$152)+COUNTIF('5月'!CP28:CQ28,F$152)+COUNTIF('5月'!CU28:CV28,F$152)+COUNTIF('5月'!CZ28:DA28,F$152)+COUNTIF('5月'!DE28:DF28,F$152)+COUNTIF('5月'!DJ28:DK28,F$152)+COUNTIF('5月'!DO28:DP28,F$152)+COUNTIF('5月'!DT28:DU28,F$152)+COUNTIF('5月'!DY28:DZ28,F$152)+COUNTIF('5月'!ED28:EE28,F$152)+COUNTIF('5月'!EI28:EJ28,F$152)+COUNTIF('5月'!EN28:EO28,F$152)+COUNTIF('5月'!ES28:ET28,F$152)</f>
        <v>0</v>
      </c>
      <c r="G178" s="76">
        <f t="shared" si="50"/>
        <v>0</v>
      </c>
      <c r="H178" s="76">
        <f>COUNTIF('5月'!D28:E28,H$152)+COUNTIF('5月'!I28:J28,H$152)+COUNTIF('5月'!N28:O28,H$152)+COUNTIF('5月'!S28:T28,H$152)+COUNTIF('5月'!X28:Y28,H$152)+COUNTIF('5月'!AC28:AD28,H$152)+COUNTIF('5月'!AH28:AI28,H$152)+COUNTIF('5月'!AM28:AN28,H$152)+COUNTIF('5月'!AR28:AS28,H$152)+COUNTIF('5月'!AW28:AX28,H$152)+COUNTIF('5月'!BB28:BC28,H$152)+COUNTIF('5月'!BG28:BH28,H$152)+COUNTIF('5月'!BL28:BM28,H$152)+COUNTIF('5月'!BQ28:BR28,H$152)+COUNTIF('5月'!BV28:BW28,H$152)+COUNTIF('5月'!CA28:CB28,H$152)+COUNTIF('5月'!CF28:CG28,H$152)+COUNTIF('5月'!CK28:CL28,H$152)+COUNTIF('5月'!CP28:CQ28,H$152)+COUNTIF('5月'!CU28:CV28,H$152)+COUNTIF('5月'!CZ28:DA28,H$152)+COUNTIF('5月'!DE28:DF28,H$152)+COUNTIF('5月'!DJ28:DK28,H$152)+COUNTIF('5月'!DO28:DP28,H$152)+COUNTIF('5月'!DT28:DU28,H$152)+COUNTIF('5月'!DY28:DZ28,H$152)+COUNTIF('5月'!ED28:EE28,H$152)+COUNTIF('5月'!EI28:EJ28,H$152)+COUNTIF('5月'!EN28:EO28,H$152)+COUNTIF('5月'!ES28:ET28,H$152)+COUNTIF('5月'!D28:E28,"渋谷-夜勤")+COUNTIF('5月'!I28:J28,"渋谷-夜勤")+COUNTIF('5月'!N28:O28,"渋谷-夜勤")+COUNTIF('5月'!S28:T28,"渋谷-夜勤")+COUNTIF('5月'!X28:Y28,"渋谷-夜勤")+COUNTIF('5月'!AC28:AD28,"渋谷-夜勤")+COUNTIF('5月'!AH28:AI28,"渋谷-夜勤")+COUNTIF('5月'!AM28:AN28,"渋谷-夜勤")+COUNTIF('5月'!AR28:AS28,"渋谷-夜勤")+COUNTIF('5月'!AW28:AX28,"渋谷-夜勤")+COUNTIF('5月'!BB28:BC28,"渋谷-夜勤")+COUNTIF('5月'!BG28:BH28,"渋谷-夜勤")+COUNTIF('5月'!BL28:BM28,"渋谷-夜勤")+COUNTIF('5月'!BQ28:BR28,"渋谷-夜勤")+COUNTIF('5月'!BV28:BW28,"渋谷-夜勤")+COUNTIF('5月'!CA28:CB28,"渋谷-夜勤")+COUNTIF('5月'!CF28:CG28,"渋谷-夜勤")+COUNTIF('5月'!CK28:CL28,"渋谷-夜勤")+COUNTIF('5月'!CP28:CQ28,"渋谷-夜勤")+COUNTIF('5月'!CU28:CV28,"渋谷-夜勤")+COUNTIF('5月'!CZ28:DA28,"渋谷-夜勤")+COUNTIF('5月'!DE28:DF28,"渋谷-夜勤")+COUNTIF('5月'!DJ28:DK28,"渋谷-夜勤")+COUNTIF('5月'!DO28:DP28,"渋谷-夜勤")+COUNTIF('5月'!DT28:DU28,"渋谷-夜勤")+COUNTIF('5月'!DY28:DZ28,"渋谷-夜勤")+COUNTIF('5月'!ED28:EE28,"渋谷-夜勤")+COUNTIF('5月'!EI28:EJ28,"渋谷-夜勤")+COUNTIF('5月'!EN28:EO28,"渋谷-夜勤")+COUNTIF('5月'!ES28:ET28,"渋谷-夜勤")</f>
        <v>0</v>
      </c>
      <c r="I178" s="76">
        <f t="shared" si="51"/>
        <v>0</v>
      </c>
      <c r="J178" s="76">
        <f>COUNTIF('5月'!D28:E28,J$152)+COUNTIF('5月'!I28:J28,J$152)+COUNTIF('5月'!N28:O28,J$152)+COUNTIF('5月'!S28:T28,J$152)+COUNTIF('5月'!X28:Y28,J$152)+COUNTIF('5月'!AC28:AD28,J$152)+COUNTIF('5月'!AH28:AI28,J$152)+COUNTIF('5月'!AM28:AN28,J$152)+COUNTIF('5月'!AR28:AS28,J$152)+COUNTIF('5月'!AW28:AX28,J$152)+COUNTIF('5月'!BB28:BC28,J$152)+COUNTIF('5月'!BG28:BH28,J$152)+COUNTIF('5月'!BL28:BM28,J$152)+COUNTIF('5月'!BQ28:BR28,J$152)+COUNTIF('5月'!BV28:BW28,J$152)+COUNTIF('5月'!CA28:CB28,J$152)+COUNTIF('5月'!CF28:CG28,J$152)+COUNTIF('5月'!CK28:CL28,J$152)+COUNTIF('5月'!CP28:CQ28,J$152)+COUNTIF('5月'!CU28:CV28,J$152)+COUNTIF('5月'!CZ28:DA28,J$152)+COUNTIF('5月'!DE28:DF28,J$152)+COUNTIF('5月'!DJ28:DK28,J$152)+COUNTIF('5月'!DO28:DP28,J$152)+COUNTIF('5月'!DT28:DU28,J$152)+COUNTIF('5月'!DY28:DZ28,J$152)+COUNTIF('5月'!ED28:EE28,J$152)+COUNTIF('5月'!EI28:EJ28,J$152)+COUNTIF('5月'!EN28:EO28,J$152)+COUNTIF('5月'!ES28:ET28,J$152)+COUNTIF('5月'!D28:E28,"六本木-夜勤")+COUNTIF('5月'!I28:J28,"六本木-夜勤")+COUNTIF('5月'!N28:O28,"六本木-夜勤")+COUNTIF('5月'!S28:T28,"六本木-夜勤")+COUNTIF('5月'!X28:Y28,"六本木-夜勤")+COUNTIF('5月'!AC28:AD28,"六本木-夜勤")+COUNTIF('5月'!AH28:AI28,"六本木-夜勤")+COUNTIF('5月'!AM28:AN28,"六本木-夜勤")+COUNTIF('5月'!AR28:AS28,"六本木-夜勤")+COUNTIF('5月'!AW28:AX28,"六本木-夜勤")+COUNTIF('5月'!BB28:BC28,"六本木-夜勤")+COUNTIF('5月'!BG28:BH28,"六本木-夜勤")+COUNTIF('5月'!BL28:BM28,"六本木-夜勤")+COUNTIF('5月'!BQ28:BR28,"六本木-夜勤")+COUNTIF('5月'!BV28:BW28,"六本木-夜勤")+COUNTIF('5月'!CA28:CB28,"六本木-夜勤")+COUNTIF('5月'!CF28:CG28,"六本木-夜勤")+COUNTIF('5月'!CK28:CL28,"六本木-夜勤")+COUNTIF('5月'!CP28:CQ28,"六本木-夜勤")+COUNTIF('5月'!CU28:CV28,"六本木-夜勤")+COUNTIF('5月'!CZ28:DA28,"六本木-夜勤")+COUNTIF('5月'!DE28:DF28,"六本木-夜勤")+COUNTIF('5月'!DJ28:DK28,"六本木-夜勤")+COUNTIF('5月'!DO28:DP28,"六本木-夜勤")+COUNTIF('5月'!DT28:DU28,"六本木-夜勤")+COUNTIF('5月'!DY28:DZ28,"六本木-夜勤")+COUNTIF('5月'!ED28:EE28,"六本木-夜勤")+COUNTIF('5月'!EI28:EJ28,"六本木-夜勤")+COUNTIF('5月'!EN28:EO28,"六本木-夜勤")+COUNTIF('5月'!ES28:ET28,"六本木-夜勤")+COUNTIF('5月'!D28:E28,"六本木ー夜勤")+COUNTIF('5月'!I28:J28,"六本木ー夜勤")+COUNTIF('5月'!N28:O28,"六本木ー夜勤")+COUNTIF('5月'!S28:T28,"六本木ー夜勤")+COUNTIF('5月'!X28:Y28,"六本木ー夜勤")+COUNTIF('5月'!AC28:AD28,"六本木ー夜勤")+COUNTIF('5月'!AH28:AI28,"六本木ー夜勤")+COUNTIF('5月'!AM28:AN28,"六本木ー夜勤")+COUNTIF('5月'!AR28:AS28,"六本木ー夜勤")+COUNTIF('5月'!AW28:AX28,"六本木ー夜勤")+COUNTIF('5月'!BB28:BC28,"六本木ー夜勤")+COUNTIF('5月'!BG28:BH28,"六本木ー夜勤")+COUNTIF('5月'!BL28:BM28,"六本木ー夜勤")+COUNTIF('5月'!BQ28:BR28,"六本木ー夜勤")+COUNTIF('5月'!BV28:BW28,"六本木ー夜勤")+COUNTIF('5月'!CA28:CB28,"六本木ー夜勤")+COUNTIF('5月'!CF28:CG28,"六本木ー夜勤")+COUNTIF('5月'!CK28:CL28,"六本木ー夜勤")+COUNTIF('5月'!CP28:CQ28,"六本木ー夜勤")+COUNTIF('5月'!CU28:CV28,"六本木ー夜勤")+COUNTIF('5月'!CZ28:DA28,"六本木ー夜勤")+COUNTIF('5月'!DE28:DF28,"六本木ー夜勤")+COUNTIF('5月'!DJ28:DK28,"六本木ー夜勤")+COUNTIF('5月'!DO28:DP28,"六本木ー夜勤")+COUNTIF('5月'!DT28:DU28,"六本木ー夜勤")+COUNTIF('5月'!DY28:DZ28,"六本木ー夜勤")+COUNTIF('5月'!ED28:EE28,"六本木ー夜勤")+COUNTIF('5月'!EI28:EJ28,"六本木ー夜勤")+COUNTIF('5月'!EN28:EO28,"六本木ー夜勤")+COUNTIF('5月'!ES28:ET28,"六本木ー夜勤")</f>
        <v>0</v>
      </c>
      <c r="K178" s="76">
        <f t="shared" si="52"/>
        <v>0</v>
      </c>
      <c r="L178" s="76">
        <f>COUNTIF('5月'!D28:E28,L$152)+COUNTIF('5月'!I28:J28,L$152)+COUNTIF('5月'!N28:O28,L$152)+COUNTIF('5月'!S28:T28,L$152)+COUNTIF('5月'!X28:Y28,L$152)+COUNTIF('5月'!AC28:AD28,L$152)+COUNTIF('5月'!AH28:AI28,L$152)+COUNTIF('5月'!AM28:AN28,L$152)+COUNTIF('5月'!AR28:AS28,L$152)+COUNTIF('5月'!AW28:AX28,L$152)+COUNTIF('5月'!BB28:BC28,L$152)+COUNTIF('5月'!BG28:BH28,L$152)+COUNTIF('5月'!BL28:BM28,L$152)+COUNTIF('5月'!BQ28:BR28,L$152)+COUNTIF('5月'!BV28:BW28,L$152)+COUNTIF('5月'!CA28:CB28,L$152)+COUNTIF('5月'!CF28:CG28,L$152)+COUNTIF('5月'!CK28:CL28,L$152)+COUNTIF('5月'!CP28:CQ28,L$152)+COUNTIF('5月'!CU28:CV28,L$152)+COUNTIF('5月'!CZ28:DA28,L$152)+COUNTIF('5月'!DE28:DF28,L$152)+COUNTIF('5月'!DJ28:DK28,L$152)+COUNTIF('5月'!DO28:DP28,L$152)+COUNTIF('5月'!DT28:DU28,L$152)+COUNTIF('5月'!DY28:DZ28,L$152)+COUNTIF('5月'!ED28:EE28,L$152)+COUNTIF('5月'!EI28:EJ28,L$152)+COUNTIF('5月'!EN28:EO28,L$152)+COUNTIF('5月'!ES28:ET28,L$152)</f>
        <v>0</v>
      </c>
      <c r="M178" s="76">
        <f t="shared" si="53"/>
        <v>0</v>
      </c>
      <c r="N178" s="76">
        <f>COUNTIF('5月'!D28:E28,N$152)+COUNTIF('5月'!I28:J28,N$152)+COUNTIF('5月'!N28:O28,N$152)+COUNTIF('5月'!S28:T28,N$152)+COUNTIF('5月'!X28:Y28,N$152)+COUNTIF('5月'!AC28:AD28,N$152)+COUNTIF('5月'!AH28:AI28,N$152)+COUNTIF('5月'!AM28:AN28,N$152)+COUNTIF('5月'!AR28:AS28,N$152)+COUNTIF('5月'!AW28:AX28,N$152)+COUNTIF('5月'!BB28:BC28,N$152)+COUNTIF('5月'!BG28:BH28,N$152)+COUNTIF('5月'!BL28:BM28,N$152)+COUNTIF('5月'!BQ28:BR28,N$152)+COUNTIF('5月'!BV28:BW28,N$152)+COUNTIF('5月'!CA28:CB28,N$152)+COUNTIF('5月'!CF28:CG28,N$152)+COUNTIF('5月'!CK28:CL28,N$152)+COUNTIF('5月'!CP28:CQ28,N$152)+COUNTIF('5月'!CU28:CV28,N$152)+COUNTIF('5月'!CZ28:DA28,N$152)+COUNTIF('5月'!DE28:DF28,N$152)+COUNTIF('5月'!DJ28:DK28,N$152)+COUNTIF('5月'!DO28:DP28,N$152)+COUNTIF('5月'!DT28:DU28,N$152)+COUNTIF('5月'!DY28:DZ28,N$152)+COUNTIF('5月'!ED28:EE28,N$152)+COUNTIF('5月'!EI28:EJ28,N$152)+COUNTIF('5月'!EN28:EO28,N$152)+COUNTIF('5月'!ES28:ET28,N$152)+COUNTIF('5月'!D28:E28,"三軒茶屋－夜勤")+COUNTIF('5月'!I28:J28,"三軒茶屋－夜勤")+COUNTIF('5月'!N28:O28,"三軒茶屋－夜勤")+COUNTIF('5月'!S28:T28,"三軒茶屋－夜勤")+COUNTIF('5月'!X28:Y28,"三軒茶屋－夜勤")+COUNTIF('5月'!AC28:AD28,"三軒茶屋－夜勤")+COUNTIF('5月'!AH28:AI28,"三軒茶屋－夜勤")+COUNTIF('5月'!AM28:AN28,"三軒茶屋－夜勤")+COUNTIF('5月'!AR28:AS28,"三軒茶屋－夜勤")+COUNTIF('5月'!AW28:AX28,"三軒茶屋－夜勤")+COUNTIF('5月'!BB28:BC28,"三軒茶屋－夜勤")+COUNTIF('5月'!BG28:BH28,"三軒茶屋－夜勤")+COUNTIF('5月'!BL28:BM28,"三軒茶屋－夜勤")+COUNTIF('5月'!BQ28:BR28,"三軒茶屋－夜勤")+COUNTIF('5月'!BV28:BW28,"三軒茶屋－夜勤")+COUNTIF('5月'!CA28:CB28,"三軒茶屋－夜勤")+COUNTIF('5月'!CF28:CG28,"三軒茶屋－夜勤")+COUNTIF('5月'!CK28:CL28,"三軒茶屋－夜勤")+COUNTIF('5月'!CP28:CQ28,"三軒茶屋－夜勤")+COUNTIF('5月'!CU28:CV28,"三軒茶屋－夜勤")+COUNTIF('5月'!CZ28:DA28,"三軒茶屋－夜勤")+COUNTIF('5月'!DE28:DF28,"三軒茶屋－夜勤")+COUNTIF('5月'!DJ28:DK28,"三軒茶屋－夜勤")+COUNTIF('5月'!DO28:DP28,"三軒茶屋－夜勤")+COUNTIF('5月'!DT28:DU28,"三軒茶屋－夜勤")+COUNTIF('5月'!DY28:DZ28,"三軒茶屋－夜勤")+COUNTIF('5月'!ED28:EE28,"三軒茶屋－夜勤")+COUNTIF('5月'!EI28:EJ28,"三軒茶屋－夜勤")+COUNTIF('5月'!EN28:EO28,"三軒茶屋－夜勤")+COUNTIF('5月'!ES28:ET28,"三軒茶屋－夜勤")</f>
        <v>0</v>
      </c>
      <c r="O178" s="76">
        <f t="shared" si="54"/>
        <v>0</v>
      </c>
      <c r="P178" s="76">
        <f>COUNTIF('5月'!D28:E28,P$152)+COUNTIF('5月'!I28:J28,P$152)+COUNTIF('5月'!N28:O28,P$152)+COUNTIF('5月'!S28:T28,P$152)+COUNTIF('5月'!X28:Y28,P$152)+COUNTIF('5月'!AC28:AD28,P$152)+COUNTIF('5月'!AH28:AI28,P$152)+COUNTIF('5月'!AM28:AN28,P$152)+COUNTIF('5月'!AR28:AS28,P$152)+COUNTIF('5月'!AW28:AX28,P$152)+COUNTIF('5月'!BB28:BC28,P$152)+COUNTIF('5月'!BG28:BH28,P$152)+COUNTIF('5月'!BL28:BM28,P$152)+COUNTIF('5月'!BQ28:BR28,P$152)+COUNTIF('5月'!BV28:BW28,P$152)+COUNTIF('5月'!CA28:CB28,P$152)+COUNTIF('5月'!CF28:CG28,P$152)+COUNTIF('5月'!CK28:CL28,P$152)+COUNTIF('5月'!CP28:CQ28,P$152)+COUNTIF('5月'!CU28:CV28,P$152)+COUNTIF('5月'!CZ28:DA28,P$152)+COUNTIF('5月'!DE28:DF28,P$152)+COUNTIF('5月'!DJ28:DK28,P$152)+COUNTIF('5月'!DO28:DP28,P$152)+COUNTIF('5月'!DT28:DU28,P$152)+COUNTIF('5月'!DY28:DZ28,P$152)+COUNTIF('5月'!ED28:EE28,P$152)+COUNTIF('5月'!EI28:EJ28,P$152)+COUNTIF('5月'!EN28:EO28,P$152)+COUNTIF('5月'!ES28:ET28,P$152)+COUNTIF('5月'!D28:E28,"荻窪ー夜勤")+COUNTIF('5月'!I28:J28,"荻窪ー夜勤")+COUNTIF('5月'!N28:O28,"荻窪ー夜勤")+COUNTIF('5月'!S28:T28,"荻窪ー夜勤")+COUNTIF('5月'!X28:Y28,"荻窪ー夜勤")+COUNTIF('5月'!AC28:AD28,"荻窪ー夜勤")+COUNTIF('5月'!AH28:AI28,"荻窪ー夜勤")+COUNTIF('5月'!AM28:AN28,"荻窪ー夜勤")+COUNTIF('5月'!AR28:AS28,"荻窪ー夜勤")+COUNTIF('5月'!AW28:AX28,"荻窪ー夜勤")+COUNTIF('5月'!BB28:BC28,"荻窪ー夜勤")+COUNTIF('5月'!BG28:BH28,"荻窪ー夜勤")+COUNTIF('5月'!BL28:BM28,"荻窪ー夜勤")+COUNTIF('5月'!BQ28:BR28,"荻窪ー夜勤")+COUNTIF('5月'!BV28:BW28,"荻窪ー夜勤")+COUNTIF('5月'!CA28:CB28,"荻窪ー夜勤")+COUNTIF('5月'!CF28:CG28,"荻窪ー夜勤")+COUNTIF('5月'!CK28:CL28,"荻窪ー夜勤")+COUNTIF('5月'!CP28:CQ28,"荻窪ー夜勤")+COUNTIF('5月'!CU28:CV28,"荻窪ー夜勤")+COUNTIF('5月'!CZ28:DA28,"荻窪ー夜勤")+COUNTIF('5月'!DE28:DF28,"荻窪ー夜勤")+COUNTIF('5月'!DJ28:DK28,"荻窪ー夜勤")+COUNTIF('5月'!DO28:DP28,"荻窪ー夜勤")+COUNTIF('5月'!DT28:DU28,"荻窪ー夜勤")+COUNTIF('5月'!DY28:DZ28,"荻窪ー夜勤")+COUNTIF('5月'!ED28:EE28,"荻窪ー夜勤")+COUNTIF('5月'!EI28:EJ28,"荻窪ー夜勤")+COUNTIF('5月'!EN28:EO28,"荻窪ー夜勤")+COUNTIF('5月'!ES28:ET28,"荻窪ー夜勤")</f>
        <v>0</v>
      </c>
      <c r="Q178" s="76">
        <f t="shared" si="55"/>
        <v>0</v>
      </c>
      <c r="R178" s="76">
        <f>COUNTIF('5月'!D28:E28,R$152)+COUNTIF('5月'!I28:J28,R$152)+COUNTIF('5月'!N28:O28,R$152)+COUNTIF('5月'!S28:T28,R$152)+COUNTIF('5月'!X28:Y28,R$152)+COUNTIF('5月'!AC28:AD28,R$152)+COUNTIF('5月'!AH28:AI28,R$152)+COUNTIF('5月'!AM28:AN28,R$152)+COUNTIF('5月'!AR28:AS28,R$152)+COUNTIF('5月'!AW28:AX28,R$152)+COUNTIF('5月'!BB28:BC28,R$152)+COUNTIF('5月'!BG28:BH28,R$152)+COUNTIF('5月'!BL28:BM28,R$152)+COUNTIF('5月'!BQ28:BR28,R$152)+COUNTIF('5月'!BV28:BW28,R$152)+COUNTIF('5月'!CA28:CB28,R$152)+COUNTIF('5月'!CF28:CG28,R$152)+COUNTIF('5月'!CK28:CL28,R$152)+COUNTIF('5月'!CP28:CQ28,R$152)+COUNTIF('5月'!CU28:CV28,R$152)+COUNTIF('5月'!CZ28:DA28,R$152)+COUNTIF('5月'!DE28:DF28,R$152)+COUNTIF('5月'!DJ28:DK28,R$152)+COUNTIF('5月'!DO28:DP28,R$152)+COUNTIF('5月'!DT28:DU28,R$152)+COUNTIF('5月'!DY28:DZ28,R$152)+COUNTIF('5月'!ED28:EE28,R$152)+COUNTIF('5月'!EI28:EJ28,R$152)+COUNTIF('5月'!EN28:EO28,R$152)+COUNTIF('5月'!ES28:ET28,R$152)</f>
        <v>0</v>
      </c>
      <c r="S178" s="76">
        <f t="shared" si="56"/>
        <v>0</v>
      </c>
      <c r="T178" s="76">
        <f>COUNTIF('5月'!D28:E28,T$152)+COUNTIF('5月'!I28:J28,T$152)+COUNTIF('5月'!N28:O28,T$152)+COUNTIF('5月'!S28:T28,T$152)+COUNTIF('5月'!X28:Y28,T$152)+COUNTIF('5月'!AC28:AD28,T$152)+COUNTIF('5月'!AH28:AI28,T$152)+COUNTIF('5月'!AM28:AN28,T$152)+COUNTIF('5月'!AR28:AS28,T$152)+COUNTIF('5月'!AW28:AX28,T$152)+COUNTIF('5月'!BB28:BC28,T$152)+COUNTIF('5月'!BG28:BH28,T$152)+COUNTIF('5月'!BL28:BM28,T$152)+COUNTIF('5月'!BQ28:BR28,T$152)+COUNTIF('5月'!BV28:BW28,T$152)+COUNTIF('5月'!CA28:CB28,T$152)+COUNTIF('5月'!CF28:CG28,T$152)+COUNTIF('5月'!CK28:CL28,T$152)+COUNTIF('5月'!CP28:CQ28,T$152)+COUNTIF('5月'!CU28:CV28,T$152)+COUNTIF('5月'!CZ28:DA28,T$152)+COUNTIF('5月'!DE28:DF28,T$152)+COUNTIF('5月'!DJ28:DK28,T$152)+COUNTIF('5月'!DO28:DP28,T$152)+COUNTIF('5月'!DT28:DU28,T$152)+COUNTIF('5月'!DY28:DZ28,T$152)+COUNTIF('5月'!ED28:EE28,T$152)+COUNTIF('5月'!EI28:EJ28,T$152)+COUNTIF('5月'!EN28:EO28,T$152)+COUNTIF('5月'!ES28:ET28,T$152)</f>
        <v>0</v>
      </c>
      <c r="U178" s="76">
        <f t="shared" si="57"/>
        <v>0</v>
      </c>
      <c r="V178" s="76">
        <f>COUNTIF('5月'!D28:E28,V$152)+COUNTIF('5月'!I28:J28,V$152)+COUNTIF('5月'!N28:O28,V$152)+COUNTIF('5月'!S28:T28,V$152)+COUNTIF('5月'!X28:Y28,V$152)+COUNTIF('5月'!AC28:AD28,V$152)+COUNTIF('5月'!AH28:AI28,V$152)+COUNTIF('5月'!AM28:AN28,V$152)+COUNTIF('5月'!AR28:AS28,V$152)+COUNTIF('5月'!AW28:AX28,V$152)+COUNTIF('5月'!BB28:BC28,V$152)+COUNTIF('5月'!BG28:BH28,V$152)+COUNTIF('5月'!BL28:BM28,V$152)+COUNTIF('5月'!BQ28:BR28,V$152)+COUNTIF('5月'!BV28:BW28,V$152)+COUNTIF('5月'!CA28:CB28,V$152)+COUNTIF('5月'!CF28:CG28,V$152)+COUNTIF('5月'!CK28:CL28,V$152)+COUNTIF('5月'!CP28:CQ28,V$152)+COUNTIF('5月'!CU28:CV28,V$152)+COUNTIF('5月'!CZ28:DA28,V$152)+COUNTIF('5月'!DE28:DF28,V$152)+COUNTIF('5月'!DJ28:DK28,V$152)+COUNTIF('5月'!DO28:DP28,V$152)+COUNTIF('5月'!DT28:DU28,V$152)+COUNTIF('5月'!DY28:DZ28,V$152)+COUNTIF('5月'!ED28:EE28,V$152)+COUNTIF('5月'!EI28:EJ28,V$152)+COUNTIF('5月'!EN28:EO28,V$152)+COUNTIF('5月'!ES28:ET28,V$152)</f>
        <v>0</v>
      </c>
      <c r="W178" s="76">
        <f t="shared" si="58"/>
        <v>0</v>
      </c>
      <c r="X178" s="76">
        <f>COUNTIF('5月'!D28:E28,X$152)+COUNTIF('5月'!I28:J28,X$152)+COUNTIF('5月'!N28:O28,X$152)+COUNTIF('5月'!S28:T28,X$152)+COUNTIF('5月'!X28:Y28,X$152)+COUNTIF('5月'!AC28:AD28,X$152)+COUNTIF('5月'!AH28:AI28,X$152)+COUNTIF('5月'!AM28:AN28,X$152)+COUNTIF('5月'!AR28:AS28,X$152)+COUNTIF('5月'!AW28:AX28,X$152)+COUNTIF('5月'!BB28:BC28,X$152)+COUNTIF('5月'!BG28:BH28,X$152)+COUNTIF('5月'!BL28:BM28,X$152)+COUNTIF('5月'!BQ28:BR28,X$152)+COUNTIF('5月'!BV28:BW28,X$152)+COUNTIF('5月'!CA28:CB28,X$152)+COUNTIF('5月'!CF28:CG28,X$152)+COUNTIF('5月'!CK28:CL28,X$152)+COUNTIF('5月'!CP28:CQ28,X$152)+COUNTIF('5月'!CU28:CV28,X$152)+COUNTIF('5月'!CZ28:DA28,X$152)+COUNTIF('5月'!DE28:DF28,X$152)+COUNTIF('5月'!DJ28:DK28,X$152)+COUNTIF('5月'!DO28:DP28,X$152)+COUNTIF('5月'!DT28:DU28,X$152)+COUNTIF('5月'!DY28:DZ28,X$152)+COUNTIF('5月'!ED28:EE28,X$152)+COUNTIF('5月'!EI28:EJ28,X$152)+COUNTIF('5月'!EN28:EO28,X$152)+COUNTIF('5月'!ES28:ET28,X$152)</f>
        <v>0</v>
      </c>
      <c r="Y178" s="76">
        <f t="shared" si="59"/>
        <v>0</v>
      </c>
    </row>
    <row r="179" spans="1:25" ht="18" customHeight="1">
      <c r="A179" s="76">
        <v>26</v>
      </c>
      <c r="B179" s="76">
        <f>COUNTIF('5月'!D29:E29,B$152)+COUNTIF('5月'!I29:J29,B$152)+COUNTIF('5月'!N29:O29,B$152)+COUNTIF('5月'!S29:T29,B$152)+COUNTIF('5月'!X29:Y29,B$152)+COUNTIF('5月'!AC29:AD29,B$152)+COUNTIF('5月'!AH29:AI29,B$152)+COUNTIF('5月'!AM29:AN29,B$152)+COUNTIF('5月'!AR29:AS29,B$152)+COUNTIF('5月'!AW29:AX29,B$152)+COUNTIF('5月'!BB29:BC29,B$152)+COUNTIF('5月'!BG29:BH29,B$152)+COUNTIF('5月'!BL29:BM29,B$152)+COUNTIF('5月'!BQ29:BR29,B$152)+COUNTIF('5月'!BV29:BW29,B$152)+COUNTIF('5月'!CA29:CB29,B$152)+COUNTIF('5月'!CF29:CG29,B$152)+COUNTIF('5月'!CK29:CL29,B$152)+COUNTIF('5月'!CP29:CQ29,B$152)+COUNTIF('5月'!CU29:CV29,B$152)+COUNTIF('5月'!CZ29:DA29,B$152)+COUNTIF('5月'!DE29:DF29,B$152)+COUNTIF('5月'!DJ29:DK29,B$152)+COUNTIF('5月'!DO29:DP29,B$152)+COUNTIF('5月'!DT29:DU29,B$152)+COUNTIF('5月'!DY29:DZ29,B$152)+COUNTIF('5月'!ED29:EE29,B$152)+COUNTIF('5月'!EI29:EJ29,B$152)+COUNTIF('5月'!EN29:EO29,B$152)+COUNTIF('5月'!ES29:ET29,B$152)</f>
        <v>0</v>
      </c>
      <c r="C179" s="76">
        <f t="shared" si="48"/>
        <v>0</v>
      </c>
      <c r="D179" s="76">
        <f>COUNTIF('5月'!D29:E29,D$152)+COUNTIF('5月'!I29:J29,D$152)+COUNTIF('5月'!N29:O29,D$152)+COUNTIF('5月'!S29:T29,D$152)+COUNTIF('5月'!X29:Y29,D$152)+COUNTIF('5月'!AC29:AD29,D$152)+COUNTIF('5月'!AH29:AI29,D$152)+COUNTIF('5月'!AM29:AN29,D$152)+COUNTIF('5月'!AR29:AS29,D$152)+COUNTIF('5月'!AW29:AX29,D$152)+COUNTIF('5月'!BB29:BC29,D$152)+COUNTIF('5月'!BG29:BH29,D$152)+COUNTIF('5月'!BL29:BM29,D$152)+COUNTIF('5月'!BQ29:BR29,D$152)+COUNTIF('5月'!BV29:BW29,D$152)+COUNTIF('5月'!CA29:CB29,D$152)+COUNTIF('5月'!CF29:CG29,D$152)+COUNTIF('5月'!CK29:CL29,D$152)+COUNTIF('5月'!CP29:CQ29,D$152)+COUNTIF('5月'!CU29:CV29,D$152)+COUNTIF('5月'!CZ29:DA29,D$152)+COUNTIF('5月'!DE29:DF29,D$152)+COUNTIF('5月'!DJ29:DK29,D$152)+COUNTIF('5月'!DO29:DP29,D$152)+COUNTIF('5月'!DT29:DU29,D$152)+COUNTIF('5月'!DY29:DZ29,D$152)+COUNTIF('5月'!ED29:EE29,D$152)+COUNTIF('5月'!EI29:EJ29,D$152)+COUNTIF('5月'!EN29:EO29,D$152)+COUNTIF('5月'!ES29:ET29,D$152)</f>
        <v>0</v>
      </c>
      <c r="E179" s="76">
        <f t="shared" si="49"/>
        <v>0</v>
      </c>
      <c r="F179" s="76">
        <f>COUNTIF('5月'!D29:E29,F$152)+COUNTIF('5月'!I29:J29,F$152)+COUNTIF('5月'!N29:O29,F$152)+COUNTIF('5月'!S29:T29,F$152)+COUNTIF('5月'!X29:Y29,F$152)+COUNTIF('5月'!AC29:AD29,F$152)+COUNTIF('5月'!AH29:AI29,F$152)+COUNTIF('5月'!AM29:AN29,F$152)+COUNTIF('5月'!AR29:AS29,F$152)+COUNTIF('5月'!AW29:AX29,F$152)+COUNTIF('5月'!BB29:BC29,F$152)+COUNTIF('5月'!BG29:BH29,F$152)+COUNTIF('5月'!BL29:BM29,F$152)+COUNTIF('5月'!BQ29:BR29,F$152)+COUNTIF('5月'!BV29:BW29,F$152)+COUNTIF('5月'!CA29:CB29,F$152)+COUNTIF('5月'!CF29:CG29,F$152)+COUNTIF('5月'!CK29:CL29,F$152)+COUNTIF('5月'!CP29:CQ29,F$152)+COUNTIF('5月'!CU29:CV29,F$152)+COUNTIF('5月'!CZ29:DA29,F$152)+COUNTIF('5月'!DE29:DF29,F$152)+COUNTIF('5月'!DJ29:DK29,F$152)+COUNTIF('5月'!DO29:DP29,F$152)+COUNTIF('5月'!DT29:DU29,F$152)+COUNTIF('5月'!DY29:DZ29,F$152)+COUNTIF('5月'!ED29:EE29,F$152)+COUNTIF('5月'!EI29:EJ29,F$152)+COUNTIF('5月'!EN29:EO29,F$152)+COUNTIF('5月'!ES29:ET29,F$152)</f>
        <v>0</v>
      </c>
      <c r="G179" s="76">
        <f t="shared" si="50"/>
        <v>0</v>
      </c>
      <c r="H179" s="76">
        <f>COUNTIF('5月'!D29:E29,H$152)+COUNTIF('5月'!I29:J29,H$152)+COUNTIF('5月'!N29:O29,H$152)+COUNTIF('5月'!S29:T29,H$152)+COUNTIF('5月'!X29:Y29,H$152)+COUNTIF('5月'!AC29:AD29,H$152)+COUNTIF('5月'!AH29:AI29,H$152)+COUNTIF('5月'!AM29:AN29,H$152)+COUNTIF('5月'!AR29:AS29,H$152)+COUNTIF('5月'!AW29:AX29,H$152)+COUNTIF('5月'!BB29:BC29,H$152)+COUNTIF('5月'!BG29:BH29,H$152)+COUNTIF('5月'!BL29:BM29,H$152)+COUNTIF('5月'!BQ29:BR29,H$152)+COUNTIF('5月'!BV29:BW29,H$152)+COUNTIF('5月'!CA29:CB29,H$152)+COUNTIF('5月'!CF29:CG29,H$152)+COUNTIF('5月'!CK29:CL29,H$152)+COUNTIF('5月'!CP29:CQ29,H$152)+COUNTIF('5月'!CU29:CV29,H$152)+COUNTIF('5月'!CZ29:DA29,H$152)+COUNTIF('5月'!DE29:DF29,H$152)+COUNTIF('5月'!DJ29:DK29,H$152)+COUNTIF('5月'!DO29:DP29,H$152)+COUNTIF('5月'!DT29:DU29,H$152)+COUNTIF('5月'!DY29:DZ29,H$152)+COUNTIF('5月'!ED29:EE29,H$152)+COUNTIF('5月'!EI29:EJ29,H$152)+COUNTIF('5月'!EN29:EO29,H$152)+COUNTIF('5月'!ES29:ET29,H$152)+COUNTIF('5月'!D29:E29,"渋谷-夜勤")+COUNTIF('5月'!I29:J29,"渋谷-夜勤")+COUNTIF('5月'!N29:O29,"渋谷-夜勤")+COUNTIF('5月'!S29:T29,"渋谷-夜勤")+COUNTIF('5月'!X29:Y29,"渋谷-夜勤")+COUNTIF('5月'!AC29:AD29,"渋谷-夜勤")+COUNTIF('5月'!AH29:AI29,"渋谷-夜勤")+COUNTIF('5月'!AM29:AN29,"渋谷-夜勤")+COUNTIF('5月'!AR29:AS29,"渋谷-夜勤")+COUNTIF('5月'!AW29:AX29,"渋谷-夜勤")+COUNTIF('5月'!BB29:BC29,"渋谷-夜勤")+COUNTIF('5月'!BG29:BH29,"渋谷-夜勤")+COUNTIF('5月'!BL29:BM29,"渋谷-夜勤")+COUNTIF('5月'!BQ29:BR29,"渋谷-夜勤")+COUNTIF('5月'!BV29:BW29,"渋谷-夜勤")+COUNTIF('5月'!CA29:CB29,"渋谷-夜勤")+COUNTIF('5月'!CF29:CG29,"渋谷-夜勤")+COUNTIF('5月'!CK29:CL29,"渋谷-夜勤")+COUNTIF('5月'!CP29:CQ29,"渋谷-夜勤")+COUNTIF('5月'!CU29:CV29,"渋谷-夜勤")+COUNTIF('5月'!CZ29:DA29,"渋谷-夜勤")+COUNTIF('5月'!DE29:DF29,"渋谷-夜勤")+COUNTIF('5月'!DJ29:DK29,"渋谷-夜勤")+COUNTIF('5月'!DO29:DP29,"渋谷-夜勤")+COUNTIF('5月'!DT29:DU29,"渋谷-夜勤")+COUNTIF('5月'!DY29:DZ29,"渋谷-夜勤")+COUNTIF('5月'!ED29:EE29,"渋谷-夜勤")+COUNTIF('5月'!EI29:EJ29,"渋谷-夜勤")+COUNTIF('5月'!EN29:EO29,"渋谷-夜勤")+COUNTIF('5月'!ES29:ET29,"渋谷-夜勤")</f>
        <v>0</v>
      </c>
      <c r="I179" s="76">
        <f t="shared" si="51"/>
        <v>0</v>
      </c>
      <c r="J179" s="76">
        <f>COUNTIF('5月'!D29:E29,J$152)+COUNTIF('5月'!I29:J29,J$152)+COUNTIF('5月'!N29:O29,J$152)+COUNTIF('5月'!S29:T29,J$152)+COUNTIF('5月'!X29:Y29,J$152)+COUNTIF('5月'!AC29:AD29,J$152)+COUNTIF('5月'!AH29:AI29,J$152)+COUNTIF('5月'!AM29:AN29,J$152)+COUNTIF('5月'!AR29:AS29,J$152)+COUNTIF('5月'!AW29:AX29,J$152)+COUNTIF('5月'!BB29:BC29,J$152)+COUNTIF('5月'!BG29:BH29,J$152)+COUNTIF('5月'!BL29:BM29,J$152)+COUNTIF('5月'!BQ29:BR29,J$152)+COUNTIF('5月'!BV29:BW29,J$152)+COUNTIF('5月'!CA29:CB29,J$152)+COUNTIF('5月'!CF29:CG29,J$152)+COUNTIF('5月'!CK29:CL29,J$152)+COUNTIF('5月'!CP29:CQ29,J$152)+COUNTIF('5月'!CU29:CV29,J$152)+COUNTIF('5月'!CZ29:DA29,J$152)+COUNTIF('5月'!DE29:DF29,J$152)+COUNTIF('5月'!DJ29:DK29,J$152)+COUNTIF('5月'!DO29:DP29,J$152)+COUNTIF('5月'!DT29:DU29,J$152)+COUNTIF('5月'!DY29:DZ29,J$152)+COUNTIF('5月'!ED29:EE29,J$152)+COUNTIF('5月'!EI29:EJ29,J$152)+COUNTIF('5月'!EN29:EO29,J$152)+COUNTIF('5月'!ES29:ET29,J$152)+COUNTIF('5月'!D29:E29,"六本木-夜勤")+COUNTIF('5月'!I29:J29,"六本木-夜勤")+COUNTIF('5月'!N29:O29,"六本木-夜勤")+COUNTIF('5月'!S29:T29,"六本木-夜勤")+COUNTIF('5月'!X29:Y29,"六本木-夜勤")+COUNTIF('5月'!AC29:AD29,"六本木-夜勤")+COUNTIF('5月'!AH29:AI29,"六本木-夜勤")+COUNTIF('5月'!AM29:AN29,"六本木-夜勤")+COUNTIF('5月'!AR29:AS29,"六本木-夜勤")+COUNTIF('5月'!AW29:AX29,"六本木-夜勤")+COUNTIF('5月'!BB29:BC29,"六本木-夜勤")+COUNTIF('5月'!BG29:BH29,"六本木-夜勤")+COUNTIF('5月'!BL29:BM29,"六本木-夜勤")+COUNTIF('5月'!BQ29:BR29,"六本木-夜勤")+COUNTIF('5月'!BV29:BW29,"六本木-夜勤")+COUNTIF('5月'!CA29:CB29,"六本木-夜勤")+COUNTIF('5月'!CF29:CG29,"六本木-夜勤")+COUNTIF('5月'!CK29:CL29,"六本木-夜勤")+COUNTIF('5月'!CP29:CQ29,"六本木-夜勤")+COUNTIF('5月'!CU29:CV29,"六本木-夜勤")+COUNTIF('5月'!CZ29:DA29,"六本木-夜勤")+COUNTIF('5月'!DE29:DF29,"六本木-夜勤")+COUNTIF('5月'!DJ29:DK29,"六本木-夜勤")+COUNTIF('5月'!DO29:DP29,"六本木-夜勤")+COUNTIF('5月'!DT29:DU29,"六本木-夜勤")+COUNTIF('5月'!DY29:DZ29,"六本木-夜勤")+COUNTIF('5月'!ED29:EE29,"六本木-夜勤")+COUNTIF('5月'!EI29:EJ29,"六本木-夜勤")+COUNTIF('5月'!EN29:EO29,"六本木-夜勤")+COUNTIF('5月'!ES29:ET29,"六本木-夜勤")+COUNTIF('5月'!D29:E29,"六本木ー夜勤")+COUNTIF('5月'!I29:J29,"六本木ー夜勤")+COUNTIF('5月'!N29:O29,"六本木ー夜勤")+COUNTIF('5月'!S29:T29,"六本木ー夜勤")+COUNTIF('5月'!X29:Y29,"六本木ー夜勤")+COUNTIF('5月'!AC29:AD29,"六本木ー夜勤")+COUNTIF('5月'!AH29:AI29,"六本木ー夜勤")+COUNTIF('5月'!AM29:AN29,"六本木ー夜勤")+COUNTIF('5月'!AR29:AS29,"六本木ー夜勤")+COUNTIF('5月'!AW29:AX29,"六本木ー夜勤")+COUNTIF('5月'!BB29:BC29,"六本木ー夜勤")+COUNTIF('5月'!BG29:BH29,"六本木ー夜勤")+COUNTIF('5月'!BL29:BM29,"六本木ー夜勤")+COUNTIF('5月'!BQ29:BR29,"六本木ー夜勤")+COUNTIF('5月'!BV29:BW29,"六本木ー夜勤")+COUNTIF('5月'!CA29:CB29,"六本木ー夜勤")+COUNTIF('5月'!CF29:CG29,"六本木ー夜勤")+COUNTIF('5月'!CK29:CL29,"六本木ー夜勤")+COUNTIF('5月'!CP29:CQ29,"六本木ー夜勤")+COUNTIF('5月'!CU29:CV29,"六本木ー夜勤")+COUNTIF('5月'!CZ29:DA29,"六本木ー夜勤")+COUNTIF('5月'!DE29:DF29,"六本木ー夜勤")+COUNTIF('5月'!DJ29:DK29,"六本木ー夜勤")+COUNTIF('5月'!DO29:DP29,"六本木ー夜勤")+COUNTIF('5月'!DT29:DU29,"六本木ー夜勤")+COUNTIF('5月'!DY29:DZ29,"六本木ー夜勤")+COUNTIF('5月'!ED29:EE29,"六本木ー夜勤")+COUNTIF('5月'!EI29:EJ29,"六本木ー夜勤")+COUNTIF('5月'!EN29:EO29,"六本木ー夜勤")+COUNTIF('5月'!ES29:ET29,"六本木ー夜勤")</f>
        <v>0</v>
      </c>
      <c r="K179" s="76">
        <f t="shared" si="52"/>
        <v>0</v>
      </c>
      <c r="L179" s="76">
        <f>COUNTIF('5月'!D29:E29,L$152)+COUNTIF('5月'!I29:J29,L$152)+COUNTIF('5月'!N29:O29,L$152)+COUNTIF('5月'!S29:T29,L$152)+COUNTIF('5月'!X29:Y29,L$152)+COUNTIF('5月'!AC29:AD29,L$152)+COUNTIF('5月'!AH29:AI29,L$152)+COUNTIF('5月'!AM29:AN29,L$152)+COUNTIF('5月'!AR29:AS29,L$152)+COUNTIF('5月'!AW29:AX29,L$152)+COUNTIF('5月'!BB29:BC29,L$152)+COUNTIF('5月'!BG29:BH29,L$152)+COUNTIF('5月'!BL29:BM29,L$152)+COUNTIF('5月'!BQ29:BR29,L$152)+COUNTIF('5月'!BV29:BW29,L$152)+COUNTIF('5月'!CA29:CB29,L$152)+COUNTIF('5月'!CF29:CG29,L$152)+COUNTIF('5月'!CK29:CL29,L$152)+COUNTIF('5月'!CP29:CQ29,L$152)+COUNTIF('5月'!CU29:CV29,L$152)+COUNTIF('5月'!CZ29:DA29,L$152)+COUNTIF('5月'!DE29:DF29,L$152)+COUNTIF('5月'!DJ29:DK29,L$152)+COUNTIF('5月'!DO29:DP29,L$152)+COUNTIF('5月'!DT29:DU29,L$152)+COUNTIF('5月'!DY29:DZ29,L$152)+COUNTIF('5月'!ED29:EE29,L$152)+COUNTIF('5月'!EI29:EJ29,L$152)+COUNTIF('5月'!EN29:EO29,L$152)+COUNTIF('5月'!ES29:ET29,L$152)</f>
        <v>0</v>
      </c>
      <c r="M179" s="76">
        <f t="shared" si="53"/>
        <v>0</v>
      </c>
      <c r="N179" s="76">
        <f>COUNTIF('5月'!D29:E29,N$152)+COUNTIF('5月'!I29:J29,N$152)+COUNTIF('5月'!N29:O29,N$152)+COUNTIF('5月'!S29:T29,N$152)+COUNTIF('5月'!X29:Y29,N$152)+COUNTIF('5月'!AC29:AD29,N$152)+COUNTIF('5月'!AH29:AI29,N$152)+COUNTIF('5月'!AM29:AN29,N$152)+COUNTIF('5月'!AR29:AS29,N$152)+COUNTIF('5月'!AW29:AX29,N$152)+COUNTIF('5月'!BB29:BC29,N$152)+COUNTIF('5月'!BG29:BH29,N$152)+COUNTIF('5月'!BL29:BM29,N$152)+COUNTIF('5月'!BQ29:BR29,N$152)+COUNTIF('5月'!BV29:BW29,N$152)+COUNTIF('5月'!CA29:CB29,N$152)+COUNTIF('5月'!CF29:CG29,N$152)+COUNTIF('5月'!CK29:CL29,N$152)+COUNTIF('5月'!CP29:CQ29,N$152)+COUNTIF('5月'!CU29:CV29,N$152)+COUNTIF('5月'!CZ29:DA29,N$152)+COUNTIF('5月'!DE29:DF29,N$152)+COUNTIF('5月'!DJ29:DK29,N$152)+COUNTIF('5月'!DO29:DP29,N$152)+COUNTIF('5月'!DT29:DU29,N$152)+COUNTIF('5月'!DY29:DZ29,N$152)+COUNTIF('5月'!ED29:EE29,N$152)+COUNTIF('5月'!EI29:EJ29,N$152)+COUNTIF('5月'!EN29:EO29,N$152)+COUNTIF('5月'!ES29:ET29,N$152)+COUNTIF('5月'!D29:E29,"三軒茶屋－夜勤")+COUNTIF('5月'!I29:J29,"三軒茶屋－夜勤")+COUNTIF('5月'!N29:O29,"三軒茶屋－夜勤")+COUNTIF('5月'!S29:T29,"三軒茶屋－夜勤")+COUNTIF('5月'!X29:Y29,"三軒茶屋－夜勤")+COUNTIF('5月'!AC29:AD29,"三軒茶屋－夜勤")+COUNTIF('5月'!AH29:AI29,"三軒茶屋－夜勤")+COUNTIF('5月'!AM29:AN29,"三軒茶屋－夜勤")+COUNTIF('5月'!AR29:AS29,"三軒茶屋－夜勤")+COUNTIF('5月'!AW29:AX29,"三軒茶屋－夜勤")+COUNTIF('5月'!BB29:BC29,"三軒茶屋－夜勤")+COUNTIF('5月'!BG29:BH29,"三軒茶屋－夜勤")+COUNTIF('5月'!BL29:BM29,"三軒茶屋－夜勤")+COUNTIF('5月'!BQ29:BR29,"三軒茶屋－夜勤")+COUNTIF('5月'!BV29:BW29,"三軒茶屋－夜勤")+COUNTIF('5月'!CA29:CB29,"三軒茶屋－夜勤")+COUNTIF('5月'!CF29:CG29,"三軒茶屋－夜勤")+COUNTIF('5月'!CK29:CL29,"三軒茶屋－夜勤")+COUNTIF('5月'!CP29:CQ29,"三軒茶屋－夜勤")+COUNTIF('5月'!CU29:CV29,"三軒茶屋－夜勤")+COUNTIF('5月'!CZ29:DA29,"三軒茶屋－夜勤")+COUNTIF('5月'!DE29:DF29,"三軒茶屋－夜勤")+COUNTIF('5月'!DJ29:DK29,"三軒茶屋－夜勤")+COUNTIF('5月'!DO29:DP29,"三軒茶屋－夜勤")+COUNTIF('5月'!DT29:DU29,"三軒茶屋－夜勤")+COUNTIF('5月'!DY29:DZ29,"三軒茶屋－夜勤")+COUNTIF('5月'!ED29:EE29,"三軒茶屋－夜勤")+COUNTIF('5月'!EI29:EJ29,"三軒茶屋－夜勤")+COUNTIF('5月'!EN29:EO29,"三軒茶屋－夜勤")+COUNTIF('5月'!ES29:ET29,"三軒茶屋－夜勤")</f>
        <v>0</v>
      </c>
      <c r="O179" s="76">
        <f t="shared" si="54"/>
        <v>0</v>
      </c>
      <c r="P179" s="76">
        <f>COUNTIF('5月'!D29:E29,P$152)+COUNTIF('5月'!I29:J29,P$152)+COUNTIF('5月'!N29:O29,P$152)+COUNTIF('5月'!S29:T29,P$152)+COUNTIF('5月'!X29:Y29,P$152)+COUNTIF('5月'!AC29:AD29,P$152)+COUNTIF('5月'!AH29:AI29,P$152)+COUNTIF('5月'!AM29:AN29,P$152)+COUNTIF('5月'!AR29:AS29,P$152)+COUNTIF('5月'!AW29:AX29,P$152)+COUNTIF('5月'!BB29:BC29,P$152)+COUNTIF('5月'!BG29:BH29,P$152)+COUNTIF('5月'!BL29:BM29,P$152)+COUNTIF('5月'!BQ29:BR29,P$152)+COUNTIF('5月'!BV29:BW29,P$152)+COUNTIF('5月'!CA29:CB29,P$152)+COUNTIF('5月'!CF29:CG29,P$152)+COUNTIF('5月'!CK29:CL29,P$152)+COUNTIF('5月'!CP29:CQ29,P$152)+COUNTIF('5月'!CU29:CV29,P$152)+COUNTIF('5月'!CZ29:DA29,P$152)+COUNTIF('5月'!DE29:DF29,P$152)+COUNTIF('5月'!DJ29:DK29,P$152)+COUNTIF('5月'!DO29:DP29,P$152)+COUNTIF('5月'!DT29:DU29,P$152)+COUNTIF('5月'!DY29:DZ29,P$152)+COUNTIF('5月'!ED29:EE29,P$152)+COUNTIF('5月'!EI29:EJ29,P$152)+COUNTIF('5月'!EN29:EO29,P$152)+COUNTIF('5月'!ES29:ET29,P$152)+COUNTIF('5月'!D29:E29,"荻窪ー夜勤")+COUNTIF('5月'!I29:J29,"荻窪ー夜勤")+COUNTIF('5月'!N29:O29,"荻窪ー夜勤")+COUNTIF('5月'!S29:T29,"荻窪ー夜勤")+COUNTIF('5月'!X29:Y29,"荻窪ー夜勤")+COUNTIF('5月'!AC29:AD29,"荻窪ー夜勤")+COUNTIF('5月'!AH29:AI29,"荻窪ー夜勤")+COUNTIF('5月'!AM29:AN29,"荻窪ー夜勤")+COUNTIF('5月'!AR29:AS29,"荻窪ー夜勤")+COUNTIF('5月'!AW29:AX29,"荻窪ー夜勤")+COUNTIF('5月'!BB29:BC29,"荻窪ー夜勤")+COUNTIF('5月'!BG29:BH29,"荻窪ー夜勤")+COUNTIF('5月'!BL29:BM29,"荻窪ー夜勤")+COUNTIF('5月'!BQ29:BR29,"荻窪ー夜勤")+COUNTIF('5月'!BV29:BW29,"荻窪ー夜勤")+COUNTIF('5月'!CA29:CB29,"荻窪ー夜勤")+COUNTIF('5月'!CF29:CG29,"荻窪ー夜勤")+COUNTIF('5月'!CK29:CL29,"荻窪ー夜勤")+COUNTIF('5月'!CP29:CQ29,"荻窪ー夜勤")+COUNTIF('5月'!CU29:CV29,"荻窪ー夜勤")+COUNTIF('5月'!CZ29:DA29,"荻窪ー夜勤")+COUNTIF('5月'!DE29:DF29,"荻窪ー夜勤")+COUNTIF('5月'!DJ29:DK29,"荻窪ー夜勤")+COUNTIF('5月'!DO29:DP29,"荻窪ー夜勤")+COUNTIF('5月'!DT29:DU29,"荻窪ー夜勤")+COUNTIF('5月'!DY29:DZ29,"荻窪ー夜勤")+COUNTIF('5月'!ED29:EE29,"荻窪ー夜勤")+COUNTIF('5月'!EI29:EJ29,"荻窪ー夜勤")+COUNTIF('5月'!EN29:EO29,"荻窪ー夜勤")+COUNTIF('5月'!ES29:ET29,"荻窪ー夜勤")</f>
        <v>0</v>
      </c>
      <c r="Q179" s="76">
        <f t="shared" si="55"/>
        <v>0</v>
      </c>
      <c r="R179" s="76">
        <f>COUNTIF('5月'!D29:E29,R$152)+COUNTIF('5月'!I29:J29,R$152)+COUNTIF('5月'!N29:O29,R$152)+COUNTIF('5月'!S29:T29,R$152)+COUNTIF('5月'!X29:Y29,R$152)+COUNTIF('5月'!AC29:AD29,R$152)+COUNTIF('5月'!AH29:AI29,R$152)+COUNTIF('5月'!AM29:AN29,R$152)+COUNTIF('5月'!AR29:AS29,R$152)+COUNTIF('5月'!AW29:AX29,R$152)+COUNTIF('5月'!BB29:BC29,R$152)+COUNTIF('5月'!BG29:BH29,R$152)+COUNTIF('5月'!BL29:BM29,R$152)+COUNTIF('5月'!BQ29:BR29,R$152)+COUNTIF('5月'!BV29:BW29,R$152)+COUNTIF('5月'!CA29:CB29,R$152)+COUNTIF('5月'!CF29:CG29,R$152)+COUNTIF('5月'!CK29:CL29,R$152)+COUNTIF('5月'!CP29:CQ29,R$152)+COUNTIF('5月'!CU29:CV29,R$152)+COUNTIF('5月'!CZ29:DA29,R$152)+COUNTIF('5月'!DE29:DF29,R$152)+COUNTIF('5月'!DJ29:DK29,R$152)+COUNTIF('5月'!DO29:DP29,R$152)+COUNTIF('5月'!DT29:DU29,R$152)+COUNTIF('5月'!DY29:DZ29,R$152)+COUNTIF('5月'!ED29:EE29,R$152)+COUNTIF('5月'!EI29:EJ29,R$152)+COUNTIF('5月'!EN29:EO29,R$152)+COUNTIF('5月'!ES29:ET29,R$152)</f>
        <v>0</v>
      </c>
      <c r="S179" s="76">
        <f t="shared" si="56"/>
        <v>0</v>
      </c>
      <c r="T179" s="76">
        <f>COUNTIF('5月'!D29:E29,T$152)+COUNTIF('5月'!I29:J29,T$152)+COUNTIF('5月'!N29:O29,T$152)+COUNTIF('5月'!S29:T29,T$152)+COUNTIF('5月'!X29:Y29,T$152)+COUNTIF('5月'!AC29:AD29,T$152)+COUNTIF('5月'!AH29:AI29,T$152)+COUNTIF('5月'!AM29:AN29,T$152)+COUNTIF('5月'!AR29:AS29,T$152)+COUNTIF('5月'!AW29:AX29,T$152)+COUNTIF('5月'!BB29:BC29,T$152)+COUNTIF('5月'!BG29:BH29,T$152)+COUNTIF('5月'!BL29:BM29,T$152)+COUNTIF('5月'!BQ29:BR29,T$152)+COUNTIF('5月'!BV29:BW29,T$152)+COUNTIF('5月'!CA29:CB29,T$152)+COUNTIF('5月'!CF29:CG29,T$152)+COUNTIF('5月'!CK29:CL29,T$152)+COUNTIF('5月'!CP29:CQ29,T$152)+COUNTIF('5月'!CU29:CV29,T$152)+COUNTIF('5月'!CZ29:DA29,T$152)+COUNTIF('5月'!DE29:DF29,T$152)+COUNTIF('5月'!DJ29:DK29,T$152)+COUNTIF('5月'!DO29:DP29,T$152)+COUNTIF('5月'!DT29:DU29,T$152)+COUNTIF('5月'!DY29:DZ29,T$152)+COUNTIF('5月'!ED29:EE29,T$152)+COUNTIF('5月'!EI29:EJ29,T$152)+COUNTIF('5月'!EN29:EO29,T$152)+COUNTIF('5月'!ES29:ET29,T$152)</f>
        <v>0</v>
      </c>
      <c r="U179" s="76">
        <f t="shared" si="57"/>
        <v>0</v>
      </c>
      <c r="V179" s="76">
        <f>COUNTIF('5月'!D29:E29,V$152)+COUNTIF('5月'!I29:J29,V$152)+COUNTIF('5月'!N29:O29,V$152)+COUNTIF('5月'!S29:T29,V$152)+COUNTIF('5月'!X29:Y29,V$152)+COUNTIF('5月'!AC29:AD29,V$152)+COUNTIF('5月'!AH29:AI29,V$152)+COUNTIF('5月'!AM29:AN29,V$152)+COUNTIF('5月'!AR29:AS29,V$152)+COUNTIF('5月'!AW29:AX29,V$152)+COUNTIF('5月'!BB29:BC29,V$152)+COUNTIF('5月'!BG29:BH29,V$152)+COUNTIF('5月'!BL29:BM29,V$152)+COUNTIF('5月'!BQ29:BR29,V$152)+COUNTIF('5月'!BV29:BW29,V$152)+COUNTIF('5月'!CA29:CB29,V$152)+COUNTIF('5月'!CF29:CG29,V$152)+COUNTIF('5月'!CK29:CL29,V$152)+COUNTIF('5月'!CP29:CQ29,V$152)+COUNTIF('5月'!CU29:CV29,V$152)+COUNTIF('5月'!CZ29:DA29,V$152)+COUNTIF('5月'!DE29:DF29,V$152)+COUNTIF('5月'!DJ29:DK29,V$152)+COUNTIF('5月'!DO29:DP29,V$152)+COUNTIF('5月'!DT29:DU29,V$152)+COUNTIF('5月'!DY29:DZ29,V$152)+COUNTIF('5月'!ED29:EE29,V$152)+COUNTIF('5月'!EI29:EJ29,V$152)+COUNTIF('5月'!EN29:EO29,V$152)+COUNTIF('5月'!ES29:ET29,V$152)</f>
        <v>0</v>
      </c>
      <c r="W179" s="76">
        <f t="shared" si="58"/>
        <v>0</v>
      </c>
      <c r="X179" s="76">
        <f>COUNTIF('5月'!D29:E29,X$152)+COUNTIF('5月'!I29:J29,X$152)+COUNTIF('5月'!N29:O29,X$152)+COUNTIF('5月'!S29:T29,X$152)+COUNTIF('5月'!X29:Y29,X$152)+COUNTIF('5月'!AC29:AD29,X$152)+COUNTIF('5月'!AH29:AI29,X$152)+COUNTIF('5月'!AM29:AN29,X$152)+COUNTIF('5月'!AR29:AS29,X$152)+COUNTIF('5月'!AW29:AX29,X$152)+COUNTIF('5月'!BB29:BC29,X$152)+COUNTIF('5月'!BG29:BH29,X$152)+COUNTIF('5月'!BL29:BM29,X$152)+COUNTIF('5月'!BQ29:BR29,X$152)+COUNTIF('5月'!BV29:BW29,X$152)+COUNTIF('5月'!CA29:CB29,X$152)+COUNTIF('5月'!CF29:CG29,X$152)+COUNTIF('5月'!CK29:CL29,X$152)+COUNTIF('5月'!CP29:CQ29,X$152)+COUNTIF('5月'!CU29:CV29,X$152)+COUNTIF('5月'!CZ29:DA29,X$152)+COUNTIF('5月'!DE29:DF29,X$152)+COUNTIF('5月'!DJ29:DK29,X$152)+COUNTIF('5月'!DO29:DP29,X$152)+COUNTIF('5月'!DT29:DU29,X$152)+COUNTIF('5月'!DY29:DZ29,X$152)+COUNTIF('5月'!ED29:EE29,X$152)+COUNTIF('5月'!EI29:EJ29,X$152)+COUNTIF('5月'!EN29:EO29,X$152)+COUNTIF('5月'!ES29:ET29,X$152)</f>
        <v>0</v>
      </c>
      <c r="Y179" s="76">
        <f t="shared" si="59"/>
        <v>0</v>
      </c>
    </row>
    <row r="180" spans="1:25" ht="18" customHeight="1">
      <c r="A180" s="76">
        <v>27</v>
      </c>
      <c r="B180" s="76">
        <f>COUNTIF('5月'!D30:E30,B$152)+COUNTIF('5月'!I30:J30,B$152)+COUNTIF('5月'!N30:O30,B$152)+COUNTIF('5月'!S30:T30,B$152)+COUNTIF('5月'!X30:Y30,B$152)+COUNTIF('5月'!AC30:AD30,B$152)+COUNTIF('5月'!AH30:AI30,B$152)+COUNTIF('5月'!AM30:AN30,B$152)+COUNTIF('5月'!AR30:AS30,B$152)+COUNTIF('5月'!AW30:AX30,B$152)+COUNTIF('5月'!BB30:BC30,B$152)+COUNTIF('5月'!BG30:BH30,B$152)+COUNTIF('5月'!BL30:BM30,B$152)+COUNTIF('5月'!BQ30:BR30,B$152)+COUNTIF('5月'!BV30:BW30,B$152)+COUNTIF('5月'!CA30:CB30,B$152)+COUNTIF('5月'!CF30:CG30,B$152)+COUNTIF('5月'!CK30:CL30,B$152)+COUNTIF('5月'!CP30:CQ30,B$152)+COUNTIF('5月'!CU30:CV30,B$152)+COUNTIF('5月'!CZ30:DA30,B$152)+COUNTIF('5月'!DE30:DF30,B$152)+COUNTIF('5月'!DJ30:DK30,B$152)+COUNTIF('5月'!DO30:DP30,B$152)+COUNTIF('5月'!DT30:DU30,B$152)+COUNTIF('5月'!DY30:DZ30,B$152)+COUNTIF('5月'!ED30:EE30,B$152)+COUNTIF('5月'!EI30:EJ30,B$152)+COUNTIF('5月'!EN30:EO30,B$152)+COUNTIF('5月'!ES30:ET30,B$152)</f>
        <v>0</v>
      </c>
      <c r="C180" s="76">
        <f t="shared" si="48"/>
        <v>0</v>
      </c>
      <c r="D180" s="76">
        <f>COUNTIF('5月'!D30:E30,D$152)+COUNTIF('5月'!I30:J30,D$152)+COUNTIF('5月'!N30:O30,D$152)+COUNTIF('5月'!S30:T30,D$152)+COUNTIF('5月'!X30:Y30,D$152)+COUNTIF('5月'!AC30:AD30,D$152)+COUNTIF('5月'!AH30:AI30,D$152)+COUNTIF('5月'!AM30:AN30,D$152)+COUNTIF('5月'!AR30:AS30,D$152)+COUNTIF('5月'!AW30:AX30,D$152)+COUNTIF('5月'!BB30:BC30,D$152)+COUNTIF('5月'!BG30:BH30,D$152)+COUNTIF('5月'!BL30:BM30,D$152)+COUNTIF('5月'!BQ30:BR30,D$152)+COUNTIF('5月'!BV30:BW30,D$152)+COUNTIF('5月'!CA30:CB30,D$152)+COUNTIF('5月'!CF30:CG30,D$152)+COUNTIF('5月'!CK30:CL30,D$152)+COUNTIF('5月'!CP30:CQ30,D$152)+COUNTIF('5月'!CU30:CV30,D$152)+COUNTIF('5月'!CZ30:DA30,D$152)+COUNTIF('5月'!DE30:DF30,D$152)+COUNTIF('5月'!DJ30:DK30,D$152)+COUNTIF('5月'!DO30:DP30,D$152)+COUNTIF('5月'!DT30:DU30,D$152)+COUNTIF('5月'!DY30:DZ30,D$152)+COUNTIF('5月'!ED30:EE30,D$152)+COUNTIF('5月'!EI30:EJ30,D$152)+COUNTIF('5月'!EN30:EO30,D$152)+COUNTIF('5月'!ES30:ET30,D$152)</f>
        <v>0</v>
      </c>
      <c r="E180" s="76">
        <f t="shared" si="49"/>
        <v>0</v>
      </c>
      <c r="F180" s="76">
        <f>COUNTIF('5月'!D30:E30,F$152)+COUNTIF('5月'!I30:J30,F$152)+COUNTIF('5月'!N30:O30,F$152)+COUNTIF('5月'!S30:T30,F$152)+COUNTIF('5月'!X30:Y30,F$152)+COUNTIF('5月'!AC30:AD30,F$152)+COUNTIF('5月'!AH30:AI30,F$152)+COUNTIF('5月'!AM30:AN30,F$152)+COUNTIF('5月'!AR30:AS30,F$152)+COUNTIF('5月'!AW30:AX30,F$152)+COUNTIF('5月'!BB30:BC30,F$152)+COUNTIF('5月'!BG30:BH30,F$152)+COUNTIF('5月'!BL30:BM30,F$152)+COUNTIF('5月'!BQ30:BR30,F$152)+COUNTIF('5月'!BV30:BW30,F$152)+COUNTIF('5月'!CA30:CB30,F$152)+COUNTIF('5月'!CF30:CG30,F$152)+COUNTIF('5月'!CK30:CL30,F$152)+COUNTIF('5月'!CP30:CQ30,F$152)+COUNTIF('5月'!CU30:CV30,F$152)+COUNTIF('5月'!CZ30:DA30,F$152)+COUNTIF('5月'!DE30:DF30,F$152)+COUNTIF('5月'!DJ30:DK30,F$152)+COUNTIF('5月'!DO30:DP30,F$152)+COUNTIF('5月'!DT30:DU30,F$152)+COUNTIF('5月'!DY30:DZ30,F$152)+COUNTIF('5月'!ED30:EE30,F$152)+COUNTIF('5月'!EI30:EJ30,F$152)+COUNTIF('5月'!EN30:EO30,F$152)+COUNTIF('5月'!ES30:ET30,F$152)</f>
        <v>0</v>
      </c>
      <c r="G180" s="76">
        <f t="shared" si="50"/>
        <v>0</v>
      </c>
      <c r="H180" s="76">
        <f>COUNTIF('5月'!D30:E30,H$152)+COUNTIF('5月'!I30:J30,H$152)+COUNTIF('5月'!N30:O30,H$152)+COUNTIF('5月'!S30:T30,H$152)+COUNTIF('5月'!X30:Y30,H$152)+COUNTIF('5月'!AC30:AD30,H$152)+COUNTIF('5月'!AH30:AI30,H$152)+COUNTIF('5月'!AM30:AN30,H$152)+COUNTIF('5月'!AR30:AS30,H$152)+COUNTIF('5月'!AW30:AX30,H$152)+COUNTIF('5月'!BB30:BC30,H$152)+COUNTIF('5月'!BG30:BH30,H$152)+COUNTIF('5月'!BL30:BM30,H$152)+COUNTIF('5月'!BQ30:BR30,H$152)+COUNTIF('5月'!BV30:BW30,H$152)+COUNTIF('5月'!CA30:CB30,H$152)+COUNTIF('5月'!CF30:CG30,H$152)+COUNTIF('5月'!CK30:CL30,H$152)+COUNTIF('5月'!CP30:CQ30,H$152)+COUNTIF('5月'!CU30:CV30,H$152)+COUNTIF('5月'!CZ30:DA30,H$152)+COUNTIF('5月'!DE30:DF30,H$152)+COUNTIF('5月'!DJ30:DK30,H$152)+COUNTIF('5月'!DO30:DP30,H$152)+COUNTIF('5月'!DT30:DU30,H$152)+COUNTIF('5月'!DY30:DZ30,H$152)+COUNTIF('5月'!ED30:EE30,H$152)+COUNTIF('5月'!EI30:EJ30,H$152)+COUNTIF('5月'!EN30:EO30,H$152)+COUNTIF('5月'!ES30:ET30,H$152)+COUNTIF('5月'!D30:E30,"渋谷-夜勤")+COUNTIF('5月'!I30:J30,"渋谷-夜勤")+COUNTIF('5月'!N30:O30,"渋谷-夜勤")+COUNTIF('5月'!S30:T30,"渋谷-夜勤")+COUNTIF('5月'!X30:Y30,"渋谷-夜勤")+COUNTIF('5月'!AC30:AD30,"渋谷-夜勤")+COUNTIF('5月'!AH30:AI30,"渋谷-夜勤")+COUNTIF('5月'!AM30:AN30,"渋谷-夜勤")+COUNTIF('5月'!AR30:AS30,"渋谷-夜勤")+COUNTIF('5月'!AW30:AX30,"渋谷-夜勤")+COUNTIF('5月'!BB30:BC30,"渋谷-夜勤")+COUNTIF('5月'!BG30:BH30,"渋谷-夜勤")+COUNTIF('5月'!BL30:BM30,"渋谷-夜勤")+COUNTIF('5月'!BQ30:BR30,"渋谷-夜勤")+COUNTIF('5月'!BV30:BW30,"渋谷-夜勤")+COUNTIF('5月'!CA30:CB30,"渋谷-夜勤")+COUNTIF('5月'!CF30:CG30,"渋谷-夜勤")+COUNTIF('5月'!CK30:CL30,"渋谷-夜勤")+COUNTIF('5月'!CP30:CQ30,"渋谷-夜勤")+COUNTIF('5月'!CU30:CV30,"渋谷-夜勤")+COUNTIF('5月'!CZ30:DA30,"渋谷-夜勤")+COUNTIF('5月'!DE30:DF30,"渋谷-夜勤")+COUNTIF('5月'!DJ30:DK30,"渋谷-夜勤")+COUNTIF('5月'!DO30:DP30,"渋谷-夜勤")+COUNTIF('5月'!DT30:DU30,"渋谷-夜勤")+COUNTIF('5月'!DY30:DZ30,"渋谷-夜勤")+COUNTIF('5月'!ED30:EE30,"渋谷-夜勤")+COUNTIF('5月'!EI30:EJ30,"渋谷-夜勤")+COUNTIF('5月'!EN30:EO30,"渋谷-夜勤")+COUNTIF('5月'!ES30:ET30,"渋谷-夜勤")</f>
        <v>0</v>
      </c>
      <c r="I180" s="76">
        <f t="shared" si="51"/>
        <v>0</v>
      </c>
      <c r="J180" s="76">
        <f>COUNTIF('5月'!D30:E30,J$152)+COUNTIF('5月'!I30:J30,J$152)+COUNTIF('5月'!N30:O30,J$152)+COUNTIF('5月'!S30:T30,J$152)+COUNTIF('5月'!X30:Y30,J$152)+COUNTIF('5月'!AC30:AD30,J$152)+COUNTIF('5月'!AH30:AI30,J$152)+COUNTIF('5月'!AM30:AN30,J$152)+COUNTIF('5月'!AR30:AS30,J$152)+COUNTIF('5月'!AW30:AX30,J$152)+COUNTIF('5月'!BB30:BC30,J$152)+COUNTIF('5月'!BG30:BH30,J$152)+COUNTIF('5月'!BL30:BM30,J$152)+COUNTIF('5月'!BQ30:BR30,J$152)+COUNTIF('5月'!BV30:BW30,J$152)+COUNTIF('5月'!CA30:CB30,J$152)+COUNTIF('5月'!CF30:CG30,J$152)+COUNTIF('5月'!CK30:CL30,J$152)+COUNTIF('5月'!CP30:CQ30,J$152)+COUNTIF('5月'!CU30:CV30,J$152)+COUNTIF('5月'!CZ30:DA30,J$152)+COUNTIF('5月'!DE30:DF30,J$152)+COUNTIF('5月'!DJ30:DK30,J$152)+COUNTIF('5月'!DO30:DP30,J$152)+COUNTIF('5月'!DT30:DU30,J$152)+COUNTIF('5月'!DY30:DZ30,J$152)+COUNTIF('5月'!ED30:EE30,J$152)+COUNTIF('5月'!EI30:EJ30,J$152)+COUNTIF('5月'!EN30:EO30,J$152)+COUNTIF('5月'!ES30:ET30,J$152)+COUNTIF('5月'!D30:E30,"六本木-夜勤")+COUNTIF('5月'!I30:J30,"六本木-夜勤")+COUNTIF('5月'!N30:O30,"六本木-夜勤")+COUNTIF('5月'!S30:T30,"六本木-夜勤")+COUNTIF('5月'!X30:Y30,"六本木-夜勤")+COUNTIF('5月'!AC30:AD30,"六本木-夜勤")+COUNTIF('5月'!AH30:AI30,"六本木-夜勤")+COUNTIF('5月'!AM30:AN30,"六本木-夜勤")+COUNTIF('5月'!AR30:AS30,"六本木-夜勤")+COUNTIF('5月'!AW30:AX30,"六本木-夜勤")+COUNTIF('5月'!BB30:BC30,"六本木-夜勤")+COUNTIF('5月'!BG30:BH30,"六本木-夜勤")+COUNTIF('5月'!BL30:BM30,"六本木-夜勤")+COUNTIF('5月'!BQ30:BR30,"六本木-夜勤")+COUNTIF('5月'!BV30:BW30,"六本木-夜勤")+COUNTIF('5月'!CA30:CB30,"六本木-夜勤")+COUNTIF('5月'!CF30:CG30,"六本木-夜勤")+COUNTIF('5月'!CK30:CL30,"六本木-夜勤")+COUNTIF('5月'!CP30:CQ30,"六本木-夜勤")+COUNTIF('5月'!CU30:CV30,"六本木-夜勤")+COUNTIF('5月'!CZ30:DA30,"六本木-夜勤")+COUNTIF('5月'!DE30:DF30,"六本木-夜勤")+COUNTIF('5月'!DJ30:DK30,"六本木-夜勤")+COUNTIF('5月'!DO30:DP30,"六本木-夜勤")+COUNTIF('5月'!DT30:DU30,"六本木-夜勤")+COUNTIF('5月'!DY30:DZ30,"六本木-夜勤")+COUNTIF('5月'!ED30:EE30,"六本木-夜勤")+COUNTIF('5月'!EI30:EJ30,"六本木-夜勤")+COUNTIF('5月'!EN30:EO30,"六本木-夜勤")+COUNTIF('5月'!ES30:ET30,"六本木-夜勤")+COUNTIF('5月'!D30:E30,"六本木ー夜勤")+COUNTIF('5月'!I30:J30,"六本木ー夜勤")+COUNTIF('5月'!N30:O30,"六本木ー夜勤")+COUNTIF('5月'!S30:T30,"六本木ー夜勤")+COUNTIF('5月'!X30:Y30,"六本木ー夜勤")+COUNTIF('5月'!AC30:AD30,"六本木ー夜勤")+COUNTIF('5月'!AH30:AI30,"六本木ー夜勤")+COUNTIF('5月'!AM30:AN30,"六本木ー夜勤")+COUNTIF('5月'!AR30:AS30,"六本木ー夜勤")+COUNTIF('5月'!AW30:AX30,"六本木ー夜勤")+COUNTIF('5月'!BB30:BC30,"六本木ー夜勤")+COUNTIF('5月'!BG30:BH30,"六本木ー夜勤")+COUNTIF('5月'!BL30:BM30,"六本木ー夜勤")+COUNTIF('5月'!BQ30:BR30,"六本木ー夜勤")+COUNTIF('5月'!BV30:BW30,"六本木ー夜勤")+COUNTIF('5月'!CA30:CB30,"六本木ー夜勤")+COUNTIF('5月'!CF30:CG30,"六本木ー夜勤")+COUNTIF('5月'!CK30:CL30,"六本木ー夜勤")+COUNTIF('5月'!CP30:CQ30,"六本木ー夜勤")+COUNTIF('5月'!CU30:CV30,"六本木ー夜勤")+COUNTIF('5月'!CZ30:DA30,"六本木ー夜勤")+COUNTIF('5月'!DE30:DF30,"六本木ー夜勤")+COUNTIF('5月'!DJ30:DK30,"六本木ー夜勤")+COUNTIF('5月'!DO30:DP30,"六本木ー夜勤")+COUNTIF('5月'!DT30:DU30,"六本木ー夜勤")+COUNTIF('5月'!DY30:DZ30,"六本木ー夜勤")+COUNTIF('5月'!ED30:EE30,"六本木ー夜勤")+COUNTIF('5月'!EI30:EJ30,"六本木ー夜勤")+COUNTIF('5月'!EN30:EO30,"六本木ー夜勤")+COUNTIF('5月'!ES30:ET30,"六本木ー夜勤")</f>
        <v>0</v>
      </c>
      <c r="K180" s="76">
        <f t="shared" si="52"/>
        <v>0</v>
      </c>
      <c r="L180" s="76">
        <f>COUNTIF('5月'!D30:E30,L$152)+COUNTIF('5月'!I30:J30,L$152)+COUNTIF('5月'!N30:O30,L$152)+COUNTIF('5月'!S30:T30,L$152)+COUNTIF('5月'!X30:Y30,L$152)+COUNTIF('5月'!AC30:AD30,L$152)+COUNTIF('5月'!AH30:AI30,L$152)+COUNTIF('5月'!AM30:AN30,L$152)+COUNTIF('5月'!AR30:AS30,L$152)+COUNTIF('5月'!AW30:AX30,L$152)+COUNTIF('5月'!BB30:BC30,L$152)+COUNTIF('5月'!BG30:BH30,L$152)+COUNTIF('5月'!BL30:BM30,L$152)+COUNTIF('5月'!BQ30:BR30,L$152)+COUNTIF('5月'!BV30:BW30,L$152)+COUNTIF('5月'!CA30:CB30,L$152)+COUNTIF('5月'!CF30:CG30,L$152)+COUNTIF('5月'!CK30:CL30,L$152)+COUNTIF('5月'!CP30:CQ30,L$152)+COUNTIF('5月'!CU30:CV30,L$152)+COUNTIF('5月'!CZ30:DA30,L$152)+COUNTIF('5月'!DE30:DF30,L$152)+COUNTIF('5月'!DJ30:DK30,L$152)+COUNTIF('5月'!DO30:DP30,L$152)+COUNTIF('5月'!DT30:DU30,L$152)+COUNTIF('5月'!DY30:DZ30,L$152)+COUNTIF('5月'!ED30:EE30,L$152)+COUNTIF('5月'!EI30:EJ30,L$152)+COUNTIF('5月'!EN30:EO30,L$152)+COUNTIF('5月'!ES30:ET30,L$152)</f>
        <v>0</v>
      </c>
      <c r="M180" s="76">
        <f t="shared" si="53"/>
        <v>0</v>
      </c>
      <c r="N180" s="76">
        <f>COUNTIF('5月'!D30:E30,N$152)+COUNTIF('5月'!I30:J30,N$152)+COUNTIF('5月'!N30:O30,N$152)+COUNTIF('5月'!S30:T30,N$152)+COUNTIF('5月'!X30:Y30,N$152)+COUNTIF('5月'!AC30:AD30,N$152)+COUNTIF('5月'!AH30:AI30,N$152)+COUNTIF('5月'!AM30:AN30,N$152)+COUNTIF('5月'!AR30:AS30,N$152)+COUNTIF('5月'!AW30:AX30,N$152)+COUNTIF('5月'!BB30:BC30,N$152)+COUNTIF('5月'!BG30:BH30,N$152)+COUNTIF('5月'!BL30:BM30,N$152)+COUNTIF('5月'!BQ30:BR30,N$152)+COUNTIF('5月'!BV30:BW30,N$152)+COUNTIF('5月'!CA30:CB30,N$152)+COUNTIF('5月'!CF30:CG30,N$152)+COUNTIF('5月'!CK30:CL30,N$152)+COUNTIF('5月'!CP30:CQ30,N$152)+COUNTIF('5月'!CU30:CV30,N$152)+COUNTIF('5月'!CZ30:DA30,N$152)+COUNTIF('5月'!DE30:DF30,N$152)+COUNTIF('5月'!DJ30:DK30,N$152)+COUNTIF('5月'!DO30:DP30,N$152)+COUNTIF('5月'!DT30:DU30,N$152)+COUNTIF('5月'!DY30:DZ30,N$152)+COUNTIF('5月'!ED30:EE30,N$152)+COUNTIF('5月'!EI30:EJ30,N$152)+COUNTIF('5月'!EN30:EO30,N$152)+COUNTIF('5月'!ES30:ET30,N$152)+COUNTIF('5月'!D30:E30,"三軒茶屋－夜勤")+COUNTIF('5月'!I30:J30,"三軒茶屋－夜勤")+COUNTIF('5月'!N30:O30,"三軒茶屋－夜勤")+COUNTIF('5月'!S30:T30,"三軒茶屋－夜勤")+COUNTIF('5月'!X30:Y30,"三軒茶屋－夜勤")+COUNTIF('5月'!AC30:AD30,"三軒茶屋－夜勤")+COUNTIF('5月'!AH30:AI30,"三軒茶屋－夜勤")+COUNTIF('5月'!AM30:AN30,"三軒茶屋－夜勤")+COUNTIF('5月'!AR30:AS30,"三軒茶屋－夜勤")+COUNTIF('5月'!AW30:AX30,"三軒茶屋－夜勤")+COUNTIF('5月'!BB30:BC30,"三軒茶屋－夜勤")+COUNTIF('5月'!BG30:BH30,"三軒茶屋－夜勤")+COUNTIF('5月'!BL30:BM30,"三軒茶屋－夜勤")+COUNTIF('5月'!BQ30:BR30,"三軒茶屋－夜勤")+COUNTIF('5月'!BV30:BW30,"三軒茶屋－夜勤")+COUNTIF('5月'!CA30:CB30,"三軒茶屋－夜勤")+COUNTIF('5月'!CF30:CG30,"三軒茶屋－夜勤")+COUNTIF('5月'!CK30:CL30,"三軒茶屋－夜勤")+COUNTIF('5月'!CP30:CQ30,"三軒茶屋－夜勤")+COUNTIF('5月'!CU30:CV30,"三軒茶屋－夜勤")+COUNTIF('5月'!CZ30:DA30,"三軒茶屋－夜勤")+COUNTIF('5月'!DE30:DF30,"三軒茶屋－夜勤")+COUNTIF('5月'!DJ30:DK30,"三軒茶屋－夜勤")+COUNTIF('5月'!DO30:DP30,"三軒茶屋－夜勤")+COUNTIF('5月'!DT30:DU30,"三軒茶屋－夜勤")+COUNTIF('5月'!DY30:DZ30,"三軒茶屋－夜勤")+COUNTIF('5月'!ED30:EE30,"三軒茶屋－夜勤")+COUNTIF('5月'!EI30:EJ30,"三軒茶屋－夜勤")+COUNTIF('5月'!EN30:EO30,"三軒茶屋－夜勤")+COUNTIF('5月'!ES30:ET30,"三軒茶屋－夜勤")</f>
        <v>0</v>
      </c>
      <c r="O180" s="76">
        <f t="shared" si="54"/>
        <v>0</v>
      </c>
      <c r="P180" s="76">
        <f>COUNTIF('5月'!D30:E30,P$152)+COUNTIF('5月'!I30:J30,P$152)+COUNTIF('5月'!N30:O30,P$152)+COUNTIF('5月'!S30:T30,P$152)+COUNTIF('5月'!X30:Y30,P$152)+COUNTIF('5月'!AC30:AD30,P$152)+COUNTIF('5月'!AH30:AI30,P$152)+COUNTIF('5月'!AM30:AN30,P$152)+COUNTIF('5月'!AR30:AS30,P$152)+COUNTIF('5月'!AW30:AX30,P$152)+COUNTIF('5月'!BB30:BC30,P$152)+COUNTIF('5月'!BG30:BH30,P$152)+COUNTIF('5月'!BL30:BM30,P$152)+COUNTIF('5月'!BQ30:BR30,P$152)+COUNTIF('5月'!BV30:BW30,P$152)+COUNTIF('5月'!CA30:CB30,P$152)+COUNTIF('5月'!CF30:CG30,P$152)+COUNTIF('5月'!CK30:CL30,P$152)+COUNTIF('5月'!CP30:CQ30,P$152)+COUNTIF('5月'!CU30:CV30,P$152)+COUNTIF('5月'!CZ30:DA30,P$152)+COUNTIF('5月'!DE30:DF30,P$152)+COUNTIF('5月'!DJ30:DK30,P$152)+COUNTIF('5月'!DO30:DP30,P$152)+COUNTIF('5月'!DT30:DU30,P$152)+COUNTIF('5月'!DY30:DZ30,P$152)+COUNTIF('5月'!ED30:EE30,P$152)+COUNTIF('5月'!EI30:EJ30,P$152)+COUNTIF('5月'!EN30:EO30,P$152)+COUNTIF('5月'!ES30:ET30,P$152)+COUNTIF('5月'!D30:E30,"荻窪ー夜勤")+COUNTIF('5月'!I30:J30,"荻窪ー夜勤")+COUNTIF('5月'!N30:O30,"荻窪ー夜勤")+COUNTIF('5月'!S30:T30,"荻窪ー夜勤")+COUNTIF('5月'!X30:Y30,"荻窪ー夜勤")+COUNTIF('5月'!AC30:AD30,"荻窪ー夜勤")+COUNTIF('5月'!AH30:AI30,"荻窪ー夜勤")+COUNTIF('5月'!AM30:AN30,"荻窪ー夜勤")+COUNTIF('5月'!AR30:AS30,"荻窪ー夜勤")+COUNTIF('5月'!AW30:AX30,"荻窪ー夜勤")+COUNTIF('5月'!BB30:BC30,"荻窪ー夜勤")+COUNTIF('5月'!BG30:BH30,"荻窪ー夜勤")+COUNTIF('5月'!BL30:BM30,"荻窪ー夜勤")+COUNTIF('5月'!BQ30:BR30,"荻窪ー夜勤")+COUNTIF('5月'!BV30:BW30,"荻窪ー夜勤")+COUNTIF('5月'!CA30:CB30,"荻窪ー夜勤")+COUNTIF('5月'!CF30:CG30,"荻窪ー夜勤")+COUNTIF('5月'!CK30:CL30,"荻窪ー夜勤")+COUNTIF('5月'!CP30:CQ30,"荻窪ー夜勤")+COUNTIF('5月'!CU30:CV30,"荻窪ー夜勤")+COUNTIF('5月'!CZ30:DA30,"荻窪ー夜勤")+COUNTIF('5月'!DE30:DF30,"荻窪ー夜勤")+COUNTIF('5月'!DJ30:DK30,"荻窪ー夜勤")+COUNTIF('5月'!DO30:DP30,"荻窪ー夜勤")+COUNTIF('5月'!DT30:DU30,"荻窪ー夜勤")+COUNTIF('5月'!DY30:DZ30,"荻窪ー夜勤")+COUNTIF('5月'!ED30:EE30,"荻窪ー夜勤")+COUNTIF('5月'!EI30:EJ30,"荻窪ー夜勤")+COUNTIF('5月'!EN30:EO30,"荻窪ー夜勤")+COUNTIF('5月'!ES30:ET30,"荻窪ー夜勤")</f>
        <v>0</v>
      </c>
      <c r="Q180" s="76">
        <f t="shared" si="55"/>
        <v>0</v>
      </c>
      <c r="R180" s="76">
        <f>COUNTIF('5月'!D30:E30,R$152)+COUNTIF('5月'!I30:J30,R$152)+COUNTIF('5月'!N30:O30,R$152)+COUNTIF('5月'!S30:T30,R$152)+COUNTIF('5月'!X30:Y30,R$152)+COUNTIF('5月'!AC30:AD30,R$152)+COUNTIF('5月'!AH30:AI30,R$152)+COUNTIF('5月'!AM30:AN30,R$152)+COUNTIF('5月'!AR30:AS30,R$152)+COUNTIF('5月'!AW30:AX30,R$152)+COUNTIF('5月'!BB30:BC30,R$152)+COUNTIF('5月'!BG30:BH30,R$152)+COUNTIF('5月'!BL30:BM30,R$152)+COUNTIF('5月'!BQ30:BR30,R$152)+COUNTIF('5月'!BV30:BW30,R$152)+COUNTIF('5月'!CA30:CB30,R$152)+COUNTIF('5月'!CF30:CG30,R$152)+COUNTIF('5月'!CK30:CL30,R$152)+COUNTIF('5月'!CP30:CQ30,R$152)+COUNTIF('5月'!CU30:CV30,R$152)+COUNTIF('5月'!CZ30:DA30,R$152)+COUNTIF('5月'!DE30:DF30,R$152)+COUNTIF('5月'!DJ30:DK30,R$152)+COUNTIF('5月'!DO30:DP30,R$152)+COUNTIF('5月'!DT30:DU30,R$152)+COUNTIF('5月'!DY30:DZ30,R$152)+COUNTIF('5月'!ED30:EE30,R$152)+COUNTIF('5月'!EI30:EJ30,R$152)+COUNTIF('5月'!EN30:EO30,R$152)+COUNTIF('5月'!ES30:ET30,R$152)</f>
        <v>0</v>
      </c>
      <c r="S180" s="76">
        <f t="shared" si="56"/>
        <v>0</v>
      </c>
      <c r="T180" s="76">
        <f>COUNTIF('5月'!D30:E30,T$152)+COUNTIF('5月'!I30:J30,T$152)+COUNTIF('5月'!N30:O30,T$152)+COUNTIF('5月'!S30:T30,T$152)+COUNTIF('5月'!X30:Y30,T$152)+COUNTIF('5月'!AC30:AD30,T$152)+COUNTIF('5月'!AH30:AI30,T$152)+COUNTIF('5月'!AM30:AN30,T$152)+COUNTIF('5月'!AR30:AS30,T$152)+COUNTIF('5月'!AW30:AX30,T$152)+COUNTIF('5月'!BB30:BC30,T$152)+COUNTIF('5月'!BG30:BH30,T$152)+COUNTIF('5月'!BL30:BM30,T$152)+COUNTIF('5月'!BQ30:BR30,T$152)+COUNTIF('5月'!BV30:BW30,T$152)+COUNTIF('5月'!CA30:CB30,T$152)+COUNTIF('5月'!CF30:CG30,T$152)+COUNTIF('5月'!CK30:CL30,T$152)+COUNTIF('5月'!CP30:CQ30,T$152)+COUNTIF('5月'!CU30:CV30,T$152)+COUNTIF('5月'!CZ30:DA30,T$152)+COUNTIF('5月'!DE30:DF30,T$152)+COUNTIF('5月'!DJ30:DK30,T$152)+COUNTIF('5月'!DO30:DP30,T$152)+COUNTIF('5月'!DT30:DU30,T$152)+COUNTIF('5月'!DY30:DZ30,T$152)+COUNTIF('5月'!ED30:EE30,T$152)+COUNTIF('5月'!EI30:EJ30,T$152)+COUNTIF('5月'!EN30:EO30,T$152)+COUNTIF('5月'!ES30:ET30,T$152)</f>
        <v>0</v>
      </c>
      <c r="U180" s="76">
        <f t="shared" si="57"/>
        <v>0</v>
      </c>
      <c r="V180" s="76">
        <f>COUNTIF('5月'!D30:E30,V$152)+COUNTIF('5月'!I30:J30,V$152)+COUNTIF('5月'!N30:O30,V$152)+COUNTIF('5月'!S30:T30,V$152)+COUNTIF('5月'!X30:Y30,V$152)+COUNTIF('5月'!AC30:AD30,V$152)+COUNTIF('5月'!AH30:AI30,V$152)+COUNTIF('5月'!AM30:AN30,V$152)+COUNTIF('5月'!AR30:AS30,V$152)+COUNTIF('5月'!AW30:AX30,V$152)+COUNTIF('5月'!BB30:BC30,V$152)+COUNTIF('5月'!BG30:BH30,V$152)+COUNTIF('5月'!BL30:BM30,V$152)+COUNTIF('5月'!BQ30:BR30,V$152)+COUNTIF('5月'!BV30:BW30,V$152)+COUNTIF('5月'!CA30:CB30,V$152)+COUNTIF('5月'!CF30:CG30,V$152)+COUNTIF('5月'!CK30:CL30,V$152)+COUNTIF('5月'!CP30:CQ30,V$152)+COUNTIF('5月'!CU30:CV30,V$152)+COUNTIF('5月'!CZ30:DA30,V$152)+COUNTIF('5月'!DE30:DF30,V$152)+COUNTIF('5月'!DJ30:DK30,V$152)+COUNTIF('5月'!DO30:DP30,V$152)+COUNTIF('5月'!DT30:DU30,V$152)+COUNTIF('5月'!DY30:DZ30,V$152)+COUNTIF('5月'!ED30:EE30,V$152)+COUNTIF('5月'!EI30:EJ30,V$152)+COUNTIF('5月'!EN30:EO30,V$152)+COUNTIF('5月'!ES30:ET30,V$152)</f>
        <v>0</v>
      </c>
      <c r="W180" s="76">
        <f t="shared" si="58"/>
        <v>0</v>
      </c>
      <c r="X180" s="76">
        <f>COUNTIF('5月'!D30:E30,X$152)+COUNTIF('5月'!I30:J30,X$152)+COUNTIF('5月'!N30:O30,X$152)+COUNTIF('5月'!S30:T30,X$152)+COUNTIF('5月'!X30:Y30,X$152)+COUNTIF('5月'!AC30:AD30,X$152)+COUNTIF('5月'!AH30:AI30,X$152)+COUNTIF('5月'!AM30:AN30,X$152)+COUNTIF('5月'!AR30:AS30,X$152)+COUNTIF('5月'!AW30:AX30,X$152)+COUNTIF('5月'!BB30:BC30,X$152)+COUNTIF('5月'!BG30:BH30,X$152)+COUNTIF('5月'!BL30:BM30,X$152)+COUNTIF('5月'!BQ30:BR30,X$152)+COUNTIF('5月'!BV30:BW30,X$152)+COUNTIF('5月'!CA30:CB30,X$152)+COUNTIF('5月'!CF30:CG30,X$152)+COUNTIF('5月'!CK30:CL30,X$152)+COUNTIF('5月'!CP30:CQ30,X$152)+COUNTIF('5月'!CU30:CV30,X$152)+COUNTIF('5月'!CZ30:DA30,X$152)+COUNTIF('5月'!DE30:DF30,X$152)+COUNTIF('5月'!DJ30:DK30,X$152)+COUNTIF('5月'!DO30:DP30,X$152)+COUNTIF('5月'!DT30:DU30,X$152)+COUNTIF('5月'!DY30:DZ30,X$152)+COUNTIF('5月'!ED30:EE30,X$152)+COUNTIF('5月'!EI30:EJ30,X$152)+COUNTIF('5月'!EN30:EO30,X$152)+COUNTIF('5月'!ES30:ET30,X$152)</f>
        <v>0</v>
      </c>
      <c r="Y180" s="76">
        <f t="shared" si="59"/>
        <v>0</v>
      </c>
    </row>
    <row r="181" spans="1:25" ht="18" customHeight="1">
      <c r="A181" s="76">
        <v>28</v>
      </c>
      <c r="B181" s="76">
        <f>COUNTIF('5月'!D31:E31,B$152)+COUNTIF('5月'!I31:J31,B$152)+COUNTIF('5月'!N31:O31,B$152)+COUNTIF('5月'!S31:T31,B$152)+COUNTIF('5月'!X31:Y31,B$152)+COUNTIF('5月'!AC31:AD31,B$152)+COUNTIF('5月'!AH31:AI31,B$152)+COUNTIF('5月'!AM31:AN31,B$152)+COUNTIF('5月'!AR31:AS31,B$152)+COUNTIF('5月'!AW31:AX31,B$152)+COUNTIF('5月'!BB31:BC31,B$152)+COUNTIF('5月'!BG31:BH31,B$152)+COUNTIF('5月'!BL31:BM31,B$152)+COUNTIF('5月'!BQ31:BR31,B$152)+COUNTIF('5月'!BV31:BW31,B$152)+COUNTIF('5月'!CA31:CB31,B$152)+COUNTIF('5月'!CF31:CG31,B$152)+COUNTIF('5月'!CK31:CL31,B$152)+COUNTIF('5月'!CP31:CQ31,B$152)+COUNTIF('5月'!CU31:CV31,B$152)+COUNTIF('5月'!CZ31:DA31,B$152)+COUNTIF('5月'!DE31:DF31,B$152)+COUNTIF('5月'!DJ31:DK31,B$152)+COUNTIF('5月'!DO31:DP31,B$152)+COUNTIF('5月'!DT31:DU31,B$152)+COUNTIF('5月'!DY31:DZ31,B$152)+COUNTIF('5月'!ED31:EE31,B$152)+COUNTIF('5月'!EI31:EJ31,B$152)+COUNTIF('5月'!EN31:EO31,B$152)+COUNTIF('5月'!ES31:ET31,B$152)</f>
        <v>0</v>
      </c>
      <c r="C181" s="76">
        <f t="shared" si="48"/>
        <v>0</v>
      </c>
      <c r="D181" s="76">
        <f>COUNTIF('5月'!D31:E31,D$152)+COUNTIF('5月'!I31:J31,D$152)+COUNTIF('5月'!N31:O31,D$152)+COUNTIF('5月'!S31:T31,D$152)+COUNTIF('5月'!X31:Y31,D$152)+COUNTIF('5月'!AC31:AD31,D$152)+COUNTIF('5月'!AH31:AI31,D$152)+COUNTIF('5月'!AM31:AN31,D$152)+COUNTIF('5月'!AR31:AS31,D$152)+COUNTIF('5月'!AW31:AX31,D$152)+COUNTIF('5月'!BB31:BC31,D$152)+COUNTIF('5月'!BG31:BH31,D$152)+COUNTIF('5月'!BL31:BM31,D$152)+COUNTIF('5月'!BQ31:BR31,D$152)+COUNTIF('5月'!BV31:BW31,D$152)+COUNTIF('5月'!CA31:CB31,D$152)+COUNTIF('5月'!CF31:CG31,D$152)+COUNTIF('5月'!CK31:CL31,D$152)+COUNTIF('5月'!CP31:CQ31,D$152)+COUNTIF('5月'!CU31:CV31,D$152)+COUNTIF('5月'!CZ31:DA31,D$152)+COUNTIF('5月'!DE31:DF31,D$152)+COUNTIF('5月'!DJ31:DK31,D$152)+COUNTIF('5月'!DO31:DP31,D$152)+COUNTIF('5月'!DT31:DU31,D$152)+COUNTIF('5月'!DY31:DZ31,D$152)+COUNTIF('5月'!ED31:EE31,D$152)+COUNTIF('5月'!EI31:EJ31,D$152)+COUNTIF('5月'!EN31:EO31,D$152)+COUNTIF('5月'!ES31:ET31,D$152)</f>
        <v>0</v>
      </c>
      <c r="E181" s="76">
        <f t="shared" si="49"/>
        <v>0</v>
      </c>
      <c r="F181" s="76">
        <f>COUNTIF('5月'!D31:E31,F$152)+COUNTIF('5月'!I31:J31,F$152)+COUNTIF('5月'!N31:O31,F$152)+COUNTIF('5月'!S31:T31,F$152)+COUNTIF('5月'!X31:Y31,F$152)+COUNTIF('5月'!AC31:AD31,F$152)+COUNTIF('5月'!AH31:AI31,F$152)+COUNTIF('5月'!AM31:AN31,F$152)+COUNTIF('5月'!AR31:AS31,F$152)+COUNTIF('5月'!AW31:AX31,F$152)+COUNTIF('5月'!BB31:BC31,F$152)+COUNTIF('5月'!BG31:BH31,F$152)+COUNTIF('5月'!BL31:BM31,F$152)+COUNTIF('5月'!BQ31:BR31,F$152)+COUNTIF('5月'!BV31:BW31,F$152)+COUNTIF('5月'!CA31:CB31,F$152)+COUNTIF('5月'!CF31:CG31,F$152)+COUNTIF('5月'!CK31:CL31,F$152)+COUNTIF('5月'!CP31:CQ31,F$152)+COUNTIF('5月'!CU31:CV31,F$152)+COUNTIF('5月'!CZ31:DA31,F$152)+COUNTIF('5月'!DE31:DF31,F$152)+COUNTIF('5月'!DJ31:DK31,F$152)+COUNTIF('5月'!DO31:DP31,F$152)+COUNTIF('5月'!DT31:DU31,F$152)+COUNTIF('5月'!DY31:DZ31,F$152)+COUNTIF('5月'!ED31:EE31,F$152)+COUNTIF('5月'!EI31:EJ31,F$152)+COUNTIF('5月'!EN31:EO31,F$152)+COUNTIF('5月'!ES31:ET31,F$152)</f>
        <v>0</v>
      </c>
      <c r="G181" s="76">
        <f t="shared" si="50"/>
        <v>0</v>
      </c>
      <c r="H181" s="76">
        <f>COUNTIF('5月'!D31:E31,H$152)+COUNTIF('5月'!I31:J31,H$152)+COUNTIF('5月'!N31:O31,H$152)+COUNTIF('5月'!S31:T31,H$152)+COUNTIF('5月'!X31:Y31,H$152)+COUNTIF('5月'!AC31:AD31,H$152)+COUNTIF('5月'!AH31:AI31,H$152)+COUNTIF('5月'!AM31:AN31,H$152)+COUNTIF('5月'!AR31:AS31,H$152)+COUNTIF('5月'!AW31:AX31,H$152)+COUNTIF('5月'!BB31:BC31,H$152)+COUNTIF('5月'!BG31:BH31,H$152)+COUNTIF('5月'!BL31:BM31,H$152)+COUNTIF('5月'!BQ31:BR31,H$152)+COUNTIF('5月'!BV31:BW31,H$152)+COUNTIF('5月'!CA31:CB31,H$152)+COUNTIF('5月'!CF31:CG31,H$152)+COUNTIF('5月'!CK31:CL31,H$152)+COUNTIF('5月'!CP31:CQ31,H$152)+COUNTIF('5月'!CU31:CV31,H$152)+COUNTIF('5月'!CZ31:DA31,H$152)+COUNTIF('5月'!DE31:DF31,H$152)+COUNTIF('5月'!DJ31:DK31,H$152)+COUNTIF('5月'!DO31:DP31,H$152)+COUNTIF('5月'!DT31:DU31,H$152)+COUNTIF('5月'!DY31:DZ31,H$152)+COUNTIF('5月'!ED31:EE31,H$152)+COUNTIF('5月'!EI31:EJ31,H$152)+COUNTIF('5月'!EN31:EO31,H$152)+COUNTIF('5月'!ES31:ET31,H$152)+COUNTIF('5月'!D31:E31,"渋谷-夜勤")+COUNTIF('5月'!I31:J31,"渋谷-夜勤")+COUNTIF('5月'!N31:O31,"渋谷-夜勤")+COUNTIF('5月'!S31:T31,"渋谷-夜勤")+COUNTIF('5月'!X31:Y31,"渋谷-夜勤")+COUNTIF('5月'!AC31:AD31,"渋谷-夜勤")+COUNTIF('5月'!AH31:AI31,"渋谷-夜勤")+COUNTIF('5月'!AM31:AN31,"渋谷-夜勤")+COUNTIF('5月'!AR31:AS31,"渋谷-夜勤")+COUNTIF('5月'!AW31:AX31,"渋谷-夜勤")+COUNTIF('5月'!BB31:BC31,"渋谷-夜勤")+COUNTIF('5月'!BG31:BH31,"渋谷-夜勤")+COUNTIF('5月'!BL31:BM31,"渋谷-夜勤")+COUNTIF('5月'!BQ31:BR31,"渋谷-夜勤")+COUNTIF('5月'!BV31:BW31,"渋谷-夜勤")+COUNTIF('5月'!CA31:CB31,"渋谷-夜勤")+COUNTIF('5月'!CF31:CG31,"渋谷-夜勤")+COUNTIF('5月'!CK31:CL31,"渋谷-夜勤")+COUNTIF('5月'!CP31:CQ31,"渋谷-夜勤")+COUNTIF('5月'!CU31:CV31,"渋谷-夜勤")+COUNTIF('5月'!CZ31:DA31,"渋谷-夜勤")+COUNTIF('5月'!DE31:DF31,"渋谷-夜勤")+COUNTIF('5月'!DJ31:DK31,"渋谷-夜勤")+COUNTIF('5月'!DO31:DP31,"渋谷-夜勤")+COUNTIF('5月'!DT31:DU31,"渋谷-夜勤")+COUNTIF('5月'!DY31:DZ31,"渋谷-夜勤")+COUNTIF('5月'!ED31:EE31,"渋谷-夜勤")+COUNTIF('5月'!EI31:EJ31,"渋谷-夜勤")+COUNTIF('5月'!EN31:EO31,"渋谷-夜勤")+COUNTIF('5月'!ES31:ET31,"渋谷-夜勤")</f>
        <v>0</v>
      </c>
      <c r="I181" s="76">
        <f t="shared" si="51"/>
        <v>0</v>
      </c>
      <c r="J181" s="76">
        <f>COUNTIF('5月'!D31:E31,J$152)+COUNTIF('5月'!I31:J31,J$152)+COUNTIF('5月'!N31:O31,J$152)+COUNTIF('5月'!S31:T31,J$152)+COUNTIF('5月'!X31:Y31,J$152)+COUNTIF('5月'!AC31:AD31,J$152)+COUNTIF('5月'!AH31:AI31,J$152)+COUNTIF('5月'!AM31:AN31,J$152)+COUNTIF('5月'!AR31:AS31,J$152)+COUNTIF('5月'!AW31:AX31,J$152)+COUNTIF('5月'!BB31:BC31,J$152)+COUNTIF('5月'!BG31:BH31,J$152)+COUNTIF('5月'!BL31:BM31,J$152)+COUNTIF('5月'!BQ31:BR31,J$152)+COUNTIF('5月'!BV31:BW31,J$152)+COUNTIF('5月'!CA31:CB31,J$152)+COUNTIF('5月'!CF31:CG31,J$152)+COUNTIF('5月'!CK31:CL31,J$152)+COUNTIF('5月'!CP31:CQ31,J$152)+COUNTIF('5月'!CU31:CV31,J$152)+COUNTIF('5月'!CZ31:DA31,J$152)+COUNTIF('5月'!DE31:DF31,J$152)+COUNTIF('5月'!DJ31:DK31,J$152)+COUNTIF('5月'!DO31:DP31,J$152)+COUNTIF('5月'!DT31:DU31,J$152)+COUNTIF('5月'!DY31:DZ31,J$152)+COUNTIF('5月'!ED31:EE31,J$152)+COUNTIF('5月'!EI31:EJ31,J$152)+COUNTIF('5月'!EN31:EO31,J$152)+COUNTIF('5月'!ES31:ET31,J$152)+COUNTIF('5月'!D31:E31,"六本木-夜勤")+COUNTIF('5月'!I31:J31,"六本木-夜勤")+COUNTIF('5月'!N31:O31,"六本木-夜勤")+COUNTIF('5月'!S31:T31,"六本木-夜勤")+COUNTIF('5月'!X31:Y31,"六本木-夜勤")+COUNTIF('5月'!AC31:AD31,"六本木-夜勤")+COUNTIF('5月'!AH31:AI31,"六本木-夜勤")+COUNTIF('5月'!AM31:AN31,"六本木-夜勤")+COUNTIF('5月'!AR31:AS31,"六本木-夜勤")+COUNTIF('5月'!AW31:AX31,"六本木-夜勤")+COUNTIF('5月'!BB31:BC31,"六本木-夜勤")+COUNTIF('5月'!BG31:BH31,"六本木-夜勤")+COUNTIF('5月'!BL31:BM31,"六本木-夜勤")+COUNTIF('5月'!BQ31:BR31,"六本木-夜勤")+COUNTIF('5月'!BV31:BW31,"六本木-夜勤")+COUNTIF('5月'!CA31:CB31,"六本木-夜勤")+COUNTIF('5月'!CF31:CG31,"六本木-夜勤")+COUNTIF('5月'!CK31:CL31,"六本木-夜勤")+COUNTIF('5月'!CP31:CQ31,"六本木-夜勤")+COUNTIF('5月'!CU31:CV31,"六本木-夜勤")+COUNTIF('5月'!CZ31:DA31,"六本木-夜勤")+COUNTIF('5月'!DE31:DF31,"六本木-夜勤")+COUNTIF('5月'!DJ31:DK31,"六本木-夜勤")+COUNTIF('5月'!DO31:DP31,"六本木-夜勤")+COUNTIF('5月'!DT31:DU31,"六本木-夜勤")+COUNTIF('5月'!DY31:DZ31,"六本木-夜勤")+COUNTIF('5月'!ED31:EE31,"六本木-夜勤")+COUNTIF('5月'!EI31:EJ31,"六本木-夜勤")+COUNTIF('5月'!EN31:EO31,"六本木-夜勤")+COUNTIF('5月'!ES31:ET31,"六本木-夜勤")+COUNTIF('5月'!D31:E31,"六本木ー夜勤")+COUNTIF('5月'!I31:J31,"六本木ー夜勤")+COUNTIF('5月'!N31:O31,"六本木ー夜勤")+COUNTIF('5月'!S31:T31,"六本木ー夜勤")+COUNTIF('5月'!X31:Y31,"六本木ー夜勤")+COUNTIF('5月'!AC31:AD31,"六本木ー夜勤")+COUNTIF('5月'!AH31:AI31,"六本木ー夜勤")+COUNTIF('5月'!AM31:AN31,"六本木ー夜勤")+COUNTIF('5月'!AR31:AS31,"六本木ー夜勤")+COUNTIF('5月'!AW31:AX31,"六本木ー夜勤")+COUNTIF('5月'!BB31:BC31,"六本木ー夜勤")+COUNTIF('5月'!BG31:BH31,"六本木ー夜勤")+COUNTIF('5月'!BL31:BM31,"六本木ー夜勤")+COUNTIF('5月'!BQ31:BR31,"六本木ー夜勤")+COUNTIF('5月'!BV31:BW31,"六本木ー夜勤")+COUNTIF('5月'!CA31:CB31,"六本木ー夜勤")+COUNTIF('5月'!CF31:CG31,"六本木ー夜勤")+COUNTIF('5月'!CK31:CL31,"六本木ー夜勤")+COUNTIF('5月'!CP31:CQ31,"六本木ー夜勤")+COUNTIF('5月'!CU31:CV31,"六本木ー夜勤")+COUNTIF('5月'!CZ31:DA31,"六本木ー夜勤")+COUNTIF('5月'!DE31:DF31,"六本木ー夜勤")+COUNTIF('5月'!DJ31:DK31,"六本木ー夜勤")+COUNTIF('5月'!DO31:DP31,"六本木ー夜勤")+COUNTIF('5月'!DT31:DU31,"六本木ー夜勤")+COUNTIF('5月'!DY31:DZ31,"六本木ー夜勤")+COUNTIF('5月'!ED31:EE31,"六本木ー夜勤")+COUNTIF('5月'!EI31:EJ31,"六本木ー夜勤")+COUNTIF('5月'!EN31:EO31,"六本木ー夜勤")+COUNTIF('5月'!ES31:ET31,"六本木ー夜勤")</f>
        <v>0</v>
      </c>
      <c r="K181" s="76">
        <f t="shared" si="52"/>
        <v>0</v>
      </c>
      <c r="L181" s="76">
        <f>COUNTIF('5月'!D31:E31,L$152)+COUNTIF('5月'!I31:J31,L$152)+COUNTIF('5月'!N31:O31,L$152)+COUNTIF('5月'!S31:T31,L$152)+COUNTIF('5月'!X31:Y31,L$152)+COUNTIF('5月'!AC31:AD31,L$152)+COUNTIF('5月'!AH31:AI31,L$152)+COUNTIF('5月'!AM31:AN31,L$152)+COUNTIF('5月'!AR31:AS31,L$152)+COUNTIF('5月'!AW31:AX31,L$152)+COUNTIF('5月'!BB31:BC31,L$152)+COUNTIF('5月'!BG31:BH31,L$152)+COUNTIF('5月'!BL31:BM31,L$152)+COUNTIF('5月'!BQ31:BR31,L$152)+COUNTIF('5月'!BV31:BW31,L$152)+COUNTIF('5月'!CA31:CB31,L$152)+COUNTIF('5月'!CF31:CG31,L$152)+COUNTIF('5月'!CK31:CL31,L$152)+COUNTIF('5月'!CP31:CQ31,L$152)+COUNTIF('5月'!CU31:CV31,L$152)+COUNTIF('5月'!CZ31:DA31,L$152)+COUNTIF('5月'!DE31:DF31,L$152)+COUNTIF('5月'!DJ31:DK31,L$152)+COUNTIF('5月'!DO31:DP31,L$152)+COUNTIF('5月'!DT31:DU31,L$152)+COUNTIF('5月'!DY31:DZ31,L$152)+COUNTIF('5月'!ED31:EE31,L$152)+COUNTIF('5月'!EI31:EJ31,L$152)+COUNTIF('5月'!EN31:EO31,L$152)+COUNTIF('5月'!ES31:ET31,L$152)</f>
        <v>0</v>
      </c>
      <c r="M181" s="76">
        <f t="shared" si="53"/>
        <v>0</v>
      </c>
      <c r="N181" s="76">
        <f>COUNTIF('5月'!D31:E31,N$152)+COUNTIF('5月'!I31:J31,N$152)+COUNTIF('5月'!N31:O31,N$152)+COUNTIF('5月'!S31:T31,N$152)+COUNTIF('5月'!X31:Y31,N$152)+COUNTIF('5月'!AC31:AD31,N$152)+COUNTIF('5月'!AH31:AI31,N$152)+COUNTIF('5月'!AM31:AN31,N$152)+COUNTIF('5月'!AR31:AS31,N$152)+COUNTIF('5月'!AW31:AX31,N$152)+COUNTIF('5月'!BB31:BC31,N$152)+COUNTIF('5月'!BG31:BH31,N$152)+COUNTIF('5月'!BL31:BM31,N$152)+COUNTIF('5月'!BQ31:BR31,N$152)+COUNTIF('5月'!BV31:BW31,N$152)+COUNTIF('5月'!CA31:CB31,N$152)+COUNTIF('5月'!CF31:CG31,N$152)+COUNTIF('5月'!CK31:CL31,N$152)+COUNTIF('5月'!CP31:CQ31,N$152)+COUNTIF('5月'!CU31:CV31,N$152)+COUNTIF('5月'!CZ31:DA31,N$152)+COUNTIF('5月'!DE31:DF31,N$152)+COUNTIF('5月'!DJ31:DK31,N$152)+COUNTIF('5月'!DO31:DP31,N$152)+COUNTIF('5月'!DT31:DU31,N$152)+COUNTIF('5月'!DY31:DZ31,N$152)+COUNTIF('5月'!ED31:EE31,N$152)+COUNTIF('5月'!EI31:EJ31,N$152)+COUNTIF('5月'!EN31:EO31,N$152)+COUNTIF('5月'!ES31:ET31,N$152)+COUNTIF('5月'!D31:E31,"三軒茶屋－夜勤")+COUNTIF('5月'!I31:J31,"三軒茶屋－夜勤")+COUNTIF('5月'!N31:O31,"三軒茶屋－夜勤")+COUNTIF('5月'!S31:T31,"三軒茶屋－夜勤")+COUNTIF('5月'!X31:Y31,"三軒茶屋－夜勤")+COUNTIF('5月'!AC31:AD31,"三軒茶屋－夜勤")+COUNTIF('5月'!AH31:AI31,"三軒茶屋－夜勤")+COUNTIF('5月'!AM31:AN31,"三軒茶屋－夜勤")+COUNTIF('5月'!AR31:AS31,"三軒茶屋－夜勤")+COUNTIF('5月'!AW31:AX31,"三軒茶屋－夜勤")+COUNTIF('5月'!BB31:BC31,"三軒茶屋－夜勤")+COUNTIF('5月'!BG31:BH31,"三軒茶屋－夜勤")+COUNTIF('5月'!BL31:BM31,"三軒茶屋－夜勤")+COUNTIF('5月'!BQ31:BR31,"三軒茶屋－夜勤")+COUNTIF('5月'!BV31:BW31,"三軒茶屋－夜勤")+COUNTIF('5月'!CA31:CB31,"三軒茶屋－夜勤")+COUNTIF('5月'!CF31:CG31,"三軒茶屋－夜勤")+COUNTIF('5月'!CK31:CL31,"三軒茶屋－夜勤")+COUNTIF('5月'!CP31:CQ31,"三軒茶屋－夜勤")+COUNTIF('5月'!CU31:CV31,"三軒茶屋－夜勤")+COUNTIF('5月'!CZ31:DA31,"三軒茶屋－夜勤")+COUNTIF('5月'!DE31:DF31,"三軒茶屋－夜勤")+COUNTIF('5月'!DJ31:DK31,"三軒茶屋－夜勤")+COUNTIF('5月'!DO31:DP31,"三軒茶屋－夜勤")+COUNTIF('5月'!DT31:DU31,"三軒茶屋－夜勤")+COUNTIF('5月'!DY31:DZ31,"三軒茶屋－夜勤")+COUNTIF('5月'!ED31:EE31,"三軒茶屋－夜勤")+COUNTIF('5月'!EI31:EJ31,"三軒茶屋－夜勤")+COUNTIF('5月'!EN31:EO31,"三軒茶屋－夜勤")+COUNTIF('5月'!ES31:ET31,"三軒茶屋－夜勤")</f>
        <v>0</v>
      </c>
      <c r="O181" s="76">
        <f t="shared" si="54"/>
        <v>0</v>
      </c>
      <c r="P181" s="76">
        <f>COUNTIF('5月'!D31:E31,P$152)+COUNTIF('5月'!I31:J31,P$152)+COUNTIF('5月'!N31:O31,P$152)+COUNTIF('5月'!S31:T31,P$152)+COUNTIF('5月'!X31:Y31,P$152)+COUNTIF('5月'!AC31:AD31,P$152)+COUNTIF('5月'!AH31:AI31,P$152)+COUNTIF('5月'!AM31:AN31,P$152)+COUNTIF('5月'!AR31:AS31,P$152)+COUNTIF('5月'!AW31:AX31,P$152)+COUNTIF('5月'!BB31:BC31,P$152)+COUNTIF('5月'!BG31:BH31,P$152)+COUNTIF('5月'!BL31:BM31,P$152)+COUNTIF('5月'!BQ31:BR31,P$152)+COUNTIF('5月'!BV31:BW31,P$152)+COUNTIF('5月'!CA31:CB31,P$152)+COUNTIF('5月'!CF31:CG31,P$152)+COUNTIF('5月'!CK31:CL31,P$152)+COUNTIF('5月'!CP31:CQ31,P$152)+COUNTIF('5月'!CU31:CV31,P$152)+COUNTIF('5月'!CZ31:DA31,P$152)+COUNTIF('5月'!DE31:DF31,P$152)+COUNTIF('5月'!DJ31:DK31,P$152)+COUNTIF('5月'!DO31:DP31,P$152)+COUNTIF('5月'!DT31:DU31,P$152)+COUNTIF('5月'!DY31:DZ31,P$152)+COUNTIF('5月'!ED31:EE31,P$152)+COUNTIF('5月'!EI31:EJ31,P$152)+COUNTIF('5月'!EN31:EO31,P$152)+COUNTIF('5月'!ES31:ET31,P$152)+COUNTIF('5月'!D31:E31,"荻窪ー夜勤")+COUNTIF('5月'!I31:J31,"荻窪ー夜勤")+COUNTIF('5月'!N31:O31,"荻窪ー夜勤")+COUNTIF('5月'!S31:T31,"荻窪ー夜勤")+COUNTIF('5月'!X31:Y31,"荻窪ー夜勤")+COUNTIF('5月'!AC31:AD31,"荻窪ー夜勤")+COUNTIF('5月'!AH31:AI31,"荻窪ー夜勤")+COUNTIF('5月'!AM31:AN31,"荻窪ー夜勤")+COUNTIF('5月'!AR31:AS31,"荻窪ー夜勤")+COUNTIF('5月'!AW31:AX31,"荻窪ー夜勤")+COUNTIF('5月'!BB31:BC31,"荻窪ー夜勤")+COUNTIF('5月'!BG31:BH31,"荻窪ー夜勤")+COUNTIF('5月'!BL31:BM31,"荻窪ー夜勤")+COUNTIF('5月'!BQ31:BR31,"荻窪ー夜勤")+COUNTIF('5月'!BV31:BW31,"荻窪ー夜勤")+COUNTIF('5月'!CA31:CB31,"荻窪ー夜勤")+COUNTIF('5月'!CF31:CG31,"荻窪ー夜勤")+COUNTIF('5月'!CK31:CL31,"荻窪ー夜勤")+COUNTIF('5月'!CP31:CQ31,"荻窪ー夜勤")+COUNTIF('5月'!CU31:CV31,"荻窪ー夜勤")+COUNTIF('5月'!CZ31:DA31,"荻窪ー夜勤")+COUNTIF('5月'!DE31:DF31,"荻窪ー夜勤")+COUNTIF('5月'!DJ31:DK31,"荻窪ー夜勤")+COUNTIF('5月'!DO31:DP31,"荻窪ー夜勤")+COUNTIF('5月'!DT31:DU31,"荻窪ー夜勤")+COUNTIF('5月'!DY31:DZ31,"荻窪ー夜勤")+COUNTIF('5月'!ED31:EE31,"荻窪ー夜勤")+COUNTIF('5月'!EI31:EJ31,"荻窪ー夜勤")+COUNTIF('5月'!EN31:EO31,"荻窪ー夜勤")+COUNTIF('5月'!ES31:ET31,"荻窪ー夜勤")</f>
        <v>0</v>
      </c>
      <c r="Q181" s="76">
        <f t="shared" si="55"/>
        <v>0</v>
      </c>
      <c r="R181" s="76">
        <f>COUNTIF('5月'!D31:E31,R$152)+COUNTIF('5月'!I31:J31,R$152)+COUNTIF('5月'!N31:O31,R$152)+COUNTIF('5月'!S31:T31,R$152)+COUNTIF('5月'!X31:Y31,R$152)+COUNTIF('5月'!AC31:AD31,R$152)+COUNTIF('5月'!AH31:AI31,R$152)+COUNTIF('5月'!AM31:AN31,R$152)+COUNTIF('5月'!AR31:AS31,R$152)+COUNTIF('5月'!AW31:AX31,R$152)+COUNTIF('5月'!BB31:BC31,R$152)+COUNTIF('5月'!BG31:BH31,R$152)+COUNTIF('5月'!BL31:BM31,R$152)+COUNTIF('5月'!BQ31:BR31,R$152)+COUNTIF('5月'!BV31:BW31,R$152)+COUNTIF('5月'!CA31:CB31,R$152)+COUNTIF('5月'!CF31:CG31,R$152)+COUNTIF('5月'!CK31:CL31,R$152)+COUNTIF('5月'!CP31:CQ31,R$152)+COUNTIF('5月'!CU31:CV31,R$152)+COUNTIF('5月'!CZ31:DA31,R$152)+COUNTIF('5月'!DE31:DF31,R$152)+COUNTIF('5月'!DJ31:DK31,R$152)+COUNTIF('5月'!DO31:DP31,R$152)+COUNTIF('5月'!DT31:DU31,R$152)+COUNTIF('5月'!DY31:DZ31,R$152)+COUNTIF('5月'!ED31:EE31,R$152)+COUNTIF('5月'!EI31:EJ31,R$152)+COUNTIF('5月'!EN31:EO31,R$152)+COUNTIF('5月'!ES31:ET31,R$152)</f>
        <v>0</v>
      </c>
      <c r="S181" s="76">
        <f t="shared" si="56"/>
        <v>0</v>
      </c>
      <c r="T181" s="76">
        <f>COUNTIF('5月'!D31:E31,T$152)+COUNTIF('5月'!I31:J31,T$152)+COUNTIF('5月'!N31:O31,T$152)+COUNTIF('5月'!S31:T31,T$152)+COUNTIF('5月'!X31:Y31,T$152)+COUNTIF('5月'!AC31:AD31,T$152)+COUNTIF('5月'!AH31:AI31,T$152)+COUNTIF('5月'!AM31:AN31,T$152)+COUNTIF('5月'!AR31:AS31,T$152)+COUNTIF('5月'!AW31:AX31,T$152)+COUNTIF('5月'!BB31:BC31,T$152)+COUNTIF('5月'!BG31:BH31,T$152)+COUNTIF('5月'!BL31:BM31,T$152)+COUNTIF('5月'!BQ31:BR31,T$152)+COUNTIF('5月'!BV31:BW31,T$152)+COUNTIF('5月'!CA31:CB31,T$152)+COUNTIF('5月'!CF31:CG31,T$152)+COUNTIF('5月'!CK31:CL31,T$152)+COUNTIF('5月'!CP31:CQ31,T$152)+COUNTIF('5月'!CU31:CV31,T$152)+COUNTIF('5月'!CZ31:DA31,T$152)+COUNTIF('5月'!DE31:DF31,T$152)+COUNTIF('5月'!DJ31:DK31,T$152)+COUNTIF('5月'!DO31:DP31,T$152)+COUNTIF('5月'!DT31:DU31,T$152)+COUNTIF('5月'!DY31:DZ31,T$152)+COUNTIF('5月'!ED31:EE31,T$152)+COUNTIF('5月'!EI31:EJ31,T$152)+COUNTIF('5月'!EN31:EO31,T$152)+COUNTIF('5月'!ES31:ET31,T$152)</f>
        <v>0</v>
      </c>
      <c r="U181" s="76">
        <f t="shared" si="57"/>
        <v>0</v>
      </c>
      <c r="V181" s="76">
        <f>COUNTIF('5月'!D31:E31,V$152)+COUNTIF('5月'!I31:J31,V$152)+COUNTIF('5月'!N31:O31,V$152)+COUNTIF('5月'!S31:T31,V$152)+COUNTIF('5月'!X31:Y31,V$152)+COUNTIF('5月'!AC31:AD31,V$152)+COUNTIF('5月'!AH31:AI31,V$152)+COUNTIF('5月'!AM31:AN31,V$152)+COUNTIF('5月'!AR31:AS31,V$152)+COUNTIF('5月'!AW31:AX31,V$152)+COUNTIF('5月'!BB31:BC31,V$152)+COUNTIF('5月'!BG31:BH31,V$152)+COUNTIF('5月'!BL31:BM31,V$152)+COUNTIF('5月'!BQ31:BR31,V$152)+COUNTIF('5月'!BV31:BW31,V$152)+COUNTIF('5月'!CA31:CB31,V$152)+COUNTIF('5月'!CF31:CG31,V$152)+COUNTIF('5月'!CK31:CL31,V$152)+COUNTIF('5月'!CP31:CQ31,V$152)+COUNTIF('5月'!CU31:CV31,V$152)+COUNTIF('5月'!CZ31:DA31,V$152)+COUNTIF('5月'!DE31:DF31,V$152)+COUNTIF('5月'!DJ31:DK31,V$152)+COUNTIF('5月'!DO31:DP31,V$152)+COUNTIF('5月'!DT31:DU31,V$152)+COUNTIF('5月'!DY31:DZ31,V$152)+COUNTIF('5月'!ED31:EE31,V$152)+COUNTIF('5月'!EI31:EJ31,V$152)+COUNTIF('5月'!EN31:EO31,V$152)+COUNTIF('5月'!ES31:ET31,V$152)</f>
        <v>0</v>
      </c>
      <c r="W181" s="76">
        <f t="shared" si="58"/>
        <v>0</v>
      </c>
      <c r="X181" s="76">
        <f>COUNTIF('5月'!D31:E31,X$152)+COUNTIF('5月'!I31:J31,X$152)+COUNTIF('5月'!N31:O31,X$152)+COUNTIF('5月'!S31:T31,X$152)+COUNTIF('5月'!X31:Y31,X$152)+COUNTIF('5月'!AC31:AD31,X$152)+COUNTIF('5月'!AH31:AI31,X$152)+COUNTIF('5月'!AM31:AN31,X$152)+COUNTIF('5月'!AR31:AS31,X$152)+COUNTIF('5月'!AW31:AX31,X$152)+COUNTIF('5月'!BB31:BC31,X$152)+COUNTIF('5月'!BG31:BH31,X$152)+COUNTIF('5月'!BL31:BM31,X$152)+COUNTIF('5月'!BQ31:BR31,X$152)+COUNTIF('5月'!BV31:BW31,X$152)+COUNTIF('5月'!CA31:CB31,X$152)+COUNTIF('5月'!CF31:CG31,X$152)+COUNTIF('5月'!CK31:CL31,X$152)+COUNTIF('5月'!CP31:CQ31,X$152)+COUNTIF('5月'!CU31:CV31,X$152)+COUNTIF('5月'!CZ31:DA31,X$152)+COUNTIF('5月'!DE31:DF31,X$152)+COUNTIF('5月'!DJ31:DK31,X$152)+COUNTIF('5月'!DO31:DP31,X$152)+COUNTIF('5月'!DT31:DU31,X$152)+COUNTIF('5月'!DY31:DZ31,X$152)+COUNTIF('5月'!ED31:EE31,X$152)+COUNTIF('5月'!EI31:EJ31,X$152)+COUNTIF('5月'!EN31:EO31,X$152)+COUNTIF('5月'!ES31:ET31,X$152)</f>
        <v>0</v>
      </c>
      <c r="Y181" s="76">
        <f t="shared" si="59"/>
        <v>0</v>
      </c>
    </row>
    <row r="182" spans="1:25" ht="18" customHeight="1">
      <c r="A182" s="76">
        <v>29</v>
      </c>
      <c r="B182" s="76">
        <f>COUNTIF('5月'!D32:E32,B$152)+COUNTIF('5月'!I32:J32,B$152)+COUNTIF('5月'!N32:O32,B$152)+COUNTIF('5月'!S32:T32,B$152)+COUNTIF('5月'!X32:Y32,B$152)+COUNTIF('5月'!AC32:AD32,B$152)+COUNTIF('5月'!AH32:AI32,B$152)+COUNTIF('5月'!AM32:AN32,B$152)+COUNTIF('5月'!AR32:AS32,B$152)+COUNTIF('5月'!AW32:AX32,B$152)+COUNTIF('5月'!BB32:BC32,B$152)+COUNTIF('5月'!BG32:BH32,B$152)+COUNTIF('5月'!BL32:BM32,B$152)+COUNTIF('5月'!BQ32:BR32,B$152)+COUNTIF('5月'!BV32:BW32,B$152)+COUNTIF('5月'!CA32:CB32,B$152)+COUNTIF('5月'!CF32:CG32,B$152)+COUNTIF('5月'!CK32:CL32,B$152)+COUNTIF('5月'!CP32:CQ32,B$152)+COUNTIF('5月'!CU32:CV32,B$152)+COUNTIF('5月'!CZ32:DA32,B$152)+COUNTIF('5月'!DE32:DF32,B$152)+COUNTIF('5月'!DJ32:DK32,B$152)+COUNTIF('5月'!DO32:DP32,B$152)+COUNTIF('5月'!DT32:DU32,B$152)+COUNTIF('5月'!DY32:DZ32,B$152)+COUNTIF('5月'!ED32:EE32,B$152)+COUNTIF('5月'!EI32:EJ32,B$152)+COUNTIF('5月'!EN32:EO32,B$152)+COUNTIF('5月'!ES32:ET32,B$152)</f>
        <v>0</v>
      </c>
      <c r="C182" s="76">
        <f t="shared" si="48"/>
        <v>0</v>
      </c>
      <c r="D182" s="76">
        <f>COUNTIF('5月'!D32:E32,D$152)+COUNTIF('5月'!I32:J32,D$152)+COUNTIF('5月'!N32:O32,D$152)+COUNTIF('5月'!S32:T32,D$152)+COUNTIF('5月'!X32:Y32,D$152)+COUNTIF('5月'!AC32:AD32,D$152)+COUNTIF('5月'!AH32:AI32,D$152)+COUNTIF('5月'!AM32:AN32,D$152)+COUNTIF('5月'!AR32:AS32,D$152)+COUNTIF('5月'!AW32:AX32,D$152)+COUNTIF('5月'!BB32:BC32,D$152)+COUNTIF('5月'!BG32:BH32,D$152)+COUNTIF('5月'!BL32:BM32,D$152)+COUNTIF('5月'!BQ32:BR32,D$152)+COUNTIF('5月'!BV32:BW32,D$152)+COUNTIF('5月'!CA32:CB32,D$152)+COUNTIF('5月'!CF32:CG32,D$152)+COUNTIF('5月'!CK32:CL32,D$152)+COUNTIF('5月'!CP32:CQ32,D$152)+COUNTIF('5月'!CU32:CV32,D$152)+COUNTIF('5月'!CZ32:DA32,D$152)+COUNTIF('5月'!DE32:DF32,D$152)+COUNTIF('5月'!DJ32:DK32,D$152)+COUNTIF('5月'!DO32:DP32,D$152)+COUNTIF('5月'!DT32:DU32,D$152)+COUNTIF('5月'!DY32:DZ32,D$152)+COUNTIF('5月'!ED32:EE32,D$152)+COUNTIF('5月'!EI32:EJ32,D$152)+COUNTIF('5月'!EN32:EO32,D$152)+COUNTIF('5月'!ES32:ET32,D$152)</f>
        <v>0</v>
      </c>
      <c r="E182" s="76">
        <f t="shared" si="49"/>
        <v>0</v>
      </c>
      <c r="F182" s="76">
        <f>COUNTIF('5月'!D32:E32,F$152)+COUNTIF('5月'!I32:J32,F$152)+COUNTIF('5月'!N32:O32,F$152)+COUNTIF('5月'!S32:T32,F$152)+COUNTIF('5月'!X32:Y32,F$152)+COUNTIF('5月'!AC32:AD32,F$152)+COUNTIF('5月'!AH32:AI32,F$152)+COUNTIF('5月'!AM32:AN32,F$152)+COUNTIF('5月'!AR32:AS32,F$152)+COUNTIF('5月'!AW32:AX32,F$152)+COUNTIF('5月'!BB32:BC32,F$152)+COUNTIF('5月'!BG32:BH32,F$152)+COUNTIF('5月'!BL32:BM32,F$152)+COUNTIF('5月'!BQ32:BR32,F$152)+COUNTIF('5月'!BV32:BW32,F$152)+COUNTIF('5月'!CA32:CB32,F$152)+COUNTIF('5月'!CF32:CG32,F$152)+COUNTIF('5月'!CK32:CL32,F$152)+COUNTIF('5月'!CP32:CQ32,F$152)+COUNTIF('5月'!CU32:CV32,F$152)+COUNTIF('5月'!CZ32:DA32,F$152)+COUNTIF('5月'!DE32:DF32,F$152)+COUNTIF('5月'!DJ32:DK32,F$152)+COUNTIF('5月'!DO32:DP32,F$152)+COUNTIF('5月'!DT32:DU32,F$152)+COUNTIF('5月'!DY32:DZ32,F$152)+COUNTIF('5月'!ED32:EE32,F$152)+COUNTIF('5月'!EI32:EJ32,F$152)+COUNTIF('5月'!EN32:EO32,F$152)+COUNTIF('5月'!ES32:ET32,F$152)</f>
        <v>0</v>
      </c>
      <c r="G182" s="76">
        <f t="shared" si="50"/>
        <v>0</v>
      </c>
      <c r="H182" s="76">
        <f>COUNTIF('5月'!D32:E32,H$152)+COUNTIF('5月'!I32:J32,H$152)+COUNTIF('5月'!N32:O32,H$152)+COUNTIF('5月'!S32:T32,H$152)+COUNTIF('5月'!X32:Y32,H$152)+COUNTIF('5月'!AC32:AD32,H$152)+COUNTIF('5月'!AH32:AI32,H$152)+COUNTIF('5月'!AM32:AN32,H$152)+COUNTIF('5月'!AR32:AS32,H$152)+COUNTIF('5月'!AW32:AX32,H$152)+COUNTIF('5月'!BB32:BC32,H$152)+COUNTIF('5月'!BG32:BH32,H$152)+COUNTIF('5月'!BL32:BM32,H$152)+COUNTIF('5月'!BQ32:BR32,H$152)+COUNTIF('5月'!BV32:BW32,H$152)+COUNTIF('5月'!CA32:CB32,H$152)+COUNTIF('5月'!CF32:CG32,H$152)+COUNTIF('5月'!CK32:CL32,H$152)+COUNTIF('5月'!CP32:CQ32,H$152)+COUNTIF('5月'!CU32:CV32,H$152)+COUNTIF('5月'!CZ32:DA32,H$152)+COUNTIF('5月'!DE32:DF32,H$152)+COUNTIF('5月'!DJ32:DK32,H$152)+COUNTIF('5月'!DO32:DP32,H$152)+COUNTIF('5月'!DT32:DU32,H$152)+COUNTIF('5月'!DY32:DZ32,H$152)+COUNTIF('5月'!ED32:EE32,H$152)+COUNTIF('5月'!EI32:EJ32,H$152)+COUNTIF('5月'!EN32:EO32,H$152)+COUNTIF('5月'!ES32:ET32,H$152)+COUNTIF('5月'!D32:E32,"渋谷-夜勤")+COUNTIF('5月'!I32:J32,"渋谷-夜勤")+COUNTIF('5月'!N32:O32,"渋谷-夜勤")+COUNTIF('5月'!S32:T32,"渋谷-夜勤")+COUNTIF('5月'!X32:Y32,"渋谷-夜勤")+COUNTIF('5月'!AC32:AD32,"渋谷-夜勤")+COUNTIF('5月'!AH32:AI32,"渋谷-夜勤")+COUNTIF('5月'!AM32:AN32,"渋谷-夜勤")+COUNTIF('5月'!AR32:AS32,"渋谷-夜勤")+COUNTIF('5月'!AW32:AX32,"渋谷-夜勤")+COUNTIF('5月'!BB32:BC32,"渋谷-夜勤")+COUNTIF('5月'!BG32:BH32,"渋谷-夜勤")+COUNTIF('5月'!BL32:BM32,"渋谷-夜勤")+COUNTIF('5月'!BQ32:BR32,"渋谷-夜勤")+COUNTIF('5月'!BV32:BW32,"渋谷-夜勤")+COUNTIF('5月'!CA32:CB32,"渋谷-夜勤")+COUNTIF('5月'!CF32:CG32,"渋谷-夜勤")+COUNTIF('5月'!CK32:CL32,"渋谷-夜勤")+COUNTIF('5月'!CP32:CQ32,"渋谷-夜勤")+COUNTIF('5月'!CU32:CV32,"渋谷-夜勤")+COUNTIF('5月'!CZ32:DA32,"渋谷-夜勤")+COUNTIF('5月'!DE32:DF32,"渋谷-夜勤")+COUNTIF('5月'!DJ32:DK32,"渋谷-夜勤")+COUNTIF('5月'!DO32:DP32,"渋谷-夜勤")+COUNTIF('5月'!DT32:DU32,"渋谷-夜勤")+COUNTIF('5月'!DY32:DZ32,"渋谷-夜勤")+COUNTIF('5月'!ED32:EE32,"渋谷-夜勤")+COUNTIF('5月'!EI32:EJ32,"渋谷-夜勤")+COUNTIF('5月'!EN32:EO32,"渋谷-夜勤")+COUNTIF('5月'!ES32:ET32,"渋谷-夜勤")</f>
        <v>0</v>
      </c>
      <c r="I182" s="76">
        <f t="shared" si="51"/>
        <v>0</v>
      </c>
      <c r="J182" s="76">
        <f>COUNTIF('5月'!D32:E32,J$152)+COUNTIF('5月'!I32:J32,J$152)+COUNTIF('5月'!N32:O32,J$152)+COUNTIF('5月'!S32:T32,J$152)+COUNTIF('5月'!X32:Y32,J$152)+COUNTIF('5月'!AC32:AD32,J$152)+COUNTIF('5月'!AH32:AI32,J$152)+COUNTIF('5月'!AM32:AN32,J$152)+COUNTIF('5月'!AR32:AS32,J$152)+COUNTIF('5月'!AW32:AX32,J$152)+COUNTIF('5月'!BB32:BC32,J$152)+COUNTIF('5月'!BG32:BH32,J$152)+COUNTIF('5月'!BL32:BM32,J$152)+COUNTIF('5月'!BQ32:BR32,J$152)+COUNTIF('5月'!BV32:BW32,J$152)+COUNTIF('5月'!CA32:CB32,J$152)+COUNTIF('5月'!CF32:CG32,J$152)+COUNTIF('5月'!CK32:CL32,J$152)+COUNTIF('5月'!CP32:CQ32,J$152)+COUNTIF('5月'!CU32:CV32,J$152)+COUNTIF('5月'!CZ32:DA32,J$152)+COUNTIF('5月'!DE32:DF32,J$152)+COUNTIF('5月'!DJ32:DK32,J$152)+COUNTIF('5月'!DO32:DP32,J$152)+COUNTIF('5月'!DT32:DU32,J$152)+COUNTIF('5月'!DY32:DZ32,J$152)+COUNTIF('5月'!ED32:EE32,J$152)+COUNTIF('5月'!EI32:EJ32,J$152)+COUNTIF('5月'!EN32:EO32,J$152)+COUNTIF('5月'!ES32:ET32,J$152)+COUNTIF('5月'!D32:E32,"六本木-夜勤")+COUNTIF('5月'!I32:J32,"六本木-夜勤")+COUNTIF('5月'!N32:O32,"六本木-夜勤")+COUNTIF('5月'!S32:T32,"六本木-夜勤")+COUNTIF('5月'!X32:Y32,"六本木-夜勤")+COUNTIF('5月'!AC32:AD32,"六本木-夜勤")+COUNTIF('5月'!AH32:AI32,"六本木-夜勤")+COUNTIF('5月'!AM32:AN32,"六本木-夜勤")+COUNTIF('5月'!AR32:AS32,"六本木-夜勤")+COUNTIF('5月'!AW32:AX32,"六本木-夜勤")+COUNTIF('5月'!BB32:BC32,"六本木-夜勤")+COUNTIF('5月'!BG32:BH32,"六本木-夜勤")+COUNTIF('5月'!BL32:BM32,"六本木-夜勤")+COUNTIF('5月'!BQ32:BR32,"六本木-夜勤")+COUNTIF('5月'!BV32:BW32,"六本木-夜勤")+COUNTIF('5月'!CA32:CB32,"六本木-夜勤")+COUNTIF('5月'!CF32:CG32,"六本木-夜勤")+COUNTIF('5月'!CK32:CL32,"六本木-夜勤")+COUNTIF('5月'!CP32:CQ32,"六本木-夜勤")+COUNTIF('5月'!CU32:CV32,"六本木-夜勤")+COUNTIF('5月'!CZ32:DA32,"六本木-夜勤")+COUNTIF('5月'!DE32:DF32,"六本木-夜勤")+COUNTIF('5月'!DJ32:DK32,"六本木-夜勤")+COUNTIF('5月'!DO32:DP32,"六本木-夜勤")+COUNTIF('5月'!DT32:DU32,"六本木-夜勤")+COUNTIF('5月'!DY32:DZ32,"六本木-夜勤")+COUNTIF('5月'!ED32:EE32,"六本木-夜勤")+COUNTIF('5月'!EI32:EJ32,"六本木-夜勤")+COUNTIF('5月'!EN32:EO32,"六本木-夜勤")+COUNTIF('5月'!ES32:ET32,"六本木-夜勤")+COUNTIF('5月'!D32:E32,"六本木ー夜勤")+COUNTIF('5月'!I32:J32,"六本木ー夜勤")+COUNTIF('5月'!N32:O32,"六本木ー夜勤")+COUNTIF('5月'!S32:T32,"六本木ー夜勤")+COUNTIF('5月'!X32:Y32,"六本木ー夜勤")+COUNTIF('5月'!AC32:AD32,"六本木ー夜勤")+COUNTIF('5月'!AH32:AI32,"六本木ー夜勤")+COUNTIF('5月'!AM32:AN32,"六本木ー夜勤")+COUNTIF('5月'!AR32:AS32,"六本木ー夜勤")+COUNTIF('5月'!AW32:AX32,"六本木ー夜勤")+COUNTIF('5月'!BB32:BC32,"六本木ー夜勤")+COUNTIF('5月'!BG32:BH32,"六本木ー夜勤")+COUNTIF('5月'!BL32:BM32,"六本木ー夜勤")+COUNTIF('5月'!BQ32:BR32,"六本木ー夜勤")+COUNTIF('5月'!BV32:BW32,"六本木ー夜勤")+COUNTIF('5月'!CA32:CB32,"六本木ー夜勤")+COUNTIF('5月'!CF32:CG32,"六本木ー夜勤")+COUNTIF('5月'!CK32:CL32,"六本木ー夜勤")+COUNTIF('5月'!CP32:CQ32,"六本木ー夜勤")+COUNTIF('5月'!CU32:CV32,"六本木ー夜勤")+COUNTIF('5月'!CZ32:DA32,"六本木ー夜勤")+COUNTIF('5月'!DE32:DF32,"六本木ー夜勤")+COUNTIF('5月'!DJ32:DK32,"六本木ー夜勤")+COUNTIF('5月'!DO32:DP32,"六本木ー夜勤")+COUNTIF('5月'!DT32:DU32,"六本木ー夜勤")+COUNTIF('5月'!DY32:DZ32,"六本木ー夜勤")+COUNTIF('5月'!ED32:EE32,"六本木ー夜勤")+COUNTIF('5月'!EI32:EJ32,"六本木ー夜勤")+COUNTIF('5月'!EN32:EO32,"六本木ー夜勤")+COUNTIF('5月'!ES32:ET32,"六本木ー夜勤")</f>
        <v>0</v>
      </c>
      <c r="K182" s="76">
        <f t="shared" si="52"/>
        <v>0</v>
      </c>
      <c r="L182" s="76">
        <f>COUNTIF('5月'!D32:E32,L$152)+COUNTIF('5月'!I32:J32,L$152)+COUNTIF('5月'!N32:O32,L$152)+COUNTIF('5月'!S32:T32,L$152)+COUNTIF('5月'!X32:Y32,L$152)+COUNTIF('5月'!AC32:AD32,L$152)+COUNTIF('5月'!AH32:AI32,L$152)+COUNTIF('5月'!AM32:AN32,L$152)+COUNTIF('5月'!AR32:AS32,L$152)+COUNTIF('5月'!AW32:AX32,L$152)+COUNTIF('5月'!BB32:BC32,L$152)+COUNTIF('5月'!BG32:BH32,L$152)+COUNTIF('5月'!BL32:BM32,L$152)+COUNTIF('5月'!BQ32:BR32,L$152)+COUNTIF('5月'!BV32:BW32,L$152)+COUNTIF('5月'!CA32:CB32,L$152)+COUNTIF('5月'!CF32:CG32,L$152)+COUNTIF('5月'!CK32:CL32,L$152)+COUNTIF('5月'!CP32:CQ32,L$152)+COUNTIF('5月'!CU32:CV32,L$152)+COUNTIF('5月'!CZ32:DA32,L$152)+COUNTIF('5月'!DE32:DF32,L$152)+COUNTIF('5月'!DJ32:DK32,L$152)+COUNTIF('5月'!DO32:DP32,L$152)+COUNTIF('5月'!DT32:DU32,L$152)+COUNTIF('5月'!DY32:DZ32,L$152)+COUNTIF('5月'!ED32:EE32,L$152)+COUNTIF('5月'!EI32:EJ32,L$152)+COUNTIF('5月'!EN32:EO32,L$152)+COUNTIF('5月'!ES32:ET32,L$152)</f>
        <v>0</v>
      </c>
      <c r="M182" s="76">
        <f t="shared" si="53"/>
        <v>0</v>
      </c>
      <c r="N182" s="76">
        <f>COUNTIF('5月'!D32:E32,N$152)+COUNTIF('5月'!I32:J32,N$152)+COUNTIF('5月'!N32:O32,N$152)+COUNTIF('5月'!S32:T32,N$152)+COUNTIF('5月'!X32:Y32,N$152)+COUNTIF('5月'!AC32:AD32,N$152)+COUNTIF('5月'!AH32:AI32,N$152)+COUNTIF('5月'!AM32:AN32,N$152)+COUNTIF('5月'!AR32:AS32,N$152)+COUNTIF('5月'!AW32:AX32,N$152)+COUNTIF('5月'!BB32:BC32,N$152)+COUNTIF('5月'!BG32:BH32,N$152)+COUNTIF('5月'!BL32:BM32,N$152)+COUNTIF('5月'!BQ32:BR32,N$152)+COUNTIF('5月'!BV32:BW32,N$152)+COUNTIF('5月'!CA32:CB32,N$152)+COUNTIF('5月'!CF32:CG32,N$152)+COUNTIF('5月'!CK32:CL32,N$152)+COUNTIF('5月'!CP32:CQ32,N$152)+COUNTIF('5月'!CU32:CV32,N$152)+COUNTIF('5月'!CZ32:DA32,N$152)+COUNTIF('5月'!DE32:DF32,N$152)+COUNTIF('5月'!DJ32:DK32,N$152)+COUNTIF('5月'!DO32:DP32,N$152)+COUNTIF('5月'!DT32:DU32,N$152)+COUNTIF('5月'!DY32:DZ32,N$152)+COUNTIF('5月'!ED32:EE32,N$152)+COUNTIF('5月'!EI32:EJ32,N$152)+COUNTIF('5月'!EN32:EO32,N$152)+COUNTIF('5月'!ES32:ET32,N$152)+COUNTIF('5月'!D32:E32,"三軒茶屋－夜勤")+COUNTIF('5月'!I32:J32,"三軒茶屋－夜勤")+COUNTIF('5月'!N32:O32,"三軒茶屋－夜勤")+COUNTIF('5月'!S32:T32,"三軒茶屋－夜勤")+COUNTIF('5月'!X32:Y32,"三軒茶屋－夜勤")+COUNTIF('5月'!AC32:AD32,"三軒茶屋－夜勤")+COUNTIF('5月'!AH32:AI32,"三軒茶屋－夜勤")+COUNTIF('5月'!AM32:AN32,"三軒茶屋－夜勤")+COUNTIF('5月'!AR32:AS32,"三軒茶屋－夜勤")+COUNTIF('5月'!AW32:AX32,"三軒茶屋－夜勤")+COUNTIF('5月'!BB32:BC32,"三軒茶屋－夜勤")+COUNTIF('5月'!BG32:BH32,"三軒茶屋－夜勤")+COUNTIF('5月'!BL32:BM32,"三軒茶屋－夜勤")+COUNTIF('5月'!BQ32:BR32,"三軒茶屋－夜勤")+COUNTIF('5月'!BV32:BW32,"三軒茶屋－夜勤")+COUNTIF('5月'!CA32:CB32,"三軒茶屋－夜勤")+COUNTIF('5月'!CF32:CG32,"三軒茶屋－夜勤")+COUNTIF('5月'!CK32:CL32,"三軒茶屋－夜勤")+COUNTIF('5月'!CP32:CQ32,"三軒茶屋－夜勤")+COUNTIF('5月'!CU32:CV32,"三軒茶屋－夜勤")+COUNTIF('5月'!CZ32:DA32,"三軒茶屋－夜勤")+COUNTIF('5月'!DE32:DF32,"三軒茶屋－夜勤")+COUNTIF('5月'!DJ32:DK32,"三軒茶屋－夜勤")+COUNTIF('5月'!DO32:DP32,"三軒茶屋－夜勤")+COUNTIF('5月'!DT32:DU32,"三軒茶屋－夜勤")+COUNTIF('5月'!DY32:DZ32,"三軒茶屋－夜勤")+COUNTIF('5月'!ED32:EE32,"三軒茶屋－夜勤")+COUNTIF('5月'!EI32:EJ32,"三軒茶屋－夜勤")+COUNTIF('5月'!EN32:EO32,"三軒茶屋－夜勤")+COUNTIF('5月'!ES32:ET32,"三軒茶屋－夜勤")</f>
        <v>0</v>
      </c>
      <c r="O182" s="76">
        <f t="shared" si="54"/>
        <v>0</v>
      </c>
      <c r="P182" s="76">
        <f>COUNTIF('5月'!D32:E32,P$152)+COUNTIF('5月'!I32:J32,P$152)+COUNTIF('5月'!N32:O32,P$152)+COUNTIF('5月'!S32:T32,P$152)+COUNTIF('5月'!X32:Y32,P$152)+COUNTIF('5月'!AC32:AD32,P$152)+COUNTIF('5月'!AH32:AI32,P$152)+COUNTIF('5月'!AM32:AN32,P$152)+COUNTIF('5月'!AR32:AS32,P$152)+COUNTIF('5月'!AW32:AX32,P$152)+COUNTIF('5月'!BB32:BC32,P$152)+COUNTIF('5月'!BG32:BH32,P$152)+COUNTIF('5月'!BL32:BM32,P$152)+COUNTIF('5月'!BQ32:BR32,P$152)+COUNTIF('5月'!BV32:BW32,P$152)+COUNTIF('5月'!CA32:CB32,P$152)+COUNTIF('5月'!CF32:CG32,P$152)+COUNTIF('5月'!CK32:CL32,P$152)+COUNTIF('5月'!CP32:CQ32,P$152)+COUNTIF('5月'!CU32:CV32,P$152)+COUNTIF('5月'!CZ32:DA32,P$152)+COUNTIF('5月'!DE32:DF32,P$152)+COUNTIF('5月'!DJ32:DK32,P$152)+COUNTIF('5月'!DO32:DP32,P$152)+COUNTIF('5月'!DT32:DU32,P$152)+COUNTIF('5月'!DY32:DZ32,P$152)+COUNTIF('5月'!ED32:EE32,P$152)+COUNTIF('5月'!EI32:EJ32,P$152)+COUNTIF('5月'!EN32:EO32,P$152)+COUNTIF('5月'!ES32:ET32,P$152)+COUNTIF('5月'!D32:E32,"荻窪ー夜勤")+COUNTIF('5月'!I32:J32,"荻窪ー夜勤")+COUNTIF('5月'!N32:O32,"荻窪ー夜勤")+COUNTIF('5月'!S32:T32,"荻窪ー夜勤")+COUNTIF('5月'!X32:Y32,"荻窪ー夜勤")+COUNTIF('5月'!AC32:AD32,"荻窪ー夜勤")+COUNTIF('5月'!AH32:AI32,"荻窪ー夜勤")+COUNTIF('5月'!AM32:AN32,"荻窪ー夜勤")+COUNTIF('5月'!AR32:AS32,"荻窪ー夜勤")+COUNTIF('5月'!AW32:AX32,"荻窪ー夜勤")+COUNTIF('5月'!BB32:BC32,"荻窪ー夜勤")+COUNTIF('5月'!BG32:BH32,"荻窪ー夜勤")+COUNTIF('5月'!BL32:BM32,"荻窪ー夜勤")+COUNTIF('5月'!BQ32:BR32,"荻窪ー夜勤")+COUNTIF('5月'!BV32:BW32,"荻窪ー夜勤")+COUNTIF('5月'!CA32:CB32,"荻窪ー夜勤")+COUNTIF('5月'!CF32:CG32,"荻窪ー夜勤")+COUNTIF('5月'!CK32:CL32,"荻窪ー夜勤")+COUNTIF('5月'!CP32:CQ32,"荻窪ー夜勤")+COUNTIF('5月'!CU32:CV32,"荻窪ー夜勤")+COUNTIF('5月'!CZ32:DA32,"荻窪ー夜勤")+COUNTIF('5月'!DE32:DF32,"荻窪ー夜勤")+COUNTIF('5月'!DJ32:DK32,"荻窪ー夜勤")+COUNTIF('5月'!DO32:DP32,"荻窪ー夜勤")+COUNTIF('5月'!DT32:DU32,"荻窪ー夜勤")+COUNTIF('5月'!DY32:DZ32,"荻窪ー夜勤")+COUNTIF('5月'!ED32:EE32,"荻窪ー夜勤")+COUNTIF('5月'!EI32:EJ32,"荻窪ー夜勤")+COUNTIF('5月'!EN32:EO32,"荻窪ー夜勤")+COUNTIF('5月'!ES32:ET32,"荻窪ー夜勤")</f>
        <v>0</v>
      </c>
      <c r="Q182" s="76">
        <f t="shared" si="55"/>
        <v>0</v>
      </c>
      <c r="R182" s="76">
        <f>COUNTIF('5月'!D32:E32,R$152)+COUNTIF('5月'!I32:J32,R$152)+COUNTIF('5月'!N32:O32,R$152)+COUNTIF('5月'!S32:T32,R$152)+COUNTIF('5月'!X32:Y32,R$152)+COUNTIF('5月'!AC32:AD32,R$152)+COUNTIF('5月'!AH32:AI32,R$152)+COUNTIF('5月'!AM32:AN32,R$152)+COUNTIF('5月'!AR32:AS32,R$152)+COUNTIF('5月'!AW32:AX32,R$152)+COUNTIF('5月'!BB32:BC32,R$152)+COUNTIF('5月'!BG32:BH32,R$152)+COUNTIF('5月'!BL32:BM32,R$152)+COUNTIF('5月'!BQ32:BR32,R$152)+COUNTIF('5月'!BV32:BW32,R$152)+COUNTIF('5月'!CA32:CB32,R$152)+COUNTIF('5月'!CF32:CG32,R$152)+COUNTIF('5月'!CK32:CL32,R$152)+COUNTIF('5月'!CP32:CQ32,R$152)+COUNTIF('5月'!CU32:CV32,R$152)+COUNTIF('5月'!CZ32:DA32,R$152)+COUNTIF('5月'!DE32:DF32,R$152)+COUNTIF('5月'!DJ32:DK32,R$152)+COUNTIF('5月'!DO32:DP32,R$152)+COUNTIF('5月'!DT32:DU32,R$152)+COUNTIF('5月'!DY32:DZ32,R$152)+COUNTIF('5月'!ED32:EE32,R$152)+COUNTIF('5月'!EI32:EJ32,R$152)+COUNTIF('5月'!EN32:EO32,R$152)+COUNTIF('5月'!ES32:ET32,R$152)</f>
        <v>0</v>
      </c>
      <c r="S182" s="76">
        <f t="shared" si="56"/>
        <v>0</v>
      </c>
      <c r="T182" s="76">
        <f>COUNTIF('5月'!D32:E32,T$152)+COUNTIF('5月'!I32:J32,T$152)+COUNTIF('5月'!N32:O32,T$152)+COUNTIF('5月'!S32:T32,T$152)+COUNTIF('5月'!X32:Y32,T$152)+COUNTIF('5月'!AC32:AD32,T$152)+COUNTIF('5月'!AH32:AI32,T$152)+COUNTIF('5月'!AM32:AN32,T$152)+COUNTIF('5月'!AR32:AS32,T$152)+COUNTIF('5月'!AW32:AX32,T$152)+COUNTIF('5月'!BB32:BC32,T$152)+COUNTIF('5月'!BG32:BH32,T$152)+COUNTIF('5月'!BL32:BM32,T$152)+COUNTIF('5月'!BQ32:BR32,T$152)+COUNTIF('5月'!BV32:BW32,T$152)+COUNTIF('5月'!CA32:CB32,T$152)+COUNTIF('5月'!CF32:CG32,T$152)+COUNTIF('5月'!CK32:CL32,T$152)+COUNTIF('5月'!CP32:CQ32,T$152)+COUNTIF('5月'!CU32:CV32,T$152)+COUNTIF('5月'!CZ32:DA32,T$152)+COUNTIF('5月'!DE32:DF32,T$152)+COUNTIF('5月'!DJ32:DK32,T$152)+COUNTIF('5月'!DO32:DP32,T$152)+COUNTIF('5月'!DT32:DU32,T$152)+COUNTIF('5月'!DY32:DZ32,T$152)+COUNTIF('5月'!ED32:EE32,T$152)+COUNTIF('5月'!EI32:EJ32,T$152)+COUNTIF('5月'!EN32:EO32,T$152)+COUNTIF('5月'!ES32:ET32,T$152)</f>
        <v>0</v>
      </c>
      <c r="U182" s="76">
        <f t="shared" si="57"/>
        <v>0</v>
      </c>
      <c r="V182" s="76">
        <f>COUNTIF('5月'!D32:E32,V$152)+COUNTIF('5月'!I32:J32,V$152)+COUNTIF('5月'!N32:O32,V$152)+COUNTIF('5月'!S32:T32,V$152)+COUNTIF('5月'!X32:Y32,V$152)+COUNTIF('5月'!AC32:AD32,V$152)+COUNTIF('5月'!AH32:AI32,V$152)+COUNTIF('5月'!AM32:AN32,V$152)+COUNTIF('5月'!AR32:AS32,V$152)+COUNTIF('5月'!AW32:AX32,V$152)+COUNTIF('5月'!BB32:BC32,V$152)+COUNTIF('5月'!BG32:BH32,V$152)+COUNTIF('5月'!BL32:BM32,V$152)+COUNTIF('5月'!BQ32:BR32,V$152)+COUNTIF('5月'!BV32:BW32,V$152)+COUNTIF('5月'!CA32:CB32,V$152)+COUNTIF('5月'!CF32:CG32,V$152)+COUNTIF('5月'!CK32:CL32,V$152)+COUNTIF('5月'!CP32:CQ32,V$152)+COUNTIF('5月'!CU32:CV32,V$152)+COUNTIF('5月'!CZ32:DA32,V$152)+COUNTIF('5月'!DE32:DF32,V$152)+COUNTIF('5月'!DJ32:DK32,V$152)+COUNTIF('5月'!DO32:DP32,V$152)+COUNTIF('5月'!DT32:DU32,V$152)+COUNTIF('5月'!DY32:DZ32,V$152)+COUNTIF('5月'!ED32:EE32,V$152)+COUNTIF('5月'!EI32:EJ32,V$152)+COUNTIF('5月'!EN32:EO32,V$152)+COUNTIF('5月'!ES32:ET32,V$152)</f>
        <v>0</v>
      </c>
      <c r="W182" s="76">
        <f t="shared" si="58"/>
        <v>0</v>
      </c>
      <c r="X182" s="76">
        <f>COUNTIF('5月'!D32:E32,X$152)+COUNTIF('5月'!I32:J32,X$152)+COUNTIF('5月'!N32:O32,X$152)+COUNTIF('5月'!S32:T32,X$152)+COUNTIF('5月'!X32:Y32,X$152)+COUNTIF('5月'!AC32:AD32,X$152)+COUNTIF('5月'!AH32:AI32,X$152)+COUNTIF('5月'!AM32:AN32,X$152)+COUNTIF('5月'!AR32:AS32,X$152)+COUNTIF('5月'!AW32:AX32,X$152)+COUNTIF('5月'!BB32:BC32,X$152)+COUNTIF('5月'!BG32:BH32,X$152)+COUNTIF('5月'!BL32:BM32,X$152)+COUNTIF('5月'!BQ32:BR32,X$152)+COUNTIF('5月'!BV32:BW32,X$152)+COUNTIF('5月'!CA32:CB32,X$152)+COUNTIF('5月'!CF32:CG32,X$152)+COUNTIF('5月'!CK32:CL32,X$152)+COUNTIF('5月'!CP32:CQ32,X$152)+COUNTIF('5月'!CU32:CV32,X$152)+COUNTIF('5月'!CZ32:DA32,X$152)+COUNTIF('5月'!DE32:DF32,X$152)+COUNTIF('5月'!DJ32:DK32,X$152)+COUNTIF('5月'!DO32:DP32,X$152)+COUNTIF('5月'!DT32:DU32,X$152)+COUNTIF('5月'!DY32:DZ32,X$152)+COUNTIF('5月'!ED32:EE32,X$152)+COUNTIF('5月'!EI32:EJ32,X$152)+COUNTIF('5月'!EN32:EO32,X$152)+COUNTIF('5月'!ES32:ET32,X$152)</f>
        <v>0</v>
      </c>
      <c r="Y182" s="76">
        <f t="shared" si="59"/>
        <v>0</v>
      </c>
    </row>
    <row r="183" spans="1:25" ht="18" customHeight="1">
      <c r="A183" s="76">
        <v>30</v>
      </c>
      <c r="B183" s="76">
        <f>COUNTIF('5月'!D33:E33,B$152)+COUNTIF('5月'!I33:J33,B$152)+COUNTIF('5月'!N33:O33,B$152)+COUNTIF('5月'!S33:T33,B$152)+COUNTIF('5月'!X33:Y33,B$152)+COUNTIF('5月'!AC33:AD33,B$152)+COUNTIF('5月'!AH33:AI33,B$152)+COUNTIF('5月'!AM33:AN33,B$152)+COUNTIF('5月'!AR33:AS33,B$152)+COUNTIF('5月'!AW33:AX33,B$152)+COUNTIF('5月'!BB33:BC33,B$152)+COUNTIF('5月'!BG33:BH33,B$152)+COUNTIF('5月'!BL33:BM33,B$152)+COUNTIF('5月'!BQ33:BR33,B$152)+COUNTIF('5月'!BV33:BW33,B$152)+COUNTIF('5月'!CA33:CB33,B$152)+COUNTIF('5月'!CF33:CG33,B$152)+COUNTIF('5月'!CK33:CL33,B$152)+COUNTIF('5月'!CP33:CQ33,B$152)+COUNTIF('5月'!CU33:CV33,B$152)+COUNTIF('5月'!CZ33:DA33,B$152)+COUNTIF('5月'!DE33:DF33,B$152)+COUNTIF('5月'!DJ33:DK33,B$152)+COUNTIF('5月'!DO33:DP33,B$152)+COUNTIF('5月'!DT33:DU33,B$152)+COUNTIF('5月'!DY33:DZ33,B$152)+COUNTIF('5月'!ED33:EE33,B$152)+COUNTIF('5月'!EI33:EJ33,B$152)+COUNTIF('5月'!EN33:EO33,B$152)+COUNTIF('5月'!ES33:ET33,B$152)</f>
        <v>0</v>
      </c>
      <c r="C183" s="76">
        <f t="shared" si="48"/>
        <v>0</v>
      </c>
      <c r="D183" s="76">
        <f>COUNTIF('5月'!D33:E33,D$152)+COUNTIF('5月'!I33:J33,D$152)+COUNTIF('5月'!N33:O33,D$152)+COUNTIF('5月'!S33:T33,D$152)+COUNTIF('5月'!X33:Y33,D$152)+COUNTIF('5月'!AC33:AD33,D$152)+COUNTIF('5月'!AH33:AI33,D$152)+COUNTIF('5月'!AM33:AN33,D$152)+COUNTIF('5月'!AR33:AS33,D$152)+COUNTIF('5月'!AW33:AX33,D$152)+COUNTIF('5月'!BB33:BC33,D$152)+COUNTIF('5月'!BG33:BH33,D$152)+COUNTIF('5月'!BL33:BM33,D$152)+COUNTIF('5月'!BQ33:BR33,D$152)+COUNTIF('5月'!BV33:BW33,D$152)+COUNTIF('5月'!CA33:CB33,D$152)+COUNTIF('5月'!CF33:CG33,D$152)+COUNTIF('5月'!CK33:CL33,D$152)+COUNTIF('5月'!CP33:CQ33,D$152)+COUNTIF('5月'!CU33:CV33,D$152)+COUNTIF('5月'!CZ33:DA33,D$152)+COUNTIF('5月'!DE33:DF33,D$152)+COUNTIF('5月'!DJ33:DK33,D$152)+COUNTIF('5月'!DO33:DP33,D$152)+COUNTIF('5月'!DT33:DU33,D$152)+COUNTIF('5月'!DY33:DZ33,D$152)+COUNTIF('5月'!ED33:EE33,D$152)+COUNTIF('5月'!EI33:EJ33,D$152)+COUNTIF('5月'!EN33:EO33,D$152)+COUNTIF('5月'!ES33:ET33,D$152)</f>
        <v>0</v>
      </c>
      <c r="E183" s="76">
        <f t="shared" si="49"/>
        <v>0</v>
      </c>
      <c r="F183" s="76">
        <f>COUNTIF('5月'!D33:E33,F$152)+COUNTIF('5月'!I33:J33,F$152)+COUNTIF('5月'!N33:O33,F$152)+COUNTIF('5月'!S33:T33,F$152)+COUNTIF('5月'!X33:Y33,F$152)+COUNTIF('5月'!AC33:AD33,F$152)+COUNTIF('5月'!AH33:AI33,F$152)+COUNTIF('5月'!AM33:AN33,F$152)+COUNTIF('5月'!AR33:AS33,F$152)+COUNTIF('5月'!AW33:AX33,F$152)+COUNTIF('5月'!BB33:BC33,F$152)+COUNTIF('5月'!BG33:BH33,F$152)+COUNTIF('5月'!BL33:BM33,F$152)+COUNTIF('5月'!BQ33:BR33,F$152)+COUNTIF('5月'!BV33:BW33,F$152)+COUNTIF('5月'!CA33:CB33,F$152)+COUNTIF('5月'!CF33:CG33,F$152)+COUNTIF('5月'!CK33:CL33,F$152)+COUNTIF('5月'!CP33:CQ33,F$152)+COUNTIF('5月'!CU33:CV33,F$152)+COUNTIF('5月'!CZ33:DA33,F$152)+COUNTIF('5月'!DE33:DF33,F$152)+COUNTIF('5月'!DJ33:DK33,F$152)+COUNTIF('5月'!DO33:DP33,F$152)+COUNTIF('5月'!DT33:DU33,F$152)+COUNTIF('5月'!DY33:DZ33,F$152)+COUNTIF('5月'!ED33:EE33,F$152)+COUNTIF('5月'!EI33:EJ33,F$152)+COUNTIF('5月'!EN33:EO33,F$152)+COUNTIF('5月'!ES33:ET33,F$152)</f>
        <v>0</v>
      </c>
      <c r="G183" s="76">
        <f t="shared" si="50"/>
        <v>0</v>
      </c>
      <c r="H183" s="76">
        <f>COUNTIF('5月'!D33:E33,H$152)+COUNTIF('5月'!I33:J33,H$152)+COUNTIF('5月'!N33:O33,H$152)+COUNTIF('5月'!S33:T33,H$152)+COUNTIF('5月'!X33:Y33,H$152)+COUNTIF('5月'!AC33:AD33,H$152)+COUNTIF('5月'!AH33:AI33,H$152)+COUNTIF('5月'!AM33:AN33,H$152)+COUNTIF('5月'!AR33:AS33,H$152)+COUNTIF('5月'!AW33:AX33,H$152)+COUNTIF('5月'!BB33:BC33,H$152)+COUNTIF('5月'!BG33:BH33,H$152)+COUNTIF('5月'!BL33:BM33,H$152)+COUNTIF('5月'!BQ33:BR33,H$152)+COUNTIF('5月'!BV33:BW33,H$152)+COUNTIF('5月'!CA33:CB33,H$152)+COUNTIF('5月'!CF33:CG33,H$152)+COUNTIF('5月'!CK33:CL33,H$152)+COUNTIF('5月'!CP33:CQ33,H$152)+COUNTIF('5月'!CU33:CV33,H$152)+COUNTIF('5月'!CZ33:DA33,H$152)+COUNTIF('5月'!DE33:DF33,H$152)+COUNTIF('5月'!DJ33:DK33,H$152)+COUNTIF('5月'!DO33:DP33,H$152)+COUNTIF('5月'!DT33:DU33,H$152)+COUNTIF('5月'!DY33:DZ33,H$152)+COUNTIF('5月'!ED33:EE33,H$152)+COUNTIF('5月'!EI33:EJ33,H$152)+COUNTIF('5月'!EN33:EO33,H$152)+COUNTIF('5月'!ES33:ET33,H$152)+COUNTIF('5月'!D33:E33,"渋谷-夜勤")+COUNTIF('5月'!I33:J33,"渋谷-夜勤")+COUNTIF('5月'!N33:O33,"渋谷-夜勤")+COUNTIF('5月'!S33:T33,"渋谷-夜勤")+COUNTIF('5月'!X33:Y33,"渋谷-夜勤")+COUNTIF('5月'!AC33:AD33,"渋谷-夜勤")+COUNTIF('5月'!AH33:AI33,"渋谷-夜勤")+COUNTIF('5月'!AM33:AN33,"渋谷-夜勤")+COUNTIF('5月'!AR33:AS33,"渋谷-夜勤")+COUNTIF('5月'!AW33:AX33,"渋谷-夜勤")+COUNTIF('5月'!BB33:BC33,"渋谷-夜勤")+COUNTIF('5月'!BG33:BH33,"渋谷-夜勤")+COUNTIF('5月'!BL33:BM33,"渋谷-夜勤")+COUNTIF('5月'!BQ33:BR33,"渋谷-夜勤")+COUNTIF('5月'!BV33:BW33,"渋谷-夜勤")+COUNTIF('5月'!CA33:CB33,"渋谷-夜勤")+COUNTIF('5月'!CF33:CG33,"渋谷-夜勤")+COUNTIF('5月'!CK33:CL33,"渋谷-夜勤")+COUNTIF('5月'!CP33:CQ33,"渋谷-夜勤")+COUNTIF('5月'!CU33:CV33,"渋谷-夜勤")+COUNTIF('5月'!CZ33:DA33,"渋谷-夜勤")+COUNTIF('5月'!DE33:DF33,"渋谷-夜勤")+COUNTIF('5月'!DJ33:DK33,"渋谷-夜勤")+COUNTIF('5月'!DO33:DP33,"渋谷-夜勤")+COUNTIF('5月'!DT33:DU33,"渋谷-夜勤")+COUNTIF('5月'!DY33:DZ33,"渋谷-夜勤")+COUNTIF('5月'!ED33:EE33,"渋谷-夜勤")+COUNTIF('5月'!EI33:EJ33,"渋谷-夜勤")+COUNTIF('5月'!EN33:EO33,"渋谷-夜勤")+COUNTIF('5月'!ES33:ET33,"渋谷-夜勤")</f>
        <v>0</v>
      </c>
      <c r="I183" s="76">
        <f t="shared" si="51"/>
        <v>0</v>
      </c>
      <c r="J183" s="76">
        <f>COUNTIF('5月'!D33:E33,J$152)+COUNTIF('5月'!I33:J33,J$152)+COUNTIF('5月'!N33:O33,J$152)+COUNTIF('5月'!S33:T33,J$152)+COUNTIF('5月'!X33:Y33,J$152)+COUNTIF('5月'!AC33:AD33,J$152)+COUNTIF('5月'!AH33:AI33,J$152)+COUNTIF('5月'!AM33:AN33,J$152)+COUNTIF('5月'!AR33:AS33,J$152)+COUNTIF('5月'!AW33:AX33,J$152)+COUNTIF('5月'!BB33:BC33,J$152)+COUNTIF('5月'!BG33:BH33,J$152)+COUNTIF('5月'!BL33:BM33,J$152)+COUNTIF('5月'!BQ33:BR33,J$152)+COUNTIF('5月'!BV33:BW33,J$152)+COUNTIF('5月'!CA33:CB33,J$152)+COUNTIF('5月'!CF33:CG33,J$152)+COUNTIF('5月'!CK33:CL33,J$152)+COUNTIF('5月'!CP33:CQ33,J$152)+COUNTIF('5月'!CU33:CV33,J$152)+COUNTIF('5月'!CZ33:DA33,J$152)+COUNTIF('5月'!DE33:DF33,J$152)+COUNTIF('5月'!DJ33:DK33,J$152)+COUNTIF('5月'!DO33:DP33,J$152)+COUNTIF('5月'!DT33:DU33,J$152)+COUNTIF('5月'!DY33:DZ33,J$152)+COUNTIF('5月'!ED33:EE33,J$152)+COUNTIF('5月'!EI33:EJ33,J$152)+COUNTIF('5月'!EN33:EO33,J$152)+COUNTIF('5月'!ES33:ET33,J$152)+COUNTIF('5月'!D33:E33,"六本木-夜勤")+COUNTIF('5月'!I33:J33,"六本木-夜勤")+COUNTIF('5月'!N33:O33,"六本木-夜勤")+COUNTIF('5月'!S33:T33,"六本木-夜勤")+COUNTIF('5月'!X33:Y33,"六本木-夜勤")+COUNTIF('5月'!AC33:AD33,"六本木-夜勤")+COUNTIF('5月'!AH33:AI33,"六本木-夜勤")+COUNTIF('5月'!AM33:AN33,"六本木-夜勤")+COUNTIF('5月'!AR33:AS33,"六本木-夜勤")+COUNTIF('5月'!AW33:AX33,"六本木-夜勤")+COUNTIF('5月'!BB33:BC33,"六本木-夜勤")+COUNTIF('5月'!BG33:BH33,"六本木-夜勤")+COUNTIF('5月'!BL33:BM33,"六本木-夜勤")+COUNTIF('5月'!BQ33:BR33,"六本木-夜勤")+COUNTIF('5月'!BV33:BW33,"六本木-夜勤")+COUNTIF('5月'!CA33:CB33,"六本木-夜勤")+COUNTIF('5月'!CF33:CG33,"六本木-夜勤")+COUNTIF('5月'!CK33:CL33,"六本木-夜勤")+COUNTIF('5月'!CP33:CQ33,"六本木-夜勤")+COUNTIF('5月'!CU33:CV33,"六本木-夜勤")+COUNTIF('5月'!CZ33:DA33,"六本木-夜勤")+COUNTIF('5月'!DE33:DF33,"六本木-夜勤")+COUNTIF('5月'!DJ33:DK33,"六本木-夜勤")+COUNTIF('5月'!DO33:DP33,"六本木-夜勤")+COUNTIF('5月'!DT33:DU33,"六本木-夜勤")+COUNTIF('5月'!DY33:DZ33,"六本木-夜勤")+COUNTIF('5月'!ED33:EE33,"六本木-夜勤")+COUNTIF('5月'!EI33:EJ33,"六本木-夜勤")+COUNTIF('5月'!EN33:EO33,"六本木-夜勤")+COUNTIF('5月'!ES33:ET33,"六本木-夜勤")+COUNTIF('5月'!D33:E33,"六本木ー夜勤")+COUNTIF('5月'!I33:J33,"六本木ー夜勤")+COUNTIF('5月'!N33:O33,"六本木ー夜勤")+COUNTIF('5月'!S33:T33,"六本木ー夜勤")+COUNTIF('5月'!X33:Y33,"六本木ー夜勤")+COUNTIF('5月'!AC33:AD33,"六本木ー夜勤")+COUNTIF('5月'!AH33:AI33,"六本木ー夜勤")+COUNTIF('5月'!AM33:AN33,"六本木ー夜勤")+COUNTIF('5月'!AR33:AS33,"六本木ー夜勤")+COUNTIF('5月'!AW33:AX33,"六本木ー夜勤")+COUNTIF('5月'!BB33:BC33,"六本木ー夜勤")+COUNTIF('5月'!BG33:BH33,"六本木ー夜勤")+COUNTIF('5月'!BL33:BM33,"六本木ー夜勤")+COUNTIF('5月'!BQ33:BR33,"六本木ー夜勤")+COUNTIF('5月'!BV33:BW33,"六本木ー夜勤")+COUNTIF('5月'!CA33:CB33,"六本木ー夜勤")+COUNTIF('5月'!CF33:CG33,"六本木ー夜勤")+COUNTIF('5月'!CK33:CL33,"六本木ー夜勤")+COUNTIF('5月'!CP33:CQ33,"六本木ー夜勤")+COUNTIF('5月'!CU33:CV33,"六本木ー夜勤")+COUNTIF('5月'!CZ33:DA33,"六本木ー夜勤")+COUNTIF('5月'!DE33:DF33,"六本木ー夜勤")+COUNTIF('5月'!DJ33:DK33,"六本木ー夜勤")+COUNTIF('5月'!DO33:DP33,"六本木ー夜勤")+COUNTIF('5月'!DT33:DU33,"六本木ー夜勤")+COUNTIF('5月'!DY33:DZ33,"六本木ー夜勤")+COUNTIF('5月'!ED33:EE33,"六本木ー夜勤")+COUNTIF('5月'!EI33:EJ33,"六本木ー夜勤")+COUNTIF('5月'!EN33:EO33,"六本木ー夜勤")+COUNTIF('5月'!ES33:ET33,"六本木ー夜勤")</f>
        <v>0</v>
      </c>
      <c r="K183" s="76">
        <f t="shared" si="52"/>
        <v>0</v>
      </c>
      <c r="L183" s="76">
        <f>COUNTIF('5月'!D33:E33,L$152)+COUNTIF('5月'!I33:J33,L$152)+COUNTIF('5月'!N33:O33,L$152)+COUNTIF('5月'!S33:T33,L$152)+COUNTIF('5月'!X33:Y33,L$152)+COUNTIF('5月'!AC33:AD33,L$152)+COUNTIF('5月'!AH33:AI33,L$152)+COUNTIF('5月'!AM33:AN33,L$152)+COUNTIF('5月'!AR33:AS33,L$152)+COUNTIF('5月'!AW33:AX33,L$152)+COUNTIF('5月'!BB33:BC33,L$152)+COUNTIF('5月'!BG33:BH33,L$152)+COUNTIF('5月'!BL33:BM33,L$152)+COUNTIF('5月'!BQ33:BR33,L$152)+COUNTIF('5月'!BV33:BW33,L$152)+COUNTIF('5月'!CA33:CB33,L$152)+COUNTIF('5月'!CF33:CG33,L$152)+COUNTIF('5月'!CK33:CL33,L$152)+COUNTIF('5月'!CP33:CQ33,L$152)+COUNTIF('5月'!CU33:CV33,L$152)+COUNTIF('5月'!CZ33:DA33,L$152)+COUNTIF('5月'!DE33:DF33,L$152)+COUNTIF('5月'!DJ33:DK33,L$152)+COUNTIF('5月'!DO33:DP33,L$152)+COUNTIF('5月'!DT33:DU33,L$152)+COUNTIF('5月'!DY33:DZ33,L$152)+COUNTIF('5月'!ED33:EE33,L$152)+COUNTIF('5月'!EI33:EJ33,L$152)+COUNTIF('5月'!EN33:EO33,L$152)+COUNTIF('5月'!ES33:ET33,L$152)</f>
        <v>0</v>
      </c>
      <c r="M183" s="76">
        <f t="shared" si="53"/>
        <v>0</v>
      </c>
      <c r="N183" s="76">
        <f>COUNTIF('5月'!D33:E33,N$152)+COUNTIF('5月'!I33:J33,N$152)+COUNTIF('5月'!N33:O33,N$152)+COUNTIF('5月'!S33:T33,N$152)+COUNTIF('5月'!X33:Y33,N$152)+COUNTIF('5月'!AC33:AD33,N$152)+COUNTIF('5月'!AH33:AI33,N$152)+COUNTIF('5月'!AM33:AN33,N$152)+COUNTIF('5月'!AR33:AS33,N$152)+COUNTIF('5月'!AW33:AX33,N$152)+COUNTIF('5月'!BB33:BC33,N$152)+COUNTIF('5月'!BG33:BH33,N$152)+COUNTIF('5月'!BL33:BM33,N$152)+COUNTIF('5月'!BQ33:BR33,N$152)+COUNTIF('5月'!BV33:BW33,N$152)+COUNTIF('5月'!CA33:CB33,N$152)+COUNTIF('5月'!CF33:CG33,N$152)+COUNTIF('5月'!CK33:CL33,N$152)+COUNTIF('5月'!CP33:CQ33,N$152)+COUNTIF('5月'!CU33:CV33,N$152)+COUNTIF('5月'!CZ33:DA33,N$152)+COUNTIF('5月'!DE33:DF33,N$152)+COUNTIF('5月'!DJ33:DK33,N$152)+COUNTIF('5月'!DO33:DP33,N$152)+COUNTIF('5月'!DT33:DU33,N$152)+COUNTIF('5月'!DY33:DZ33,N$152)+COUNTIF('5月'!ED33:EE33,N$152)+COUNTIF('5月'!EI33:EJ33,N$152)+COUNTIF('5月'!EN33:EO33,N$152)+COUNTIF('5月'!ES33:ET33,N$152)+COUNTIF('5月'!D33:E33,"三軒茶屋－夜勤")+COUNTIF('5月'!I33:J33,"三軒茶屋－夜勤")+COUNTIF('5月'!N33:O33,"三軒茶屋－夜勤")+COUNTIF('5月'!S33:T33,"三軒茶屋－夜勤")+COUNTIF('5月'!X33:Y33,"三軒茶屋－夜勤")+COUNTIF('5月'!AC33:AD33,"三軒茶屋－夜勤")+COUNTIF('5月'!AH33:AI33,"三軒茶屋－夜勤")+COUNTIF('5月'!AM33:AN33,"三軒茶屋－夜勤")+COUNTIF('5月'!AR33:AS33,"三軒茶屋－夜勤")+COUNTIF('5月'!AW33:AX33,"三軒茶屋－夜勤")+COUNTIF('5月'!BB33:BC33,"三軒茶屋－夜勤")+COUNTIF('5月'!BG33:BH33,"三軒茶屋－夜勤")+COUNTIF('5月'!BL33:BM33,"三軒茶屋－夜勤")+COUNTIF('5月'!BQ33:BR33,"三軒茶屋－夜勤")+COUNTIF('5月'!BV33:BW33,"三軒茶屋－夜勤")+COUNTIF('5月'!CA33:CB33,"三軒茶屋－夜勤")+COUNTIF('5月'!CF33:CG33,"三軒茶屋－夜勤")+COUNTIF('5月'!CK33:CL33,"三軒茶屋－夜勤")+COUNTIF('5月'!CP33:CQ33,"三軒茶屋－夜勤")+COUNTIF('5月'!CU33:CV33,"三軒茶屋－夜勤")+COUNTIF('5月'!CZ33:DA33,"三軒茶屋－夜勤")+COUNTIF('5月'!DE33:DF33,"三軒茶屋－夜勤")+COUNTIF('5月'!DJ33:DK33,"三軒茶屋－夜勤")+COUNTIF('5月'!DO33:DP33,"三軒茶屋－夜勤")+COUNTIF('5月'!DT33:DU33,"三軒茶屋－夜勤")+COUNTIF('5月'!DY33:DZ33,"三軒茶屋－夜勤")+COUNTIF('5月'!ED33:EE33,"三軒茶屋－夜勤")+COUNTIF('5月'!EI33:EJ33,"三軒茶屋－夜勤")+COUNTIF('5月'!EN33:EO33,"三軒茶屋－夜勤")+COUNTIF('5月'!ES33:ET33,"三軒茶屋－夜勤")</f>
        <v>0</v>
      </c>
      <c r="O183" s="76">
        <f t="shared" si="54"/>
        <v>0</v>
      </c>
      <c r="P183" s="76">
        <f>COUNTIF('5月'!D33:E33,P$152)+COUNTIF('5月'!I33:J33,P$152)+COUNTIF('5月'!N33:O33,P$152)+COUNTIF('5月'!S33:T33,P$152)+COUNTIF('5月'!X33:Y33,P$152)+COUNTIF('5月'!AC33:AD33,P$152)+COUNTIF('5月'!AH33:AI33,P$152)+COUNTIF('5月'!AM33:AN33,P$152)+COUNTIF('5月'!AR33:AS33,P$152)+COUNTIF('5月'!AW33:AX33,P$152)+COUNTIF('5月'!BB33:BC33,P$152)+COUNTIF('5月'!BG33:BH33,P$152)+COUNTIF('5月'!BL33:BM33,P$152)+COUNTIF('5月'!BQ33:BR33,P$152)+COUNTIF('5月'!BV33:BW33,P$152)+COUNTIF('5月'!CA33:CB33,P$152)+COUNTIF('5月'!CF33:CG33,P$152)+COUNTIF('5月'!CK33:CL33,P$152)+COUNTIF('5月'!CP33:CQ33,P$152)+COUNTIF('5月'!CU33:CV33,P$152)+COUNTIF('5月'!CZ33:DA33,P$152)+COUNTIF('5月'!DE33:DF33,P$152)+COUNTIF('5月'!DJ33:DK33,P$152)+COUNTIF('5月'!DO33:DP33,P$152)+COUNTIF('5月'!DT33:DU33,P$152)+COUNTIF('5月'!DY33:DZ33,P$152)+COUNTIF('5月'!ED33:EE33,P$152)+COUNTIF('5月'!EI33:EJ33,P$152)+COUNTIF('5月'!EN33:EO33,P$152)+COUNTIF('5月'!ES33:ET33,P$152)+COUNTIF('5月'!D33:E33,"荻窪ー夜勤")+COUNTIF('5月'!I33:J33,"荻窪ー夜勤")+COUNTIF('5月'!N33:O33,"荻窪ー夜勤")+COUNTIF('5月'!S33:T33,"荻窪ー夜勤")+COUNTIF('5月'!X33:Y33,"荻窪ー夜勤")+COUNTIF('5月'!AC33:AD33,"荻窪ー夜勤")+COUNTIF('5月'!AH33:AI33,"荻窪ー夜勤")+COUNTIF('5月'!AM33:AN33,"荻窪ー夜勤")+COUNTIF('5月'!AR33:AS33,"荻窪ー夜勤")+COUNTIF('5月'!AW33:AX33,"荻窪ー夜勤")+COUNTIF('5月'!BB33:BC33,"荻窪ー夜勤")+COUNTIF('5月'!BG33:BH33,"荻窪ー夜勤")+COUNTIF('5月'!BL33:BM33,"荻窪ー夜勤")+COUNTIF('5月'!BQ33:BR33,"荻窪ー夜勤")+COUNTIF('5月'!BV33:BW33,"荻窪ー夜勤")+COUNTIF('5月'!CA33:CB33,"荻窪ー夜勤")+COUNTIF('5月'!CF33:CG33,"荻窪ー夜勤")+COUNTIF('5月'!CK33:CL33,"荻窪ー夜勤")+COUNTIF('5月'!CP33:CQ33,"荻窪ー夜勤")+COUNTIF('5月'!CU33:CV33,"荻窪ー夜勤")+COUNTIF('5月'!CZ33:DA33,"荻窪ー夜勤")+COUNTIF('5月'!DE33:DF33,"荻窪ー夜勤")+COUNTIF('5月'!DJ33:DK33,"荻窪ー夜勤")+COUNTIF('5月'!DO33:DP33,"荻窪ー夜勤")+COUNTIF('5月'!DT33:DU33,"荻窪ー夜勤")+COUNTIF('5月'!DY33:DZ33,"荻窪ー夜勤")+COUNTIF('5月'!ED33:EE33,"荻窪ー夜勤")+COUNTIF('5月'!EI33:EJ33,"荻窪ー夜勤")+COUNTIF('5月'!EN33:EO33,"荻窪ー夜勤")+COUNTIF('5月'!ES33:ET33,"荻窪ー夜勤")</f>
        <v>0</v>
      </c>
      <c r="Q183" s="76">
        <f t="shared" si="55"/>
        <v>0</v>
      </c>
      <c r="R183" s="76">
        <f>COUNTIF('5月'!D33:E33,R$152)+COUNTIF('5月'!I33:J33,R$152)+COUNTIF('5月'!N33:O33,R$152)+COUNTIF('5月'!S33:T33,R$152)+COUNTIF('5月'!X33:Y33,R$152)+COUNTIF('5月'!AC33:AD33,R$152)+COUNTIF('5月'!AH33:AI33,R$152)+COUNTIF('5月'!AM33:AN33,R$152)+COUNTIF('5月'!AR33:AS33,R$152)+COUNTIF('5月'!AW33:AX33,R$152)+COUNTIF('5月'!BB33:BC33,R$152)+COUNTIF('5月'!BG33:BH33,R$152)+COUNTIF('5月'!BL33:BM33,R$152)+COUNTIF('5月'!BQ33:BR33,R$152)+COUNTIF('5月'!BV33:BW33,R$152)+COUNTIF('5月'!CA33:CB33,R$152)+COUNTIF('5月'!CF33:CG33,R$152)+COUNTIF('5月'!CK33:CL33,R$152)+COUNTIF('5月'!CP33:CQ33,R$152)+COUNTIF('5月'!CU33:CV33,R$152)+COUNTIF('5月'!CZ33:DA33,R$152)+COUNTIF('5月'!DE33:DF33,R$152)+COUNTIF('5月'!DJ33:DK33,R$152)+COUNTIF('5月'!DO33:DP33,R$152)+COUNTIF('5月'!DT33:DU33,R$152)+COUNTIF('5月'!DY33:DZ33,R$152)+COUNTIF('5月'!ED33:EE33,R$152)+COUNTIF('5月'!EI33:EJ33,R$152)+COUNTIF('5月'!EN33:EO33,R$152)+COUNTIF('5月'!ES33:ET33,R$152)</f>
        <v>0</v>
      </c>
      <c r="S183" s="76">
        <f t="shared" si="56"/>
        <v>0</v>
      </c>
      <c r="T183" s="76">
        <f>COUNTIF('5月'!D33:E33,T$152)+COUNTIF('5月'!I33:J33,T$152)+COUNTIF('5月'!N33:O33,T$152)+COUNTIF('5月'!S33:T33,T$152)+COUNTIF('5月'!X33:Y33,T$152)+COUNTIF('5月'!AC33:AD33,T$152)+COUNTIF('5月'!AH33:AI33,T$152)+COUNTIF('5月'!AM33:AN33,T$152)+COUNTIF('5月'!AR33:AS33,T$152)+COUNTIF('5月'!AW33:AX33,T$152)+COUNTIF('5月'!BB33:BC33,T$152)+COUNTIF('5月'!BG33:BH33,T$152)+COUNTIF('5月'!BL33:BM33,T$152)+COUNTIF('5月'!BQ33:BR33,T$152)+COUNTIF('5月'!BV33:BW33,T$152)+COUNTIF('5月'!CA33:CB33,T$152)+COUNTIF('5月'!CF33:CG33,T$152)+COUNTIF('5月'!CK33:CL33,T$152)+COUNTIF('5月'!CP33:CQ33,T$152)+COUNTIF('5月'!CU33:CV33,T$152)+COUNTIF('5月'!CZ33:DA33,T$152)+COUNTIF('5月'!DE33:DF33,T$152)+COUNTIF('5月'!DJ33:DK33,T$152)+COUNTIF('5月'!DO33:DP33,T$152)+COUNTIF('5月'!DT33:DU33,T$152)+COUNTIF('5月'!DY33:DZ33,T$152)+COUNTIF('5月'!ED33:EE33,T$152)+COUNTIF('5月'!EI33:EJ33,T$152)+COUNTIF('5月'!EN33:EO33,T$152)+COUNTIF('5月'!ES33:ET33,T$152)</f>
        <v>0</v>
      </c>
      <c r="U183" s="76">
        <f t="shared" si="57"/>
        <v>0</v>
      </c>
      <c r="V183" s="76">
        <f>COUNTIF('5月'!D33:E33,V$152)+COUNTIF('5月'!I33:J33,V$152)+COUNTIF('5月'!N33:O33,V$152)+COUNTIF('5月'!S33:T33,V$152)+COUNTIF('5月'!X33:Y33,V$152)+COUNTIF('5月'!AC33:AD33,V$152)+COUNTIF('5月'!AH33:AI33,V$152)+COUNTIF('5月'!AM33:AN33,V$152)+COUNTIF('5月'!AR33:AS33,V$152)+COUNTIF('5月'!AW33:AX33,V$152)+COUNTIF('5月'!BB33:BC33,V$152)+COUNTIF('5月'!BG33:BH33,V$152)+COUNTIF('5月'!BL33:BM33,V$152)+COUNTIF('5月'!BQ33:BR33,V$152)+COUNTIF('5月'!BV33:BW33,V$152)+COUNTIF('5月'!CA33:CB33,V$152)+COUNTIF('5月'!CF33:CG33,V$152)+COUNTIF('5月'!CK33:CL33,V$152)+COUNTIF('5月'!CP33:CQ33,V$152)+COUNTIF('5月'!CU33:CV33,V$152)+COUNTIF('5月'!CZ33:DA33,V$152)+COUNTIF('5月'!DE33:DF33,V$152)+COUNTIF('5月'!DJ33:DK33,V$152)+COUNTIF('5月'!DO33:DP33,V$152)+COUNTIF('5月'!DT33:DU33,V$152)+COUNTIF('5月'!DY33:DZ33,V$152)+COUNTIF('5月'!ED33:EE33,V$152)+COUNTIF('5月'!EI33:EJ33,V$152)+COUNTIF('5月'!EN33:EO33,V$152)+COUNTIF('5月'!ES33:ET33,V$152)</f>
        <v>0</v>
      </c>
      <c r="W183" s="76">
        <f t="shared" si="58"/>
        <v>0</v>
      </c>
      <c r="X183" s="76">
        <f>COUNTIF('5月'!D33:E33,X$152)+COUNTIF('5月'!I33:J33,X$152)+COUNTIF('5月'!N33:O33,X$152)+COUNTIF('5月'!S33:T33,X$152)+COUNTIF('5月'!X33:Y33,X$152)+COUNTIF('5月'!AC33:AD33,X$152)+COUNTIF('5月'!AH33:AI33,X$152)+COUNTIF('5月'!AM33:AN33,X$152)+COUNTIF('5月'!AR33:AS33,X$152)+COUNTIF('5月'!AW33:AX33,X$152)+COUNTIF('5月'!BB33:BC33,X$152)+COUNTIF('5月'!BG33:BH33,X$152)+COUNTIF('5月'!BL33:BM33,X$152)+COUNTIF('5月'!BQ33:BR33,X$152)+COUNTIF('5月'!BV33:BW33,X$152)+COUNTIF('5月'!CA33:CB33,X$152)+COUNTIF('5月'!CF33:CG33,X$152)+COUNTIF('5月'!CK33:CL33,X$152)+COUNTIF('5月'!CP33:CQ33,X$152)+COUNTIF('5月'!CU33:CV33,X$152)+COUNTIF('5月'!CZ33:DA33,X$152)+COUNTIF('5月'!DE33:DF33,X$152)+COUNTIF('5月'!DJ33:DK33,X$152)+COUNTIF('5月'!DO33:DP33,X$152)+COUNTIF('5月'!DT33:DU33,X$152)+COUNTIF('5月'!DY33:DZ33,X$152)+COUNTIF('5月'!ED33:EE33,X$152)+COUNTIF('5月'!EI33:EJ33,X$152)+COUNTIF('5月'!EN33:EO33,X$152)+COUNTIF('5月'!ES33:ET33,X$152)</f>
        <v>0</v>
      </c>
      <c r="Y183" s="76">
        <f t="shared" si="59"/>
        <v>0</v>
      </c>
    </row>
    <row r="184" spans="1:25" ht="18" customHeight="1">
      <c r="A184" s="76">
        <v>31</v>
      </c>
      <c r="B184" s="76">
        <f>COUNTIF('5月'!D34:E34,B$152)+COUNTIF('5月'!I34:J34,B$152)+COUNTIF('5月'!N34:O34,B$152)+COUNTIF('5月'!S34:T34,B$152)+COUNTIF('5月'!X34:Y34,B$152)+COUNTIF('5月'!AC34:AD34,B$152)+COUNTIF('5月'!AH34:AI34,B$152)+COUNTIF('5月'!AM34:AN34,B$152)+COUNTIF('5月'!AR34:AS34,B$152)+COUNTIF('5月'!AW34:AX34,B$152)+COUNTIF('5月'!BB34:BC34,B$152)+COUNTIF('5月'!BG34:BH34,B$152)+COUNTIF('5月'!BL34:BM34,B$152)+COUNTIF('5月'!BQ34:BR34,B$152)+COUNTIF('5月'!BV34:BW34,B$152)+COUNTIF('5月'!CA34:CB34,B$152)+COUNTIF('5月'!CF34:CG34,B$152)+COUNTIF('5月'!CK34:CL34,B$152)+COUNTIF('5月'!CP34:CQ34,B$152)+COUNTIF('5月'!CU34:CV34,B$152)+COUNTIF('5月'!CZ34:DA34,B$152)+COUNTIF('5月'!DE34:DF34,B$152)+COUNTIF('5月'!DJ34:DK34,B$152)+COUNTIF('5月'!DO34:DP34,B$152)+COUNTIF('5月'!DT34:DU34,B$152)+COUNTIF('5月'!DY34:DZ34,B$152)+COUNTIF('5月'!ED34:EE34,B$152)+COUNTIF('5月'!EI34:EJ34,B$152)+COUNTIF('5月'!EN34:EO34,B$152)+COUNTIF('5月'!ES34:ET34,B$152)</f>
        <v>0</v>
      </c>
      <c r="C184" s="76">
        <f t="shared" si="48"/>
        <v>0</v>
      </c>
      <c r="D184" s="76">
        <f>COUNTIF('5月'!D34:E34,D$152)+COUNTIF('5月'!I34:J34,D$152)+COUNTIF('5月'!N34:O34,D$152)+COUNTIF('5月'!S34:T34,D$152)+COUNTIF('5月'!X34:Y34,D$152)+COUNTIF('5月'!AC34:AD34,D$152)+COUNTIF('5月'!AH34:AI34,D$152)+COUNTIF('5月'!AM34:AN34,D$152)+COUNTIF('5月'!AR34:AS34,D$152)+COUNTIF('5月'!AW34:AX34,D$152)+COUNTIF('5月'!BB34:BC34,D$152)+COUNTIF('5月'!BG34:BH34,D$152)+COUNTIF('5月'!BL34:BM34,D$152)+COUNTIF('5月'!BQ34:BR34,D$152)+COUNTIF('5月'!BV34:BW34,D$152)+COUNTIF('5月'!CA34:CB34,D$152)+COUNTIF('5月'!CF34:CG34,D$152)+COUNTIF('5月'!CK34:CL34,D$152)+COUNTIF('5月'!CP34:CQ34,D$152)+COUNTIF('5月'!CU34:CV34,D$152)+COUNTIF('5月'!CZ34:DA34,D$152)+COUNTIF('5月'!DE34:DF34,D$152)+COUNTIF('5月'!DJ34:DK34,D$152)+COUNTIF('5月'!DO34:DP34,D$152)+COUNTIF('5月'!DT34:DU34,D$152)+COUNTIF('5月'!DY34:DZ34,D$152)+COUNTIF('5月'!ED34:EE34,D$152)+COUNTIF('5月'!EI34:EJ34,D$152)+COUNTIF('5月'!EN34:EO34,D$152)+COUNTIF('5月'!ES34:ET34,D$152)</f>
        <v>0</v>
      </c>
      <c r="E184" s="76">
        <f t="shared" si="49"/>
        <v>0</v>
      </c>
      <c r="F184" s="76">
        <f>COUNTIF('5月'!D34:E34,F$152)+COUNTIF('5月'!I34:J34,F$152)+COUNTIF('5月'!N34:O34,F$152)+COUNTIF('5月'!S34:T34,F$152)+COUNTIF('5月'!X34:Y34,F$152)+COUNTIF('5月'!AC34:AD34,F$152)+COUNTIF('5月'!AH34:AI34,F$152)+COUNTIF('5月'!AM34:AN34,F$152)+COUNTIF('5月'!AR34:AS34,F$152)+COUNTIF('5月'!AW34:AX34,F$152)+COUNTIF('5月'!BB34:BC34,F$152)+COUNTIF('5月'!BG34:BH34,F$152)+COUNTIF('5月'!BL34:BM34,F$152)+COUNTIF('5月'!BQ34:BR34,F$152)+COUNTIF('5月'!BV34:BW34,F$152)+COUNTIF('5月'!CA34:CB34,F$152)+COUNTIF('5月'!CF34:CG34,F$152)+COUNTIF('5月'!CK34:CL34,F$152)+COUNTIF('5月'!CP34:CQ34,F$152)+COUNTIF('5月'!CU34:CV34,F$152)+COUNTIF('5月'!CZ34:DA34,F$152)+COUNTIF('5月'!DE34:DF34,F$152)+COUNTIF('5月'!DJ34:DK34,F$152)+COUNTIF('5月'!DO34:DP34,F$152)+COUNTIF('5月'!DT34:DU34,F$152)+COUNTIF('5月'!DY34:DZ34,F$152)+COUNTIF('5月'!ED34:EE34,F$152)+COUNTIF('5月'!EI34:EJ34,F$152)+COUNTIF('5月'!EN34:EO34,F$152)+COUNTIF('5月'!ES34:ET34,F$152)</f>
        <v>0</v>
      </c>
      <c r="G184" s="76">
        <f t="shared" si="50"/>
        <v>0</v>
      </c>
      <c r="H184" s="76">
        <f>COUNTIF('5月'!D34:E34,H$152)+COUNTIF('5月'!I34:J34,H$152)+COUNTIF('5月'!N34:O34,H$152)+COUNTIF('5月'!S34:T34,H$152)+COUNTIF('5月'!X34:Y34,H$152)+COUNTIF('5月'!AC34:AD34,H$152)+COUNTIF('5月'!AH34:AI34,H$152)+COUNTIF('5月'!AM34:AN34,H$152)+COUNTIF('5月'!AR34:AS34,H$152)+COUNTIF('5月'!AW34:AX34,H$152)+COUNTIF('5月'!BB34:BC34,H$152)+COUNTIF('5月'!BG34:BH34,H$152)+COUNTIF('5月'!BL34:BM34,H$152)+COUNTIF('5月'!BQ34:BR34,H$152)+COUNTIF('5月'!BV34:BW34,H$152)+COUNTIF('5月'!CA34:CB34,H$152)+COUNTIF('5月'!CF34:CG34,H$152)+COUNTIF('5月'!CK34:CL34,H$152)+COUNTIF('5月'!CP34:CQ34,H$152)+COUNTIF('5月'!CU34:CV34,H$152)+COUNTIF('5月'!CZ34:DA34,H$152)+COUNTIF('5月'!DE34:DF34,H$152)+COUNTIF('5月'!DJ34:DK34,H$152)+COUNTIF('5月'!DO34:DP34,H$152)+COUNTIF('5月'!DT34:DU34,H$152)+COUNTIF('5月'!DY34:DZ34,H$152)+COUNTIF('5月'!ED34:EE34,H$152)+COUNTIF('5月'!EI34:EJ34,H$152)+COUNTIF('5月'!EN34:EO34,H$152)+COUNTIF('5月'!ES34:ET34,H$152)+COUNTIF('5月'!D34:E34,"渋谷-夜勤")+COUNTIF('5月'!I34:J34,"渋谷-夜勤")+COUNTIF('5月'!N34:O34,"渋谷-夜勤")+COUNTIF('5月'!S34:T34,"渋谷-夜勤")+COUNTIF('5月'!X34:Y34,"渋谷-夜勤")+COUNTIF('5月'!AC34:AD34,"渋谷-夜勤")+COUNTIF('5月'!AH34:AI34,"渋谷-夜勤")+COUNTIF('5月'!AM34:AN34,"渋谷-夜勤")+COUNTIF('5月'!AR34:AS34,"渋谷-夜勤")+COUNTIF('5月'!AW34:AX34,"渋谷-夜勤")+COUNTIF('5月'!BB34:BC34,"渋谷-夜勤")+COUNTIF('5月'!BG34:BH34,"渋谷-夜勤")+COUNTIF('5月'!BL34:BM34,"渋谷-夜勤")+COUNTIF('5月'!BQ34:BR34,"渋谷-夜勤")+COUNTIF('5月'!BV34:BW34,"渋谷-夜勤")+COUNTIF('5月'!CA34:CB34,"渋谷-夜勤")+COUNTIF('5月'!CF34:CG34,"渋谷-夜勤")+COUNTIF('5月'!CK34:CL34,"渋谷-夜勤")+COUNTIF('5月'!CP34:CQ34,"渋谷-夜勤")+COUNTIF('5月'!CU34:CV34,"渋谷-夜勤")+COUNTIF('5月'!CZ34:DA34,"渋谷-夜勤")+COUNTIF('5月'!DE34:DF34,"渋谷-夜勤")+COUNTIF('5月'!DJ34:DK34,"渋谷-夜勤")+COUNTIF('5月'!DO34:DP34,"渋谷-夜勤")+COUNTIF('5月'!DT34:DU34,"渋谷-夜勤")+COUNTIF('5月'!DY34:DZ34,"渋谷-夜勤")+COUNTIF('5月'!ED34:EE34,"渋谷-夜勤")+COUNTIF('5月'!EI34:EJ34,"渋谷-夜勤")+COUNTIF('5月'!EN34:EO34,"渋谷-夜勤")+COUNTIF('5月'!ES34:ET34,"渋谷-夜勤")</f>
        <v>0</v>
      </c>
      <c r="I184" s="76">
        <f t="shared" si="51"/>
        <v>0</v>
      </c>
      <c r="J184" s="76">
        <f>COUNTIF('5月'!D34:E34,J$152)+COUNTIF('5月'!I34:J34,J$152)+COUNTIF('5月'!N34:O34,J$152)+COUNTIF('5月'!S34:T34,J$152)+COUNTIF('5月'!X34:Y34,J$152)+COUNTIF('5月'!AC34:AD34,J$152)+COUNTIF('5月'!AH34:AI34,J$152)+COUNTIF('5月'!AM34:AN34,J$152)+COUNTIF('5月'!AR34:AS34,J$152)+COUNTIF('5月'!AW34:AX34,J$152)+COUNTIF('5月'!BB34:BC34,J$152)+COUNTIF('5月'!BG34:BH34,J$152)+COUNTIF('5月'!BL34:BM34,J$152)+COUNTIF('5月'!BQ34:BR34,J$152)+COUNTIF('5月'!BV34:BW34,J$152)+COUNTIF('5月'!CA34:CB34,J$152)+COUNTIF('5月'!CF34:CG34,J$152)+COUNTIF('5月'!CK34:CL34,J$152)+COUNTIF('5月'!CP34:CQ34,J$152)+COUNTIF('5月'!CU34:CV34,J$152)+COUNTIF('5月'!CZ34:DA34,J$152)+COUNTIF('5月'!DE34:DF34,J$152)+COUNTIF('5月'!DJ34:DK34,J$152)+COUNTIF('5月'!DO34:DP34,J$152)+COUNTIF('5月'!DT34:DU34,J$152)+COUNTIF('5月'!DY34:DZ34,J$152)+COUNTIF('5月'!ED34:EE34,J$152)+COUNTIF('5月'!EI34:EJ34,J$152)+COUNTIF('5月'!EN34:EO34,J$152)+COUNTIF('5月'!ES34:ET34,J$152)+COUNTIF('5月'!D34:E34,"六本木-夜勤")+COUNTIF('5月'!I34:J34,"六本木-夜勤")+COUNTIF('5月'!N34:O34,"六本木-夜勤")+COUNTIF('5月'!S34:T34,"六本木-夜勤")+COUNTIF('5月'!X34:Y34,"六本木-夜勤")+COUNTIF('5月'!AC34:AD34,"六本木-夜勤")+COUNTIF('5月'!AH34:AI34,"六本木-夜勤")+COUNTIF('5月'!AM34:AN34,"六本木-夜勤")+COUNTIF('5月'!AR34:AS34,"六本木-夜勤")+COUNTIF('5月'!AW34:AX34,"六本木-夜勤")+COUNTIF('5月'!BB34:BC34,"六本木-夜勤")+COUNTIF('5月'!BG34:BH34,"六本木-夜勤")+COUNTIF('5月'!BL34:BM34,"六本木-夜勤")+COUNTIF('5月'!BQ34:BR34,"六本木-夜勤")+COUNTIF('5月'!BV34:BW34,"六本木-夜勤")+COUNTIF('5月'!CA34:CB34,"六本木-夜勤")+COUNTIF('5月'!CF34:CG34,"六本木-夜勤")+COUNTIF('5月'!CK34:CL34,"六本木-夜勤")+COUNTIF('5月'!CP34:CQ34,"六本木-夜勤")+COUNTIF('5月'!CU34:CV34,"六本木-夜勤")+COUNTIF('5月'!CZ34:DA34,"六本木-夜勤")+COUNTIF('5月'!DE34:DF34,"六本木-夜勤")+COUNTIF('5月'!DJ34:DK34,"六本木-夜勤")+COUNTIF('5月'!DO34:DP34,"六本木-夜勤")+COUNTIF('5月'!DT34:DU34,"六本木-夜勤")+COUNTIF('5月'!DY34:DZ34,"六本木-夜勤")+COUNTIF('5月'!ED34:EE34,"六本木-夜勤")+COUNTIF('5月'!EI34:EJ34,"六本木-夜勤")+COUNTIF('5月'!EN34:EO34,"六本木-夜勤")+COUNTIF('5月'!ES34:ET34,"六本木-夜勤")+COUNTIF('5月'!D34:E34,"六本木ー夜勤")+COUNTIF('5月'!I34:J34,"六本木ー夜勤")+COUNTIF('5月'!N34:O34,"六本木ー夜勤")+COUNTIF('5月'!S34:T34,"六本木ー夜勤")+COUNTIF('5月'!X34:Y34,"六本木ー夜勤")+COUNTIF('5月'!AC34:AD34,"六本木ー夜勤")+COUNTIF('5月'!AH34:AI34,"六本木ー夜勤")+COUNTIF('5月'!AM34:AN34,"六本木ー夜勤")+COUNTIF('5月'!AR34:AS34,"六本木ー夜勤")+COUNTIF('5月'!AW34:AX34,"六本木ー夜勤")+COUNTIF('5月'!BB34:BC34,"六本木ー夜勤")+COUNTIF('5月'!BG34:BH34,"六本木ー夜勤")+COUNTIF('5月'!BL34:BM34,"六本木ー夜勤")+COUNTIF('5月'!BQ34:BR34,"六本木ー夜勤")+COUNTIF('5月'!BV34:BW34,"六本木ー夜勤")+COUNTIF('5月'!CA34:CB34,"六本木ー夜勤")+COUNTIF('5月'!CF34:CG34,"六本木ー夜勤")+COUNTIF('5月'!CK34:CL34,"六本木ー夜勤")+COUNTIF('5月'!CP34:CQ34,"六本木ー夜勤")+COUNTIF('5月'!CU34:CV34,"六本木ー夜勤")+COUNTIF('5月'!CZ34:DA34,"六本木ー夜勤")+COUNTIF('5月'!DE34:DF34,"六本木ー夜勤")+COUNTIF('5月'!DJ34:DK34,"六本木ー夜勤")+COUNTIF('5月'!DO34:DP34,"六本木ー夜勤")+COUNTIF('5月'!DT34:DU34,"六本木ー夜勤")+COUNTIF('5月'!DY34:DZ34,"六本木ー夜勤")+COUNTIF('5月'!ED34:EE34,"六本木ー夜勤")+COUNTIF('5月'!EI34:EJ34,"六本木ー夜勤")+COUNTIF('5月'!EN34:EO34,"六本木ー夜勤")+COUNTIF('5月'!ES34:ET34,"六本木ー夜勤")</f>
        <v>0</v>
      </c>
      <c r="K184" s="76">
        <f t="shared" si="52"/>
        <v>0</v>
      </c>
      <c r="L184" s="76">
        <f>COUNTIF('5月'!D34:E34,L$152)+COUNTIF('5月'!I34:J34,L$152)+COUNTIF('5月'!N34:O34,L$152)+COUNTIF('5月'!S34:T34,L$152)+COUNTIF('5月'!X34:Y34,L$152)+COUNTIF('5月'!AC34:AD34,L$152)+COUNTIF('5月'!AH34:AI34,L$152)+COUNTIF('5月'!AM34:AN34,L$152)+COUNTIF('5月'!AR34:AS34,L$152)+COUNTIF('5月'!AW34:AX34,L$152)+COUNTIF('5月'!BB34:BC34,L$152)+COUNTIF('5月'!BG34:BH34,L$152)+COUNTIF('5月'!BL34:BM34,L$152)+COUNTIF('5月'!BQ34:BR34,L$152)+COUNTIF('5月'!BV34:BW34,L$152)+COUNTIF('5月'!CA34:CB34,L$152)+COUNTIF('5月'!CF34:CG34,L$152)+COUNTIF('5月'!CK34:CL34,L$152)+COUNTIF('5月'!CP34:CQ34,L$152)+COUNTIF('5月'!CU34:CV34,L$152)+COUNTIF('5月'!CZ34:DA34,L$152)+COUNTIF('5月'!DE34:DF34,L$152)+COUNTIF('5月'!DJ34:DK34,L$152)+COUNTIF('5月'!DO34:DP34,L$152)+COUNTIF('5月'!DT34:DU34,L$152)+COUNTIF('5月'!DY34:DZ34,L$152)+COUNTIF('5月'!ED34:EE34,L$152)+COUNTIF('5月'!EI34:EJ34,L$152)+COUNTIF('5月'!EN34:EO34,L$152)+COUNTIF('5月'!ES34:ET34,L$152)</f>
        <v>0</v>
      </c>
      <c r="M184" s="76">
        <f t="shared" si="53"/>
        <v>0</v>
      </c>
      <c r="N184" s="76">
        <f>COUNTIF('5月'!D34:E34,N$152)+COUNTIF('5月'!I34:J34,N$152)+COUNTIF('5月'!N34:O34,N$152)+COUNTIF('5月'!S34:T34,N$152)+COUNTIF('5月'!X34:Y34,N$152)+COUNTIF('5月'!AC34:AD34,N$152)+COUNTIF('5月'!AH34:AI34,N$152)+COUNTIF('5月'!AM34:AN34,N$152)+COUNTIF('5月'!AR34:AS34,N$152)+COUNTIF('5月'!AW34:AX34,N$152)+COUNTIF('5月'!BB34:BC34,N$152)+COUNTIF('5月'!BG34:BH34,N$152)+COUNTIF('5月'!BL34:BM34,N$152)+COUNTIF('5月'!BQ34:BR34,N$152)+COUNTIF('5月'!BV34:BW34,N$152)+COUNTIF('5月'!CA34:CB34,N$152)+COUNTIF('5月'!CF34:CG34,N$152)+COUNTIF('5月'!CK34:CL34,N$152)+COUNTIF('5月'!CP34:CQ34,N$152)+COUNTIF('5月'!CU34:CV34,N$152)+COUNTIF('5月'!CZ34:DA34,N$152)+COUNTIF('5月'!DE34:DF34,N$152)+COUNTIF('5月'!DJ34:DK34,N$152)+COUNTIF('5月'!DO34:DP34,N$152)+COUNTIF('5月'!DT34:DU34,N$152)+COUNTIF('5月'!DY34:DZ34,N$152)+COUNTIF('5月'!ED34:EE34,N$152)+COUNTIF('5月'!EI34:EJ34,N$152)+COUNTIF('5月'!EN34:EO34,N$152)+COUNTIF('5月'!ES34:ET34,N$152)+COUNTIF('5月'!D34:E34,"三軒茶屋－夜勤")+COUNTIF('5月'!I34:J34,"三軒茶屋－夜勤")+COUNTIF('5月'!N34:O34,"三軒茶屋－夜勤")+COUNTIF('5月'!S34:T34,"三軒茶屋－夜勤")+COUNTIF('5月'!X34:Y34,"三軒茶屋－夜勤")+COUNTIF('5月'!AC34:AD34,"三軒茶屋－夜勤")+COUNTIF('5月'!AH34:AI34,"三軒茶屋－夜勤")+COUNTIF('5月'!AM34:AN34,"三軒茶屋－夜勤")+COUNTIF('5月'!AR34:AS34,"三軒茶屋－夜勤")+COUNTIF('5月'!AW34:AX34,"三軒茶屋－夜勤")+COUNTIF('5月'!BB34:BC34,"三軒茶屋－夜勤")+COUNTIF('5月'!BG34:BH34,"三軒茶屋－夜勤")+COUNTIF('5月'!BL34:BM34,"三軒茶屋－夜勤")+COUNTIF('5月'!BQ34:BR34,"三軒茶屋－夜勤")+COUNTIF('5月'!BV34:BW34,"三軒茶屋－夜勤")+COUNTIF('5月'!CA34:CB34,"三軒茶屋－夜勤")+COUNTIF('5月'!CF34:CG34,"三軒茶屋－夜勤")+COUNTIF('5月'!CK34:CL34,"三軒茶屋－夜勤")+COUNTIF('5月'!CP34:CQ34,"三軒茶屋－夜勤")+COUNTIF('5月'!CU34:CV34,"三軒茶屋－夜勤")+COUNTIF('5月'!CZ34:DA34,"三軒茶屋－夜勤")+COUNTIF('5月'!DE34:DF34,"三軒茶屋－夜勤")+COUNTIF('5月'!DJ34:DK34,"三軒茶屋－夜勤")+COUNTIF('5月'!DO34:DP34,"三軒茶屋－夜勤")+COUNTIF('5月'!DT34:DU34,"三軒茶屋－夜勤")+COUNTIF('5月'!DY34:DZ34,"三軒茶屋－夜勤")+COUNTIF('5月'!ED34:EE34,"三軒茶屋－夜勤")+COUNTIF('5月'!EI34:EJ34,"三軒茶屋－夜勤")+COUNTIF('5月'!EN34:EO34,"三軒茶屋－夜勤")+COUNTIF('5月'!ES34:ET34,"三軒茶屋－夜勤")</f>
        <v>0</v>
      </c>
      <c r="O184" s="76">
        <f t="shared" si="54"/>
        <v>0</v>
      </c>
      <c r="P184" s="76">
        <f>COUNTIF('5月'!D34:E34,P$152)+COUNTIF('5月'!I34:J34,P$152)+COUNTIF('5月'!N34:O34,P$152)+COUNTIF('5月'!S34:T34,P$152)+COUNTIF('5月'!X34:Y34,P$152)+COUNTIF('5月'!AC34:AD34,P$152)+COUNTIF('5月'!AH34:AI34,P$152)+COUNTIF('5月'!AM34:AN34,P$152)+COUNTIF('5月'!AR34:AS34,P$152)+COUNTIF('5月'!AW34:AX34,P$152)+COUNTIF('5月'!BB34:BC34,P$152)+COUNTIF('5月'!BG34:BH34,P$152)+COUNTIF('5月'!BL34:BM34,P$152)+COUNTIF('5月'!BQ34:BR34,P$152)+COUNTIF('5月'!BV34:BW34,P$152)+COUNTIF('5月'!CA34:CB34,P$152)+COUNTIF('5月'!CF34:CG34,P$152)+COUNTIF('5月'!CK34:CL34,P$152)+COUNTIF('5月'!CP34:CQ34,P$152)+COUNTIF('5月'!CU34:CV34,P$152)+COUNTIF('5月'!CZ34:DA34,P$152)+COUNTIF('5月'!DE34:DF34,P$152)+COUNTIF('5月'!DJ34:DK34,P$152)+COUNTIF('5月'!DO34:DP34,P$152)+COUNTIF('5月'!DT34:DU34,P$152)+COUNTIF('5月'!DY34:DZ34,P$152)+COUNTIF('5月'!ED34:EE34,P$152)+COUNTIF('5月'!EI34:EJ34,P$152)+COUNTIF('5月'!EN34:EO34,P$152)+COUNTIF('5月'!ES34:ET34,P$152)+COUNTIF('5月'!D34:E34,"荻窪ー夜勤")+COUNTIF('5月'!I34:J34,"荻窪ー夜勤")+COUNTIF('5月'!N34:O34,"荻窪ー夜勤")+COUNTIF('5月'!S34:T34,"荻窪ー夜勤")+COUNTIF('5月'!X34:Y34,"荻窪ー夜勤")+COUNTIF('5月'!AC34:AD34,"荻窪ー夜勤")+COUNTIF('5月'!AH34:AI34,"荻窪ー夜勤")+COUNTIF('5月'!AM34:AN34,"荻窪ー夜勤")+COUNTIF('5月'!AR34:AS34,"荻窪ー夜勤")+COUNTIF('5月'!AW34:AX34,"荻窪ー夜勤")+COUNTIF('5月'!BB34:BC34,"荻窪ー夜勤")+COUNTIF('5月'!BG34:BH34,"荻窪ー夜勤")+COUNTIF('5月'!BL34:BM34,"荻窪ー夜勤")+COUNTIF('5月'!BQ34:BR34,"荻窪ー夜勤")+COUNTIF('5月'!BV34:BW34,"荻窪ー夜勤")+COUNTIF('5月'!CA34:CB34,"荻窪ー夜勤")+COUNTIF('5月'!CF34:CG34,"荻窪ー夜勤")+COUNTIF('5月'!CK34:CL34,"荻窪ー夜勤")+COUNTIF('5月'!CP34:CQ34,"荻窪ー夜勤")+COUNTIF('5月'!CU34:CV34,"荻窪ー夜勤")+COUNTIF('5月'!CZ34:DA34,"荻窪ー夜勤")+COUNTIF('5月'!DE34:DF34,"荻窪ー夜勤")+COUNTIF('5月'!DJ34:DK34,"荻窪ー夜勤")+COUNTIF('5月'!DO34:DP34,"荻窪ー夜勤")+COUNTIF('5月'!DT34:DU34,"荻窪ー夜勤")+COUNTIF('5月'!DY34:DZ34,"荻窪ー夜勤")+COUNTIF('5月'!ED34:EE34,"荻窪ー夜勤")+COUNTIF('5月'!EI34:EJ34,"荻窪ー夜勤")+COUNTIF('5月'!EN34:EO34,"荻窪ー夜勤")+COUNTIF('5月'!ES34:ET34,"荻窪ー夜勤")</f>
        <v>0</v>
      </c>
      <c r="Q184" s="76">
        <f t="shared" si="55"/>
        <v>0</v>
      </c>
      <c r="R184" s="76">
        <f>COUNTIF('5月'!D34:E34,R$152)+COUNTIF('5月'!I34:J34,R$152)+COUNTIF('5月'!N34:O34,R$152)+COUNTIF('5月'!S34:T34,R$152)+COUNTIF('5月'!X34:Y34,R$152)+COUNTIF('5月'!AC34:AD34,R$152)+COUNTIF('5月'!AH34:AI34,R$152)+COUNTIF('5月'!AM34:AN34,R$152)+COUNTIF('5月'!AR34:AS34,R$152)+COUNTIF('5月'!AW34:AX34,R$152)+COUNTIF('5月'!BB34:BC34,R$152)+COUNTIF('5月'!BG34:BH34,R$152)+COUNTIF('5月'!BL34:BM34,R$152)+COUNTIF('5月'!BQ34:BR34,R$152)+COUNTIF('5月'!BV34:BW34,R$152)+COUNTIF('5月'!CA34:CB34,R$152)+COUNTIF('5月'!CF34:CG34,R$152)+COUNTIF('5月'!CK34:CL34,R$152)+COUNTIF('5月'!CP34:CQ34,R$152)+COUNTIF('5月'!CU34:CV34,R$152)+COUNTIF('5月'!CZ34:DA34,R$152)+COUNTIF('5月'!DE34:DF34,R$152)+COUNTIF('5月'!DJ34:DK34,R$152)+COUNTIF('5月'!DO34:DP34,R$152)+COUNTIF('5月'!DT34:DU34,R$152)+COUNTIF('5月'!DY34:DZ34,R$152)+COUNTIF('5月'!ED34:EE34,R$152)+COUNTIF('5月'!EI34:EJ34,R$152)+COUNTIF('5月'!EN34:EO34,R$152)+COUNTIF('5月'!ES34:ET34,R$152)</f>
        <v>0</v>
      </c>
      <c r="S184" s="76">
        <f t="shared" si="56"/>
        <v>0</v>
      </c>
      <c r="T184" s="76">
        <f>COUNTIF('5月'!D34:E34,T$152)+COUNTIF('5月'!I34:J34,T$152)+COUNTIF('5月'!N34:O34,T$152)+COUNTIF('5月'!S34:T34,T$152)+COUNTIF('5月'!X34:Y34,T$152)+COUNTIF('5月'!AC34:AD34,T$152)+COUNTIF('5月'!AH34:AI34,T$152)+COUNTIF('5月'!AM34:AN34,T$152)+COUNTIF('5月'!AR34:AS34,T$152)+COUNTIF('5月'!AW34:AX34,T$152)+COUNTIF('5月'!BB34:BC34,T$152)+COUNTIF('5月'!BG34:BH34,T$152)+COUNTIF('5月'!BL34:BM34,T$152)+COUNTIF('5月'!BQ34:BR34,T$152)+COUNTIF('5月'!BV34:BW34,T$152)+COUNTIF('5月'!CA34:CB34,T$152)+COUNTIF('5月'!CF34:CG34,T$152)+COUNTIF('5月'!CK34:CL34,T$152)+COUNTIF('5月'!CP34:CQ34,T$152)+COUNTIF('5月'!CU34:CV34,T$152)+COUNTIF('5月'!CZ34:DA34,T$152)+COUNTIF('5月'!DE34:DF34,T$152)+COUNTIF('5月'!DJ34:DK34,T$152)+COUNTIF('5月'!DO34:DP34,T$152)+COUNTIF('5月'!DT34:DU34,T$152)+COUNTIF('5月'!DY34:DZ34,T$152)+COUNTIF('5月'!ED34:EE34,T$152)+COUNTIF('5月'!EI34:EJ34,T$152)+COUNTIF('5月'!EN34:EO34,T$152)+COUNTIF('5月'!ES34:ET34,T$152)</f>
        <v>0</v>
      </c>
      <c r="U184" s="76">
        <f t="shared" si="57"/>
        <v>0</v>
      </c>
      <c r="V184" s="76">
        <f>COUNTIF('5月'!D34:E34,V$152)+COUNTIF('5月'!I34:J34,V$152)+COUNTIF('5月'!N34:O34,V$152)+COUNTIF('5月'!S34:T34,V$152)+COUNTIF('5月'!X34:Y34,V$152)+COUNTIF('5月'!AC34:AD34,V$152)+COUNTIF('5月'!AH34:AI34,V$152)+COUNTIF('5月'!AM34:AN34,V$152)+COUNTIF('5月'!AR34:AS34,V$152)+COUNTIF('5月'!AW34:AX34,V$152)+COUNTIF('5月'!BB34:BC34,V$152)+COUNTIF('5月'!BG34:BH34,V$152)+COUNTIF('5月'!BL34:BM34,V$152)+COUNTIF('5月'!BQ34:BR34,V$152)+COUNTIF('5月'!BV34:BW34,V$152)+COUNTIF('5月'!CA34:CB34,V$152)+COUNTIF('5月'!CF34:CG34,V$152)+COUNTIF('5月'!CK34:CL34,V$152)+COUNTIF('5月'!CP34:CQ34,V$152)+COUNTIF('5月'!CU34:CV34,V$152)+COUNTIF('5月'!CZ34:DA34,V$152)+COUNTIF('5月'!DE34:DF34,V$152)+COUNTIF('5月'!DJ34:DK34,V$152)+COUNTIF('5月'!DO34:DP34,V$152)+COUNTIF('5月'!DT34:DU34,V$152)+COUNTIF('5月'!DY34:DZ34,V$152)+COUNTIF('5月'!ED34:EE34,V$152)+COUNTIF('5月'!EI34:EJ34,V$152)+COUNTIF('5月'!EN34:EO34,V$152)+COUNTIF('5月'!ES34:ET34,V$152)</f>
        <v>0</v>
      </c>
      <c r="W184" s="76">
        <f t="shared" si="58"/>
        <v>0</v>
      </c>
      <c r="X184" s="76">
        <f>COUNTIF('5月'!D34:E34,X$152)+COUNTIF('5月'!I34:J34,X$152)+COUNTIF('5月'!N34:O34,X$152)+COUNTIF('5月'!S34:T34,X$152)+COUNTIF('5月'!X34:Y34,X$152)+COUNTIF('5月'!AC34:AD34,X$152)+COUNTIF('5月'!AH34:AI34,X$152)+COUNTIF('5月'!AM34:AN34,X$152)+COUNTIF('5月'!AR34:AS34,X$152)+COUNTIF('5月'!AW34:AX34,X$152)+COUNTIF('5月'!BB34:BC34,X$152)+COUNTIF('5月'!BG34:BH34,X$152)+COUNTIF('5月'!BL34:BM34,X$152)+COUNTIF('5月'!BQ34:BR34,X$152)+COUNTIF('5月'!BV34:BW34,X$152)+COUNTIF('5月'!CA34:CB34,X$152)+COUNTIF('5月'!CF34:CG34,X$152)+COUNTIF('5月'!CK34:CL34,X$152)+COUNTIF('5月'!CP34:CQ34,X$152)+COUNTIF('5月'!CU34:CV34,X$152)+COUNTIF('5月'!CZ34:DA34,X$152)+COUNTIF('5月'!DE34:DF34,X$152)+COUNTIF('5月'!DJ34:DK34,X$152)+COUNTIF('5月'!DO34:DP34,X$152)+COUNTIF('5月'!DT34:DU34,X$152)+COUNTIF('5月'!DY34:DZ34,X$152)+COUNTIF('5月'!ED34:EE34,X$152)+COUNTIF('5月'!EI34:EJ34,X$152)+COUNTIF('5月'!EN34:EO34,X$152)+COUNTIF('5月'!ES34:ET34,X$152)</f>
        <v>0</v>
      </c>
      <c r="Y184" s="76">
        <f t="shared" si="59"/>
        <v>0</v>
      </c>
    </row>
    <row r="185" spans="1:25" ht="21.95" customHeight="1">
      <c r="A185" s="65" t="s">
        <v>116</v>
      </c>
      <c r="B185" s="65">
        <f>SUM(B154:B184)</f>
        <v>0</v>
      </c>
      <c r="C185" s="65"/>
      <c r="D185" s="65">
        <f>SUM(D154:D184)</f>
        <v>0</v>
      </c>
      <c r="E185" s="65"/>
      <c r="F185" s="65">
        <f>SUM(F154:F184)</f>
        <v>0</v>
      </c>
      <c r="G185" s="65"/>
      <c r="H185" s="65">
        <f>SUM(H154:H184)</f>
        <v>0</v>
      </c>
      <c r="I185" s="65"/>
      <c r="J185" s="65">
        <f>SUM(J154:J184)</f>
        <v>0</v>
      </c>
      <c r="K185" s="65"/>
      <c r="L185" s="65">
        <f>SUM(L154:L184)</f>
        <v>0</v>
      </c>
      <c r="M185" s="65"/>
      <c r="N185" s="65">
        <f>SUM(N154:N184)</f>
        <v>0</v>
      </c>
      <c r="O185" s="65"/>
      <c r="P185" s="65">
        <f>SUM(P154:P184)</f>
        <v>0</v>
      </c>
      <c r="Q185" s="65"/>
      <c r="R185" s="65">
        <f>SUM(R154:R184)</f>
        <v>0</v>
      </c>
      <c r="S185" s="65"/>
      <c r="T185" s="65">
        <f>SUM(T154:T184)</f>
        <v>0</v>
      </c>
      <c r="U185" s="65"/>
      <c r="V185" s="65">
        <f>SUM(V154:V184)</f>
        <v>0</v>
      </c>
      <c r="W185" s="65"/>
      <c r="X185" s="65">
        <f>SUM(X154:X184)</f>
        <v>0</v>
      </c>
      <c r="Y185" s="65"/>
    </row>
    <row r="186" spans="1:25" ht="21.95" customHeight="1">
      <c r="A186" s="65" t="s">
        <v>117</v>
      </c>
      <c r="B186" s="65">
        <f>SUM('5月'!H4:H34)+SUM('5月'!M4:M34)+SUM('5月'!R4:R34)+SUM('5月'!W4:W34)+SUM('5月'!AB4:AB34)+SUM('5月'!AG4:AG34)+SUM('5月'!AL4:AL34)+SUM('5月'!AQ4:AQ34)+SUM('5月'!AV4:AV34)+SUM('5月'!BA4:BA34)+SUM('5月'!BF4:BF34)+SUM('5月'!BK4:BK34)+SUM('5月'!BP4:BP34)+SUM('5月'!BU4:BU34)+SUM('5月'!BZ4:BZ34)+SUM('5月'!CE4:CE34)+SUM('5月'!CJ4:CJ34)+SUM('5月'!CO4:CO34)+SUM('5月'!CT4:CT34)+SUM('5月'!CY4:CY34)+SUM('5月'!DD4:DD34)+SUM('5月'!DI4:DI34)+SUM('5月'!DN4:DN34)+SUM('5月'!DS4:DS34)+SUM('5月'!DX4:DX34)+SUM('5月'!EC4:EC34)+SUM('5月'!EH4:EH34)+SUM('5月'!EM4:EM34)+SUM('5月'!ER4:ER34)+SUM('5月'!EW4:EW34)</f>
        <v>0</v>
      </c>
      <c r="C186" s="127" t="s">
        <v>118</v>
      </c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</row>
    <row r="187" spans="1:25" ht="9.9499999999999993" customHeight="1"/>
    <row r="188" spans="1:25" ht="21.95" customHeight="1">
      <c r="A188" s="112" t="str">
        <f>対象年度&amp;"年 6月分  30日締め"</f>
        <v>2026年 6月分  30日締め</v>
      </c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</row>
    <row r="189" spans="1:25" ht="21.95" customHeight="1">
      <c r="A189" s="60" t="s">
        <v>113</v>
      </c>
      <c r="B189" s="123" t="str">
        <f>IFERROR(現場マスタ!$C$4,"")</f>
        <v>新宿</v>
      </c>
      <c r="C189" s="123"/>
      <c r="D189" s="123" t="str">
        <f>IFERROR(現場マスタ!$C$5,"")</f>
        <v>赤坂</v>
      </c>
      <c r="E189" s="123"/>
      <c r="F189" s="123" t="str">
        <f>IFERROR(現場マスタ!$C$6,"")</f>
        <v>渋谷ヒカリエ</v>
      </c>
      <c r="G189" s="123"/>
      <c r="H189" s="123" t="str">
        <f>IFERROR(現場マスタ!$C$7,"")</f>
        <v>六本木ヒルズ</v>
      </c>
      <c r="I189" s="123"/>
      <c r="J189" s="123" t="str">
        <f>IFERROR(現場マスタ!$C$10,"")</f>
        <v>有給</v>
      </c>
      <c r="K189" s="123"/>
      <c r="L189" s="123">
        <f>IFERROR(現場マスタ!$C$12,"")</f>
        <v>0</v>
      </c>
      <c r="M189" s="123"/>
      <c r="N189" s="123">
        <f>IFERROR(現場マスタ!$C$16,"")</f>
        <v>0</v>
      </c>
      <c r="O189" s="123"/>
      <c r="P189" s="123">
        <f>IFERROR(現場マスタ!$C$17,"")</f>
        <v>0</v>
      </c>
      <c r="Q189" s="123"/>
      <c r="R189" s="123">
        <f>IFERROR(現場マスタ!$C$18,"")</f>
        <v>0</v>
      </c>
      <c r="S189" s="123"/>
      <c r="T189" s="123">
        <f>IFERROR(現場マスタ!$C$20,"")</f>
        <v>0</v>
      </c>
      <c r="U189" s="123"/>
      <c r="V189" s="123">
        <f>IFERROR(現場マスタ!$C$21,"")</f>
        <v>0</v>
      </c>
      <c r="W189" s="123"/>
      <c r="X189" s="123">
        <f>IFERROR(現場マスタ!$C$22,"")</f>
        <v>0</v>
      </c>
      <c r="Y189" s="123"/>
    </row>
    <row r="190" spans="1:25" ht="20.100000000000001" customHeight="1">
      <c r="A190" s="60" t="s">
        <v>4</v>
      </c>
      <c r="B190" s="65" t="s">
        <v>114</v>
      </c>
      <c r="C190" s="65" t="s">
        <v>115</v>
      </c>
      <c r="D190" s="65" t="s">
        <v>114</v>
      </c>
      <c r="E190" s="65" t="s">
        <v>115</v>
      </c>
      <c r="F190" s="65" t="s">
        <v>114</v>
      </c>
      <c r="G190" s="65" t="s">
        <v>115</v>
      </c>
      <c r="H190" s="65" t="s">
        <v>114</v>
      </c>
      <c r="I190" s="65" t="s">
        <v>115</v>
      </c>
      <c r="J190" s="65" t="s">
        <v>114</v>
      </c>
      <c r="K190" s="65" t="s">
        <v>115</v>
      </c>
      <c r="L190" s="65" t="s">
        <v>114</v>
      </c>
      <c r="M190" s="65" t="s">
        <v>115</v>
      </c>
      <c r="N190" s="65" t="s">
        <v>114</v>
      </c>
      <c r="O190" s="65" t="s">
        <v>115</v>
      </c>
      <c r="P190" s="65" t="s">
        <v>114</v>
      </c>
      <c r="Q190" s="65" t="s">
        <v>115</v>
      </c>
      <c r="R190" s="65" t="s">
        <v>114</v>
      </c>
      <c r="S190" s="65" t="s">
        <v>115</v>
      </c>
      <c r="T190" s="65" t="s">
        <v>114</v>
      </c>
      <c r="U190" s="65" t="s">
        <v>115</v>
      </c>
      <c r="V190" s="65" t="s">
        <v>114</v>
      </c>
      <c r="W190" s="65" t="s">
        <v>115</v>
      </c>
      <c r="X190" s="65" t="s">
        <v>114</v>
      </c>
      <c r="Y190" s="65" t="s">
        <v>115</v>
      </c>
    </row>
    <row r="191" spans="1:25" ht="18" customHeight="1">
      <c r="A191" s="76">
        <v>1</v>
      </c>
      <c r="B191" s="76">
        <f>COUNTIF('6月'!D4:E4,B$189)+COUNTIF('6月'!I4:J4,B$189)+COUNTIF('6月'!N4:O4,B$189)+COUNTIF('6月'!S4:T4,B$189)+COUNTIF('6月'!X4:Y4,B$189)+COUNTIF('6月'!AC4:AD4,B$189)+COUNTIF('6月'!AH4:AI4,B$189)+COUNTIF('6月'!AM4:AN4,B$189)+COUNTIF('6月'!AR4:AS4,B$189)+COUNTIF('6月'!AW4:AX4,B$189)+COUNTIF('6月'!BB4:BC4,B$189)+COUNTIF('6月'!BG4:BH4,B$189)+COUNTIF('6月'!BL4:BM4,B$189)+COUNTIF('6月'!BQ4:BR4,B$189)+COUNTIF('6月'!BV4:BW4,B$189)+COUNTIF('6月'!CA4:CB4,B$189)+COUNTIF('6月'!CF4:CG4,B$189)+COUNTIF('6月'!CK4:CL4,B$189)+COUNTIF('6月'!CP4:CQ4,B$189)+COUNTIF('6月'!CU4:CV4,B$189)+COUNTIF('6月'!CZ4:DA4,B$189)+COUNTIF('6月'!DE4:DF4,B$189)+COUNTIF('6月'!DJ4:DK4,B$189)+COUNTIF('6月'!DO4:DP4,B$189)+COUNTIF('6月'!DT4:DU4,B$189)+COUNTIF('6月'!DY4:DZ4,B$189)+COUNTIF('6月'!ED4:EE4,B$189)+COUNTIF('6月'!EI4:EJ4,B$189)+COUNTIF('6月'!EN4:EO4,B$189)+COUNTIF('6月'!ES4:ET4,B$189)</f>
        <v>0</v>
      </c>
      <c r="C191" s="76">
        <f>IF(B191=0,0,B191)</f>
        <v>0</v>
      </c>
      <c r="D191" s="76">
        <f>COUNTIF('6月'!D4:E4,D$189)+COUNTIF('6月'!I4:J4,D$189)+COUNTIF('6月'!N4:O4,D$189)+COUNTIF('6月'!S4:T4,D$189)+COUNTIF('6月'!X4:Y4,D$189)+COUNTIF('6月'!AC4:AD4,D$189)+COUNTIF('6月'!AH4:AI4,D$189)+COUNTIF('6月'!AM4:AN4,D$189)+COUNTIF('6月'!AR4:AS4,D$189)+COUNTIF('6月'!AW4:AX4,D$189)+COUNTIF('6月'!BB4:BC4,D$189)+COUNTIF('6月'!BG4:BH4,D$189)+COUNTIF('6月'!BL4:BM4,D$189)+COUNTIF('6月'!BQ4:BR4,D$189)+COUNTIF('6月'!BV4:BW4,D$189)+COUNTIF('6月'!CA4:CB4,D$189)+COUNTIF('6月'!CF4:CG4,D$189)+COUNTIF('6月'!CK4:CL4,D$189)+COUNTIF('6月'!CP4:CQ4,D$189)+COUNTIF('6月'!CU4:CV4,D$189)+COUNTIF('6月'!CZ4:DA4,D$189)+COUNTIF('6月'!DE4:DF4,D$189)+COUNTIF('6月'!DJ4:DK4,D$189)+COUNTIF('6月'!DO4:DP4,D$189)+COUNTIF('6月'!DT4:DU4,D$189)+COUNTIF('6月'!DY4:DZ4,D$189)+COUNTIF('6月'!ED4:EE4,D$189)+COUNTIF('6月'!EI4:EJ4,D$189)+COUNTIF('6月'!EN4:EO4,D$189)+COUNTIF('6月'!ES4:ET4,D$189)</f>
        <v>0</v>
      </c>
      <c r="E191" s="76">
        <f>IF(D191=0,0,D191)</f>
        <v>0</v>
      </c>
      <c r="F191" s="76">
        <f>COUNTIF('6月'!D4:E4,F$189)+COUNTIF('6月'!I4:J4,F$189)+COUNTIF('6月'!N4:O4,F$189)+COUNTIF('6月'!S4:T4,F$189)+COUNTIF('6月'!X4:Y4,F$189)+COUNTIF('6月'!AC4:AD4,F$189)+COUNTIF('6月'!AH4:AI4,F$189)+COUNTIF('6月'!AM4:AN4,F$189)+COUNTIF('6月'!AR4:AS4,F$189)+COUNTIF('6月'!AW4:AX4,F$189)+COUNTIF('6月'!BB4:BC4,F$189)+COUNTIF('6月'!BG4:BH4,F$189)+COUNTIF('6月'!BL4:BM4,F$189)+COUNTIF('6月'!BQ4:BR4,F$189)+COUNTIF('6月'!BV4:BW4,F$189)+COUNTIF('6月'!CA4:CB4,F$189)+COUNTIF('6月'!CF4:CG4,F$189)+COUNTIF('6月'!CK4:CL4,F$189)+COUNTIF('6月'!CP4:CQ4,F$189)+COUNTIF('6月'!CU4:CV4,F$189)+COUNTIF('6月'!CZ4:DA4,F$189)+COUNTIF('6月'!DE4:DF4,F$189)+COUNTIF('6月'!DJ4:DK4,F$189)+COUNTIF('6月'!DO4:DP4,F$189)+COUNTIF('6月'!DT4:DU4,F$189)+COUNTIF('6月'!DY4:DZ4,F$189)+COUNTIF('6月'!ED4:EE4,F$189)+COUNTIF('6月'!EI4:EJ4,F$189)+COUNTIF('6月'!EN4:EO4,F$189)+COUNTIF('6月'!ES4:ET4,F$189)</f>
        <v>0</v>
      </c>
      <c r="G191" s="76">
        <f>IF(F191=0,0,F191)</f>
        <v>0</v>
      </c>
      <c r="H191" s="76">
        <f>COUNTIF('6月'!D4:E4,H$189)+COUNTIF('6月'!I4:J4,H$189)+COUNTIF('6月'!N4:O4,H$189)+COUNTIF('6月'!S4:T4,H$189)+COUNTIF('6月'!X4:Y4,H$189)+COUNTIF('6月'!AC4:AD4,H$189)+COUNTIF('6月'!AH4:AI4,H$189)+COUNTIF('6月'!AM4:AN4,H$189)+COUNTIF('6月'!AR4:AS4,H$189)+COUNTIF('6月'!AW4:AX4,H$189)+COUNTIF('6月'!BB4:BC4,H$189)+COUNTIF('6月'!BG4:BH4,H$189)+COUNTIF('6月'!BL4:BM4,H$189)+COUNTIF('6月'!BQ4:BR4,H$189)+COUNTIF('6月'!BV4:BW4,H$189)+COUNTIF('6月'!CA4:CB4,H$189)+COUNTIF('6月'!CF4:CG4,H$189)+COUNTIF('6月'!CK4:CL4,H$189)+COUNTIF('6月'!CP4:CQ4,H$189)+COUNTIF('6月'!CU4:CV4,H$189)+COUNTIF('6月'!CZ4:DA4,H$189)+COUNTIF('6月'!DE4:DF4,H$189)+COUNTIF('6月'!DJ4:DK4,H$189)+COUNTIF('6月'!DO4:DP4,H$189)+COUNTIF('6月'!DT4:DU4,H$189)+COUNTIF('6月'!DY4:DZ4,H$189)+COUNTIF('6月'!ED4:EE4,H$189)+COUNTIF('6月'!EI4:EJ4,H$189)+COUNTIF('6月'!EN4:EO4,H$189)+COUNTIF('6月'!ES4:ET4,H$189)+COUNTIF('6月'!D4:E4,"渋谷-夜勤")+COUNTIF('6月'!I4:J4,"渋谷-夜勤")+COUNTIF('6月'!N4:O4,"渋谷-夜勤")+COUNTIF('6月'!S4:T4,"渋谷-夜勤")+COUNTIF('6月'!X4:Y4,"渋谷-夜勤")+COUNTIF('6月'!AC4:AD4,"渋谷-夜勤")+COUNTIF('6月'!AH4:AI4,"渋谷-夜勤")+COUNTIF('6月'!AM4:AN4,"渋谷-夜勤")+COUNTIF('6月'!AR4:AS4,"渋谷-夜勤")+COUNTIF('6月'!AW4:AX4,"渋谷-夜勤")+COUNTIF('6月'!BB4:BC4,"渋谷-夜勤")+COUNTIF('6月'!BG4:BH4,"渋谷-夜勤")+COUNTIF('6月'!BL4:BM4,"渋谷-夜勤")+COUNTIF('6月'!BQ4:BR4,"渋谷-夜勤")+COUNTIF('6月'!BV4:BW4,"渋谷-夜勤")+COUNTIF('6月'!CA4:CB4,"渋谷-夜勤")+COUNTIF('6月'!CF4:CG4,"渋谷-夜勤")+COUNTIF('6月'!CK4:CL4,"渋谷-夜勤")+COUNTIF('6月'!CP4:CQ4,"渋谷-夜勤")+COUNTIF('6月'!CU4:CV4,"渋谷-夜勤")+COUNTIF('6月'!CZ4:DA4,"渋谷-夜勤")+COUNTIF('6月'!DE4:DF4,"渋谷-夜勤")+COUNTIF('6月'!DJ4:DK4,"渋谷-夜勤")+COUNTIF('6月'!DO4:DP4,"渋谷-夜勤")+COUNTIF('6月'!DT4:DU4,"渋谷-夜勤")+COUNTIF('6月'!DY4:DZ4,"渋谷-夜勤")+COUNTIF('6月'!ED4:EE4,"渋谷-夜勤")+COUNTIF('6月'!EI4:EJ4,"渋谷-夜勤")+COUNTIF('6月'!EN4:EO4,"渋谷-夜勤")+COUNTIF('6月'!ES4:ET4,"渋谷-夜勤")</f>
        <v>0</v>
      </c>
      <c r="I191" s="76">
        <f>IF(H191=0,0,H191)</f>
        <v>0</v>
      </c>
      <c r="J191" s="76">
        <f>COUNTIF('6月'!D4:E4,J$189)+COUNTIF('6月'!I4:J4,J$189)+COUNTIF('6月'!N4:O4,J$189)+COUNTIF('6月'!S4:T4,J$189)+COUNTIF('6月'!X4:Y4,J$189)+COUNTIF('6月'!AC4:AD4,J$189)+COUNTIF('6月'!AH4:AI4,J$189)+COUNTIF('6月'!AM4:AN4,J$189)+COUNTIF('6月'!AR4:AS4,J$189)+COUNTIF('6月'!AW4:AX4,J$189)+COUNTIF('6月'!BB4:BC4,J$189)+COUNTIF('6月'!BG4:BH4,J$189)+COUNTIF('6月'!BL4:BM4,J$189)+COUNTIF('6月'!BQ4:BR4,J$189)+COUNTIF('6月'!BV4:BW4,J$189)+COUNTIF('6月'!CA4:CB4,J$189)+COUNTIF('6月'!CF4:CG4,J$189)+COUNTIF('6月'!CK4:CL4,J$189)+COUNTIF('6月'!CP4:CQ4,J$189)+COUNTIF('6月'!CU4:CV4,J$189)+COUNTIF('6月'!CZ4:DA4,J$189)+COUNTIF('6月'!DE4:DF4,J$189)+COUNTIF('6月'!DJ4:DK4,J$189)+COUNTIF('6月'!DO4:DP4,J$189)+COUNTIF('6月'!DT4:DU4,J$189)+COUNTIF('6月'!DY4:DZ4,J$189)+COUNTIF('6月'!ED4:EE4,J$189)+COUNTIF('6月'!EI4:EJ4,J$189)+COUNTIF('6月'!EN4:EO4,J$189)+COUNTIF('6月'!ES4:ET4,J$189)+COUNTIF('6月'!D4:E4,"六本木-夜勤")+COUNTIF('6月'!I4:J4,"六本木-夜勤")+COUNTIF('6月'!N4:O4,"六本木-夜勤")+COUNTIF('6月'!S4:T4,"六本木-夜勤")+COUNTIF('6月'!X4:Y4,"六本木-夜勤")+COUNTIF('6月'!AC4:AD4,"六本木-夜勤")+COUNTIF('6月'!AH4:AI4,"六本木-夜勤")+COUNTIF('6月'!AM4:AN4,"六本木-夜勤")+COUNTIF('6月'!AR4:AS4,"六本木-夜勤")+COUNTIF('6月'!AW4:AX4,"六本木-夜勤")+COUNTIF('6月'!BB4:BC4,"六本木-夜勤")+COUNTIF('6月'!BG4:BH4,"六本木-夜勤")+COUNTIF('6月'!BL4:BM4,"六本木-夜勤")+COUNTIF('6月'!BQ4:BR4,"六本木-夜勤")+COUNTIF('6月'!BV4:BW4,"六本木-夜勤")+COUNTIF('6月'!CA4:CB4,"六本木-夜勤")+COUNTIF('6月'!CF4:CG4,"六本木-夜勤")+COUNTIF('6月'!CK4:CL4,"六本木-夜勤")+COUNTIF('6月'!CP4:CQ4,"六本木-夜勤")+COUNTIF('6月'!CU4:CV4,"六本木-夜勤")+COUNTIF('6月'!CZ4:DA4,"六本木-夜勤")+COUNTIF('6月'!DE4:DF4,"六本木-夜勤")+COUNTIF('6月'!DJ4:DK4,"六本木-夜勤")+COUNTIF('6月'!DO4:DP4,"六本木-夜勤")+COUNTIF('6月'!DT4:DU4,"六本木-夜勤")+COUNTIF('6月'!DY4:DZ4,"六本木-夜勤")+COUNTIF('6月'!ED4:EE4,"六本木-夜勤")+COUNTIF('6月'!EI4:EJ4,"六本木-夜勤")+COUNTIF('6月'!EN4:EO4,"六本木-夜勤")+COUNTIF('6月'!ES4:ET4,"六本木-夜勤")+COUNTIF('6月'!D4:E4,"六本木ー夜勤")+COUNTIF('6月'!I4:J4,"六本木ー夜勤")+COUNTIF('6月'!N4:O4,"六本木ー夜勤")+COUNTIF('6月'!S4:T4,"六本木ー夜勤")+COUNTIF('6月'!X4:Y4,"六本木ー夜勤")+COUNTIF('6月'!AC4:AD4,"六本木ー夜勤")+COUNTIF('6月'!AH4:AI4,"六本木ー夜勤")+COUNTIF('6月'!AM4:AN4,"六本木ー夜勤")+COUNTIF('6月'!AR4:AS4,"六本木ー夜勤")+COUNTIF('6月'!AW4:AX4,"六本木ー夜勤")+COUNTIF('6月'!BB4:BC4,"六本木ー夜勤")+COUNTIF('6月'!BG4:BH4,"六本木ー夜勤")+COUNTIF('6月'!BL4:BM4,"六本木ー夜勤")+COUNTIF('6月'!BQ4:BR4,"六本木ー夜勤")+COUNTIF('6月'!BV4:BW4,"六本木ー夜勤")+COUNTIF('6月'!CA4:CB4,"六本木ー夜勤")+COUNTIF('6月'!CF4:CG4,"六本木ー夜勤")+COUNTIF('6月'!CK4:CL4,"六本木ー夜勤")+COUNTIF('6月'!CP4:CQ4,"六本木ー夜勤")+COUNTIF('6月'!CU4:CV4,"六本木ー夜勤")+COUNTIF('6月'!CZ4:DA4,"六本木ー夜勤")+COUNTIF('6月'!DE4:DF4,"六本木ー夜勤")+COUNTIF('6月'!DJ4:DK4,"六本木ー夜勤")+COUNTIF('6月'!DO4:DP4,"六本木ー夜勤")+COUNTIF('6月'!DT4:DU4,"六本木ー夜勤")+COUNTIF('6月'!DY4:DZ4,"六本木ー夜勤")+COUNTIF('6月'!ED4:EE4,"六本木ー夜勤")+COUNTIF('6月'!EI4:EJ4,"六本木ー夜勤")+COUNTIF('6月'!EN4:EO4,"六本木ー夜勤")+COUNTIF('6月'!ES4:ET4,"六本木ー夜勤")</f>
        <v>0</v>
      </c>
      <c r="K191" s="76">
        <f>IF(J191=0,0,J191)</f>
        <v>0</v>
      </c>
      <c r="L191" s="76">
        <f>COUNTIF('6月'!D4:E4,L$189)+COUNTIF('6月'!I4:J4,L$189)+COUNTIF('6月'!N4:O4,L$189)+COUNTIF('6月'!S4:T4,L$189)+COUNTIF('6月'!X4:Y4,L$189)+COUNTIF('6月'!AC4:AD4,L$189)+COUNTIF('6月'!AH4:AI4,L$189)+COUNTIF('6月'!AM4:AN4,L$189)+COUNTIF('6月'!AR4:AS4,L$189)+COUNTIF('6月'!AW4:AX4,L$189)+COUNTIF('6月'!BB4:BC4,L$189)+COUNTIF('6月'!BG4:BH4,L$189)+COUNTIF('6月'!BL4:BM4,L$189)+COUNTIF('6月'!BQ4:BR4,L$189)+COUNTIF('6月'!BV4:BW4,L$189)+COUNTIF('6月'!CA4:CB4,L$189)+COUNTIF('6月'!CF4:CG4,L$189)+COUNTIF('6月'!CK4:CL4,L$189)+COUNTIF('6月'!CP4:CQ4,L$189)+COUNTIF('6月'!CU4:CV4,L$189)+COUNTIF('6月'!CZ4:DA4,L$189)+COUNTIF('6月'!DE4:DF4,L$189)+COUNTIF('6月'!DJ4:DK4,L$189)+COUNTIF('6月'!DO4:DP4,L$189)+COUNTIF('6月'!DT4:DU4,L$189)+COUNTIF('6月'!DY4:DZ4,L$189)+COUNTIF('6月'!ED4:EE4,L$189)+COUNTIF('6月'!EI4:EJ4,L$189)+COUNTIF('6月'!EN4:EO4,L$189)+COUNTIF('6月'!ES4:ET4,L$189)</f>
        <v>0</v>
      </c>
      <c r="M191" s="76">
        <f>IF(L191=0,0,L191)</f>
        <v>0</v>
      </c>
      <c r="N191" s="76">
        <f>COUNTIF('6月'!D4:E4,N$189)+COUNTIF('6月'!I4:J4,N$189)+COUNTIF('6月'!N4:O4,N$189)+COUNTIF('6月'!S4:T4,N$189)+COUNTIF('6月'!X4:Y4,N$189)+COUNTIF('6月'!AC4:AD4,N$189)+COUNTIF('6月'!AH4:AI4,N$189)+COUNTIF('6月'!AM4:AN4,N$189)+COUNTIF('6月'!AR4:AS4,N$189)+COUNTIF('6月'!AW4:AX4,N$189)+COUNTIF('6月'!BB4:BC4,N$189)+COUNTIF('6月'!BG4:BH4,N$189)+COUNTIF('6月'!BL4:BM4,N$189)+COUNTIF('6月'!BQ4:BR4,N$189)+COUNTIF('6月'!BV4:BW4,N$189)+COUNTIF('6月'!CA4:CB4,N$189)+COUNTIF('6月'!CF4:CG4,N$189)+COUNTIF('6月'!CK4:CL4,N$189)+COUNTIF('6月'!CP4:CQ4,N$189)+COUNTIF('6月'!CU4:CV4,N$189)+COUNTIF('6月'!CZ4:DA4,N$189)+COUNTIF('6月'!DE4:DF4,N$189)+COUNTIF('6月'!DJ4:DK4,N$189)+COUNTIF('6月'!DO4:DP4,N$189)+COUNTIF('6月'!DT4:DU4,N$189)+COUNTIF('6月'!DY4:DZ4,N$189)+COUNTIF('6月'!ED4:EE4,N$189)+COUNTIF('6月'!EI4:EJ4,N$189)+COUNTIF('6月'!EN4:EO4,N$189)+COUNTIF('6月'!ES4:ET4,N$189)+COUNTIF('6月'!D4:E4,"三軒茶屋－夜勤")+COUNTIF('6月'!I4:J4,"三軒茶屋－夜勤")+COUNTIF('6月'!N4:O4,"三軒茶屋－夜勤")+COUNTIF('6月'!S4:T4,"三軒茶屋－夜勤")+COUNTIF('6月'!X4:Y4,"三軒茶屋－夜勤")+COUNTIF('6月'!AC4:AD4,"三軒茶屋－夜勤")+COUNTIF('6月'!AH4:AI4,"三軒茶屋－夜勤")+COUNTIF('6月'!AM4:AN4,"三軒茶屋－夜勤")+COUNTIF('6月'!AR4:AS4,"三軒茶屋－夜勤")+COUNTIF('6月'!AW4:AX4,"三軒茶屋－夜勤")+COUNTIF('6月'!BB4:BC4,"三軒茶屋－夜勤")+COUNTIF('6月'!BG4:BH4,"三軒茶屋－夜勤")+COUNTIF('6月'!BL4:BM4,"三軒茶屋－夜勤")+COUNTIF('6月'!BQ4:BR4,"三軒茶屋－夜勤")+COUNTIF('6月'!BV4:BW4,"三軒茶屋－夜勤")+COUNTIF('6月'!CA4:CB4,"三軒茶屋－夜勤")+COUNTIF('6月'!CF4:CG4,"三軒茶屋－夜勤")+COUNTIF('6月'!CK4:CL4,"三軒茶屋－夜勤")+COUNTIF('6月'!CP4:CQ4,"三軒茶屋－夜勤")+COUNTIF('6月'!CU4:CV4,"三軒茶屋－夜勤")+COUNTIF('6月'!CZ4:DA4,"三軒茶屋－夜勤")+COUNTIF('6月'!DE4:DF4,"三軒茶屋－夜勤")+COUNTIF('6月'!DJ4:DK4,"三軒茶屋－夜勤")+COUNTIF('6月'!DO4:DP4,"三軒茶屋－夜勤")+COUNTIF('6月'!DT4:DU4,"三軒茶屋－夜勤")+COUNTIF('6月'!DY4:DZ4,"三軒茶屋－夜勤")+COUNTIF('6月'!ED4:EE4,"三軒茶屋－夜勤")+COUNTIF('6月'!EI4:EJ4,"三軒茶屋－夜勤")+COUNTIF('6月'!EN4:EO4,"三軒茶屋－夜勤")+COUNTIF('6月'!ES4:ET4,"三軒茶屋－夜勤")</f>
        <v>0</v>
      </c>
      <c r="O191" s="76">
        <f>IF(N191=0,0,N191)</f>
        <v>0</v>
      </c>
      <c r="P191" s="76">
        <f>COUNTIF('6月'!D4:E4,P$189)+COUNTIF('6月'!I4:J4,P$189)+COUNTIF('6月'!N4:O4,P$189)+COUNTIF('6月'!S4:T4,P$189)+COUNTIF('6月'!X4:Y4,P$189)+COUNTIF('6月'!AC4:AD4,P$189)+COUNTIF('6月'!AH4:AI4,P$189)+COUNTIF('6月'!AM4:AN4,P$189)+COUNTIF('6月'!AR4:AS4,P$189)+COUNTIF('6月'!AW4:AX4,P$189)+COUNTIF('6月'!BB4:BC4,P$189)+COUNTIF('6月'!BG4:BH4,P$189)+COUNTIF('6月'!BL4:BM4,P$189)+COUNTIF('6月'!BQ4:BR4,P$189)+COUNTIF('6月'!BV4:BW4,P$189)+COUNTIF('6月'!CA4:CB4,P$189)+COUNTIF('6月'!CF4:CG4,P$189)+COUNTIF('6月'!CK4:CL4,P$189)+COUNTIF('6月'!CP4:CQ4,P$189)+COUNTIF('6月'!CU4:CV4,P$189)+COUNTIF('6月'!CZ4:DA4,P$189)+COUNTIF('6月'!DE4:DF4,P$189)+COUNTIF('6月'!DJ4:DK4,P$189)+COUNTIF('6月'!DO4:DP4,P$189)+COUNTIF('6月'!DT4:DU4,P$189)+COUNTIF('6月'!DY4:DZ4,P$189)+COUNTIF('6月'!ED4:EE4,P$189)+COUNTIF('6月'!EI4:EJ4,P$189)+COUNTIF('6月'!EN4:EO4,P$189)+COUNTIF('6月'!ES4:ET4,P$189)+COUNTIF('6月'!D4:E4,"荻窪ー夜勤")+COUNTIF('6月'!I4:J4,"荻窪ー夜勤")+COUNTIF('6月'!N4:O4,"荻窪ー夜勤")+COUNTIF('6月'!S4:T4,"荻窪ー夜勤")+COUNTIF('6月'!X4:Y4,"荻窪ー夜勤")+COUNTIF('6月'!AC4:AD4,"荻窪ー夜勤")+COUNTIF('6月'!AH4:AI4,"荻窪ー夜勤")+COUNTIF('6月'!AM4:AN4,"荻窪ー夜勤")+COUNTIF('6月'!AR4:AS4,"荻窪ー夜勤")+COUNTIF('6月'!AW4:AX4,"荻窪ー夜勤")+COUNTIF('6月'!BB4:BC4,"荻窪ー夜勤")+COUNTIF('6月'!BG4:BH4,"荻窪ー夜勤")+COUNTIF('6月'!BL4:BM4,"荻窪ー夜勤")+COUNTIF('6月'!BQ4:BR4,"荻窪ー夜勤")+COUNTIF('6月'!BV4:BW4,"荻窪ー夜勤")+COUNTIF('6月'!CA4:CB4,"荻窪ー夜勤")+COUNTIF('6月'!CF4:CG4,"荻窪ー夜勤")+COUNTIF('6月'!CK4:CL4,"荻窪ー夜勤")+COUNTIF('6月'!CP4:CQ4,"荻窪ー夜勤")+COUNTIF('6月'!CU4:CV4,"荻窪ー夜勤")+COUNTIF('6月'!CZ4:DA4,"荻窪ー夜勤")+COUNTIF('6月'!DE4:DF4,"荻窪ー夜勤")+COUNTIF('6月'!DJ4:DK4,"荻窪ー夜勤")+COUNTIF('6月'!DO4:DP4,"荻窪ー夜勤")+COUNTIF('6月'!DT4:DU4,"荻窪ー夜勤")+COUNTIF('6月'!DY4:DZ4,"荻窪ー夜勤")+COUNTIF('6月'!ED4:EE4,"荻窪ー夜勤")+COUNTIF('6月'!EI4:EJ4,"荻窪ー夜勤")+COUNTIF('6月'!EN4:EO4,"荻窪ー夜勤")+COUNTIF('6月'!ES4:ET4,"荻窪ー夜勤")</f>
        <v>0</v>
      </c>
      <c r="Q191" s="76">
        <f>IF(P191=0,0,P191)</f>
        <v>0</v>
      </c>
      <c r="R191" s="76">
        <f>COUNTIF('6月'!D4:E4,R$189)+COUNTIF('6月'!I4:J4,R$189)+COUNTIF('6月'!N4:O4,R$189)+COUNTIF('6月'!S4:T4,R$189)+COUNTIF('6月'!X4:Y4,R$189)+COUNTIF('6月'!AC4:AD4,R$189)+COUNTIF('6月'!AH4:AI4,R$189)+COUNTIF('6月'!AM4:AN4,R$189)+COUNTIF('6月'!AR4:AS4,R$189)+COUNTIF('6月'!AW4:AX4,R$189)+COUNTIF('6月'!BB4:BC4,R$189)+COUNTIF('6月'!BG4:BH4,R$189)+COUNTIF('6月'!BL4:BM4,R$189)+COUNTIF('6月'!BQ4:BR4,R$189)+COUNTIF('6月'!BV4:BW4,R$189)+COUNTIF('6月'!CA4:CB4,R$189)+COUNTIF('6月'!CF4:CG4,R$189)+COUNTIF('6月'!CK4:CL4,R$189)+COUNTIF('6月'!CP4:CQ4,R$189)+COUNTIF('6月'!CU4:CV4,R$189)+COUNTIF('6月'!CZ4:DA4,R$189)+COUNTIF('6月'!DE4:DF4,R$189)+COUNTIF('6月'!DJ4:DK4,R$189)+COUNTIF('6月'!DO4:DP4,R$189)+COUNTIF('6月'!DT4:DU4,R$189)+COUNTIF('6月'!DY4:DZ4,R$189)+COUNTIF('6月'!ED4:EE4,R$189)+COUNTIF('6月'!EI4:EJ4,R$189)+COUNTIF('6月'!EN4:EO4,R$189)+COUNTIF('6月'!ES4:ET4,R$189)</f>
        <v>0</v>
      </c>
      <c r="S191" s="76">
        <f>IF(R191=0,0,R191)</f>
        <v>0</v>
      </c>
      <c r="T191" s="76">
        <f>COUNTIF('6月'!D4:E4,T$189)+COUNTIF('6月'!I4:J4,T$189)+COUNTIF('6月'!N4:O4,T$189)+COUNTIF('6月'!S4:T4,T$189)+COUNTIF('6月'!X4:Y4,T$189)+COUNTIF('6月'!AC4:AD4,T$189)+COUNTIF('6月'!AH4:AI4,T$189)+COUNTIF('6月'!AM4:AN4,T$189)+COUNTIF('6月'!AR4:AS4,T$189)+COUNTIF('6月'!AW4:AX4,T$189)+COUNTIF('6月'!BB4:BC4,T$189)+COUNTIF('6月'!BG4:BH4,T$189)+COUNTIF('6月'!BL4:BM4,T$189)+COUNTIF('6月'!BQ4:BR4,T$189)+COUNTIF('6月'!BV4:BW4,T$189)+COUNTIF('6月'!CA4:CB4,T$189)+COUNTIF('6月'!CF4:CG4,T$189)+COUNTIF('6月'!CK4:CL4,T$189)+COUNTIF('6月'!CP4:CQ4,T$189)+COUNTIF('6月'!CU4:CV4,T$189)+COUNTIF('6月'!CZ4:DA4,T$189)+COUNTIF('6月'!DE4:DF4,T$189)+COUNTIF('6月'!DJ4:DK4,T$189)+COUNTIF('6月'!DO4:DP4,T$189)+COUNTIF('6月'!DT4:DU4,T$189)+COUNTIF('6月'!DY4:DZ4,T$189)+COUNTIF('6月'!ED4:EE4,T$189)+COUNTIF('6月'!EI4:EJ4,T$189)+COUNTIF('6月'!EN4:EO4,T$189)+COUNTIF('6月'!ES4:ET4,T$189)</f>
        <v>0</v>
      </c>
      <c r="U191" s="76">
        <f>IF(T191=0,0,T191)</f>
        <v>0</v>
      </c>
      <c r="V191" s="76">
        <f>COUNTIF('6月'!D4:E4,V$189)+COUNTIF('6月'!I4:J4,V$189)+COUNTIF('6月'!N4:O4,V$189)+COUNTIF('6月'!S4:T4,V$189)+COUNTIF('6月'!X4:Y4,V$189)+COUNTIF('6月'!AC4:AD4,V$189)+COUNTIF('6月'!AH4:AI4,V$189)+COUNTIF('6月'!AM4:AN4,V$189)+COUNTIF('6月'!AR4:AS4,V$189)+COUNTIF('6月'!AW4:AX4,V$189)+COUNTIF('6月'!BB4:BC4,V$189)+COUNTIF('6月'!BG4:BH4,V$189)+COUNTIF('6月'!BL4:BM4,V$189)+COUNTIF('6月'!BQ4:BR4,V$189)+COUNTIF('6月'!BV4:BW4,V$189)+COUNTIF('6月'!CA4:CB4,V$189)+COUNTIF('6月'!CF4:CG4,V$189)+COUNTIF('6月'!CK4:CL4,V$189)+COUNTIF('6月'!CP4:CQ4,V$189)+COUNTIF('6月'!CU4:CV4,V$189)+COUNTIF('6月'!CZ4:DA4,V$189)+COUNTIF('6月'!DE4:DF4,V$189)+COUNTIF('6月'!DJ4:DK4,V$189)+COUNTIF('6月'!DO4:DP4,V$189)+COUNTIF('6月'!DT4:DU4,V$189)+COUNTIF('6月'!DY4:DZ4,V$189)+COUNTIF('6月'!ED4:EE4,V$189)+COUNTIF('6月'!EI4:EJ4,V$189)+COUNTIF('6月'!EN4:EO4,V$189)+COUNTIF('6月'!ES4:ET4,V$189)</f>
        <v>0</v>
      </c>
      <c r="W191" s="76">
        <f>IF(V191=0,0,V191)</f>
        <v>0</v>
      </c>
      <c r="X191" s="76">
        <f>COUNTIF('6月'!D4:E4,X$189)+COUNTIF('6月'!I4:J4,X$189)+COUNTIF('6月'!N4:O4,X$189)+COUNTIF('6月'!S4:T4,X$189)+COUNTIF('6月'!X4:Y4,X$189)+COUNTIF('6月'!AC4:AD4,X$189)+COUNTIF('6月'!AH4:AI4,X$189)+COUNTIF('6月'!AM4:AN4,X$189)+COUNTIF('6月'!AR4:AS4,X$189)+COUNTIF('6月'!AW4:AX4,X$189)+COUNTIF('6月'!BB4:BC4,X$189)+COUNTIF('6月'!BG4:BH4,X$189)+COUNTIF('6月'!BL4:BM4,X$189)+COUNTIF('6月'!BQ4:BR4,X$189)+COUNTIF('6月'!BV4:BW4,X$189)+COUNTIF('6月'!CA4:CB4,X$189)+COUNTIF('6月'!CF4:CG4,X$189)+COUNTIF('6月'!CK4:CL4,X$189)+COUNTIF('6月'!CP4:CQ4,X$189)+COUNTIF('6月'!CU4:CV4,X$189)+COUNTIF('6月'!CZ4:DA4,X$189)+COUNTIF('6月'!DE4:DF4,X$189)+COUNTIF('6月'!DJ4:DK4,X$189)+COUNTIF('6月'!DO4:DP4,X$189)+COUNTIF('6月'!DT4:DU4,X$189)+COUNTIF('6月'!DY4:DZ4,X$189)+COUNTIF('6月'!ED4:EE4,X$189)+COUNTIF('6月'!EI4:EJ4,X$189)+COUNTIF('6月'!EN4:EO4,X$189)+COUNTIF('6月'!ES4:ET4,X$189)</f>
        <v>0</v>
      </c>
      <c r="Y191" s="76">
        <f>IF(X191=0,0,X191)</f>
        <v>0</v>
      </c>
    </row>
    <row r="192" spans="1:25" ht="18" customHeight="1">
      <c r="A192" s="76">
        <v>2</v>
      </c>
      <c r="B192" s="76">
        <f>COUNTIF('6月'!D5:E5,B$189)+COUNTIF('6月'!I5:J5,B$189)+COUNTIF('6月'!N5:O5,B$189)+COUNTIF('6月'!S5:T5,B$189)+COUNTIF('6月'!X5:Y5,B$189)+COUNTIF('6月'!AC5:AD5,B$189)+COUNTIF('6月'!AH5:AI5,B$189)+COUNTIF('6月'!AM5:AN5,B$189)+COUNTIF('6月'!AR5:AS5,B$189)+COUNTIF('6月'!AW5:AX5,B$189)+COUNTIF('6月'!BB5:BC5,B$189)+COUNTIF('6月'!BG5:BH5,B$189)+COUNTIF('6月'!BL5:BM5,B$189)+COUNTIF('6月'!BQ5:BR5,B$189)+COUNTIF('6月'!BV5:BW5,B$189)+COUNTIF('6月'!CA5:CB5,B$189)+COUNTIF('6月'!CF5:CG5,B$189)+COUNTIF('6月'!CK5:CL5,B$189)+COUNTIF('6月'!CP5:CQ5,B$189)+COUNTIF('6月'!CU5:CV5,B$189)+COUNTIF('6月'!CZ5:DA5,B$189)+COUNTIF('6月'!DE5:DF5,B$189)+COUNTIF('6月'!DJ5:DK5,B$189)+COUNTIF('6月'!DO5:DP5,B$189)+COUNTIF('6月'!DT5:DU5,B$189)+COUNTIF('6月'!DY5:DZ5,B$189)+COUNTIF('6月'!ED5:EE5,B$189)+COUNTIF('6月'!EI5:EJ5,B$189)+COUNTIF('6月'!EN5:EO5,B$189)+COUNTIF('6月'!ES5:ET5,B$189)</f>
        <v>0</v>
      </c>
      <c r="C192" s="76">
        <f t="shared" ref="C192:C221" si="60">IF(B192=0,C191,C191+B192)</f>
        <v>0</v>
      </c>
      <c r="D192" s="76">
        <f>COUNTIF('6月'!D5:E5,D$189)+COUNTIF('6月'!I5:J5,D$189)+COUNTIF('6月'!N5:O5,D$189)+COUNTIF('6月'!S5:T5,D$189)+COUNTIF('6月'!X5:Y5,D$189)+COUNTIF('6月'!AC5:AD5,D$189)+COUNTIF('6月'!AH5:AI5,D$189)+COUNTIF('6月'!AM5:AN5,D$189)+COUNTIF('6月'!AR5:AS5,D$189)+COUNTIF('6月'!AW5:AX5,D$189)+COUNTIF('6月'!BB5:BC5,D$189)+COUNTIF('6月'!BG5:BH5,D$189)+COUNTIF('6月'!BL5:BM5,D$189)+COUNTIF('6月'!BQ5:BR5,D$189)+COUNTIF('6月'!BV5:BW5,D$189)+COUNTIF('6月'!CA5:CB5,D$189)+COUNTIF('6月'!CF5:CG5,D$189)+COUNTIF('6月'!CK5:CL5,D$189)+COUNTIF('6月'!CP5:CQ5,D$189)+COUNTIF('6月'!CU5:CV5,D$189)+COUNTIF('6月'!CZ5:DA5,D$189)+COUNTIF('6月'!DE5:DF5,D$189)+COUNTIF('6月'!DJ5:DK5,D$189)+COUNTIF('6月'!DO5:DP5,D$189)+COUNTIF('6月'!DT5:DU5,D$189)+COUNTIF('6月'!DY5:DZ5,D$189)+COUNTIF('6月'!ED5:EE5,D$189)+COUNTIF('6月'!EI5:EJ5,D$189)+COUNTIF('6月'!EN5:EO5,D$189)+COUNTIF('6月'!ES5:ET5,D$189)</f>
        <v>0</v>
      </c>
      <c r="E192" s="76">
        <f t="shared" ref="E192:E221" si="61">IF(D192=0,E191,E191+D192)</f>
        <v>0</v>
      </c>
      <c r="F192" s="76">
        <f>COUNTIF('6月'!D5:E5,F$189)+COUNTIF('6月'!I5:J5,F$189)+COUNTIF('6月'!N5:O5,F$189)+COUNTIF('6月'!S5:T5,F$189)+COUNTIF('6月'!X5:Y5,F$189)+COUNTIF('6月'!AC5:AD5,F$189)+COUNTIF('6月'!AH5:AI5,F$189)+COUNTIF('6月'!AM5:AN5,F$189)+COUNTIF('6月'!AR5:AS5,F$189)+COUNTIF('6月'!AW5:AX5,F$189)+COUNTIF('6月'!BB5:BC5,F$189)+COUNTIF('6月'!BG5:BH5,F$189)+COUNTIF('6月'!BL5:BM5,F$189)+COUNTIF('6月'!BQ5:BR5,F$189)+COUNTIF('6月'!BV5:BW5,F$189)+COUNTIF('6月'!CA5:CB5,F$189)+COUNTIF('6月'!CF5:CG5,F$189)+COUNTIF('6月'!CK5:CL5,F$189)+COUNTIF('6月'!CP5:CQ5,F$189)+COUNTIF('6月'!CU5:CV5,F$189)+COUNTIF('6月'!CZ5:DA5,F$189)+COUNTIF('6月'!DE5:DF5,F$189)+COUNTIF('6月'!DJ5:DK5,F$189)+COUNTIF('6月'!DO5:DP5,F$189)+COUNTIF('6月'!DT5:DU5,F$189)+COUNTIF('6月'!DY5:DZ5,F$189)+COUNTIF('6月'!ED5:EE5,F$189)+COUNTIF('6月'!EI5:EJ5,F$189)+COUNTIF('6月'!EN5:EO5,F$189)+COUNTIF('6月'!ES5:ET5,F$189)</f>
        <v>0</v>
      </c>
      <c r="G192" s="76">
        <f t="shared" ref="G192:G221" si="62">IF(F192=0,G191,G191+F192)</f>
        <v>0</v>
      </c>
      <c r="H192" s="76">
        <f>COUNTIF('6月'!D5:E5,H$189)+COUNTIF('6月'!I5:J5,H$189)+COUNTIF('6月'!N5:O5,H$189)+COUNTIF('6月'!S5:T5,H$189)+COUNTIF('6月'!X5:Y5,H$189)+COUNTIF('6月'!AC5:AD5,H$189)+COUNTIF('6月'!AH5:AI5,H$189)+COUNTIF('6月'!AM5:AN5,H$189)+COUNTIF('6月'!AR5:AS5,H$189)+COUNTIF('6月'!AW5:AX5,H$189)+COUNTIF('6月'!BB5:BC5,H$189)+COUNTIF('6月'!BG5:BH5,H$189)+COUNTIF('6月'!BL5:BM5,H$189)+COUNTIF('6月'!BQ5:BR5,H$189)+COUNTIF('6月'!BV5:BW5,H$189)+COUNTIF('6月'!CA5:CB5,H$189)+COUNTIF('6月'!CF5:CG5,H$189)+COUNTIF('6月'!CK5:CL5,H$189)+COUNTIF('6月'!CP5:CQ5,H$189)+COUNTIF('6月'!CU5:CV5,H$189)+COUNTIF('6月'!CZ5:DA5,H$189)+COUNTIF('6月'!DE5:DF5,H$189)+COUNTIF('6月'!DJ5:DK5,H$189)+COUNTIF('6月'!DO5:DP5,H$189)+COUNTIF('6月'!DT5:DU5,H$189)+COUNTIF('6月'!DY5:DZ5,H$189)+COUNTIF('6月'!ED5:EE5,H$189)+COUNTIF('6月'!EI5:EJ5,H$189)+COUNTIF('6月'!EN5:EO5,H$189)+COUNTIF('6月'!ES5:ET5,H$189)+COUNTIF('6月'!D5:E5,"渋谷-夜勤")+COUNTIF('6月'!I5:J5,"渋谷-夜勤")+COUNTIF('6月'!N5:O5,"渋谷-夜勤")+COUNTIF('6月'!S5:T5,"渋谷-夜勤")+COUNTIF('6月'!X5:Y5,"渋谷-夜勤")+COUNTIF('6月'!AC5:AD5,"渋谷-夜勤")+COUNTIF('6月'!AH5:AI5,"渋谷-夜勤")+COUNTIF('6月'!AM5:AN5,"渋谷-夜勤")+COUNTIF('6月'!AR5:AS5,"渋谷-夜勤")+COUNTIF('6月'!AW5:AX5,"渋谷-夜勤")+COUNTIF('6月'!BB5:BC5,"渋谷-夜勤")+COUNTIF('6月'!BG5:BH5,"渋谷-夜勤")+COUNTIF('6月'!BL5:BM5,"渋谷-夜勤")+COUNTIF('6月'!BQ5:BR5,"渋谷-夜勤")+COUNTIF('6月'!BV5:BW5,"渋谷-夜勤")+COUNTIF('6月'!CA5:CB5,"渋谷-夜勤")+COUNTIF('6月'!CF5:CG5,"渋谷-夜勤")+COUNTIF('6月'!CK5:CL5,"渋谷-夜勤")+COUNTIF('6月'!CP5:CQ5,"渋谷-夜勤")+COUNTIF('6月'!CU5:CV5,"渋谷-夜勤")+COUNTIF('6月'!CZ5:DA5,"渋谷-夜勤")+COUNTIF('6月'!DE5:DF5,"渋谷-夜勤")+COUNTIF('6月'!DJ5:DK5,"渋谷-夜勤")+COUNTIF('6月'!DO5:DP5,"渋谷-夜勤")+COUNTIF('6月'!DT5:DU5,"渋谷-夜勤")+COUNTIF('6月'!DY5:DZ5,"渋谷-夜勤")+COUNTIF('6月'!ED5:EE5,"渋谷-夜勤")+COUNTIF('6月'!EI5:EJ5,"渋谷-夜勤")+COUNTIF('6月'!EN5:EO5,"渋谷-夜勤")+COUNTIF('6月'!ES5:ET5,"渋谷-夜勤")</f>
        <v>0</v>
      </c>
      <c r="I192" s="76">
        <f t="shared" ref="I192:I221" si="63">IF(H192=0,I191,I191+H192)</f>
        <v>0</v>
      </c>
      <c r="J192" s="76">
        <f>COUNTIF('6月'!D5:E5,J$189)+COUNTIF('6月'!I5:J5,J$189)+COUNTIF('6月'!N5:O5,J$189)+COUNTIF('6月'!S5:T5,J$189)+COUNTIF('6月'!X5:Y5,J$189)+COUNTIF('6月'!AC5:AD5,J$189)+COUNTIF('6月'!AH5:AI5,J$189)+COUNTIF('6月'!AM5:AN5,J$189)+COUNTIF('6月'!AR5:AS5,J$189)+COUNTIF('6月'!AW5:AX5,J$189)+COUNTIF('6月'!BB5:BC5,J$189)+COUNTIF('6月'!BG5:BH5,J$189)+COUNTIF('6月'!BL5:BM5,J$189)+COUNTIF('6月'!BQ5:BR5,J$189)+COUNTIF('6月'!BV5:BW5,J$189)+COUNTIF('6月'!CA5:CB5,J$189)+COUNTIF('6月'!CF5:CG5,J$189)+COUNTIF('6月'!CK5:CL5,J$189)+COUNTIF('6月'!CP5:CQ5,J$189)+COUNTIF('6月'!CU5:CV5,J$189)+COUNTIF('6月'!CZ5:DA5,J$189)+COUNTIF('6月'!DE5:DF5,J$189)+COUNTIF('6月'!DJ5:DK5,J$189)+COUNTIF('6月'!DO5:DP5,J$189)+COUNTIF('6月'!DT5:DU5,J$189)+COUNTIF('6月'!DY5:DZ5,J$189)+COUNTIF('6月'!ED5:EE5,J$189)+COUNTIF('6月'!EI5:EJ5,J$189)+COUNTIF('6月'!EN5:EO5,J$189)+COUNTIF('6月'!ES5:ET5,J$189)+COUNTIF('6月'!D5:E5,"六本木-夜勤")+COUNTIF('6月'!I5:J5,"六本木-夜勤")+COUNTIF('6月'!N5:O5,"六本木-夜勤")+COUNTIF('6月'!S5:T5,"六本木-夜勤")+COUNTIF('6月'!X5:Y5,"六本木-夜勤")+COUNTIF('6月'!AC5:AD5,"六本木-夜勤")+COUNTIF('6月'!AH5:AI5,"六本木-夜勤")+COUNTIF('6月'!AM5:AN5,"六本木-夜勤")+COUNTIF('6月'!AR5:AS5,"六本木-夜勤")+COUNTIF('6月'!AW5:AX5,"六本木-夜勤")+COUNTIF('6月'!BB5:BC5,"六本木-夜勤")+COUNTIF('6月'!BG5:BH5,"六本木-夜勤")+COUNTIF('6月'!BL5:BM5,"六本木-夜勤")+COUNTIF('6月'!BQ5:BR5,"六本木-夜勤")+COUNTIF('6月'!BV5:BW5,"六本木-夜勤")+COUNTIF('6月'!CA5:CB5,"六本木-夜勤")+COUNTIF('6月'!CF5:CG5,"六本木-夜勤")+COUNTIF('6月'!CK5:CL5,"六本木-夜勤")+COUNTIF('6月'!CP5:CQ5,"六本木-夜勤")+COUNTIF('6月'!CU5:CV5,"六本木-夜勤")+COUNTIF('6月'!CZ5:DA5,"六本木-夜勤")+COUNTIF('6月'!DE5:DF5,"六本木-夜勤")+COUNTIF('6月'!DJ5:DK5,"六本木-夜勤")+COUNTIF('6月'!DO5:DP5,"六本木-夜勤")+COUNTIF('6月'!DT5:DU5,"六本木-夜勤")+COUNTIF('6月'!DY5:DZ5,"六本木-夜勤")+COUNTIF('6月'!ED5:EE5,"六本木-夜勤")+COUNTIF('6月'!EI5:EJ5,"六本木-夜勤")+COUNTIF('6月'!EN5:EO5,"六本木-夜勤")+COUNTIF('6月'!ES5:ET5,"六本木-夜勤")+COUNTIF('6月'!D5:E5,"六本木ー夜勤")+COUNTIF('6月'!I5:J5,"六本木ー夜勤")+COUNTIF('6月'!N5:O5,"六本木ー夜勤")+COUNTIF('6月'!S5:T5,"六本木ー夜勤")+COUNTIF('6月'!X5:Y5,"六本木ー夜勤")+COUNTIF('6月'!AC5:AD5,"六本木ー夜勤")+COUNTIF('6月'!AH5:AI5,"六本木ー夜勤")+COUNTIF('6月'!AM5:AN5,"六本木ー夜勤")+COUNTIF('6月'!AR5:AS5,"六本木ー夜勤")+COUNTIF('6月'!AW5:AX5,"六本木ー夜勤")+COUNTIF('6月'!BB5:BC5,"六本木ー夜勤")+COUNTIF('6月'!BG5:BH5,"六本木ー夜勤")+COUNTIF('6月'!BL5:BM5,"六本木ー夜勤")+COUNTIF('6月'!BQ5:BR5,"六本木ー夜勤")+COUNTIF('6月'!BV5:BW5,"六本木ー夜勤")+COUNTIF('6月'!CA5:CB5,"六本木ー夜勤")+COUNTIF('6月'!CF5:CG5,"六本木ー夜勤")+COUNTIF('6月'!CK5:CL5,"六本木ー夜勤")+COUNTIF('6月'!CP5:CQ5,"六本木ー夜勤")+COUNTIF('6月'!CU5:CV5,"六本木ー夜勤")+COUNTIF('6月'!CZ5:DA5,"六本木ー夜勤")+COUNTIF('6月'!DE5:DF5,"六本木ー夜勤")+COUNTIF('6月'!DJ5:DK5,"六本木ー夜勤")+COUNTIF('6月'!DO5:DP5,"六本木ー夜勤")+COUNTIF('6月'!DT5:DU5,"六本木ー夜勤")+COUNTIF('6月'!DY5:DZ5,"六本木ー夜勤")+COUNTIF('6月'!ED5:EE5,"六本木ー夜勤")+COUNTIF('6月'!EI5:EJ5,"六本木ー夜勤")+COUNTIF('6月'!EN5:EO5,"六本木ー夜勤")+COUNTIF('6月'!ES5:ET5,"六本木ー夜勤")</f>
        <v>0</v>
      </c>
      <c r="K192" s="76">
        <f t="shared" ref="K192:K221" si="64">IF(J192=0,K191,K191+J192)</f>
        <v>0</v>
      </c>
      <c r="L192" s="76">
        <f>COUNTIF('6月'!D5:E5,L$189)+COUNTIF('6月'!I5:J5,L$189)+COUNTIF('6月'!N5:O5,L$189)+COUNTIF('6月'!S5:T5,L$189)+COUNTIF('6月'!X5:Y5,L$189)+COUNTIF('6月'!AC5:AD5,L$189)+COUNTIF('6月'!AH5:AI5,L$189)+COUNTIF('6月'!AM5:AN5,L$189)+COUNTIF('6月'!AR5:AS5,L$189)+COUNTIF('6月'!AW5:AX5,L$189)+COUNTIF('6月'!BB5:BC5,L$189)+COUNTIF('6月'!BG5:BH5,L$189)+COUNTIF('6月'!BL5:BM5,L$189)+COUNTIF('6月'!BQ5:BR5,L$189)+COUNTIF('6月'!BV5:BW5,L$189)+COUNTIF('6月'!CA5:CB5,L$189)+COUNTIF('6月'!CF5:CG5,L$189)+COUNTIF('6月'!CK5:CL5,L$189)+COUNTIF('6月'!CP5:CQ5,L$189)+COUNTIF('6月'!CU5:CV5,L$189)+COUNTIF('6月'!CZ5:DA5,L$189)+COUNTIF('6月'!DE5:DF5,L$189)+COUNTIF('6月'!DJ5:DK5,L$189)+COUNTIF('6月'!DO5:DP5,L$189)+COUNTIF('6月'!DT5:DU5,L$189)+COUNTIF('6月'!DY5:DZ5,L$189)+COUNTIF('6月'!ED5:EE5,L$189)+COUNTIF('6月'!EI5:EJ5,L$189)+COUNTIF('6月'!EN5:EO5,L$189)+COUNTIF('6月'!ES5:ET5,L$189)</f>
        <v>0</v>
      </c>
      <c r="M192" s="76">
        <f t="shared" ref="M192:M221" si="65">IF(L192=0,M191,M191+L192)</f>
        <v>0</v>
      </c>
      <c r="N192" s="76">
        <f>COUNTIF('6月'!D5:E5,N$189)+COUNTIF('6月'!I5:J5,N$189)+COUNTIF('6月'!N5:O5,N$189)+COUNTIF('6月'!S5:T5,N$189)+COUNTIF('6月'!X5:Y5,N$189)+COUNTIF('6月'!AC5:AD5,N$189)+COUNTIF('6月'!AH5:AI5,N$189)+COUNTIF('6月'!AM5:AN5,N$189)+COUNTIF('6月'!AR5:AS5,N$189)+COUNTIF('6月'!AW5:AX5,N$189)+COUNTIF('6月'!BB5:BC5,N$189)+COUNTIF('6月'!BG5:BH5,N$189)+COUNTIF('6月'!BL5:BM5,N$189)+COUNTIF('6月'!BQ5:BR5,N$189)+COUNTIF('6月'!BV5:BW5,N$189)+COUNTIF('6月'!CA5:CB5,N$189)+COUNTIF('6月'!CF5:CG5,N$189)+COUNTIF('6月'!CK5:CL5,N$189)+COUNTIF('6月'!CP5:CQ5,N$189)+COUNTIF('6月'!CU5:CV5,N$189)+COUNTIF('6月'!CZ5:DA5,N$189)+COUNTIF('6月'!DE5:DF5,N$189)+COUNTIF('6月'!DJ5:DK5,N$189)+COUNTIF('6月'!DO5:DP5,N$189)+COUNTIF('6月'!DT5:DU5,N$189)+COUNTIF('6月'!DY5:DZ5,N$189)+COUNTIF('6月'!ED5:EE5,N$189)+COUNTIF('6月'!EI5:EJ5,N$189)+COUNTIF('6月'!EN5:EO5,N$189)+COUNTIF('6月'!ES5:ET5,N$189)+COUNTIF('6月'!D5:E5,"三軒茶屋－夜勤")+COUNTIF('6月'!I5:J5,"三軒茶屋－夜勤")+COUNTIF('6月'!N5:O5,"三軒茶屋－夜勤")+COUNTIF('6月'!S5:T5,"三軒茶屋－夜勤")+COUNTIF('6月'!X5:Y5,"三軒茶屋－夜勤")+COUNTIF('6月'!AC5:AD5,"三軒茶屋－夜勤")+COUNTIF('6月'!AH5:AI5,"三軒茶屋－夜勤")+COUNTIF('6月'!AM5:AN5,"三軒茶屋－夜勤")+COUNTIF('6月'!AR5:AS5,"三軒茶屋－夜勤")+COUNTIF('6月'!AW5:AX5,"三軒茶屋－夜勤")+COUNTIF('6月'!BB5:BC5,"三軒茶屋－夜勤")+COUNTIF('6月'!BG5:BH5,"三軒茶屋－夜勤")+COUNTIF('6月'!BL5:BM5,"三軒茶屋－夜勤")+COUNTIF('6月'!BQ5:BR5,"三軒茶屋－夜勤")+COUNTIF('6月'!BV5:BW5,"三軒茶屋－夜勤")+COUNTIF('6月'!CA5:CB5,"三軒茶屋－夜勤")+COUNTIF('6月'!CF5:CG5,"三軒茶屋－夜勤")+COUNTIF('6月'!CK5:CL5,"三軒茶屋－夜勤")+COUNTIF('6月'!CP5:CQ5,"三軒茶屋－夜勤")+COUNTIF('6月'!CU5:CV5,"三軒茶屋－夜勤")+COUNTIF('6月'!CZ5:DA5,"三軒茶屋－夜勤")+COUNTIF('6月'!DE5:DF5,"三軒茶屋－夜勤")+COUNTIF('6月'!DJ5:DK5,"三軒茶屋－夜勤")+COUNTIF('6月'!DO5:DP5,"三軒茶屋－夜勤")+COUNTIF('6月'!DT5:DU5,"三軒茶屋－夜勤")+COUNTIF('6月'!DY5:DZ5,"三軒茶屋－夜勤")+COUNTIF('6月'!ED5:EE5,"三軒茶屋－夜勤")+COUNTIF('6月'!EI5:EJ5,"三軒茶屋－夜勤")+COUNTIF('6月'!EN5:EO5,"三軒茶屋－夜勤")+COUNTIF('6月'!ES5:ET5,"三軒茶屋－夜勤")</f>
        <v>0</v>
      </c>
      <c r="O192" s="76">
        <f t="shared" ref="O192:O221" si="66">IF(N192=0,O191,O191+N192)</f>
        <v>0</v>
      </c>
      <c r="P192" s="76">
        <f>COUNTIF('6月'!D5:E5,P$189)+COUNTIF('6月'!I5:J5,P$189)+COUNTIF('6月'!N5:O5,P$189)+COUNTIF('6月'!S5:T5,P$189)+COUNTIF('6月'!X5:Y5,P$189)+COUNTIF('6月'!AC5:AD5,P$189)+COUNTIF('6月'!AH5:AI5,P$189)+COUNTIF('6月'!AM5:AN5,P$189)+COUNTIF('6月'!AR5:AS5,P$189)+COUNTIF('6月'!AW5:AX5,P$189)+COUNTIF('6月'!BB5:BC5,P$189)+COUNTIF('6月'!BG5:BH5,P$189)+COUNTIF('6月'!BL5:BM5,P$189)+COUNTIF('6月'!BQ5:BR5,P$189)+COUNTIF('6月'!BV5:BW5,P$189)+COUNTIF('6月'!CA5:CB5,P$189)+COUNTIF('6月'!CF5:CG5,P$189)+COUNTIF('6月'!CK5:CL5,P$189)+COUNTIF('6月'!CP5:CQ5,P$189)+COUNTIF('6月'!CU5:CV5,P$189)+COUNTIF('6月'!CZ5:DA5,P$189)+COUNTIF('6月'!DE5:DF5,P$189)+COUNTIF('6月'!DJ5:DK5,P$189)+COUNTIF('6月'!DO5:DP5,P$189)+COUNTIF('6月'!DT5:DU5,P$189)+COUNTIF('6月'!DY5:DZ5,P$189)+COUNTIF('6月'!ED5:EE5,P$189)+COUNTIF('6月'!EI5:EJ5,P$189)+COUNTIF('6月'!EN5:EO5,P$189)+COUNTIF('6月'!ES5:ET5,P$189)+COUNTIF('6月'!D5:E5,"荻窪ー夜勤")+COUNTIF('6月'!I5:J5,"荻窪ー夜勤")+COUNTIF('6月'!N5:O5,"荻窪ー夜勤")+COUNTIF('6月'!S5:T5,"荻窪ー夜勤")+COUNTIF('6月'!X5:Y5,"荻窪ー夜勤")+COUNTIF('6月'!AC5:AD5,"荻窪ー夜勤")+COUNTIF('6月'!AH5:AI5,"荻窪ー夜勤")+COUNTIF('6月'!AM5:AN5,"荻窪ー夜勤")+COUNTIF('6月'!AR5:AS5,"荻窪ー夜勤")+COUNTIF('6月'!AW5:AX5,"荻窪ー夜勤")+COUNTIF('6月'!BB5:BC5,"荻窪ー夜勤")+COUNTIF('6月'!BG5:BH5,"荻窪ー夜勤")+COUNTIF('6月'!BL5:BM5,"荻窪ー夜勤")+COUNTIF('6月'!BQ5:BR5,"荻窪ー夜勤")+COUNTIF('6月'!BV5:BW5,"荻窪ー夜勤")+COUNTIF('6月'!CA5:CB5,"荻窪ー夜勤")+COUNTIF('6月'!CF5:CG5,"荻窪ー夜勤")+COUNTIF('6月'!CK5:CL5,"荻窪ー夜勤")+COUNTIF('6月'!CP5:CQ5,"荻窪ー夜勤")+COUNTIF('6月'!CU5:CV5,"荻窪ー夜勤")+COUNTIF('6月'!CZ5:DA5,"荻窪ー夜勤")+COUNTIF('6月'!DE5:DF5,"荻窪ー夜勤")+COUNTIF('6月'!DJ5:DK5,"荻窪ー夜勤")+COUNTIF('6月'!DO5:DP5,"荻窪ー夜勤")+COUNTIF('6月'!DT5:DU5,"荻窪ー夜勤")+COUNTIF('6月'!DY5:DZ5,"荻窪ー夜勤")+COUNTIF('6月'!ED5:EE5,"荻窪ー夜勤")+COUNTIF('6月'!EI5:EJ5,"荻窪ー夜勤")+COUNTIF('6月'!EN5:EO5,"荻窪ー夜勤")+COUNTIF('6月'!ES5:ET5,"荻窪ー夜勤")</f>
        <v>0</v>
      </c>
      <c r="Q192" s="76">
        <f t="shared" ref="Q192:Q221" si="67">IF(P192=0,Q191,Q191+P192)</f>
        <v>0</v>
      </c>
      <c r="R192" s="76">
        <f>COUNTIF('6月'!D5:E5,R$189)+COUNTIF('6月'!I5:J5,R$189)+COUNTIF('6月'!N5:O5,R$189)+COUNTIF('6月'!S5:T5,R$189)+COUNTIF('6月'!X5:Y5,R$189)+COUNTIF('6月'!AC5:AD5,R$189)+COUNTIF('6月'!AH5:AI5,R$189)+COUNTIF('6月'!AM5:AN5,R$189)+COUNTIF('6月'!AR5:AS5,R$189)+COUNTIF('6月'!AW5:AX5,R$189)+COUNTIF('6月'!BB5:BC5,R$189)+COUNTIF('6月'!BG5:BH5,R$189)+COUNTIF('6月'!BL5:BM5,R$189)+COUNTIF('6月'!BQ5:BR5,R$189)+COUNTIF('6月'!BV5:BW5,R$189)+COUNTIF('6月'!CA5:CB5,R$189)+COUNTIF('6月'!CF5:CG5,R$189)+COUNTIF('6月'!CK5:CL5,R$189)+COUNTIF('6月'!CP5:CQ5,R$189)+COUNTIF('6月'!CU5:CV5,R$189)+COUNTIF('6月'!CZ5:DA5,R$189)+COUNTIF('6月'!DE5:DF5,R$189)+COUNTIF('6月'!DJ5:DK5,R$189)+COUNTIF('6月'!DO5:DP5,R$189)+COUNTIF('6月'!DT5:DU5,R$189)+COUNTIF('6月'!DY5:DZ5,R$189)+COUNTIF('6月'!ED5:EE5,R$189)+COUNTIF('6月'!EI5:EJ5,R$189)+COUNTIF('6月'!EN5:EO5,R$189)+COUNTIF('6月'!ES5:ET5,R$189)</f>
        <v>0</v>
      </c>
      <c r="S192" s="76">
        <f t="shared" ref="S192:S221" si="68">IF(R192=0,S191,S191+R192)</f>
        <v>0</v>
      </c>
      <c r="T192" s="76">
        <f>COUNTIF('6月'!D5:E5,T$189)+COUNTIF('6月'!I5:J5,T$189)+COUNTIF('6月'!N5:O5,T$189)+COUNTIF('6月'!S5:T5,T$189)+COUNTIF('6月'!X5:Y5,T$189)+COUNTIF('6月'!AC5:AD5,T$189)+COUNTIF('6月'!AH5:AI5,T$189)+COUNTIF('6月'!AM5:AN5,T$189)+COUNTIF('6月'!AR5:AS5,T$189)+COUNTIF('6月'!AW5:AX5,T$189)+COUNTIF('6月'!BB5:BC5,T$189)+COUNTIF('6月'!BG5:BH5,T$189)+COUNTIF('6月'!BL5:BM5,T$189)+COUNTIF('6月'!BQ5:BR5,T$189)+COUNTIF('6月'!BV5:BW5,T$189)+COUNTIF('6月'!CA5:CB5,T$189)+COUNTIF('6月'!CF5:CG5,T$189)+COUNTIF('6月'!CK5:CL5,T$189)+COUNTIF('6月'!CP5:CQ5,T$189)+COUNTIF('6月'!CU5:CV5,T$189)+COUNTIF('6月'!CZ5:DA5,T$189)+COUNTIF('6月'!DE5:DF5,T$189)+COUNTIF('6月'!DJ5:DK5,T$189)+COUNTIF('6月'!DO5:DP5,T$189)+COUNTIF('6月'!DT5:DU5,T$189)+COUNTIF('6月'!DY5:DZ5,T$189)+COUNTIF('6月'!ED5:EE5,T$189)+COUNTIF('6月'!EI5:EJ5,T$189)+COUNTIF('6月'!EN5:EO5,T$189)+COUNTIF('6月'!ES5:ET5,T$189)</f>
        <v>0</v>
      </c>
      <c r="U192" s="76">
        <f t="shared" ref="U192:U221" si="69">IF(T192=0,U191,U191+T192)</f>
        <v>0</v>
      </c>
      <c r="V192" s="76">
        <f>COUNTIF('6月'!D5:E5,V$189)+COUNTIF('6月'!I5:J5,V$189)+COUNTIF('6月'!N5:O5,V$189)+COUNTIF('6月'!S5:T5,V$189)+COUNTIF('6月'!X5:Y5,V$189)+COUNTIF('6月'!AC5:AD5,V$189)+COUNTIF('6月'!AH5:AI5,V$189)+COUNTIF('6月'!AM5:AN5,V$189)+COUNTIF('6月'!AR5:AS5,V$189)+COUNTIF('6月'!AW5:AX5,V$189)+COUNTIF('6月'!BB5:BC5,V$189)+COUNTIF('6月'!BG5:BH5,V$189)+COUNTIF('6月'!BL5:BM5,V$189)+COUNTIF('6月'!BQ5:BR5,V$189)+COUNTIF('6月'!BV5:BW5,V$189)+COUNTIF('6月'!CA5:CB5,V$189)+COUNTIF('6月'!CF5:CG5,V$189)+COUNTIF('6月'!CK5:CL5,V$189)+COUNTIF('6月'!CP5:CQ5,V$189)+COUNTIF('6月'!CU5:CV5,V$189)+COUNTIF('6月'!CZ5:DA5,V$189)+COUNTIF('6月'!DE5:DF5,V$189)+COUNTIF('6月'!DJ5:DK5,V$189)+COUNTIF('6月'!DO5:DP5,V$189)+COUNTIF('6月'!DT5:DU5,V$189)+COUNTIF('6月'!DY5:DZ5,V$189)+COUNTIF('6月'!ED5:EE5,V$189)+COUNTIF('6月'!EI5:EJ5,V$189)+COUNTIF('6月'!EN5:EO5,V$189)+COUNTIF('6月'!ES5:ET5,V$189)</f>
        <v>0</v>
      </c>
      <c r="W192" s="76">
        <f t="shared" ref="W192:W221" si="70">IF(V192=0,W191,W191+V192)</f>
        <v>0</v>
      </c>
      <c r="X192" s="76">
        <f>COUNTIF('6月'!D5:E5,X$189)+COUNTIF('6月'!I5:J5,X$189)+COUNTIF('6月'!N5:O5,X$189)+COUNTIF('6月'!S5:T5,X$189)+COUNTIF('6月'!X5:Y5,X$189)+COUNTIF('6月'!AC5:AD5,X$189)+COUNTIF('6月'!AH5:AI5,X$189)+COUNTIF('6月'!AM5:AN5,X$189)+COUNTIF('6月'!AR5:AS5,X$189)+COUNTIF('6月'!AW5:AX5,X$189)+COUNTIF('6月'!BB5:BC5,X$189)+COUNTIF('6月'!BG5:BH5,X$189)+COUNTIF('6月'!BL5:BM5,X$189)+COUNTIF('6月'!BQ5:BR5,X$189)+COUNTIF('6月'!BV5:BW5,X$189)+COUNTIF('6月'!CA5:CB5,X$189)+COUNTIF('6月'!CF5:CG5,X$189)+COUNTIF('6月'!CK5:CL5,X$189)+COUNTIF('6月'!CP5:CQ5,X$189)+COUNTIF('6月'!CU5:CV5,X$189)+COUNTIF('6月'!CZ5:DA5,X$189)+COUNTIF('6月'!DE5:DF5,X$189)+COUNTIF('6月'!DJ5:DK5,X$189)+COUNTIF('6月'!DO5:DP5,X$189)+COUNTIF('6月'!DT5:DU5,X$189)+COUNTIF('6月'!DY5:DZ5,X$189)+COUNTIF('6月'!ED5:EE5,X$189)+COUNTIF('6月'!EI5:EJ5,X$189)+COUNTIF('6月'!EN5:EO5,X$189)+COUNTIF('6月'!ES5:ET5,X$189)</f>
        <v>0</v>
      </c>
      <c r="Y192" s="76">
        <f t="shared" ref="Y192:Y221" si="71">IF(X192=0,Y191,Y191+X192)</f>
        <v>0</v>
      </c>
    </row>
    <row r="193" spans="1:25" ht="18" customHeight="1">
      <c r="A193" s="76">
        <v>3</v>
      </c>
      <c r="B193" s="76">
        <f>COUNTIF('6月'!D6:E6,B$189)+COUNTIF('6月'!I6:J6,B$189)+COUNTIF('6月'!N6:O6,B$189)+COUNTIF('6月'!S6:T6,B$189)+COUNTIF('6月'!X6:Y6,B$189)+COUNTIF('6月'!AC6:AD6,B$189)+COUNTIF('6月'!AH6:AI6,B$189)+COUNTIF('6月'!AM6:AN6,B$189)+COUNTIF('6月'!AR6:AS6,B$189)+COUNTIF('6月'!AW6:AX6,B$189)+COUNTIF('6月'!BB6:BC6,B$189)+COUNTIF('6月'!BG6:BH6,B$189)+COUNTIF('6月'!BL6:BM6,B$189)+COUNTIF('6月'!BQ6:BR6,B$189)+COUNTIF('6月'!BV6:BW6,B$189)+COUNTIF('6月'!CA6:CB6,B$189)+COUNTIF('6月'!CF6:CG6,B$189)+COUNTIF('6月'!CK6:CL6,B$189)+COUNTIF('6月'!CP6:CQ6,B$189)+COUNTIF('6月'!CU6:CV6,B$189)+COUNTIF('6月'!CZ6:DA6,B$189)+COUNTIF('6月'!DE6:DF6,B$189)+COUNTIF('6月'!DJ6:DK6,B$189)+COUNTIF('6月'!DO6:DP6,B$189)+COUNTIF('6月'!DT6:DU6,B$189)+COUNTIF('6月'!DY6:DZ6,B$189)+COUNTIF('6月'!ED6:EE6,B$189)+COUNTIF('6月'!EI6:EJ6,B$189)+COUNTIF('6月'!EN6:EO6,B$189)+COUNTIF('6月'!ES6:ET6,B$189)</f>
        <v>0</v>
      </c>
      <c r="C193" s="76">
        <f t="shared" si="60"/>
        <v>0</v>
      </c>
      <c r="D193" s="76">
        <f>COUNTIF('6月'!D6:E6,D$189)+COUNTIF('6月'!I6:J6,D$189)+COUNTIF('6月'!N6:O6,D$189)+COUNTIF('6月'!S6:T6,D$189)+COUNTIF('6月'!X6:Y6,D$189)+COUNTIF('6月'!AC6:AD6,D$189)+COUNTIF('6月'!AH6:AI6,D$189)+COUNTIF('6月'!AM6:AN6,D$189)+COUNTIF('6月'!AR6:AS6,D$189)+COUNTIF('6月'!AW6:AX6,D$189)+COUNTIF('6月'!BB6:BC6,D$189)+COUNTIF('6月'!BG6:BH6,D$189)+COUNTIF('6月'!BL6:BM6,D$189)+COUNTIF('6月'!BQ6:BR6,D$189)+COUNTIF('6月'!BV6:BW6,D$189)+COUNTIF('6月'!CA6:CB6,D$189)+COUNTIF('6月'!CF6:CG6,D$189)+COUNTIF('6月'!CK6:CL6,D$189)+COUNTIF('6月'!CP6:CQ6,D$189)+COUNTIF('6月'!CU6:CV6,D$189)+COUNTIF('6月'!CZ6:DA6,D$189)+COUNTIF('6月'!DE6:DF6,D$189)+COUNTIF('6月'!DJ6:DK6,D$189)+COUNTIF('6月'!DO6:DP6,D$189)+COUNTIF('6月'!DT6:DU6,D$189)+COUNTIF('6月'!DY6:DZ6,D$189)+COUNTIF('6月'!ED6:EE6,D$189)+COUNTIF('6月'!EI6:EJ6,D$189)+COUNTIF('6月'!EN6:EO6,D$189)+COUNTIF('6月'!ES6:ET6,D$189)</f>
        <v>0</v>
      </c>
      <c r="E193" s="76">
        <f t="shared" si="61"/>
        <v>0</v>
      </c>
      <c r="F193" s="76">
        <f>COUNTIF('6月'!D6:E6,F$189)+COUNTIF('6月'!I6:J6,F$189)+COUNTIF('6月'!N6:O6,F$189)+COUNTIF('6月'!S6:T6,F$189)+COUNTIF('6月'!X6:Y6,F$189)+COUNTIF('6月'!AC6:AD6,F$189)+COUNTIF('6月'!AH6:AI6,F$189)+COUNTIF('6月'!AM6:AN6,F$189)+COUNTIF('6月'!AR6:AS6,F$189)+COUNTIF('6月'!AW6:AX6,F$189)+COUNTIF('6月'!BB6:BC6,F$189)+COUNTIF('6月'!BG6:BH6,F$189)+COUNTIF('6月'!BL6:BM6,F$189)+COUNTIF('6月'!BQ6:BR6,F$189)+COUNTIF('6月'!BV6:BW6,F$189)+COUNTIF('6月'!CA6:CB6,F$189)+COUNTIF('6月'!CF6:CG6,F$189)+COUNTIF('6月'!CK6:CL6,F$189)+COUNTIF('6月'!CP6:CQ6,F$189)+COUNTIF('6月'!CU6:CV6,F$189)+COUNTIF('6月'!CZ6:DA6,F$189)+COUNTIF('6月'!DE6:DF6,F$189)+COUNTIF('6月'!DJ6:DK6,F$189)+COUNTIF('6月'!DO6:DP6,F$189)+COUNTIF('6月'!DT6:DU6,F$189)+COUNTIF('6月'!DY6:DZ6,F$189)+COUNTIF('6月'!ED6:EE6,F$189)+COUNTIF('6月'!EI6:EJ6,F$189)+COUNTIF('6月'!EN6:EO6,F$189)+COUNTIF('6月'!ES6:ET6,F$189)</f>
        <v>0</v>
      </c>
      <c r="G193" s="76">
        <f t="shared" si="62"/>
        <v>0</v>
      </c>
      <c r="H193" s="76">
        <f>COUNTIF('6月'!D6:E6,H$189)+COUNTIF('6月'!I6:J6,H$189)+COUNTIF('6月'!N6:O6,H$189)+COUNTIF('6月'!S6:T6,H$189)+COUNTIF('6月'!X6:Y6,H$189)+COUNTIF('6月'!AC6:AD6,H$189)+COUNTIF('6月'!AH6:AI6,H$189)+COUNTIF('6月'!AM6:AN6,H$189)+COUNTIF('6月'!AR6:AS6,H$189)+COUNTIF('6月'!AW6:AX6,H$189)+COUNTIF('6月'!BB6:BC6,H$189)+COUNTIF('6月'!BG6:BH6,H$189)+COUNTIF('6月'!BL6:BM6,H$189)+COUNTIF('6月'!BQ6:BR6,H$189)+COUNTIF('6月'!BV6:BW6,H$189)+COUNTIF('6月'!CA6:CB6,H$189)+COUNTIF('6月'!CF6:CG6,H$189)+COUNTIF('6月'!CK6:CL6,H$189)+COUNTIF('6月'!CP6:CQ6,H$189)+COUNTIF('6月'!CU6:CV6,H$189)+COUNTIF('6月'!CZ6:DA6,H$189)+COUNTIF('6月'!DE6:DF6,H$189)+COUNTIF('6月'!DJ6:DK6,H$189)+COUNTIF('6月'!DO6:DP6,H$189)+COUNTIF('6月'!DT6:DU6,H$189)+COUNTIF('6月'!DY6:DZ6,H$189)+COUNTIF('6月'!ED6:EE6,H$189)+COUNTIF('6月'!EI6:EJ6,H$189)+COUNTIF('6月'!EN6:EO6,H$189)+COUNTIF('6月'!ES6:ET6,H$189)+COUNTIF('6月'!D6:E6,"渋谷-夜勤")+COUNTIF('6月'!I6:J6,"渋谷-夜勤")+COUNTIF('6月'!N6:O6,"渋谷-夜勤")+COUNTIF('6月'!S6:T6,"渋谷-夜勤")+COUNTIF('6月'!X6:Y6,"渋谷-夜勤")+COUNTIF('6月'!AC6:AD6,"渋谷-夜勤")+COUNTIF('6月'!AH6:AI6,"渋谷-夜勤")+COUNTIF('6月'!AM6:AN6,"渋谷-夜勤")+COUNTIF('6月'!AR6:AS6,"渋谷-夜勤")+COUNTIF('6月'!AW6:AX6,"渋谷-夜勤")+COUNTIF('6月'!BB6:BC6,"渋谷-夜勤")+COUNTIF('6月'!BG6:BH6,"渋谷-夜勤")+COUNTIF('6月'!BL6:BM6,"渋谷-夜勤")+COUNTIF('6月'!BQ6:BR6,"渋谷-夜勤")+COUNTIF('6月'!BV6:BW6,"渋谷-夜勤")+COUNTIF('6月'!CA6:CB6,"渋谷-夜勤")+COUNTIF('6月'!CF6:CG6,"渋谷-夜勤")+COUNTIF('6月'!CK6:CL6,"渋谷-夜勤")+COUNTIF('6月'!CP6:CQ6,"渋谷-夜勤")+COUNTIF('6月'!CU6:CV6,"渋谷-夜勤")+COUNTIF('6月'!CZ6:DA6,"渋谷-夜勤")+COUNTIF('6月'!DE6:DF6,"渋谷-夜勤")+COUNTIF('6月'!DJ6:DK6,"渋谷-夜勤")+COUNTIF('6月'!DO6:DP6,"渋谷-夜勤")+COUNTIF('6月'!DT6:DU6,"渋谷-夜勤")+COUNTIF('6月'!DY6:DZ6,"渋谷-夜勤")+COUNTIF('6月'!ED6:EE6,"渋谷-夜勤")+COUNTIF('6月'!EI6:EJ6,"渋谷-夜勤")+COUNTIF('6月'!EN6:EO6,"渋谷-夜勤")+COUNTIF('6月'!ES6:ET6,"渋谷-夜勤")</f>
        <v>0</v>
      </c>
      <c r="I193" s="76">
        <f t="shared" si="63"/>
        <v>0</v>
      </c>
      <c r="J193" s="76">
        <f>COUNTIF('6月'!D6:E6,J$189)+COUNTIF('6月'!I6:J6,J$189)+COUNTIF('6月'!N6:O6,J$189)+COUNTIF('6月'!S6:T6,J$189)+COUNTIF('6月'!X6:Y6,J$189)+COUNTIF('6月'!AC6:AD6,J$189)+COUNTIF('6月'!AH6:AI6,J$189)+COUNTIF('6月'!AM6:AN6,J$189)+COUNTIF('6月'!AR6:AS6,J$189)+COUNTIF('6月'!AW6:AX6,J$189)+COUNTIF('6月'!BB6:BC6,J$189)+COUNTIF('6月'!BG6:BH6,J$189)+COUNTIF('6月'!BL6:BM6,J$189)+COUNTIF('6月'!BQ6:BR6,J$189)+COUNTIF('6月'!BV6:BW6,J$189)+COUNTIF('6月'!CA6:CB6,J$189)+COUNTIF('6月'!CF6:CG6,J$189)+COUNTIF('6月'!CK6:CL6,J$189)+COUNTIF('6月'!CP6:CQ6,J$189)+COUNTIF('6月'!CU6:CV6,J$189)+COUNTIF('6月'!CZ6:DA6,J$189)+COUNTIF('6月'!DE6:DF6,J$189)+COUNTIF('6月'!DJ6:DK6,J$189)+COUNTIF('6月'!DO6:DP6,J$189)+COUNTIF('6月'!DT6:DU6,J$189)+COUNTIF('6月'!DY6:DZ6,J$189)+COUNTIF('6月'!ED6:EE6,J$189)+COUNTIF('6月'!EI6:EJ6,J$189)+COUNTIF('6月'!EN6:EO6,J$189)+COUNTIF('6月'!ES6:ET6,J$189)+COUNTIF('6月'!D6:E6,"六本木-夜勤")+COUNTIF('6月'!I6:J6,"六本木-夜勤")+COUNTIF('6月'!N6:O6,"六本木-夜勤")+COUNTIF('6月'!S6:T6,"六本木-夜勤")+COUNTIF('6月'!X6:Y6,"六本木-夜勤")+COUNTIF('6月'!AC6:AD6,"六本木-夜勤")+COUNTIF('6月'!AH6:AI6,"六本木-夜勤")+COUNTIF('6月'!AM6:AN6,"六本木-夜勤")+COUNTIF('6月'!AR6:AS6,"六本木-夜勤")+COUNTIF('6月'!AW6:AX6,"六本木-夜勤")+COUNTIF('6月'!BB6:BC6,"六本木-夜勤")+COUNTIF('6月'!BG6:BH6,"六本木-夜勤")+COUNTIF('6月'!BL6:BM6,"六本木-夜勤")+COUNTIF('6月'!BQ6:BR6,"六本木-夜勤")+COUNTIF('6月'!BV6:BW6,"六本木-夜勤")+COUNTIF('6月'!CA6:CB6,"六本木-夜勤")+COUNTIF('6月'!CF6:CG6,"六本木-夜勤")+COUNTIF('6月'!CK6:CL6,"六本木-夜勤")+COUNTIF('6月'!CP6:CQ6,"六本木-夜勤")+COUNTIF('6月'!CU6:CV6,"六本木-夜勤")+COUNTIF('6月'!CZ6:DA6,"六本木-夜勤")+COUNTIF('6月'!DE6:DF6,"六本木-夜勤")+COUNTIF('6月'!DJ6:DK6,"六本木-夜勤")+COUNTIF('6月'!DO6:DP6,"六本木-夜勤")+COUNTIF('6月'!DT6:DU6,"六本木-夜勤")+COUNTIF('6月'!DY6:DZ6,"六本木-夜勤")+COUNTIF('6月'!ED6:EE6,"六本木-夜勤")+COUNTIF('6月'!EI6:EJ6,"六本木-夜勤")+COUNTIF('6月'!EN6:EO6,"六本木-夜勤")+COUNTIF('6月'!ES6:ET6,"六本木-夜勤")+COUNTIF('6月'!D6:E6,"六本木ー夜勤")+COUNTIF('6月'!I6:J6,"六本木ー夜勤")+COUNTIF('6月'!N6:O6,"六本木ー夜勤")+COUNTIF('6月'!S6:T6,"六本木ー夜勤")+COUNTIF('6月'!X6:Y6,"六本木ー夜勤")+COUNTIF('6月'!AC6:AD6,"六本木ー夜勤")+COUNTIF('6月'!AH6:AI6,"六本木ー夜勤")+COUNTIF('6月'!AM6:AN6,"六本木ー夜勤")+COUNTIF('6月'!AR6:AS6,"六本木ー夜勤")+COUNTIF('6月'!AW6:AX6,"六本木ー夜勤")+COUNTIF('6月'!BB6:BC6,"六本木ー夜勤")+COUNTIF('6月'!BG6:BH6,"六本木ー夜勤")+COUNTIF('6月'!BL6:BM6,"六本木ー夜勤")+COUNTIF('6月'!BQ6:BR6,"六本木ー夜勤")+COUNTIF('6月'!BV6:BW6,"六本木ー夜勤")+COUNTIF('6月'!CA6:CB6,"六本木ー夜勤")+COUNTIF('6月'!CF6:CG6,"六本木ー夜勤")+COUNTIF('6月'!CK6:CL6,"六本木ー夜勤")+COUNTIF('6月'!CP6:CQ6,"六本木ー夜勤")+COUNTIF('6月'!CU6:CV6,"六本木ー夜勤")+COUNTIF('6月'!CZ6:DA6,"六本木ー夜勤")+COUNTIF('6月'!DE6:DF6,"六本木ー夜勤")+COUNTIF('6月'!DJ6:DK6,"六本木ー夜勤")+COUNTIF('6月'!DO6:DP6,"六本木ー夜勤")+COUNTIF('6月'!DT6:DU6,"六本木ー夜勤")+COUNTIF('6月'!DY6:DZ6,"六本木ー夜勤")+COUNTIF('6月'!ED6:EE6,"六本木ー夜勤")+COUNTIF('6月'!EI6:EJ6,"六本木ー夜勤")+COUNTIF('6月'!EN6:EO6,"六本木ー夜勤")+COUNTIF('6月'!ES6:ET6,"六本木ー夜勤")</f>
        <v>0</v>
      </c>
      <c r="K193" s="76">
        <f t="shared" si="64"/>
        <v>0</v>
      </c>
      <c r="L193" s="76">
        <f>COUNTIF('6月'!D6:E6,L$189)+COUNTIF('6月'!I6:J6,L$189)+COUNTIF('6月'!N6:O6,L$189)+COUNTIF('6月'!S6:T6,L$189)+COUNTIF('6月'!X6:Y6,L$189)+COUNTIF('6月'!AC6:AD6,L$189)+COUNTIF('6月'!AH6:AI6,L$189)+COUNTIF('6月'!AM6:AN6,L$189)+COUNTIF('6月'!AR6:AS6,L$189)+COUNTIF('6月'!AW6:AX6,L$189)+COUNTIF('6月'!BB6:BC6,L$189)+COUNTIF('6月'!BG6:BH6,L$189)+COUNTIF('6月'!BL6:BM6,L$189)+COUNTIF('6月'!BQ6:BR6,L$189)+COUNTIF('6月'!BV6:BW6,L$189)+COUNTIF('6月'!CA6:CB6,L$189)+COUNTIF('6月'!CF6:CG6,L$189)+COUNTIF('6月'!CK6:CL6,L$189)+COUNTIF('6月'!CP6:CQ6,L$189)+COUNTIF('6月'!CU6:CV6,L$189)+COUNTIF('6月'!CZ6:DA6,L$189)+COUNTIF('6月'!DE6:DF6,L$189)+COUNTIF('6月'!DJ6:DK6,L$189)+COUNTIF('6月'!DO6:DP6,L$189)+COUNTIF('6月'!DT6:DU6,L$189)+COUNTIF('6月'!DY6:DZ6,L$189)+COUNTIF('6月'!ED6:EE6,L$189)+COUNTIF('6月'!EI6:EJ6,L$189)+COUNTIF('6月'!EN6:EO6,L$189)+COUNTIF('6月'!ES6:ET6,L$189)</f>
        <v>0</v>
      </c>
      <c r="M193" s="76">
        <f t="shared" si="65"/>
        <v>0</v>
      </c>
      <c r="N193" s="76">
        <f>COUNTIF('6月'!D6:E6,N$189)+COUNTIF('6月'!I6:J6,N$189)+COUNTIF('6月'!N6:O6,N$189)+COUNTIF('6月'!S6:T6,N$189)+COUNTIF('6月'!X6:Y6,N$189)+COUNTIF('6月'!AC6:AD6,N$189)+COUNTIF('6月'!AH6:AI6,N$189)+COUNTIF('6月'!AM6:AN6,N$189)+COUNTIF('6月'!AR6:AS6,N$189)+COUNTIF('6月'!AW6:AX6,N$189)+COUNTIF('6月'!BB6:BC6,N$189)+COUNTIF('6月'!BG6:BH6,N$189)+COUNTIF('6月'!BL6:BM6,N$189)+COUNTIF('6月'!BQ6:BR6,N$189)+COUNTIF('6月'!BV6:BW6,N$189)+COUNTIF('6月'!CA6:CB6,N$189)+COUNTIF('6月'!CF6:CG6,N$189)+COUNTIF('6月'!CK6:CL6,N$189)+COUNTIF('6月'!CP6:CQ6,N$189)+COUNTIF('6月'!CU6:CV6,N$189)+COUNTIF('6月'!CZ6:DA6,N$189)+COUNTIF('6月'!DE6:DF6,N$189)+COUNTIF('6月'!DJ6:DK6,N$189)+COUNTIF('6月'!DO6:DP6,N$189)+COUNTIF('6月'!DT6:DU6,N$189)+COUNTIF('6月'!DY6:DZ6,N$189)+COUNTIF('6月'!ED6:EE6,N$189)+COUNTIF('6月'!EI6:EJ6,N$189)+COUNTIF('6月'!EN6:EO6,N$189)+COUNTIF('6月'!ES6:ET6,N$189)+COUNTIF('6月'!D6:E6,"三軒茶屋－夜勤")+COUNTIF('6月'!I6:J6,"三軒茶屋－夜勤")+COUNTIF('6月'!N6:O6,"三軒茶屋－夜勤")+COUNTIF('6月'!S6:T6,"三軒茶屋－夜勤")+COUNTIF('6月'!X6:Y6,"三軒茶屋－夜勤")+COUNTIF('6月'!AC6:AD6,"三軒茶屋－夜勤")+COUNTIF('6月'!AH6:AI6,"三軒茶屋－夜勤")+COUNTIF('6月'!AM6:AN6,"三軒茶屋－夜勤")+COUNTIF('6月'!AR6:AS6,"三軒茶屋－夜勤")+COUNTIF('6月'!AW6:AX6,"三軒茶屋－夜勤")+COUNTIF('6月'!BB6:BC6,"三軒茶屋－夜勤")+COUNTIF('6月'!BG6:BH6,"三軒茶屋－夜勤")+COUNTIF('6月'!BL6:BM6,"三軒茶屋－夜勤")+COUNTIF('6月'!BQ6:BR6,"三軒茶屋－夜勤")+COUNTIF('6月'!BV6:BW6,"三軒茶屋－夜勤")+COUNTIF('6月'!CA6:CB6,"三軒茶屋－夜勤")+COUNTIF('6月'!CF6:CG6,"三軒茶屋－夜勤")+COUNTIF('6月'!CK6:CL6,"三軒茶屋－夜勤")+COUNTIF('6月'!CP6:CQ6,"三軒茶屋－夜勤")+COUNTIF('6月'!CU6:CV6,"三軒茶屋－夜勤")+COUNTIF('6月'!CZ6:DA6,"三軒茶屋－夜勤")+COUNTIF('6月'!DE6:DF6,"三軒茶屋－夜勤")+COUNTIF('6月'!DJ6:DK6,"三軒茶屋－夜勤")+COUNTIF('6月'!DO6:DP6,"三軒茶屋－夜勤")+COUNTIF('6月'!DT6:DU6,"三軒茶屋－夜勤")+COUNTIF('6月'!DY6:DZ6,"三軒茶屋－夜勤")+COUNTIF('6月'!ED6:EE6,"三軒茶屋－夜勤")+COUNTIF('6月'!EI6:EJ6,"三軒茶屋－夜勤")+COUNTIF('6月'!EN6:EO6,"三軒茶屋－夜勤")+COUNTIF('6月'!ES6:ET6,"三軒茶屋－夜勤")</f>
        <v>0</v>
      </c>
      <c r="O193" s="76">
        <f t="shared" si="66"/>
        <v>0</v>
      </c>
      <c r="P193" s="76">
        <f>COUNTIF('6月'!D6:E6,P$189)+COUNTIF('6月'!I6:J6,P$189)+COUNTIF('6月'!N6:O6,P$189)+COUNTIF('6月'!S6:T6,P$189)+COUNTIF('6月'!X6:Y6,P$189)+COUNTIF('6月'!AC6:AD6,P$189)+COUNTIF('6月'!AH6:AI6,P$189)+COUNTIF('6月'!AM6:AN6,P$189)+COUNTIF('6月'!AR6:AS6,P$189)+COUNTIF('6月'!AW6:AX6,P$189)+COUNTIF('6月'!BB6:BC6,P$189)+COUNTIF('6月'!BG6:BH6,P$189)+COUNTIF('6月'!BL6:BM6,P$189)+COUNTIF('6月'!BQ6:BR6,P$189)+COUNTIF('6月'!BV6:BW6,P$189)+COUNTIF('6月'!CA6:CB6,P$189)+COUNTIF('6月'!CF6:CG6,P$189)+COUNTIF('6月'!CK6:CL6,P$189)+COUNTIF('6月'!CP6:CQ6,P$189)+COUNTIF('6月'!CU6:CV6,P$189)+COUNTIF('6月'!CZ6:DA6,P$189)+COUNTIF('6月'!DE6:DF6,P$189)+COUNTIF('6月'!DJ6:DK6,P$189)+COUNTIF('6月'!DO6:DP6,P$189)+COUNTIF('6月'!DT6:DU6,P$189)+COUNTIF('6月'!DY6:DZ6,P$189)+COUNTIF('6月'!ED6:EE6,P$189)+COUNTIF('6月'!EI6:EJ6,P$189)+COUNTIF('6月'!EN6:EO6,P$189)+COUNTIF('6月'!ES6:ET6,P$189)+COUNTIF('6月'!D6:E6,"荻窪ー夜勤")+COUNTIF('6月'!I6:J6,"荻窪ー夜勤")+COUNTIF('6月'!N6:O6,"荻窪ー夜勤")+COUNTIF('6月'!S6:T6,"荻窪ー夜勤")+COUNTIF('6月'!X6:Y6,"荻窪ー夜勤")+COUNTIF('6月'!AC6:AD6,"荻窪ー夜勤")+COUNTIF('6月'!AH6:AI6,"荻窪ー夜勤")+COUNTIF('6月'!AM6:AN6,"荻窪ー夜勤")+COUNTIF('6月'!AR6:AS6,"荻窪ー夜勤")+COUNTIF('6月'!AW6:AX6,"荻窪ー夜勤")+COUNTIF('6月'!BB6:BC6,"荻窪ー夜勤")+COUNTIF('6月'!BG6:BH6,"荻窪ー夜勤")+COUNTIF('6月'!BL6:BM6,"荻窪ー夜勤")+COUNTIF('6月'!BQ6:BR6,"荻窪ー夜勤")+COUNTIF('6月'!BV6:BW6,"荻窪ー夜勤")+COUNTIF('6月'!CA6:CB6,"荻窪ー夜勤")+COUNTIF('6月'!CF6:CG6,"荻窪ー夜勤")+COUNTIF('6月'!CK6:CL6,"荻窪ー夜勤")+COUNTIF('6月'!CP6:CQ6,"荻窪ー夜勤")+COUNTIF('6月'!CU6:CV6,"荻窪ー夜勤")+COUNTIF('6月'!CZ6:DA6,"荻窪ー夜勤")+COUNTIF('6月'!DE6:DF6,"荻窪ー夜勤")+COUNTIF('6月'!DJ6:DK6,"荻窪ー夜勤")+COUNTIF('6月'!DO6:DP6,"荻窪ー夜勤")+COUNTIF('6月'!DT6:DU6,"荻窪ー夜勤")+COUNTIF('6月'!DY6:DZ6,"荻窪ー夜勤")+COUNTIF('6月'!ED6:EE6,"荻窪ー夜勤")+COUNTIF('6月'!EI6:EJ6,"荻窪ー夜勤")+COUNTIF('6月'!EN6:EO6,"荻窪ー夜勤")+COUNTIF('6月'!ES6:ET6,"荻窪ー夜勤")</f>
        <v>0</v>
      </c>
      <c r="Q193" s="76">
        <f t="shared" si="67"/>
        <v>0</v>
      </c>
      <c r="R193" s="76">
        <f>COUNTIF('6月'!D6:E6,R$189)+COUNTIF('6月'!I6:J6,R$189)+COUNTIF('6月'!N6:O6,R$189)+COUNTIF('6月'!S6:T6,R$189)+COUNTIF('6月'!X6:Y6,R$189)+COUNTIF('6月'!AC6:AD6,R$189)+COUNTIF('6月'!AH6:AI6,R$189)+COUNTIF('6月'!AM6:AN6,R$189)+COUNTIF('6月'!AR6:AS6,R$189)+COUNTIF('6月'!AW6:AX6,R$189)+COUNTIF('6月'!BB6:BC6,R$189)+COUNTIF('6月'!BG6:BH6,R$189)+COUNTIF('6月'!BL6:BM6,R$189)+COUNTIF('6月'!BQ6:BR6,R$189)+COUNTIF('6月'!BV6:BW6,R$189)+COUNTIF('6月'!CA6:CB6,R$189)+COUNTIF('6月'!CF6:CG6,R$189)+COUNTIF('6月'!CK6:CL6,R$189)+COUNTIF('6月'!CP6:CQ6,R$189)+COUNTIF('6月'!CU6:CV6,R$189)+COUNTIF('6月'!CZ6:DA6,R$189)+COUNTIF('6月'!DE6:DF6,R$189)+COUNTIF('6月'!DJ6:DK6,R$189)+COUNTIF('6月'!DO6:DP6,R$189)+COUNTIF('6月'!DT6:DU6,R$189)+COUNTIF('6月'!DY6:DZ6,R$189)+COUNTIF('6月'!ED6:EE6,R$189)+COUNTIF('6月'!EI6:EJ6,R$189)+COUNTIF('6月'!EN6:EO6,R$189)+COUNTIF('6月'!ES6:ET6,R$189)</f>
        <v>0</v>
      </c>
      <c r="S193" s="76">
        <f t="shared" si="68"/>
        <v>0</v>
      </c>
      <c r="T193" s="76">
        <f>COUNTIF('6月'!D6:E6,T$189)+COUNTIF('6月'!I6:J6,T$189)+COUNTIF('6月'!N6:O6,T$189)+COUNTIF('6月'!S6:T6,T$189)+COUNTIF('6月'!X6:Y6,T$189)+COUNTIF('6月'!AC6:AD6,T$189)+COUNTIF('6月'!AH6:AI6,T$189)+COUNTIF('6月'!AM6:AN6,T$189)+COUNTIF('6月'!AR6:AS6,T$189)+COUNTIF('6月'!AW6:AX6,T$189)+COUNTIF('6月'!BB6:BC6,T$189)+COUNTIF('6月'!BG6:BH6,T$189)+COUNTIF('6月'!BL6:BM6,T$189)+COUNTIF('6月'!BQ6:BR6,T$189)+COUNTIF('6月'!BV6:BW6,T$189)+COUNTIF('6月'!CA6:CB6,T$189)+COUNTIF('6月'!CF6:CG6,T$189)+COUNTIF('6月'!CK6:CL6,T$189)+COUNTIF('6月'!CP6:CQ6,T$189)+COUNTIF('6月'!CU6:CV6,T$189)+COUNTIF('6月'!CZ6:DA6,T$189)+COUNTIF('6月'!DE6:DF6,T$189)+COUNTIF('6月'!DJ6:DK6,T$189)+COUNTIF('6月'!DO6:DP6,T$189)+COUNTIF('6月'!DT6:DU6,T$189)+COUNTIF('6月'!DY6:DZ6,T$189)+COUNTIF('6月'!ED6:EE6,T$189)+COUNTIF('6月'!EI6:EJ6,T$189)+COUNTIF('6月'!EN6:EO6,T$189)+COUNTIF('6月'!ES6:ET6,T$189)</f>
        <v>0</v>
      </c>
      <c r="U193" s="76">
        <f t="shared" si="69"/>
        <v>0</v>
      </c>
      <c r="V193" s="76">
        <f>COUNTIF('6月'!D6:E6,V$189)+COUNTIF('6月'!I6:J6,V$189)+COUNTIF('6月'!N6:O6,V$189)+COUNTIF('6月'!S6:T6,V$189)+COUNTIF('6月'!X6:Y6,V$189)+COUNTIF('6月'!AC6:AD6,V$189)+COUNTIF('6月'!AH6:AI6,V$189)+COUNTIF('6月'!AM6:AN6,V$189)+COUNTIF('6月'!AR6:AS6,V$189)+COUNTIF('6月'!AW6:AX6,V$189)+COUNTIF('6月'!BB6:BC6,V$189)+COUNTIF('6月'!BG6:BH6,V$189)+COUNTIF('6月'!BL6:BM6,V$189)+COUNTIF('6月'!BQ6:BR6,V$189)+COUNTIF('6月'!BV6:BW6,V$189)+COUNTIF('6月'!CA6:CB6,V$189)+COUNTIF('6月'!CF6:CG6,V$189)+COUNTIF('6月'!CK6:CL6,V$189)+COUNTIF('6月'!CP6:CQ6,V$189)+COUNTIF('6月'!CU6:CV6,V$189)+COUNTIF('6月'!CZ6:DA6,V$189)+COUNTIF('6月'!DE6:DF6,V$189)+COUNTIF('6月'!DJ6:DK6,V$189)+COUNTIF('6月'!DO6:DP6,V$189)+COUNTIF('6月'!DT6:DU6,V$189)+COUNTIF('6月'!DY6:DZ6,V$189)+COUNTIF('6月'!ED6:EE6,V$189)+COUNTIF('6月'!EI6:EJ6,V$189)+COUNTIF('6月'!EN6:EO6,V$189)+COUNTIF('6月'!ES6:ET6,V$189)</f>
        <v>0</v>
      </c>
      <c r="W193" s="76">
        <f t="shared" si="70"/>
        <v>0</v>
      </c>
      <c r="X193" s="76">
        <f>COUNTIF('6月'!D6:E6,X$189)+COUNTIF('6月'!I6:J6,X$189)+COUNTIF('6月'!N6:O6,X$189)+COUNTIF('6月'!S6:T6,X$189)+COUNTIF('6月'!X6:Y6,X$189)+COUNTIF('6月'!AC6:AD6,X$189)+COUNTIF('6月'!AH6:AI6,X$189)+COUNTIF('6月'!AM6:AN6,X$189)+COUNTIF('6月'!AR6:AS6,X$189)+COUNTIF('6月'!AW6:AX6,X$189)+COUNTIF('6月'!BB6:BC6,X$189)+COUNTIF('6月'!BG6:BH6,X$189)+COUNTIF('6月'!BL6:BM6,X$189)+COUNTIF('6月'!BQ6:BR6,X$189)+COUNTIF('6月'!BV6:BW6,X$189)+COUNTIF('6月'!CA6:CB6,X$189)+COUNTIF('6月'!CF6:CG6,X$189)+COUNTIF('6月'!CK6:CL6,X$189)+COUNTIF('6月'!CP6:CQ6,X$189)+COUNTIF('6月'!CU6:CV6,X$189)+COUNTIF('6月'!CZ6:DA6,X$189)+COUNTIF('6月'!DE6:DF6,X$189)+COUNTIF('6月'!DJ6:DK6,X$189)+COUNTIF('6月'!DO6:DP6,X$189)+COUNTIF('6月'!DT6:DU6,X$189)+COUNTIF('6月'!DY6:DZ6,X$189)+COUNTIF('6月'!ED6:EE6,X$189)+COUNTIF('6月'!EI6:EJ6,X$189)+COUNTIF('6月'!EN6:EO6,X$189)+COUNTIF('6月'!ES6:ET6,X$189)</f>
        <v>0</v>
      </c>
      <c r="Y193" s="76">
        <f t="shared" si="71"/>
        <v>0</v>
      </c>
    </row>
    <row r="194" spans="1:25" ht="18" customHeight="1">
      <c r="A194" s="76">
        <v>4</v>
      </c>
      <c r="B194" s="76">
        <f>COUNTIF('6月'!D7:E7,B$189)+COUNTIF('6月'!I7:J7,B$189)+COUNTIF('6月'!N7:O7,B$189)+COUNTIF('6月'!S7:T7,B$189)+COUNTIF('6月'!X7:Y7,B$189)+COUNTIF('6月'!AC7:AD7,B$189)+COUNTIF('6月'!AH7:AI7,B$189)+COUNTIF('6月'!AM7:AN7,B$189)+COUNTIF('6月'!AR7:AS7,B$189)+COUNTIF('6月'!AW7:AX7,B$189)+COUNTIF('6月'!BB7:BC7,B$189)+COUNTIF('6月'!BG7:BH7,B$189)+COUNTIF('6月'!BL7:BM7,B$189)+COUNTIF('6月'!BQ7:BR7,B$189)+COUNTIF('6月'!BV7:BW7,B$189)+COUNTIF('6月'!CA7:CB7,B$189)+COUNTIF('6月'!CF7:CG7,B$189)+COUNTIF('6月'!CK7:CL7,B$189)+COUNTIF('6月'!CP7:CQ7,B$189)+COUNTIF('6月'!CU7:CV7,B$189)+COUNTIF('6月'!CZ7:DA7,B$189)+COUNTIF('6月'!DE7:DF7,B$189)+COUNTIF('6月'!DJ7:DK7,B$189)+COUNTIF('6月'!DO7:DP7,B$189)+COUNTIF('6月'!DT7:DU7,B$189)+COUNTIF('6月'!DY7:DZ7,B$189)+COUNTIF('6月'!ED7:EE7,B$189)+COUNTIF('6月'!EI7:EJ7,B$189)+COUNTIF('6月'!EN7:EO7,B$189)+COUNTIF('6月'!ES7:ET7,B$189)</f>
        <v>0</v>
      </c>
      <c r="C194" s="76">
        <f t="shared" si="60"/>
        <v>0</v>
      </c>
      <c r="D194" s="76">
        <f>COUNTIF('6月'!D7:E7,D$189)+COUNTIF('6月'!I7:J7,D$189)+COUNTIF('6月'!N7:O7,D$189)+COUNTIF('6月'!S7:T7,D$189)+COUNTIF('6月'!X7:Y7,D$189)+COUNTIF('6月'!AC7:AD7,D$189)+COUNTIF('6月'!AH7:AI7,D$189)+COUNTIF('6月'!AM7:AN7,D$189)+COUNTIF('6月'!AR7:AS7,D$189)+COUNTIF('6月'!AW7:AX7,D$189)+COUNTIF('6月'!BB7:BC7,D$189)+COUNTIF('6月'!BG7:BH7,D$189)+COUNTIF('6月'!BL7:BM7,D$189)+COUNTIF('6月'!BQ7:BR7,D$189)+COUNTIF('6月'!BV7:BW7,D$189)+COUNTIF('6月'!CA7:CB7,D$189)+COUNTIF('6月'!CF7:CG7,D$189)+COUNTIF('6月'!CK7:CL7,D$189)+COUNTIF('6月'!CP7:CQ7,D$189)+COUNTIF('6月'!CU7:CV7,D$189)+COUNTIF('6月'!CZ7:DA7,D$189)+COUNTIF('6月'!DE7:DF7,D$189)+COUNTIF('6月'!DJ7:DK7,D$189)+COUNTIF('6月'!DO7:DP7,D$189)+COUNTIF('6月'!DT7:DU7,D$189)+COUNTIF('6月'!DY7:DZ7,D$189)+COUNTIF('6月'!ED7:EE7,D$189)+COUNTIF('6月'!EI7:EJ7,D$189)+COUNTIF('6月'!EN7:EO7,D$189)+COUNTIF('6月'!ES7:ET7,D$189)</f>
        <v>0</v>
      </c>
      <c r="E194" s="76">
        <f t="shared" si="61"/>
        <v>0</v>
      </c>
      <c r="F194" s="76">
        <f>COUNTIF('6月'!D7:E7,F$189)+COUNTIF('6月'!I7:J7,F$189)+COUNTIF('6月'!N7:O7,F$189)+COUNTIF('6月'!S7:T7,F$189)+COUNTIF('6月'!X7:Y7,F$189)+COUNTIF('6月'!AC7:AD7,F$189)+COUNTIF('6月'!AH7:AI7,F$189)+COUNTIF('6月'!AM7:AN7,F$189)+COUNTIF('6月'!AR7:AS7,F$189)+COUNTIF('6月'!AW7:AX7,F$189)+COUNTIF('6月'!BB7:BC7,F$189)+COUNTIF('6月'!BG7:BH7,F$189)+COUNTIF('6月'!BL7:BM7,F$189)+COUNTIF('6月'!BQ7:BR7,F$189)+COUNTIF('6月'!BV7:BW7,F$189)+COUNTIF('6月'!CA7:CB7,F$189)+COUNTIF('6月'!CF7:CG7,F$189)+COUNTIF('6月'!CK7:CL7,F$189)+COUNTIF('6月'!CP7:CQ7,F$189)+COUNTIF('6月'!CU7:CV7,F$189)+COUNTIF('6月'!CZ7:DA7,F$189)+COUNTIF('6月'!DE7:DF7,F$189)+COUNTIF('6月'!DJ7:DK7,F$189)+COUNTIF('6月'!DO7:DP7,F$189)+COUNTIF('6月'!DT7:DU7,F$189)+COUNTIF('6月'!DY7:DZ7,F$189)+COUNTIF('6月'!ED7:EE7,F$189)+COUNTIF('6月'!EI7:EJ7,F$189)+COUNTIF('6月'!EN7:EO7,F$189)+COUNTIF('6月'!ES7:ET7,F$189)</f>
        <v>0</v>
      </c>
      <c r="G194" s="76">
        <f t="shared" si="62"/>
        <v>0</v>
      </c>
      <c r="H194" s="76">
        <f>COUNTIF('6月'!D7:E7,H$189)+COUNTIF('6月'!I7:J7,H$189)+COUNTIF('6月'!N7:O7,H$189)+COUNTIF('6月'!S7:T7,H$189)+COUNTIF('6月'!X7:Y7,H$189)+COUNTIF('6月'!AC7:AD7,H$189)+COUNTIF('6月'!AH7:AI7,H$189)+COUNTIF('6月'!AM7:AN7,H$189)+COUNTIF('6月'!AR7:AS7,H$189)+COUNTIF('6月'!AW7:AX7,H$189)+COUNTIF('6月'!BB7:BC7,H$189)+COUNTIF('6月'!BG7:BH7,H$189)+COUNTIF('6月'!BL7:BM7,H$189)+COUNTIF('6月'!BQ7:BR7,H$189)+COUNTIF('6月'!BV7:BW7,H$189)+COUNTIF('6月'!CA7:CB7,H$189)+COUNTIF('6月'!CF7:CG7,H$189)+COUNTIF('6月'!CK7:CL7,H$189)+COUNTIF('6月'!CP7:CQ7,H$189)+COUNTIF('6月'!CU7:CV7,H$189)+COUNTIF('6月'!CZ7:DA7,H$189)+COUNTIF('6月'!DE7:DF7,H$189)+COUNTIF('6月'!DJ7:DK7,H$189)+COUNTIF('6月'!DO7:DP7,H$189)+COUNTIF('6月'!DT7:DU7,H$189)+COUNTIF('6月'!DY7:DZ7,H$189)+COUNTIF('6月'!ED7:EE7,H$189)+COUNTIF('6月'!EI7:EJ7,H$189)+COUNTIF('6月'!EN7:EO7,H$189)+COUNTIF('6月'!ES7:ET7,H$189)+COUNTIF('6月'!D7:E7,"渋谷-夜勤")+COUNTIF('6月'!I7:J7,"渋谷-夜勤")+COUNTIF('6月'!N7:O7,"渋谷-夜勤")+COUNTIF('6月'!S7:T7,"渋谷-夜勤")+COUNTIF('6月'!X7:Y7,"渋谷-夜勤")+COUNTIF('6月'!AC7:AD7,"渋谷-夜勤")+COUNTIF('6月'!AH7:AI7,"渋谷-夜勤")+COUNTIF('6月'!AM7:AN7,"渋谷-夜勤")+COUNTIF('6月'!AR7:AS7,"渋谷-夜勤")+COUNTIF('6月'!AW7:AX7,"渋谷-夜勤")+COUNTIF('6月'!BB7:BC7,"渋谷-夜勤")+COUNTIF('6月'!BG7:BH7,"渋谷-夜勤")+COUNTIF('6月'!BL7:BM7,"渋谷-夜勤")+COUNTIF('6月'!BQ7:BR7,"渋谷-夜勤")+COUNTIF('6月'!BV7:BW7,"渋谷-夜勤")+COUNTIF('6月'!CA7:CB7,"渋谷-夜勤")+COUNTIF('6月'!CF7:CG7,"渋谷-夜勤")+COUNTIF('6月'!CK7:CL7,"渋谷-夜勤")+COUNTIF('6月'!CP7:CQ7,"渋谷-夜勤")+COUNTIF('6月'!CU7:CV7,"渋谷-夜勤")+COUNTIF('6月'!CZ7:DA7,"渋谷-夜勤")+COUNTIF('6月'!DE7:DF7,"渋谷-夜勤")+COUNTIF('6月'!DJ7:DK7,"渋谷-夜勤")+COUNTIF('6月'!DO7:DP7,"渋谷-夜勤")+COUNTIF('6月'!DT7:DU7,"渋谷-夜勤")+COUNTIF('6月'!DY7:DZ7,"渋谷-夜勤")+COUNTIF('6月'!ED7:EE7,"渋谷-夜勤")+COUNTIF('6月'!EI7:EJ7,"渋谷-夜勤")+COUNTIF('6月'!EN7:EO7,"渋谷-夜勤")+COUNTIF('6月'!ES7:ET7,"渋谷-夜勤")</f>
        <v>0</v>
      </c>
      <c r="I194" s="76">
        <f t="shared" si="63"/>
        <v>0</v>
      </c>
      <c r="J194" s="76">
        <f>COUNTIF('6月'!D7:E7,J$189)+COUNTIF('6月'!I7:J7,J$189)+COUNTIF('6月'!N7:O7,J$189)+COUNTIF('6月'!S7:T7,J$189)+COUNTIF('6月'!X7:Y7,J$189)+COUNTIF('6月'!AC7:AD7,J$189)+COUNTIF('6月'!AH7:AI7,J$189)+COUNTIF('6月'!AM7:AN7,J$189)+COUNTIF('6月'!AR7:AS7,J$189)+COUNTIF('6月'!AW7:AX7,J$189)+COUNTIF('6月'!BB7:BC7,J$189)+COUNTIF('6月'!BG7:BH7,J$189)+COUNTIF('6月'!BL7:BM7,J$189)+COUNTIF('6月'!BQ7:BR7,J$189)+COUNTIF('6月'!BV7:BW7,J$189)+COUNTIF('6月'!CA7:CB7,J$189)+COUNTIF('6月'!CF7:CG7,J$189)+COUNTIF('6月'!CK7:CL7,J$189)+COUNTIF('6月'!CP7:CQ7,J$189)+COUNTIF('6月'!CU7:CV7,J$189)+COUNTIF('6月'!CZ7:DA7,J$189)+COUNTIF('6月'!DE7:DF7,J$189)+COUNTIF('6月'!DJ7:DK7,J$189)+COUNTIF('6月'!DO7:DP7,J$189)+COUNTIF('6月'!DT7:DU7,J$189)+COUNTIF('6月'!DY7:DZ7,J$189)+COUNTIF('6月'!ED7:EE7,J$189)+COUNTIF('6月'!EI7:EJ7,J$189)+COUNTIF('6月'!EN7:EO7,J$189)+COUNTIF('6月'!ES7:ET7,J$189)+COUNTIF('6月'!D7:E7,"六本木-夜勤")+COUNTIF('6月'!I7:J7,"六本木-夜勤")+COUNTIF('6月'!N7:O7,"六本木-夜勤")+COUNTIF('6月'!S7:T7,"六本木-夜勤")+COUNTIF('6月'!X7:Y7,"六本木-夜勤")+COUNTIF('6月'!AC7:AD7,"六本木-夜勤")+COUNTIF('6月'!AH7:AI7,"六本木-夜勤")+COUNTIF('6月'!AM7:AN7,"六本木-夜勤")+COUNTIF('6月'!AR7:AS7,"六本木-夜勤")+COUNTIF('6月'!AW7:AX7,"六本木-夜勤")+COUNTIF('6月'!BB7:BC7,"六本木-夜勤")+COUNTIF('6月'!BG7:BH7,"六本木-夜勤")+COUNTIF('6月'!BL7:BM7,"六本木-夜勤")+COUNTIF('6月'!BQ7:BR7,"六本木-夜勤")+COUNTIF('6月'!BV7:BW7,"六本木-夜勤")+COUNTIF('6月'!CA7:CB7,"六本木-夜勤")+COUNTIF('6月'!CF7:CG7,"六本木-夜勤")+COUNTIF('6月'!CK7:CL7,"六本木-夜勤")+COUNTIF('6月'!CP7:CQ7,"六本木-夜勤")+COUNTIF('6月'!CU7:CV7,"六本木-夜勤")+COUNTIF('6月'!CZ7:DA7,"六本木-夜勤")+COUNTIF('6月'!DE7:DF7,"六本木-夜勤")+COUNTIF('6月'!DJ7:DK7,"六本木-夜勤")+COUNTIF('6月'!DO7:DP7,"六本木-夜勤")+COUNTIF('6月'!DT7:DU7,"六本木-夜勤")+COUNTIF('6月'!DY7:DZ7,"六本木-夜勤")+COUNTIF('6月'!ED7:EE7,"六本木-夜勤")+COUNTIF('6月'!EI7:EJ7,"六本木-夜勤")+COUNTIF('6月'!EN7:EO7,"六本木-夜勤")+COUNTIF('6月'!ES7:ET7,"六本木-夜勤")+COUNTIF('6月'!D7:E7,"六本木ー夜勤")+COUNTIF('6月'!I7:J7,"六本木ー夜勤")+COUNTIF('6月'!N7:O7,"六本木ー夜勤")+COUNTIF('6月'!S7:T7,"六本木ー夜勤")+COUNTIF('6月'!X7:Y7,"六本木ー夜勤")+COUNTIF('6月'!AC7:AD7,"六本木ー夜勤")+COUNTIF('6月'!AH7:AI7,"六本木ー夜勤")+COUNTIF('6月'!AM7:AN7,"六本木ー夜勤")+COUNTIF('6月'!AR7:AS7,"六本木ー夜勤")+COUNTIF('6月'!AW7:AX7,"六本木ー夜勤")+COUNTIF('6月'!BB7:BC7,"六本木ー夜勤")+COUNTIF('6月'!BG7:BH7,"六本木ー夜勤")+COUNTIF('6月'!BL7:BM7,"六本木ー夜勤")+COUNTIF('6月'!BQ7:BR7,"六本木ー夜勤")+COUNTIF('6月'!BV7:BW7,"六本木ー夜勤")+COUNTIF('6月'!CA7:CB7,"六本木ー夜勤")+COUNTIF('6月'!CF7:CG7,"六本木ー夜勤")+COUNTIF('6月'!CK7:CL7,"六本木ー夜勤")+COUNTIF('6月'!CP7:CQ7,"六本木ー夜勤")+COUNTIF('6月'!CU7:CV7,"六本木ー夜勤")+COUNTIF('6月'!CZ7:DA7,"六本木ー夜勤")+COUNTIF('6月'!DE7:DF7,"六本木ー夜勤")+COUNTIF('6月'!DJ7:DK7,"六本木ー夜勤")+COUNTIF('6月'!DO7:DP7,"六本木ー夜勤")+COUNTIF('6月'!DT7:DU7,"六本木ー夜勤")+COUNTIF('6月'!DY7:DZ7,"六本木ー夜勤")+COUNTIF('6月'!ED7:EE7,"六本木ー夜勤")+COUNTIF('6月'!EI7:EJ7,"六本木ー夜勤")+COUNTIF('6月'!EN7:EO7,"六本木ー夜勤")+COUNTIF('6月'!ES7:ET7,"六本木ー夜勤")</f>
        <v>0</v>
      </c>
      <c r="K194" s="76">
        <f t="shared" si="64"/>
        <v>0</v>
      </c>
      <c r="L194" s="76">
        <f>COUNTIF('6月'!D7:E7,L$189)+COUNTIF('6月'!I7:J7,L$189)+COUNTIF('6月'!N7:O7,L$189)+COUNTIF('6月'!S7:T7,L$189)+COUNTIF('6月'!X7:Y7,L$189)+COUNTIF('6月'!AC7:AD7,L$189)+COUNTIF('6月'!AH7:AI7,L$189)+COUNTIF('6月'!AM7:AN7,L$189)+COUNTIF('6月'!AR7:AS7,L$189)+COUNTIF('6月'!AW7:AX7,L$189)+COUNTIF('6月'!BB7:BC7,L$189)+COUNTIF('6月'!BG7:BH7,L$189)+COUNTIF('6月'!BL7:BM7,L$189)+COUNTIF('6月'!BQ7:BR7,L$189)+COUNTIF('6月'!BV7:BW7,L$189)+COUNTIF('6月'!CA7:CB7,L$189)+COUNTIF('6月'!CF7:CG7,L$189)+COUNTIF('6月'!CK7:CL7,L$189)+COUNTIF('6月'!CP7:CQ7,L$189)+COUNTIF('6月'!CU7:CV7,L$189)+COUNTIF('6月'!CZ7:DA7,L$189)+COUNTIF('6月'!DE7:DF7,L$189)+COUNTIF('6月'!DJ7:DK7,L$189)+COUNTIF('6月'!DO7:DP7,L$189)+COUNTIF('6月'!DT7:DU7,L$189)+COUNTIF('6月'!DY7:DZ7,L$189)+COUNTIF('6月'!ED7:EE7,L$189)+COUNTIF('6月'!EI7:EJ7,L$189)+COUNTIF('6月'!EN7:EO7,L$189)+COUNTIF('6月'!ES7:ET7,L$189)</f>
        <v>0</v>
      </c>
      <c r="M194" s="76">
        <f t="shared" si="65"/>
        <v>0</v>
      </c>
      <c r="N194" s="76">
        <f>COUNTIF('6月'!D7:E7,N$189)+COUNTIF('6月'!I7:J7,N$189)+COUNTIF('6月'!N7:O7,N$189)+COUNTIF('6月'!S7:T7,N$189)+COUNTIF('6月'!X7:Y7,N$189)+COUNTIF('6月'!AC7:AD7,N$189)+COUNTIF('6月'!AH7:AI7,N$189)+COUNTIF('6月'!AM7:AN7,N$189)+COUNTIF('6月'!AR7:AS7,N$189)+COUNTIF('6月'!AW7:AX7,N$189)+COUNTIF('6月'!BB7:BC7,N$189)+COUNTIF('6月'!BG7:BH7,N$189)+COUNTIF('6月'!BL7:BM7,N$189)+COUNTIF('6月'!BQ7:BR7,N$189)+COUNTIF('6月'!BV7:BW7,N$189)+COUNTIF('6月'!CA7:CB7,N$189)+COUNTIF('6月'!CF7:CG7,N$189)+COUNTIF('6月'!CK7:CL7,N$189)+COUNTIF('6月'!CP7:CQ7,N$189)+COUNTIF('6月'!CU7:CV7,N$189)+COUNTIF('6月'!CZ7:DA7,N$189)+COUNTIF('6月'!DE7:DF7,N$189)+COUNTIF('6月'!DJ7:DK7,N$189)+COUNTIF('6月'!DO7:DP7,N$189)+COUNTIF('6月'!DT7:DU7,N$189)+COUNTIF('6月'!DY7:DZ7,N$189)+COUNTIF('6月'!ED7:EE7,N$189)+COUNTIF('6月'!EI7:EJ7,N$189)+COUNTIF('6月'!EN7:EO7,N$189)+COUNTIF('6月'!ES7:ET7,N$189)+COUNTIF('6月'!D7:E7,"三軒茶屋－夜勤")+COUNTIF('6月'!I7:J7,"三軒茶屋－夜勤")+COUNTIF('6月'!N7:O7,"三軒茶屋－夜勤")+COUNTIF('6月'!S7:T7,"三軒茶屋－夜勤")+COUNTIF('6月'!X7:Y7,"三軒茶屋－夜勤")+COUNTIF('6月'!AC7:AD7,"三軒茶屋－夜勤")+COUNTIF('6月'!AH7:AI7,"三軒茶屋－夜勤")+COUNTIF('6月'!AM7:AN7,"三軒茶屋－夜勤")+COUNTIF('6月'!AR7:AS7,"三軒茶屋－夜勤")+COUNTIF('6月'!AW7:AX7,"三軒茶屋－夜勤")+COUNTIF('6月'!BB7:BC7,"三軒茶屋－夜勤")+COUNTIF('6月'!BG7:BH7,"三軒茶屋－夜勤")+COUNTIF('6月'!BL7:BM7,"三軒茶屋－夜勤")+COUNTIF('6月'!BQ7:BR7,"三軒茶屋－夜勤")+COUNTIF('6月'!BV7:BW7,"三軒茶屋－夜勤")+COUNTIF('6月'!CA7:CB7,"三軒茶屋－夜勤")+COUNTIF('6月'!CF7:CG7,"三軒茶屋－夜勤")+COUNTIF('6月'!CK7:CL7,"三軒茶屋－夜勤")+COUNTIF('6月'!CP7:CQ7,"三軒茶屋－夜勤")+COUNTIF('6月'!CU7:CV7,"三軒茶屋－夜勤")+COUNTIF('6月'!CZ7:DA7,"三軒茶屋－夜勤")+COUNTIF('6月'!DE7:DF7,"三軒茶屋－夜勤")+COUNTIF('6月'!DJ7:DK7,"三軒茶屋－夜勤")+COUNTIF('6月'!DO7:DP7,"三軒茶屋－夜勤")+COUNTIF('6月'!DT7:DU7,"三軒茶屋－夜勤")+COUNTIF('6月'!DY7:DZ7,"三軒茶屋－夜勤")+COUNTIF('6月'!ED7:EE7,"三軒茶屋－夜勤")+COUNTIF('6月'!EI7:EJ7,"三軒茶屋－夜勤")+COUNTIF('6月'!EN7:EO7,"三軒茶屋－夜勤")+COUNTIF('6月'!ES7:ET7,"三軒茶屋－夜勤")</f>
        <v>0</v>
      </c>
      <c r="O194" s="76">
        <f t="shared" si="66"/>
        <v>0</v>
      </c>
      <c r="P194" s="76">
        <f>COUNTIF('6月'!D7:E7,P$189)+COUNTIF('6月'!I7:J7,P$189)+COUNTIF('6月'!N7:O7,P$189)+COUNTIF('6月'!S7:T7,P$189)+COUNTIF('6月'!X7:Y7,P$189)+COUNTIF('6月'!AC7:AD7,P$189)+COUNTIF('6月'!AH7:AI7,P$189)+COUNTIF('6月'!AM7:AN7,P$189)+COUNTIF('6月'!AR7:AS7,P$189)+COUNTIF('6月'!AW7:AX7,P$189)+COUNTIF('6月'!BB7:BC7,P$189)+COUNTIF('6月'!BG7:BH7,P$189)+COUNTIF('6月'!BL7:BM7,P$189)+COUNTIF('6月'!BQ7:BR7,P$189)+COUNTIF('6月'!BV7:BW7,P$189)+COUNTIF('6月'!CA7:CB7,P$189)+COUNTIF('6月'!CF7:CG7,P$189)+COUNTIF('6月'!CK7:CL7,P$189)+COUNTIF('6月'!CP7:CQ7,P$189)+COUNTIF('6月'!CU7:CV7,P$189)+COUNTIF('6月'!CZ7:DA7,P$189)+COUNTIF('6月'!DE7:DF7,P$189)+COUNTIF('6月'!DJ7:DK7,P$189)+COUNTIF('6月'!DO7:DP7,P$189)+COUNTIF('6月'!DT7:DU7,P$189)+COUNTIF('6月'!DY7:DZ7,P$189)+COUNTIF('6月'!ED7:EE7,P$189)+COUNTIF('6月'!EI7:EJ7,P$189)+COUNTIF('6月'!EN7:EO7,P$189)+COUNTIF('6月'!ES7:ET7,P$189)+COUNTIF('6月'!D7:E7,"荻窪ー夜勤")+COUNTIF('6月'!I7:J7,"荻窪ー夜勤")+COUNTIF('6月'!N7:O7,"荻窪ー夜勤")+COUNTIF('6月'!S7:T7,"荻窪ー夜勤")+COUNTIF('6月'!X7:Y7,"荻窪ー夜勤")+COUNTIF('6月'!AC7:AD7,"荻窪ー夜勤")+COUNTIF('6月'!AH7:AI7,"荻窪ー夜勤")+COUNTIF('6月'!AM7:AN7,"荻窪ー夜勤")+COUNTIF('6月'!AR7:AS7,"荻窪ー夜勤")+COUNTIF('6月'!AW7:AX7,"荻窪ー夜勤")+COUNTIF('6月'!BB7:BC7,"荻窪ー夜勤")+COUNTIF('6月'!BG7:BH7,"荻窪ー夜勤")+COUNTIF('6月'!BL7:BM7,"荻窪ー夜勤")+COUNTIF('6月'!BQ7:BR7,"荻窪ー夜勤")+COUNTIF('6月'!BV7:BW7,"荻窪ー夜勤")+COUNTIF('6月'!CA7:CB7,"荻窪ー夜勤")+COUNTIF('6月'!CF7:CG7,"荻窪ー夜勤")+COUNTIF('6月'!CK7:CL7,"荻窪ー夜勤")+COUNTIF('6月'!CP7:CQ7,"荻窪ー夜勤")+COUNTIF('6月'!CU7:CV7,"荻窪ー夜勤")+COUNTIF('6月'!CZ7:DA7,"荻窪ー夜勤")+COUNTIF('6月'!DE7:DF7,"荻窪ー夜勤")+COUNTIF('6月'!DJ7:DK7,"荻窪ー夜勤")+COUNTIF('6月'!DO7:DP7,"荻窪ー夜勤")+COUNTIF('6月'!DT7:DU7,"荻窪ー夜勤")+COUNTIF('6月'!DY7:DZ7,"荻窪ー夜勤")+COUNTIF('6月'!ED7:EE7,"荻窪ー夜勤")+COUNTIF('6月'!EI7:EJ7,"荻窪ー夜勤")+COUNTIF('6月'!EN7:EO7,"荻窪ー夜勤")+COUNTIF('6月'!ES7:ET7,"荻窪ー夜勤")</f>
        <v>0</v>
      </c>
      <c r="Q194" s="76">
        <f t="shared" si="67"/>
        <v>0</v>
      </c>
      <c r="R194" s="76">
        <f>COUNTIF('6月'!D7:E7,R$189)+COUNTIF('6月'!I7:J7,R$189)+COUNTIF('6月'!N7:O7,R$189)+COUNTIF('6月'!S7:T7,R$189)+COUNTIF('6月'!X7:Y7,R$189)+COUNTIF('6月'!AC7:AD7,R$189)+COUNTIF('6月'!AH7:AI7,R$189)+COUNTIF('6月'!AM7:AN7,R$189)+COUNTIF('6月'!AR7:AS7,R$189)+COUNTIF('6月'!AW7:AX7,R$189)+COUNTIF('6月'!BB7:BC7,R$189)+COUNTIF('6月'!BG7:BH7,R$189)+COUNTIF('6月'!BL7:BM7,R$189)+COUNTIF('6月'!BQ7:BR7,R$189)+COUNTIF('6月'!BV7:BW7,R$189)+COUNTIF('6月'!CA7:CB7,R$189)+COUNTIF('6月'!CF7:CG7,R$189)+COUNTIF('6月'!CK7:CL7,R$189)+COUNTIF('6月'!CP7:CQ7,R$189)+COUNTIF('6月'!CU7:CV7,R$189)+COUNTIF('6月'!CZ7:DA7,R$189)+COUNTIF('6月'!DE7:DF7,R$189)+COUNTIF('6月'!DJ7:DK7,R$189)+COUNTIF('6月'!DO7:DP7,R$189)+COUNTIF('6月'!DT7:DU7,R$189)+COUNTIF('6月'!DY7:DZ7,R$189)+COUNTIF('6月'!ED7:EE7,R$189)+COUNTIF('6月'!EI7:EJ7,R$189)+COUNTIF('6月'!EN7:EO7,R$189)+COUNTIF('6月'!ES7:ET7,R$189)</f>
        <v>0</v>
      </c>
      <c r="S194" s="76">
        <f t="shared" si="68"/>
        <v>0</v>
      </c>
      <c r="T194" s="76">
        <f>COUNTIF('6月'!D7:E7,T$189)+COUNTIF('6月'!I7:J7,T$189)+COUNTIF('6月'!N7:O7,T$189)+COUNTIF('6月'!S7:T7,T$189)+COUNTIF('6月'!X7:Y7,T$189)+COUNTIF('6月'!AC7:AD7,T$189)+COUNTIF('6月'!AH7:AI7,T$189)+COUNTIF('6月'!AM7:AN7,T$189)+COUNTIF('6月'!AR7:AS7,T$189)+COUNTIF('6月'!AW7:AX7,T$189)+COUNTIF('6月'!BB7:BC7,T$189)+COUNTIF('6月'!BG7:BH7,T$189)+COUNTIF('6月'!BL7:BM7,T$189)+COUNTIF('6月'!BQ7:BR7,T$189)+COUNTIF('6月'!BV7:BW7,T$189)+COUNTIF('6月'!CA7:CB7,T$189)+COUNTIF('6月'!CF7:CG7,T$189)+COUNTIF('6月'!CK7:CL7,T$189)+COUNTIF('6月'!CP7:CQ7,T$189)+COUNTIF('6月'!CU7:CV7,T$189)+COUNTIF('6月'!CZ7:DA7,T$189)+COUNTIF('6月'!DE7:DF7,T$189)+COUNTIF('6月'!DJ7:DK7,T$189)+COUNTIF('6月'!DO7:DP7,T$189)+COUNTIF('6月'!DT7:DU7,T$189)+COUNTIF('6月'!DY7:DZ7,T$189)+COUNTIF('6月'!ED7:EE7,T$189)+COUNTIF('6月'!EI7:EJ7,T$189)+COUNTIF('6月'!EN7:EO7,T$189)+COUNTIF('6月'!ES7:ET7,T$189)</f>
        <v>0</v>
      </c>
      <c r="U194" s="76">
        <f t="shared" si="69"/>
        <v>0</v>
      </c>
      <c r="V194" s="76">
        <f>COUNTIF('6月'!D7:E7,V$189)+COUNTIF('6月'!I7:J7,V$189)+COUNTIF('6月'!N7:O7,V$189)+COUNTIF('6月'!S7:T7,V$189)+COUNTIF('6月'!X7:Y7,V$189)+COUNTIF('6月'!AC7:AD7,V$189)+COUNTIF('6月'!AH7:AI7,V$189)+COUNTIF('6月'!AM7:AN7,V$189)+COUNTIF('6月'!AR7:AS7,V$189)+COUNTIF('6月'!AW7:AX7,V$189)+COUNTIF('6月'!BB7:BC7,V$189)+COUNTIF('6月'!BG7:BH7,V$189)+COUNTIF('6月'!BL7:BM7,V$189)+COUNTIF('6月'!BQ7:BR7,V$189)+COUNTIF('6月'!BV7:BW7,V$189)+COUNTIF('6月'!CA7:CB7,V$189)+COUNTIF('6月'!CF7:CG7,V$189)+COUNTIF('6月'!CK7:CL7,V$189)+COUNTIF('6月'!CP7:CQ7,V$189)+COUNTIF('6月'!CU7:CV7,V$189)+COUNTIF('6月'!CZ7:DA7,V$189)+COUNTIF('6月'!DE7:DF7,V$189)+COUNTIF('6月'!DJ7:DK7,V$189)+COUNTIF('6月'!DO7:DP7,V$189)+COUNTIF('6月'!DT7:DU7,V$189)+COUNTIF('6月'!DY7:DZ7,V$189)+COUNTIF('6月'!ED7:EE7,V$189)+COUNTIF('6月'!EI7:EJ7,V$189)+COUNTIF('6月'!EN7:EO7,V$189)+COUNTIF('6月'!ES7:ET7,V$189)</f>
        <v>0</v>
      </c>
      <c r="W194" s="76">
        <f t="shared" si="70"/>
        <v>0</v>
      </c>
      <c r="X194" s="76">
        <f>COUNTIF('6月'!D7:E7,X$189)+COUNTIF('6月'!I7:J7,X$189)+COUNTIF('6月'!N7:O7,X$189)+COUNTIF('6月'!S7:T7,X$189)+COUNTIF('6月'!X7:Y7,X$189)+COUNTIF('6月'!AC7:AD7,X$189)+COUNTIF('6月'!AH7:AI7,X$189)+COUNTIF('6月'!AM7:AN7,X$189)+COUNTIF('6月'!AR7:AS7,X$189)+COUNTIF('6月'!AW7:AX7,X$189)+COUNTIF('6月'!BB7:BC7,X$189)+COUNTIF('6月'!BG7:BH7,X$189)+COUNTIF('6月'!BL7:BM7,X$189)+COUNTIF('6月'!BQ7:BR7,X$189)+COUNTIF('6月'!BV7:BW7,X$189)+COUNTIF('6月'!CA7:CB7,X$189)+COUNTIF('6月'!CF7:CG7,X$189)+COUNTIF('6月'!CK7:CL7,X$189)+COUNTIF('6月'!CP7:CQ7,X$189)+COUNTIF('6月'!CU7:CV7,X$189)+COUNTIF('6月'!CZ7:DA7,X$189)+COUNTIF('6月'!DE7:DF7,X$189)+COUNTIF('6月'!DJ7:DK7,X$189)+COUNTIF('6月'!DO7:DP7,X$189)+COUNTIF('6月'!DT7:DU7,X$189)+COUNTIF('6月'!DY7:DZ7,X$189)+COUNTIF('6月'!ED7:EE7,X$189)+COUNTIF('6月'!EI7:EJ7,X$189)+COUNTIF('6月'!EN7:EO7,X$189)+COUNTIF('6月'!ES7:ET7,X$189)</f>
        <v>0</v>
      </c>
      <c r="Y194" s="76">
        <f t="shared" si="71"/>
        <v>0</v>
      </c>
    </row>
    <row r="195" spans="1:25" ht="18" customHeight="1">
      <c r="A195" s="76">
        <v>5</v>
      </c>
      <c r="B195" s="76">
        <f>COUNTIF('6月'!D8:E8,B$189)+COUNTIF('6月'!I8:J8,B$189)+COUNTIF('6月'!N8:O8,B$189)+COUNTIF('6月'!S8:T8,B$189)+COUNTIF('6月'!X8:Y8,B$189)+COUNTIF('6月'!AC8:AD8,B$189)+COUNTIF('6月'!AH8:AI8,B$189)+COUNTIF('6月'!AM8:AN8,B$189)+COUNTIF('6月'!AR8:AS8,B$189)+COUNTIF('6月'!AW8:AX8,B$189)+COUNTIF('6月'!BB8:BC8,B$189)+COUNTIF('6月'!BG8:BH8,B$189)+COUNTIF('6月'!BL8:BM8,B$189)+COUNTIF('6月'!BQ8:BR8,B$189)+COUNTIF('6月'!BV8:BW8,B$189)+COUNTIF('6月'!CA8:CB8,B$189)+COUNTIF('6月'!CF8:CG8,B$189)+COUNTIF('6月'!CK8:CL8,B$189)+COUNTIF('6月'!CP8:CQ8,B$189)+COUNTIF('6月'!CU8:CV8,B$189)+COUNTIF('6月'!CZ8:DA8,B$189)+COUNTIF('6月'!DE8:DF8,B$189)+COUNTIF('6月'!DJ8:DK8,B$189)+COUNTIF('6月'!DO8:DP8,B$189)+COUNTIF('6月'!DT8:DU8,B$189)+COUNTIF('6月'!DY8:DZ8,B$189)+COUNTIF('6月'!ED8:EE8,B$189)+COUNTIF('6月'!EI8:EJ8,B$189)+COUNTIF('6月'!EN8:EO8,B$189)+COUNTIF('6月'!ES8:ET8,B$189)</f>
        <v>0</v>
      </c>
      <c r="C195" s="76">
        <f t="shared" si="60"/>
        <v>0</v>
      </c>
      <c r="D195" s="76">
        <f>COUNTIF('6月'!D8:E8,D$189)+COUNTIF('6月'!I8:J8,D$189)+COUNTIF('6月'!N8:O8,D$189)+COUNTIF('6月'!S8:T8,D$189)+COUNTIF('6月'!X8:Y8,D$189)+COUNTIF('6月'!AC8:AD8,D$189)+COUNTIF('6月'!AH8:AI8,D$189)+COUNTIF('6月'!AM8:AN8,D$189)+COUNTIF('6月'!AR8:AS8,D$189)+COUNTIF('6月'!AW8:AX8,D$189)+COUNTIF('6月'!BB8:BC8,D$189)+COUNTIF('6月'!BG8:BH8,D$189)+COUNTIF('6月'!BL8:BM8,D$189)+COUNTIF('6月'!BQ8:BR8,D$189)+COUNTIF('6月'!BV8:BW8,D$189)+COUNTIF('6月'!CA8:CB8,D$189)+COUNTIF('6月'!CF8:CG8,D$189)+COUNTIF('6月'!CK8:CL8,D$189)+COUNTIF('6月'!CP8:CQ8,D$189)+COUNTIF('6月'!CU8:CV8,D$189)+COUNTIF('6月'!CZ8:DA8,D$189)+COUNTIF('6月'!DE8:DF8,D$189)+COUNTIF('6月'!DJ8:DK8,D$189)+COUNTIF('6月'!DO8:DP8,D$189)+COUNTIF('6月'!DT8:DU8,D$189)+COUNTIF('6月'!DY8:DZ8,D$189)+COUNTIF('6月'!ED8:EE8,D$189)+COUNTIF('6月'!EI8:EJ8,D$189)+COUNTIF('6月'!EN8:EO8,D$189)+COUNTIF('6月'!ES8:ET8,D$189)</f>
        <v>0</v>
      </c>
      <c r="E195" s="76">
        <f t="shared" si="61"/>
        <v>0</v>
      </c>
      <c r="F195" s="76">
        <f>COUNTIF('6月'!D8:E8,F$189)+COUNTIF('6月'!I8:J8,F$189)+COUNTIF('6月'!N8:O8,F$189)+COUNTIF('6月'!S8:T8,F$189)+COUNTIF('6月'!X8:Y8,F$189)+COUNTIF('6月'!AC8:AD8,F$189)+COUNTIF('6月'!AH8:AI8,F$189)+COUNTIF('6月'!AM8:AN8,F$189)+COUNTIF('6月'!AR8:AS8,F$189)+COUNTIF('6月'!AW8:AX8,F$189)+COUNTIF('6月'!BB8:BC8,F$189)+COUNTIF('6月'!BG8:BH8,F$189)+COUNTIF('6月'!BL8:BM8,F$189)+COUNTIF('6月'!BQ8:BR8,F$189)+COUNTIF('6月'!BV8:BW8,F$189)+COUNTIF('6月'!CA8:CB8,F$189)+COUNTIF('6月'!CF8:CG8,F$189)+COUNTIF('6月'!CK8:CL8,F$189)+COUNTIF('6月'!CP8:CQ8,F$189)+COUNTIF('6月'!CU8:CV8,F$189)+COUNTIF('6月'!CZ8:DA8,F$189)+COUNTIF('6月'!DE8:DF8,F$189)+COUNTIF('6月'!DJ8:DK8,F$189)+COUNTIF('6月'!DO8:DP8,F$189)+COUNTIF('6月'!DT8:DU8,F$189)+COUNTIF('6月'!DY8:DZ8,F$189)+COUNTIF('6月'!ED8:EE8,F$189)+COUNTIF('6月'!EI8:EJ8,F$189)+COUNTIF('6月'!EN8:EO8,F$189)+COUNTIF('6月'!ES8:ET8,F$189)</f>
        <v>0</v>
      </c>
      <c r="G195" s="76">
        <f t="shared" si="62"/>
        <v>0</v>
      </c>
      <c r="H195" s="76">
        <f>COUNTIF('6月'!D8:E8,H$189)+COUNTIF('6月'!I8:J8,H$189)+COUNTIF('6月'!N8:O8,H$189)+COUNTIF('6月'!S8:T8,H$189)+COUNTIF('6月'!X8:Y8,H$189)+COUNTIF('6月'!AC8:AD8,H$189)+COUNTIF('6月'!AH8:AI8,H$189)+COUNTIF('6月'!AM8:AN8,H$189)+COUNTIF('6月'!AR8:AS8,H$189)+COUNTIF('6月'!AW8:AX8,H$189)+COUNTIF('6月'!BB8:BC8,H$189)+COUNTIF('6月'!BG8:BH8,H$189)+COUNTIF('6月'!BL8:BM8,H$189)+COUNTIF('6月'!BQ8:BR8,H$189)+COUNTIF('6月'!BV8:BW8,H$189)+COUNTIF('6月'!CA8:CB8,H$189)+COUNTIF('6月'!CF8:CG8,H$189)+COUNTIF('6月'!CK8:CL8,H$189)+COUNTIF('6月'!CP8:CQ8,H$189)+COUNTIF('6月'!CU8:CV8,H$189)+COUNTIF('6月'!CZ8:DA8,H$189)+COUNTIF('6月'!DE8:DF8,H$189)+COUNTIF('6月'!DJ8:DK8,H$189)+COUNTIF('6月'!DO8:DP8,H$189)+COUNTIF('6月'!DT8:DU8,H$189)+COUNTIF('6月'!DY8:DZ8,H$189)+COUNTIF('6月'!ED8:EE8,H$189)+COUNTIF('6月'!EI8:EJ8,H$189)+COUNTIF('6月'!EN8:EO8,H$189)+COUNTIF('6月'!ES8:ET8,H$189)+COUNTIF('6月'!D8:E8,"渋谷-夜勤")+COUNTIF('6月'!I8:J8,"渋谷-夜勤")+COUNTIF('6月'!N8:O8,"渋谷-夜勤")+COUNTIF('6月'!S8:T8,"渋谷-夜勤")+COUNTIF('6月'!X8:Y8,"渋谷-夜勤")+COUNTIF('6月'!AC8:AD8,"渋谷-夜勤")+COUNTIF('6月'!AH8:AI8,"渋谷-夜勤")+COUNTIF('6月'!AM8:AN8,"渋谷-夜勤")+COUNTIF('6月'!AR8:AS8,"渋谷-夜勤")+COUNTIF('6月'!AW8:AX8,"渋谷-夜勤")+COUNTIF('6月'!BB8:BC8,"渋谷-夜勤")+COUNTIF('6月'!BG8:BH8,"渋谷-夜勤")+COUNTIF('6月'!BL8:BM8,"渋谷-夜勤")+COUNTIF('6月'!BQ8:BR8,"渋谷-夜勤")+COUNTIF('6月'!BV8:BW8,"渋谷-夜勤")+COUNTIF('6月'!CA8:CB8,"渋谷-夜勤")+COUNTIF('6月'!CF8:CG8,"渋谷-夜勤")+COUNTIF('6月'!CK8:CL8,"渋谷-夜勤")+COUNTIF('6月'!CP8:CQ8,"渋谷-夜勤")+COUNTIF('6月'!CU8:CV8,"渋谷-夜勤")+COUNTIF('6月'!CZ8:DA8,"渋谷-夜勤")+COUNTIF('6月'!DE8:DF8,"渋谷-夜勤")+COUNTIF('6月'!DJ8:DK8,"渋谷-夜勤")+COUNTIF('6月'!DO8:DP8,"渋谷-夜勤")+COUNTIF('6月'!DT8:DU8,"渋谷-夜勤")+COUNTIF('6月'!DY8:DZ8,"渋谷-夜勤")+COUNTIF('6月'!ED8:EE8,"渋谷-夜勤")+COUNTIF('6月'!EI8:EJ8,"渋谷-夜勤")+COUNTIF('6月'!EN8:EO8,"渋谷-夜勤")+COUNTIF('6月'!ES8:ET8,"渋谷-夜勤")</f>
        <v>0</v>
      </c>
      <c r="I195" s="76">
        <f t="shared" si="63"/>
        <v>0</v>
      </c>
      <c r="J195" s="76">
        <f>COUNTIF('6月'!D8:E8,J$189)+COUNTIF('6月'!I8:J8,J$189)+COUNTIF('6月'!N8:O8,J$189)+COUNTIF('6月'!S8:T8,J$189)+COUNTIF('6月'!X8:Y8,J$189)+COUNTIF('6月'!AC8:AD8,J$189)+COUNTIF('6月'!AH8:AI8,J$189)+COUNTIF('6月'!AM8:AN8,J$189)+COUNTIF('6月'!AR8:AS8,J$189)+COUNTIF('6月'!AW8:AX8,J$189)+COUNTIF('6月'!BB8:BC8,J$189)+COUNTIF('6月'!BG8:BH8,J$189)+COUNTIF('6月'!BL8:BM8,J$189)+COUNTIF('6月'!BQ8:BR8,J$189)+COUNTIF('6月'!BV8:BW8,J$189)+COUNTIF('6月'!CA8:CB8,J$189)+COUNTIF('6月'!CF8:CG8,J$189)+COUNTIF('6月'!CK8:CL8,J$189)+COUNTIF('6月'!CP8:CQ8,J$189)+COUNTIF('6月'!CU8:CV8,J$189)+COUNTIF('6月'!CZ8:DA8,J$189)+COUNTIF('6月'!DE8:DF8,J$189)+COUNTIF('6月'!DJ8:DK8,J$189)+COUNTIF('6月'!DO8:DP8,J$189)+COUNTIF('6月'!DT8:DU8,J$189)+COUNTIF('6月'!DY8:DZ8,J$189)+COUNTIF('6月'!ED8:EE8,J$189)+COUNTIF('6月'!EI8:EJ8,J$189)+COUNTIF('6月'!EN8:EO8,J$189)+COUNTIF('6月'!ES8:ET8,J$189)+COUNTIF('6月'!D8:E8,"六本木-夜勤")+COUNTIF('6月'!I8:J8,"六本木-夜勤")+COUNTIF('6月'!N8:O8,"六本木-夜勤")+COUNTIF('6月'!S8:T8,"六本木-夜勤")+COUNTIF('6月'!X8:Y8,"六本木-夜勤")+COUNTIF('6月'!AC8:AD8,"六本木-夜勤")+COUNTIF('6月'!AH8:AI8,"六本木-夜勤")+COUNTIF('6月'!AM8:AN8,"六本木-夜勤")+COUNTIF('6月'!AR8:AS8,"六本木-夜勤")+COUNTIF('6月'!AW8:AX8,"六本木-夜勤")+COUNTIF('6月'!BB8:BC8,"六本木-夜勤")+COUNTIF('6月'!BG8:BH8,"六本木-夜勤")+COUNTIF('6月'!BL8:BM8,"六本木-夜勤")+COUNTIF('6月'!BQ8:BR8,"六本木-夜勤")+COUNTIF('6月'!BV8:BW8,"六本木-夜勤")+COUNTIF('6月'!CA8:CB8,"六本木-夜勤")+COUNTIF('6月'!CF8:CG8,"六本木-夜勤")+COUNTIF('6月'!CK8:CL8,"六本木-夜勤")+COUNTIF('6月'!CP8:CQ8,"六本木-夜勤")+COUNTIF('6月'!CU8:CV8,"六本木-夜勤")+COUNTIF('6月'!CZ8:DA8,"六本木-夜勤")+COUNTIF('6月'!DE8:DF8,"六本木-夜勤")+COUNTIF('6月'!DJ8:DK8,"六本木-夜勤")+COUNTIF('6月'!DO8:DP8,"六本木-夜勤")+COUNTIF('6月'!DT8:DU8,"六本木-夜勤")+COUNTIF('6月'!DY8:DZ8,"六本木-夜勤")+COUNTIF('6月'!ED8:EE8,"六本木-夜勤")+COUNTIF('6月'!EI8:EJ8,"六本木-夜勤")+COUNTIF('6月'!EN8:EO8,"六本木-夜勤")+COUNTIF('6月'!ES8:ET8,"六本木-夜勤")+COUNTIF('6月'!D8:E8,"六本木ー夜勤")+COUNTIF('6月'!I8:J8,"六本木ー夜勤")+COUNTIF('6月'!N8:O8,"六本木ー夜勤")+COUNTIF('6月'!S8:T8,"六本木ー夜勤")+COUNTIF('6月'!X8:Y8,"六本木ー夜勤")+COUNTIF('6月'!AC8:AD8,"六本木ー夜勤")+COUNTIF('6月'!AH8:AI8,"六本木ー夜勤")+COUNTIF('6月'!AM8:AN8,"六本木ー夜勤")+COUNTIF('6月'!AR8:AS8,"六本木ー夜勤")+COUNTIF('6月'!AW8:AX8,"六本木ー夜勤")+COUNTIF('6月'!BB8:BC8,"六本木ー夜勤")+COUNTIF('6月'!BG8:BH8,"六本木ー夜勤")+COUNTIF('6月'!BL8:BM8,"六本木ー夜勤")+COUNTIF('6月'!BQ8:BR8,"六本木ー夜勤")+COUNTIF('6月'!BV8:BW8,"六本木ー夜勤")+COUNTIF('6月'!CA8:CB8,"六本木ー夜勤")+COUNTIF('6月'!CF8:CG8,"六本木ー夜勤")+COUNTIF('6月'!CK8:CL8,"六本木ー夜勤")+COUNTIF('6月'!CP8:CQ8,"六本木ー夜勤")+COUNTIF('6月'!CU8:CV8,"六本木ー夜勤")+COUNTIF('6月'!CZ8:DA8,"六本木ー夜勤")+COUNTIF('6月'!DE8:DF8,"六本木ー夜勤")+COUNTIF('6月'!DJ8:DK8,"六本木ー夜勤")+COUNTIF('6月'!DO8:DP8,"六本木ー夜勤")+COUNTIF('6月'!DT8:DU8,"六本木ー夜勤")+COUNTIF('6月'!DY8:DZ8,"六本木ー夜勤")+COUNTIF('6月'!ED8:EE8,"六本木ー夜勤")+COUNTIF('6月'!EI8:EJ8,"六本木ー夜勤")+COUNTIF('6月'!EN8:EO8,"六本木ー夜勤")+COUNTIF('6月'!ES8:ET8,"六本木ー夜勤")</f>
        <v>0</v>
      </c>
      <c r="K195" s="76">
        <f t="shared" si="64"/>
        <v>0</v>
      </c>
      <c r="L195" s="76">
        <f>COUNTIF('6月'!D8:E8,L$189)+COUNTIF('6月'!I8:J8,L$189)+COUNTIF('6月'!N8:O8,L$189)+COUNTIF('6月'!S8:T8,L$189)+COUNTIF('6月'!X8:Y8,L$189)+COUNTIF('6月'!AC8:AD8,L$189)+COUNTIF('6月'!AH8:AI8,L$189)+COUNTIF('6月'!AM8:AN8,L$189)+COUNTIF('6月'!AR8:AS8,L$189)+COUNTIF('6月'!AW8:AX8,L$189)+COUNTIF('6月'!BB8:BC8,L$189)+COUNTIF('6月'!BG8:BH8,L$189)+COUNTIF('6月'!BL8:BM8,L$189)+COUNTIF('6月'!BQ8:BR8,L$189)+COUNTIF('6月'!BV8:BW8,L$189)+COUNTIF('6月'!CA8:CB8,L$189)+COUNTIF('6月'!CF8:CG8,L$189)+COUNTIF('6月'!CK8:CL8,L$189)+COUNTIF('6月'!CP8:CQ8,L$189)+COUNTIF('6月'!CU8:CV8,L$189)+COUNTIF('6月'!CZ8:DA8,L$189)+COUNTIF('6月'!DE8:DF8,L$189)+COUNTIF('6月'!DJ8:DK8,L$189)+COUNTIF('6月'!DO8:DP8,L$189)+COUNTIF('6月'!DT8:DU8,L$189)+COUNTIF('6月'!DY8:DZ8,L$189)+COUNTIF('6月'!ED8:EE8,L$189)+COUNTIF('6月'!EI8:EJ8,L$189)+COUNTIF('6月'!EN8:EO8,L$189)+COUNTIF('6月'!ES8:ET8,L$189)</f>
        <v>0</v>
      </c>
      <c r="M195" s="76">
        <f t="shared" si="65"/>
        <v>0</v>
      </c>
      <c r="N195" s="76">
        <f>COUNTIF('6月'!D8:E8,N$189)+COUNTIF('6月'!I8:J8,N$189)+COUNTIF('6月'!N8:O8,N$189)+COUNTIF('6月'!S8:T8,N$189)+COUNTIF('6月'!X8:Y8,N$189)+COUNTIF('6月'!AC8:AD8,N$189)+COUNTIF('6月'!AH8:AI8,N$189)+COUNTIF('6月'!AM8:AN8,N$189)+COUNTIF('6月'!AR8:AS8,N$189)+COUNTIF('6月'!AW8:AX8,N$189)+COUNTIF('6月'!BB8:BC8,N$189)+COUNTIF('6月'!BG8:BH8,N$189)+COUNTIF('6月'!BL8:BM8,N$189)+COUNTIF('6月'!BQ8:BR8,N$189)+COUNTIF('6月'!BV8:BW8,N$189)+COUNTIF('6月'!CA8:CB8,N$189)+COUNTIF('6月'!CF8:CG8,N$189)+COUNTIF('6月'!CK8:CL8,N$189)+COUNTIF('6月'!CP8:CQ8,N$189)+COUNTIF('6月'!CU8:CV8,N$189)+COUNTIF('6月'!CZ8:DA8,N$189)+COUNTIF('6月'!DE8:DF8,N$189)+COUNTIF('6月'!DJ8:DK8,N$189)+COUNTIF('6月'!DO8:DP8,N$189)+COUNTIF('6月'!DT8:DU8,N$189)+COUNTIF('6月'!DY8:DZ8,N$189)+COUNTIF('6月'!ED8:EE8,N$189)+COUNTIF('6月'!EI8:EJ8,N$189)+COUNTIF('6月'!EN8:EO8,N$189)+COUNTIF('6月'!ES8:ET8,N$189)+COUNTIF('6月'!D8:E8,"三軒茶屋－夜勤")+COUNTIF('6月'!I8:J8,"三軒茶屋－夜勤")+COUNTIF('6月'!N8:O8,"三軒茶屋－夜勤")+COUNTIF('6月'!S8:T8,"三軒茶屋－夜勤")+COUNTIF('6月'!X8:Y8,"三軒茶屋－夜勤")+COUNTIF('6月'!AC8:AD8,"三軒茶屋－夜勤")+COUNTIF('6月'!AH8:AI8,"三軒茶屋－夜勤")+COUNTIF('6月'!AM8:AN8,"三軒茶屋－夜勤")+COUNTIF('6月'!AR8:AS8,"三軒茶屋－夜勤")+COUNTIF('6月'!AW8:AX8,"三軒茶屋－夜勤")+COUNTIF('6月'!BB8:BC8,"三軒茶屋－夜勤")+COUNTIF('6月'!BG8:BH8,"三軒茶屋－夜勤")+COUNTIF('6月'!BL8:BM8,"三軒茶屋－夜勤")+COUNTIF('6月'!BQ8:BR8,"三軒茶屋－夜勤")+COUNTIF('6月'!BV8:BW8,"三軒茶屋－夜勤")+COUNTIF('6月'!CA8:CB8,"三軒茶屋－夜勤")+COUNTIF('6月'!CF8:CG8,"三軒茶屋－夜勤")+COUNTIF('6月'!CK8:CL8,"三軒茶屋－夜勤")+COUNTIF('6月'!CP8:CQ8,"三軒茶屋－夜勤")+COUNTIF('6月'!CU8:CV8,"三軒茶屋－夜勤")+COUNTIF('6月'!CZ8:DA8,"三軒茶屋－夜勤")+COUNTIF('6月'!DE8:DF8,"三軒茶屋－夜勤")+COUNTIF('6月'!DJ8:DK8,"三軒茶屋－夜勤")+COUNTIF('6月'!DO8:DP8,"三軒茶屋－夜勤")+COUNTIF('6月'!DT8:DU8,"三軒茶屋－夜勤")+COUNTIF('6月'!DY8:DZ8,"三軒茶屋－夜勤")+COUNTIF('6月'!ED8:EE8,"三軒茶屋－夜勤")+COUNTIF('6月'!EI8:EJ8,"三軒茶屋－夜勤")+COUNTIF('6月'!EN8:EO8,"三軒茶屋－夜勤")+COUNTIF('6月'!ES8:ET8,"三軒茶屋－夜勤")</f>
        <v>0</v>
      </c>
      <c r="O195" s="76">
        <f t="shared" si="66"/>
        <v>0</v>
      </c>
      <c r="P195" s="76">
        <f>COUNTIF('6月'!D8:E8,P$189)+COUNTIF('6月'!I8:J8,P$189)+COUNTIF('6月'!N8:O8,P$189)+COUNTIF('6月'!S8:T8,P$189)+COUNTIF('6月'!X8:Y8,P$189)+COUNTIF('6月'!AC8:AD8,P$189)+COUNTIF('6月'!AH8:AI8,P$189)+COUNTIF('6月'!AM8:AN8,P$189)+COUNTIF('6月'!AR8:AS8,P$189)+COUNTIF('6月'!AW8:AX8,P$189)+COUNTIF('6月'!BB8:BC8,P$189)+COUNTIF('6月'!BG8:BH8,P$189)+COUNTIF('6月'!BL8:BM8,P$189)+COUNTIF('6月'!BQ8:BR8,P$189)+COUNTIF('6月'!BV8:BW8,P$189)+COUNTIF('6月'!CA8:CB8,P$189)+COUNTIF('6月'!CF8:CG8,P$189)+COUNTIF('6月'!CK8:CL8,P$189)+COUNTIF('6月'!CP8:CQ8,P$189)+COUNTIF('6月'!CU8:CV8,P$189)+COUNTIF('6月'!CZ8:DA8,P$189)+COUNTIF('6月'!DE8:DF8,P$189)+COUNTIF('6月'!DJ8:DK8,P$189)+COUNTIF('6月'!DO8:DP8,P$189)+COUNTIF('6月'!DT8:DU8,P$189)+COUNTIF('6月'!DY8:DZ8,P$189)+COUNTIF('6月'!ED8:EE8,P$189)+COUNTIF('6月'!EI8:EJ8,P$189)+COUNTIF('6月'!EN8:EO8,P$189)+COUNTIF('6月'!ES8:ET8,P$189)+COUNTIF('6月'!D8:E8,"荻窪ー夜勤")+COUNTIF('6月'!I8:J8,"荻窪ー夜勤")+COUNTIF('6月'!N8:O8,"荻窪ー夜勤")+COUNTIF('6月'!S8:T8,"荻窪ー夜勤")+COUNTIF('6月'!X8:Y8,"荻窪ー夜勤")+COUNTIF('6月'!AC8:AD8,"荻窪ー夜勤")+COUNTIF('6月'!AH8:AI8,"荻窪ー夜勤")+COUNTIF('6月'!AM8:AN8,"荻窪ー夜勤")+COUNTIF('6月'!AR8:AS8,"荻窪ー夜勤")+COUNTIF('6月'!AW8:AX8,"荻窪ー夜勤")+COUNTIF('6月'!BB8:BC8,"荻窪ー夜勤")+COUNTIF('6月'!BG8:BH8,"荻窪ー夜勤")+COUNTIF('6月'!BL8:BM8,"荻窪ー夜勤")+COUNTIF('6月'!BQ8:BR8,"荻窪ー夜勤")+COUNTIF('6月'!BV8:BW8,"荻窪ー夜勤")+COUNTIF('6月'!CA8:CB8,"荻窪ー夜勤")+COUNTIF('6月'!CF8:CG8,"荻窪ー夜勤")+COUNTIF('6月'!CK8:CL8,"荻窪ー夜勤")+COUNTIF('6月'!CP8:CQ8,"荻窪ー夜勤")+COUNTIF('6月'!CU8:CV8,"荻窪ー夜勤")+COUNTIF('6月'!CZ8:DA8,"荻窪ー夜勤")+COUNTIF('6月'!DE8:DF8,"荻窪ー夜勤")+COUNTIF('6月'!DJ8:DK8,"荻窪ー夜勤")+COUNTIF('6月'!DO8:DP8,"荻窪ー夜勤")+COUNTIF('6月'!DT8:DU8,"荻窪ー夜勤")+COUNTIF('6月'!DY8:DZ8,"荻窪ー夜勤")+COUNTIF('6月'!ED8:EE8,"荻窪ー夜勤")+COUNTIF('6月'!EI8:EJ8,"荻窪ー夜勤")+COUNTIF('6月'!EN8:EO8,"荻窪ー夜勤")+COUNTIF('6月'!ES8:ET8,"荻窪ー夜勤")</f>
        <v>0</v>
      </c>
      <c r="Q195" s="76">
        <f t="shared" si="67"/>
        <v>0</v>
      </c>
      <c r="R195" s="76">
        <f>COUNTIF('6月'!D8:E8,R$189)+COUNTIF('6月'!I8:J8,R$189)+COUNTIF('6月'!N8:O8,R$189)+COUNTIF('6月'!S8:T8,R$189)+COUNTIF('6月'!X8:Y8,R$189)+COUNTIF('6月'!AC8:AD8,R$189)+COUNTIF('6月'!AH8:AI8,R$189)+COUNTIF('6月'!AM8:AN8,R$189)+COUNTIF('6月'!AR8:AS8,R$189)+COUNTIF('6月'!AW8:AX8,R$189)+COUNTIF('6月'!BB8:BC8,R$189)+COUNTIF('6月'!BG8:BH8,R$189)+COUNTIF('6月'!BL8:BM8,R$189)+COUNTIF('6月'!BQ8:BR8,R$189)+COUNTIF('6月'!BV8:BW8,R$189)+COUNTIF('6月'!CA8:CB8,R$189)+COUNTIF('6月'!CF8:CG8,R$189)+COUNTIF('6月'!CK8:CL8,R$189)+COUNTIF('6月'!CP8:CQ8,R$189)+COUNTIF('6月'!CU8:CV8,R$189)+COUNTIF('6月'!CZ8:DA8,R$189)+COUNTIF('6月'!DE8:DF8,R$189)+COUNTIF('6月'!DJ8:DK8,R$189)+COUNTIF('6月'!DO8:DP8,R$189)+COUNTIF('6月'!DT8:DU8,R$189)+COUNTIF('6月'!DY8:DZ8,R$189)+COUNTIF('6月'!ED8:EE8,R$189)+COUNTIF('6月'!EI8:EJ8,R$189)+COUNTIF('6月'!EN8:EO8,R$189)+COUNTIF('6月'!ES8:ET8,R$189)</f>
        <v>0</v>
      </c>
      <c r="S195" s="76">
        <f t="shared" si="68"/>
        <v>0</v>
      </c>
      <c r="T195" s="76">
        <f>COUNTIF('6月'!D8:E8,T$189)+COUNTIF('6月'!I8:J8,T$189)+COUNTIF('6月'!N8:O8,T$189)+COUNTIF('6月'!S8:T8,T$189)+COUNTIF('6月'!X8:Y8,T$189)+COUNTIF('6月'!AC8:AD8,T$189)+COUNTIF('6月'!AH8:AI8,T$189)+COUNTIF('6月'!AM8:AN8,T$189)+COUNTIF('6月'!AR8:AS8,T$189)+COUNTIF('6月'!AW8:AX8,T$189)+COUNTIF('6月'!BB8:BC8,T$189)+COUNTIF('6月'!BG8:BH8,T$189)+COUNTIF('6月'!BL8:BM8,T$189)+COUNTIF('6月'!BQ8:BR8,T$189)+COUNTIF('6月'!BV8:BW8,T$189)+COUNTIF('6月'!CA8:CB8,T$189)+COUNTIF('6月'!CF8:CG8,T$189)+COUNTIF('6月'!CK8:CL8,T$189)+COUNTIF('6月'!CP8:CQ8,T$189)+COUNTIF('6月'!CU8:CV8,T$189)+COUNTIF('6月'!CZ8:DA8,T$189)+COUNTIF('6月'!DE8:DF8,T$189)+COUNTIF('6月'!DJ8:DK8,T$189)+COUNTIF('6月'!DO8:DP8,T$189)+COUNTIF('6月'!DT8:DU8,T$189)+COUNTIF('6月'!DY8:DZ8,T$189)+COUNTIF('6月'!ED8:EE8,T$189)+COUNTIF('6月'!EI8:EJ8,T$189)+COUNTIF('6月'!EN8:EO8,T$189)+COUNTIF('6月'!ES8:ET8,T$189)</f>
        <v>0</v>
      </c>
      <c r="U195" s="76">
        <f t="shared" si="69"/>
        <v>0</v>
      </c>
      <c r="V195" s="76">
        <f>COUNTIF('6月'!D8:E8,V$189)+COUNTIF('6月'!I8:J8,V$189)+COUNTIF('6月'!N8:O8,V$189)+COUNTIF('6月'!S8:T8,V$189)+COUNTIF('6月'!X8:Y8,V$189)+COUNTIF('6月'!AC8:AD8,V$189)+COUNTIF('6月'!AH8:AI8,V$189)+COUNTIF('6月'!AM8:AN8,V$189)+COUNTIF('6月'!AR8:AS8,V$189)+COUNTIF('6月'!AW8:AX8,V$189)+COUNTIF('6月'!BB8:BC8,V$189)+COUNTIF('6月'!BG8:BH8,V$189)+COUNTIF('6月'!BL8:BM8,V$189)+COUNTIF('6月'!BQ8:BR8,V$189)+COUNTIF('6月'!BV8:BW8,V$189)+COUNTIF('6月'!CA8:CB8,V$189)+COUNTIF('6月'!CF8:CG8,V$189)+COUNTIF('6月'!CK8:CL8,V$189)+COUNTIF('6月'!CP8:CQ8,V$189)+COUNTIF('6月'!CU8:CV8,V$189)+COUNTIF('6月'!CZ8:DA8,V$189)+COUNTIF('6月'!DE8:DF8,V$189)+COUNTIF('6月'!DJ8:DK8,V$189)+COUNTIF('6月'!DO8:DP8,V$189)+COUNTIF('6月'!DT8:DU8,V$189)+COUNTIF('6月'!DY8:DZ8,V$189)+COUNTIF('6月'!ED8:EE8,V$189)+COUNTIF('6月'!EI8:EJ8,V$189)+COUNTIF('6月'!EN8:EO8,V$189)+COUNTIF('6月'!ES8:ET8,V$189)</f>
        <v>0</v>
      </c>
      <c r="W195" s="76">
        <f t="shared" si="70"/>
        <v>0</v>
      </c>
      <c r="X195" s="76">
        <f>COUNTIF('6月'!D8:E8,X$189)+COUNTIF('6月'!I8:J8,X$189)+COUNTIF('6月'!N8:O8,X$189)+COUNTIF('6月'!S8:T8,X$189)+COUNTIF('6月'!X8:Y8,X$189)+COUNTIF('6月'!AC8:AD8,X$189)+COUNTIF('6月'!AH8:AI8,X$189)+COUNTIF('6月'!AM8:AN8,X$189)+COUNTIF('6月'!AR8:AS8,X$189)+COUNTIF('6月'!AW8:AX8,X$189)+COUNTIF('6月'!BB8:BC8,X$189)+COUNTIF('6月'!BG8:BH8,X$189)+COUNTIF('6月'!BL8:BM8,X$189)+COUNTIF('6月'!BQ8:BR8,X$189)+COUNTIF('6月'!BV8:BW8,X$189)+COUNTIF('6月'!CA8:CB8,X$189)+COUNTIF('6月'!CF8:CG8,X$189)+COUNTIF('6月'!CK8:CL8,X$189)+COUNTIF('6月'!CP8:CQ8,X$189)+COUNTIF('6月'!CU8:CV8,X$189)+COUNTIF('6月'!CZ8:DA8,X$189)+COUNTIF('6月'!DE8:DF8,X$189)+COUNTIF('6月'!DJ8:DK8,X$189)+COUNTIF('6月'!DO8:DP8,X$189)+COUNTIF('6月'!DT8:DU8,X$189)+COUNTIF('6月'!DY8:DZ8,X$189)+COUNTIF('6月'!ED8:EE8,X$189)+COUNTIF('6月'!EI8:EJ8,X$189)+COUNTIF('6月'!EN8:EO8,X$189)+COUNTIF('6月'!ES8:ET8,X$189)</f>
        <v>0</v>
      </c>
      <c r="Y195" s="76">
        <f t="shared" si="71"/>
        <v>0</v>
      </c>
    </row>
    <row r="196" spans="1:25" ht="18" customHeight="1">
      <c r="A196" s="76">
        <v>6</v>
      </c>
      <c r="B196" s="76">
        <f>COUNTIF('6月'!D9:E9,B$189)+COUNTIF('6月'!I9:J9,B$189)+COUNTIF('6月'!N9:O9,B$189)+COUNTIF('6月'!S9:T9,B$189)+COUNTIF('6月'!X9:Y9,B$189)+COUNTIF('6月'!AC9:AD9,B$189)+COUNTIF('6月'!AH9:AI9,B$189)+COUNTIF('6月'!AM9:AN9,B$189)+COUNTIF('6月'!AR9:AS9,B$189)+COUNTIF('6月'!AW9:AX9,B$189)+COUNTIF('6月'!BB9:BC9,B$189)+COUNTIF('6月'!BG9:BH9,B$189)+COUNTIF('6月'!BL9:BM9,B$189)+COUNTIF('6月'!BQ9:BR9,B$189)+COUNTIF('6月'!BV9:BW9,B$189)+COUNTIF('6月'!CA9:CB9,B$189)+COUNTIF('6月'!CF9:CG9,B$189)+COUNTIF('6月'!CK9:CL9,B$189)+COUNTIF('6月'!CP9:CQ9,B$189)+COUNTIF('6月'!CU9:CV9,B$189)+COUNTIF('6月'!CZ9:DA9,B$189)+COUNTIF('6月'!DE9:DF9,B$189)+COUNTIF('6月'!DJ9:DK9,B$189)+COUNTIF('6月'!DO9:DP9,B$189)+COUNTIF('6月'!DT9:DU9,B$189)+COUNTIF('6月'!DY9:DZ9,B$189)+COUNTIF('6月'!ED9:EE9,B$189)+COUNTIF('6月'!EI9:EJ9,B$189)+COUNTIF('6月'!EN9:EO9,B$189)+COUNTIF('6月'!ES9:ET9,B$189)</f>
        <v>0</v>
      </c>
      <c r="C196" s="76">
        <f t="shared" si="60"/>
        <v>0</v>
      </c>
      <c r="D196" s="76">
        <f>COUNTIF('6月'!D9:E9,D$189)+COUNTIF('6月'!I9:J9,D$189)+COUNTIF('6月'!N9:O9,D$189)+COUNTIF('6月'!S9:T9,D$189)+COUNTIF('6月'!X9:Y9,D$189)+COUNTIF('6月'!AC9:AD9,D$189)+COUNTIF('6月'!AH9:AI9,D$189)+COUNTIF('6月'!AM9:AN9,D$189)+COUNTIF('6月'!AR9:AS9,D$189)+COUNTIF('6月'!AW9:AX9,D$189)+COUNTIF('6月'!BB9:BC9,D$189)+COUNTIF('6月'!BG9:BH9,D$189)+COUNTIF('6月'!BL9:BM9,D$189)+COUNTIF('6月'!BQ9:BR9,D$189)+COUNTIF('6月'!BV9:BW9,D$189)+COUNTIF('6月'!CA9:CB9,D$189)+COUNTIF('6月'!CF9:CG9,D$189)+COUNTIF('6月'!CK9:CL9,D$189)+COUNTIF('6月'!CP9:CQ9,D$189)+COUNTIF('6月'!CU9:CV9,D$189)+COUNTIF('6月'!CZ9:DA9,D$189)+COUNTIF('6月'!DE9:DF9,D$189)+COUNTIF('6月'!DJ9:DK9,D$189)+COUNTIF('6月'!DO9:DP9,D$189)+COUNTIF('6月'!DT9:DU9,D$189)+COUNTIF('6月'!DY9:DZ9,D$189)+COUNTIF('6月'!ED9:EE9,D$189)+COUNTIF('6月'!EI9:EJ9,D$189)+COUNTIF('6月'!EN9:EO9,D$189)+COUNTIF('6月'!ES9:ET9,D$189)</f>
        <v>0</v>
      </c>
      <c r="E196" s="76">
        <f t="shared" si="61"/>
        <v>0</v>
      </c>
      <c r="F196" s="76">
        <f>COUNTIF('6月'!D9:E9,F$189)+COUNTIF('6月'!I9:J9,F$189)+COUNTIF('6月'!N9:O9,F$189)+COUNTIF('6月'!S9:T9,F$189)+COUNTIF('6月'!X9:Y9,F$189)+COUNTIF('6月'!AC9:AD9,F$189)+COUNTIF('6月'!AH9:AI9,F$189)+COUNTIF('6月'!AM9:AN9,F$189)+COUNTIF('6月'!AR9:AS9,F$189)+COUNTIF('6月'!AW9:AX9,F$189)+COUNTIF('6月'!BB9:BC9,F$189)+COUNTIF('6月'!BG9:BH9,F$189)+COUNTIF('6月'!BL9:BM9,F$189)+COUNTIF('6月'!BQ9:BR9,F$189)+COUNTIF('6月'!BV9:BW9,F$189)+COUNTIF('6月'!CA9:CB9,F$189)+COUNTIF('6月'!CF9:CG9,F$189)+COUNTIF('6月'!CK9:CL9,F$189)+COUNTIF('6月'!CP9:CQ9,F$189)+COUNTIF('6月'!CU9:CV9,F$189)+COUNTIF('6月'!CZ9:DA9,F$189)+COUNTIF('6月'!DE9:DF9,F$189)+COUNTIF('6月'!DJ9:DK9,F$189)+COUNTIF('6月'!DO9:DP9,F$189)+COUNTIF('6月'!DT9:DU9,F$189)+COUNTIF('6月'!DY9:DZ9,F$189)+COUNTIF('6月'!ED9:EE9,F$189)+COUNTIF('6月'!EI9:EJ9,F$189)+COUNTIF('6月'!EN9:EO9,F$189)+COUNTIF('6月'!ES9:ET9,F$189)</f>
        <v>0</v>
      </c>
      <c r="G196" s="76">
        <f t="shared" si="62"/>
        <v>0</v>
      </c>
      <c r="H196" s="76">
        <f>COUNTIF('6月'!D9:E9,H$189)+COUNTIF('6月'!I9:J9,H$189)+COUNTIF('6月'!N9:O9,H$189)+COUNTIF('6月'!S9:T9,H$189)+COUNTIF('6月'!X9:Y9,H$189)+COUNTIF('6月'!AC9:AD9,H$189)+COUNTIF('6月'!AH9:AI9,H$189)+COUNTIF('6月'!AM9:AN9,H$189)+COUNTIF('6月'!AR9:AS9,H$189)+COUNTIF('6月'!AW9:AX9,H$189)+COUNTIF('6月'!BB9:BC9,H$189)+COUNTIF('6月'!BG9:BH9,H$189)+COUNTIF('6月'!BL9:BM9,H$189)+COUNTIF('6月'!BQ9:BR9,H$189)+COUNTIF('6月'!BV9:BW9,H$189)+COUNTIF('6月'!CA9:CB9,H$189)+COUNTIF('6月'!CF9:CG9,H$189)+COUNTIF('6月'!CK9:CL9,H$189)+COUNTIF('6月'!CP9:CQ9,H$189)+COUNTIF('6月'!CU9:CV9,H$189)+COUNTIF('6月'!CZ9:DA9,H$189)+COUNTIF('6月'!DE9:DF9,H$189)+COUNTIF('6月'!DJ9:DK9,H$189)+COUNTIF('6月'!DO9:DP9,H$189)+COUNTIF('6月'!DT9:DU9,H$189)+COUNTIF('6月'!DY9:DZ9,H$189)+COUNTIF('6月'!ED9:EE9,H$189)+COUNTIF('6月'!EI9:EJ9,H$189)+COUNTIF('6月'!EN9:EO9,H$189)+COUNTIF('6月'!ES9:ET9,H$189)+COUNTIF('6月'!D9:E9,"渋谷-夜勤")+COUNTIF('6月'!I9:J9,"渋谷-夜勤")+COUNTIF('6月'!N9:O9,"渋谷-夜勤")+COUNTIF('6月'!S9:T9,"渋谷-夜勤")+COUNTIF('6月'!X9:Y9,"渋谷-夜勤")+COUNTIF('6月'!AC9:AD9,"渋谷-夜勤")+COUNTIF('6月'!AH9:AI9,"渋谷-夜勤")+COUNTIF('6月'!AM9:AN9,"渋谷-夜勤")+COUNTIF('6月'!AR9:AS9,"渋谷-夜勤")+COUNTIF('6月'!AW9:AX9,"渋谷-夜勤")+COUNTIF('6月'!BB9:BC9,"渋谷-夜勤")+COUNTIF('6月'!BG9:BH9,"渋谷-夜勤")+COUNTIF('6月'!BL9:BM9,"渋谷-夜勤")+COUNTIF('6月'!BQ9:BR9,"渋谷-夜勤")+COUNTIF('6月'!BV9:BW9,"渋谷-夜勤")+COUNTIF('6月'!CA9:CB9,"渋谷-夜勤")+COUNTIF('6月'!CF9:CG9,"渋谷-夜勤")+COUNTIF('6月'!CK9:CL9,"渋谷-夜勤")+COUNTIF('6月'!CP9:CQ9,"渋谷-夜勤")+COUNTIF('6月'!CU9:CV9,"渋谷-夜勤")+COUNTIF('6月'!CZ9:DA9,"渋谷-夜勤")+COUNTIF('6月'!DE9:DF9,"渋谷-夜勤")+COUNTIF('6月'!DJ9:DK9,"渋谷-夜勤")+COUNTIF('6月'!DO9:DP9,"渋谷-夜勤")+COUNTIF('6月'!DT9:DU9,"渋谷-夜勤")+COUNTIF('6月'!DY9:DZ9,"渋谷-夜勤")+COUNTIF('6月'!ED9:EE9,"渋谷-夜勤")+COUNTIF('6月'!EI9:EJ9,"渋谷-夜勤")+COUNTIF('6月'!EN9:EO9,"渋谷-夜勤")+COUNTIF('6月'!ES9:ET9,"渋谷-夜勤")</f>
        <v>0</v>
      </c>
      <c r="I196" s="76">
        <f t="shared" si="63"/>
        <v>0</v>
      </c>
      <c r="J196" s="76">
        <f>COUNTIF('6月'!D9:E9,J$189)+COUNTIF('6月'!I9:J9,J$189)+COUNTIF('6月'!N9:O9,J$189)+COUNTIF('6月'!S9:T9,J$189)+COUNTIF('6月'!X9:Y9,J$189)+COUNTIF('6月'!AC9:AD9,J$189)+COUNTIF('6月'!AH9:AI9,J$189)+COUNTIF('6月'!AM9:AN9,J$189)+COUNTIF('6月'!AR9:AS9,J$189)+COUNTIF('6月'!AW9:AX9,J$189)+COUNTIF('6月'!BB9:BC9,J$189)+COUNTIF('6月'!BG9:BH9,J$189)+COUNTIF('6月'!BL9:BM9,J$189)+COUNTIF('6月'!BQ9:BR9,J$189)+COUNTIF('6月'!BV9:BW9,J$189)+COUNTIF('6月'!CA9:CB9,J$189)+COUNTIF('6月'!CF9:CG9,J$189)+COUNTIF('6月'!CK9:CL9,J$189)+COUNTIF('6月'!CP9:CQ9,J$189)+COUNTIF('6月'!CU9:CV9,J$189)+COUNTIF('6月'!CZ9:DA9,J$189)+COUNTIF('6月'!DE9:DF9,J$189)+COUNTIF('6月'!DJ9:DK9,J$189)+COUNTIF('6月'!DO9:DP9,J$189)+COUNTIF('6月'!DT9:DU9,J$189)+COUNTIF('6月'!DY9:DZ9,J$189)+COUNTIF('6月'!ED9:EE9,J$189)+COUNTIF('6月'!EI9:EJ9,J$189)+COUNTIF('6月'!EN9:EO9,J$189)+COUNTIF('6月'!ES9:ET9,J$189)+COUNTIF('6月'!D9:E9,"六本木-夜勤")+COUNTIF('6月'!I9:J9,"六本木-夜勤")+COUNTIF('6月'!N9:O9,"六本木-夜勤")+COUNTIF('6月'!S9:T9,"六本木-夜勤")+COUNTIF('6月'!X9:Y9,"六本木-夜勤")+COUNTIF('6月'!AC9:AD9,"六本木-夜勤")+COUNTIF('6月'!AH9:AI9,"六本木-夜勤")+COUNTIF('6月'!AM9:AN9,"六本木-夜勤")+COUNTIF('6月'!AR9:AS9,"六本木-夜勤")+COUNTIF('6月'!AW9:AX9,"六本木-夜勤")+COUNTIF('6月'!BB9:BC9,"六本木-夜勤")+COUNTIF('6月'!BG9:BH9,"六本木-夜勤")+COUNTIF('6月'!BL9:BM9,"六本木-夜勤")+COUNTIF('6月'!BQ9:BR9,"六本木-夜勤")+COUNTIF('6月'!BV9:BW9,"六本木-夜勤")+COUNTIF('6月'!CA9:CB9,"六本木-夜勤")+COUNTIF('6月'!CF9:CG9,"六本木-夜勤")+COUNTIF('6月'!CK9:CL9,"六本木-夜勤")+COUNTIF('6月'!CP9:CQ9,"六本木-夜勤")+COUNTIF('6月'!CU9:CV9,"六本木-夜勤")+COUNTIF('6月'!CZ9:DA9,"六本木-夜勤")+COUNTIF('6月'!DE9:DF9,"六本木-夜勤")+COUNTIF('6月'!DJ9:DK9,"六本木-夜勤")+COUNTIF('6月'!DO9:DP9,"六本木-夜勤")+COUNTIF('6月'!DT9:DU9,"六本木-夜勤")+COUNTIF('6月'!DY9:DZ9,"六本木-夜勤")+COUNTIF('6月'!ED9:EE9,"六本木-夜勤")+COUNTIF('6月'!EI9:EJ9,"六本木-夜勤")+COUNTIF('6月'!EN9:EO9,"六本木-夜勤")+COUNTIF('6月'!ES9:ET9,"六本木-夜勤")+COUNTIF('6月'!D9:E9,"六本木ー夜勤")+COUNTIF('6月'!I9:J9,"六本木ー夜勤")+COUNTIF('6月'!N9:O9,"六本木ー夜勤")+COUNTIF('6月'!S9:T9,"六本木ー夜勤")+COUNTIF('6月'!X9:Y9,"六本木ー夜勤")+COUNTIF('6月'!AC9:AD9,"六本木ー夜勤")+COUNTIF('6月'!AH9:AI9,"六本木ー夜勤")+COUNTIF('6月'!AM9:AN9,"六本木ー夜勤")+COUNTIF('6月'!AR9:AS9,"六本木ー夜勤")+COUNTIF('6月'!AW9:AX9,"六本木ー夜勤")+COUNTIF('6月'!BB9:BC9,"六本木ー夜勤")+COUNTIF('6月'!BG9:BH9,"六本木ー夜勤")+COUNTIF('6月'!BL9:BM9,"六本木ー夜勤")+COUNTIF('6月'!BQ9:BR9,"六本木ー夜勤")+COUNTIF('6月'!BV9:BW9,"六本木ー夜勤")+COUNTIF('6月'!CA9:CB9,"六本木ー夜勤")+COUNTIF('6月'!CF9:CG9,"六本木ー夜勤")+COUNTIF('6月'!CK9:CL9,"六本木ー夜勤")+COUNTIF('6月'!CP9:CQ9,"六本木ー夜勤")+COUNTIF('6月'!CU9:CV9,"六本木ー夜勤")+COUNTIF('6月'!CZ9:DA9,"六本木ー夜勤")+COUNTIF('6月'!DE9:DF9,"六本木ー夜勤")+COUNTIF('6月'!DJ9:DK9,"六本木ー夜勤")+COUNTIF('6月'!DO9:DP9,"六本木ー夜勤")+COUNTIF('6月'!DT9:DU9,"六本木ー夜勤")+COUNTIF('6月'!DY9:DZ9,"六本木ー夜勤")+COUNTIF('6月'!ED9:EE9,"六本木ー夜勤")+COUNTIF('6月'!EI9:EJ9,"六本木ー夜勤")+COUNTIF('6月'!EN9:EO9,"六本木ー夜勤")+COUNTIF('6月'!ES9:ET9,"六本木ー夜勤")</f>
        <v>0</v>
      </c>
      <c r="K196" s="76">
        <f t="shared" si="64"/>
        <v>0</v>
      </c>
      <c r="L196" s="76">
        <f>COUNTIF('6月'!D9:E9,L$189)+COUNTIF('6月'!I9:J9,L$189)+COUNTIF('6月'!N9:O9,L$189)+COUNTIF('6月'!S9:T9,L$189)+COUNTIF('6月'!X9:Y9,L$189)+COUNTIF('6月'!AC9:AD9,L$189)+COUNTIF('6月'!AH9:AI9,L$189)+COUNTIF('6月'!AM9:AN9,L$189)+COUNTIF('6月'!AR9:AS9,L$189)+COUNTIF('6月'!AW9:AX9,L$189)+COUNTIF('6月'!BB9:BC9,L$189)+COUNTIF('6月'!BG9:BH9,L$189)+COUNTIF('6月'!BL9:BM9,L$189)+COUNTIF('6月'!BQ9:BR9,L$189)+COUNTIF('6月'!BV9:BW9,L$189)+COUNTIF('6月'!CA9:CB9,L$189)+COUNTIF('6月'!CF9:CG9,L$189)+COUNTIF('6月'!CK9:CL9,L$189)+COUNTIF('6月'!CP9:CQ9,L$189)+COUNTIF('6月'!CU9:CV9,L$189)+COUNTIF('6月'!CZ9:DA9,L$189)+COUNTIF('6月'!DE9:DF9,L$189)+COUNTIF('6月'!DJ9:DK9,L$189)+COUNTIF('6月'!DO9:DP9,L$189)+COUNTIF('6月'!DT9:DU9,L$189)+COUNTIF('6月'!DY9:DZ9,L$189)+COUNTIF('6月'!ED9:EE9,L$189)+COUNTIF('6月'!EI9:EJ9,L$189)+COUNTIF('6月'!EN9:EO9,L$189)+COUNTIF('6月'!ES9:ET9,L$189)</f>
        <v>0</v>
      </c>
      <c r="M196" s="76">
        <f t="shared" si="65"/>
        <v>0</v>
      </c>
      <c r="N196" s="76">
        <f>COUNTIF('6月'!D9:E9,N$189)+COUNTIF('6月'!I9:J9,N$189)+COUNTIF('6月'!N9:O9,N$189)+COUNTIF('6月'!S9:T9,N$189)+COUNTIF('6月'!X9:Y9,N$189)+COUNTIF('6月'!AC9:AD9,N$189)+COUNTIF('6月'!AH9:AI9,N$189)+COUNTIF('6月'!AM9:AN9,N$189)+COUNTIF('6月'!AR9:AS9,N$189)+COUNTIF('6月'!AW9:AX9,N$189)+COUNTIF('6月'!BB9:BC9,N$189)+COUNTIF('6月'!BG9:BH9,N$189)+COUNTIF('6月'!BL9:BM9,N$189)+COUNTIF('6月'!BQ9:BR9,N$189)+COUNTIF('6月'!BV9:BW9,N$189)+COUNTIF('6月'!CA9:CB9,N$189)+COUNTIF('6月'!CF9:CG9,N$189)+COUNTIF('6月'!CK9:CL9,N$189)+COUNTIF('6月'!CP9:CQ9,N$189)+COUNTIF('6月'!CU9:CV9,N$189)+COUNTIF('6月'!CZ9:DA9,N$189)+COUNTIF('6月'!DE9:DF9,N$189)+COUNTIF('6月'!DJ9:DK9,N$189)+COUNTIF('6月'!DO9:DP9,N$189)+COUNTIF('6月'!DT9:DU9,N$189)+COUNTIF('6月'!DY9:DZ9,N$189)+COUNTIF('6月'!ED9:EE9,N$189)+COUNTIF('6月'!EI9:EJ9,N$189)+COUNTIF('6月'!EN9:EO9,N$189)+COUNTIF('6月'!ES9:ET9,N$189)+COUNTIF('6月'!D9:E9,"三軒茶屋－夜勤")+COUNTIF('6月'!I9:J9,"三軒茶屋－夜勤")+COUNTIF('6月'!N9:O9,"三軒茶屋－夜勤")+COUNTIF('6月'!S9:T9,"三軒茶屋－夜勤")+COUNTIF('6月'!X9:Y9,"三軒茶屋－夜勤")+COUNTIF('6月'!AC9:AD9,"三軒茶屋－夜勤")+COUNTIF('6月'!AH9:AI9,"三軒茶屋－夜勤")+COUNTIF('6月'!AM9:AN9,"三軒茶屋－夜勤")+COUNTIF('6月'!AR9:AS9,"三軒茶屋－夜勤")+COUNTIF('6月'!AW9:AX9,"三軒茶屋－夜勤")+COUNTIF('6月'!BB9:BC9,"三軒茶屋－夜勤")+COUNTIF('6月'!BG9:BH9,"三軒茶屋－夜勤")+COUNTIF('6月'!BL9:BM9,"三軒茶屋－夜勤")+COUNTIF('6月'!BQ9:BR9,"三軒茶屋－夜勤")+COUNTIF('6月'!BV9:BW9,"三軒茶屋－夜勤")+COUNTIF('6月'!CA9:CB9,"三軒茶屋－夜勤")+COUNTIF('6月'!CF9:CG9,"三軒茶屋－夜勤")+COUNTIF('6月'!CK9:CL9,"三軒茶屋－夜勤")+COUNTIF('6月'!CP9:CQ9,"三軒茶屋－夜勤")+COUNTIF('6月'!CU9:CV9,"三軒茶屋－夜勤")+COUNTIF('6月'!CZ9:DA9,"三軒茶屋－夜勤")+COUNTIF('6月'!DE9:DF9,"三軒茶屋－夜勤")+COUNTIF('6月'!DJ9:DK9,"三軒茶屋－夜勤")+COUNTIF('6月'!DO9:DP9,"三軒茶屋－夜勤")+COUNTIF('6月'!DT9:DU9,"三軒茶屋－夜勤")+COUNTIF('6月'!DY9:DZ9,"三軒茶屋－夜勤")+COUNTIF('6月'!ED9:EE9,"三軒茶屋－夜勤")+COUNTIF('6月'!EI9:EJ9,"三軒茶屋－夜勤")+COUNTIF('6月'!EN9:EO9,"三軒茶屋－夜勤")+COUNTIF('6月'!ES9:ET9,"三軒茶屋－夜勤")</f>
        <v>0</v>
      </c>
      <c r="O196" s="76">
        <f t="shared" si="66"/>
        <v>0</v>
      </c>
      <c r="P196" s="76">
        <f>COUNTIF('6月'!D9:E9,P$189)+COUNTIF('6月'!I9:J9,P$189)+COUNTIF('6月'!N9:O9,P$189)+COUNTIF('6月'!S9:T9,P$189)+COUNTIF('6月'!X9:Y9,P$189)+COUNTIF('6月'!AC9:AD9,P$189)+COUNTIF('6月'!AH9:AI9,P$189)+COUNTIF('6月'!AM9:AN9,P$189)+COUNTIF('6月'!AR9:AS9,P$189)+COUNTIF('6月'!AW9:AX9,P$189)+COUNTIF('6月'!BB9:BC9,P$189)+COUNTIF('6月'!BG9:BH9,P$189)+COUNTIF('6月'!BL9:BM9,P$189)+COUNTIF('6月'!BQ9:BR9,P$189)+COUNTIF('6月'!BV9:BW9,P$189)+COUNTIF('6月'!CA9:CB9,P$189)+COUNTIF('6月'!CF9:CG9,P$189)+COUNTIF('6月'!CK9:CL9,P$189)+COUNTIF('6月'!CP9:CQ9,P$189)+COUNTIF('6月'!CU9:CV9,P$189)+COUNTIF('6月'!CZ9:DA9,P$189)+COUNTIF('6月'!DE9:DF9,P$189)+COUNTIF('6月'!DJ9:DK9,P$189)+COUNTIF('6月'!DO9:DP9,P$189)+COUNTIF('6月'!DT9:DU9,P$189)+COUNTIF('6月'!DY9:DZ9,P$189)+COUNTIF('6月'!ED9:EE9,P$189)+COUNTIF('6月'!EI9:EJ9,P$189)+COUNTIF('6月'!EN9:EO9,P$189)+COUNTIF('6月'!ES9:ET9,P$189)+COUNTIF('6月'!D9:E9,"荻窪ー夜勤")+COUNTIF('6月'!I9:J9,"荻窪ー夜勤")+COUNTIF('6月'!N9:O9,"荻窪ー夜勤")+COUNTIF('6月'!S9:T9,"荻窪ー夜勤")+COUNTIF('6月'!X9:Y9,"荻窪ー夜勤")+COUNTIF('6月'!AC9:AD9,"荻窪ー夜勤")+COUNTIF('6月'!AH9:AI9,"荻窪ー夜勤")+COUNTIF('6月'!AM9:AN9,"荻窪ー夜勤")+COUNTIF('6月'!AR9:AS9,"荻窪ー夜勤")+COUNTIF('6月'!AW9:AX9,"荻窪ー夜勤")+COUNTIF('6月'!BB9:BC9,"荻窪ー夜勤")+COUNTIF('6月'!BG9:BH9,"荻窪ー夜勤")+COUNTIF('6月'!BL9:BM9,"荻窪ー夜勤")+COUNTIF('6月'!BQ9:BR9,"荻窪ー夜勤")+COUNTIF('6月'!BV9:BW9,"荻窪ー夜勤")+COUNTIF('6月'!CA9:CB9,"荻窪ー夜勤")+COUNTIF('6月'!CF9:CG9,"荻窪ー夜勤")+COUNTIF('6月'!CK9:CL9,"荻窪ー夜勤")+COUNTIF('6月'!CP9:CQ9,"荻窪ー夜勤")+COUNTIF('6月'!CU9:CV9,"荻窪ー夜勤")+COUNTIF('6月'!CZ9:DA9,"荻窪ー夜勤")+COUNTIF('6月'!DE9:DF9,"荻窪ー夜勤")+COUNTIF('6月'!DJ9:DK9,"荻窪ー夜勤")+COUNTIF('6月'!DO9:DP9,"荻窪ー夜勤")+COUNTIF('6月'!DT9:DU9,"荻窪ー夜勤")+COUNTIF('6月'!DY9:DZ9,"荻窪ー夜勤")+COUNTIF('6月'!ED9:EE9,"荻窪ー夜勤")+COUNTIF('6月'!EI9:EJ9,"荻窪ー夜勤")+COUNTIF('6月'!EN9:EO9,"荻窪ー夜勤")+COUNTIF('6月'!ES9:ET9,"荻窪ー夜勤")</f>
        <v>0</v>
      </c>
      <c r="Q196" s="76">
        <f t="shared" si="67"/>
        <v>0</v>
      </c>
      <c r="R196" s="76">
        <f>COUNTIF('6月'!D9:E9,R$189)+COUNTIF('6月'!I9:J9,R$189)+COUNTIF('6月'!N9:O9,R$189)+COUNTIF('6月'!S9:T9,R$189)+COUNTIF('6月'!X9:Y9,R$189)+COUNTIF('6月'!AC9:AD9,R$189)+COUNTIF('6月'!AH9:AI9,R$189)+COUNTIF('6月'!AM9:AN9,R$189)+COUNTIF('6月'!AR9:AS9,R$189)+COUNTIF('6月'!AW9:AX9,R$189)+COUNTIF('6月'!BB9:BC9,R$189)+COUNTIF('6月'!BG9:BH9,R$189)+COUNTIF('6月'!BL9:BM9,R$189)+COUNTIF('6月'!BQ9:BR9,R$189)+COUNTIF('6月'!BV9:BW9,R$189)+COUNTIF('6月'!CA9:CB9,R$189)+COUNTIF('6月'!CF9:CG9,R$189)+COUNTIF('6月'!CK9:CL9,R$189)+COUNTIF('6月'!CP9:CQ9,R$189)+COUNTIF('6月'!CU9:CV9,R$189)+COUNTIF('6月'!CZ9:DA9,R$189)+COUNTIF('6月'!DE9:DF9,R$189)+COUNTIF('6月'!DJ9:DK9,R$189)+COUNTIF('6月'!DO9:DP9,R$189)+COUNTIF('6月'!DT9:DU9,R$189)+COUNTIF('6月'!DY9:DZ9,R$189)+COUNTIF('6月'!ED9:EE9,R$189)+COUNTIF('6月'!EI9:EJ9,R$189)+COUNTIF('6月'!EN9:EO9,R$189)+COUNTIF('6月'!ES9:ET9,R$189)</f>
        <v>0</v>
      </c>
      <c r="S196" s="76">
        <f t="shared" si="68"/>
        <v>0</v>
      </c>
      <c r="T196" s="76">
        <f>COUNTIF('6月'!D9:E9,T$189)+COUNTIF('6月'!I9:J9,T$189)+COUNTIF('6月'!N9:O9,T$189)+COUNTIF('6月'!S9:T9,T$189)+COUNTIF('6月'!X9:Y9,T$189)+COUNTIF('6月'!AC9:AD9,T$189)+COUNTIF('6月'!AH9:AI9,T$189)+COUNTIF('6月'!AM9:AN9,T$189)+COUNTIF('6月'!AR9:AS9,T$189)+COUNTIF('6月'!AW9:AX9,T$189)+COUNTIF('6月'!BB9:BC9,T$189)+COUNTIF('6月'!BG9:BH9,T$189)+COUNTIF('6月'!BL9:BM9,T$189)+COUNTIF('6月'!BQ9:BR9,T$189)+COUNTIF('6月'!BV9:BW9,T$189)+COUNTIF('6月'!CA9:CB9,T$189)+COUNTIF('6月'!CF9:CG9,T$189)+COUNTIF('6月'!CK9:CL9,T$189)+COUNTIF('6月'!CP9:CQ9,T$189)+COUNTIF('6月'!CU9:CV9,T$189)+COUNTIF('6月'!CZ9:DA9,T$189)+COUNTIF('6月'!DE9:DF9,T$189)+COUNTIF('6月'!DJ9:DK9,T$189)+COUNTIF('6月'!DO9:DP9,T$189)+COUNTIF('6月'!DT9:DU9,T$189)+COUNTIF('6月'!DY9:DZ9,T$189)+COUNTIF('6月'!ED9:EE9,T$189)+COUNTIF('6月'!EI9:EJ9,T$189)+COUNTIF('6月'!EN9:EO9,T$189)+COUNTIF('6月'!ES9:ET9,T$189)</f>
        <v>0</v>
      </c>
      <c r="U196" s="76">
        <f t="shared" si="69"/>
        <v>0</v>
      </c>
      <c r="V196" s="76">
        <f>COUNTIF('6月'!D9:E9,V$189)+COUNTIF('6月'!I9:J9,V$189)+COUNTIF('6月'!N9:O9,V$189)+COUNTIF('6月'!S9:T9,V$189)+COUNTIF('6月'!X9:Y9,V$189)+COUNTIF('6月'!AC9:AD9,V$189)+COUNTIF('6月'!AH9:AI9,V$189)+COUNTIF('6月'!AM9:AN9,V$189)+COUNTIF('6月'!AR9:AS9,V$189)+COUNTIF('6月'!AW9:AX9,V$189)+COUNTIF('6月'!BB9:BC9,V$189)+COUNTIF('6月'!BG9:BH9,V$189)+COUNTIF('6月'!BL9:BM9,V$189)+COUNTIF('6月'!BQ9:BR9,V$189)+COUNTIF('6月'!BV9:BW9,V$189)+COUNTIF('6月'!CA9:CB9,V$189)+COUNTIF('6月'!CF9:CG9,V$189)+COUNTIF('6月'!CK9:CL9,V$189)+COUNTIF('6月'!CP9:CQ9,V$189)+COUNTIF('6月'!CU9:CV9,V$189)+COUNTIF('6月'!CZ9:DA9,V$189)+COUNTIF('6月'!DE9:DF9,V$189)+COUNTIF('6月'!DJ9:DK9,V$189)+COUNTIF('6月'!DO9:DP9,V$189)+COUNTIF('6月'!DT9:DU9,V$189)+COUNTIF('6月'!DY9:DZ9,V$189)+COUNTIF('6月'!ED9:EE9,V$189)+COUNTIF('6月'!EI9:EJ9,V$189)+COUNTIF('6月'!EN9:EO9,V$189)+COUNTIF('6月'!ES9:ET9,V$189)</f>
        <v>0</v>
      </c>
      <c r="W196" s="76">
        <f t="shared" si="70"/>
        <v>0</v>
      </c>
      <c r="X196" s="76">
        <f>COUNTIF('6月'!D9:E9,X$189)+COUNTIF('6月'!I9:J9,X$189)+COUNTIF('6月'!N9:O9,X$189)+COUNTIF('6月'!S9:T9,X$189)+COUNTIF('6月'!X9:Y9,X$189)+COUNTIF('6月'!AC9:AD9,X$189)+COUNTIF('6月'!AH9:AI9,X$189)+COUNTIF('6月'!AM9:AN9,X$189)+COUNTIF('6月'!AR9:AS9,X$189)+COUNTIF('6月'!AW9:AX9,X$189)+COUNTIF('6月'!BB9:BC9,X$189)+COUNTIF('6月'!BG9:BH9,X$189)+COUNTIF('6月'!BL9:BM9,X$189)+COUNTIF('6月'!BQ9:BR9,X$189)+COUNTIF('6月'!BV9:BW9,X$189)+COUNTIF('6月'!CA9:CB9,X$189)+COUNTIF('6月'!CF9:CG9,X$189)+COUNTIF('6月'!CK9:CL9,X$189)+COUNTIF('6月'!CP9:CQ9,X$189)+COUNTIF('6月'!CU9:CV9,X$189)+COUNTIF('6月'!CZ9:DA9,X$189)+COUNTIF('6月'!DE9:DF9,X$189)+COUNTIF('6月'!DJ9:DK9,X$189)+COUNTIF('6月'!DO9:DP9,X$189)+COUNTIF('6月'!DT9:DU9,X$189)+COUNTIF('6月'!DY9:DZ9,X$189)+COUNTIF('6月'!ED9:EE9,X$189)+COUNTIF('6月'!EI9:EJ9,X$189)+COUNTIF('6月'!EN9:EO9,X$189)+COUNTIF('6月'!ES9:ET9,X$189)</f>
        <v>0</v>
      </c>
      <c r="Y196" s="76">
        <f t="shared" si="71"/>
        <v>0</v>
      </c>
    </row>
    <row r="197" spans="1:25" ht="18" customHeight="1">
      <c r="A197" s="76">
        <v>7</v>
      </c>
      <c r="B197" s="76">
        <f>COUNTIF('6月'!D10:E10,B$189)+COUNTIF('6月'!I10:J10,B$189)+COUNTIF('6月'!N10:O10,B$189)+COUNTIF('6月'!S10:T10,B$189)+COUNTIF('6月'!X10:Y10,B$189)+COUNTIF('6月'!AC10:AD10,B$189)+COUNTIF('6月'!AH10:AI10,B$189)+COUNTIF('6月'!AM10:AN10,B$189)+COUNTIF('6月'!AR10:AS10,B$189)+COUNTIF('6月'!AW10:AX10,B$189)+COUNTIF('6月'!BB10:BC10,B$189)+COUNTIF('6月'!BG10:BH10,B$189)+COUNTIF('6月'!BL10:BM10,B$189)+COUNTIF('6月'!BQ10:BR10,B$189)+COUNTIF('6月'!BV10:BW10,B$189)+COUNTIF('6月'!CA10:CB10,B$189)+COUNTIF('6月'!CF10:CG10,B$189)+COUNTIF('6月'!CK10:CL10,B$189)+COUNTIF('6月'!CP10:CQ10,B$189)+COUNTIF('6月'!CU10:CV10,B$189)+COUNTIF('6月'!CZ10:DA10,B$189)+COUNTIF('6月'!DE10:DF10,B$189)+COUNTIF('6月'!DJ10:DK10,B$189)+COUNTIF('6月'!DO10:DP10,B$189)+COUNTIF('6月'!DT10:DU10,B$189)+COUNTIF('6月'!DY10:DZ10,B$189)+COUNTIF('6月'!ED10:EE10,B$189)+COUNTIF('6月'!EI10:EJ10,B$189)+COUNTIF('6月'!EN10:EO10,B$189)+COUNTIF('6月'!ES10:ET10,B$189)</f>
        <v>0</v>
      </c>
      <c r="C197" s="76">
        <f t="shared" si="60"/>
        <v>0</v>
      </c>
      <c r="D197" s="76">
        <f>COUNTIF('6月'!D10:E10,D$189)+COUNTIF('6月'!I10:J10,D$189)+COUNTIF('6月'!N10:O10,D$189)+COUNTIF('6月'!S10:T10,D$189)+COUNTIF('6月'!X10:Y10,D$189)+COUNTIF('6月'!AC10:AD10,D$189)+COUNTIF('6月'!AH10:AI10,D$189)+COUNTIF('6月'!AM10:AN10,D$189)+COUNTIF('6月'!AR10:AS10,D$189)+COUNTIF('6月'!AW10:AX10,D$189)+COUNTIF('6月'!BB10:BC10,D$189)+COUNTIF('6月'!BG10:BH10,D$189)+COUNTIF('6月'!BL10:BM10,D$189)+COUNTIF('6月'!BQ10:BR10,D$189)+COUNTIF('6月'!BV10:BW10,D$189)+COUNTIF('6月'!CA10:CB10,D$189)+COUNTIF('6月'!CF10:CG10,D$189)+COUNTIF('6月'!CK10:CL10,D$189)+COUNTIF('6月'!CP10:CQ10,D$189)+COUNTIF('6月'!CU10:CV10,D$189)+COUNTIF('6月'!CZ10:DA10,D$189)+COUNTIF('6月'!DE10:DF10,D$189)+COUNTIF('6月'!DJ10:DK10,D$189)+COUNTIF('6月'!DO10:DP10,D$189)+COUNTIF('6月'!DT10:DU10,D$189)+COUNTIF('6月'!DY10:DZ10,D$189)+COUNTIF('6月'!ED10:EE10,D$189)+COUNTIF('6月'!EI10:EJ10,D$189)+COUNTIF('6月'!EN10:EO10,D$189)+COUNTIF('6月'!ES10:ET10,D$189)</f>
        <v>0</v>
      </c>
      <c r="E197" s="76">
        <f t="shared" si="61"/>
        <v>0</v>
      </c>
      <c r="F197" s="76">
        <f>COUNTIF('6月'!D10:E10,F$189)+COUNTIF('6月'!I10:J10,F$189)+COUNTIF('6月'!N10:O10,F$189)+COUNTIF('6月'!S10:T10,F$189)+COUNTIF('6月'!X10:Y10,F$189)+COUNTIF('6月'!AC10:AD10,F$189)+COUNTIF('6月'!AH10:AI10,F$189)+COUNTIF('6月'!AM10:AN10,F$189)+COUNTIF('6月'!AR10:AS10,F$189)+COUNTIF('6月'!AW10:AX10,F$189)+COUNTIF('6月'!BB10:BC10,F$189)+COUNTIF('6月'!BG10:BH10,F$189)+COUNTIF('6月'!BL10:BM10,F$189)+COUNTIF('6月'!BQ10:BR10,F$189)+COUNTIF('6月'!BV10:BW10,F$189)+COUNTIF('6月'!CA10:CB10,F$189)+COUNTIF('6月'!CF10:CG10,F$189)+COUNTIF('6月'!CK10:CL10,F$189)+COUNTIF('6月'!CP10:CQ10,F$189)+COUNTIF('6月'!CU10:CV10,F$189)+COUNTIF('6月'!CZ10:DA10,F$189)+COUNTIF('6月'!DE10:DF10,F$189)+COUNTIF('6月'!DJ10:DK10,F$189)+COUNTIF('6月'!DO10:DP10,F$189)+COUNTIF('6月'!DT10:DU10,F$189)+COUNTIF('6月'!DY10:DZ10,F$189)+COUNTIF('6月'!ED10:EE10,F$189)+COUNTIF('6月'!EI10:EJ10,F$189)+COUNTIF('6月'!EN10:EO10,F$189)+COUNTIF('6月'!ES10:ET10,F$189)</f>
        <v>0</v>
      </c>
      <c r="G197" s="76">
        <f t="shared" si="62"/>
        <v>0</v>
      </c>
      <c r="H197" s="76">
        <f>COUNTIF('6月'!D10:E10,H$189)+COUNTIF('6月'!I10:J10,H$189)+COUNTIF('6月'!N10:O10,H$189)+COUNTIF('6月'!S10:T10,H$189)+COUNTIF('6月'!X10:Y10,H$189)+COUNTIF('6月'!AC10:AD10,H$189)+COUNTIF('6月'!AH10:AI10,H$189)+COUNTIF('6月'!AM10:AN10,H$189)+COUNTIF('6月'!AR10:AS10,H$189)+COUNTIF('6月'!AW10:AX10,H$189)+COUNTIF('6月'!BB10:BC10,H$189)+COUNTIF('6月'!BG10:BH10,H$189)+COUNTIF('6月'!BL10:BM10,H$189)+COUNTIF('6月'!BQ10:BR10,H$189)+COUNTIF('6月'!BV10:BW10,H$189)+COUNTIF('6月'!CA10:CB10,H$189)+COUNTIF('6月'!CF10:CG10,H$189)+COUNTIF('6月'!CK10:CL10,H$189)+COUNTIF('6月'!CP10:CQ10,H$189)+COUNTIF('6月'!CU10:CV10,H$189)+COUNTIF('6月'!CZ10:DA10,H$189)+COUNTIF('6月'!DE10:DF10,H$189)+COUNTIF('6月'!DJ10:DK10,H$189)+COUNTIF('6月'!DO10:DP10,H$189)+COUNTIF('6月'!DT10:DU10,H$189)+COUNTIF('6月'!DY10:DZ10,H$189)+COUNTIF('6月'!ED10:EE10,H$189)+COUNTIF('6月'!EI10:EJ10,H$189)+COUNTIF('6月'!EN10:EO10,H$189)+COUNTIF('6月'!ES10:ET10,H$189)+COUNTIF('6月'!D10:E10,"渋谷-夜勤")+COUNTIF('6月'!I10:J10,"渋谷-夜勤")+COUNTIF('6月'!N10:O10,"渋谷-夜勤")+COUNTIF('6月'!S10:T10,"渋谷-夜勤")+COUNTIF('6月'!X10:Y10,"渋谷-夜勤")+COUNTIF('6月'!AC10:AD10,"渋谷-夜勤")+COUNTIF('6月'!AH10:AI10,"渋谷-夜勤")+COUNTIF('6月'!AM10:AN10,"渋谷-夜勤")+COUNTIF('6月'!AR10:AS10,"渋谷-夜勤")+COUNTIF('6月'!AW10:AX10,"渋谷-夜勤")+COUNTIF('6月'!BB10:BC10,"渋谷-夜勤")+COUNTIF('6月'!BG10:BH10,"渋谷-夜勤")+COUNTIF('6月'!BL10:BM10,"渋谷-夜勤")+COUNTIF('6月'!BQ10:BR10,"渋谷-夜勤")+COUNTIF('6月'!BV10:BW10,"渋谷-夜勤")+COUNTIF('6月'!CA10:CB10,"渋谷-夜勤")+COUNTIF('6月'!CF10:CG10,"渋谷-夜勤")+COUNTIF('6月'!CK10:CL10,"渋谷-夜勤")+COUNTIF('6月'!CP10:CQ10,"渋谷-夜勤")+COUNTIF('6月'!CU10:CV10,"渋谷-夜勤")+COUNTIF('6月'!CZ10:DA10,"渋谷-夜勤")+COUNTIF('6月'!DE10:DF10,"渋谷-夜勤")+COUNTIF('6月'!DJ10:DK10,"渋谷-夜勤")+COUNTIF('6月'!DO10:DP10,"渋谷-夜勤")+COUNTIF('6月'!DT10:DU10,"渋谷-夜勤")+COUNTIF('6月'!DY10:DZ10,"渋谷-夜勤")+COUNTIF('6月'!ED10:EE10,"渋谷-夜勤")+COUNTIF('6月'!EI10:EJ10,"渋谷-夜勤")+COUNTIF('6月'!EN10:EO10,"渋谷-夜勤")+COUNTIF('6月'!ES10:ET10,"渋谷-夜勤")</f>
        <v>0</v>
      </c>
      <c r="I197" s="76">
        <f t="shared" si="63"/>
        <v>0</v>
      </c>
      <c r="J197" s="76">
        <f>COUNTIF('6月'!D10:E10,J$189)+COUNTIF('6月'!I10:J10,J$189)+COUNTIF('6月'!N10:O10,J$189)+COUNTIF('6月'!S10:T10,J$189)+COUNTIF('6月'!X10:Y10,J$189)+COUNTIF('6月'!AC10:AD10,J$189)+COUNTIF('6月'!AH10:AI10,J$189)+COUNTIF('6月'!AM10:AN10,J$189)+COUNTIF('6月'!AR10:AS10,J$189)+COUNTIF('6月'!AW10:AX10,J$189)+COUNTIF('6月'!BB10:BC10,J$189)+COUNTIF('6月'!BG10:BH10,J$189)+COUNTIF('6月'!BL10:BM10,J$189)+COUNTIF('6月'!BQ10:BR10,J$189)+COUNTIF('6月'!BV10:BW10,J$189)+COUNTIF('6月'!CA10:CB10,J$189)+COUNTIF('6月'!CF10:CG10,J$189)+COUNTIF('6月'!CK10:CL10,J$189)+COUNTIF('6月'!CP10:CQ10,J$189)+COUNTIF('6月'!CU10:CV10,J$189)+COUNTIF('6月'!CZ10:DA10,J$189)+COUNTIF('6月'!DE10:DF10,J$189)+COUNTIF('6月'!DJ10:DK10,J$189)+COUNTIF('6月'!DO10:DP10,J$189)+COUNTIF('6月'!DT10:DU10,J$189)+COUNTIF('6月'!DY10:DZ10,J$189)+COUNTIF('6月'!ED10:EE10,J$189)+COUNTIF('6月'!EI10:EJ10,J$189)+COUNTIF('6月'!EN10:EO10,J$189)+COUNTIF('6月'!ES10:ET10,J$189)+COUNTIF('6月'!D10:E10,"六本木-夜勤")+COUNTIF('6月'!I10:J10,"六本木-夜勤")+COUNTIF('6月'!N10:O10,"六本木-夜勤")+COUNTIF('6月'!S10:T10,"六本木-夜勤")+COUNTIF('6月'!X10:Y10,"六本木-夜勤")+COUNTIF('6月'!AC10:AD10,"六本木-夜勤")+COUNTIF('6月'!AH10:AI10,"六本木-夜勤")+COUNTIF('6月'!AM10:AN10,"六本木-夜勤")+COUNTIF('6月'!AR10:AS10,"六本木-夜勤")+COUNTIF('6月'!AW10:AX10,"六本木-夜勤")+COUNTIF('6月'!BB10:BC10,"六本木-夜勤")+COUNTIF('6月'!BG10:BH10,"六本木-夜勤")+COUNTIF('6月'!BL10:BM10,"六本木-夜勤")+COUNTIF('6月'!BQ10:BR10,"六本木-夜勤")+COUNTIF('6月'!BV10:BW10,"六本木-夜勤")+COUNTIF('6月'!CA10:CB10,"六本木-夜勤")+COUNTIF('6月'!CF10:CG10,"六本木-夜勤")+COUNTIF('6月'!CK10:CL10,"六本木-夜勤")+COUNTIF('6月'!CP10:CQ10,"六本木-夜勤")+COUNTIF('6月'!CU10:CV10,"六本木-夜勤")+COUNTIF('6月'!CZ10:DA10,"六本木-夜勤")+COUNTIF('6月'!DE10:DF10,"六本木-夜勤")+COUNTIF('6月'!DJ10:DK10,"六本木-夜勤")+COUNTIF('6月'!DO10:DP10,"六本木-夜勤")+COUNTIF('6月'!DT10:DU10,"六本木-夜勤")+COUNTIF('6月'!DY10:DZ10,"六本木-夜勤")+COUNTIF('6月'!ED10:EE10,"六本木-夜勤")+COUNTIF('6月'!EI10:EJ10,"六本木-夜勤")+COUNTIF('6月'!EN10:EO10,"六本木-夜勤")+COUNTIF('6月'!ES10:ET10,"六本木-夜勤")+COUNTIF('6月'!D10:E10,"六本木ー夜勤")+COUNTIF('6月'!I10:J10,"六本木ー夜勤")+COUNTIF('6月'!N10:O10,"六本木ー夜勤")+COUNTIF('6月'!S10:T10,"六本木ー夜勤")+COUNTIF('6月'!X10:Y10,"六本木ー夜勤")+COUNTIF('6月'!AC10:AD10,"六本木ー夜勤")+COUNTIF('6月'!AH10:AI10,"六本木ー夜勤")+COUNTIF('6月'!AM10:AN10,"六本木ー夜勤")+COUNTIF('6月'!AR10:AS10,"六本木ー夜勤")+COUNTIF('6月'!AW10:AX10,"六本木ー夜勤")+COUNTIF('6月'!BB10:BC10,"六本木ー夜勤")+COUNTIF('6月'!BG10:BH10,"六本木ー夜勤")+COUNTIF('6月'!BL10:BM10,"六本木ー夜勤")+COUNTIF('6月'!BQ10:BR10,"六本木ー夜勤")+COUNTIF('6月'!BV10:BW10,"六本木ー夜勤")+COUNTIF('6月'!CA10:CB10,"六本木ー夜勤")+COUNTIF('6月'!CF10:CG10,"六本木ー夜勤")+COUNTIF('6月'!CK10:CL10,"六本木ー夜勤")+COUNTIF('6月'!CP10:CQ10,"六本木ー夜勤")+COUNTIF('6月'!CU10:CV10,"六本木ー夜勤")+COUNTIF('6月'!CZ10:DA10,"六本木ー夜勤")+COUNTIF('6月'!DE10:DF10,"六本木ー夜勤")+COUNTIF('6月'!DJ10:DK10,"六本木ー夜勤")+COUNTIF('6月'!DO10:DP10,"六本木ー夜勤")+COUNTIF('6月'!DT10:DU10,"六本木ー夜勤")+COUNTIF('6月'!DY10:DZ10,"六本木ー夜勤")+COUNTIF('6月'!ED10:EE10,"六本木ー夜勤")+COUNTIF('6月'!EI10:EJ10,"六本木ー夜勤")+COUNTIF('6月'!EN10:EO10,"六本木ー夜勤")+COUNTIF('6月'!ES10:ET10,"六本木ー夜勤")</f>
        <v>0</v>
      </c>
      <c r="K197" s="76">
        <f t="shared" si="64"/>
        <v>0</v>
      </c>
      <c r="L197" s="76">
        <f>COUNTIF('6月'!D10:E10,L$189)+COUNTIF('6月'!I10:J10,L$189)+COUNTIF('6月'!N10:O10,L$189)+COUNTIF('6月'!S10:T10,L$189)+COUNTIF('6月'!X10:Y10,L$189)+COUNTIF('6月'!AC10:AD10,L$189)+COUNTIF('6月'!AH10:AI10,L$189)+COUNTIF('6月'!AM10:AN10,L$189)+COUNTIF('6月'!AR10:AS10,L$189)+COUNTIF('6月'!AW10:AX10,L$189)+COUNTIF('6月'!BB10:BC10,L$189)+COUNTIF('6月'!BG10:BH10,L$189)+COUNTIF('6月'!BL10:BM10,L$189)+COUNTIF('6月'!BQ10:BR10,L$189)+COUNTIF('6月'!BV10:BW10,L$189)+COUNTIF('6月'!CA10:CB10,L$189)+COUNTIF('6月'!CF10:CG10,L$189)+COUNTIF('6月'!CK10:CL10,L$189)+COUNTIF('6月'!CP10:CQ10,L$189)+COUNTIF('6月'!CU10:CV10,L$189)+COUNTIF('6月'!CZ10:DA10,L$189)+COUNTIF('6月'!DE10:DF10,L$189)+COUNTIF('6月'!DJ10:DK10,L$189)+COUNTIF('6月'!DO10:DP10,L$189)+COUNTIF('6月'!DT10:DU10,L$189)+COUNTIF('6月'!DY10:DZ10,L$189)+COUNTIF('6月'!ED10:EE10,L$189)+COUNTIF('6月'!EI10:EJ10,L$189)+COUNTIF('6月'!EN10:EO10,L$189)+COUNTIF('6月'!ES10:ET10,L$189)</f>
        <v>0</v>
      </c>
      <c r="M197" s="76">
        <f t="shared" si="65"/>
        <v>0</v>
      </c>
      <c r="N197" s="76">
        <f>COUNTIF('6月'!D10:E10,N$189)+COUNTIF('6月'!I10:J10,N$189)+COUNTIF('6月'!N10:O10,N$189)+COUNTIF('6月'!S10:T10,N$189)+COUNTIF('6月'!X10:Y10,N$189)+COUNTIF('6月'!AC10:AD10,N$189)+COUNTIF('6月'!AH10:AI10,N$189)+COUNTIF('6月'!AM10:AN10,N$189)+COUNTIF('6月'!AR10:AS10,N$189)+COUNTIF('6月'!AW10:AX10,N$189)+COUNTIF('6月'!BB10:BC10,N$189)+COUNTIF('6月'!BG10:BH10,N$189)+COUNTIF('6月'!BL10:BM10,N$189)+COUNTIF('6月'!BQ10:BR10,N$189)+COUNTIF('6月'!BV10:BW10,N$189)+COUNTIF('6月'!CA10:CB10,N$189)+COUNTIF('6月'!CF10:CG10,N$189)+COUNTIF('6月'!CK10:CL10,N$189)+COUNTIF('6月'!CP10:CQ10,N$189)+COUNTIF('6月'!CU10:CV10,N$189)+COUNTIF('6月'!CZ10:DA10,N$189)+COUNTIF('6月'!DE10:DF10,N$189)+COUNTIF('6月'!DJ10:DK10,N$189)+COUNTIF('6月'!DO10:DP10,N$189)+COUNTIF('6月'!DT10:DU10,N$189)+COUNTIF('6月'!DY10:DZ10,N$189)+COUNTIF('6月'!ED10:EE10,N$189)+COUNTIF('6月'!EI10:EJ10,N$189)+COUNTIF('6月'!EN10:EO10,N$189)+COUNTIF('6月'!ES10:ET10,N$189)+COUNTIF('6月'!D10:E10,"三軒茶屋－夜勤")+COUNTIF('6月'!I10:J10,"三軒茶屋－夜勤")+COUNTIF('6月'!N10:O10,"三軒茶屋－夜勤")+COUNTIF('6月'!S10:T10,"三軒茶屋－夜勤")+COUNTIF('6月'!X10:Y10,"三軒茶屋－夜勤")+COUNTIF('6月'!AC10:AD10,"三軒茶屋－夜勤")+COUNTIF('6月'!AH10:AI10,"三軒茶屋－夜勤")+COUNTIF('6月'!AM10:AN10,"三軒茶屋－夜勤")+COUNTIF('6月'!AR10:AS10,"三軒茶屋－夜勤")+COUNTIF('6月'!AW10:AX10,"三軒茶屋－夜勤")+COUNTIF('6月'!BB10:BC10,"三軒茶屋－夜勤")+COUNTIF('6月'!BG10:BH10,"三軒茶屋－夜勤")+COUNTIF('6月'!BL10:BM10,"三軒茶屋－夜勤")+COUNTIF('6月'!BQ10:BR10,"三軒茶屋－夜勤")+COUNTIF('6月'!BV10:BW10,"三軒茶屋－夜勤")+COUNTIF('6月'!CA10:CB10,"三軒茶屋－夜勤")+COUNTIF('6月'!CF10:CG10,"三軒茶屋－夜勤")+COUNTIF('6月'!CK10:CL10,"三軒茶屋－夜勤")+COUNTIF('6月'!CP10:CQ10,"三軒茶屋－夜勤")+COUNTIF('6月'!CU10:CV10,"三軒茶屋－夜勤")+COUNTIF('6月'!CZ10:DA10,"三軒茶屋－夜勤")+COUNTIF('6月'!DE10:DF10,"三軒茶屋－夜勤")+COUNTIF('6月'!DJ10:DK10,"三軒茶屋－夜勤")+COUNTIF('6月'!DO10:DP10,"三軒茶屋－夜勤")+COUNTIF('6月'!DT10:DU10,"三軒茶屋－夜勤")+COUNTIF('6月'!DY10:DZ10,"三軒茶屋－夜勤")+COUNTIF('6月'!ED10:EE10,"三軒茶屋－夜勤")+COUNTIF('6月'!EI10:EJ10,"三軒茶屋－夜勤")+COUNTIF('6月'!EN10:EO10,"三軒茶屋－夜勤")+COUNTIF('6月'!ES10:ET10,"三軒茶屋－夜勤")</f>
        <v>0</v>
      </c>
      <c r="O197" s="76">
        <f t="shared" si="66"/>
        <v>0</v>
      </c>
      <c r="P197" s="76">
        <f>COUNTIF('6月'!D10:E10,P$189)+COUNTIF('6月'!I10:J10,P$189)+COUNTIF('6月'!N10:O10,P$189)+COUNTIF('6月'!S10:T10,P$189)+COUNTIF('6月'!X10:Y10,P$189)+COUNTIF('6月'!AC10:AD10,P$189)+COUNTIF('6月'!AH10:AI10,P$189)+COUNTIF('6月'!AM10:AN10,P$189)+COUNTIF('6月'!AR10:AS10,P$189)+COUNTIF('6月'!AW10:AX10,P$189)+COUNTIF('6月'!BB10:BC10,P$189)+COUNTIF('6月'!BG10:BH10,P$189)+COUNTIF('6月'!BL10:BM10,P$189)+COUNTIF('6月'!BQ10:BR10,P$189)+COUNTIF('6月'!BV10:BW10,P$189)+COUNTIF('6月'!CA10:CB10,P$189)+COUNTIF('6月'!CF10:CG10,P$189)+COUNTIF('6月'!CK10:CL10,P$189)+COUNTIF('6月'!CP10:CQ10,P$189)+COUNTIF('6月'!CU10:CV10,P$189)+COUNTIF('6月'!CZ10:DA10,P$189)+COUNTIF('6月'!DE10:DF10,P$189)+COUNTIF('6月'!DJ10:DK10,P$189)+COUNTIF('6月'!DO10:DP10,P$189)+COUNTIF('6月'!DT10:DU10,P$189)+COUNTIF('6月'!DY10:DZ10,P$189)+COUNTIF('6月'!ED10:EE10,P$189)+COUNTIF('6月'!EI10:EJ10,P$189)+COUNTIF('6月'!EN10:EO10,P$189)+COUNTIF('6月'!ES10:ET10,P$189)+COUNTIF('6月'!D10:E10,"荻窪ー夜勤")+COUNTIF('6月'!I10:J10,"荻窪ー夜勤")+COUNTIF('6月'!N10:O10,"荻窪ー夜勤")+COUNTIF('6月'!S10:T10,"荻窪ー夜勤")+COUNTIF('6月'!X10:Y10,"荻窪ー夜勤")+COUNTIF('6月'!AC10:AD10,"荻窪ー夜勤")+COUNTIF('6月'!AH10:AI10,"荻窪ー夜勤")+COUNTIF('6月'!AM10:AN10,"荻窪ー夜勤")+COUNTIF('6月'!AR10:AS10,"荻窪ー夜勤")+COUNTIF('6月'!AW10:AX10,"荻窪ー夜勤")+COUNTIF('6月'!BB10:BC10,"荻窪ー夜勤")+COUNTIF('6月'!BG10:BH10,"荻窪ー夜勤")+COUNTIF('6月'!BL10:BM10,"荻窪ー夜勤")+COUNTIF('6月'!BQ10:BR10,"荻窪ー夜勤")+COUNTIF('6月'!BV10:BW10,"荻窪ー夜勤")+COUNTIF('6月'!CA10:CB10,"荻窪ー夜勤")+COUNTIF('6月'!CF10:CG10,"荻窪ー夜勤")+COUNTIF('6月'!CK10:CL10,"荻窪ー夜勤")+COUNTIF('6月'!CP10:CQ10,"荻窪ー夜勤")+COUNTIF('6月'!CU10:CV10,"荻窪ー夜勤")+COUNTIF('6月'!CZ10:DA10,"荻窪ー夜勤")+COUNTIF('6月'!DE10:DF10,"荻窪ー夜勤")+COUNTIF('6月'!DJ10:DK10,"荻窪ー夜勤")+COUNTIF('6月'!DO10:DP10,"荻窪ー夜勤")+COUNTIF('6月'!DT10:DU10,"荻窪ー夜勤")+COUNTIF('6月'!DY10:DZ10,"荻窪ー夜勤")+COUNTIF('6月'!ED10:EE10,"荻窪ー夜勤")+COUNTIF('6月'!EI10:EJ10,"荻窪ー夜勤")+COUNTIF('6月'!EN10:EO10,"荻窪ー夜勤")+COUNTIF('6月'!ES10:ET10,"荻窪ー夜勤")</f>
        <v>0</v>
      </c>
      <c r="Q197" s="76">
        <f t="shared" si="67"/>
        <v>0</v>
      </c>
      <c r="R197" s="76">
        <f>COUNTIF('6月'!D10:E10,R$189)+COUNTIF('6月'!I10:J10,R$189)+COUNTIF('6月'!N10:O10,R$189)+COUNTIF('6月'!S10:T10,R$189)+COUNTIF('6月'!X10:Y10,R$189)+COUNTIF('6月'!AC10:AD10,R$189)+COUNTIF('6月'!AH10:AI10,R$189)+COUNTIF('6月'!AM10:AN10,R$189)+COUNTIF('6月'!AR10:AS10,R$189)+COUNTIF('6月'!AW10:AX10,R$189)+COUNTIF('6月'!BB10:BC10,R$189)+COUNTIF('6月'!BG10:BH10,R$189)+COUNTIF('6月'!BL10:BM10,R$189)+COUNTIF('6月'!BQ10:BR10,R$189)+COUNTIF('6月'!BV10:BW10,R$189)+COUNTIF('6月'!CA10:CB10,R$189)+COUNTIF('6月'!CF10:CG10,R$189)+COUNTIF('6月'!CK10:CL10,R$189)+COUNTIF('6月'!CP10:CQ10,R$189)+COUNTIF('6月'!CU10:CV10,R$189)+COUNTIF('6月'!CZ10:DA10,R$189)+COUNTIF('6月'!DE10:DF10,R$189)+COUNTIF('6月'!DJ10:DK10,R$189)+COUNTIF('6月'!DO10:DP10,R$189)+COUNTIF('6月'!DT10:DU10,R$189)+COUNTIF('6月'!DY10:DZ10,R$189)+COUNTIF('6月'!ED10:EE10,R$189)+COUNTIF('6月'!EI10:EJ10,R$189)+COUNTIF('6月'!EN10:EO10,R$189)+COUNTIF('6月'!ES10:ET10,R$189)</f>
        <v>0</v>
      </c>
      <c r="S197" s="76">
        <f t="shared" si="68"/>
        <v>0</v>
      </c>
      <c r="T197" s="76">
        <f>COUNTIF('6月'!D10:E10,T$189)+COUNTIF('6月'!I10:J10,T$189)+COUNTIF('6月'!N10:O10,T$189)+COUNTIF('6月'!S10:T10,T$189)+COUNTIF('6月'!X10:Y10,T$189)+COUNTIF('6月'!AC10:AD10,T$189)+COUNTIF('6月'!AH10:AI10,T$189)+COUNTIF('6月'!AM10:AN10,T$189)+COUNTIF('6月'!AR10:AS10,T$189)+COUNTIF('6月'!AW10:AX10,T$189)+COUNTIF('6月'!BB10:BC10,T$189)+COUNTIF('6月'!BG10:BH10,T$189)+COUNTIF('6月'!BL10:BM10,T$189)+COUNTIF('6月'!BQ10:BR10,T$189)+COUNTIF('6月'!BV10:BW10,T$189)+COUNTIF('6月'!CA10:CB10,T$189)+COUNTIF('6月'!CF10:CG10,T$189)+COUNTIF('6月'!CK10:CL10,T$189)+COUNTIF('6月'!CP10:CQ10,T$189)+COUNTIF('6月'!CU10:CV10,T$189)+COUNTIF('6月'!CZ10:DA10,T$189)+COUNTIF('6月'!DE10:DF10,T$189)+COUNTIF('6月'!DJ10:DK10,T$189)+COUNTIF('6月'!DO10:DP10,T$189)+COUNTIF('6月'!DT10:DU10,T$189)+COUNTIF('6月'!DY10:DZ10,T$189)+COUNTIF('6月'!ED10:EE10,T$189)+COUNTIF('6月'!EI10:EJ10,T$189)+COUNTIF('6月'!EN10:EO10,T$189)+COUNTIF('6月'!ES10:ET10,T$189)</f>
        <v>0</v>
      </c>
      <c r="U197" s="76">
        <f t="shared" si="69"/>
        <v>0</v>
      </c>
      <c r="V197" s="76">
        <f>COUNTIF('6月'!D10:E10,V$189)+COUNTIF('6月'!I10:J10,V$189)+COUNTIF('6月'!N10:O10,V$189)+COUNTIF('6月'!S10:T10,V$189)+COUNTIF('6月'!X10:Y10,V$189)+COUNTIF('6月'!AC10:AD10,V$189)+COUNTIF('6月'!AH10:AI10,V$189)+COUNTIF('6月'!AM10:AN10,V$189)+COUNTIF('6月'!AR10:AS10,V$189)+COUNTIF('6月'!AW10:AX10,V$189)+COUNTIF('6月'!BB10:BC10,V$189)+COUNTIF('6月'!BG10:BH10,V$189)+COUNTIF('6月'!BL10:BM10,V$189)+COUNTIF('6月'!BQ10:BR10,V$189)+COUNTIF('6月'!BV10:BW10,V$189)+COUNTIF('6月'!CA10:CB10,V$189)+COUNTIF('6月'!CF10:CG10,V$189)+COUNTIF('6月'!CK10:CL10,V$189)+COUNTIF('6月'!CP10:CQ10,V$189)+COUNTIF('6月'!CU10:CV10,V$189)+COUNTIF('6月'!CZ10:DA10,V$189)+COUNTIF('6月'!DE10:DF10,V$189)+COUNTIF('6月'!DJ10:DK10,V$189)+COUNTIF('6月'!DO10:DP10,V$189)+COUNTIF('6月'!DT10:DU10,V$189)+COUNTIF('6月'!DY10:DZ10,V$189)+COUNTIF('6月'!ED10:EE10,V$189)+COUNTIF('6月'!EI10:EJ10,V$189)+COUNTIF('6月'!EN10:EO10,V$189)+COUNTIF('6月'!ES10:ET10,V$189)</f>
        <v>0</v>
      </c>
      <c r="W197" s="76">
        <f t="shared" si="70"/>
        <v>0</v>
      </c>
      <c r="X197" s="76">
        <f>COUNTIF('6月'!D10:E10,X$189)+COUNTIF('6月'!I10:J10,X$189)+COUNTIF('6月'!N10:O10,X$189)+COUNTIF('6月'!S10:T10,X$189)+COUNTIF('6月'!X10:Y10,X$189)+COUNTIF('6月'!AC10:AD10,X$189)+COUNTIF('6月'!AH10:AI10,X$189)+COUNTIF('6月'!AM10:AN10,X$189)+COUNTIF('6月'!AR10:AS10,X$189)+COUNTIF('6月'!AW10:AX10,X$189)+COUNTIF('6月'!BB10:BC10,X$189)+COUNTIF('6月'!BG10:BH10,X$189)+COUNTIF('6月'!BL10:BM10,X$189)+COUNTIF('6月'!BQ10:BR10,X$189)+COUNTIF('6月'!BV10:BW10,X$189)+COUNTIF('6月'!CA10:CB10,X$189)+COUNTIF('6月'!CF10:CG10,X$189)+COUNTIF('6月'!CK10:CL10,X$189)+COUNTIF('6月'!CP10:CQ10,X$189)+COUNTIF('6月'!CU10:CV10,X$189)+COUNTIF('6月'!CZ10:DA10,X$189)+COUNTIF('6月'!DE10:DF10,X$189)+COUNTIF('6月'!DJ10:DK10,X$189)+COUNTIF('6月'!DO10:DP10,X$189)+COUNTIF('6月'!DT10:DU10,X$189)+COUNTIF('6月'!DY10:DZ10,X$189)+COUNTIF('6月'!ED10:EE10,X$189)+COUNTIF('6月'!EI10:EJ10,X$189)+COUNTIF('6月'!EN10:EO10,X$189)+COUNTIF('6月'!ES10:ET10,X$189)</f>
        <v>0</v>
      </c>
      <c r="Y197" s="76">
        <f t="shared" si="71"/>
        <v>0</v>
      </c>
    </row>
    <row r="198" spans="1:25" ht="18" customHeight="1">
      <c r="A198" s="76">
        <v>8</v>
      </c>
      <c r="B198" s="76">
        <f>COUNTIF('6月'!D11:E11,B$189)+COUNTIF('6月'!I11:J11,B$189)+COUNTIF('6月'!N11:O11,B$189)+COUNTIF('6月'!S11:T11,B$189)+COUNTIF('6月'!X11:Y11,B$189)+COUNTIF('6月'!AC11:AD11,B$189)+COUNTIF('6月'!AH11:AI11,B$189)+COUNTIF('6月'!AM11:AN11,B$189)+COUNTIF('6月'!AR11:AS11,B$189)+COUNTIF('6月'!AW11:AX11,B$189)+COUNTIF('6月'!BB11:BC11,B$189)+COUNTIF('6月'!BG11:BH11,B$189)+COUNTIF('6月'!BL11:BM11,B$189)+COUNTIF('6月'!BQ11:BR11,B$189)+COUNTIF('6月'!BV11:BW11,B$189)+COUNTIF('6月'!CA11:CB11,B$189)+COUNTIF('6月'!CF11:CG11,B$189)+COUNTIF('6月'!CK11:CL11,B$189)+COUNTIF('6月'!CP11:CQ11,B$189)+COUNTIF('6月'!CU11:CV11,B$189)+COUNTIF('6月'!CZ11:DA11,B$189)+COUNTIF('6月'!DE11:DF11,B$189)+COUNTIF('6月'!DJ11:DK11,B$189)+COUNTIF('6月'!DO11:DP11,B$189)+COUNTIF('6月'!DT11:DU11,B$189)+COUNTIF('6月'!DY11:DZ11,B$189)+COUNTIF('6月'!ED11:EE11,B$189)+COUNTIF('6月'!EI11:EJ11,B$189)+COUNTIF('6月'!EN11:EO11,B$189)+COUNTIF('6月'!ES11:ET11,B$189)</f>
        <v>0</v>
      </c>
      <c r="C198" s="76">
        <f t="shared" si="60"/>
        <v>0</v>
      </c>
      <c r="D198" s="76">
        <f>COUNTIF('6月'!D11:E11,D$189)+COUNTIF('6月'!I11:J11,D$189)+COUNTIF('6月'!N11:O11,D$189)+COUNTIF('6月'!S11:T11,D$189)+COUNTIF('6月'!X11:Y11,D$189)+COUNTIF('6月'!AC11:AD11,D$189)+COUNTIF('6月'!AH11:AI11,D$189)+COUNTIF('6月'!AM11:AN11,D$189)+COUNTIF('6月'!AR11:AS11,D$189)+COUNTIF('6月'!AW11:AX11,D$189)+COUNTIF('6月'!BB11:BC11,D$189)+COUNTIF('6月'!BG11:BH11,D$189)+COUNTIF('6月'!BL11:BM11,D$189)+COUNTIF('6月'!BQ11:BR11,D$189)+COUNTIF('6月'!BV11:BW11,D$189)+COUNTIF('6月'!CA11:CB11,D$189)+COUNTIF('6月'!CF11:CG11,D$189)+COUNTIF('6月'!CK11:CL11,D$189)+COUNTIF('6月'!CP11:CQ11,D$189)+COUNTIF('6月'!CU11:CV11,D$189)+COUNTIF('6月'!CZ11:DA11,D$189)+COUNTIF('6月'!DE11:DF11,D$189)+COUNTIF('6月'!DJ11:DK11,D$189)+COUNTIF('6月'!DO11:DP11,D$189)+COUNTIF('6月'!DT11:DU11,D$189)+COUNTIF('6月'!DY11:DZ11,D$189)+COUNTIF('6月'!ED11:EE11,D$189)+COUNTIF('6月'!EI11:EJ11,D$189)+COUNTIF('6月'!EN11:EO11,D$189)+COUNTIF('6月'!ES11:ET11,D$189)</f>
        <v>0</v>
      </c>
      <c r="E198" s="76">
        <f t="shared" si="61"/>
        <v>0</v>
      </c>
      <c r="F198" s="76">
        <f>COUNTIF('6月'!D11:E11,F$189)+COUNTIF('6月'!I11:J11,F$189)+COUNTIF('6月'!N11:O11,F$189)+COUNTIF('6月'!S11:T11,F$189)+COUNTIF('6月'!X11:Y11,F$189)+COUNTIF('6月'!AC11:AD11,F$189)+COUNTIF('6月'!AH11:AI11,F$189)+COUNTIF('6月'!AM11:AN11,F$189)+COUNTIF('6月'!AR11:AS11,F$189)+COUNTIF('6月'!AW11:AX11,F$189)+COUNTIF('6月'!BB11:BC11,F$189)+COUNTIF('6月'!BG11:BH11,F$189)+COUNTIF('6月'!BL11:BM11,F$189)+COUNTIF('6月'!BQ11:BR11,F$189)+COUNTIF('6月'!BV11:BW11,F$189)+COUNTIF('6月'!CA11:CB11,F$189)+COUNTIF('6月'!CF11:CG11,F$189)+COUNTIF('6月'!CK11:CL11,F$189)+COUNTIF('6月'!CP11:CQ11,F$189)+COUNTIF('6月'!CU11:CV11,F$189)+COUNTIF('6月'!CZ11:DA11,F$189)+COUNTIF('6月'!DE11:DF11,F$189)+COUNTIF('6月'!DJ11:DK11,F$189)+COUNTIF('6月'!DO11:DP11,F$189)+COUNTIF('6月'!DT11:DU11,F$189)+COUNTIF('6月'!DY11:DZ11,F$189)+COUNTIF('6月'!ED11:EE11,F$189)+COUNTIF('6月'!EI11:EJ11,F$189)+COUNTIF('6月'!EN11:EO11,F$189)+COUNTIF('6月'!ES11:ET11,F$189)</f>
        <v>0</v>
      </c>
      <c r="G198" s="76">
        <f t="shared" si="62"/>
        <v>0</v>
      </c>
      <c r="H198" s="76">
        <f>COUNTIF('6月'!D11:E11,H$189)+COUNTIF('6月'!I11:J11,H$189)+COUNTIF('6月'!N11:O11,H$189)+COUNTIF('6月'!S11:T11,H$189)+COUNTIF('6月'!X11:Y11,H$189)+COUNTIF('6月'!AC11:AD11,H$189)+COUNTIF('6月'!AH11:AI11,H$189)+COUNTIF('6月'!AM11:AN11,H$189)+COUNTIF('6月'!AR11:AS11,H$189)+COUNTIF('6月'!AW11:AX11,H$189)+COUNTIF('6月'!BB11:BC11,H$189)+COUNTIF('6月'!BG11:BH11,H$189)+COUNTIF('6月'!BL11:BM11,H$189)+COUNTIF('6月'!BQ11:BR11,H$189)+COUNTIF('6月'!BV11:BW11,H$189)+COUNTIF('6月'!CA11:CB11,H$189)+COUNTIF('6月'!CF11:CG11,H$189)+COUNTIF('6月'!CK11:CL11,H$189)+COUNTIF('6月'!CP11:CQ11,H$189)+COUNTIF('6月'!CU11:CV11,H$189)+COUNTIF('6月'!CZ11:DA11,H$189)+COUNTIF('6月'!DE11:DF11,H$189)+COUNTIF('6月'!DJ11:DK11,H$189)+COUNTIF('6月'!DO11:DP11,H$189)+COUNTIF('6月'!DT11:DU11,H$189)+COUNTIF('6月'!DY11:DZ11,H$189)+COUNTIF('6月'!ED11:EE11,H$189)+COUNTIF('6月'!EI11:EJ11,H$189)+COUNTIF('6月'!EN11:EO11,H$189)+COUNTIF('6月'!ES11:ET11,H$189)+COUNTIF('6月'!D11:E11,"渋谷-夜勤")+COUNTIF('6月'!I11:J11,"渋谷-夜勤")+COUNTIF('6月'!N11:O11,"渋谷-夜勤")+COUNTIF('6月'!S11:T11,"渋谷-夜勤")+COUNTIF('6月'!X11:Y11,"渋谷-夜勤")+COUNTIF('6月'!AC11:AD11,"渋谷-夜勤")+COUNTIF('6月'!AH11:AI11,"渋谷-夜勤")+COUNTIF('6月'!AM11:AN11,"渋谷-夜勤")+COUNTIF('6月'!AR11:AS11,"渋谷-夜勤")+COUNTIF('6月'!AW11:AX11,"渋谷-夜勤")+COUNTIF('6月'!BB11:BC11,"渋谷-夜勤")+COUNTIF('6月'!BG11:BH11,"渋谷-夜勤")+COUNTIF('6月'!BL11:BM11,"渋谷-夜勤")+COUNTIF('6月'!BQ11:BR11,"渋谷-夜勤")+COUNTIF('6月'!BV11:BW11,"渋谷-夜勤")+COUNTIF('6月'!CA11:CB11,"渋谷-夜勤")+COUNTIF('6月'!CF11:CG11,"渋谷-夜勤")+COUNTIF('6月'!CK11:CL11,"渋谷-夜勤")+COUNTIF('6月'!CP11:CQ11,"渋谷-夜勤")+COUNTIF('6月'!CU11:CV11,"渋谷-夜勤")+COUNTIF('6月'!CZ11:DA11,"渋谷-夜勤")+COUNTIF('6月'!DE11:DF11,"渋谷-夜勤")+COUNTIF('6月'!DJ11:DK11,"渋谷-夜勤")+COUNTIF('6月'!DO11:DP11,"渋谷-夜勤")+COUNTIF('6月'!DT11:DU11,"渋谷-夜勤")+COUNTIF('6月'!DY11:DZ11,"渋谷-夜勤")+COUNTIF('6月'!ED11:EE11,"渋谷-夜勤")+COUNTIF('6月'!EI11:EJ11,"渋谷-夜勤")+COUNTIF('6月'!EN11:EO11,"渋谷-夜勤")+COUNTIF('6月'!ES11:ET11,"渋谷-夜勤")</f>
        <v>0</v>
      </c>
      <c r="I198" s="76">
        <f t="shared" si="63"/>
        <v>0</v>
      </c>
      <c r="J198" s="76">
        <f>COUNTIF('6月'!D11:E11,J$189)+COUNTIF('6月'!I11:J11,J$189)+COUNTIF('6月'!N11:O11,J$189)+COUNTIF('6月'!S11:T11,J$189)+COUNTIF('6月'!X11:Y11,J$189)+COUNTIF('6月'!AC11:AD11,J$189)+COUNTIF('6月'!AH11:AI11,J$189)+COUNTIF('6月'!AM11:AN11,J$189)+COUNTIF('6月'!AR11:AS11,J$189)+COUNTIF('6月'!AW11:AX11,J$189)+COUNTIF('6月'!BB11:BC11,J$189)+COUNTIF('6月'!BG11:BH11,J$189)+COUNTIF('6月'!BL11:BM11,J$189)+COUNTIF('6月'!BQ11:BR11,J$189)+COUNTIF('6月'!BV11:BW11,J$189)+COUNTIF('6月'!CA11:CB11,J$189)+COUNTIF('6月'!CF11:CG11,J$189)+COUNTIF('6月'!CK11:CL11,J$189)+COUNTIF('6月'!CP11:CQ11,J$189)+COUNTIF('6月'!CU11:CV11,J$189)+COUNTIF('6月'!CZ11:DA11,J$189)+COUNTIF('6月'!DE11:DF11,J$189)+COUNTIF('6月'!DJ11:DK11,J$189)+COUNTIF('6月'!DO11:DP11,J$189)+COUNTIF('6月'!DT11:DU11,J$189)+COUNTIF('6月'!DY11:DZ11,J$189)+COUNTIF('6月'!ED11:EE11,J$189)+COUNTIF('6月'!EI11:EJ11,J$189)+COUNTIF('6月'!EN11:EO11,J$189)+COUNTIF('6月'!ES11:ET11,J$189)+COUNTIF('6月'!D11:E11,"六本木-夜勤")+COUNTIF('6月'!I11:J11,"六本木-夜勤")+COUNTIF('6月'!N11:O11,"六本木-夜勤")+COUNTIF('6月'!S11:T11,"六本木-夜勤")+COUNTIF('6月'!X11:Y11,"六本木-夜勤")+COUNTIF('6月'!AC11:AD11,"六本木-夜勤")+COUNTIF('6月'!AH11:AI11,"六本木-夜勤")+COUNTIF('6月'!AM11:AN11,"六本木-夜勤")+COUNTIF('6月'!AR11:AS11,"六本木-夜勤")+COUNTIF('6月'!AW11:AX11,"六本木-夜勤")+COUNTIF('6月'!BB11:BC11,"六本木-夜勤")+COUNTIF('6月'!BG11:BH11,"六本木-夜勤")+COUNTIF('6月'!BL11:BM11,"六本木-夜勤")+COUNTIF('6月'!BQ11:BR11,"六本木-夜勤")+COUNTIF('6月'!BV11:BW11,"六本木-夜勤")+COUNTIF('6月'!CA11:CB11,"六本木-夜勤")+COUNTIF('6月'!CF11:CG11,"六本木-夜勤")+COUNTIF('6月'!CK11:CL11,"六本木-夜勤")+COUNTIF('6月'!CP11:CQ11,"六本木-夜勤")+COUNTIF('6月'!CU11:CV11,"六本木-夜勤")+COUNTIF('6月'!CZ11:DA11,"六本木-夜勤")+COUNTIF('6月'!DE11:DF11,"六本木-夜勤")+COUNTIF('6月'!DJ11:DK11,"六本木-夜勤")+COUNTIF('6月'!DO11:DP11,"六本木-夜勤")+COUNTIF('6月'!DT11:DU11,"六本木-夜勤")+COUNTIF('6月'!DY11:DZ11,"六本木-夜勤")+COUNTIF('6月'!ED11:EE11,"六本木-夜勤")+COUNTIF('6月'!EI11:EJ11,"六本木-夜勤")+COUNTIF('6月'!EN11:EO11,"六本木-夜勤")+COUNTIF('6月'!ES11:ET11,"六本木-夜勤")+COUNTIF('6月'!D11:E11,"六本木ー夜勤")+COUNTIF('6月'!I11:J11,"六本木ー夜勤")+COUNTIF('6月'!N11:O11,"六本木ー夜勤")+COUNTIF('6月'!S11:T11,"六本木ー夜勤")+COUNTIF('6月'!X11:Y11,"六本木ー夜勤")+COUNTIF('6月'!AC11:AD11,"六本木ー夜勤")+COUNTIF('6月'!AH11:AI11,"六本木ー夜勤")+COUNTIF('6月'!AM11:AN11,"六本木ー夜勤")+COUNTIF('6月'!AR11:AS11,"六本木ー夜勤")+COUNTIF('6月'!AW11:AX11,"六本木ー夜勤")+COUNTIF('6月'!BB11:BC11,"六本木ー夜勤")+COUNTIF('6月'!BG11:BH11,"六本木ー夜勤")+COUNTIF('6月'!BL11:BM11,"六本木ー夜勤")+COUNTIF('6月'!BQ11:BR11,"六本木ー夜勤")+COUNTIF('6月'!BV11:BW11,"六本木ー夜勤")+COUNTIF('6月'!CA11:CB11,"六本木ー夜勤")+COUNTIF('6月'!CF11:CG11,"六本木ー夜勤")+COUNTIF('6月'!CK11:CL11,"六本木ー夜勤")+COUNTIF('6月'!CP11:CQ11,"六本木ー夜勤")+COUNTIF('6月'!CU11:CV11,"六本木ー夜勤")+COUNTIF('6月'!CZ11:DA11,"六本木ー夜勤")+COUNTIF('6月'!DE11:DF11,"六本木ー夜勤")+COUNTIF('6月'!DJ11:DK11,"六本木ー夜勤")+COUNTIF('6月'!DO11:DP11,"六本木ー夜勤")+COUNTIF('6月'!DT11:DU11,"六本木ー夜勤")+COUNTIF('6月'!DY11:DZ11,"六本木ー夜勤")+COUNTIF('6月'!ED11:EE11,"六本木ー夜勤")+COUNTIF('6月'!EI11:EJ11,"六本木ー夜勤")+COUNTIF('6月'!EN11:EO11,"六本木ー夜勤")+COUNTIF('6月'!ES11:ET11,"六本木ー夜勤")</f>
        <v>0</v>
      </c>
      <c r="K198" s="76">
        <f t="shared" si="64"/>
        <v>0</v>
      </c>
      <c r="L198" s="76">
        <f>COUNTIF('6月'!D11:E11,L$189)+COUNTIF('6月'!I11:J11,L$189)+COUNTIF('6月'!N11:O11,L$189)+COUNTIF('6月'!S11:T11,L$189)+COUNTIF('6月'!X11:Y11,L$189)+COUNTIF('6月'!AC11:AD11,L$189)+COUNTIF('6月'!AH11:AI11,L$189)+COUNTIF('6月'!AM11:AN11,L$189)+COUNTIF('6月'!AR11:AS11,L$189)+COUNTIF('6月'!AW11:AX11,L$189)+COUNTIF('6月'!BB11:BC11,L$189)+COUNTIF('6月'!BG11:BH11,L$189)+COUNTIF('6月'!BL11:BM11,L$189)+COUNTIF('6月'!BQ11:BR11,L$189)+COUNTIF('6月'!BV11:BW11,L$189)+COUNTIF('6月'!CA11:CB11,L$189)+COUNTIF('6月'!CF11:CG11,L$189)+COUNTIF('6月'!CK11:CL11,L$189)+COUNTIF('6月'!CP11:CQ11,L$189)+COUNTIF('6月'!CU11:CV11,L$189)+COUNTIF('6月'!CZ11:DA11,L$189)+COUNTIF('6月'!DE11:DF11,L$189)+COUNTIF('6月'!DJ11:DK11,L$189)+COUNTIF('6月'!DO11:DP11,L$189)+COUNTIF('6月'!DT11:DU11,L$189)+COUNTIF('6月'!DY11:DZ11,L$189)+COUNTIF('6月'!ED11:EE11,L$189)+COUNTIF('6月'!EI11:EJ11,L$189)+COUNTIF('6月'!EN11:EO11,L$189)+COUNTIF('6月'!ES11:ET11,L$189)</f>
        <v>0</v>
      </c>
      <c r="M198" s="76">
        <f t="shared" si="65"/>
        <v>0</v>
      </c>
      <c r="N198" s="76">
        <f>COUNTIF('6月'!D11:E11,N$189)+COUNTIF('6月'!I11:J11,N$189)+COUNTIF('6月'!N11:O11,N$189)+COUNTIF('6月'!S11:T11,N$189)+COUNTIF('6月'!X11:Y11,N$189)+COUNTIF('6月'!AC11:AD11,N$189)+COUNTIF('6月'!AH11:AI11,N$189)+COUNTIF('6月'!AM11:AN11,N$189)+COUNTIF('6月'!AR11:AS11,N$189)+COUNTIF('6月'!AW11:AX11,N$189)+COUNTIF('6月'!BB11:BC11,N$189)+COUNTIF('6月'!BG11:BH11,N$189)+COUNTIF('6月'!BL11:BM11,N$189)+COUNTIF('6月'!BQ11:BR11,N$189)+COUNTIF('6月'!BV11:BW11,N$189)+COUNTIF('6月'!CA11:CB11,N$189)+COUNTIF('6月'!CF11:CG11,N$189)+COUNTIF('6月'!CK11:CL11,N$189)+COUNTIF('6月'!CP11:CQ11,N$189)+COUNTIF('6月'!CU11:CV11,N$189)+COUNTIF('6月'!CZ11:DA11,N$189)+COUNTIF('6月'!DE11:DF11,N$189)+COUNTIF('6月'!DJ11:DK11,N$189)+COUNTIF('6月'!DO11:DP11,N$189)+COUNTIF('6月'!DT11:DU11,N$189)+COUNTIF('6月'!DY11:DZ11,N$189)+COUNTIF('6月'!ED11:EE11,N$189)+COUNTIF('6月'!EI11:EJ11,N$189)+COUNTIF('6月'!EN11:EO11,N$189)+COUNTIF('6月'!ES11:ET11,N$189)+COUNTIF('6月'!D11:E11,"三軒茶屋－夜勤")+COUNTIF('6月'!I11:J11,"三軒茶屋－夜勤")+COUNTIF('6月'!N11:O11,"三軒茶屋－夜勤")+COUNTIF('6月'!S11:T11,"三軒茶屋－夜勤")+COUNTIF('6月'!X11:Y11,"三軒茶屋－夜勤")+COUNTIF('6月'!AC11:AD11,"三軒茶屋－夜勤")+COUNTIF('6月'!AH11:AI11,"三軒茶屋－夜勤")+COUNTIF('6月'!AM11:AN11,"三軒茶屋－夜勤")+COUNTIF('6月'!AR11:AS11,"三軒茶屋－夜勤")+COUNTIF('6月'!AW11:AX11,"三軒茶屋－夜勤")+COUNTIF('6月'!BB11:BC11,"三軒茶屋－夜勤")+COUNTIF('6月'!BG11:BH11,"三軒茶屋－夜勤")+COUNTIF('6月'!BL11:BM11,"三軒茶屋－夜勤")+COUNTIF('6月'!BQ11:BR11,"三軒茶屋－夜勤")+COUNTIF('6月'!BV11:BW11,"三軒茶屋－夜勤")+COUNTIF('6月'!CA11:CB11,"三軒茶屋－夜勤")+COUNTIF('6月'!CF11:CG11,"三軒茶屋－夜勤")+COUNTIF('6月'!CK11:CL11,"三軒茶屋－夜勤")+COUNTIF('6月'!CP11:CQ11,"三軒茶屋－夜勤")+COUNTIF('6月'!CU11:CV11,"三軒茶屋－夜勤")+COUNTIF('6月'!CZ11:DA11,"三軒茶屋－夜勤")+COUNTIF('6月'!DE11:DF11,"三軒茶屋－夜勤")+COUNTIF('6月'!DJ11:DK11,"三軒茶屋－夜勤")+COUNTIF('6月'!DO11:DP11,"三軒茶屋－夜勤")+COUNTIF('6月'!DT11:DU11,"三軒茶屋－夜勤")+COUNTIF('6月'!DY11:DZ11,"三軒茶屋－夜勤")+COUNTIF('6月'!ED11:EE11,"三軒茶屋－夜勤")+COUNTIF('6月'!EI11:EJ11,"三軒茶屋－夜勤")+COUNTIF('6月'!EN11:EO11,"三軒茶屋－夜勤")+COUNTIF('6月'!ES11:ET11,"三軒茶屋－夜勤")</f>
        <v>0</v>
      </c>
      <c r="O198" s="76">
        <f t="shared" si="66"/>
        <v>0</v>
      </c>
      <c r="P198" s="76">
        <f>COUNTIF('6月'!D11:E11,P$189)+COUNTIF('6月'!I11:J11,P$189)+COUNTIF('6月'!N11:O11,P$189)+COUNTIF('6月'!S11:T11,P$189)+COUNTIF('6月'!X11:Y11,P$189)+COUNTIF('6月'!AC11:AD11,P$189)+COUNTIF('6月'!AH11:AI11,P$189)+COUNTIF('6月'!AM11:AN11,P$189)+COUNTIF('6月'!AR11:AS11,P$189)+COUNTIF('6月'!AW11:AX11,P$189)+COUNTIF('6月'!BB11:BC11,P$189)+COUNTIF('6月'!BG11:BH11,P$189)+COUNTIF('6月'!BL11:BM11,P$189)+COUNTIF('6月'!BQ11:BR11,P$189)+COUNTIF('6月'!BV11:BW11,P$189)+COUNTIF('6月'!CA11:CB11,P$189)+COUNTIF('6月'!CF11:CG11,P$189)+COUNTIF('6月'!CK11:CL11,P$189)+COUNTIF('6月'!CP11:CQ11,P$189)+COUNTIF('6月'!CU11:CV11,P$189)+COUNTIF('6月'!CZ11:DA11,P$189)+COUNTIF('6月'!DE11:DF11,P$189)+COUNTIF('6月'!DJ11:DK11,P$189)+COUNTIF('6月'!DO11:DP11,P$189)+COUNTIF('6月'!DT11:DU11,P$189)+COUNTIF('6月'!DY11:DZ11,P$189)+COUNTIF('6月'!ED11:EE11,P$189)+COUNTIF('6月'!EI11:EJ11,P$189)+COUNTIF('6月'!EN11:EO11,P$189)+COUNTIF('6月'!ES11:ET11,P$189)+COUNTIF('6月'!D11:E11,"荻窪ー夜勤")+COUNTIF('6月'!I11:J11,"荻窪ー夜勤")+COUNTIF('6月'!N11:O11,"荻窪ー夜勤")+COUNTIF('6月'!S11:T11,"荻窪ー夜勤")+COUNTIF('6月'!X11:Y11,"荻窪ー夜勤")+COUNTIF('6月'!AC11:AD11,"荻窪ー夜勤")+COUNTIF('6月'!AH11:AI11,"荻窪ー夜勤")+COUNTIF('6月'!AM11:AN11,"荻窪ー夜勤")+COUNTIF('6月'!AR11:AS11,"荻窪ー夜勤")+COUNTIF('6月'!AW11:AX11,"荻窪ー夜勤")+COUNTIF('6月'!BB11:BC11,"荻窪ー夜勤")+COUNTIF('6月'!BG11:BH11,"荻窪ー夜勤")+COUNTIF('6月'!BL11:BM11,"荻窪ー夜勤")+COUNTIF('6月'!BQ11:BR11,"荻窪ー夜勤")+COUNTIF('6月'!BV11:BW11,"荻窪ー夜勤")+COUNTIF('6月'!CA11:CB11,"荻窪ー夜勤")+COUNTIF('6月'!CF11:CG11,"荻窪ー夜勤")+COUNTIF('6月'!CK11:CL11,"荻窪ー夜勤")+COUNTIF('6月'!CP11:CQ11,"荻窪ー夜勤")+COUNTIF('6月'!CU11:CV11,"荻窪ー夜勤")+COUNTIF('6月'!CZ11:DA11,"荻窪ー夜勤")+COUNTIF('6月'!DE11:DF11,"荻窪ー夜勤")+COUNTIF('6月'!DJ11:DK11,"荻窪ー夜勤")+COUNTIF('6月'!DO11:DP11,"荻窪ー夜勤")+COUNTIF('6月'!DT11:DU11,"荻窪ー夜勤")+COUNTIF('6月'!DY11:DZ11,"荻窪ー夜勤")+COUNTIF('6月'!ED11:EE11,"荻窪ー夜勤")+COUNTIF('6月'!EI11:EJ11,"荻窪ー夜勤")+COUNTIF('6月'!EN11:EO11,"荻窪ー夜勤")+COUNTIF('6月'!ES11:ET11,"荻窪ー夜勤")</f>
        <v>0</v>
      </c>
      <c r="Q198" s="76">
        <f t="shared" si="67"/>
        <v>0</v>
      </c>
      <c r="R198" s="76">
        <f>COUNTIF('6月'!D11:E11,R$189)+COUNTIF('6月'!I11:J11,R$189)+COUNTIF('6月'!N11:O11,R$189)+COUNTIF('6月'!S11:T11,R$189)+COUNTIF('6月'!X11:Y11,R$189)+COUNTIF('6月'!AC11:AD11,R$189)+COUNTIF('6月'!AH11:AI11,R$189)+COUNTIF('6月'!AM11:AN11,R$189)+COUNTIF('6月'!AR11:AS11,R$189)+COUNTIF('6月'!AW11:AX11,R$189)+COUNTIF('6月'!BB11:BC11,R$189)+COUNTIF('6月'!BG11:BH11,R$189)+COUNTIF('6月'!BL11:BM11,R$189)+COUNTIF('6月'!BQ11:BR11,R$189)+COUNTIF('6月'!BV11:BW11,R$189)+COUNTIF('6月'!CA11:CB11,R$189)+COUNTIF('6月'!CF11:CG11,R$189)+COUNTIF('6月'!CK11:CL11,R$189)+COUNTIF('6月'!CP11:CQ11,R$189)+COUNTIF('6月'!CU11:CV11,R$189)+COUNTIF('6月'!CZ11:DA11,R$189)+COUNTIF('6月'!DE11:DF11,R$189)+COUNTIF('6月'!DJ11:DK11,R$189)+COUNTIF('6月'!DO11:DP11,R$189)+COUNTIF('6月'!DT11:DU11,R$189)+COUNTIF('6月'!DY11:DZ11,R$189)+COUNTIF('6月'!ED11:EE11,R$189)+COUNTIF('6月'!EI11:EJ11,R$189)+COUNTIF('6月'!EN11:EO11,R$189)+COUNTIF('6月'!ES11:ET11,R$189)</f>
        <v>0</v>
      </c>
      <c r="S198" s="76">
        <f t="shared" si="68"/>
        <v>0</v>
      </c>
      <c r="T198" s="76">
        <f>COUNTIF('6月'!D11:E11,T$189)+COUNTIF('6月'!I11:J11,T$189)+COUNTIF('6月'!N11:O11,T$189)+COUNTIF('6月'!S11:T11,T$189)+COUNTIF('6月'!X11:Y11,T$189)+COUNTIF('6月'!AC11:AD11,T$189)+COUNTIF('6月'!AH11:AI11,T$189)+COUNTIF('6月'!AM11:AN11,T$189)+COUNTIF('6月'!AR11:AS11,T$189)+COUNTIF('6月'!AW11:AX11,T$189)+COUNTIF('6月'!BB11:BC11,T$189)+COUNTIF('6月'!BG11:BH11,T$189)+COUNTIF('6月'!BL11:BM11,T$189)+COUNTIF('6月'!BQ11:BR11,T$189)+COUNTIF('6月'!BV11:BW11,T$189)+COUNTIF('6月'!CA11:CB11,T$189)+COUNTIF('6月'!CF11:CG11,T$189)+COUNTIF('6月'!CK11:CL11,T$189)+COUNTIF('6月'!CP11:CQ11,T$189)+COUNTIF('6月'!CU11:CV11,T$189)+COUNTIF('6月'!CZ11:DA11,T$189)+COUNTIF('6月'!DE11:DF11,T$189)+COUNTIF('6月'!DJ11:DK11,T$189)+COUNTIF('6月'!DO11:DP11,T$189)+COUNTIF('6月'!DT11:DU11,T$189)+COUNTIF('6月'!DY11:DZ11,T$189)+COUNTIF('6月'!ED11:EE11,T$189)+COUNTIF('6月'!EI11:EJ11,T$189)+COUNTIF('6月'!EN11:EO11,T$189)+COUNTIF('6月'!ES11:ET11,T$189)</f>
        <v>0</v>
      </c>
      <c r="U198" s="76">
        <f t="shared" si="69"/>
        <v>0</v>
      </c>
      <c r="V198" s="76">
        <f>COUNTIF('6月'!D11:E11,V$189)+COUNTIF('6月'!I11:J11,V$189)+COUNTIF('6月'!N11:O11,V$189)+COUNTIF('6月'!S11:T11,V$189)+COUNTIF('6月'!X11:Y11,V$189)+COUNTIF('6月'!AC11:AD11,V$189)+COUNTIF('6月'!AH11:AI11,V$189)+COUNTIF('6月'!AM11:AN11,V$189)+COUNTIF('6月'!AR11:AS11,V$189)+COUNTIF('6月'!AW11:AX11,V$189)+COUNTIF('6月'!BB11:BC11,V$189)+COUNTIF('6月'!BG11:BH11,V$189)+COUNTIF('6月'!BL11:BM11,V$189)+COUNTIF('6月'!BQ11:BR11,V$189)+COUNTIF('6月'!BV11:BW11,V$189)+COUNTIF('6月'!CA11:CB11,V$189)+COUNTIF('6月'!CF11:CG11,V$189)+COUNTIF('6月'!CK11:CL11,V$189)+COUNTIF('6月'!CP11:CQ11,V$189)+COUNTIF('6月'!CU11:CV11,V$189)+COUNTIF('6月'!CZ11:DA11,V$189)+COUNTIF('6月'!DE11:DF11,V$189)+COUNTIF('6月'!DJ11:DK11,V$189)+COUNTIF('6月'!DO11:DP11,V$189)+COUNTIF('6月'!DT11:DU11,V$189)+COUNTIF('6月'!DY11:DZ11,V$189)+COUNTIF('6月'!ED11:EE11,V$189)+COUNTIF('6月'!EI11:EJ11,V$189)+COUNTIF('6月'!EN11:EO11,V$189)+COUNTIF('6月'!ES11:ET11,V$189)</f>
        <v>0</v>
      </c>
      <c r="W198" s="76">
        <f t="shared" si="70"/>
        <v>0</v>
      </c>
      <c r="X198" s="76">
        <f>COUNTIF('6月'!D11:E11,X$189)+COUNTIF('6月'!I11:J11,X$189)+COUNTIF('6月'!N11:O11,X$189)+COUNTIF('6月'!S11:T11,X$189)+COUNTIF('6月'!X11:Y11,X$189)+COUNTIF('6月'!AC11:AD11,X$189)+COUNTIF('6月'!AH11:AI11,X$189)+COUNTIF('6月'!AM11:AN11,X$189)+COUNTIF('6月'!AR11:AS11,X$189)+COUNTIF('6月'!AW11:AX11,X$189)+COUNTIF('6月'!BB11:BC11,X$189)+COUNTIF('6月'!BG11:BH11,X$189)+COUNTIF('6月'!BL11:BM11,X$189)+COUNTIF('6月'!BQ11:BR11,X$189)+COUNTIF('6月'!BV11:BW11,X$189)+COUNTIF('6月'!CA11:CB11,X$189)+COUNTIF('6月'!CF11:CG11,X$189)+COUNTIF('6月'!CK11:CL11,X$189)+COUNTIF('6月'!CP11:CQ11,X$189)+COUNTIF('6月'!CU11:CV11,X$189)+COUNTIF('6月'!CZ11:DA11,X$189)+COUNTIF('6月'!DE11:DF11,X$189)+COUNTIF('6月'!DJ11:DK11,X$189)+COUNTIF('6月'!DO11:DP11,X$189)+COUNTIF('6月'!DT11:DU11,X$189)+COUNTIF('6月'!DY11:DZ11,X$189)+COUNTIF('6月'!ED11:EE11,X$189)+COUNTIF('6月'!EI11:EJ11,X$189)+COUNTIF('6月'!EN11:EO11,X$189)+COUNTIF('6月'!ES11:ET11,X$189)</f>
        <v>0</v>
      </c>
      <c r="Y198" s="76">
        <f t="shared" si="71"/>
        <v>0</v>
      </c>
    </row>
    <row r="199" spans="1:25" ht="18" customHeight="1">
      <c r="A199" s="76">
        <v>9</v>
      </c>
      <c r="B199" s="76">
        <f>COUNTIF('6月'!D12:E12,B$189)+COUNTIF('6月'!I12:J12,B$189)+COUNTIF('6月'!N12:O12,B$189)+COUNTIF('6月'!S12:T12,B$189)+COUNTIF('6月'!X12:Y12,B$189)+COUNTIF('6月'!AC12:AD12,B$189)+COUNTIF('6月'!AH12:AI12,B$189)+COUNTIF('6月'!AM12:AN12,B$189)+COUNTIF('6月'!AR12:AS12,B$189)+COUNTIF('6月'!AW12:AX12,B$189)+COUNTIF('6月'!BB12:BC12,B$189)+COUNTIF('6月'!BG12:BH12,B$189)+COUNTIF('6月'!BL12:BM12,B$189)+COUNTIF('6月'!BQ12:BR12,B$189)+COUNTIF('6月'!BV12:BW12,B$189)+COUNTIF('6月'!CA12:CB12,B$189)+COUNTIF('6月'!CF12:CG12,B$189)+COUNTIF('6月'!CK12:CL12,B$189)+COUNTIF('6月'!CP12:CQ12,B$189)+COUNTIF('6月'!CU12:CV12,B$189)+COUNTIF('6月'!CZ12:DA12,B$189)+COUNTIF('6月'!DE12:DF12,B$189)+COUNTIF('6月'!DJ12:DK12,B$189)+COUNTIF('6月'!DO12:DP12,B$189)+COUNTIF('6月'!DT12:DU12,B$189)+COUNTIF('6月'!DY12:DZ12,B$189)+COUNTIF('6月'!ED12:EE12,B$189)+COUNTIF('6月'!EI12:EJ12,B$189)+COUNTIF('6月'!EN12:EO12,B$189)+COUNTIF('6月'!ES12:ET12,B$189)</f>
        <v>0</v>
      </c>
      <c r="C199" s="76">
        <f t="shared" si="60"/>
        <v>0</v>
      </c>
      <c r="D199" s="76">
        <f>COUNTIF('6月'!D12:E12,D$189)+COUNTIF('6月'!I12:J12,D$189)+COUNTIF('6月'!N12:O12,D$189)+COUNTIF('6月'!S12:T12,D$189)+COUNTIF('6月'!X12:Y12,D$189)+COUNTIF('6月'!AC12:AD12,D$189)+COUNTIF('6月'!AH12:AI12,D$189)+COUNTIF('6月'!AM12:AN12,D$189)+COUNTIF('6月'!AR12:AS12,D$189)+COUNTIF('6月'!AW12:AX12,D$189)+COUNTIF('6月'!BB12:BC12,D$189)+COUNTIF('6月'!BG12:BH12,D$189)+COUNTIF('6月'!BL12:BM12,D$189)+COUNTIF('6月'!BQ12:BR12,D$189)+COUNTIF('6月'!BV12:BW12,D$189)+COUNTIF('6月'!CA12:CB12,D$189)+COUNTIF('6月'!CF12:CG12,D$189)+COUNTIF('6月'!CK12:CL12,D$189)+COUNTIF('6月'!CP12:CQ12,D$189)+COUNTIF('6月'!CU12:CV12,D$189)+COUNTIF('6月'!CZ12:DA12,D$189)+COUNTIF('6月'!DE12:DF12,D$189)+COUNTIF('6月'!DJ12:DK12,D$189)+COUNTIF('6月'!DO12:DP12,D$189)+COUNTIF('6月'!DT12:DU12,D$189)+COUNTIF('6月'!DY12:DZ12,D$189)+COUNTIF('6月'!ED12:EE12,D$189)+COUNTIF('6月'!EI12:EJ12,D$189)+COUNTIF('6月'!EN12:EO12,D$189)+COUNTIF('6月'!ES12:ET12,D$189)</f>
        <v>0</v>
      </c>
      <c r="E199" s="76">
        <f t="shared" si="61"/>
        <v>0</v>
      </c>
      <c r="F199" s="76">
        <f>COUNTIF('6月'!D12:E12,F$189)+COUNTIF('6月'!I12:J12,F$189)+COUNTIF('6月'!N12:O12,F$189)+COUNTIF('6月'!S12:T12,F$189)+COUNTIF('6月'!X12:Y12,F$189)+COUNTIF('6月'!AC12:AD12,F$189)+COUNTIF('6月'!AH12:AI12,F$189)+COUNTIF('6月'!AM12:AN12,F$189)+COUNTIF('6月'!AR12:AS12,F$189)+COUNTIF('6月'!AW12:AX12,F$189)+COUNTIF('6月'!BB12:BC12,F$189)+COUNTIF('6月'!BG12:BH12,F$189)+COUNTIF('6月'!BL12:BM12,F$189)+COUNTIF('6月'!BQ12:BR12,F$189)+COUNTIF('6月'!BV12:BW12,F$189)+COUNTIF('6月'!CA12:CB12,F$189)+COUNTIF('6月'!CF12:CG12,F$189)+COUNTIF('6月'!CK12:CL12,F$189)+COUNTIF('6月'!CP12:CQ12,F$189)+COUNTIF('6月'!CU12:CV12,F$189)+COUNTIF('6月'!CZ12:DA12,F$189)+COUNTIF('6月'!DE12:DF12,F$189)+COUNTIF('6月'!DJ12:DK12,F$189)+COUNTIF('6月'!DO12:DP12,F$189)+COUNTIF('6月'!DT12:DU12,F$189)+COUNTIF('6月'!DY12:DZ12,F$189)+COUNTIF('6月'!ED12:EE12,F$189)+COUNTIF('6月'!EI12:EJ12,F$189)+COUNTIF('6月'!EN12:EO12,F$189)+COUNTIF('6月'!ES12:ET12,F$189)</f>
        <v>0</v>
      </c>
      <c r="G199" s="76">
        <f t="shared" si="62"/>
        <v>0</v>
      </c>
      <c r="H199" s="76">
        <f>COUNTIF('6月'!D12:E12,H$189)+COUNTIF('6月'!I12:J12,H$189)+COUNTIF('6月'!N12:O12,H$189)+COUNTIF('6月'!S12:T12,H$189)+COUNTIF('6月'!X12:Y12,H$189)+COUNTIF('6月'!AC12:AD12,H$189)+COUNTIF('6月'!AH12:AI12,H$189)+COUNTIF('6月'!AM12:AN12,H$189)+COUNTIF('6月'!AR12:AS12,H$189)+COUNTIF('6月'!AW12:AX12,H$189)+COUNTIF('6月'!BB12:BC12,H$189)+COUNTIF('6月'!BG12:BH12,H$189)+COUNTIF('6月'!BL12:BM12,H$189)+COUNTIF('6月'!BQ12:BR12,H$189)+COUNTIF('6月'!BV12:BW12,H$189)+COUNTIF('6月'!CA12:CB12,H$189)+COUNTIF('6月'!CF12:CG12,H$189)+COUNTIF('6月'!CK12:CL12,H$189)+COUNTIF('6月'!CP12:CQ12,H$189)+COUNTIF('6月'!CU12:CV12,H$189)+COUNTIF('6月'!CZ12:DA12,H$189)+COUNTIF('6月'!DE12:DF12,H$189)+COUNTIF('6月'!DJ12:DK12,H$189)+COUNTIF('6月'!DO12:DP12,H$189)+COUNTIF('6月'!DT12:DU12,H$189)+COUNTIF('6月'!DY12:DZ12,H$189)+COUNTIF('6月'!ED12:EE12,H$189)+COUNTIF('6月'!EI12:EJ12,H$189)+COUNTIF('6月'!EN12:EO12,H$189)+COUNTIF('6月'!ES12:ET12,H$189)+COUNTIF('6月'!D12:E12,"渋谷-夜勤")+COUNTIF('6月'!I12:J12,"渋谷-夜勤")+COUNTIF('6月'!N12:O12,"渋谷-夜勤")+COUNTIF('6月'!S12:T12,"渋谷-夜勤")+COUNTIF('6月'!X12:Y12,"渋谷-夜勤")+COUNTIF('6月'!AC12:AD12,"渋谷-夜勤")+COUNTIF('6月'!AH12:AI12,"渋谷-夜勤")+COUNTIF('6月'!AM12:AN12,"渋谷-夜勤")+COUNTIF('6月'!AR12:AS12,"渋谷-夜勤")+COUNTIF('6月'!AW12:AX12,"渋谷-夜勤")+COUNTIF('6月'!BB12:BC12,"渋谷-夜勤")+COUNTIF('6月'!BG12:BH12,"渋谷-夜勤")+COUNTIF('6月'!BL12:BM12,"渋谷-夜勤")+COUNTIF('6月'!BQ12:BR12,"渋谷-夜勤")+COUNTIF('6月'!BV12:BW12,"渋谷-夜勤")+COUNTIF('6月'!CA12:CB12,"渋谷-夜勤")+COUNTIF('6月'!CF12:CG12,"渋谷-夜勤")+COUNTIF('6月'!CK12:CL12,"渋谷-夜勤")+COUNTIF('6月'!CP12:CQ12,"渋谷-夜勤")+COUNTIF('6月'!CU12:CV12,"渋谷-夜勤")+COUNTIF('6月'!CZ12:DA12,"渋谷-夜勤")+COUNTIF('6月'!DE12:DF12,"渋谷-夜勤")+COUNTIF('6月'!DJ12:DK12,"渋谷-夜勤")+COUNTIF('6月'!DO12:DP12,"渋谷-夜勤")+COUNTIF('6月'!DT12:DU12,"渋谷-夜勤")+COUNTIF('6月'!DY12:DZ12,"渋谷-夜勤")+COUNTIF('6月'!ED12:EE12,"渋谷-夜勤")+COUNTIF('6月'!EI12:EJ12,"渋谷-夜勤")+COUNTIF('6月'!EN12:EO12,"渋谷-夜勤")+COUNTIF('6月'!ES12:ET12,"渋谷-夜勤")</f>
        <v>0</v>
      </c>
      <c r="I199" s="76">
        <f t="shared" si="63"/>
        <v>0</v>
      </c>
      <c r="J199" s="76">
        <f>COUNTIF('6月'!D12:E12,J$189)+COUNTIF('6月'!I12:J12,J$189)+COUNTIF('6月'!N12:O12,J$189)+COUNTIF('6月'!S12:T12,J$189)+COUNTIF('6月'!X12:Y12,J$189)+COUNTIF('6月'!AC12:AD12,J$189)+COUNTIF('6月'!AH12:AI12,J$189)+COUNTIF('6月'!AM12:AN12,J$189)+COUNTIF('6月'!AR12:AS12,J$189)+COUNTIF('6月'!AW12:AX12,J$189)+COUNTIF('6月'!BB12:BC12,J$189)+COUNTIF('6月'!BG12:BH12,J$189)+COUNTIF('6月'!BL12:BM12,J$189)+COUNTIF('6月'!BQ12:BR12,J$189)+COUNTIF('6月'!BV12:BW12,J$189)+COUNTIF('6月'!CA12:CB12,J$189)+COUNTIF('6月'!CF12:CG12,J$189)+COUNTIF('6月'!CK12:CL12,J$189)+COUNTIF('6月'!CP12:CQ12,J$189)+COUNTIF('6月'!CU12:CV12,J$189)+COUNTIF('6月'!CZ12:DA12,J$189)+COUNTIF('6月'!DE12:DF12,J$189)+COUNTIF('6月'!DJ12:DK12,J$189)+COUNTIF('6月'!DO12:DP12,J$189)+COUNTIF('6月'!DT12:DU12,J$189)+COUNTIF('6月'!DY12:DZ12,J$189)+COUNTIF('6月'!ED12:EE12,J$189)+COUNTIF('6月'!EI12:EJ12,J$189)+COUNTIF('6月'!EN12:EO12,J$189)+COUNTIF('6月'!ES12:ET12,J$189)+COUNTIF('6月'!D12:E12,"六本木-夜勤")+COUNTIF('6月'!I12:J12,"六本木-夜勤")+COUNTIF('6月'!N12:O12,"六本木-夜勤")+COUNTIF('6月'!S12:T12,"六本木-夜勤")+COUNTIF('6月'!X12:Y12,"六本木-夜勤")+COUNTIF('6月'!AC12:AD12,"六本木-夜勤")+COUNTIF('6月'!AH12:AI12,"六本木-夜勤")+COUNTIF('6月'!AM12:AN12,"六本木-夜勤")+COUNTIF('6月'!AR12:AS12,"六本木-夜勤")+COUNTIF('6月'!AW12:AX12,"六本木-夜勤")+COUNTIF('6月'!BB12:BC12,"六本木-夜勤")+COUNTIF('6月'!BG12:BH12,"六本木-夜勤")+COUNTIF('6月'!BL12:BM12,"六本木-夜勤")+COUNTIF('6月'!BQ12:BR12,"六本木-夜勤")+COUNTIF('6月'!BV12:BW12,"六本木-夜勤")+COUNTIF('6月'!CA12:CB12,"六本木-夜勤")+COUNTIF('6月'!CF12:CG12,"六本木-夜勤")+COUNTIF('6月'!CK12:CL12,"六本木-夜勤")+COUNTIF('6月'!CP12:CQ12,"六本木-夜勤")+COUNTIF('6月'!CU12:CV12,"六本木-夜勤")+COUNTIF('6月'!CZ12:DA12,"六本木-夜勤")+COUNTIF('6月'!DE12:DF12,"六本木-夜勤")+COUNTIF('6月'!DJ12:DK12,"六本木-夜勤")+COUNTIF('6月'!DO12:DP12,"六本木-夜勤")+COUNTIF('6月'!DT12:DU12,"六本木-夜勤")+COUNTIF('6月'!DY12:DZ12,"六本木-夜勤")+COUNTIF('6月'!ED12:EE12,"六本木-夜勤")+COUNTIF('6月'!EI12:EJ12,"六本木-夜勤")+COUNTIF('6月'!EN12:EO12,"六本木-夜勤")+COUNTIF('6月'!ES12:ET12,"六本木-夜勤")+COUNTIF('6月'!D12:E12,"六本木ー夜勤")+COUNTIF('6月'!I12:J12,"六本木ー夜勤")+COUNTIF('6月'!N12:O12,"六本木ー夜勤")+COUNTIF('6月'!S12:T12,"六本木ー夜勤")+COUNTIF('6月'!X12:Y12,"六本木ー夜勤")+COUNTIF('6月'!AC12:AD12,"六本木ー夜勤")+COUNTIF('6月'!AH12:AI12,"六本木ー夜勤")+COUNTIF('6月'!AM12:AN12,"六本木ー夜勤")+COUNTIF('6月'!AR12:AS12,"六本木ー夜勤")+COUNTIF('6月'!AW12:AX12,"六本木ー夜勤")+COUNTIF('6月'!BB12:BC12,"六本木ー夜勤")+COUNTIF('6月'!BG12:BH12,"六本木ー夜勤")+COUNTIF('6月'!BL12:BM12,"六本木ー夜勤")+COUNTIF('6月'!BQ12:BR12,"六本木ー夜勤")+COUNTIF('6月'!BV12:BW12,"六本木ー夜勤")+COUNTIF('6月'!CA12:CB12,"六本木ー夜勤")+COUNTIF('6月'!CF12:CG12,"六本木ー夜勤")+COUNTIF('6月'!CK12:CL12,"六本木ー夜勤")+COUNTIF('6月'!CP12:CQ12,"六本木ー夜勤")+COUNTIF('6月'!CU12:CV12,"六本木ー夜勤")+COUNTIF('6月'!CZ12:DA12,"六本木ー夜勤")+COUNTIF('6月'!DE12:DF12,"六本木ー夜勤")+COUNTIF('6月'!DJ12:DK12,"六本木ー夜勤")+COUNTIF('6月'!DO12:DP12,"六本木ー夜勤")+COUNTIF('6月'!DT12:DU12,"六本木ー夜勤")+COUNTIF('6月'!DY12:DZ12,"六本木ー夜勤")+COUNTIF('6月'!ED12:EE12,"六本木ー夜勤")+COUNTIF('6月'!EI12:EJ12,"六本木ー夜勤")+COUNTIF('6月'!EN12:EO12,"六本木ー夜勤")+COUNTIF('6月'!ES12:ET12,"六本木ー夜勤")</f>
        <v>0</v>
      </c>
      <c r="K199" s="76">
        <f t="shared" si="64"/>
        <v>0</v>
      </c>
      <c r="L199" s="76">
        <f>COUNTIF('6月'!D12:E12,L$189)+COUNTIF('6月'!I12:J12,L$189)+COUNTIF('6月'!N12:O12,L$189)+COUNTIF('6月'!S12:T12,L$189)+COUNTIF('6月'!X12:Y12,L$189)+COUNTIF('6月'!AC12:AD12,L$189)+COUNTIF('6月'!AH12:AI12,L$189)+COUNTIF('6月'!AM12:AN12,L$189)+COUNTIF('6月'!AR12:AS12,L$189)+COUNTIF('6月'!AW12:AX12,L$189)+COUNTIF('6月'!BB12:BC12,L$189)+COUNTIF('6月'!BG12:BH12,L$189)+COUNTIF('6月'!BL12:BM12,L$189)+COUNTIF('6月'!BQ12:BR12,L$189)+COUNTIF('6月'!BV12:BW12,L$189)+COUNTIF('6月'!CA12:CB12,L$189)+COUNTIF('6月'!CF12:CG12,L$189)+COUNTIF('6月'!CK12:CL12,L$189)+COUNTIF('6月'!CP12:CQ12,L$189)+COUNTIF('6月'!CU12:CV12,L$189)+COUNTIF('6月'!CZ12:DA12,L$189)+COUNTIF('6月'!DE12:DF12,L$189)+COUNTIF('6月'!DJ12:DK12,L$189)+COUNTIF('6月'!DO12:DP12,L$189)+COUNTIF('6月'!DT12:DU12,L$189)+COUNTIF('6月'!DY12:DZ12,L$189)+COUNTIF('6月'!ED12:EE12,L$189)+COUNTIF('6月'!EI12:EJ12,L$189)+COUNTIF('6月'!EN12:EO12,L$189)+COUNTIF('6月'!ES12:ET12,L$189)</f>
        <v>0</v>
      </c>
      <c r="M199" s="76">
        <f t="shared" si="65"/>
        <v>0</v>
      </c>
      <c r="N199" s="76">
        <f>COUNTIF('6月'!D12:E12,N$189)+COUNTIF('6月'!I12:J12,N$189)+COUNTIF('6月'!N12:O12,N$189)+COUNTIF('6月'!S12:T12,N$189)+COUNTIF('6月'!X12:Y12,N$189)+COUNTIF('6月'!AC12:AD12,N$189)+COUNTIF('6月'!AH12:AI12,N$189)+COUNTIF('6月'!AM12:AN12,N$189)+COUNTIF('6月'!AR12:AS12,N$189)+COUNTIF('6月'!AW12:AX12,N$189)+COUNTIF('6月'!BB12:BC12,N$189)+COUNTIF('6月'!BG12:BH12,N$189)+COUNTIF('6月'!BL12:BM12,N$189)+COUNTIF('6月'!BQ12:BR12,N$189)+COUNTIF('6月'!BV12:BW12,N$189)+COUNTIF('6月'!CA12:CB12,N$189)+COUNTIF('6月'!CF12:CG12,N$189)+COUNTIF('6月'!CK12:CL12,N$189)+COUNTIF('6月'!CP12:CQ12,N$189)+COUNTIF('6月'!CU12:CV12,N$189)+COUNTIF('6月'!CZ12:DA12,N$189)+COUNTIF('6月'!DE12:DF12,N$189)+COUNTIF('6月'!DJ12:DK12,N$189)+COUNTIF('6月'!DO12:DP12,N$189)+COUNTIF('6月'!DT12:DU12,N$189)+COUNTIF('6月'!DY12:DZ12,N$189)+COUNTIF('6月'!ED12:EE12,N$189)+COUNTIF('6月'!EI12:EJ12,N$189)+COUNTIF('6月'!EN12:EO12,N$189)+COUNTIF('6月'!ES12:ET12,N$189)+COUNTIF('6月'!D12:E12,"三軒茶屋－夜勤")+COUNTIF('6月'!I12:J12,"三軒茶屋－夜勤")+COUNTIF('6月'!N12:O12,"三軒茶屋－夜勤")+COUNTIF('6月'!S12:T12,"三軒茶屋－夜勤")+COUNTIF('6月'!X12:Y12,"三軒茶屋－夜勤")+COUNTIF('6月'!AC12:AD12,"三軒茶屋－夜勤")+COUNTIF('6月'!AH12:AI12,"三軒茶屋－夜勤")+COUNTIF('6月'!AM12:AN12,"三軒茶屋－夜勤")+COUNTIF('6月'!AR12:AS12,"三軒茶屋－夜勤")+COUNTIF('6月'!AW12:AX12,"三軒茶屋－夜勤")+COUNTIF('6月'!BB12:BC12,"三軒茶屋－夜勤")+COUNTIF('6月'!BG12:BH12,"三軒茶屋－夜勤")+COUNTIF('6月'!BL12:BM12,"三軒茶屋－夜勤")+COUNTIF('6月'!BQ12:BR12,"三軒茶屋－夜勤")+COUNTIF('6月'!BV12:BW12,"三軒茶屋－夜勤")+COUNTIF('6月'!CA12:CB12,"三軒茶屋－夜勤")+COUNTIF('6月'!CF12:CG12,"三軒茶屋－夜勤")+COUNTIF('6月'!CK12:CL12,"三軒茶屋－夜勤")+COUNTIF('6月'!CP12:CQ12,"三軒茶屋－夜勤")+COUNTIF('6月'!CU12:CV12,"三軒茶屋－夜勤")+COUNTIF('6月'!CZ12:DA12,"三軒茶屋－夜勤")+COUNTIF('6月'!DE12:DF12,"三軒茶屋－夜勤")+COUNTIF('6月'!DJ12:DK12,"三軒茶屋－夜勤")+COUNTIF('6月'!DO12:DP12,"三軒茶屋－夜勤")+COUNTIF('6月'!DT12:DU12,"三軒茶屋－夜勤")+COUNTIF('6月'!DY12:DZ12,"三軒茶屋－夜勤")+COUNTIF('6月'!ED12:EE12,"三軒茶屋－夜勤")+COUNTIF('6月'!EI12:EJ12,"三軒茶屋－夜勤")+COUNTIF('6月'!EN12:EO12,"三軒茶屋－夜勤")+COUNTIF('6月'!ES12:ET12,"三軒茶屋－夜勤")</f>
        <v>0</v>
      </c>
      <c r="O199" s="76">
        <f t="shared" si="66"/>
        <v>0</v>
      </c>
      <c r="P199" s="76">
        <f>COUNTIF('6月'!D12:E12,P$189)+COUNTIF('6月'!I12:J12,P$189)+COUNTIF('6月'!N12:O12,P$189)+COUNTIF('6月'!S12:T12,P$189)+COUNTIF('6月'!X12:Y12,P$189)+COUNTIF('6月'!AC12:AD12,P$189)+COUNTIF('6月'!AH12:AI12,P$189)+COUNTIF('6月'!AM12:AN12,P$189)+COUNTIF('6月'!AR12:AS12,P$189)+COUNTIF('6月'!AW12:AX12,P$189)+COUNTIF('6月'!BB12:BC12,P$189)+COUNTIF('6月'!BG12:BH12,P$189)+COUNTIF('6月'!BL12:BM12,P$189)+COUNTIF('6月'!BQ12:BR12,P$189)+COUNTIF('6月'!BV12:BW12,P$189)+COUNTIF('6月'!CA12:CB12,P$189)+COUNTIF('6月'!CF12:CG12,P$189)+COUNTIF('6月'!CK12:CL12,P$189)+COUNTIF('6月'!CP12:CQ12,P$189)+COUNTIF('6月'!CU12:CV12,P$189)+COUNTIF('6月'!CZ12:DA12,P$189)+COUNTIF('6月'!DE12:DF12,P$189)+COUNTIF('6月'!DJ12:DK12,P$189)+COUNTIF('6月'!DO12:DP12,P$189)+COUNTIF('6月'!DT12:DU12,P$189)+COUNTIF('6月'!DY12:DZ12,P$189)+COUNTIF('6月'!ED12:EE12,P$189)+COUNTIF('6月'!EI12:EJ12,P$189)+COUNTIF('6月'!EN12:EO12,P$189)+COUNTIF('6月'!ES12:ET12,P$189)+COUNTIF('6月'!D12:E12,"荻窪ー夜勤")+COUNTIF('6月'!I12:J12,"荻窪ー夜勤")+COUNTIF('6月'!N12:O12,"荻窪ー夜勤")+COUNTIF('6月'!S12:T12,"荻窪ー夜勤")+COUNTIF('6月'!X12:Y12,"荻窪ー夜勤")+COUNTIF('6月'!AC12:AD12,"荻窪ー夜勤")+COUNTIF('6月'!AH12:AI12,"荻窪ー夜勤")+COUNTIF('6月'!AM12:AN12,"荻窪ー夜勤")+COUNTIF('6月'!AR12:AS12,"荻窪ー夜勤")+COUNTIF('6月'!AW12:AX12,"荻窪ー夜勤")+COUNTIF('6月'!BB12:BC12,"荻窪ー夜勤")+COUNTIF('6月'!BG12:BH12,"荻窪ー夜勤")+COUNTIF('6月'!BL12:BM12,"荻窪ー夜勤")+COUNTIF('6月'!BQ12:BR12,"荻窪ー夜勤")+COUNTIF('6月'!BV12:BW12,"荻窪ー夜勤")+COUNTIF('6月'!CA12:CB12,"荻窪ー夜勤")+COUNTIF('6月'!CF12:CG12,"荻窪ー夜勤")+COUNTIF('6月'!CK12:CL12,"荻窪ー夜勤")+COUNTIF('6月'!CP12:CQ12,"荻窪ー夜勤")+COUNTIF('6月'!CU12:CV12,"荻窪ー夜勤")+COUNTIF('6月'!CZ12:DA12,"荻窪ー夜勤")+COUNTIF('6月'!DE12:DF12,"荻窪ー夜勤")+COUNTIF('6月'!DJ12:DK12,"荻窪ー夜勤")+COUNTIF('6月'!DO12:DP12,"荻窪ー夜勤")+COUNTIF('6月'!DT12:DU12,"荻窪ー夜勤")+COUNTIF('6月'!DY12:DZ12,"荻窪ー夜勤")+COUNTIF('6月'!ED12:EE12,"荻窪ー夜勤")+COUNTIF('6月'!EI12:EJ12,"荻窪ー夜勤")+COUNTIF('6月'!EN12:EO12,"荻窪ー夜勤")+COUNTIF('6月'!ES12:ET12,"荻窪ー夜勤")</f>
        <v>0</v>
      </c>
      <c r="Q199" s="76">
        <f t="shared" si="67"/>
        <v>0</v>
      </c>
      <c r="R199" s="76">
        <f>COUNTIF('6月'!D12:E12,R$189)+COUNTIF('6月'!I12:J12,R$189)+COUNTIF('6月'!N12:O12,R$189)+COUNTIF('6月'!S12:T12,R$189)+COUNTIF('6月'!X12:Y12,R$189)+COUNTIF('6月'!AC12:AD12,R$189)+COUNTIF('6月'!AH12:AI12,R$189)+COUNTIF('6月'!AM12:AN12,R$189)+COUNTIF('6月'!AR12:AS12,R$189)+COUNTIF('6月'!AW12:AX12,R$189)+COUNTIF('6月'!BB12:BC12,R$189)+COUNTIF('6月'!BG12:BH12,R$189)+COUNTIF('6月'!BL12:BM12,R$189)+COUNTIF('6月'!BQ12:BR12,R$189)+COUNTIF('6月'!BV12:BW12,R$189)+COUNTIF('6月'!CA12:CB12,R$189)+COUNTIF('6月'!CF12:CG12,R$189)+COUNTIF('6月'!CK12:CL12,R$189)+COUNTIF('6月'!CP12:CQ12,R$189)+COUNTIF('6月'!CU12:CV12,R$189)+COUNTIF('6月'!CZ12:DA12,R$189)+COUNTIF('6月'!DE12:DF12,R$189)+COUNTIF('6月'!DJ12:DK12,R$189)+COUNTIF('6月'!DO12:DP12,R$189)+COUNTIF('6月'!DT12:DU12,R$189)+COUNTIF('6月'!DY12:DZ12,R$189)+COUNTIF('6月'!ED12:EE12,R$189)+COUNTIF('6月'!EI12:EJ12,R$189)+COUNTIF('6月'!EN12:EO12,R$189)+COUNTIF('6月'!ES12:ET12,R$189)</f>
        <v>0</v>
      </c>
      <c r="S199" s="76">
        <f t="shared" si="68"/>
        <v>0</v>
      </c>
      <c r="T199" s="76">
        <f>COUNTIF('6月'!D12:E12,T$189)+COUNTIF('6月'!I12:J12,T$189)+COUNTIF('6月'!N12:O12,T$189)+COUNTIF('6月'!S12:T12,T$189)+COUNTIF('6月'!X12:Y12,T$189)+COUNTIF('6月'!AC12:AD12,T$189)+COUNTIF('6月'!AH12:AI12,T$189)+COUNTIF('6月'!AM12:AN12,T$189)+COUNTIF('6月'!AR12:AS12,T$189)+COUNTIF('6月'!AW12:AX12,T$189)+COUNTIF('6月'!BB12:BC12,T$189)+COUNTIF('6月'!BG12:BH12,T$189)+COUNTIF('6月'!BL12:BM12,T$189)+COUNTIF('6月'!BQ12:BR12,T$189)+COUNTIF('6月'!BV12:BW12,T$189)+COUNTIF('6月'!CA12:CB12,T$189)+COUNTIF('6月'!CF12:CG12,T$189)+COUNTIF('6月'!CK12:CL12,T$189)+COUNTIF('6月'!CP12:CQ12,T$189)+COUNTIF('6月'!CU12:CV12,T$189)+COUNTIF('6月'!CZ12:DA12,T$189)+COUNTIF('6月'!DE12:DF12,T$189)+COUNTIF('6月'!DJ12:DK12,T$189)+COUNTIF('6月'!DO12:DP12,T$189)+COUNTIF('6月'!DT12:DU12,T$189)+COUNTIF('6月'!DY12:DZ12,T$189)+COUNTIF('6月'!ED12:EE12,T$189)+COUNTIF('6月'!EI12:EJ12,T$189)+COUNTIF('6月'!EN12:EO12,T$189)+COUNTIF('6月'!ES12:ET12,T$189)</f>
        <v>0</v>
      </c>
      <c r="U199" s="76">
        <f t="shared" si="69"/>
        <v>0</v>
      </c>
      <c r="V199" s="76">
        <f>COUNTIF('6月'!D12:E12,V$189)+COUNTIF('6月'!I12:J12,V$189)+COUNTIF('6月'!N12:O12,V$189)+COUNTIF('6月'!S12:T12,V$189)+COUNTIF('6月'!X12:Y12,V$189)+COUNTIF('6月'!AC12:AD12,V$189)+COUNTIF('6月'!AH12:AI12,V$189)+COUNTIF('6月'!AM12:AN12,V$189)+COUNTIF('6月'!AR12:AS12,V$189)+COUNTIF('6月'!AW12:AX12,V$189)+COUNTIF('6月'!BB12:BC12,V$189)+COUNTIF('6月'!BG12:BH12,V$189)+COUNTIF('6月'!BL12:BM12,V$189)+COUNTIF('6月'!BQ12:BR12,V$189)+COUNTIF('6月'!BV12:BW12,V$189)+COUNTIF('6月'!CA12:CB12,V$189)+COUNTIF('6月'!CF12:CG12,V$189)+COUNTIF('6月'!CK12:CL12,V$189)+COUNTIF('6月'!CP12:CQ12,V$189)+COUNTIF('6月'!CU12:CV12,V$189)+COUNTIF('6月'!CZ12:DA12,V$189)+COUNTIF('6月'!DE12:DF12,V$189)+COUNTIF('6月'!DJ12:DK12,V$189)+COUNTIF('6月'!DO12:DP12,V$189)+COUNTIF('6月'!DT12:DU12,V$189)+COUNTIF('6月'!DY12:DZ12,V$189)+COUNTIF('6月'!ED12:EE12,V$189)+COUNTIF('6月'!EI12:EJ12,V$189)+COUNTIF('6月'!EN12:EO12,V$189)+COUNTIF('6月'!ES12:ET12,V$189)</f>
        <v>0</v>
      </c>
      <c r="W199" s="76">
        <f t="shared" si="70"/>
        <v>0</v>
      </c>
      <c r="X199" s="76">
        <f>COUNTIF('6月'!D12:E12,X$189)+COUNTIF('6月'!I12:J12,X$189)+COUNTIF('6月'!N12:O12,X$189)+COUNTIF('6月'!S12:T12,X$189)+COUNTIF('6月'!X12:Y12,X$189)+COUNTIF('6月'!AC12:AD12,X$189)+COUNTIF('6月'!AH12:AI12,X$189)+COUNTIF('6月'!AM12:AN12,X$189)+COUNTIF('6月'!AR12:AS12,X$189)+COUNTIF('6月'!AW12:AX12,X$189)+COUNTIF('6月'!BB12:BC12,X$189)+COUNTIF('6月'!BG12:BH12,X$189)+COUNTIF('6月'!BL12:BM12,X$189)+COUNTIF('6月'!BQ12:BR12,X$189)+COUNTIF('6月'!BV12:BW12,X$189)+COUNTIF('6月'!CA12:CB12,X$189)+COUNTIF('6月'!CF12:CG12,X$189)+COUNTIF('6月'!CK12:CL12,X$189)+COUNTIF('6月'!CP12:CQ12,X$189)+COUNTIF('6月'!CU12:CV12,X$189)+COUNTIF('6月'!CZ12:DA12,X$189)+COUNTIF('6月'!DE12:DF12,X$189)+COUNTIF('6月'!DJ12:DK12,X$189)+COUNTIF('6月'!DO12:DP12,X$189)+COUNTIF('6月'!DT12:DU12,X$189)+COUNTIF('6月'!DY12:DZ12,X$189)+COUNTIF('6月'!ED12:EE12,X$189)+COUNTIF('6月'!EI12:EJ12,X$189)+COUNTIF('6月'!EN12:EO12,X$189)+COUNTIF('6月'!ES12:ET12,X$189)</f>
        <v>0</v>
      </c>
      <c r="Y199" s="76">
        <f t="shared" si="71"/>
        <v>0</v>
      </c>
    </row>
    <row r="200" spans="1:25" ht="18" customHeight="1">
      <c r="A200" s="76">
        <v>10</v>
      </c>
      <c r="B200" s="76">
        <f>COUNTIF('6月'!D13:E13,B$189)+COUNTIF('6月'!I13:J13,B$189)+COUNTIF('6月'!N13:O13,B$189)+COUNTIF('6月'!S13:T13,B$189)+COUNTIF('6月'!X13:Y13,B$189)+COUNTIF('6月'!AC13:AD13,B$189)+COUNTIF('6月'!AH13:AI13,B$189)+COUNTIF('6月'!AM13:AN13,B$189)+COUNTIF('6月'!AR13:AS13,B$189)+COUNTIF('6月'!AW13:AX13,B$189)+COUNTIF('6月'!BB13:BC13,B$189)+COUNTIF('6月'!BG13:BH13,B$189)+COUNTIF('6月'!BL13:BM13,B$189)+COUNTIF('6月'!BQ13:BR13,B$189)+COUNTIF('6月'!BV13:BW13,B$189)+COUNTIF('6月'!CA13:CB13,B$189)+COUNTIF('6月'!CF13:CG13,B$189)+COUNTIF('6月'!CK13:CL13,B$189)+COUNTIF('6月'!CP13:CQ13,B$189)+COUNTIF('6月'!CU13:CV13,B$189)+COUNTIF('6月'!CZ13:DA13,B$189)+COUNTIF('6月'!DE13:DF13,B$189)+COUNTIF('6月'!DJ13:DK13,B$189)+COUNTIF('6月'!DO13:DP13,B$189)+COUNTIF('6月'!DT13:DU13,B$189)+COUNTIF('6月'!DY13:DZ13,B$189)+COUNTIF('6月'!ED13:EE13,B$189)+COUNTIF('6月'!EI13:EJ13,B$189)+COUNTIF('6月'!EN13:EO13,B$189)+COUNTIF('6月'!ES13:ET13,B$189)</f>
        <v>0</v>
      </c>
      <c r="C200" s="76">
        <f t="shared" si="60"/>
        <v>0</v>
      </c>
      <c r="D200" s="76">
        <f>COUNTIF('6月'!D13:E13,D$189)+COUNTIF('6月'!I13:J13,D$189)+COUNTIF('6月'!N13:O13,D$189)+COUNTIF('6月'!S13:T13,D$189)+COUNTIF('6月'!X13:Y13,D$189)+COUNTIF('6月'!AC13:AD13,D$189)+COUNTIF('6月'!AH13:AI13,D$189)+COUNTIF('6月'!AM13:AN13,D$189)+COUNTIF('6月'!AR13:AS13,D$189)+COUNTIF('6月'!AW13:AX13,D$189)+COUNTIF('6月'!BB13:BC13,D$189)+COUNTIF('6月'!BG13:BH13,D$189)+COUNTIF('6月'!BL13:BM13,D$189)+COUNTIF('6月'!BQ13:BR13,D$189)+COUNTIF('6月'!BV13:BW13,D$189)+COUNTIF('6月'!CA13:CB13,D$189)+COUNTIF('6月'!CF13:CG13,D$189)+COUNTIF('6月'!CK13:CL13,D$189)+COUNTIF('6月'!CP13:CQ13,D$189)+COUNTIF('6月'!CU13:CV13,D$189)+COUNTIF('6月'!CZ13:DA13,D$189)+COUNTIF('6月'!DE13:DF13,D$189)+COUNTIF('6月'!DJ13:DK13,D$189)+COUNTIF('6月'!DO13:DP13,D$189)+COUNTIF('6月'!DT13:DU13,D$189)+COUNTIF('6月'!DY13:DZ13,D$189)+COUNTIF('6月'!ED13:EE13,D$189)+COUNTIF('6月'!EI13:EJ13,D$189)+COUNTIF('6月'!EN13:EO13,D$189)+COUNTIF('6月'!ES13:ET13,D$189)</f>
        <v>0</v>
      </c>
      <c r="E200" s="76">
        <f t="shared" si="61"/>
        <v>0</v>
      </c>
      <c r="F200" s="76">
        <f>COUNTIF('6月'!D13:E13,F$189)+COUNTIF('6月'!I13:J13,F$189)+COUNTIF('6月'!N13:O13,F$189)+COUNTIF('6月'!S13:T13,F$189)+COUNTIF('6月'!X13:Y13,F$189)+COUNTIF('6月'!AC13:AD13,F$189)+COUNTIF('6月'!AH13:AI13,F$189)+COUNTIF('6月'!AM13:AN13,F$189)+COUNTIF('6月'!AR13:AS13,F$189)+COUNTIF('6月'!AW13:AX13,F$189)+COUNTIF('6月'!BB13:BC13,F$189)+COUNTIF('6月'!BG13:BH13,F$189)+COUNTIF('6月'!BL13:BM13,F$189)+COUNTIF('6月'!BQ13:BR13,F$189)+COUNTIF('6月'!BV13:BW13,F$189)+COUNTIF('6月'!CA13:CB13,F$189)+COUNTIF('6月'!CF13:CG13,F$189)+COUNTIF('6月'!CK13:CL13,F$189)+COUNTIF('6月'!CP13:CQ13,F$189)+COUNTIF('6月'!CU13:CV13,F$189)+COUNTIF('6月'!CZ13:DA13,F$189)+COUNTIF('6月'!DE13:DF13,F$189)+COUNTIF('6月'!DJ13:DK13,F$189)+COUNTIF('6月'!DO13:DP13,F$189)+COUNTIF('6月'!DT13:DU13,F$189)+COUNTIF('6月'!DY13:DZ13,F$189)+COUNTIF('6月'!ED13:EE13,F$189)+COUNTIF('6月'!EI13:EJ13,F$189)+COUNTIF('6月'!EN13:EO13,F$189)+COUNTIF('6月'!ES13:ET13,F$189)</f>
        <v>0</v>
      </c>
      <c r="G200" s="76">
        <f t="shared" si="62"/>
        <v>0</v>
      </c>
      <c r="H200" s="76">
        <f>COUNTIF('6月'!D13:E13,H$189)+COUNTIF('6月'!I13:J13,H$189)+COUNTIF('6月'!N13:O13,H$189)+COUNTIF('6月'!S13:T13,H$189)+COUNTIF('6月'!X13:Y13,H$189)+COUNTIF('6月'!AC13:AD13,H$189)+COUNTIF('6月'!AH13:AI13,H$189)+COUNTIF('6月'!AM13:AN13,H$189)+COUNTIF('6月'!AR13:AS13,H$189)+COUNTIF('6月'!AW13:AX13,H$189)+COUNTIF('6月'!BB13:BC13,H$189)+COUNTIF('6月'!BG13:BH13,H$189)+COUNTIF('6月'!BL13:BM13,H$189)+COUNTIF('6月'!BQ13:BR13,H$189)+COUNTIF('6月'!BV13:BW13,H$189)+COUNTIF('6月'!CA13:CB13,H$189)+COUNTIF('6月'!CF13:CG13,H$189)+COUNTIF('6月'!CK13:CL13,H$189)+COUNTIF('6月'!CP13:CQ13,H$189)+COUNTIF('6月'!CU13:CV13,H$189)+COUNTIF('6月'!CZ13:DA13,H$189)+COUNTIF('6月'!DE13:DF13,H$189)+COUNTIF('6月'!DJ13:DK13,H$189)+COUNTIF('6月'!DO13:DP13,H$189)+COUNTIF('6月'!DT13:DU13,H$189)+COUNTIF('6月'!DY13:DZ13,H$189)+COUNTIF('6月'!ED13:EE13,H$189)+COUNTIF('6月'!EI13:EJ13,H$189)+COUNTIF('6月'!EN13:EO13,H$189)+COUNTIF('6月'!ES13:ET13,H$189)+COUNTIF('6月'!D13:E13,"渋谷-夜勤")+COUNTIF('6月'!I13:J13,"渋谷-夜勤")+COUNTIF('6月'!N13:O13,"渋谷-夜勤")+COUNTIF('6月'!S13:T13,"渋谷-夜勤")+COUNTIF('6月'!X13:Y13,"渋谷-夜勤")+COUNTIF('6月'!AC13:AD13,"渋谷-夜勤")+COUNTIF('6月'!AH13:AI13,"渋谷-夜勤")+COUNTIF('6月'!AM13:AN13,"渋谷-夜勤")+COUNTIF('6月'!AR13:AS13,"渋谷-夜勤")+COUNTIF('6月'!AW13:AX13,"渋谷-夜勤")+COUNTIF('6月'!BB13:BC13,"渋谷-夜勤")+COUNTIF('6月'!BG13:BH13,"渋谷-夜勤")+COUNTIF('6月'!BL13:BM13,"渋谷-夜勤")+COUNTIF('6月'!BQ13:BR13,"渋谷-夜勤")+COUNTIF('6月'!BV13:BW13,"渋谷-夜勤")+COUNTIF('6月'!CA13:CB13,"渋谷-夜勤")+COUNTIF('6月'!CF13:CG13,"渋谷-夜勤")+COUNTIF('6月'!CK13:CL13,"渋谷-夜勤")+COUNTIF('6月'!CP13:CQ13,"渋谷-夜勤")+COUNTIF('6月'!CU13:CV13,"渋谷-夜勤")+COUNTIF('6月'!CZ13:DA13,"渋谷-夜勤")+COUNTIF('6月'!DE13:DF13,"渋谷-夜勤")+COUNTIF('6月'!DJ13:DK13,"渋谷-夜勤")+COUNTIF('6月'!DO13:DP13,"渋谷-夜勤")+COUNTIF('6月'!DT13:DU13,"渋谷-夜勤")+COUNTIF('6月'!DY13:DZ13,"渋谷-夜勤")+COUNTIF('6月'!ED13:EE13,"渋谷-夜勤")+COUNTIF('6月'!EI13:EJ13,"渋谷-夜勤")+COUNTIF('6月'!EN13:EO13,"渋谷-夜勤")+COUNTIF('6月'!ES13:ET13,"渋谷-夜勤")</f>
        <v>0</v>
      </c>
      <c r="I200" s="76">
        <f t="shared" si="63"/>
        <v>0</v>
      </c>
      <c r="J200" s="76">
        <f>COUNTIF('6月'!D13:E13,J$189)+COUNTIF('6月'!I13:J13,J$189)+COUNTIF('6月'!N13:O13,J$189)+COUNTIF('6月'!S13:T13,J$189)+COUNTIF('6月'!X13:Y13,J$189)+COUNTIF('6月'!AC13:AD13,J$189)+COUNTIF('6月'!AH13:AI13,J$189)+COUNTIF('6月'!AM13:AN13,J$189)+COUNTIF('6月'!AR13:AS13,J$189)+COUNTIF('6月'!AW13:AX13,J$189)+COUNTIF('6月'!BB13:BC13,J$189)+COUNTIF('6月'!BG13:BH13,J$189)+COUNTIF('6月'!BL13:BM13,J$189)+COUNTIF('6月'!BQ13:BR13,J$189)+COUNTIF('6月'!BV13:BW13,J$189)+COUNTIF('6月'!CA13:CB13,J$189)+COUNTIF('6月'!CF13:CG13,J$189)+COUNTIF('6月'!CK13:CL13,J$189)+COUNTIF('6月'!CP13:CQ13,J$189)+COUNTIF('6月'!CU13:CV13,J$189)+COUNTIF('6月'!CZ13:DA13,J$189)+COUNTIF('6月'!DE13:DF13,J$189)+COUNTIF('6月'!DJ13:DK13,J$189)+COUNTIF('6月'!DO13:DP13,J$189)+COUNTIF('6月'!DT13:DU13,J$189)+COUNTIF('6月'!DY13:DZ13,J$189)+COUNTIF('6月'!ED13:EE13,J$189)+COUNTIF('6月'!EI13:EJ13,J$189)+COUNTIF('6月'!EN13:EO13,J$189)+COUNTIF('6月'!ES13:ET13,J$189)+COUNTIF('6月'!D13:E13,"六本木-夜勤")+COUNTIF('6月'!I13:J13,"六本木-夜勤")+COUNTIF('6月'!N13:O13,"六本木-夜勤")+COUNTIF('6月'!S13:T13,"六本木-夜勤")+COUNTIF('6月'!X13:Y13,"六本木-夜勤")+COUNTIF('6月'!AC13:AD13,"六本木-夜勤")+COUNTIF('6月'!AH13:AI13,"六本木-夜勤")+COUNTIF('6月'!AM13:AN13,"六本木-夜勤")+COUNTIF('6月'!AR13:AS13,"六本木-夜勤")+COUNTIF('6月'!AW13:AX13,"六本木-夜勤")+COUNTIF('6月'!BB13:BC13,"六本木-夜勤")+COUNTIF('6月'!BG13:BH13,"六本木-夜勤")+COUNTIF('6月'!BL13:BM13,"六本木-夜勤")+COUNTIF('6月'!BQ13:BR13,"六本木-夜勤")+COUNTIF('6月'!BV13:BW13,"六本木-夜勤")+COUNTIF('6月'!CA13:CB13,"六本木-夜勤")+COUNTIF('6月'!CF13:CG13,"六本木-夜勤")+COUNTIF('6月'!CK13:CL13,"六本木-夜勤")+COUNTIF('6月'!CP13:CQ13,"六本木-夜勤")+COUNTIF('6月'!CU13:CV13,"六本木-夜勤")+COUNTIF('6月'!CZ13:DA13,"六本木-夜勤")+COUNTIF('6月'!DE13:DF13,"六本木-夜勤")+COUNTIF('6月'!DJ13:DK13,"六本木-夜勤")+COUNTIF('6月'!DO13:DP13,"六本木-夜勤")+COUNTIF('6月'!DT13:DU13,"六本木-夜勤")+COUNTIF('6月'!DY13:DZ13,"六本木-夜勤")+COUNTIF('6月'!ED13:EE13,"六本木-夜勤")+COUNTIF('6月'!EI13:EJ13,"六本木-夜勤")+COUNTIF('6月'!EN13:EO13,"六本木-夜勤")+COUNTIF('6月'!ES13:ET13,"六本木-夜勤")+COUNTIF('6月'!D13:E13,"六本木ー夜勤")+COUNTIF('6月'!I13:J13,"六本木ー夜勤")+COUNTIF('6月'!N13:O13,"六本木ー夜勤")+COUNTIF('6月'!S13:T13,"六本木ー夜勤")+COUNTIF('6月'!X13:Y13,"六本木ー夜勤")+COUNTIF('6月'!AC13:AD13,"六本木ー夜勤")+COUNTIF('6月'!AH13:AI13,"六本木ー夜勤")+COUNTIF('6月'!AM13:AN13,"六本木ー夜勤")+COUNTIF('6月'!AR13:AS13,"六本木ー夜勤")+COUNTIF('6月'!AW13:AX13,"六本木ー夜勤")+COUNTIF('6月'!BB13:BC13,"六本木ー夜勤")+COUNTIF('6月'!BG13:BH13,"六本木ー夜勤")+COUNTIF('6月'!BL13:BM13,"六本木ー夜勤")+COUNTIF('6月'!BQ13:BR13,"六本木ー夜勤")+COUNTIF('6月'!BV13:BW13,"六本木ー夜勤")+COUNTIF('6月'!CA13:CB13,"六本木ー夜勤")+COUNTIF('6月'!CF13:CG13,"六本木ー夜勤")+COUNTIF('6月'!CK13:CL13,"六本木ー夜勤")+COUNTIF('6月'!CP13:CQ13,"六本木ー夜勤")+COUNTIF('6月'!CU13:CV13,"六本木ー夜勤")+COUNTIF('6月'!CZ13:DA13,"六本木ー夜勤")+COUNTIF('6月'!DE13:DF13,"六本木ー夜勤")+COUNTIF('6月'!DJ13:DK13,"六本木ー夜勤")+COUNTIF('6月'!DO13:DP13,"六本木ー夜勤")+COUNTIF('6月'!DT13:DU13,"六本木ー夜勤")+COUNTIF('6月'!DY13:DZ13,"六本木ー夜勤")+COUNTIF('6月'!ED13:EE13,"六本木ー夜勤")+COUNTIF('6月'!EI13:EJ13,"六本木ー夜勤")+COUNTIF('6月'!EN13:EO13,"六本木ー夜勤")+COUNTIF('6月'!ES13:ET13,"六本木ー夜勤")</f>
        <v>0</v>
      </c>
      <c r="K200" s="76">
        <f t="shared" si="64"/>
        <v>0</v>
      </c>
      <c r="L200" s="76">
        <f>COUNTIF('6月'!D13:E13,L$189)+COUNTIF('6月'!I13:J13,L$189)+COUNTIF('6月'!N13:O13,L$189)+COUNTIF('6月'!S13:T13,L$189)+COUNTIF('6月'!X13:Y13,L$189)+COUNTIF('6月'!AC13:AD13,L$189)+COUNTIF('6月'!AH13:AI13,L$189)+COUNTIF('6月'!AM13:AN13,L$189)+COUNTIF('6月'!AR13:AS13,L$189)+COUNTIF('6月'!AW13:AX13,L$189)+COUNTIF('6月'!BB13:BC13,L$189)+COUNTIF('6月'!BG13:BH13,L$189)+COUNTIF('6月'!BL13:BM13,L$189)+COUNTIF('6月'!BQ13:BR13,L$189)+COUNTIF('6月'!BV13:BW13,L$189)+COUNTIF('6月'!CA13:CB13,L$189)+COUNTIF('6月'!CF13:CG13,L$189)+COUNTIF('6月'!CK13:CL13,L$189)+COUNTIF('6月'!CP13:CQ13,L$189)+COUNTIF('6月'!CU13:CV13,L$189)+COUNTIF('6月'!CZ13:DA13,L$189)+COUNTIF('6月'!DE13:DF13,L$189)+COUNTIF('6月'!DJ13:DK13,L$189)+COUNTIF('6月'!DO13:DP13,L$189)+COUNTIF('6月'!DT13:DU13,L$189)+COUNTIF('6月'!DY13:DZ13,L$189)+COUNTIF('6月'!ED13:EE13,L$189)+COUNTIF('6月'!EI13:EJ13,L$189)+COUNTIF('6月'!EN13:EO13,L$189)+COUNTIF('6月'!ES13:ET13,L$189)</f>
        <v>0</v>
      </c>
      <c r="M200" s="76">
        <f t="shared" si="65"/>
        <v>0</v>
      </c>
      <c r="N200" s="76">
        <f>COUNTIF('6月'!D13:E13,N$189)+COUNTIF('6月'!I13:J13,N$189)+COUNTIF('6月'!N13:O13,N$189)+COUNTIF('6月'!S13:T13,N$189)+COUNTIF('6月'!X13:Y13,N$189)+COUNTIF('6月'!AC13:AD13,N$189)+COUNTIF('6月'!AH13:AI13,N$189)+COUNTIF('6月'!AM13:AN13,N$189)+COUNTIF('6月'!AR13:AS13,N$189)+COUNTIF('6月'!AW13:AX13,N$189)+COUNTIF('6月'!BB13:BC13,N$189)+COUNTIF('6月'!BG13:BH13,N$189)+COUNTIF('6月'!BL13:BM13,N$189)+COUNTIF('6月'!BQ13:BR13,N$189)+COUNTIF('6月'!BV13:BW13,N$189)+COUNTIF('6月'!CA13:CB13,N$189)+COUNTIF('6月'!CF13:CG13,N$189)+COUNTIF('6月'!CK13:CL13,N$189)+COUNTIF('6月'!CP13:CQ13,N$189)+COUNTIF('6月'!CU13:CV13,N$189)+COUNTIF('6月'!CZ13:DA13,N$189)+COUNTIF('6月'!DE13:DF13,N$189)+COUNTIF('6月'!DJ13:DK13,N$189)+COUNTIF('6月'!DO13:DP13,N$189)+COUNTIF('6月'!DT13:DU13,N$189)+COUNTIF('6月'!DY13:DZ13,N$189)+COUNTIF('6月'!ED13:EE13,N$189)+COUNTIF('6月'!EI13:EJ13,N$189)+COUNTIF('6月'!EN13:EO13,N$189)+COUNTIF('6月'!ES13:ET13,N$189)+COUNTIF('6月'!D13:E13,"三軒茶屋－夜勤")+COUNTIF('6月'!I13:J13,"三軒茶屋－夜勤")+COUNTIF('6月'!N13:O13,"三軒茶屋－夜勤")+COUNTIF('6月'!S13:T13,"三軒茶屋－夜勤")+COUNTIF('6月'!X13:Y13,"三軒茶屋－夜勤")+COUNTIF('6月'!AC13:AD13,"三軒茶屋－夜勤")+COUNTIF('6月'!AH13:AI13,"三軒茶屋－夜勤")+COUNTIF('6月'!AM13:AN13,"三軒茶屋－夜勤")+COUNTIF('6月'!AR13:AS13,"三軒茶屋－夜勤")+COUNTIF('6月'!AW13:AX13,"三軒茶屋－夜勤")+COUNTIF('6月'!BB13:BC13,"三軒茶屋－夜勤")+COUNTIF('6月'!BG13:BH13,"三軒茶屋－夜勤")+COUNTIF('6月'!BL13:BM13,"三軒茶屋－夜勤")+COUNTIF('6月'!BQ13:BR13,"三軒茶屋－夜勤")+COUNTIF('6月'!BV13:BW13,"三軒茶屋－夜勤")+COUNTIF('6月'!CA13:CB13,"三軒茶屋－夜勤")+COUNTIF('6月'!CF13:CG13,"三軒茶屋－夜勤")+COUNTIF('6月'!CK13:CL13,"三軒茶屋－夜勤")+COUNTIF('6月'!CP13:CQ13,"三軒茶屋－夜勤")+COUNTIF('6月'!CU13:CV13,"三軒茶屋－夜勤")+COUNTIF('6月'!CZ13:DA13,"三軒茶屋－夜勤")+COUNTIF('6月'!DE13:DF13,"三軒茶屋－夜勤")+COUNTIF('6月'!DJ13:DK13,"三軒茶屋－夜勤")+COUNTIF('6月'!DO13:DP13,"三軒茶屋－夜勤")+COUNTIF('6月'!DT13:DU13,"三軒茶屋－夜勤")+COUNTIF('6月'!DY13:DZ13,"三軒茶屋－夜勤")+COUNTIF('6月'!ED13:EE13,"三軒茶屋－夜勤")+COUNTIF('6月'!EI13:EJ13,"三軒茶屋－夜勤")+COUNTIF('6月'!EN13:EO13,"三軒茶屋－夜勤")+COUNTIF('6月'!ES13:ET13,"三軒茶屋－夜勤")</f>
        <v>0</v>
      </c>
      <c r="O200" s="76">
        <f t="shared" si="66"/>
        <v>0</v>
      </c>
      <c r="P200" s="76">
        <f>COUNTIF('6月'!D13:E13,P$189)+COUNTIF('6月'!I13:J13,P$189)+COUNTIF('6月'!N13:O13,P$189)+COUNTIF('6月'!S13:T13,P$189)+COUNTIF('6月'!X13:Y13,P$189)+COUNTIF('6月'!AC13:AD13,P$189)+COUNTIF('6月'!AH13:AI13,P$189)+COUNTIF('6月'!AM13:AN13,P$189)+COUNTIF('6月'!AR13:AS13,P$189)+COUNTIF('6月'!AW13:AX13,P$189)+COUNTIF('6月'!BB13:BC13,P$189)+COUNTIF('6月'!BG13:BH13,P$189)+COUNTIF('6月'!BL13:BM13,P$189)+COUNTIF('6月'!BQ13:BR13,P$189)+COUNTIF('6月'!BV13:BW13,P$189)+COUNTIF('6月'!CA13:CB13,P$189)+COUNTIF('6月'!CF13:CG13,P$189)+COUNTIF('6月'!CK13:CL13,P$189)+COUNTIF('6月'!CP13:CQ13,P$189)+COUNTIF('6月'!CU13:CV13,P$189)+COUNTIF('6月'!CZ13:DA13,P$189)+COUNTIF('6月'!DE13:DF13,P$189)+COUNTIF('6月'!DJ13:DK13,P$189)+COUNTIF('6月'!DO13:DP13,P$189)+COUNTIF('6月'!DT13:DU13,P$189)+COUNTIF('6月'!DY13:DZ13,P$189)+COUNTIF('6月'!ED13:EE13,P$189)+COUNTIF('6月'!EI13:EJ13,P$189)+COUNTIF('6月'!EN13:EO13,P$189)+COUNTIF('6月'!ES13:ET13,P$189)+COUNTIF('6月'!D13:E13,"荻窪ー夜勤")+COUNTIF('6月'!I13:J13,"荻窪ー夜勤")+COUNTIF('6月'!N13:O13,"荻窪ー夜勤")+COUNTIF('6月'!S13:T13,"荻窪ー夜勤")+COUNTIF('6月'!X13:Y13,"荻窪ー夜勤")+COUNTIF('6月'!AC13:AD13,"荻窪ー夜勤")+COUNTIF('6月'!AH13:AI13,"荻窪ー夜勤")+COUNTIF('6月'!AM13:AN13,"荻窪ー夜勤")+COUNTIF('6月'!AR13:AS13,"荻窪ー夜勤")+COUNTIF('6月'!AW13:AX13,"荻窪ー夜勤")+COUNTIF('6月'!BB13:BC13,"荻窪ー夜勤")+COUNTIF('6月'!BG13:BH13,"荻窪ー夜勤")+COUNTIF('6月'!BL13:BM13,"荻窪ー夜勤")+COUNTIF('6月'!BQ13:BR13,"荻窪ー夜勤")+COUNTIF('6月'!BV13:BW13,"荻窪ー夜勤")+COUNTIF('6月'!CA13:CB13,"荻窪ー夜勤")+COUNTIF('6月'!CF13:CG13,"荻窪ー夜勤")+COUNTIF('6月'!CK13:CL13,"荻窪ー夜勤")+COUNTIF('6月'!CP13:CQ13,"荻窪ー夜勤")+COUNTIF('6月'!CU13:CV13,"荻窪ー夜勤")+COUNTIF('6月'!CZ13:DA13,"荻窪ー夜勤")+COUNTIF('6月'!DE13:DF13,"荻窪ー夜勤")+COUNTIF('6月'!DJ13:DK13,"荻窪ー夜勤")+COUNTIF('6月'!DO13:DP13,"荻窪ー夜勤")+COUNTIF('6月'!DT13:DU13,"荻窪ー夜勤")+COUNTIF('6月'!DY13:DZ13,"荻窪ー夜勤")+COUNTIF('6月'!ED13:EE13,"荻窪ー夜勤")+COUNTIF('6月'!EI13:EJ13,"荻窪ー夜勤")+COUNTIF('6月'!EN13:EO13,"荻窪ー夜勤")+COUNTIF('6月'!ES13:ET13,"荻窪ー夜勤")</f>
        <v>0</v>
      </c>
      <c r="Q200" s="76">
        <f t="shared" si="67"/>
        <v>0</v>
      </c>
      <c r="R200" s="76">
        <f>COUNTIF('6月'!D13:E13,R$189)+COUNTIF('6月'!I13:J13,R$189)+COUNTIF('6月'!N13:O13,R$189)+COUNTIF('6月'!S13:T13,R$189)+COUNTIF('6月'!X13:Y13,R$189)+COUNTIF('6月'!AC13:AD13,R$189)+COUNTIF('6月'!AH13:AI13,R$189)+COUNTIF('6月'!AM13:AN13,R$189)+COUNTIF('6月'!AR13:AS13,R$189)+COUNTIF('6月'!AW13:AX13,R$189)+COUNTIF('6月'!BB13:BC13,R$189)+COUNTIF('6月'!BG13:BH13,R$189)+COUNTIF('6月'!BL13:BM13,R$189)+COUNTIF('6月'!BQ13:BR13,R$189)+COUNTIF('6月'!BV13:BW13,R$189)+COUNTIF('6月'!CA13:CB13,R$189)+COUNTIF('6月'!CF13:CG13,R$189)+COUNTIF('6月'!CK13:CL13,R$189)+COUNTIF('6月'!CP13:CQ13,R$189)+COUNTIF('6月'!CU13:CV13,R$189)+COUNTIF('6月'!CZ13:DA13,R$189)+COUNTIF('6月'!DE13:DF13,R$189)+COUNTIF('6月'!DJ13:DK13,R$189)+COUNTIF('6月'!DO13:DP13,R$189)+COUNTIF('6月'!DT13:DU13,R$189)+COUNTIF('6月'!DY13:DZ13,R$189)+COUNTIF('6月'!ED13:EE13,R$189)+COUNTIF('6月'!EI13:EJ13,R$189)+COUNTIF('6月'!EN13:EO13,R$189)+COUNTIF('6月'!ES13:ET13,R$189)</f>
        <v>0</v>
      </c>
      <c r="S200" s="76">
        <f t="shared" si="68"/>
        <v>0</v>
      </c>
      <c r="T200" s="76">
        <f>COUNTIF('6月'!D13:E13,T$189)+COUNTIF('6月'!I13:J13,T$189)+COUNTIF('6月'!N13:O13,T$189)+COUNTIF('6月'!S13:T13,T$189)+COUNTIF('6月'!X13:Y13,T$189)+COUNTIF('6月'!AC13:AD13,T$189)+COUNTIF('6月'!AH13:AI13,T$189)+COUNTIF('6月'!AM13:AN13,T$189)+COUNTIF('6月'!AR13:AS13,T$189)+COUNTIF('6月'!AW13:AX13,T$189)+COUNTIF('6月'!BB13:BC13,T$189)+COUNTIF('6月'!BG13:BH13,T$189)+COUNTIF('6月'!BL13:BM13,T$189)+COUNTIF('6月'!BQ13:BR13,T$189)+COUNTIF('6月'!BV13:BW13,T$189)+COUNTIF('6月'!CA13:CB13,T$189)+COUNTIF('6月'!CF13:CG13,T$189)+COUNTIF('6月'!CK13:CL13,T$189)+COUNTIF('6月'!CP13:CQ13,T$189)+COUNTIF('6月'!CU13:CV13,T$189)+COUNTIF('6月'!CZ13:DA13,T$189)+COUNTIF('6月'!DE13:DF13,T$189)+COUNTIF('6月'!DJ13:DK13,T$189)+COUNTIF('6月'!DO13:DP13,T$189)+COUNTIF('6月'!DT13:DU13,T$189)+COUNTIF('6月'!DY13:DZ13,T$189)+COUNTIF('6月'!ED13:EE13,T$189)+COUNTIF('6月'!EI13:EJ13,T$189)+COUNTIF('6月'!EN13:EO13,T$189)+COUNTIF('6月'!ES13:ET13,T$189)</f>
        <v>0</v>
      </c>
      <c r="U200" s="76">
        <f t="shared" si="69"/>
        <v>0</v>
      </c>
      <c r="V200" s="76">
        <f>COUNTIF('6月'!D13:E13,V$189)+COUNTIF('6月'!I13:J13,V$189)+COUNTIF('6月'!N13:O13,V$189)+COUNTIF('6月'!S13:T13,V$189)+COUNTIF('6月'!X13:Y13,V$189)+COUNTIF('6月'!AC13:AD13,V$189)+COUNTIF('6月'!AH13:AI13,V$189)+COUNTIF('6月'!AM13:AN13,V$189)+COUNTIF('6月'!AR13:AS13,V$189)+COUNTIF('6月'!AW13:AX13,V$189)+COUNTIF('6月'!BB13:BC13,V$189)+COUNTIF('6月'!BG13:BH13,V$189)+COUNTIF('6月'!BL13:BM13,V$189)+COUNTIF('6月'!BQ13:BR13,V$189)+COUNTIF('6月'!BV13:BW13,V$189)+COUNTIF('6月'!CA13:CB13,V$189)+COUNTIF('6月'!CF13:CG13,V$189)+COUNTIF('6月'!CK13:CL13,V$189)+COUNTIF('6月'!CP13:CQ13,V$189)+COUNTIF('6月'!CU13:CV13,V$189)+COUNTIF('6月'!CZ13:DA13,V$189)+COUNTIF('6月'!DE13:DF13,V$189)+COUNTIF('6月'!DJ13:DK13,V$189)+COUNTIF('6月'!DO13:DP13,V$189)+COUNTIF('6月'!DT13:DU13,V$189)+COUNTIF('6月'!DY13:DZ13,V$189)+COUNTIF('6月'!ED13:EE13,V$189)+COUNTIF('6月'!EI13:EJ13,V$189)+COUNTIF('6月'!EN13:EO13,V$189)+COUNTIF('6月'!ES13:ET13,V$189)</f>
        <v>0</v>
      </c>
      <c r="W200" s="76">
        <f t="shared" si="70"/>
        <v>0</v>
      </c>
      <c r="X200" s="76">
        <f>COUNTIF('6月'!D13:E13,X$189)+COUNTIF('6月'!I13:J13,X$189)+COUNTIF('6月'!N13:O13,X$189)+COUNTIF('6月'!S13:T13,X$189)+COUNTIF('6月'!X13:Y13,X$189)+COUNTIF('6月'!AC13:AD13,X$189)+COUNTIF('6月'!AH13:AI13,X$189)+COUNTIF('6月'!AM13:AN13,X$189)+COUNTIF('6月'!AR13:AS13,X$189)+COUNTIF('6月'!AW13:AX13,X$189)+COUNTIF('6月'!BB13:BC13,X$189)+COUNTIF('6月'!BG13:BH13,X$189)+COUNTIF('6月'!BL13:BM13,X$189)+COUNTIF('6月'!BQ13:BR13,X$189)+COUNTIF('6月'!BV13:BW13,X$189)+COUNTIF('6月'!CA13:CB13,X$189)+COUNTIF('6月'!CF13:CG13,X$189)+COUNTIF('6月'!CK13:CL13,X$189)+COUNTIF('6月'!CP13:CQ13,X$189)+COUNTIF('6月'!CU13:CV13,X$189)+COUNTIF('6月'!CZ13:DA13,X$189)+COUNTIF('6月'!DE13:DF13,X$189)+COUNTIF('6月'!DJ13:DK13,X$189)+COUNTIF('6月'!DO13:DP13,X$189)+COUNTIF('6月'!DT13:DU13,X$189)+COUNTIF('6月'!DY13:DZ13,X$189)+COUNTIF('6月'!ED13:EE13,X$189)+COUNTIF('6月'!EI13:EJ13,X$189)+COUNTIF('6月'!EN13:EO13,X$189)+COUNTIF('6月'!ES13:ET13,X$189)</f>
        <v>0</v>
      </c>
      <c r="Y200" s="76">
        <f t="shared" si="71"/>
        <v>0</v>
      </c>
    </row>
    <row r="201" spans="1:25" ht="18" customHeight="1">
      <c r="A201" s="76">
        <v>11</v>
      </c>
      <c r="B201" s="76">
        <f>COUNTIF('6月'!D14:E14,B$189)+COUNTIF('6月'!I14:J14,B$189)+COUNTIF('6月'!N14:O14,B$189)+COUNTIF('6月'!S14:T14,B$189)+COUNTIF('6月'!X14:Y14,B$189)+COUNTIF('6月'!AC14:AD14,B$189)+COUNTIF('6月'!AH14:AI14,B$189)+COUNTIF('6月'!AM14:AN14,B$189)+COUNTIF('6月'!AR14:AS14,B$189)+COUNTIF('6月'!AW14:AX14,B$189)+COUNTIF('6月'!BB14:BC14,B$189)+COUNTIF('6月'!BG14:BH14,B$189)+COUNTIF('6月'!BL14:BM14,B$189)+COUNTIF('6月'!BQ14:BR14,B$189)+COUNTIF('6月'!BV14:BW14,B$189)+COUNTIF('6月'!CA14:CB14,B$189)+COUNTIF('6月'!CF14:CG14,B$189)+COUNTIF('6月'!CK14:CL14,B$189)+COUNTIF('6月'!CP14:CQ14,B$189)+COUNTIF('6月'!CU14:CV14,B$189)+COUNTIF('6月'!CZ14:DA14,B$189)+COUNTIF('6月'!DE14:DF14,B$189)+COUNTIF('6月'!DJ14:DK14,B$189)+COUNTIF('6月'!DO14:DP14,B$189)+COUNTIF('6月'!DT14:DU14,B$189)+COUNTIF('6月'!DY14:DZ14,B$189)+COUNTIF('6月'!ED14:EE14,B$189)+COUNTIF('6月'!EI14:EJ14,B$189)+COUNTIF('6月'!EN14:EO14,B$189)+COUNTIF('6月'!ES14:ET14,B$189)</f>
        <v>0</v>
      </c>
      <c r="C201" s="76">
        <f t="shared" si="60"/>
        <v>0</v>
      </c>
      <c r="D201" s="76">
        <f>COUNTIF('6月'!D14:E14,D$189)+COUNTIF('6月'!I14:J14,D$189)+COUNTIF('6月'!N14:O14,D$189)+COUNTIF('6月'!S14:T14,D$189)+COUNTIF('6月'!X14:Y14,D$189)+COUNTIF('6月'!AC14:AD14,D$189)+COUNTIF('6月'!AH14:AI14,D$189)+COUNTIF('6月'!AM14:AN14,D$189)+COUNTIF('6月'!AR14:AS14,D$189)+COUNTIF('6月'!AW14:AX14,D$189)+COUNTIF('6月'!BB14:BC14,D$189)+COUNTIF('6月'!BG14:BH14,D$189)+COUNTIF('6月'!BL14:BM14,D$189)+COUNTIF('6月'!BQ14:BR14,D$189)+COUNTIF('6月'!BV14:BW14,D$189)+COUNTIF('6月'!CA14:CB14,D$189)+COUNTIF('6月'!CF14:CG14,D$189)+COUNTIF('6月'!CK14:CL14,D$189)+COUNTIF('6月'!CP14:CQ14,D$189)+COUNTIF('6月'!CU14:CV14,D$189)+COUNTIF('6月'!CZ14:DA14,D$189)+COUNTIF('6月'!DE14:DF14,D$189)+COUNTIF('6月'!DJ14:DK14,D$189)+COUNTIF('6月'!DO14:DP14,D$189)+COUNTIF('6月'!DT14:DU14,D$189)+COUNTIF('6月'!DY14:DZ14,D$189)+COUNTIF('6月'!ED14:EE14,D$189)+COUNTIF('6月'!EI14:EJ14,D$189)+COUNTIF('6月'!EN14:EO14,D$189)+COUNTIF('6月'!ES14:ET14,D$189)</f>
        <v>0</v>
      </c>
      <c r="E201" s="76">
        <f t="shared" si="61"/>
        <v>0</v>
      </c>
      <c r="F201" s="76">
        <f>COUNTIF('6月'!D14:E14,F$189)+COUNTIF('6月'!I14:J14,F$189)+COUNTIF('6月'!N14:O14,F$189)+COUNTIF('6月'!S14:T14,F$189)+COUNTIF('6月'!X14:Y14,F$189)+COUNTIF('6月'!AC14:AD14,F$189)+COUNTIF('6月'!AH14:AI14,F$189)+COUNTIF('6月'!AM14:AN14,F$189)+COUNTIF('6月'!AR14:AS14,F$189)+COUNTIF('6月'!AW14:AX14,F$189)+COUNTIF('6月'!BB14:BC14,F$189)+COUNTIF('6月'!BG14:BH14,F$189)+COUNTIF('6月'!BL14:BM14,F$189)+COUNTIF('6月'!BQ14:BR14,F$189)+COUNTIF('6月'!BV14:BW14,F$189)+COUNTIF('6月'!CA14:CB14,F$189)+COUNTIF('6月'!CF14:CG14,F$189)+COUNTIF('6月'!CK14:CL14,F$189)+COUNTIF('6月'!CP14:CQ14,F$189)+COUNTIF('6月'!CU14:CV14,F$189)+COUNTIF('6月'!CZ14:DA14,F$189)+COUNTIF('6月'!DE14:DF14,F$189)+COUNTIF('6月'!DJ14:DK14,F$189)+COUNTIF('6月'!DO14:DP14,F$189)+COUNTIF('6月'!DT14:DU14,F$189)+COUNTIF('6月'!DY14:DZ14,F$189)+COUNTIF('6月'!ED14:EE14,F$189)+COUNTIF('6月'!EI14:EJ14,F$189)+COUNTIF('6月'!EN14:EO14,F$189)+COUNTIF('6月'!ES14:ET14,F$189)</f>
        <v>0</v>
      </c>
      <c r="G201" s="76">
        <f t="shared" si="62"/>
        <v>0</v>
      </c>
      <c r="H201" s="76">
        <f>COUNTIF('6月'!D14:E14,H$189)+COUNTIF('6月'!I14:J14,H$189)+COUNTIF('6月'!N14:O14,H$189)+COUNTIF('6月'!S14:T14,H$189)+COUNTIF('6月'!X14:Y14,H$189)+COUNTIF('6月'!AC14:AD14,H$189)+COUNTIF('6月'!AH14:AI14,H$189)+COUNTIF('6月'!AM14:AN14,H$189)+COUNTIF('6月'!AR14:AS14,H$189)+COUNTIF('6月'!AW14:AX14,H$189)+COUNTIF('6月'!BB14:BC14,H$189)+COUNTIF('6月'!BG14:BH14,H$189)+COUNTIF('6月'!BL14:BM14,H$189)+COUNTIF('6月'!BQ14:BR14,H$189)+COUNTIF('6月'!BV14:BW14,H$189)+COUNTIF('6月'!CA14:CB14,H$189)+COUNTIF('6月'!CF14:CG14,H$189)+COUNTIF('6月'!CK14:CL14,H$189)+COUNTIF('6月'!CP14:CQ14,H$189)+COUNTIF('6月'!CU14:CV14,H$189)+COUNTIF('6月'!CZ14:DA14,H$189)+COUNTIF('6月'!DE14:DF14,H$189)+COUNTIF('6月'!DJ14:DK14,H$189)+COUNTIF('6月'!DO14:DP14,H$189)+COUNTIF('6月'!DT14:DU14,H$189)+COUNTIF('6月'!DY14:DZ14,H$189)+COUNTIF('6月'!ED14:EE14,H$189)+COUNTIF('6月'!EI14:EJ14,H$189)+COUNTIF('6月'!EN14:EO14,H$189)+COUNTIF('6月'!ES14:ET14,H$189)+COUNTIF('6月'!D14:E14,"渋谷-夜勤")+COUNTIF('6月'!I14:J14,"渋谷-夜勤")+COUNTIF('6月'!N14:O14,"渋谷-夜勤")+COUNTIF('6月'!S14:T14,"渋谷-夜勤")+COUNTIF('6月'!X14:Y14,"渋谷-夜勤")+COUNTIF('6月'!AC14:AD14,"渋谷-夜勤")+COUNTIF('6月'!AH14:AI14,"渋谷-夜勤")+COUNTIF('6月'!AM14:AN14,"渋谷-夜勤")+COUNTIF('6月'!AR14:AS14,"渋谷-夜勤")+COUNTIF('6月'!AW14:AX14,"渋谷-夜勤")+COUNTIF('6月'!BB14:BC14,"渋谷-夜勤")+COUNTIF('6月'!BG14:BH14,"渋谷-夜勤")+COUNTIF('6月'!BL14:BM14,"渋谷-夜勤")+COUNTIF('6月'!BQ14:BR14,"渋谷-夜勤")+COUNTIF('6月'!BV14:BW14,"渋谷-夜勤")+COUNTIF('6月'!CA14:CB14,"渋谷-夜勤")+COUNTIF('6月'!CF14:CG14,"渋谷-夜勤")+COUNTIF('6月'!CK14:CL14,"渋谷-夜勤")+COUNTIF('6月'!CP14:CQ14,"渋谷-夜勤")+COUNTIF('6月'!CU14:CV14,"渋谷-夜勤")+COUNTIF('6月'!CZ14:DA14,"渋谷-夜勤")+COUNTIF('6月'!DE14:DF14,"渋谷-夜勤")+COUNTIF('6月'!DJ14:DK14,"渋谷-夜勤")+COUNTIF('6月'!DO14:DP14,"渋谷-夜勤")+COUNTIF('6月'!DT14:DU14,"渋谷-夜勤")+COUNTIF('6月'!DY14:DZ14,"渋谷-夜勤")+COUNTIF('6月'!ED14:EE14,"渋谷-夜勤")+COUNTIF('6月'!EI14:EJ14,"渋谷-夜勤")+COUNTIF('6月'!EN14:EO14,"渋谷-夜勤")+COUNTIF('6月'!ES14:ET14,"渋谷-夜勤")</f>
        <v>0</v>
      </c>
      <c r="I201" s="76">
        <f t="shared" si="63"/>
        <v>0</v>
      </c>
      <c r="J201" s="76">
        <f>COUNTIF('6月'!D14:E14,J$189)+COUNTIF('6月'!I14:J14,J$189)+COUNTIF('6月'!N14:O14,J$189)+COUNTIF('6月'!S14:T14,J$189)+COUNTIF('6月'!X14:Y14,J$189)+COUNTIF('6月'!AC14:AD14,J$189)+COUNTIF('6月'!AH14:AI14,J$189)+COUNTIF('6月'!AM14:AN14,J$189)+COUNTIF('6月'!AR14:AS14,J$189)+COUNTIF('6月'!AW14:AX14,J$189)+COUNTIF('6月'!BB14:BC14,J$189)+COUNTIF('6月'!BG14:BH14,J$189)+COUNTIF('6月'!BL14:BM14,J$189)+COUNTIF('6月'!BQ14:BR14,J$189)+COUNTIF('6月'!BV14:BW14,J$189)+COUNTIF('6月'!CA14:CB14,J$189)+COUNTIF('6月'!CF14:CG14,J$189)+COUNTIF('6月'!CK14:CL14,J$189)+COUNTIF('6月'!CP14:CQ14,J$189)+COUNTIF('6月'!CU14:CV14,J$189)+COUNTIF('6月'!CZ14:DA14,J$189)+COUNTIF('6月'!DE14:DF14,J$189)+COUNTIF('6月'!DJ14:DK14,J$189)+COUNTIF('6月'!DO14:DP14,J$189)+COUNTIF('6月'!DT14:DU14,J$189)+COUNTIF('6月'!DY14:DZ14,J$189)+COUNTIF('6月'!ED14:EE14,J$189)+COUNTIF('6月'!EI14:EJ14,J$189)+COUNTIF('6月'!EN14:EO14,J$189)+COUNTIF('6月'!ES14:ET14,J$189)+COUNTIF('6月'!D14:E14,"六本木-夜勤")+COUNTIF('6月'!I14:J14,"六本木-夜勤")+COUNTIF('6月'!N14:O14,"六本木-夜勤")+COUNTIF('6月'!S14:T14,"六本木-夜勤")+COUNTIF('6月'!X14:Y14,"六本木-夜勤")+COUNTIF('6月'!AC14:AD14,"六本木-夜勤")+COUNTIF('6月'!AH14:AI14,"六本木-夜勤")+COUNTIF('6月'!AM14:AN14,"六本木-夜勤")+COUNTIF('6月'!AR14:AS14,"六本木-夜勤")+COUNTIF('6月'!AW14:AX14,"六本木-夜勤")+COUNTIF('6月'!BB14:BC14,"六本木-夜勤")+COUNTIF('6月'!BG14:BH14,"六本木-夜勤")+COUNTIF('6月'!BL14:BM14,"六本木-夜勤")+COUNTIF('6月'!BQ14:BR14,"六本木-夜勤")+COUNTIF('6月'!BV14:BW14,"六本木-夜勤")+COUNTIF('6月'!CA14:CB14,"六本木-夜勤")+COUNTIF('6月'!CF14:CG14,"六本木-夜勤")+COUNTIF('6月'!CK14:CL14,"六本木-夜勤")+COUNTIF('6月'!CP14:CQ14,"六本木-夜勤")+COUNTIF('6月'!CU14:CV14,"六本木-夜勤")+COUNTIF('6月'!CZ14:DA14,"六本木-夜勤")+COUNTIF('6月'!DE14:DF14,"六本木-夜勤")+COUNTIF('6月'!DJ14:DK14,"六本木-夜勤")+COUNTIF('6月'!DO14:DP14,"六本木-夜勤")+COUNTIF('6月'!DT14:DU14,"六本木-夜勤")+COUNTIF('6月'!DY14:DZ14,"六本木-夜勤")+COUNTIF('6月'!ED14:EE14,"六本木-夜勤")+COUNTIF('6月'!EI14:EJ14,"六本木-夜勤")+COUNTIF('6月'!EN14:EO14,"六本木-夜勤")+COUNTIF('6月'!ES14:ET14,"六本木-夜勤")+COUNTIF('6月'!D14:E14,"六本木ー夜勤")+COUNTIF('6月'!I14:J14,"六本木ー夜勤")+COUNTIF('6月'!N14:O14,"六本木ー夜勤")+COUNTIF('6月'!S14:T14,"六本木ー夜勤")+COUNTIF('6月'!X14:Y14,"六本木ー夜勤")+COUNTIF('6月'!AC14:AD14,"六本木ー夜勤")+COUNTIF('6月'!AH14:AI14,"六本木ー夜勤")+COUNTIF('6月'!AM14:AN14,"六本木ー夜勤")+COUNTIF('6月'!AR14:AS14,"六本木ー夜勤")+COUNTIF('6月'!AW14:AX14,"六本木ー夜勤")+COUNTIF('6月'!BB14:BC14,"六本木ー夜勤")+COUNTIF('6月'!BG14:BH14,"六本木ー夜勤")+COUNTIF('6月'!BL14:BM14,"六本木ー夜勤")+COUNTIF('6月'!BQ14:BR14,"六本木ー夜勤")+COUNTIF('6月'!BV14:BW14,"六本木ー夜勤")+COUNTIF('6月'!CA14:CB14,"六本木ー夜勤")+COUNTIF('6月'!CF14:CG14,"六本木ー夜勤")+COUNTIF('6月'!CK14:CL14,"六本木ー夜勤")+COUNTIF('6月'!CP14:CQ14,"六本木ー夜勤")+COUNTIF('6月'!CU14:CV14,"六本木ー夜勤")+COUNTIF('6月'!CZ14:DA14,"六本木ー夜勤")+COUNTIF('6月'!DE14:DF14,"六本木ー夜勤")+COUNTIF('6月'!DJ14:DK14,"六本木ー夜勤")+COUNTIF('6月'!DO14:DP14,"六本木ー夜勤")+COUNTIF('6月'!DT14:DU14,"六本木ー夜勤")+COUNTIF('6月'!DY14:DZ14,"六本木ー夜勤")+COUNTIF('6月'!ED14:EE14,"六本木ー夜勤")+COUNTIF('6月'!EI14:EJ14,"六本木ー夜勤")+COUNTIF('6月'!EN14:EO14,"六本木ー夜勤")+COUNTIF('6月'!ES14:ET14,"六本木ー夜勤")</f>
        <v>0</v>
      </c>
      <c r="K201" s="76">
        <f t="shared" si="64"/>
        <v>0</v>
      </c>
      <c r="L201" s="76">
        <f>COUNTIF('6月'!D14:E14,L$189)+COUNTIF('6月'!I14:J14,L$189)+COUNTIF('6月'!N14:O14,L$189)+COUNTIF('6月'!S14:T14,L$189)+COUNTIF('6月'!X14:Y14,L$189)+COUNTIF('6月'!AC14:AD14,L$189)+COUNTIF('6月'!AH14:AI14,L$189)+COUNTIF('6月'!AM14:AN14,L$189)+COUNTIF('6月'!AR14:AS14,L$189)+COUNTIF('6月'!AW14:AX14,L$189)+COUNTIF('6月'!BB14:BC14,L$189)+COUNTIF('6月'!BG14:BH14,L$189)+COUNTIF('6月'!BL14:BM14,L$189)+COUNTIF('6月'!BQ14:BR14,L$189)+COUNTIF('6月'!BV14:BW14,L$189)+COUNTIF('6月'!CA14:CB14,L$189)+COUNTIF('6月'!CF14:CG14,L$189)+COUNTIF('6月'!CK14:CL14,L$189)+COUNTIF('6月'!CP14:CQ14,L$189)+COUNTIF('6月'!CU14:CV14,L$189)+COUNTIF('6月'!CZ14:DA14,L$189)+COUNTIF('6月'!DE14:DF14,L$189)+COUNTIF('6月'!DJ14:DK14,L$189)+COUNTIF('6月'!DO14:DP14,L$189)+COUNTIF('6月'!DT14:DU14,L$189)+COUNTIF('6月'!DY14:DZ14,L$189)+COUNTIF('6月'!ED14:EE14,L$189)+COUNTIF('6月'!EI14:EJ14,L$189)+COUNTIF('6月'!EN14:EO14,L$189)+COUNTIF('6月'!ES14:ET14,L$189)</f>
        <v>0</v>
      </c>
      <c r="M201" s="76">
        <f t="shared" si="65"/>
        <v>0</v>
      </c>
      <c r="N201" s="76">
        <f>COUNTIF('6月'!D14:E14,N$189)+COUNTIF('6月'!I14:J14,N$189)+COUNTIF('6月'!N14:O14,N$189)+COUNTIF('6月'!S14:T14,N$189)+COUNTIF('6月'!X14:Y14,N$189)+COUNTIF('6月'!AC14:AD14,N$189)+COUNTIF('6月'!AH14:AI14,N$189)+COUNTIF('6月'!AM14:AN14,N$189)+COUNTIF('6月'!AR14:AS14,N$189)+COUNTIF('6月'!AW14:AX14,N$189)+COUNTIF('6月'!BB14:BC14,N$189)+COUNTIF('6月'!BG14:BH14,N$189)+COUNTIF('6月'!BL14:BM14,N$189)+COUNTIF('6月'!BQ14:BR14,N$189)+COUNTIF('6月'!BV14:BW14,N$189)+COUNTIF('6月'!CA14:CB14,N$189)+COUNTIF('6月'!CF14:CG14,N$189)+COUNTIF('6月'!CK14:CL14,N$189)+COUNTIF('6月'!CP14:CQ14,N$189)+COUNTIF('6月'!CU14:CV14,N$189)+COUNTIF('6月'!CZ14:DA14,N$189)+COUNTIF('6月'!DE14:DF14,N$189)+COUNTIF('6月'!DJ14:DK14,N$189)+COUNTIF('6月'!DO14:DP14,N$189)+COUNTIF('6月'!DT14:DU14,N$189)+COUNTIF('6月'!DY14:DZ14,N$189)+COUNTIF('6月'!ED14:EE14,N$189)+COUNTIF('6月'!EI14:EJ14,N$189)+COUNTIF('6月'!EN14:EO14,N$189)+COUNTIF('6月'!ES14:ET14,N$189)+COUNTIF('6月'!D14:E14,"三軒茶屋－夜勤")+COUNTIF('6月'!I14:J14,"三軒茶屋－夜勤")+COUNTIF('6月'!N14:O14,"三軒茶屋－夜勤")+COUNTIF('6月'!S14:T14,"三軒茶屋－夜勤")+COUNTIF('6月'!X14:Y14,"三軒茶屋－夜勤")+COUNTIF('6月'!AC14:AD14,"三軒茶屋－夜勤")+COUNTIF('6月'!AH14:AI14,"三軒茶屋－夜勤")+COUNTIF('6月'!AM14:AN14,"三軒茶屋－夜勤")+COUNTIF('6月'!AR14:AS14,"三軒茶屋－夜勤")+COUNTIF('6月'!AW14:AX14,"三軒茶屋－夜勤")+COUNTIF('6月'!BB14:BC14,"三軒茶屋－夜勤")+COUNTIF('6月'!BG14:BH14,"三軒茶屋－夜勤")+COUNTIF('6月'!BL14:BM14,"三軒茶屋－夜勤")+COUNTIF('6月'!BQ14:BR14,"三軒茶屋－夜勤")+COUNTIF('6月'!BV14:BW14,"三軒茶屋－夜勤")+COUNTIF('6月'!CA14:CB14,"三軒茶屋－夜勤")+COUNTIF('6月'!CF14:CG14,"三軒茶屋－夜勤")+COUNTIF('6月'!CK14:CL14,"三軒茶屋－夜勤")+COUNTIF('6月'!CP14:CQ14,"三軒茶屋－夜勤")+COUNTIF('6月'!CU14:CV14,"三軒茶屋－夜勤")+COUNTIF('6月'!CZ14:DA14,"三軒茶屋－夜勤")+COUNTIF('6月'!DE14:DF14,"三軒茶屋－夜勤")+COUNTIF('6月'!DJ14:DK14,"三軒茶屋－夜勤")+COUNTIF('6月'!DO14:DP14,"三軒茶屋－夜勤")+COUNTIF('6月'!DT14:DU14,"三軒茶屋－夜勤")+COUNTIF('6月'!DY14:DZ14,"三軒茶屋－夜勤")+COUNTIF('6月'!ED14:EE14,"三軒茶屋－夜勤")+COUNTIF('6月'!EI14:EJ14,"三軒茶屋－夜勤")+COUNTIF('6月'!EN14:EO14,"三軒茶屋－夜勤")+COUNTIF('6月'!ES14:ET14,"三軒茶屋－夜勤")</f>
        <v>0</v>
      </c>
      <c r="O201" s="76">
        <f t="shared" si="66"/>
        <v>0</v>
      </c>
      <c r="P201" s="76">
        <f>COUNTIF('6月'!D14:E14,P$189)+COUNTIF('6月'!I14:J14,P$189)+COUNTIF('6月'!N14:O14,P$189)+COUNTIF('6月'!S14:T14,P$189)+COUNTIF('6月'!X14:Y14,P$189)+COUNTIF('6月'!AC14:AD14,P$189)+COUNTIF('6月'!AH14:AI14,P$189)+COUNTIF('6月'!AM14:AN14,P$189)+COUNTIF('6月'!AR14:AS14,P$189)+COUNTIF('6月'!AW14:AX14,P$189)+COUNTIF('6月'!BB14:BC14,P$189)+COUNTIF('6月'!BG14:BH14,P$189)+COUNTIF('6月'!BL14:BM14,P$189)+COUNTIF('6月'!BQ14:BR14,P$189)+COUNTIF('6月'!BV14:BW14,P$189)+COUNTIF('6月'!CA14:CB14,P$189)+COUNTIF('6月'!CF14:CG14,P$189)+COUNTIF('6月'!CK14:CL14,P$189)+COUNTIF('6月'!CP14:CQ14,P$189)+COUNTIF('6月'!CU14:CV14,P$189)+COUNTIF('6月'!CZ14:DA14,P$189)+COUNTIF('6月'!DE14:DF14,P$189)+COUNTIF('6月'!DJ14:DK14,P$189)+COUNTIF('6月'!DO14:DP14,P$189)+COUNTIF('6月'!DT14:DU14,P$189)+COUNTIF('6月'!DY14:DZ14,P$189)+COUNTIF('6月'!ED14:EE14,P$189)+COUNTIF('6月'!EI14:EJ14,P$189)+COUNTIF('6月'!EN14:EO14,P$189)+COUNTIF('6月'!ES14:ET14,P$189)+COUNTIF('6月'!D14:E14,"荻窪ー夜勤")+COUNTIF('6月'!I14:J14,"荻窪ー夜勤")+COUNTIF('6月'!N14:O14,"荻窪ー夜勤")+COUNTIF('6月'!S14:T14,"荻窪ー夜勤")+COUNTIF('6月'!X14:Y14,"荻窪ー夜勤")+COUNTIF('6月'!AC14:AD14,"荻窪ー夜勤")+COUNTIF('6月'!AH14:AI14,"荻窪ー夜勤")+COUNTIF('6月'!AM14:AN14,"荻窪ー夜勤")+COUNTIF('6月'!AR14:AS14,"荻窪ー夜勤")+COUNTIF('6月'!AW14:AX14,"荻窪ー夜勤")+COUNTIF('6月'!BB14:BC14,"荻窪ー夜勤")+COUNTIF('6月'!BG14:BH14,"荻窪ー夜勤")+COUNTIF('6月'!BL14:BM14,"荻窪ー夜勤")+COUNTIF('6月'!BQ14:BR14,"荻窪ー夜勤")+COUNTIF('6月'!BV14:BW14,"荻窪ー夜勤")+COUNTIF('6月'!CA14:CB14,"荻窪ー夜勤")+COUNTIF('6月'!CF14:CG14,"荻窪ー夜勤")+COUNTIF('6月'!CK14:CL14,"荻窪ー夜勤")+COUNTIF('6月'!CP14:CQ14,"荻窪ー夜勤")+COUNTIF('6月'!CU14:CV14,"荻窪ー夜勤")+COUNTIF('6月'!CZ14:DA14,"荻窪ー夜勤")+COUNTIF('6月'!DE14:DF14,"荻窪ー夜勤")+COUNTIF('6月'!DJ14:DK14,"荻窪ー夜勤")+COUNTIF('6月'!DO14:DP14,"荻窪ー夜勤")+COUNTIF('6月'!DT14:DU14,"荻窪ー夜勤")+COUNTIF('6月'!DY14:DZ14,"荻窪ー夜勤")+COUNTIF('6月'!ED14:EE14,"荻窪ー夜勤")+COUNTIF('6月'!EI14:EJ14,"荻窪ー夜勤")+COUNTIF('6月'!EN14:EO14,"荻窪ー夜勤")+COUNTIF('6月'!ES14:ET14,"荻窪ー夜勤")</f>
        <v>0</v>
      </c>
      <c r="Q201" s="76">
        <f t="shared" si="67"/>
        <v>0</v>
      </c>
      <c r="R201" s="76">
        <f>COUNTIF('6月'!D14:E14,R$189)+COUNTIF('6月'!I14:J14,R$189)+COUNTIF('6月'!N14:O14,R$189)+COUNTIF('6月'!S14:T14,R$189)+COUNTIF('6月'!X14:Y14,R$189)+COUNTIF('6月'!AC14:AD14,R$189)+COUNTIF('6月'!AH14:AI14,R$189)+COUNTIF('6月'!AM14:AN14,R$189)+COUNTIF('6月'!AR14:AS14,R$189)+COUNTIF('6月'!AW14:AX14,R$189)+COUNTIF('6月'!BB14:BC14,R$189)+COUNTIF('6月'!BG14:BH14,R$189)+COUNTIF('6月'!BL14:BM14,R$189)+COUNTIF('6月'!BQ14:BR14,R$189)+COUNTIF('6月'!BV14:BW14,R$189)+COUNTIF('6月'!CA14:CB14,R$189)+COUNTIF('6月'!CF14:CG14,R$189)+COUNTIF('6月'!CK14:CL14,R$189)+COUNTIF('6月'!CP14:CQ14,R$189)+COUNTIF('6月'!CU14:CV14,R$189)+COUNTIF('6月'!CZ14:DA14,R$189)+COUNTIF('6月'!DE14:DF14,R$189)+COUNTIF('6月'!DJ14:DK14,R$189)+COUNTIF('6月'!DO14:DP14,R$189)+COUNTIF('6月'!DT14:DU14,R$189)+COUNTIF('6月'!DY14:DZ14,R$189)+COUNTIF('6月'!ED14:EE14,R$189)+COUNTIF('6月'!EI14:EJ14,R$189)+COUNTIF('6月'!EN14:EO14,R$189)+COUNTIF('6月'!ES14:ET14,R$189)</f>
        <v>0</v>
      </c>
      <c r="S201" s="76">
        <f t="shared" si="68"/>
        <v>0</v>
      </c>
      <c r="T201" s="76">
        <f>COUNTIF('6月'!D14:E14,T$189)+COUNTIF('6月'!I14:J14,T$189)+COUNTIF('6月'!N14:O14,T$189)+COUNTIF('6月'!S14:T14,T$189)+COUNTIF('6月'!X14:Y14,T$189)+COUNTIF('6月'!AC14:AD14,T$189)+COUNTIF('6月'!AH14:AI14,T$189)+COUNTIF('6月'!AM14:AN14,T$189)+COUNTIF('6月'!AR14:AS14,T$189)+COUNTIF('6月'!AW14:AX14,T$189)+COUNTIF('6月'!BB14:BC14,T$189)+COUNTIF('6月'!BG14:BH14,T$189)+COUNTIF('6月'!BL14:BM14,T$189)+COUNTIF('6月'!BQ14:BR14,T$189)+COUNTIF('6月'!BV14:BW14,T$189)+COUNTIF('6月'!CA14:CB14,T$189)+COUNTIF('6月'!CF14:CG14,T$189)+COUNTIF('6月'!CK14:CL14,T$189)+COUNTIF('6月'!CP14:CQ14,T$189)+COUNTIF('6月'!CU14:CV14,T$189)+COUNTIF('6月'!CZ14:DA14,T$189)+COUNTIF('6月'!DE14:DF14,T$189)+COUNTIF('6月'!DJ14:DK14,T$189)+COUNTIF('6月'!DO14:DP14,T$189)+COUNTIF('6月'!DT14:DU14,T$189)+COUNTIF('6月'!DY14:DZ14,T$189)+COUNTIF('6月'!ED14:EE14,T$189)+COUNTIF('6月'!EI14:EJ14,T$189)+COUNTIF('6月'!EN14:EO14,T$189)+COUNTIF('6月'!ES14:ET14,T$189)</f>
        <v>0</v>
      </c>
      <c r="U201" s="76">
        <f t="shared" si="69"/>
        <v>0</v>
      </c>
      <c r="V201" s="76">
        <f>COUNTIF('6月'!D14:E14,V$189)+COUNTIF('6月'!I14:J14,V$189)+COUNTIF('6月'!N14:O14,V$189)+COUNTIF('6月'!S14:T14,V$189)+COUNTIF('6月'!X14:Y14,V$189)+COUNTIF('6月'!AC14:AD14,V$189)+COUNTIF('6月'!AH14:AI14,V$189)+COUNTIF('6月'!AM14:AN14,V$189)+COUNTIF('6月'!AR14:AS14,V$189)+COUNTIF('6月'!AW14:AX14,V$189)+COUNTIF('6月'!BB14:BC14,V$189)+COUNTIF('6月'!BG14:BH14,V$189)+COUNTIF('6月'!BL14:BM14,V$189)+COUNTIF('6月'!BQ14:BR14,V$189)+COUNTIF('6月'!BV14:BW14,V$189)+COUNTIF('6月'!CA14:CB14,V$189)+COUNTIF('6月'!CF14:CG14,V$189)+COUNTIF('6月'!CK14:CL14,V$189)+COUNTIF('6月'!CP14:CQ14,V$189)+COUNTIF('6月'!CU14:CV14,V$189)+COUNTIF('6月'!CZ14:DA14,V$189)+COUNTIF('6月'!DE14:DF14,V$189)+COUNTIF('6月'!DJ14:DK14,V$189)+COUNTIF('6月'!DO14:DP14,V$189)+COUNTIF('6月'!DT14:DU14,V$189)+COUNTIF('6月'!DY14:DZ14,V$189)+COUNTIF('6月'!ED14:EE14,V$189)+COUNTIF('6月'!EI14:EJ14,V$189)+COUNTIF('6月'!EN14:EO14,V$189)+COUNTIF('6月'!ES14:ET14,V$189)</f>
        <v>0</v>
      </c>
      <c r="W201" s="76">
        <f t="shared" si="70"/>
        <v>0</v>
      </c>
      <c r="X201" s="76">
        <f>COUNTIF('6月'!D14:E14,X$189)+COUNTIF('6月'!I14:J14,X$189)+COUNTIF('6月'!N14:O14,X$189)+COUNTIF('6月'!S14:T14,X$189)+COUNTIF('6月'!X14:Y14,X$189)+COUNTIF('6月'!AC14:AD14,X$189)+COUNTIF('6月'!AH14:AI14,X$189)+COUNTIF('6月'!AM14:AN14,X$189)+COUNTIF('6月'!AR14:AS14,X$189)+COUNTIF('6月'!AW14:AX14,X$189)+COUNTIF('6月'!BB14:BC14,X$189)+COUNTIF('6月'!BG14:BH14,X$189)+COUNTIF('6月'!BL14:BM14,X$189)+COUNTIF('6月'!BQ14:BR14,X$189)+COUNTIF('6月'!BV14:BW14,X$189)+COUNTIF('6月'!CA14:CB14,X$189)+COUNTIF('6月'!CF14:CG14,X$189)+COUNTIF('6月'!CK14:CL14,X$189)+COUNTIF('6月'!CP14:CQ14,X$189)+COUNTIF('6月'!CU14:CV14,X$189)+COUNTIF('6月'!CZ14:DA14,X$189)+COUNTIF('6月'!DE14:DF14,X$189)+COUNTIF('6月'!DJ14:DK14,X$189)+COUNTIF('6月'!DO14:DP14,X$189)+COUNTIF('6月'!DT14:DU14,X$189)+COUNTIF('6月'!DY14:DZ14,X$189)+COUNTIF('6月'!ED14:EE14,X$189)+COUNTIF('6月'!EI14:EJ14,X$189)+COUNTIF('6月'!EN14:EO14,X$189)+COUNTIF('6月'!ES14:ET14,X$189)</f>
        <v>0</v>
      </c>
      <c r="Y201" s="76">
        <f t="shared" si="71"/>
        <v>0</v>
      </c>
    </row>
    <row r="202" spans="1:25" ht="18" customHeight="1">
      <c r="A202" s="76">
        <v>12</v>
      </c>
      <c r="B202" s="76">
        <f>COUNTIF('6月'!D15:E15,B$189)+COUNTIF('6月'!I15:J15,B$189)+COUNTIF('6月'!N15:O15,B$189)+COUNTIF('6月'!S15:T15,B$189)+COUNTIF('6月'!X15:Y15,B$189)+COUNTIF('6月'!AC15:AD15,B$189)+COUNTIF('6月'!AH15:AI15,B$189)+COUNTIF('6月'!AM15:AN15,B$189)+COUNTIF('6月'!AR15:AS15,B$189)+COUNTIF('6月'!AW15:AX15,B$189)+COUNTIF('6月'!BB15:BC15,B$189)+COUNTIF('6月'!BG15:BH15,B$189)+COUNTIF('6月'!BL15:BM15,B$189)+COUNTIF('6月'!BQ15:BR15,B$189)+COUNTIF('6月'!BV15:BW15,B$189)+COUNTIF('6月'!CA15:CB15,B$189)+COUNTIF('6月'!CF15:CG15,B$189)+COUNTIF('6月'!CK15:CL15,B$189)+COUNTIF('6月'!CP15:CQ15,B$189)+COUNTIF('6月'!CU15:CV15,B$189)+COUNTIF('6月'!CZ15:DA15,B$189)+COUNTIF('6月'!DE15:DF15,B$189)+COUNTIF('6月'!DJ15:DK15,B$189)+COUNTIF('6月'!DO15:DP15,B$189)+COUNTIF('6月'!DT15:DU15,B$189)+COUNTIF('6月'!DY15:DZ15,B$189)+COUNTIF('6月'!ED15:EE15,B$189)+COUNTIF('6月'!EI15:EJ15,B$189)+COUNTIF('6月'!EN15:EO15,B$189)+COUNTIF('6月'!ES15:ET15,B$189)</f>
        <v>0</v>
      </c>
      <c r="C202" s="76">
        <f t="shared" si="60"/>
        <v>0</v>
      </c>
      <c r="D202" s="76">
        <f>COUNTIF('6月'!D15:E15,D$189)+COUNTIF('6月'!I15:J15,D$189)+COUNTIF('6月'!N15:O15,D$189)+COUNTIF('6月'!S15:T15,D$189)+COUNTIF('6月'!X15:Y15,D$189)+COUNTIF('6月'!AC15:AD15,D$189)+COUNTIF('6月'!AH15:AI15,D$189)+COUNTIF('6月'!AM15:AN15,D$189)+COUNTIF('6月'!AR15:AS15,D$189)+COUNTIF('6月'!AW15:AX15,D$189)+COUNTIF('6月'!BB15:BC15,D$189)+COUNTIF('6月'!BG15:BH15,D$189)+COUNTIF('6月'!BL15:BM15,D$189)+COUNTIF('6月'!BQ15:BR15,D$189)+COUNTIF('6月'!BV15:BW15,D$189)+COUNTIF('6月'!CA15:CB15,D$189)+COUNTIF('6月'!CF15:CG15,D$189)+COUNTIF('6月'!CK15:CL15,D$189)+COUNTIF('6月'!CP15:CQ15,D$189)+COUNTIF('6月'!CU15:CV15,D$189)+COUNTIF('6月'!CZ15:DA15,D$189)+COUNTIF('6月'!DE15:DF15,D$189)+COUNTIF('6月'!DJ15:DK15,D$189)+COUNTIF('6月'!DO15:DP15,D$189)+COUNTIF('6月'!DT15:DU15,D$189)+COUNTIF('6月'!DY15:DZ15,D$189)+COUNTIF('6月'!ED15:EE15,D$189)+COUNTIF('6月'!EI15:EJ15,D$189)+COUNTIF('6月'!EN15:EO15,D$189)+COUNTIF('6月'!ES15:ET15,D$189)</f>
        <v>0</v>
      </c>
      <c r="E202" s="76">
        <f t="shared" si="61"/>
        <v>0</v>
      </c>
      <c r="F202" s="76">
        <f>COUNTIF('6月'!D15:E15,F$189)+COUNTIF('6月'!I15:J15,F$189)+COUNTIF('6月'!N15:O15,F$189)+COUNTIF('6月'!S15:T15,F$189)+COUNTIF('6月'!X15:Y15,F$189)+COUNTIF('6月'!AC15:AD15,F$189)+COUNTIF('6月'!AH15:AI15,F$189)+COUNTIF('6月'!AM15:AN15,F$189)+COUNTIF('6月'!AR15:AS15,F$189)+COUNTIF('6月'!AW15:AX15,F$189)+COUNTIF('6月'!BB15:BC15,F$189)+COUNTIF('6月'!BG15:BH15,F$189)+COUNTIF('6月'!BL15:BM15,F$189)+COUNTIF('6月'!BQ15:BR15,F$189)+COUNTIF('6月'!BV15:BW15,F$189)+COUNTIF('6月'!CA15:CB15,F$189)+COUNTIF('6月'!CF15:CG15,F$189)+COUNTIF('6月'!CK15:CL15,F$189)+COUNTIF('6月'!CP15:CQ15,F$189)+COUNTIF('6月'!CU15:CV15,F$189)+COUNTIF('6月'!CZ15:DA15,F$189)+COUNTIF('6月'!DE15:DF15,F$189)+COUNTIF('6月'!DJ15:DK15,F$189)+COUNTIF('6月'!DO15:DP15,F$189)+COUNTIF('6月'!DT15:DU15,F$189)+COUNTIF('6月'!DY15:DZ15,F$189)+COUNTIF('6月'!ED15:EE15,F$189)+COUNTIF('6月'!EI15:EJ15,F$189)+COUNTIF('6月'!EN15:EO15,F$189)+COUNTIF('6月'!ES15:ET15,F$189)</f>
        <v>0</v>
      </c>
      <c r="G202" s="76">
        <f t="shared" si="62"/>
        <v>0</v>
      </c>
      <c r="H202" s="76">
        <f>COUNTIF('6月'!D15:E15,H$189)+COUNTIF('6月'!I15:J15,H$189)+COUNTIF('6月'!N15:O15,H$189)+COUNTIF('6月'!S15:T15,H$189)+COUNTIF('6月'!X15:Y15,H$189)+COUNTIF('6月'!AC15:AD15,H$189)+COUNTIF('6月'!AH15:AI15,H$189)+COUNTIF('6月'!AM15:AN15,H$189)+COUNTIF('6月'!AR15:AS15,H$189)+COUNTIF('6月'!AW15:AX15,H$189)+COUNTIF('6月'!BB15:BC15,H$189)+COUNTIF('6月'!BG15:BH15,H$189)+COUNTIF('6月'!BL15:BM15,H$189)+COUNTIF('6月'!BQ15:BR15,H$189)+COUNTIF('6月'!BV15:BW15,H$189)+COUNTIF('6月'!CA15:CB15,H$189)+COUNTIF('6月'!CF15:CG15,H$189)+COUNTIF('6月'!CK15:CL15,H$189)+COUNTIF('6月'!CP15:CQ15,H$189)+COUNTIF('6月'!CU15:CV15,H$189)+COUNTIF('6月'!CZ15:DA15,H$189)+COUNTIF('6月'!DE15:DF15,H$189)+COUNTIF('6月'!DJ15:DK15,H$189)+COUNTIF('6月'!DO15:DP15,H$189)+COUNTIF('6月'!DT15:DU15,H$189)+COUNTIF('6月'!DY15:DZ15,H$189)+COUNTIF('6月'!ED15:EE15,H$189)+COUNTIF('6月'!EI15:EJ15,H$189)+COUNTIF('6月'!EN15:EO15,H$189)+COUNTIF('6月'!ES15:ET15,H$189)+COUNTIF('6月'!D15:E15,"渋谷-夜勤")+COUNTIF('6月'!I15:J15,"渋谷-夜勤")+COUNTIF('6月'!N15:O15,"渋谷-夜勤")+COUNTIF('6月'!S15:T15,"渋谷-夜勤")+COUNTIF('6月'!X15:Y15,"渋谷-夜勤")+COUNTIF('6月'!AC15:AD15,"渋谷-夜勤")+COUNTIF('6月'!AH15:AI15,"渋谷-夜勤")+COUNTIF('6月'!AM15:AN15,"渋谷-夜勤")+COUNTIF('6月'!AR15:AS15,"渋谷-夜勤")+COUNTIF('6月'!AW15:AX15,"渋谷-夜勤")+COUNTIF('6月'!BB15:BC15,"渋谷-夜勤")+COUNTIF('6月'!BG15:BH15,"渋谷-夜勤")+COUNTIF('6月'!BL15:BM15,"渋谷-夜勤")+COUNTIF('6月'!BQ15:BR15,"渋谷-夜勤")+COUNTIF('6月'!BV15:BW15,"渋谷-夜勤")+COUNTIF('6月'!CA15:CB15,"渋谷-夜勤")+COUNTIF('6月'!CF15:CG15,"渋谷-夜勤")+COUNTIF('6月'!CK15:CL15,"渋谷-夜勤")+COUNTIF('6月'!CP15:CQ15,"渋谷-夜勤")+COUNTIF('6月'!CU15:CV15,"渋谷-夜勤")+COUNTIF('6月'!CZ15:DA15,"渋谷-夜勤")+COUNTIF('6月'!DE15:DF15,"渋谷-夜勤")+COUNTIF('6月'!DJ15:DK15,"渋谷-夜勤")+COUNTIF('6月'!DO15:DP15,"渋谷-夜勤")+COUNTIF('6月'!DT15:DU15,"渋谷-夜勤")+COUNTIF('6月'!DY15:DZ15,"渋谷-夜勤")+COUNTIF('6月'!ED15:EE15,"渋谷-夜勤")+COUNTIF('6月'!EI15:EJ15,"渋谷-夜勤")+COUNTIF('6月'!EN15:EO15,"渋谷-夜勤")+COUNTIF('6月'!ES15:ET15,"渋谷-夜勤")</f>
        <v>0</v>
      </c>
      <c r="I202" s="76">
        <f t="shared" si="63"/>
        <v>0</v>
      </c>
      <c r="J202" s="76">
        <f>COUNTIF('6月'!D15:E15,J$189)+COUNTIF('6月'!I15:J15,J$189)+COUNTIF('6月'!N15:O15,J$189)+COUNTIF('6月'!S15:T15,J$189)+COUNTIF('6月'!X15:Y15,J$189)+COUNTIF('6月'!AC15:AD15,J$189)+COUNTIF('6月'!AH15:AI15,J$189)+COUNTIF('6月'!AM15:AN15,J$189)+COUNTIF('6月'!AR15:AS15,J$189)+COUNTIF('6月'!AW15:AX15,J$189)+COUNTIF('6月'!BB15:BC15,J$189)+COUNTIF('6月'!BG15:BH15,J$189)+COUNTIF('6月'!BL15:BM15,J$189)+COUNTIF('6月'!BQ15:BR15,J$189)+COUNTIF('6月'!BV15:BW15,J$189)+COUNTIF('6月'!CA15:CB15,J$189)+COUNTIF('6月'!CF15:CG15,J$189)+COUNTIF('6月'!CK15:CL15,J$189)+COUNTIF('6月'!CP15:CQ15,J$189)+COUNTIF('6月'!CU15:CV15,J$189)+COUNTIF('6月'!CZ15:DA15,J$189)+COUNTIF('6月'!DE15:DF15,J$189)+COUNTIF('6月'!DJ15:DK15,J$189)+COUNTIF('6月'!DO15:DP15,J$189)+COUNTIF('6月'!DT15:DU15,J$189)+COUNTIF('6月'!DY15:DZ15,J$189)+COUNTIF('6月'!ED15:EE15,J$189)+COUNTIF('6月'!EI15:EJ15,J$189)+COUNTIF('6月'!EN15:EO15,J$189)+COUNTIF('6月'!ES15:ET15,J$189)+COUNTIF('6月'!D15:E15,"六本木-夜勤")+COUNTIF('6月'!I15:J15,"六本木-夜勤")+COUNTIF('6月'!N15:O15,"六本木-夜勤")+COUNTIF('6月'!S15:T15,"六本木-夜勤")+COUNTIF('6月'!X15:Y15,"六本木-夜勤")+COUNTIF('6月'!AC15:AD15,"六本木-夜勤")+COUNTIF('6月'!AH15:AI15,"六本木-夜勤")+COUNTIF('6月'!AM15:AN15,"六本木-夜勤")+COUNTIF('6月'!AR15:AS15,"六本木-夜勤")+COUNTIF('6月'!AW15:AX15,"六本木-夜勤")+COUNTIF('6月'!BB15:BC15,"六本木-夜勤")+COUNTIF('6月'!BG15:BH15,"六本木-夜勤")+COUNTIF('6月'!BL15:BM15,"六本木-夜勤")+COUNTIF('6月'!BQ15:BR15,"六本木-夜勤")+COUNTIF('6月'!BV15:BW15,"六本木-夜勤")+COUNTIF('6月'!CA15:CB15,"六本木-夜勤")+COUNTIF('6月'!CF15:CG15,"六本木-夜勤")+COUNTIF('6月'!CK15:CL15,"六本木-夜勤")+COUNTIF('6月'!CP15:CQ15,"六本木-夜勤")+COUNTIF('6月'!CU15:CV15,"六本木-夜勤")+COUNTIF('6月'!CZ15:DA15,"六本木-夜勤")+COUNTIF('6月'!DE15:DF15,"六本木-夜勤")+COUNTIF('6月'!DJ15:DK15,"六本木-夜勤")+COUNTIF('6月'!DO15:DP15,"六本木-夜勤")+COUNTIF('6月'!DT15:DU15,"六本木-夜勤")+COUNTIF('6月'!DY15:DZ15,"六本木-夜勤")+COUNTIF('6月'!ED15:EE15,"六本木-夜勤")+COUNTIF('6月'!EI15:EJ15,"六本木-夜勤")+COUNTIF('6月'!EN15:EO15,"六本木-夜勤")+COUNTIF('6月'!ES15:ET15,"六本木-夜勤")+COUNTIF('6月'!D15:E15,"六本木ー夜勤")+COUNTIF('6月'!I15:J15,"六本木ー夜勤")+COUNTIF('6月'!N15:O15,"六本木ー夜勤")+COUNTIF('6月'!S15:T15,"六本木ー夜勤")+COUNTIF('6月'!X15:Y15,"六本木ー夜勤")+COUNTIF('6月'!AC15:AD15,"六本木ー夜勤")+COUNTIF('6月'!AH15:AI15,"六本木ー夜勤")+COUNTIF('6月'!AM15:AN15,"六本木ー夜勤")+COUNTIF('6月'!AR15:AS15,"六本木ー夜勤")+COUNTIF('6月'!AW15:AX15,"六本木ー夜勤")+COUNTIF('6月'!BB15:BC15,"六本木ー夜勤")+COUNTIF('6月'!BG15:BH15,"六本木ー夜勤")+COUNTIF('6月'!BL15:BM15,"六本木ー夜勤")+COUNTIF('6月'!BQ15:BR15,"六本木ー夜勤")+COUNTIF('6月'!BV15:BW15,"六本木ー夜勤")+COUNTIF('6月'!CA15:CB15,"六本木ー夜勤")+COUNTIF('6月'!CF15:CG15,"六本木ー夜勤")+COUNTIF('6月'!CK15:CL15,"六本木ー夜勤")+COUNTIF('6月'!CP15:CQ15,"六本木ー夜勤")+COUNTIF('6月'!CU15:CV15,"六本木ー夜勤")+COUNTIF('6月'!CZ15:DA15,"六本木ー夜勤")+COUNTIF('6月'!DE15:DF15,"六本木ー夜勤")+COUNTIF('6月'!DJ15:DK15,"六本木ー夜勤")+COUNTIF('6月'!DO15:DP15,"六本木ー夜勤")+COUNTIF('6月'!DT15:DU15,"六本木ー夜勤")+COUNTIF('6月'!DY15:DZ15,"六本木ー夜勤")+COUNTIF('6月'!ED15:EE15,"六本木ー夜勤")+COUNTIF('6月'!EI15:EJ15,"六本木ー夜勤")+COUNTIF('6月'!EN15:EO15,"六本木ー夜勤")+COUNTIF('6月'!ES15:ET15,"六本木ー夜勤")</f>
        <v>0</v>
      </c>
      <c r="K202" s="76">
        <f t="shared" si="64"/>
        <v>0</v>
      </c>
      <c r="L202" s="76">
        <f>COUNTIF('6月'!D15:E15,L$189)+COUNTIF('6月'!I15:J15,L$189)+COUNTIF('6月'!N15:O15,L$189)+COUNTIF('6月'!S15:T15,L$189)+COUNTIF('6月'!X15:Y15,L$189)+COUNTIF('6月'!AC15:AD15,L$189)+COUNTIF('6月'!AH15:AI15,L$189)+COUNTIF('6月'!AM15:AN15,L$189)+COUNTIF('6月'!AR15:AS15,L$189)+COUNTIF('6月'!AW15:AX15,L$189)+COUNTIF('6月'!BB15:BC15,L$189)+COUNTIF('6月'!BG15:BH15,L$189)+COUNTIF('6月'!BL15:BM15,L$189)+COUNTIF('6月'!BQ15:BR15,L$189)+COUNTIF('6月'!BV15:BW15,L$189)+COUNTIF('6月'!CA15:CB15,L$189)+COUNTIF('6月'!CF15:CG15,L$189)+COUNTIF('6月'!CK15:CL15,L$189)+COUNTIF('6月'!CP15:CQ15,L$189)+COUNTIF('6月'!CU15:CV15,L$189)+COUNTIF('6月'!CZ15:DA15,L$189)+COUNTIF('6月'!DE15:DF15,L$189)+COUNTIF('6月'!DJ15:DK15,L$189)+COUNTIF('6月'!DO15:DP15,L$189)+COUNTIF('6月'!DT15:DU15,L$189)+COUNTIF('6月'!DY15:DZ15,L$189)+COUNTIF('6月'!ED15:EE15,L$189)+COUNTIF('6月'!EI15:EJ15,L$189)+COUNTIF('6月'!EN15:EO15,L$189)+COUNTIF('6月'!ES15:ET15,L$189)</f>
        <v>0</v>
      </c>
      <c r="M202" s="76">
        <f t="shared" si="65"/>
        <v>0</v>
      </c>
      <c r="N202" s="76">
        <f>COUNTIF('6月'!D15:E15,N$189)+COUNTIF('6月'!I15:J15,N$189)+COUNTIF('6月'!N15:O15,N$189)+COUNTIF('6月'!S15:T15,N$189)+COUNTIF('6月'!X15:Y15,N$189)+COUNTIF('6月'!AC15:AD15,N$189)+COUNTIF('6月'!AH15:AI15,N$189)+COUNTIF('6月'!AM15:AN15,N$189)+COUNTIF('6月'!AR15:AS15,N$189)+COUNTIF('6月'!AW15:AX15,N$189)+COUNTIF('6月'!BB15:BC15,N$189)+COUNTIF('6月'!BG15:BH15,N$189)+COUNTIF('6月'!BL15:BM15,N$189)+COUNTIF('6月'!BQ15:BR15,N$189)+COUNTIF('6月'!BV15:BW15,N$189)+COUNTIF('6月'!CA15:CB15,N$189)+COUNTIF('6月'!CF15:CG15,N$189)+COUNTIF('6月'!CK15:CL15,N$189)+COUNTIF('6月'!CP15:CQ15,N$189)+COUNTIF('6月'!CU15:CV15,N$189)+COUNTIF('6月'!CZ15:DA15,N$189)+COUNTIF('6月'!DE15:DF15,N$189)+COUNTIF('6月'!DJ15:DK15,N$189)+COUNTIF('6月'!DO15:DP15,N$189)+COUNTIF('6月'!DT15:DU15,N$189)+COUNTIF('6月'!DY15:DZ15,N$189)+COUNTIF('6月'!ED15:EE15,N$189)+COUNTIF('6月'!EI15:EJ15,N$189)+COUNTIF('6月'!EN15:EO15,N$189)+COUNTIF('6月'!ES15:ET15,N$189)+COUNTIF('6月'!D15:E15,"三軒茶屋－夜勤")+COUNTIF('6月'!I15:J15,"三軒茶屋－夜勤")+COUNTIF('6月'!N15:O15,"三軒茶屋－夜勤")+COUNTIF('6月'!S15:T15,"三軒茶屋－夜勤")+COUNTIF('6月'!X15:Y15,"三軒茶屋－夜勤")+COUNTIF('6月'!AC15:AD15,"三軒茶屋－夜勤")+COUNTIF('6月'!AH15:AI15,"三軒茶屋－夜勤")+COUNTIF('6月'!AM15:AN15,"三軒茶屋－夜勤")+COUNTIF('6月'!AR15:AS15,"三軒茶屋－夜勤")+COUNTIF('6月'!AW15:AX15,"三軒茶屋－夜勤")+COUNTIF('6月'!BB15:BC15,"三軒茶屋－夜勤")+COUNTIF('6月'!BG15:BH15,"三軒茶屋－夜勤")+COUNTIF('6月'!BL15:BM15,"三軒茶屋－夜勤")+COUNTIF('6月'!BQ15:BR15,"三軒茶屋－夜勤")+COUNTIF('6月'!BV15:BW15,"三軒茶屋－夜勤")+COUNTIF('6月'!CA15:CB15,"三軒茶屋－夜勤")+COUNTIF('6月'!CF15:CG15,"三軒茶屋－夜勤")+COUNTIF('6月'!CK15:CL15,"三軒茶屋－夜勤")+COUNTIF('6月'!CP15:CQ15,"三軒茶屋－夜勤")+COUNTIF('6月'!CU15:CV15,"三軒茶屋－夜勤")+COUNTIF('6月'!CZ15:DA15,"三軒茶屋－夜勤")+COUNTIF('6月'!DE15:DF15,"三軒茶屋－夜勤")+COUNTIF('6月'!DJ15:DK15,"三軒茶屋－夜勤")+COUNTIF('6月'!DO15:DP15,"三軒茶屋－夜勤")+COUNTIF('6月'!DT15:DU15,"三軒茶屋－夜勤")+COUNTIF('6月'!DY15:DZ15,"三軒茶屋－夜勤")+COUNTIF('6月'!ED15:EE15,"三軒茶屋－夜勤")+COUNTIF('6月'!EI15:EJ15,"三軒茶屋－夜勤")+COUNTIF('6月'!EN15:EO15,"三軒茶屋－夜勤")+COUNTIF('6月'!ES15:ET15,"三軒茶屋－夜勤")</f>
        <v>0</v>
      </c>
      <c r="O202" s="76">
        <f t="shared" si="66"/>
        <v>0</v>
      </c>
      <c r="P202" s="76">
        <f>COUNTIF('6月'!D15:E15,P$189)+COUNTIF('6月'!I15:J15,P$189)+COUNTIF('6月'!N15:O15,P$189)+COUNTIF('6月'!S15:T15,P$189)+COUNTIF('6月'!X15:Y15,P$189)+COUNTIF('6月'!AC15:AD15,P$189)+COUNTIF('6月'!AH15:AI15,P$189)+COUNTIF('6月'!AM15:AN15,P$189)+COUNTIF('6月'!AR15:AS15,P$189)+COUNTIF('6月'!AW15:AX15,P$189)+COUNTIF('6月'!BB15:BC15,P$189)+COUNTIF('6月'!BG15:BH15,P$189)+COUNTIF('6月'!BL15:BM15,P$189)+COUNTIF('6月'!BQ15:BR15,P$189)+COUNTIF('6月'!BV15:BW15,P$189)+COUNTIF('6月'!CA15:CB15,P$189)+COUNTIF('6月'!CF15:CG15,P$189)+COUNTIF('6月'!CK15:CL15,P$189)+COUNTIF('6月'!CP15:CQ15,P$189)+COUNTIF('6月'!CU15:CV15,P$189)+COUNTIF('6月'!CZ15:DA15,P$189)+COUNTIF('6月'!DE15:DF15,P$189)+COUNTIF('6月'!DJ15:DK15,P$189)+COUNTIF('6月'!DO15:DP15,P$189)+COUNTIF('6月'!DT15:DU15,P$189)+COUNTIF('6月'!DY15:DZ15,P$189)+COUNTIF('6月'!ED15:EE15,P$189)+COUNTIF('6月'!EI15:EJ15,P$189)+COUNTIF('6月'!EN15:EO15,P$189)+COUNTIF('6月'!ES15:ET15,P$189)+COUNTIF('6月'!D15:E15,"荻窪ー夜勤")+COUNTIF('6月'!I15:J15,"荻窪ー夜勤")+COUNTIF('6月'!N15:O15,"荻窪ー夜勤")+COUNTIF('6月'!S15:T15,"荻窪ー夜勤")+COUNTIF('6月'!X15:Y15,"荻窪ー夜勤")+COUNTIF('6月'!AC15:AD15,"荻窪ー夜勤")+COUNTIF('6月'!AH15:AI15,"荻窪ー夜勤")+COUNTIF('6月'!AM15:AN15,"荻窪ー夜勤")+COUNTIF('6月'!AR15:AS15,"荻窪ー夜勤")+COUNTIF('6月'!AW15:AX15,"荻窪ー夜勤")+COUNTIF('6月'!BB15:BC15,"荻窪ー夜勤")+COUNTIF('6月'!BG15:BH15,"荻窪ー夜勤")+COUNTIF('6月'!BL15:BM15,"荻窪ー夜勤")+COUNTIF('6月'!BQ15:BR15,"荻窪ー夜勤")+COUNTIF('6月'!BV15:BW15,"荻窪ー夜勤")+COUNTIF('6月'!CA15:CB15,"荻窪ー夜勤")+COUNTIF('6月'!CF15:CG15,"荻窪ー夜勤")+COUNTIF('6月'!CK15:CL15,"荻窪ー夜勤")+COUNTIF('6月'!CP15:CQ15,"荻窪ー夜勤")+COUNTIF('6月'!CU15:CV15,"荻窪ー夜勤")+COUNTIF('6月'!CZ15:DA15,"荻窪ー夜勤")+COUNTIF('6月'!DE15:DF15,"荻窪ー夜勤")+COUNTIF('6月'!DJ15:DK15,"荻窪ー夜勤")+COUNTIF('6月'!DO15:DP15,"荻窪ー夜勤")+COUNTIF('6月'!DT15:DU15,"荻窪ー夜勤")+COUNTIF('6月'!DY15:DZ15,"荻窪ー夜勤")+COUNTIF('6月'!ED15:EE15,"荻窪ー夜勤")+COUNTIF('6月'!EI15:EJ15,"荻窪ー夜勤")+COUNTIF('6月'!EN15:EO15,"荻窪ー夜勤")+COUNTIF('6月'!ES15:ET15,"荻窪ー夜勤")</f>
        <v>0</v>
      </c>
      <c r="Q202" s="76">
        <f t="shared" si="67"/>
        <v>0</v>
      </c>
      <c r="R202" s="76">
        <f>COUNTIF('6月'!D15:E15,R$189)+COUNTIF('6月'!I15:J15,R$189)+COUNTIF('6月'!N15:O15,R$189)+COUNTIF('6月'!S15:T15,R$189)+COUNTIF('6月'!X15:Y15,R$189)+COUNTIF('6月'!AC15:AD15,R$189)+COUNTIF('6月'!AH15:AI15,R$189)+COUNTIF('6月'!AM15:AN15,R$189)+COUNTIF('6月'!AR15:AS15,R$189)+COUNTIF('6月'!AW15:AX15,R$189)+COUNTIF('6月'!BB15:BC15,R$189)+COUNTIF('6月'!BG15:BH15,R$189)+COUNTIF('6月'!BL15:BM15,R$189)+COUNTIF('6月'!BQ15:BR15,R$189)+COUNTIF('6月'!BV15:BW15,R$189)+COUNTIF('6月'!CA15:CB15,R$189)+COUNTIF('6月'!CF15:CG15,R$189)+COUNTIF('6月'!CK15:CL15,R$189)+COUNTIF('6月'!CP15:CQ15,R$189)+COUNTIF('6月'!CU15:CV15,R$189)+COUNTIF('6月'!CZ15:DA15,R$189)+COUNTIF('6月'!DE15:DF15,R$189)+COUNTIF('6月'!DJ15:DK15,R$189)+COUNTIF('6月'!DO15:DP15,R$189)+COUNTIF('6月'!DT15:DU15,R$189)+COUNTIF('6月'!DY15:DZ15,R$189)+COUNTIF('6月'!ED15:EE15,R$189)+COUNTIF('6月'!EI15:EJ15,R$189)+COUNTIF('6月'!EN15:EO15,R$189)+COUNTIF('6月'!ES15:ET15,R$189)</f>
        <v>0</v>
      </c>
      <c r="S202" s="76">
        <f t="shared" si="68"/>
        <v>0</v>
      </c>
      <c r="T202" s="76">
        <f>COUNTIF('6月'!D15:E15,T$189)+COUNTIF('6月'!I15:J15,T$189)+COUNTIF('6月'!N15:O15,T$189)+COUNTIF('6月'!S15:T15,T$189)+COUNTIF('6月'!X15:Y15,T$189)+COUNTIF('6月'!AC15:AD15,T$189)+COUNTIF('6月'!AH15:AI15,T$189)+COUNTIF('6月'!AM15:AN15,T$189)+COUNTIF('6月'!AR15:AS15,T$189)+COUNTIF('6月'!AW15:AX15,T$189)+COUNTIF('6月'!BB15:BC15,T$189)+COUNTIF('6月'!BG15:BH15,T$189)+COUNTIF('6月'!BL15:BM15,T$189)+COUNTIF('6月'!BQ15:BR15,T$189)+COUNTIF('6月'!BV15:BW15,T$189)+COUNTIF('6月'!CA15:CB15,T$189)+COUNTIF('6月'!CF15:CG15,T$189)+COUNTIF('6月'!CK15:CL15,T$189)+COUNTIF('6月'!CP15:CQ15,T$189)+COUNTIF('6月'!CU15:CV15,T$189)+COUNTIF('6月'!CZ15:DA15,T$189)+COUNTIF('6月'!DE15:DF15,T$189)+COUNTIF('6月'!DJ15:DK15,T$189)+COUNTIF('6月'!DO15:DP15,T$189)+COUNTIF('6月'!DT15:DU15,T$189)+COUNTIF('6月'!DY15:DZ15,T$189)+COUNTIF('6月'!ED15:EE15,T$189)+COUNTIF('6月'!EI15:EJ15,T$189)+COUNTIF('6月'!EN15:EO15,T$189)+COUNTIF('6月'!ES15:ET15,T$189)</f>
        <v>0</v>
      </c>
      <c r="U202" s="76">
        <f t="shared" si="69"/>
        <v>0</v>
      </c>
      <c r="V202" s="76">
        <f>COUNTIF('6月'!D15:E15,V$189)+COUNTIF('6月'!I15:J15,V$189)+COUNTIF('6月'!N15:O15,V$189)+COUNTIF('6月'!S15:T15,V$189)+COUNTIF('6月'!X15:Y15,V$189)+COUNTIF('6月'!AC15:AD15,V$189)+COUNTIF('6月'!AH15:AI15,V$189)+COUNTIF('6月'!AM15:AN15,V$189)+COUNTIF('6月'!AR15:AS15,V$189)+COUNTIF('6月'!AW15:AX15,V$189)+COUNTIF('6月'!BB15:BC15,V$189)+COUNTIF('6月'!BG15:BH15,V$189)+COUNTIF('6月'!BL15:BM15,V$189)+COUNTIF('6月'!BQ15:BR15,V$189)+COUNTIF('6月'!BV15:BW15,V$189)+COUNTIF('6月'!CA15:CB15,V$189)+COUNTIF('6月'!CF15:CG15,V$189)+COUNTIF('6月'!CK15:CL15,V$189)+COUNTIF('6月'!CP15:CQ15,V$189)+COUNTIF('6月'!CU15:CV15,V$189)+COUNTIF('6月'!CZ15:DA15,V$189)+COUNTIF('6月'!DE15:DF15,V$189)+COUNTIF('6月'!DJ15:DK15,V$189)+COUNTIF('6月'!DO15:DP15,V$189)+COUNTIF('6月'!DT15:DU15,V$189)+COUNTIF('6月'!DY15:DZ15,V$189)+COUNTIF('6月'!ED15:EE15,V$189)+COUNTIF('6月'!EI15:EJ15,V$189)+COUNTIF('6月'!EN15:EO15,V$189)+COUNTIF('6月'!ES15:ET15,V$189)</f>
        <v>0</v>
      </c>
      <c r="W202" s="76">
        <f t="shared" si="70"/>
        <v>0</v>
      </c>
      <c r="X202" s="76">
        <f>COUNTIF('6月'!D15:E15,X$189)+COUNTIF('6月'!I15:J15,X$189)+COUNTIF('6月'!N15:O15,X$189)+COUNTIF('6月'!S15:T15,X$189)+COUNTIF('6月'!X15:Y15,X$189)+COUNTIF('6月'!AC15:AD15,X$189)+COUNTIF('6月'!AH15:AI15,X$189)+COUNTIF('6月'!AM15:AN15,X$189)+COUNTIF('6月'!AR15:AS15,X$189)+COUNTIF('6月'!AW15:AX15,X$189)+COUNTIF('6月'!BB15:BC15,X$189)+COUNTIF('6月'!BG15:BH15,X$189)+COUNTIF('6月'!BL15:BM15,X$189)+COUNTIF('6月'!BQ15:BR15,X$189)+COUNTIF('6月'!BV15:BW15,X$189)+COUNTIF('6月'!CA15:CB15,X$189)+COUNTIF('6月'!CF15:CG15,X$189)+COUNTIF('6月'!CK15:CL15,X$189)+COUNTIF('6月'!CP15:CQ15,X$189)+COUNTIF('6月'!CU15:CV15,X$189)+COUNTIF('6月'!CZ15:DA15,X$189)+COUNTIF('6月'!DE15:DF15,X$189)+COUNTIF('6月'!DJ15:DK15,X$189)+COUNTIF('6月'!DO15:DP15,X$189)+COUNTIF('6月'!DT15:DU15,X$189)+COUNTIF('6月'!DY15:DZ15,X$189)+COUNTIF('6月'!ED15:EE15,X$189)+COUNTIF('6月'!EI15:EJ15,X$189)+COUNTIF('6月'!EN15:EO15,X$189)+COUNTIF('6月'!ES15:ET15,X$189)</f>
        <v>0</v>
      </c>
      <c r="Y202" s="76">
        <f t="shared" si="71"/>
        <v>0</v>
      </c>
    </row>
    <row r="203" spans="1:25" ht="18" customHeight="1">
      <c r="A203" s="76">
        <v>13</v>
      </c>
      <c r="B203" s="76">
        <f>COUNTIF('6月'!D16:E16,B$189)+COUNTIF('6月'!I16:J16,B$189)+COUNTIF('6月'!N16:O16,B$189)+COUNTIF('6月'!S16:T16,B$189)+COUNTIF('6月'!X16:Y16,B$189)+COUNTIF('6月'!AC16:AD16,B$189)+COUNTIF('6月'!AH16:AI16,B$189)+COUNTIF('6月'!AM16:AN16,B$189)+COUNTIF('6月'!AR16:AS16,B$189)+COUNTIF('6月'!AW16:AX16,B$189)+COUNTIF('6月'!BB16:BC16,B$189)+COUNTIF('6月'!BG16:BH16,B$189)+COUNTIF('6月'!BL16:BM16,B$189)+COUNTIF('6月'!BQ16:BR16,B$189)+COUNTIF('6月'!BV16:BW16,B$189)+COUNTIF('6月'!CA16:CB16,B$189)+COUNTIF('6月'!CF16:CG16,B$189)+COUNTIF('6月'!CK16:CL16,B$189)+COUNTIF('6月'!CP16:CQ16,B$189)+COUNTIF('6月'!CU16:CV16,B$189)+COUNTIF('6月'!CZ16:DA16,B$189)+COUNTIF('6月'!DE16:DF16,B$189)+COUNTIF('6月'!DJ16:DK16,B$189)+COUNTIF('6月'!DO16:DP16,B$189)+COUNTIF('6月'!DT16:DU16,B$189)+COUNTIF('6月'!DY16:DZ16,B$189)+COUNTIF('6月'!ED16:EE16,B$189)+COUNTIF('6月'!EI16:EJ16,B$189)+COUNTIF('6月'!EN16:EO16,B$189)+COUNTIF('6月'!ES16:ET16,B$189)</f>
        <v>0</v>
      </c>
      <c r="C203" s="76">
        <f t="shared" si="60"/>
        <v>0</v>
      </c>
      <c r="D203" s="76">
        <f>COUNTIF('6月'!D16:E16,D$189)+COUNTIF('6月'!I16:J16,D$189)+COUNTIF('6月'!N16:O16,D$189)+COUNTIF('6月'!S16:T16,D$189)+COUNTIF('6月'!X16:Y16,D$189)+COUNTIF('6月'!AC16:AD16,D$189)+COUNTIF('6月'!AH16:AI16,D$189)+COUNTIF('6月'!AM16:AN16,D$189)+COUNTIF('6月'!AR16:AS16,D$189)+COUNTIF('6月'!AW16:AX16,D$189)+COUNTIF('6月'!BB16:BC16,D$189)+COUNTIF('6月'!BG16:BH16,D$189)+COUNTIF('6月'!BL16:BM16,D$189)+COUNTIF('6月'!BQ16:BR16,D$189)+COUNTIF('6月'!BV16:BW16,D$189)+COUNTIF('6月'!CA16:CB16,D$189)+COUNTIF('6月'!CF16:CG16,D$189)+COUNTIF('6月'!CK16:CL16,D$189)+COUNTIF('6月'!CP16:CQ16,D$189)+COUNTIF('6月'!CU16:CV16,D$189)+COUNTIF('6月'!CZ16:DA16,D$189)+COUNTIF('6月'!DE16:DF16,D$189)+COUNTIF('6月'!DJ16:DK16,D$189)+COUNTIF('6月'!DO16:DP16,D$189)+COUNTIF('6月'!DT16:DU16,D$189)+COUNTIF('6月'!DY16:DZ16,D$189)+COUNTIF('6月'!ED16:EE16,D$189)+COUNTIF('6月'!EI16:EJ16,D$189)+COUNTIF('6月'!EN16:EO16,D$189)+COUNTIF('6月'!ES16:ET16,D$189)</f>
        <v>0</v>
      </c>
      <c r="E203" s="76">
        <f t="shared" si="61"/>
        <v>0</v>
      </c>
      <c r="F203" s="76">
        <f>COUNTIF('6月'!D16:E16,F$189)+COUNTIF('6月'!I16:J16,F$189)+COUNTIF('6月'!N16:O16,F$189)+COUNTIF('6月'!S16:T16,F$189)+COUNTIF('6月'!X16:Y16,F$189)+COUNTIF('6月'!AC16:AD16,F$189)+COUNTIF('6月'!AH16:AI16,F$189)+COUNTIF('6月'!AM16:AN16,F$189)+COUNTIF('6月'!AR16:AS16,F$189)+COUNTIF('6月'!AW16:AX16,F$189)+COUNTIF('6月'!BB16:BC16,F$189)+COUNTIF('6月'!BG16:BH16,F$189)+COUNTIF('6月'!BL16:BM16,F$189)+COUNTIF('6月'!BQ16:BR16,F$189)+COUNTIF('6月'!BV16:BW16,F$189)+COUNTIF('6月'!CA16:CB16,F$189)+COUNTIF('6月'!CF16:CG16,F$189)+COUNTIF('6月'!CK16:CL16,F$189)+COUNTIF('6月'!CP16:CQ16,F$189)+COUNTIF('6月'!CU16:CV16,F$189)+COUNTIF('6月'!CZ16:DA16,F$189)+COUNTIF('6月'!DE16:DF16,F$189)+COUNTIF('6月'!DJ16:DK16,F$189)+COUNTIF('6月'!DO16:DP16,F$189)+COUNTIF('6月'!DT16:DU16,F$189)+COUNTIF('6月'!DY16:DZ16,F$189)+COUNTIF('6月'!ED16:EE16,F$189)+COUNTIF('6月'!EI16:EJ16,F$189)+COUNTIF('6月'!EN16:EO16,F$189)+COUNTIF('6月'!ES16:ET16,F$189)</f>
        <v>0</v>
      </c>
      <c r="G203" s="76">
        <f t="shared" si="62"/>
        <v>0</v>
      </c>
      <c r="H203" s="76">
        <f>COUNTIF('6月'!D16:E16,H$189)+COUNTIF('6月'!I16:J16,H$189)+COUNTIF('6月'!N16:O16,H$189)+COUNTIF('6月'!S16:T16,H$189)+COUNTIF('6月'!X16:Y16,H$189)+COUNTIF('6月'!AC16:AD16,H$189)+COUNTIF('6月'!AH16:AI16,H$189)+COUNTIF('6月'!AM16:AN16,H$189)+COUNTIF('6月'!AR16:AS16,H$189)+COUNTIF('6月'!AW16:AX16,H$189)+COUNTIF('6月'!BB16:BC16,H$189)+COUNTIF('6月'!BG16:BH16,H$189)+COUNTIF('6月'!BL16:BM16,H$189)+COUNTIF('6月'!BQ16:BR16,H$189)+COUNTIF('6月'!BV16:BW16,H$189)+COUNTIF('6月'!CA16:CB16,H$189)+COUNTIF('6月'!CF16:CG16,H$189)+COUNTIF('6月'!CK16:CL16,H$189)+COUNTIF('6月'!CP16:CQ16,H$189)+COUNTIF('6月'!CU16:CV16,H$189)+COUNTIF('6月'!CZ16:DA16,H$189)+COUNTIF('6月'!DE16:DF16,H$189)+COUNTIF('6月'!DJ16:DK16,H$189)+COUNTIF('6月'!DO16:DP16,H$189)+COUNTIF('6月'!DT16:DU16,H$189)+COUNTIF('6月'!DY16:DZ16,H$189)+COUNTIF('6月'!ED16:EE16,H$189)+COUNTIF('6月'!EI16:EJ16,H$189)+COUNTIF('6月'!EN16:EO16,H$189)+COUNTIF('6月'!ES16:ET16,H$189)+COUNTIF('6月'!D16:E16,"渋谷-夜勤")+COUNTIF('6月'!I16:J16,"渋谷-夜勤")+COUNTIF('6月'!N16:O16,"渋谷-夜勤")+COUNTIF('6月'!S16:T16,"渋谷-夜勤")+COUNTIF('6月'!X16:Y16,"渋谷-夜勤")+COUNTIF('6月'!AC16:AD16,"渋谷-夜勤")+COUNTIF('6月'!AH16:AI16,"渋谷-夜勤")+COUNTIF('6月'!AM16:AN16,"渋谷-夜勤")+COUNTIF('6月'!AR16:AS16,"渋谷-夜勤")+COUNTIF('6月'!AW16:AX16,"渋谷-夜勤")+COUNTIF('6月'!BB16:BC16,"渋谷-夜勤")+COUNTIF('6月'!BG16:BH16,"渋谷-夜勤")+COUNTIF('6月'!BL16:BM16,"渋谷-夜勤")+COUNTIF('6月'!BQ16:BR16,"渋谷-夜勤")+COUNTIF('6月'!BV16:BW16,"渋谷-夜勤")+COUNTIF('6月'!CA16:CB16,"渋谷-夜勤")+COUNTIF('6月'!CF16:CG16,"渋谷-夜勤")+COUNTIF('6月'!CK16:CL16,"渋谷-夜勤")+COUNTIF('6月'!CP16:CQ16,"渋谷-夜勤")+COUNTIF('6月'!CU16:CV16,"渋谷-夜勤")+COUNTIF('6月'!CZ16:DA16,"渋谷-夜勤")+COUNTIF('6月'!DE16:DF16,"渋谷-夜勤")+COUNTIF('6月'!DJ16:DK16,"渋谷-夜勤")+COUNTIF('6月'!DO16:DP16,"渋谷-夜勤")+COUNTIF('6月'!DT16:DU16,"渋谷-夜勤")+COUNTIF('6月'!DY16:DZ16,"渋谷-夜勤")+COUNTIF('6月'!ED16:EE16,"渋谷-夜勤")+COUNTIF('6月'!EI16:EJ16,"渋谷-夜勤")+COUNTIF('6月'!EN16:EO16,"渋谷-夜勤")+COUNTIF('6月'!ES16:ET16,"渋谷-夜勤")</f>
        <v>0</v>
      </c>
      <c r="I203" s="76">
        <f t="shared" si="63"/>
        <v>0</v>
      </c>
      <c r="J203" s="76">
        <f>COUNTIF('6月'!D16:E16,J$189)+COUNTIF('6月'!I16:J16,J$189)+COUNTIF('6月'!N16:O16,J$189)+COUNTIF('6月'!S16:T16,J$189)+COUNTIF('6月'!X16:Y16,J$189)+COUNTIF('6月'!AC16:AD16,J$189)+COUNTIF('6月'!AH16:AI16,J$189)+COUNTIF('6月'!AM16:AN16,J$189)+COUNTIF('6月'!AR16:AS16,J$189)+COUNTIF('6月'!AW16:AX16,J$189)+COUNTIF('6月'!BB16:BC16,J$189)+COUNTIF('6月'!BG16:BH16,J$189)+COUNTIF('6月'!BL16:BM16,J$189)+COUNTIF('6月'!BQ16:BR16,J$189)+COUNTIF('6月'!BV16:BW16,J$189)+COUNTIF('6月'!CA16:CB16,J$189)+COUNTIF('6月'!CF16:CG16,J$189)+COUNTIF('6月'!CK16:CL16,J$189)+COUNTIF('6月'!CP16:CQ16,J$189)+COUNTIF('6月'!CU16:CV16,J$189)+COUNTIF('6月'!CZ16:DA16,J$189)+COUNTIF('6月'!DE16:DF16,J$189)+COUNTIF('6月'!DJ16:DK16,J$189)+COUNTIF('6月'!DO16:DP16,J$189)+COUNTIF('6月'!DT16:DU16,J$189)+COUNTIF('6月'!DY16:DZ16,J$189)+COUNTIF('6月'!ED16:EE16,J$189)+COUNTIF('6月'!EI16:EJ16,J$189)+COUNTIF('6月'!EN16:EO16,J$189)+COUNTIF('6月'!ES16:ET16,J$189)+COUNTIF('6月'!D16:E16,"六本木-夜勤")+COUNTIF('6月'!I16:J16,"六本木-夜勤")+COUNTIF('6月'!N16:O16,"六本木-夜勤")+COUNTIF('6月'!S16:T16,"六本木-夜勤")+COUNTIF('6月'!X16:Y16,"六本木-夜勤")+COUNTIF('6月'!AC16:AD16,"六本木-夜勤")+COUNTIF('6月'!AH16:AI16,"六本木-夜勤")+COUNTIF('6月'!AM16:AN16,"六本木-夜勤")+COUNTIF('6月'!AR16:AS16,"六本木-夜勤")+COUNTIF('6月'!AW16:AX16,"六本木-夜勤")+COUNTIF('6月'!BB16:BC16,"六本木-夜勤")+COUNTIF('6月'!BG16:BH16,"六本木-夜勤")+COUNTIF('6月'!BL16:BM16,"六本木-夜勤")+COUNTIF('6月'!BQ16:BR16,"六本木-夜勤")+COUNTIF('6月'!BV16:BW16,"六本木-夜勤")+COUNTIF('6月'!CA16:CB16,"六本木-夜勤")+COUNTIF('6月'!CF16:CG16,"六本木-夜勤")+COUNTIF('6月'!CK16:CL16,"六本木-夜勤")+COUNTIF('6月'!CP16:CQ16,"六本木-夜勤")+COUNTIF('6月'!CU16:CV16,"六本木-夜勤")+COUNTIF('6月'!CZ16:DA16,"六本木-夜勤")+COUNTIF('6月'!DE16:DF16,"六本木-夜勤")+COUNTIF('6月'!DJ16:DK16,"六本木-夜勤")+COUNTIF('6月'!DO16:DP16,"六本木-夜勤")+COUNTIF('6月'!DT16:DU16,"六本木-夜勤")+COUNTIF('6月'!DY16:DZ16,"六本木-夜勤")+COUNTIF('6月'!ED16:EE16,"六本木-夜勤")+COUNTIF('6月'!EI16:EJ16,"六本木-夜勤")+COUNTIF('6月'!EN16:EO16,"六本木-夜勤")+COUNTIF('6月'!ES16:ET16,"六本木-夜勤")+COUNTIF('6月'!D16:E16,"六本木ー夜勤")+COUNTIF('6月'!I16:J16,"六本木ー夜勤")+COUNTIF('6月'!N16:O16,"六本木ー夜勤")+COUNTIF('6月'!S16:T16,"六本木ー夜勤")+COUNTIF('6月'!X16:Y16,"六本木ー夜勤")+COUNTIF('6月'!AC16:AD16,"六本木ー夜勤")+COUNTIF('6月'!AH16:AI16,"六本木ー夜勤")+COUNTIF('6月'!AM16:AN16,"六本木ー夜勤")+COUNTIF('6月'!AR16:AS16,"六本木ー夜勤")+COUNTIF('6月'!AW16:AX16,"六本木ー夜勤")+COUNTIF('6月'!BB16:BC16,"六本木ー夜勤")+COUNTIF('6月'!BG16:BH16,"六本木ー夜勤")+COUNTIF('6月'!BL16:BM16,"六本木ー夜勤")+COUNTIF('6月'!BQ16:BR16,"六本木ー夜勤")+COUNTIF('6月'!BV16:BW16,"六本木ー夜勤")+COUNTIF('6月'!CA16:CB16,"六本木ー夜勤")+COUNTIF('6月'!CF16:CG16,"六本木ー夜勤")+COUNTIF('6月'!CK16:CL16,"六本木ー夜勤")+COUNTIF('6月'!CP16:CQ16,"六本木ー夜勤")+COUNTIF('6月'!CU16:CV16,"六本木ー夜勤")+COUNTIF('6月'!CZ16:DA16,"六本木ー夜勤")+COUNTIF('6月'!DE16:DF16,"六本木ー夜勤")+COUNTIF('6月'!DJ16:DK16,"六本木ー夜勤")+COUNTIF('6月'!DO16:DP16,"六本木ー夜勤")+COUNTIF('6月'!DT16:DU16,"六本木ー夜勤")+COUNTIF('6月'!DY16:DZ16,"六本木ー夜勤")+COUNTIF('6月'!ED16:EE16,"六本木ー夜勤")+COUNTIF('6月'!EI16:EJ16,"六本木ー夜勤")+COUNTIF('6月'!EN16:EO16,"六本木ー夜勤")+COUNTIF('6月'!ES16:ET16,"六本木ー夜勤")</f>
        <v>0</v>
      </c>
      <c r="K203" s="76">
        <f t="shared" si="64"/>
        <v>0</v>
      </c>
      <c r="L203" s="76">
        <f>COUNTIF('6月'!D16:E16,L$189)+COUNTIF('6月'!I16:J16,L$189)+COUNTIF('6月'!N16:O16,L$189)+COUNTIF('6月'!S16:T16,L$189)+COUNTIF('6月'!X16:Y16,L$189)+COUNTIF('6月'!AC16:AD16,L$189)+COUNTIF('6月'!AH16:AI16,L$189)+COUNTIF('6月'!AM16:AN16,L$189)+COUNTIF('6月'!AR16:AS16,L$189)+COUNTIF('6月'!AW16:AX16,L$189)+COUNTIF('6月'!BB16:BC16,L$189)+COUNTIF('6月'!BG16:BH16,L$189)+COUNTIF('6月'!BL16:BM16,L$189)+COUNTIF('6月'!BQ16:BR16,L$189)+COUNTIF('6月'!BV16:BW16,L$189)+COUNTIF('6月'!CA16:CB16,L$189)+COUNTIF('6月'!CF16:CG16,L$189)+COUNTIF('6月'!CK16:CL16,L$189)+COUNTIF('6月'!CP16:CQ16,L$189)+COUNTIF('6月'!CU16:CV16,L$189)+COUNTIF('6月'!CZ16:DA16,L$189)+COUNTIF('6月'!DE16:DF16,L$189)+COUNTIF('6月'!DJ16:DK16,L$189)+COUNTIF('6月'!DO16:DP16,L$189)+COUNTIF('6月'!DT16:DU16,L$189)+COUNTIF('6月'!DY16:DZ16,L$189)+COUNTIF('6月'!ED16:EE16,L$189)+COUNTIF('6月'!EI16:EJ16,L$189)+COUNTIF('6月'!EN16:EO16,L$189)+COUNTIF('6月'!ES16:ET16,L$189)</f>
        <v>0</v>
      </c>
      <c r="M203" s="76">
        <f t="shared" si="65"/>
        <v>0</v>
      </c>
      <c r="N203" s="76">
        <f>COUNTIF('6月'!D16:E16,N$189)+COUNTIF('6月'!I16:J16,N$189)+COUNTIF('6月'!N16:O16,N$189)+COUNTIF('6月'!S16:T16,N$189)+COUNTIF('6月'!X16:Y16,N$189)+COUNTIF('6月'!AC16:AD16,N$189)+COUNTIF('6月'!AH16:AI16,N$189)+COUNTIF('6月'!AM16:AN16,N$189)+COUNTIF('6月'!AR16:AS16,N$189)+COUNTIF('6月'!AW16:AX16,N$189)+COUNTIF('6月'!BB16:BC16,N$189)+COUNTIF('6月'!BG16:BH16,N$189)+COUNTIF('6月'!BL16:BM16,N$189)+COUNTIF('6月'!BQ16:BR16,N$189)+COUNTIF('6月'!BV16:BW16,N$189)+COUNTIF('6月'!CA16:CB16,N$189)+COUNTIF('6月'!CF16:CG16,N$189)+COUNTIF('6月'!CK16:CL16,N$189)+COUNTIF('6月'!CP16:CQ16,N$189)+COUNTIF('6月'!CU16:CV16,N$189)+COUNTIF('6月'!CZ16:DA16,N$189)+COUNTIF('6月'!DE16:DF16,N$189)+COUNTIF('6月'!DJ16:DK16,N$189)+COUNTIF('6月'!DO16:DP16,N$189)+COUNTIF('6月'!DT16:DU16,N$189)+COUNTIF('6月'!DY16:DZ16,N$189)+COUNTIF('6月'!ED16:EE16,N$189)+COUNTIF('6月'!EI16:EJ16,N$189)+COUNTIF('6月'!EN16:EO16,N$189)+COUNTIF('6月'!ES16:ET16,N$189)+COUNTIF('6月'!D16:E16,"三軒茶屋－夜勤")+COUNTIF('6月'!I16:J16,"三軒茶屋－夜勤")+COUNTIF('6月'!N16:O16,"三軒茶屋－夜勤")+COUNTIF('6月'!S16:T16,"三軒茶屋－夜勤")+COUNTIF('6月'!X16:Y16,"三軒茶屋－夜勤")+COUNTIF('6月'!AC16:AD16,"三軒茶屋－夜勤")+COUNTIF('6月'!AH16:AI16,"三軒茶屋－夜勤")+COUNTIF('6月'!AM16:AN16,"三軒茶屋－夜勤")+COUNTIF('6月'!AR16:AS16,"三軒茶屋－夜勤")+COUNTIF('6月'!AW16:AX16,"三軒茶屋－夜勤")+COUNTIF('6月'!BB16:BC16,"三軒茶屋－夜勤")+COUNTIF('6月'!BG16:BH16,"三軒茶屋－夜勤")+COUNTIF('6月'!BL16:BM16,"三軒茶屋－夜勤")+COUNTIF('6月'!BQ16:BR16,"三軒茶屋－夜勤")+COUNTIF('6月'!BV16:BW16,"三軒茶屋－夜勤")+COUNTIF('6月'!CA16:CB16,"三軒茶屋－夜勤")+COUNTIF('6月'!CF16:CG16,"三軒茶屋－夜勤")+COUNTIF('6月'!CK16:CL16,"三軒茶屋－夜勤")+COUNTIF('6月'!CP16:CQ16,"三軒茶屋－夜勤")+COUNTIF('6月'!CU16:CV16,"三軒茶屋－夜勤")+COUNTIF('6月'!CZ16:DA16,"三軒茶屋－夜勤")+COUNTIF('6月'!DE16:DF16,"三軒茶屋－夜勤")+COUNTIF('6月'!DJ16:DK16,"三軒茶屋－夜勤")+COUNTIF('6月'!DO16:DP16,"三軒茶屋－夜勤")+COUNTIF('6月'!DT16:DU16,"三軒茶屋－夜勤")+COUNTIF('6月'!DY16:DZ16,"三軒茶屋－夜勤")+COUNTIF('6月'!ED16:EE16,"三軒茶屋－夜勤")+COUNTIF('6月'!EI16:EJ16,"三軒茶屋－夜勤")+COUNTIF('6月'!EN16:EO16,"三軒茶屋－夜勤")+COUNTIF('6月'!ES16:ET16,"三軒茶屋－夜勤")</f>
        <v>0</v>
      </c>
      <c r="O203" s="76">
        <f t="shared" si="66"/>
        <v>0</v>
      </c>
      <c r="P203" s="76">
        <f>COUNTIF('6月'!D16:E16,P$189)+COUNTIF('6月'!I16:J16,P$189)+COUNTIF('6月'!N16:O16,P$189)+COUNTIF('6月'!S16:T16,P$189)+COUNTIF('6月'!X16:Y16,P$189)+COUNTIF('6月'!AC16:AD16,P$189)+COUNTIF('6月'!AH16:AI16,P$189)+COUNTIF('6月'!AM16:AN16,P$189)+COUNTIF('6月'!AR16:AS16,P$189)+COUNTIF('6月'!AW16:AX16,P$189)+COUNTIF('6月'!BB16:BC16,P$189)+COUNTIF('6月'!BG16:BH16,P$189)+COUNTIF('6月'!BL16:BM16,P$189)+COUNTIF('6月'!BQ16:BR16,P$189)+COUNTIF('6月'!BV16:BW16,P$189)+COUNTIF('6月'!CA16:CB16,P$189)+COUNTIF('6月'!CF16:CG16,P$189)+COUNTIF('6月'!CK16:CL16,P$189)+COUNTIF('6月'!CP16:CQ16,P$189)+COUNTIF('6月'!CU16:CV16,P$189)+COUNTIF('6月'!CZ16:DA16,P$189)+COUNTIF('6月'!DE16:DF16,P$189)+COUNTIF('6月'!DJ16:DK16,P$189)+COUNTIF('6月'!DO16:DP16,P$189)+COUNTIF('6月'!DT16:DU16,P$189)+COUNTIF('6月'!DY16:DZ16,P$189)+COUNTIF('6月'!ED16:EE16,P$189)+COUNTIF('6月'!EI16:EJ16,P$189)+COUNTIF('6月'!EN16:EO16,P$189)+COUNTIF('6月'!ES16:ET16,P$189)+COUNTIF('6月'!D16:E16,"荻窪ー夜勤")+COUNTIF('6月'!I16:J16,"荻窪ー夜勤")+COUNTIF('6月'!N16:O16,"荻窪ー夜勤")+COUNTIF('6月'!S16:T16,"荻窪ー夜勤")+COUNTIF('6月'!X16:Y16,"荻窪ー夜勤")+COUNTIF('6月'!AC16:AD16,"荻窪ー夜勤")+COUNTIF('6月'!AH16:AI16,"荻窪ー夜勤")+COUNTIF('6月'!AM16:AN16,"荻窪ー夜勤")+COUNTIF('6月'!AR16:AS16,"荻窪ー夜勤")+COUNTIF('6月'!AW16:AX16,"荻窪ー夜勤")+COUNTIF('6月'!BB16:BC16,"荻窪ー夜勤")+COUNTIF('6月'!BG16:BH16,"荻窪ー夜勤")+COUNTIF('6月'!BL16:BM16,"荻窪ー夜勤")+COUNTIF('6月'!BQ16:BR16,"荻窪ー夜勤")+COUNTIF('6月'!BV16:BW16,"荻窪ー夜勤")+COUNTIF('6月'!CA16:CB16,"荻窪ー夜勤")+COUNTIF('6月'!CF16:CG16,"荻窪ー夜勤")+COUNTIF('6月'!CK16:CL16,"荻窪ー夜勤")+COUNTIF('6月'!CP16:CQ16,"荻窪ー夜勤")+COUNTIF('6月'!CU16:CV16,"荻窪ー夜勤")+COUNTIF('6月'!CZ16:DA16,"荻窪ー夜勤")+COUNTIF('6月'!DE16:DF16,"荻窪ー夜勤")+COUNTIF('6月'!DJ16:DK16,"荻窪ー夜勤")+COUNTIF('6月'!DO16:DP16,"荻窪ー夜勤")+COUNTIF('6月'!DT16:DU16,"荻窪ー夜勤")+COUNTIF('6月'!DY16:DZ16,"荻窪ー夜勤")+COUNTIF('6月'!ED16:EE16,"荻窪ー夜勤")+COUNTIF('6月'!EI16:EJ16,"荻窪ー夜勤")+COUNTIF('6月'!EN16:EO16,"荻窪ー夜勤")+COUNTIF('6月'!ES16:ET16,"荻窪ー夜勤")</f>
        <v>0</v>
      </c>
      <c r="Q203" s="76">
        <f t="shared" si="67"/>
        <v>0</v>
      </c>
      <c r="R203" s="76">
        <f>COUNTIF('6月'!D16:E16,R$189)+COUNTIF('6月'!I16:J16,R$189)+COUNTIF('6月'!N16:O16,R$189)+COUNTIF('6月'!S16:T16,R$189)+COUNTIF('6月'!X16:Y16,R$189)+COUNTIF('6月'!AC16:AD16,R$189)+COUNTIF('6月'!AH16:AI16,R$189)+COUNTIF('6月'!AM16:AN16,R$189)+COUNTIF('6月'!AR16:AS16,R$189)+COUNTIF('6月'!AW16:AX16,R$189)+COUNTIF('6月'!BB16:BC16,R$189)+COUNTIF('6月'!BG16:BH16,R$189)+COUNTIF('6月'!BL16:BM16,R$189)+COUNTIF('6月'!BQ16:BR16,R$189)+COUNTIF('6月'!BV16:BW16,R$189)+COUNTIF('6月'!CA16:CB16,R$189)+COUNTIF('6月'!CF16:CG16,R$189)+COUNTIF('6月'!CK16:CL16,R$189)+COUNTIF('6月'!CP16:CQ16,R$189)+COUNTIF('6月'!CU16:CV16,R$189)+COUNTIF('6月'!CZ16:DA16,R$189)+COUNTIF('6月'!DE16:DF16,R$189)+COUNTIF('6月'!DJ16:DK16,R$189)+COUNTIF('6月'!DO16:DP16,R$189)+COUNTIF('6月'!DT16:DU16,R$189)+COUNTIF('6月'!DY16:DZ16,R$189)+COUNTIF('6月'!ED16:EE16,R$189)+COUNTIF('6月'!EI16:EJ16,R$189)+COUNTIF('6月'!EN16:EO16,R$189)+COUNTIF('6月'!ES16:ET16,R$189)</f>
        <v>0</v>
      </c>
      <c r="S203" s="76">
        <f t="shared" si="68"/>
        <v>0</v>
      </c>
      <c r="T203" s="76">
        <f>COUNTIF('6月'!D16:E16,T$189)+COUNTIF('6月'!I16:J16,T$189)+COUNTIF('6月'!N16:O16,T$189)+COUNTIF('6月'!S16:T16,T$189)+COUNTIF('6月'!X16:Y16,T$189)+COUNTIF('6月'!AC16:AD16,T$189)+COUNTIF('6月'!AH16:AI16,T$189)+COUNTIF('6月'!AM16:AN16,T$189)+COUNTIF('6月'!AR16:AS16,T$189)+COUNTIF('6月'!AW16:AX16,T$189)+COUNTIF('6月'!BB16:BC16,T$189)+COUNTIF('6月'!BG16:BH16,T$189)+COUNTIF('6月'!BL16:BM16,T$189)+COUNTIF('6月'!BQ16:BR16,T$189)+COUNTIF('6月'!BV16:BW16,T$189)+COUNTIF('6月'!CA16:CB16,T$189)+COUNTIF('6月'!CF16:CG16,T$189)+COUNTIF('6月'!CK16:CL16,T$189)+COUNTIF('6月'!CP16:CQ16,T$189)+COUNTIF('6月'!CU16:CV16,T$189)+COUNTIF('6月'!CZ16:DA16,T$189)+COUNTIF('6月'!DE16:DF16,T$189)+COUNTIF('6月'!DJ16:DK16,T$189)+COUNTIF('6月'!DO16:DP16,T$189)+COUNTIF('6月'!DT16:DU16,T$189)+COUNTIF('6月'!DY16:DZ16,T$189)+COUNTIF('6月'!ED16:EE16,T$189)+COUNTIF('6月'!EI16:EJ16,T$189)+COUNTIF('6月'!EN16:EO16,T$189)+COUNTIF('6月'!ES16:ET16,T$189)</f>
        <v>0</v>
      </c>
      <c r="U203" s="76">
        <f t="shared" si="69"/>
        <v>0</v>
      </c>
      <c r="V203" s="76">
        <f>COUNTIF('6月'!D16:E16,V$189)+COUNTIF('6月'!I16:J16,V$189)+COUNTIF('6月'!N16:O16,V$189)+COUNTIF('6月'!S16:T16,V$189)+COUNTIF('6月'!X16:Y16,V$189)+COUNTIF('6月'!AC16:AD16,V$189)+COUNTIF('6月'!AH16:AI16,V$189)+COUNTIF('6月'!AM16:AN16,V$189)+COUNTIF('6月'!AR16:AS16,V$189)+COUNTIF('6月'!AW16:AX16,V$189)+COUNTIF('6月'!BB16:BC16,V$189)+COUNTIF('6月'!BG16:BH16,V$189)+COUNTIF('6月'!BL16:BM16,V$189)+COUNTIF('6月'!BQ16:BR16,V$189)+COUNTIF('6月'!BV16:BW16,V$189)+COUNTIF('6月'!CA16:CB16,V$189)+COUNTIF('6月'!CF16:CG16,V$189)+COUNTIF('6月'!CK16:CL16,V$189)+COUNTIF('6月'!CP16:CQ16,V$189)+COUNTIF('6月'!CU16:CV16,V$189)+COUNTIF('6月'!CZ16:DA16,V$189)+COUNTIF('6月'!DE16:DF16,V$189)+COUNTIF('6月'!DJ16:DK16,V$189)+COUNTIF('6月'!DO16:DP16,V$189)+COUNTIF('6月'!DT16:DU16,V$189)+COUNTIF('6月'!DY16:DZ16,V$189)+COUNTIF('6月'!ED16:EE16,V$189)+COUNTIF('6月'!EI16:EJ16,V$189)+COUNTIF('6月'!EN16:EO16,V$189)+COUNTIF('6月'!ES16:ET16,V$189)</f>
        <v>0</v>
      </c>
      <c r="W203" s="76">
        <f t="shared" si="70"/>
        <v>0</v>
      </c>
      <c r="X203" s="76">
        <f>COUNTIF('6月'!D16:E16,X$189)+COUNTIF('6月'!I16:J16,X$189)+COUNTIF('6月'!N16:O16,X$189)+COUNTIF('6月'!S16:T16,X$189)+COUNTIF('6月'!X16:Y16,X$189)+COUNTIF('6月'!AC16:AD16,X$189)+COUNTIF('6月'!AH16:AI16,X$189)+COUNTIF('6月'!AM16:AN16,X$189)+COUNTIF('6月'!AR16:AS16,X$189)+COUNTIF('6月'!AW16:AX16,X$189)+COUNTIF('6月'!BB16:BC16,X$189)+COUNTIF('6月'!BG16:BH16,X$189)+COUNTIF('6月'!BL16:BM16,X$189)+COUNTIF('6月'!BQ16:BR16,X$189)+COUNTIF('6月'!BV16:BW16,X$189)+COUNTIF('6月'!CA16:CB16,X$189)+COUNTIF('6月'!CF16:CG16,X$189)+COUNTIF('6月'!CK16:CL16,X$189)+COUNTIF('6月'!CP16:CQ16,X$189)+COUNTIF('6月'!CU16:CV16,X$189)+COUNTIF('6月'!CZ16:DA16,X$189)+COUNTIF('6月'!DE16:DF16,X$189)+COUNTIF('6月'!DJ16:DK16,X$189)+COUNTIF('6月'!DO16:DP16,X$189)+COUNTIF('6月'!DT16:DU16,X$189)+COUNTIF('6月'!DY16:DZ16,X$189)+COUNTIF('6月'!ED16:EE16,X$189)+COUNTIF('6月'!EI16:EJ16,X$189)+COUNTIF('6月'!EN16:EO16,X$189)+COUNTIF('6月'!ES16:ET16,X$189)</f>
        <v>0</v>
      </c>
      <c r="Y203" s="76">
        <f t="shared" si="71"/>
        <v>0</v>
      </c>
    </row>
    <row r="204" spans="1:25" ht="18" customHeight="1">
      <c r="A204" s="76">
        <v>14</v>
      </c>
      <c r="B204" s="76">
        <f>COUNTIF('6月'!D17:E17,B$189)+COUNTIF('6月'!I17:J17,B$189)+COUNTIF('6月'!N17:O17,B$189)+COUNTIF('6月'!S17:T17,B$189)+COUNTIF('6月'!X17:Y17,B$189)+COUNTIF('6月'!AC17:AD17,B$189)+COUNTIF('6月'!AH17:AI17,B$189)+COUNTIF('6月'!AM17:AN17,B$189)+COUNTIF('6月'!AR17:AS17,B$189)+COUNTIF('6月'!AW17:AX17,B$189)+COUNTIF('6月'!BB17:BC17,B$189)+COUNTIF('6月'!BG17:BH17,B$189)+COUNTIF('6月'!BL17:BM17,B$189)+COUNTIF('6月'!BQ17:BR17,B$189)+COUNTIF('6月'!BV17:BW17,B$189)+COUNTIF('6月'!CA17:CB17,B$189)+COUNTIF('6月'!CF17:CG17,B$189)+COUNTIF('6月'!CK17:CL17,B$189)+COUNTIF('6月'!CP17:CQ17,B$189)+COUNTIF('6月'!CU17:CV17,B$189)+COUNTIF('6月'!CZ17:DA17,B$189)+COUNTIF('6月'!DE17:DF17,B$189)+COUNTIF('6月'!DJ17:DK17,B$189)+COUNTIF('6月'!DO17:DP17,B$189)+COUNTIF('6月'!DT17:DU17,B$189)+COUNTIF('6月'!DY17:DZ17,B$189)+COUNTIF('6月'!ED17:EE17,B$189)+COUNTIF('6月'!EI17:EJ17,B$189)+COUNTIF('6月'!EN17:EO17,B$189)+COUNTIF('6月'!ES17:ET17,B$189)</f>
        <v>0</v>
      </c>
      <c r="C204" s="76">
        <f t="shared" si="60"/>
        <v>0</v>
      </c>
      <c r="D204" s="76">
        <f>COUNTIF('6月'!D17:E17,D$189)+COUNTIF('6月'!I17:J17,D$189)+COUNTIF('6月'!N17:O17,D$189)+COUNTIF('6月'!S17:T17,D$189)+COUNTIF('6月'!X17:Y17,D$189)+COUNTIF('6月'!AC17:AD17,D$189)+COUNTIF('6月'!AH17:AI17,D$189)+COUNTIF('6月'!AM17:AN17,D$189)+COUNTIF('6月'!AR17:AS17,D$189)+COUNTIF('6月'!AW17:AX17,D$189)+COUNTIF('6月'!BB17:BC17,D$189)+COUNTIF('6月'!BG17:BH17,D$189)+COUNTIF('6月'!BL17:BM17,D$189)+COUNTIF('6月'!BQ17:BR17,D$189)+COUNTIF('6月'!BV17:BW17,D$189)+COUNTIF('6月'!CA17:CB17,D$189)+COUNTIF('6月'!CF17:CG17,D$189)+COUNTIF('6月'!CK17:CL17,D$189)+COUNTIF('6月'!CP17:CQ17,D$189)+COUNTIF('6月'!CU17:CV17,D$189)+COUNTIF('6月'!CZ17:DA17,D$189)+COUNTIF('6月'!DE17:DF17,D$189)+COUNTIF('6月'!DJ17:DK17,D$189)+COUNTIF('6月'!DO17:DP17,D$189)+COUNTIF('6月'!DT17:DU17,D$189)+COUNTIF('6月'!DY17:DZ17,D$189)+COUNTIF('6月'!ED17:EE17,D$189)+COUNTIF('6月'!EI17:EJ17,D$189)+COUNTIF('6月'!EN17:EO17,D$189)+COUNTIF('6月'!ES17:ET17,D$189)</f>
        <v>0</v>
      </c>
      <c r="E204" s="76">
        <f t="shared" si="61"/>
        <v>0</v>
      </c>
      <c r="F204" s="76">
        <f>COUNTIF('6月'!D17:E17,F$189)+COUNTIF('6月'!I17:J17,F$189)+COUNTIF('6月'!N17:O17,F$189)+COUNTIF('6月'!S17:T17,F$189)+COUNTIF('6月'!X17:Y17,F$189)+COUNTIF('6月'!AC17:AD17,F$189)+COUNTIF('6月'!AH17:AI17,F$189)+COUNTIF('6月'!AM17:AN17,F$189)+COUNTIF('6月'!AR17:AS17,F$189)+COUNTIF('6月'!AW17:AX17,F$189)+COUNTIF('6月'!BB17:BC17,F$189)+COUNTIF('6月'!BG17:BH17,F$189)+COUNTIF('6月'!BL17:BM17,F$189)+COUNTIF('6月'!BQ17:BR17,F$189)+COUNTIF('6月'!BV17:BW17,F$189)+COUNTIF('6月'!CA17:CB17,F$189)+COUNTIF('6月'!CF17:CG17,F$189)+COUNTIF('6月'!CK17:CL17,F$189)+COUNTIF('6月'!CP17:CQ17,F$189)+COUNTIF('6月'!CU17:CV17,F$189)+COUNTIF('6月'!CZ17:DA17,F$189)+COUNTIF('6月'!DE17:DF17,F$189)+COUNTIF('6月'!DJ17:DK17,F$189)+COUNTIF('6月'!DO17:DP17,F$189)+COUNTIF('6月'!DT17:DU17,F$189)+COUNTIF('6月'!DY17:DZ17,F$189)+COUNTIF('6月'!ED17:EE17,F$189)+COUNTIF('6月'!EI17:EJ17,F$189)+COUNTIF('6月'!EN17:EO17,F$189)+COUNTIF('6月'!ES17:ET17,F$189)</f>
        <v>0</v>
      </c>
      <c r="G204" s="76">
        <f t="shared" si="62"/>
        <v>0</v>
      </c>
      <c r="H204" s="76">
        <f>COUNTIF('6月'!D17:E17,H$189)+COUNTIF('6月'!I17:J17,H$189)+COUNTIF('6月'!N17:O17,H$189)+COUNTIF('6月'!S17:T17,H$189)+COUNTIF('6月'!X17:Y17,H$189)+COUNTIF('6月'!AC17:AD17,H$189)+COUNTIF('6月'!AH17:AI17,H$189)+COUNTIF('6月'!AM17:AN17,H$189)+COUNTIF('6月'!AR17:AS17,H$189)+COUNTIF('6月'!AW17:AX17,H$189)+COUNTIF('6月'!BB17:BC17,H$189)+COUNTIF('6月'!BG17:BH17,H$189)+COUNTIF('6月'!BL17:BM17,H$189)+COUNTIF('6月'!BQ17:BR17,H$189)+COUNTIF('6月'!BV17:BW17,H$189)+COUNTIF('6月'!CA17:CB17,H$189)+COUNTIF('6月'!CF17:CG17,H$189)+COUNTIF('6月'!CK17:CL17,H$189)+COUNTIF('6月'!CP17:CQ17,H$189)+COUNTIF('6月'!CU17:CV17,H$189)+COUNTIF('6月'!CZ17:DA17,H$189)+COUNTIF('6月'!DE17:DF17,H$189)+COUNTIF('6月'!DJ17:DK17,H$189)+COUNTIF('6月'!DO17:DP17,H$189)+COUNTIF('6月'!DT17:DU17,H$189)+COUNTIF('6月'!DY17:DZ17,H$189)+COUNTIF('6月'!ED17:EE17,H$189)+COUNTIF('6月'!EI17:EJ17,H$189)+COUNTIF('6月'!EN17:EO17,H$189)+COUNTIF('6月'!ES17:ET17,H$189)+COUNTIF('6月'!D17:E17,"渋谷-夜勤")+COUNTIF('6月'!I17:J17,"渋谷-夜勤")+COUNTIF('6月'!N17:O17,"渋谷-夜勤")+COUNTIF('6月'!S17:T17,"渋谷-夜勤")+COUNTIF('6月'!X17:Y17,"渋谷-夜勤")+COUNTIF('6月'!AC17:AD17,"渋谷-夜勤")+COUNTIF('6月'!AH17:AI17,"渋谷-夜勤")+COUNTIF('6月'!AM17:AN17,"渋谷-夜勤")+COUNTIF('6月'!AR17:AS17,"渋谷-夜勤")+COUNTIF('6月'!AW17:AX17,"渋谷-夜勤")+COUNTIF('6月'!BB17:BC17,"渋谷-夜勤")+COUNTIF('6月'!BG17:BH17,"渋谷-夜勤")+COUNTIF('6月'!BL17:BM17,"渋谷-夜勤")+COUNTIF('6月'!BQ17:BR17,"渋谷-夜勤")+COUNTIF('6月'!BV17:BW17,"渋谷-夜勤")+COUNTIF('6月'!CA17:CB17,"渋谷-夜勤")+COUNTIF('6月'!CF17:CG17,"渋谷-夜勤")+COUNTIF('6月'!CK17:CL17,"渋谷-夜勤")+COUNTIF('6月'!CP17:CQ17,"渋谷-夜勤")+COUNTIF('6月'!CU17:CV17,"渋谷-夜勤")+COUNTIF('6月'!CZ17:DA17,"渋谷-夜勤")+COUNTIF('6月'!DE17:DF17,"渋谷-夜勤")+COUNTIF('6月'!DJ17:DK17,"渋谷-夜勤")+COUNTIF('6月'!DO17:DP17,"渋谷-夜勤")+COUNTIF('6月'!DT17:DU17,"渋谷-夜勤")+COUNTIF('6月'!DY17:DZ17,"渋谷-夜勤")+COUNTIF('6月'!ED17:EE17,"渋谷-夜勤")+COUNTIF('6月'!EI17:EJ17,"渋谷-夜勤")+COUNTIF('6月'!EN17:EO17,"渋谷-夜勤")+COUNTIF('6月'!ES17:ET17,"渋谷-夜勤")</f>
        <v>0</v>
      </c>
      <c r="I204" s="76">
        <f t="shared" si="63"/>
        <v>0</v>
      </c>
      <c r="J204" s="76">
        <f>COUNTIF('6月'!D17:E17,J$189)+COUNTIF('6月'!I17:J17,J$189)+COUNTIF('6月'!N17:O17,J$189)+COUNTIF('6月'!S17:T17,J$189)+COUNTIF('6月'!X17:Y17,J$189)+COUNTIF('6月'!AC17:AD17,J$189)+COUNTIF('6月'!AH17:AI17,J$189)+COUNTIF('6月'!AM17:AN17,J$189)+COUNTIF('6月'!AR17:AS17,J$189)+COUNTIF('6月'!AW17:AX17,J$189)+COUNTIF('6月'!BB17:BC17,J$189)+COUNTIF('6月'!BG17:BH17,J$189)+COUNTIF('6月'!BL17:BM17,J$189)+COUNTIF('6月'!BQ17:BR17,J$189)+COUNTIF('6月'!BV17:BW17,J$189)+COUNTIF('6月'!CA17:CB17,J$189)+COUNTIF('6月'!CF17:CG17,J$189)+COUNTIF('6月'!CK17:CL17,J$189)+COUNTIF('6月'!CP17:CQ17,J$189)+COUNTIF('6月'!CU17:CV17,J$189)+COUNTIF('6月'!CZ17:DA17,J$189)+COUNTIF('6月'!DE17:DF17,J$189)+COUNTIF('6月'!DJ17:DK17,J$189)+COUNTIF('6月'!DO17:DP17,J$189)+COUNTIF('6月'!DT17:DU17,J$189)+COUNTIF('6月'!DY17:DZ17,J$189)+COUNTIF('6月'!ED17:EE17,J$189)+COUNTIF('6月'!EI17:EJ17,J$189)+COUNTIF('6月'!EN17:EO17,J$189)+COUNTIF('6月'!ES17:ET17,J$189)+COUNTIF('6月'!D17:E17,"六本木-夜勤")+COUNTIF('6月'!I17:J17,"六本木-夜勤")+COUNTIF('6月'!N17:O17,"六本木-夜勤")+COUNTIF('6月'!S17:T17,"六本木-夜勤")+COUNTIF('6月'!X17:Y17,"六本木-夜勤")+COUNTIF('6月'!AC17:AD17,"六本木-夜勤")+COUNTIF('6月'!AH17:AI17,"六本木-夜勤")+COUNTIF('6月'!AM17:AN17,"六本木-夜勤")+COUNTIF('6月'!AR17:AS17,"六本木-夜勤")+COUNTIF('6月'!AW17:AX17,"六本木-夜勤")+COUNTIF('6月'!BB17:BC17,"六本木-夜勤")+COUNTIF('6月'!BG17:BH17,"六本木-夜勤")+COUNTIF('6月'!BL17:BM17,"六本木-夜勤")+COUNTIF('6月'!BQ17:BR17,"六本木-夜勤")+COUNTIF('6月'!BV17:BW17,"六本木-夜勤")+COUNTIF('6月'!CA17:CB17,"六本木-夜勤")+COUNTIF('6月'!CF17:CG17,"六本木-夜勤")+COUNTIF('6月'!CK17:CL17,"六本木-夜勤")+COUNTIF('6月'!CP17:CQ17,"六本木-夜勤")+COUNTIF('6月'!CU17:CV17,"六本木-夜勤")+COUNTIF('6月'!CZ17:DA17,"六本木-夜勤")+COUNTIF('6月'!DE17:DF17,"六本木-夜勤")+COUNTIF('6月'!DJ17:DK17,"六本木-夜勤")+COUNTIF('6月'!DO17:DP17,"六本木-夜勤")+COUNTIF('6月'!DT17:DU17,"六本木-夜勤")+COUNTIF('6月'!DY17:DZ17,"六本木-夜勤")+COUNTIF('6月'!ED17:EE17,"六本木-夜勤")+COUNTIF('6月'!EI17:EJ17,"六本木-夜勤")+COUNTIF('6月'!EN17:EO17,"六本木-夜勤")+COUNTIF('6月'!ES17:ET17,"六本木-夜勤")+COUNTIF('6月'!D17:E17,"六本木ー夜勤")+COUNTIF('6月'!I17:J17,"六本木ー夜勤")+COUNTIF('6月'!N17:O17,"六本木ー夜勤")+COUNTIF('6月'!S17:T17,"六本木ー夜勤")+COUNTIF('6月'!X17:Y17,"六本木ー夜勤")+COUNTIF('6月'!AC17:AD17,"六本木ー夜勤")+COUNTIF('6月'!AH17:AI17,"六本木ー夜勤")+COUNTIF('6月'!AM17:AN17,"六本木ー夜勤")+COUNTIF('6月'!AR17:AS17,"六本木ー夜勤")+COUNTIF('6月'!AW17:AX17,"六本木ー夜勤")+COUNTIF('6月'!BB17:BC17,"六本木ー夜勤")+COUNTIF('6月'!BG17:BH17,"六本木ー夜勤")+COUNTIF('6月'!BL17:BM17,"六本木ー夜勤")+COUNTIF('6月'!BQ17:BR17,"六本木ー夜勤")+COUNTIF('6月'!BV17:BW17,"六本木ー夜勤")+COUNTIF('6月'!CA17:CB17,"六本木ー夜勤")+COUNTIF('6月'!CF17:CG17,"六本木ー夜勤")+COUNTIF('6月'!CK17:CL17,"六本木ー夜勤")+COUNTIF('6月'!CP17:CQ17,"六本木ー夜勤")+COUNTIF('6月'!CU17:CV17,"六本木ー夜勤")+COUNTIF('6月'!CZ17:DA17,"六本木ー夜勤")+COUNTIF('6月'!DE17:DF17,"六本木ー夜勤")+COUNTIF('6月'!DJ17:DK17,"六本木ー夜勤")+COUNTIF('6月'!DO17:DP17,"六本木ー夜勤")+COUNTIF('6月'!DT17:DU17,"六本木ー夜勤")+COUNTIF('6月'!DY17:DZ17,"六本木ー夜勤")+COUNTIF('6月'!ED17:EE17,"六本木ー夜勤")+COUNTIF('6月'!EI17:EJ17,"六本木ー夜勤")+COUNTIF('6月'!EN17:EO17,"六本木ー夜勤")+COUNTIF('6月'!ES17:ET17,"六本木ー夜勤")</f>
        <v>0</v>
      </c>
      <c r="K204" s="76">
        <f t="shared" si="64"/>
        <v>0</v>
      </c>
      <c r="L204" s="76">
        <f>COUNTIF('6月'!D17:E17,L$189)+COUNTIF('6月'!I17:J17,L$189)+COUNTIF('6月'!N17:O17,L$189)+COUNTIF('6月'!S17:T17,L$189)+COUNTIF('6月'!X17:Y17,L$189)+COUNTIF('6月'!AC17:AD17,L$189)+COUNTIF('6月'!AH17:AI17,L$189)+COUNTIF('6月'!AM17:AN17,L$189)+COUNTIF('6月'!AR17:AS17,L$189)+COUNTIF('6月'!AW17:AX17,L$189)+COUNTIF('6月'!BB17:BC17,L$189)+COUNTIF('6月'!BG17:BH17,L$189)+COUNTIF('6月'!BL17:BM17,L$189)+COUNTIF('6月'!BQ17:BR17,L$189)+COUNTIF('6月'!BV17:BW17,L$189)+COUNTIF('6月'!CA17:CB17,L$189)+COUNTIF('6月'!CF17:CG17,L$189)+COUNTIF('6月'!CK17:CL17,L$189)+COUNTIF('6月'!CP17:CQ17,L$189)+COUNTIF('6月'!CU17:CV17,L$189)+COUNTIF('6月'!CZ17:DA17,L$189)+COUNTIF('6月'!DE17:DF17,L$189)+COUNTIF('6月'!DJ17:DK17,L$189)+COUNTIF('6月'!DO17:DP17,L$189)+COUNTIF('6月'!DT17:DU17,L$189)+COUNTIF('6月'!DY17:DZ17,L$189)+COUNTIF('6月'!ED17:EE17,L$189)+COUNTIF('6月'!EI17:EJ17,L$189)+COUNTIF('6月'!EN17:EO17,L$189)+COUNTIF('6月'!ES17:ET17,L$189)</f>
        <v>0</v>
      </c>
      <c r="M204" s="76">
        <f t="shared" si="65"/>
        <v>0</v>
      </c>
      <c r="N204" s="76">
        <f>COUNTIF('6月'!D17:E17,N$189)+COUNTIF('6月'!I17:J17,N$189)+COUNTIF('6月'!N17:O17,N$189)+COUNTIF('6月'!S17:T17,N$189)+COUNTIF('6月'!X17:Y17,N$189)+COUNTIF('6月'!AC17:AD17,N$189)+COUNTIF('6月'!AH17:AI17,N$189)+COUNTIF('6月'!AM17:AN17,N$189)+COUNTIF('6月'!AR17:AS17,N$189)+COUNTIF('6月'!AW17:AX17,N$189)+COUNTIF('6月'!BB17:BC17,N$189)+COUNTIF('6月'!BG17:BH17,N$189)+COUNTIF('6月'!BL17:BM17,N$189)+COUNTIF('6月'!BQ17:BR17,N$189)+COUNTIF('6月'!BV17:BW17,N$189)+COUNTIF('6月'!CA17:CB17,N$189)+COUNTIF('6月'!CF17:CG17,N$189)+COUNTIF('6月'!CK17:CL17,N$189)+COUNTIF('6月'!CP17:CQ17,N$189)+COUNTIF('6月'!CU17:CV17,N$189)+COUNTIF('6月'!CZ17:DA17,N$189)+COUNTIF('6月'!DE17:DF17,N$189)+COUNTIF('6月'!DJ17:DK17,N$189)+COUNTIF('6月'!DO17:DP17,N$189)+COUNTIF('6月'!DT17:DU17,N$189)+COUNTIF('6月'!DY17:DZ17,N$189)+COUNTIF('6月'!ED17:EE17,N$189)+COUNTIF('6月'!EI17:EJ17,N$189)+COUNTIF('6月'!EN17:EO17,N$189)+COUNTIF('6月'!ES17:ET17,N$189)+COUNTIF('6月'!D17:E17,"三軒茶屋－夜勤")+COUNTIF('6月'!I17:J17,"三軒茶屋－夜勤")+COUNTIF('6月'!N17:O17,"三軒茶屋－夜勤")+COUNTIF('6月'!S17:T17,"三軒茶屋－夜勤")+COUNTIF('6月'!X17:Y17,"三軒茶屋－夜勤")+COUNTIF('6月'!AC17:AD17,"三軒茶屋－夜勤")+COUNTIF('6月'!AH17:AI17,"三軒茶屋－夜勤")+COUNTIF('6月'!AM17:AN17,"三軒茶屋－夜勤")+COUNTIF('6月'!AR17:AS17,"三軒茶屋－夜勤")+COUNTIF('6月'!AW17:AX17,"三軒茶屋－夜勤")+COUNTIF('6月'!BB17:BC17,"三軒茶屋－夜勤")+COUNTIF('6月'!BG17:BH17,"三軒茶屋－夜勤")+COUNTIF('6月'!BL17:BM17,"三軒茶屋－夜勤")+COUNTIF('6月'!BQ17:BR17,"三軒茶屋－夜勤")+COUNTIF('6月'!BV17:BW17,"三軒茶屋－夜勤")+COUNTIF('6月'!CA17:CB17,"三軒茶屋－夜勤")+COUNTIF('6月'!CF17:CG17,"三軒茶屋－夜勤")+COUNTIF('6月'!CK17:CL17,"三軒茶屋－夜勤")+COUNTIF('6月'!CP17:CQ17,"三軒茶屋－夜勤")+COUNTIF('6月'!CU17:CV17,"三軒茶屋－夜勤")+COUNTIF('6月'!CZ17:DA17,"三軒茶屋－夜勤")+COUNTIF('6月'!DE17:DF17,"三軒茶屋－夜勤")+COUNTIF('6月'!DJ17:DK17,"三軒茶屋－夜勤")+COUNTIF('6月'!DO17:DP17,"三軒茶屋－夜勤")+COUNTIF('6月'!DT17:DU17,"三軒茶屋－夜勤")+COUNTIF('6月'!DY17:DZ17,"三軒茶屋－夜勤")+COUNTIF('6月'!ED17:EE17,"三軒茶屋－夜勤")+COUNTIF('6月'!EI17:EJ17,"三軒茶屋－夜勤")+COUNTIF('6月'!EN17:EO17,"三軒茶屋－夜勤")+COUNTIF('6月'!ES17:ET17,"三軒茶屋－夜勤")</f>
        <v>0</v>
      </c>
      <c r="O204" s="76">
        <f t="shared" si="66"/>
        <v>0</v>
      </c>
      <c r="P204" s="76">
        <f>COUNTIF('6月'!D17:E17,P$189)+COUNTIF('6月'!I17:J17,P$189)+COUNTIF('6月'!N17:O17,P$189)+COUNTIF('6月'!S17:T17,P$189)+COUNTIF('6月'!X17:Y17,P$189)+COUNTIF('6月'!AC17:AD17,P$189)+COUNTIF('6月'!AH17:AI17,P$189)+COUNTIF('6月'!AM17:AN17,P$189)+COUNTIF('6月'!AR17:AS17,P$189)+COUNTIF('6月'!AW17:AX17,P$189)+COUNTIF('6月'!BB17:BC17,P$189)+COUNTIF('6月'!BG17:BH17,P$189)+COUNTIF('6月'!BL17:BM17,P$189)+COUNTIF('6月'!BQ17:BR17,P$189)+COUNTIF('6月'!BV17:BW17,P$189)+COUNTIF('6月'!CA17:CB17,P$189)+COUNTIF('6月'!CF17:CG17,P$189)+COUNTIF('6月'!CK17:CL17,P$189)+COUNTIF('6月'!CP17:CQ17,P$189)+COUNTIF('6月'!CU17:CV17,P$189)+COUNTIF('6月'!CZ17:DA17,P$189)+COUNTIF('6月'!DE17:DF17,P$189)+COUNTIF('6月'!DJ17:DK17,P$189)+COUNTIF('6月'!DO17:DP17,P$189)+COUNTIF('6月'!DT17:DU17,P$189)+COUNTIF('6月'!DY17:DZ17,P$189)+COUNTIF('6月'!ED17:EE17,P$189)+COUNTIF('6月'!EI17:EJ17,P$189)+COUNTIF('6月'!EN17:EO17,P$189)+COUNTIF('6月'!ES17:ET17,P$189)+COUNTIF('6月'!D17:E17,"荻窪ー夜勤")+COUNTIF('6月'!I17:J17,"荻窪ー夜勤")+COUNTIF('6月'!N17:O17,"荻窪ー夜勤")+COUNTIF('6月'!S17:T17,"荻窪ー夜勤")+COUNTIF('6月'!X17:Y17,"荻窪ー夜勤")+COUNTIF('6月'!AC17:AD17,"荻窪ー夜勤")+COUNTIF('6月'!AH17:AI17,"荻窪ー夜勤")+COUNTIF('6月'!AM17:AN17,"荻窪ー夜勤")+COUNTIF('6月'!AR17:AS17,"荻窪ー夜勤")+COUNTIF('6月'!AW17:AX17,"荻窪ー夜勤")+COUNTIF('6月'!BB17:BC17,"荻窪ー夜勤")+COUNTIF('6月'!BG17:BH17,"荻窪ー夜勤")+COUNTIF('6月'!BL17:BM17,"荻窪ー夜勤")+COUNTIF('6月'!BQ17:BR17,"荻窪ー夜勤")+COUNTIF('6月'!BV17:BW17,"荻窪ー夜勤")+COUNTIF('6月'!CA17:CB17,"荻窪ー夜勤")+COUNTIF('6月'!CF17:CG17,"荻窪ー夜勤")+COUNTIF('6月'!CK17:CL17,"荻窪ー夜勤")+COUNTIF('6月'!CP17:CQ17,"荻窪ー夜勤")+COUNTIF('6月'!CU17:CV17,"荻窪ー夜勤")+COUNTIF('6月'!CZ17:DA17,"荻窪ー夜勤")+COUNTIF('6月'!DE17:DF17,"荻窪ー夜勤")+COUNTIF('6月'!DJ17:DK17,"荻窪ー夜勤")+COUNTIF('6月'!DO17:DP17,"荻窪ー夜勤")+COUNTIF('6月'!DT17:DU17,"荻窪ー夜勤")+COUNTIF('6月'!DY17:DZ17,"荻窪ー夜勤")+COUNTIF('6月'!ED17:EE17,"荻窪ー夜勤")+COUNTIF('6月'!EI17:EJ17,"荻窪ー夜勤")+COUNTIF('6月'!EN17:EO17,"荻窪ー夜勤")+COUNTIF('6月'!ES17:ET17,"荻窪ー夜勤")</f>
        <v>0</v>
      </c>
      <c r="Q204" s="76">
        <f t="shared" si="67"/>
        <v>0</v>
      </c>
      <c r="R204" s="76">
        <f>COUNTIF('6月'!D17:E17,R$189)+COUNTIF('6月'!I17:J17,R$189)+COUNTIF('6月'!N17:O17,R$189)+COUNTIF('6月'!S17:T17,R$189)+COUNTIF('6月'!X17:Y17,R$189)+COUNTIF('6月'!AC17:AD17,R$189)+COUNTIF('6月'!AH17:AI17,R$189)+COUNTIF('6月'!AM17:AN17,R$189)+COUNTIF('6月'!AR17:AS17,R$189)+COUNTIF('6月'!AW17:AX17,R$189)+COUNTIF('6月'!BB17:BC17,R$189)+COUNTIF('6月'!BG17:BH17,R$189)+COUNTIF('6月'!BL17:BM17,R$189)+COUNTIF('6月'!BQ17:BR17,R$189)+COUNTIF('6月'!BV17:BW17,R$189)+COUNTIF('6月'!CA17:CB17,R$189)+COUNTIF('6月'!CF17:CG17,R$189)+COUNTIF('6月'!CK17:CL17,R$189)+COUNTIF('6月'!CP17:CQ17,R$189)+COUNTIF('6月'!CU17:CV17,R$189)+COUNTIF('6月'!CZ17:DA17,R$189)+COUNTIF('6月'!DE17:DF17,R$189)+COUNTIF('6月'!DJ17:DK17,R$189)+COUNTIF('6月'!DO17:DP17,R$189)+COUNTIF('6月'!DT17:DU17,R$189)+COUNTIF('6月'!DY17:DZ17,R$189)+COUNTIF('6月'!ED17:EE17,R$189)+COUNTIF('6月'!EI17:EJ17,R$189)+COUNTIF('6月'!EN17:EO17,R$189)+COUNTIF('6月'!ES17:ET17,R$189)</f>
        <v>0</v>
      </c>
      <c r="S204" s="76">
        <f t="shared" si="68"/>
        <v>0</v>
      </c>
      <c r="T204" s="76">
        <f>COUNTIF('6月'!D17:E17,T$189)+COUNTIF('6月'!I17:J17,T$189)+COUNTIF('6月'!N17:O17,T$189)+COUNTIF('6月'!S17:T17,T$189)+COUNTIF('6月'!X17:Y17,T$189)+COUNTIF('6月'!AC17:AD17,T$189)+COUNTIF('6月'!AH17:AI17,T$189)+COUNTIF('6月'!AM17:AN17,T$189)+COUNTIF('6月'!AR17:AS17,T$189)+COUNTIF('6月'!AW17:AX17,T$189)+COUNTIF('6月'!BB17:BC17,T$189)+COUNTIF('6月'!BG17:BH17,T$189)+COUNTIF('6月'!BL17:BM17,T$189)+COUNTIF('6月'!BQ17:BR17,T$189)+COUNTIF('6月'!BV17:BW17,T$189)+COUNTIF('6月'!CA17:CB17,T$189)+COUNTIF('6月'!CF17:CG17,T$189)+COUNTIF('6月'!CK17:CL17,T$189)+COUNTIF('6月'!CP17:CQ17,T$189)+COUNTIF('6月'!CU17:CV17,T$189)+COUNTIF('6月'!CZ17:DA17,T$189)+COUNTIF('6月'!DE17:DF17,T$189)+COUNTIF('6月'!DJ17:DK17,T$189)+COUNTIF('6月'!DO17:DP17,T$189)+COUNTIF('6月'!DT17:DU17,T$189)+COUNTIF('6月'!DY17:DZ17,T$189)+COUNTIF('6月'!ED17:EE17,T$189)+COUNTIF('6月'!EI17:EJ17,T$189)+COUNTIF('6月'!EN17:EO17,T$189)+COUNTIF('6月'!ES17:ET17,T$189)</f>
        <v>0</v>
      </c>
      <c r="U204" s="76">
        <f t="shared" si="69"/>
        <v>0</v>
      </c>
      <c r="V204" s="76">
        <f>COUNTIF('6月'!D17:E17,V$189)+COUNTIF('6月'!I17:J17,V$189)+COUNTIF('6月'!N17:O17,V$189)+COUNTIF('6月'!S17:T17,V$189)+COUNTIF('6月'!X17:Y17,V$189)+COUNTIF('6月'!AC17:AD17,V$189)+COUNTIF('6月'!AH17:AI17,V$189)+COUNTIF('6月'!AM17:AN17,V$189)+COUNTIF('6月'!AR17:AS17,V$189)+COUNTIF('6月'!AW17:AX17,V$189)+COUNTIF('6月'!BB17:BC17,V$189)+COUNTIF('6月'!BG17:BH17,V$189)+COUNTIF('6月'!BL17:BM17,V$189)+COUNTIF('6月'!BQ17:BR17,V$189)+COUNTIF('6月'!BV17:BW17,V$189)+COUNTIF('6月'!CA17:CB17,V$189)+COUNTIF('6月'!CF17:CG17,V$189)+COUNTIF('6月'!CK17:CL17,V$189)+COUNTIF('6月'!CP17:CQ17,V$189)+COUNTIF('6月'!CU17:CV17,V$189)+COUNTIF('6月'!CZ17:DA17,V$189)+COUNTIF('6月'!DE17:DF17,V$189)+COUNTIF('6月'!DJ17:DK17,V$189)+COUNTIF('6月'!DO17:DP17,V$189)+COUNTIF('6月'!DT17:DU17,V$189)+COUNTIF('6月'!DY17:DZ17,V$189)+COUNTIF('6月'!ED17:EE17,V$189)+COUNTIF('6月'!EI17:EJ17,V$189)+COUNTIF('6月'!EN17:EO17,V$189)+COUNTIF('6月'!ES17:ET17,V$189)</f>
        <v>0</v>
      </c>
      <c r="W204" s="76">
        <f t="shared" si="70"/>
        <v>0</v>
      </c>
      <c r="X204" s="76">
        <f>COUNTIF('6月'!D17:E17,X$189)+COUNTIF('6月'!I17:J17,X$189)+COUNTIF('6月'!N17:O17,X$189)+COUNTIF('6月'!S17:T17,X$189)+COUNTIF('6月'!X17:Y17,X$189)+COUNTIF('6月'!AC17:AD17,X$189)+COUNTIF('6月'!AH17:AI17,X$189)+COUNTIF('6月'!AM17:AN17,X$189)+COUNTIF('6月'!AR17:AS17,X$189)+COUNTIF('6月'!AW17:AX17,X$189)+COUNTIF('6月'!BB17:BC17,X$189)+COUNTIF('6月'!BG17:BH17,X$189)+COUNTIF('6月'!BL17:BM17,X$189)+COUNTIF('6月'!BQ17:BR17,X$189)+COUNTIF('6月'!BV17:BW17,X$189)+COUNTIF('6月'!CA17:CB17,X$189)+COUNTIF('6月'!CF17:CG17,X$189)+COUNTIF('6月'!CK17:CL17,X$189)+COUNTIF('6月'!CP17:CQ17,X$189)+COUNTIF('6月'!CU17:CV17,X$189)+COUNTIF('6月'!CZ17:DA17,X$189)+COUNTIF('6月'!DE17:DF17,X$189)+COUNTIF('6月'!DJ17:DK17,X$189)+COUNTIF('6月'!DO17:DP17,X$189)+COUNTIF('6月'!DT17:DU17,X$189)+COUNTIF('6月'!DY17:DZ17,X$189)+COUNTIF('6月'!ED17:EE17,X$189)+COUNTIF('6月'!EI17:EJ17,X$189)+COUNTIF('6月'!EN17:EO17,X$189)+COUNTIF('6月'!ES17:ET17,X$189)</f>
        <v>0</v>
      </c>
      <c r="Y204" s="76">
        <f t="shared" si="71"/>
        <v>0</v>
      </c>
    </row>
    <row r="205" spans="1:25" ht="18" customHeight="1">
      <c r="A205" s="76">
        <v>15</v>
      </c>
      <c r="B205" s="76">
        <f>COUNTIF('6月'!D18:E18,B$189)+COUNTIF('6月'!I18:J18,B$189)+COUNTIF('6月'!N18:O18,B$189)+COUNTIF('6月'!S18:T18,B$189)+COUNTIF('6月'!X18:Y18,B$189)+COUNTIF('6月'!AC18:AD18,B$189)+COUNTIF('6月'!AH18:AI18,B$189)+COUNTIF('6月'!AM18:AN18,B$189)+COUNTIF('6月'!AR18:AS18,B$189)+COUNTIF('6月'!AW18:AX18,B$189)+COUNTIF('6月'!BB18:BC18,B$189)+COUNTIF('6月'!BG18:BH18,B$189)+COUNTIF('6月'!BL18:BM18,B$189)+COUNTIF('6月'!BQ18:BR18,B$189)+COUNTIF('6月'!BV18:BW18,B$189)+COUNTIF('6月'!CA18:CB18,B$189)+COUNTIF('6月'!CF18:CG18,B$189)+COUNTIF('6月'!CK18:CL18,B$189)+COUNTIF('6月'!CP18:CQ18,B$189)+COUNTIF('6月'!CU18:CV18,B$189)+COUNTIF('6月'!CZ18:DA18,B$189)+COUNTIF('6月'!DE18:DF18,B$189)+COUNTIF('6月'!DJ18:DK18,B$189)+COUNTIF('6月'!DO18:DP18,B$189)+COUNTIF('6月'!DT18:DU18,B$189)+COUNTIF('6月'!DY18:DZ18,B$189)+COUNTIF('6月'!ED18:EE18,B$189)+COUNTIF('6月'!EI18:EJ18,B$189)+COUNTIF('6月'!EN18:EO18,B$189)+COUNTIF('6月'!ES18:ET18,B$189)</f>
        <v>0</v>
      </c>
      <c r="C205" s="76">
        <f t="shared" si="60"/>
        <v>0</v>
      </c>
      <c r="D205" s="76">
        <f>COUNTIF('6月'!D18:E18,D$189)+COUNTIF('6月'!I18:J18,D$189)+COUNTIF('6月'!N18:O18,D$189)+COUNTIF('6月'!S18:T18,D$189)+COUNTIF('6月'!X18:Y18,D$189)+COUNTIF('6月'!AC18:AD18,D$189)+COUNTIF('6月'!AH18:AI18,D$189)+COUNTIF('6月'!AM18:AN18,D$189)+COUNTIF('6月'!AR18:AS18,D$189)+COUNTIF('6月'!AW18:AX18,D$189)+COUNTIF('6月'!BB18:BC18,D$189)+COUNTIF('6月'!BG18:BH18,D$189)+COUNTIF('6月'!BL18:BM18,D$189)+COUNTIF('6月'!BQ18:BR18,D$189)+COUNTIF('6月'!BV18:BW18,D$189)+COUNTIF('6月'!CA18:CB18,D$189)+COUNTIF('6月'!CF18:CG18,D$189)+COUNTIF('6月'!CK18:CL18,D$189)+COUNTIF('6月'!CP18:CQ18,D$189)+COUNTIF('6月'!CU18:CV18,D$189)+COUNTIF('6月'!CZ18:DA18,D$189)+COUNTIF('6月'!DE18:DF18,D$189)+COUNTIF('6月'!DJ18:DK18,D$189)+COUNTIF('6月'!DO18:DP18,D$189)+COUNTIF('6月'!DT18:DU18,D$189)+COUNTIF('6月'!DY18:DZ18,D$189)+COUNTIF('6月'!ED18:EE18,D$189)+COUNTIF('6月'!EI18:EJ18,D$189)+COUNTIF('6月'!EN18:EO18,D$189)+COUNTIF('6月'!ES18:ET18,D$189)</f>
        <v>0</v>
      </c>
      <c r="E205" s="76">
        <f t="shared" si="61"/>
        <v>0</v>
      </c>
      <c r="F205" s="76">
        <f>COUNTIF('6月'!D18:E18,F$189)+COUNTIF('6月'!I18:J18,F$189)+COUNTIF('6月'!N18:O18,F$189)+COUNTIF('6月'!S18:T18,F$189)+COUNTIF('6月'!X18:Y18,F$189)+COUNTIF('6月'!AC18:AD18,F$189)+COUNTIF('6月'!AH18:AI18,F$189)+COUNTIF('6月'!AM18:AN18,F$189)+COUNTIF('6月'!AR18:AS18,F$189)+COUNTIF('6月'!AW18:AX18,F$189)+COUNTIF('6月'!BB18:BC18,F$189)+COUNTIF('6月'!BG18:BH18,F$189)+COUNTIF('6月'!BL18:BM18,F$189)+COUNTIF('6月'!BQ18:BR18,F$189)+COUNTIF('6月'!BV18:BW18,F$189)+COUNTIF('6月'!CA18:CB18,F$189)+COUNTIF('6月'!CF18:CG18,F$189)+COUNTIF('6月'!CK18:CL18,F$189)+COUNTIF('6月'!CP18:CQ18,F$189)+COUNTIF('6月'!CU18:CV18,F$189)+COUNTIF('6月'!CZ18:DA18,F$189)+COUNTIF('6月'!DE18:DF18,F$189)+COUNTIF('6月'!DJ18:DK18,F$189)+COUNTIF('6月'!DO18:DP18,F$189)+COUNTIF('6月'!DT18:DU18,F$189)+COUNTIF('6月'!DY18:DZ18,F$189)+COUNTIF('6月'!ED18:EE18,F$189)+COUNTIF('6月'!EI18:EJ18,F$189)+COUNTIF('6月'!EN18:EO18,F$189)+COUNTIF('6月'!ES18:ET18,F$189)</f>
        <v>0</v>
      </c>
      <c r="G205" s="76">
        <f t="shared" si="62"/>
        <v>0</v>
      </c>
      <c r="H205" s="76">
        <f>COUNTIF('6月'!D18:E18,H$189)+COUNTIF('6月'!I18:J18,H$189)+COUNTIF('6月'!N18:O18,H$189)+COUNTIF('6月'!S18:T18,H$189)+COUNTIF('6月'!X18:Y18,H$189)+COUNTIF('6月'!AC18:AD18,H$189)+COUNTIF('6月'!AH18:AI18,H$189)+COUNTIF('6月'!AM18:AN18,H$189)+COUNTIF('6月'!AR18:AS18,H$189)+COUNTIF('6月'!AW18:AX18,H$189)+COUNTIF('6月'!BB18:BC18,H$189)+COUNTIF('6月'!BG18:BH18,H$189)+COUNTIF('6月'!BL18:BM18,H$189)+COUNTIF('6月'!BQ18:BR18,H$189)+COUNTIF('6月'!BV18:BW18,H$189)+COUNTIF('6月'!CA18:CB18,H$189)+COUNTIF('6月'!CF18:CG18,H$189)+COUNTIF('6月'!CK18:CL18,H$189)+COUNTIF('6月'!CP18:CQ18,H$189)+COUNTIF('6月'!CU18:CV18,H$189)+COUNTIF('6月'!CZ18:DA18,H$189)+COUNTIF('6月'!DE18:DF18,H$189)+COUNTIF('6月'!DJ18:DK18,H$189)+COUNTIF('6月'!DO18:DP18,H$189)+COUNTIF('6月'!DT18:DU18,H$189)+COUNTIF('6月'!DY18:DZ18,H$189)+COUNTIF('6月'!ED18:EE18,H$189)+COUNTIF('6月'!EI18:EJ18,H$189)+COUNTIF('6月'!EN18:EO18,H$189)+COUNTIF('6月'!ES18:ET18,H$189)+COUNTIF('6月'!D18:E18,"渋谷-夜勤")+COUNTIF('6月'!I18:J18,"渋谷-夜勤")+COUNTIF('6月'!N18:O18,"渋谷-夜勤")+COUNTIF('6月'!S18:T18,"渋谷-夜勤")+COUNTIF('6月'!X18:Y18,"渋谷-夜勤")+COUNTIF('6月'!AC18:AD18,"渋谷-夜勤")+COUNTIF('6月'!AH18:AI18,"渋谷-夜勤")+COUNTIF('6月'!AM18:AN18,"渋谷-夜勤")+COUNTIF('6月'!AR18:AS18,"渋谷-夜勤")+COUNTIF('6月'!AW18:AX18,"渋谷-夜勤")+COUNTIF('6月'!BB18:BC18,"渋谷-夜勤")+COUNTIF('6月'!BG18:BH18,"渋谷-夜勤")+COUNTIF('6月'!BL18:BM18,"渋谷-夜勤")+COUNTIF('6月'!BQ18:BR18,"渋谷-夜勤")+COUNTIF('6月'!BV18:BW18,"渋谷-夜勤")+COUNTIF('6月'!CA18:CB18,"渋谷-夜勤")+COUNTIF('6月'!CF18:CG18,"渋谷-夜勤")+COUNTIF('6月'!CK18:CL18,"渋谷-夜勤")+COUNTIF('6月'!CP18:CQ18,"渋谷-夜勤")+COUNTIF('6月'!CU18:CV18,"渋谷-夜勤")+COUNTIF('6月'!CZ18:DA18,"渋谷-夜勤")+COUNTIF('6月'!DE18:DF18,"渋谷-夜勤")+COUNTIF('6月'!DJ18:DK18,"渋谷-夜勤")+COUNTIF('6月'!DO18:DP18,"渋谷-夜勤")+COUNTIF('6月'!DT18:DU18,"渋谷-夜勤")+COUNTIF('6月'!DY18:DZ18,"渋谷-夜勤")+COUNTIF('6月'!ED18:EE18,"渋谷-夜勤")+COUNTIF('6月'!EI18:EJ18,"渋谷-夜勤")+COUNTIF('6月'!EN18:EO18,"渋谷-夜勤")+COUNTIF('6月'!ES18:ET18,"渋谷-夜勤")</f>
        <v>0</v>
      </c>
      <c r="I205" s="76">
        <f t="shared" si="63"/>
        <v>0</v>
      </c>
      <c r="J205" s="76">
        <f>COUNTIF('6月'!D18:E18,J$189)+COUNTIF('6月'!I18:J18,J$189)+COUNTIF('6月'!N18:O18,J$189)+COUNTIF('6月'!S18:T18,J$189)+COUNTIF('6月'!X18:Y18,J$189)+COUNTIF('6月'!AC18:AD18,J$189)+COUNTIF('6月'!AH18:AI18,J$189)+COUNTIF('6月'!AM18:AN18,J$189)+COUNTIF('6月'!AR18:AS18,J$189)+COUNTIF('6月'!AW18:AX18,J$189)+COUNTIF('6月'!BB18:BC18,J$189)+COUNTIF('6月'!BG18:BH18,J$189)+COUNTIF('6月'!BL18:BM18,J$189)+COUNTIF('6月'!BQ18:BR18,J$189)+COUNTIF('6月'!BV18:BW18,J$189)+COUNTIF('6月'!CA18:CB18,J$189)+COUNTIF('6月'!CF18:CG18,J$189)+COUNTIF('6月'!CK18:CL18,J$189)+COUNTIF('6月'!CP18:CQ18,J$189)+COUNTIF('6月'!CU18:CV18,J$189)+COUNTIF('6月'!CZ18:DA18,J$189)+COUNTIF('6月'!DE18:DF18,J$189)+COUNTIF('6月'!DJ18:DK18,J$189)+COUNTIF('6月'!DO18:DP18,J$189)+COUNTIF('6月'!DT18:DU18,J$189)+COUNTIF('6月'!DY18:DZ18,J$189)+COUNTIF('6月'!ED18:EE18,J$189)+COUNTIF('6月'!EI18:EJ18,J$189)+COUNTIF('6月'!EN18:EO18,J$189)+COUNTIF('6月'!ES18:ET18,J$189)+COUNTIF('6月'!D18:E18,"六本木-夜勤")+COUNTIF('6月'!I18:J18,"六本木-夜勤")+COUNTIF('6月'!N18:O18,"六本木-夜勤")+COUNTIF('6月'!S18:T18,"六本木-夜勤")+COUNTIF('6月'!X18:Y18,"六本木-夜勤")+COUNTIF('6月'!AC18:AD18,"六本木-夜勤")+COUNTIF('6月'!AH18:AI18,"六本木-夜勤")+COUNTIF('6月'!AM18:AN18,"六本木-夜勤")+COUNTIF('6月'!AR18:AS18,"六本木-夜勤")+COUNTIF('6月'!AW18:AX18,"六本木-夜勤")+COUNTIF('6月'!BB18:BC18,"六本木-夜勤")+COUNTIF('6月'!BG18:BH18,"六本木-夜勤")+COUNTIF('6月'!BL18:BM18,"六本木-夜勤")+COUNTIF('6月'!BQ18:BR18,"六本木-夜勤")+COUNTIF('6月'!BV18:BW18,"六本木-夜勤")+COUNTIF('6月'!CA18:CB18,"六本木-夜勤")+COUNTIF('6月'!CF18:CG18,"六本木-夜勤")+COUNTIF('6月'!CK18:CL18,"六本木-夜勤")+COUNTIF('6月'!CP18:CQ18,"六本木-夜勤")+COUNTIF('6月'!CU18:CV18,"六本木-夜勤")+COUNTIF('6月'!CZ18:DA18,"六本木-夜勤")+COUNTIF('6月'!DE18:DF18,"六本木-夜勤")+COUNTIF('6月'!DJ18:DK18,"六本木-夜勤")+COUNTIF('6月'!DO18:DP18,"六本木-夜勤")+COUNTIF('6月'!DT18:DU18,"六本木-夜勤")+COUNTIF('6月'!DY18:DZ18,"六本木-夜勤")+COUNTIF('6月'!ED18:EE18,"六本木-夜勤")+COUNTIF('6月'!EI18:EJ18,"六本木-夜勤")+COUNTIF('6月'!EN18:EO18,"六本木-夜勤")+COUNTIF('6月'!ES18:ET18,"六本木-夜勤")+COUNTIF('6月'!D18:E18,"六本木ー夜勤")+COUNTIF('6月'!I18:J18,"六本木ー夜勤")+COUNTIF('6月'!N18:O18,"六本木ー夜勤")+COUNTIF('6月'!S18:T18,"六本木ー夜勤")+COUNTIF('6月'!X18:Y18,"六本木ー夜勤")+COUNTIF('6月'!AC18:AD18,"六本木ー夜勤")+COUNTIF('6月'!AH18:AI18,"六本木ー夜勤")+COUNTIF('6月'!AM18:AN18,"六本木ー夜勤")+COUNTIF('6月'!AR18:AS18,"六本木ー夜勤")+COUNTIF('6月'!AW18:AX18,"六本木ー夜勤")+COUNTIF('6月'!BB18:BC18,"六本木ー夜勤")+COUNTIF('6月'!BG18:BH18,"六本木ー夜勤")+COUNTIF('6月'!BL18:BM18,"六本木ー夜勤")+COUNTIF('6月'!BQ18:BR18,"六本木ー夜勤")+COUNTIF('6月'!BV18:BW18,"六本木ー夜勤")+COUNTIF('6月'!CA18:CB18,"六本木ー夜勤")+COUNTIF('6月'!CF18:CG18,"六本木ー夜勤")+COUNTIF('6月'!CK18:CL18,"六本木ー夜勤")+COUNTIF('6月'!CP18:CQ18,"六本木ー夜勤")+COUNTIF('6月'!CU18:CV18,"六本木ー夜勤")+COUNTIF('6月'!CZ18:DA18,"六本木ー夜勤")+COUNTIF('6月'!DE18:DF18,"六本木ー夜勤")+COUNTIF('6月'!DJ18:DK18,"六本木ー夜勤")+COUNTIF('6月'!DO18:DP18,"六本木ー夜勤")+COUNTIF('6月'!DT18:DU18,"六本木ー夜勤")+COUNTIF('6月'!DY18:DZ18,"六本木ー夜勤")+COUNTIF('6月'!ED18:EE18,"六本木ー夜勤")+COUNTIF('6月'!EI18:EJ18,"六本木ー夜勤")+COUNTIF('6月'!EN18:EO18,"六本木ー夜勤")+COUNTIF('6月'!ES18:ET18,"六本木ー夜勤")</f>
        <v>0</v>
      </c>
      <c r="K205" s="76">
        <f t="shared" si="64"/>
        <v>0</v>
      </c>
      <c r="L205" s="76">
        <f>COUNTIF('6月'!D18:E18,L$189)+COUNTIF('6月'!I18:J18,L$189)+COUNTIF('6月'!N18:O18,L$189)+COUNTIF('6月'!S18:T18,L$189)+COUNTIF('6月'!X18:Y18,L$189)+COUNTIF('6月'!AC18:AD18,L$189)+COUNTIF('6月'!AH18:AI18,L$189)+COUNTIF('6月'!AM18:AN18,L$189)+COUNTIF('6月'!AR18:AS18,L$189)+COUNTIF('6月'!AW18:AX18,L$189)+COUNTIF('6月'!BB18:BC18,L$189)+COUNTIF('6月'!BG18:BH18,L$189)+COUNTIF('6月'!BL18:BM18,L$189)+COUNTIF('6月'!BQ18:BR18,L$189)+COUNTIF('6月'!BV18:BW18,L$189)+COUNTIF('6月'!CA18:CB18,L$189)+COUNTIF('6月'!CF18:CG18,L$189)+COUNTIF('6月'!CK18:CL18,L$189)+COUNTIF('6月'!CP18:CQ18,L$189)+COUNTIF('6月'!CU18:CV18,L$189)+COUNTIF('6月'!CZ18:DA18,L$189)+COUNTIF('6月'!DE18:DF18,L$189)+COUNTIF('6月'!DJ18:DK18,L$189)+COUNTIF('6月'!DO18:DP18,L$189)+COUNTIF('6月'!DT18:DU18,L$189)+COUNTIF('6月'!DY18:DZ18,L$189)+COUNTIF('6月'!ED18:EE18,L$189)+COUNTIF('6月'!EI18:EJ18,L$189)+COUNTIF('6月'!EN18:EO18,L$189)+COUNTIF('6月'!ES18:ET18,L$189)</f>
        <v>0</v>
      </c>
      <c r="M205" s="76">
        <f t="shared" si="65"/>
        <v>0</v>
      </c>
      <c r="N205" s="76">
        <f>COUNTIF('6月'!D18:E18,N$189)+COUNTIF('6月'!I18:J18,N$189)+COUNTIF('6月'!N18:O18,N$189)+COUNTIF('6月'!S18:T18,N$189)+COUNTIF('6月'!X18:Y18,N$189)+COUNTIF('6月'!AC18:AD18,N$189)+COUNTIF('6月'!AH18:AI18,N$189)+COUNTIF('6月'!AM18:AN18,N$189)+COUNTIF('6月'!AR18:AS18,N$189)+COUNTIF('6月'!AW18:AX18,N$189)+COUNTIF('6月'!BB18:BC18,N$189)+COUNTIF('6月'!BG18:BH18,N$189)+COUNTIF('6月'!BL18:BM18,N$189)+COUNTIF('6月'!BQ18:BR18,N$189)+COUNTIF('6月'!BV18:BW18,N$189)+COUNTIF('6月'!CA18:CB18,N$189)+COUNTIF('6月'!CF18:CG18,N$189)+COUNTIF('6月'!CK18:CL18,N$189)+COUNTIF('6月'!CP18:CQ18,N$189)+COUNTIF('6月'!CU18:CV18,N$189)+COUNTIF('6月'!CZ18:DA18,N$189)+COUNTIF('6月'!DE18:DF18,N$189)+COUNTIF('6月'!DJ18:DK18,N$189)+COUNTIF('6月'!DO18:DP18,N$189)+COUNTIF('6月'!DT18:DU18,N$189)+COUNTIF('6月'!DY18:DZ18,N$189)+COUNTIF('6月'!ED18:EE18,N$189)+COUNTIF('6月'!EI18:EJ18,N$189)+COUNTIF('6月'!EN18:EO18,N$189)+COUNTIF('6月'!ES18:ET18,N$189)+COUNTIF('6月'!D18:E18,"三軒茶屋－夜勤")+COUNTIF('6月'!I18:J18,"三軒茶屋－夜勤")+COUNTIF('6月'!N18:O18,"三軒茶屋－夜勤")+COUNTIF('6月'!S18:T18,"三軒茶屋－夜勤")+COUNTIF('6月'!X18:Y18,"三軒茶屋－夜勤")+COUNTIF('6月'!AC18:AD18,"三軒茶屋－夜勤")+COUNTIF('6月'!AH18:AI18,"三軒茶屋－夜勤")+COUNTIF('6月'!AM18:AN18,"三軒茶屋－夜勤")+COUNTIF('6月'!AR18:AS18,"三軒茶屋－夜勤")+COUNTIF('6月'!AW18:AX18,"三軒茶屋－夜勤")+COUNTIF('6月'!BB18:BC18,"三軒茶屋－夜勤")+COUNTIF('6月'!BG18:BH18,"三軒茶屋－夜勤")+COUNTIF('6月'!BL18:BM18,"三軒茶屋－夜勤")+COUNTIF('6月'!BQ18:BR18,"三軒茶屋－夜勤")+COUNTIF('6月'!BV18:BW18,"三軒茶屋－夜勤")+COUNTIF('6月'!CA18:CB18,"三軒茶屋－夜勤")+COUNTIF('6月'!CF18:CG18,"三軒茶屋－夜勤")+COUNTIF('6月'!CK18:CL18,"三軒茶屋－夜勤")+COUNTIF('6月'!CP18:CQ18,"三軒茶屋－夜勤")+COUNTIF('6月'!CU18:CV18,"三軒茶屋－夜勤")+COUNTIF('6月'!CZ18:DA18,"三軒茶屋－夜勤")+COUNTIF('6月'!DE18:DF18,"三軒茶屋－夜勤")+COUNTIF('6月'!DJ18:DK18,"三軒茶屋－夜勤")+COUNTIF('6月'!DO18:DP18,"三軒茶屋－夜勤")+COUNTIF('6月'!DT18:DU18,"三軒茶屋－夜勤")+COUNTIF('6月'!DY18:DZ18,"三軒茶屋－夜勤")+COUNTIF('6月'!ED18:EE18,"三軒茶屋－夜勤")+COUNTIF('6月'!EI18:EJ18,"三軒茶屋－夜勤")+COUNTIF('6月'!EN18:EO18,"三軒茶屋－夜勤")+COUNTIF('6月'!ES18:ET18,"三軒茶屋－夜勤")</f>
        <v>0</v>
      </c>
      <c r="O205" s="76">
        <f t="shared" si="66"/>
        <v>0</v>
      </c>
      <c r="P205" s="76">
        <f>COUNTIF('6月'!D18:E18,P$189)+COUNTIF('6月'!I18:J18,P$189)+COUNTIF('6月'!N18:O18,P$189)+COUNTIF('6月'!S18:T18,P$189)+COUNTIF('6月'!X18:Y18,P$189)+COUNTIF('6月'!AC18:AD18,P$189)+COUNTIF('6月'!AH18:AI18,P$189)+COUNTIF('6月'!AM18:AN18,P$189)+COUNTIF('6月'!AR18:AS18,P$189)+COUNTIF('6月'!AW18:AX18,P$189)+COUNTIF('6月'!BB18:BC18,P$189)+COUNTIF('6月'!BG18:BH18,P$189)+COUNTIF('6月'!BL18:BM18,P$189)+COUNTIF('6月'!BQ18:BR18,P$189)+COUNTIF('6月'!BV18:BW18,P$189)+COUNTIF('6月'!CA18:CB18,P$189)+COUNTIF('6月'!CF18:CG18,P$189)+COUNTIF('6月'!CK18:CL18,P$189)+COUNTIF('6月'!CP18:CQ18,P$189)+COUNTIF('6月'!CU18:CV18,P$189)+COUNTIF('6月'!CZ18:DA18,P$189)+COUNTIF('6月'!DE18:DF18,P$189)+COUNTIF('6月'!DJ18:DK18,P$189)+COUNTIF('6月'!DO18:DP18,P$189)+COUNTIF('6月'!DT18:DU18,P$189)+COUNTIF('6月'!DY18:DZ18,P$189)+COUNTIF('6月'!ED18:EE18,P$189)+COUNTIF('6月'!EI18:EJ18,P$189)+COUNTIF('6月'!EN18:EO18,P$189)+COUNTIF('6月'!ES18:ET18,P$189)+COUNTIF('6月'!D18:E18,"荻窪ー夜勤")+COUNTIF('6月'!I18:J18,"荻窪ー夜勤")+COUNTIF('6月'!N18:O18,"荻窪ー夜勤")+COUNTIF('6月'!S18:T18,"荻窪ー夜勤")+COUNTIF('6月'!X18:Y18,"荻窪ー夜勤")+COUNTIF('6月'!AC18:AD18,"荻窪ー夜勤")+COUNTIF('6月'!AH18:AI18,"荻窪ー夜勤")+COUNTIF('6月'!AM18:AN18,"荻窪ー夜勤")+COUNTIF('6月'!AR18:AS18,"荻窪ー夜勤")+COUNTIF('6月'!AW18:AX18,"荻窪ー夜勤")+COUNTIF('6月'!BB18:BC18,"荻窪ー夜勤")+COUNTIF('6月'!BG18:BH18,"荻窪ー夜勤")+COUNTIF('6月'!BL18:BM18,"荻窪ー夜勤")+COUNTIF('6月'!BQ18:BR18,"荻窪ー夜勤")+COUNTIF('6月'!BV18:BW18,"荻窪ー夜勤")+COUNTIF('6月'!CA18:CB18,"荻窪ー夜勤")+COUNTIF('6月'!CF18:CG18,"荻窪ー夜勤")+COUNTIF('6月'!CK18:CL18,"荻窪ー夜勤")+COUNTIF('6月'!CP18:CQ18,"荻窪ー夜勤")+COUNTIF('6月'!CU18:CV18,"荻窪ー夜勤")+COUNTIF('6月'!CZ18:DA18,"荻窪ー夜勤")+COUNTIF('6月'!DE18:DF18,"荻窪ー夜勤")+COUNTIF('6月'!DJ18:DK18,"荻窪ー夜勤")+COUNTIF('6月'!DO18:DP18,"荻窪ー夜勤")+COUNTIF('6月'!DT18:DU18,"荻窪ー夜勤")+COUNTIF('6月'!DY18:DZ18,"荻窪ー夜勤")+COUNTIF('6月'!ED18:EE18,"荻窪ー夜勤")+COUNTIF('6月'!EI18:EJ18,"荻窪ー夜勤")+COUNTIF('6月'!EN18:EO18,"荻窪ー夜勤")+COUNTIF('6月'!ES18:ET18,"荻窪ー夜勤")</f>
        <v>0</v>
      </c>
      <c r="Q205" s="76">
        <f t="shared" si="67"/>
        <v>0</v>
      </c>
      <c r="R205" s="76">
        <f>COUNTIF('6月'!D18:E18,R$189)+COUNTIF('6月'!I18:J18,R$189)+COUNTIF('6月'!N18:O18,R$189)+COUNTIF('6月'!S18:T18,R$189)+COUNTIF('6月'!X18:Y18,R$189)+COUNTIF('6月'!AC18:AD18,R$189)+COUNTIF('6月'!AH18:AI18,R$189)+COUNTIF('6月'!AM18:AN18,R$189)+COUNTIF('6月'!AR18:AS18,R$189)+COUNTIF('6月'!AW18:AX18,R$189)+COUNTIF('6月'!BB18:BC18,R$189)+COUNTIF('6月'!BG18:BH18,R$189)+COUNTIF('6月'!BL18:BM18,R$189)+COUNTIF('6月'!BQ18:BR18,R$189)+COUNTIF('6月'!BV18:BW18,R$189)+COUNTIF('6月'!CA18:CB18,R$189)+COUNTIF('6月'!CF18:CG18,R$189)+COUNTIF('6月'!CK18:CL18,R$189)+COUNTIF('6月'!CP18:CQ18,R$189)+COUNTIF('6月'!CU18:CV18,R$189)+COUNTIF('6月'!CZ18:DA18,R$189)+COUNTIF('6月'!DE18:DF18,R$189)+COUNTIF('6月'!DJ18:DK18,R$189)+COUNTIF('6月'!DO18:DP18,R$189)+COUNTIF('6月'!DT18:DU18,R$189)+COUNTIF('6月'!DY18:DZ18,R$189)+COUNTIF('6月'!ED18:EE18,R$189)+COUNTIF('6月'!EI18:EJ18,R$189)+COUNTIF('6月'!EN18:EO18,R$189)+COUNTIF('6月'!ES18:ET18,R$189)</f>
        <v>0</v>
      </c>
      <c r="S205" s="76">
        <f t="shared" si="68"/>
        <v>0</v>
      </c>
      <c r="T205" s="76">
        <f>COUNTIF('6月'!D18:E18,T$189)+COUNTIF('6月'!I18:J18,T$189)+COUNTIF('6月'!N18:O18,T$189)+COUNTIF('6月'!S18:T18,T$189)+COUNTIF('6月'!X18:Y18,T$189)+COUNTIF('6月'!AC18:AD18,T$189)+COUNTIF('6月'!AH18:AI18,T$189)+COUNTIF('6月'!AM18:AN18,T$189)+COUNTIF('6月'!AR18:AS18,T$189)+COUNTIF('6月'!AW18:AX18,T$189)+COUNTIF('6月'!BB18:BC18,T$189)+COUNTIF('6月'!BG18:BH18,T$189)+COUNTIF('6月'!BL18:BM18,T$189)+COUNTIF('6月'!BQ18:BR18,T$189)+COUNTIF('6月'!BV18:BW18,T$189)+COUNTIF('6月'!CA18:CB18,T$189)+COUNTIF('6月'!CF18:CG18,T$189)+COUNTIF('6月'!CK18:CL18,T$189)+COUNTIF('6月'!CP18:CQ18,T$189)+COUNTIF('6月'!CU18:CV18,T$189)+COUNTIF('6月'!CZ18:DA18,T$189)+COUNTIF('6月'!DE18:DF18,T$189)+COUNTIF('6月'!DJ18:DK18,T$189)+COUNTIF('6月'!DO18:DP18,T$189)+COUNTIF('6月'!DT18:DU18,T$189)+COUNTIF('6月'!DY18:DZ18,T$189)+COUNTIF('6月'!ED18:EE18,T$189)+COUNTIF('6月'!EI18:EJ18,T$189)+COUNTIF('6月'!EN18:EO18,T$189)+COUNTIF('6月'!ES18:ET18,T$189)</f>
        <v>0</v>
      </c>
      <c r="U205" s="76">
        <f t="shared" si="69"/>
        <v>0</v>
      </c>
      <c r="V205" s="76">
        <f>COUNTIF('6月'!D18:E18,V$189)+COUNTIF('6月'!I18:J18,V$189)+COUNTIF('6月'!N18:O18,V$189)+COUNTIF('6月'!S18:T18,V$189)+COUNTIF('6月'!X18:Y18,V$189)+COUNTIF('6月'!AC18:AD18,V$189)+COUNTIF('6月'!AH18:AI18,V$189)+COUNTIF('6月'!AM18:AN18,V$189)+COUNTIF('6月'!AR18:AS18,V$189)+COUNTIF('6月'!AW18:AX18,V$189)+COUNTIF('6月'!BB18:BC18,V$189)+COUNTIF('6月'!BG18:BH18,V$189)+COUNTIF('6月'!BL18:BM18,V$189)+COUNTIF('6月'!BQ18:BR18,V$189)+COUNTIF('6月'!BV18:BW18,V$189)+COUNTIF('6月'!CA18:CB18,V$189)+COUNTIF('6月'!CF18:CG18,V$189)+COUNTIF('6月'!CK18:CL18,V$189)+COUNTIF('6月'!CP18:CQ18,V$189)+COUNTIF('6月'!CU18:CV18,V$189)+COUNTIF('6月'!CZ18:DA18,V$189)+COUNTIF('6月'!DE18:DF18,V$189)+COUNTIF('6月'!DJ18:DK18,V$189)+COUNTIF('6月'!DO18:DP18,V$189)+COUNTIF('6月'!DT18:DU18,V$189)+COUNTIF('6月'!DY18:DZ18,V$189)+COUNTIF('6月'!ED18:EE18,V$189)+COUNTIF('6月'!EI18:EJ18,V$189)+COUNTIF('6月'!EN18:EO18,V$189)+COUNTIF('6月'!ES18:ET18,V$189)</f>
        <v>0</v>
      </c>
      <c r="W205" s="76">
        <f t="shared" si="70"/>
        <v>0</v>
      </c>
      <c r="X205" s="76">
        <f>COUNTIF('6月'!D18:E18,X$189)+COUNTIF('6月'!I18:J18,X$189)+COUNTIF('6月'!N18:O18,X$189)+COUNTIF('6月'!S18:T18,X$189)+COUNTIF('6月'!X18:Y18,X$189)+COUNTIF('6月'!AC18:AD18,X$189)+COUNTIF('6月'!AH18:AI18,X$189)+COUNTIF('6月'!AM18:AN18,X$189)+COUNTIF('6月'!AR18:AS18,X$189)+COUNTIF('6月'!AW18:AX18,X$189)+COUNTIF('6月'!BB18:BC18,X$189)+COUNTIF('6月'!BG18:BH18,X$189)+COUNTIF('6月'!BL18:BM18,X$189)+COUNTIF('6月'!BQ18:BR18,X$189)+COUNTIF('6月'!BV18:BW18,X$189)+COUNTIF('6月'!CA18:CB18,X$189)+COUNTIF('6月'!CF18:CG18,X$189)+COUNTIF('6月'!CK18:CL18,X$189)+COUNTIF('6月'!CP18:CQ18,X$189)+COUNTIF('6月'!CU18:CV18,X$189)+COUNTIF('6月'!CZ18:DA18,X$189)+COUNTIF('6月'!DE18:DF18,X$189)+COUNTIF('6月'!DJ18:DK18,X$189)+COUNTIF('6月'!DO18:DP18,X$189)+COUNTIF('6月'!DT18:DU18,X$189)+COUNTIF('6月'!DY18:DZ18,X$189)+COUNTIF('6月'!ED18:EE18,X$189)+COUNTIF('6月'!EI18:EJ18,X$189)+COUNTIF('6月'!EN18:EO18,X$189)+COUNTIF('6月'!ES18:ET18,X$189)</f>
        <v>0</v>
      </c>
      <c r="Y205" s="76">
        <f t="shared" si="71"/>
        <v>0</v>
      </c>
    </row>
    <row r="206" spans="1:25" ht="18" customHeight="1">
      <c r="A206" s="76">
        <v>16</v>
      </c>
      <c r="B206" s="76">
        <f>COUNTIF('6月'!D19:E19,B$189)+COUNTIF('6月'!I19:J19,B$189)+COUNTIF('6月'!N19:O19,B$189)+COUNTIF('6月'!S19:T19,B$189)+COUNTIF('6月'!X19:Y19,B$189)+COUNTIF('6月'!AC19:AD19,B$189)+COUNTIF('6月'!AH19:AI19,B$189)+COUNTIF('6月'!AM19:AN19,B$189)+COUNTIF('6月'!AR19:AS19,B$189)+COUNTIF('6月'!AW19:AX19,B$189)+COUNTIF('6月'!BB19:BC19,B$189)+COUNTIF('6月'!BG19:BH19,B$189)+COUNTIF('6月'!BL19:BM19,B$189)+COUNTIF('6月'!BQ19:BR19,B$189)+COUNTIF('6月'!BV19:BW19,B$189)+COUNTIF('6月'!CA19:CB19,B$189)+COUNTIF('6月'!CF19:CG19,B$189)+COUNTIF('6月'!CK19:CL19,B$189)+COUNTIF('6月'!CP19:CQ19,B$189)+COUNTIF('6月'!CU19:CV19,B$189)+COUNTIF('6月'!CZ19:DA19,B$189)+COUNTIF('6月'!DE19:DF19,B$189)+COUNTIF('6月'!DJ19:DK19,B$189)+COUNTIF('6月'!DO19:DP19,B$189)+COUNTIF('6月'!DT19:DU19,B$189)+COUNTIF('6月'!DY19:DZ19,B$189)+COUNTIF('6月'!ED19:EE19,B$189)+COUNTIF('6月'!EI19:EJ19,B$189)+COUNTIF('6月'!EN19:EO19,B$189)+COUNTIF('6月'!ES19:ET19,B$189)</f>
        <v>0</v>
      </c>
      <c r="C206" s="76">
        <f t="shared" si="60"/>
        <v>0</v>
      </c>
      <c r="D206" s="76">
        <f>COUNTIF('6月'!D19:E19,D$189)+COUNTIF('6月'!I19:J19,D$189)+COUNTIF('6月'!N19:O19,D$189)+COUNTIF('6月'!S19:T19,D$189)+COUNTIF('6月'!X19:Y19,D$189)+COUNTIF('6月'!AC19:AD19,D$189)+COUNTIF('6月'!AH19:AI19,D$189)+COUNTIF('6月'!AM19:AN19,D$189)+COUNTIF('6月'!AR19:AS19,D$189)+COUNTIF('6月'!AW19:AX19,D$189)+COUNTIF('6月'!BB19:BC19,D$189)+COUNTIF('6月'!BG19:BH19,D$189)+COUNTIF('6月'!BL19:BM19,D$189)+COUNTIF('6月'!BQ19:BR19,D$189)+COUNTIF('6月'!BV19:BW19,D$189)+COUNTIF('6月'!CA19:CB19,D$189)+COUNTIF('6月'!CF19:CG19,D$189)+COUNTIF('6月'!CK19:CL19,D$189)+COUNTIF('6月'!CP19:CQ19,D$189)+COUNTIF('6月'!CU19:CV19,D$189)+COUNTIF('6月'!CZ19:DA19,D$189)+COUNTIF('6月'!DE19:DF19,D$189)+COUNTIF('6月'!DJ19:DK19,D$189)+COUNTIF('6月'!DO19:DP19,D$189)+COUNTIF('6月'!DT19:DU19,D$189)+COUNTIF('6月'!DY19:DZ19,D$189)+COUNTIF('6月'!ED19:EE19,D$189)+COUNTIF('6月'!EI19:EJ19,D$189)+COUNTIF('6月'!EN19:EO19,D$189)+COUNTIF('6月'!ES19:ET19,D$189)</f>
        <v>0</v>
      </c>
      <c r="E206" s="76">
        <f t="shared" si="61"/>
        <v>0</v>
      </c>
      <c r="F206" s="76">
        <f>COUNTIF('6月'!D19:E19,F$189)+COUNTIF('6月'!I19:J19,F$189)+COUNTIF('6月'!N19:O19,F$189)+COUNTIF('6月'!S19:T19,F$189)+COUNTIF('6月'!X19:Y19,F$189)+COUNTIF('6月'!AC19:AD19,F$189)+COUNTIF('6月'!AH19:AI19,F$189)+COUNTIF('6月'!AM19:AN19,F$189)+COUNTIF('6月'!AR19:AS19,F$189)+COUNTIF('6月'!AW19:AX19,F$189)+COUNTIF('6月'!BB19:BC19,F$189)+COUNTIF('6月'!BG19:BH19,F$189)+COUNTIF('6月'!BL19:BM19,F$189)+COUNTIF('6月'!BQ19:BR19,F$189)+COUNTIF('6月'!BV19:BW19,F$189)+COUNTIF('6月'!CA19:CB19,F$189)+COUNTIF('6月'!CF19:CG19,F$189)+COUNTIF('6月'!CK19:CL19,F$189)+COUNTIF('6月'!CP19:CQ19,F$189)+COUNTIF('6月'!CU19:CV19,F$189)+COUNTIF('6月'!CZ19:DA19,F$189)+COUNTIF('6月'!DE19:DF19,F$189)+COUNTIF('6月'!DJ19:DK19,F$189)+COUNTIF('6月'!DO19:DP19,F$189)+COUNTIF('6月'!DT19:DU19,F$189)+COUNTIF('6月'!DY19:DZ19,F$189)+COUNTIF('6月'!ED19:EE19,F$189)+COUNTIF('6月'!EI19:EJ19,F$189)+COUNTIF('6月'!EN19:EO19,F$189)+COUNTIF('6月'!ES19:ET19,F$189)</f>
        <v>0</v>
      </c>
      <c r="G206" s="76">
        <f t="shared" si="62"/>
        <v>0</v>
      </c>
      <c r="H206" s="76">
        <f>COUNTIF('6月'!D19:E19,H$189)+COUNTIF('6月'!I19:J19,H$189)+COUNTIF('6月'!N19:O19,H$189)+COUNTIF('6月'!S19:T19,H$189)+COUNTIF('6月'!X19:Y19,H$189)+COUNTIF('6月'!AC19:AD19,H$189)+COUNTIF('6月'!AH19:AI19,H$189)+COUNTIF('6月'!AM19:AN19,H$189)+COUNTIF('6月'!AR19:AS19,H$189)+COUNTIF('6月'!AW19:AX19,H$189)+COUNTIF('6月'!BB19:BC19,H$189)+COUNTIF('6月'!BG19:BH19,H$189)+COUNTIF('6月'!BL19:BM19,H$189)+COUNTIF('6月'!BQ19:BR19,H$189)+COUNTIF('6月'!BV19:BW19,H$189)+COUNTIF('6月'!CA19:CB19,H$189)+COUNTIF('6月'!CF19:CG19,H$189)+COUNTIF('6月'!CK19:CL19,H$189)+COUNTIF('6月'!CP19:CQ19,H$189)+COUNTIF('6月'!CU19:CV19,H$189)+COUNTIF('6月'!CZ19:DA19,H$189)+COUNTIF('6月'!DE19:DF19,H$189)+COUNTIF('6月'!DJ19:DK19,H$189)+COUNTIF('6月'!DO19:DP19,H$189)+COUNTIF('6月'!DT19:DU19,H$189)+COUNTIF('6月'!DY19:DZ19,H$189)+COUNTIF('6月'!ED19:EE19,H$189)+COUNTIF('6月'!EI19:EJ19,H$189)+COUNTIF('6月'!EN19:EO19,H$189)+COUNTIF('6月'!ES19:ET19,H$189)+COUNTIF('6月'!D19:E19,"渋谷-夜勤")+COUNTIF('6月'!I19:J19,"渋谷-夜勤")+COUNTIF('6月'!N19:O19,"渋谷-夜勤")+COUNTIF('6月'!S19:T19,"渋谷-夜勤")+COUNTIF('6月'!X19:Y19,"渋谷-夜勤")+COUNTIF('6月'!AC19:AD19,"渋谷-夜勤")+COUNTIF('6月'!AH19:AI19,"渋谷-夜勤")+COUNTIF('6月'!AM19:AN19,"渋谷-夜勤")+COUNTIF('6月'!AR19:AS19,"渋谷-夜勤")+COUNTIF('6月'!AW19:AX19,"渋谷-夜勤")+COUNTIF('6月'!BB19:BC19,"渋谷-夜勤")+COUNTIF('6月'!BG19:BH19,"渋谷-夜勤")+COUNTIF('6月'!BL19:BM19,"渋谷-夜勤")+COUNTIF('6月'!BQ19:BR19,"渋谷-夜勤")+COUNTIF('6月'!BV19:BW19,"渋谷-夜勤")+COUNTIF('6月'!CA19:CB19,"渋谷-夜勤")+COUNTIF('6月'!CF19:CG19,"渋谷-夜勤")+COUNTIF('6月'!CK19:CL19,"渋谷-夜勤")+COUNTIF('6月'!CP19:CQ19,"渋谷-夜勤")+COUNTIF('6月'!CU19:CV19,"渋谷-夜勤")+COUNTIF('6月'!CZ19:DA19,"渋谷-夜勤")+COUNTIF('6月'!DE19:DF19,"渋谷-夜勤")+COUNTIF('6月'!DJ19:DK19,"渋谷-夜勤")+COUNTIF('6月'!DO19:DP19,"渋谷-夜勤")+COUNTIF('6月'!DT19:DU19,"渋谷-夜勤")+COUNTIF('6月'!DY19:DZ19,"渋谷-夜勤")+COUNTIF('6月'!ED19:EE19,"渋谷-夜勤")+COUNTIF('6月'!EI19:EJ19,"渋谷-夜勤")+COUNTIF('6月'!EN19:EO19,"渋谷-夜勤")+COUNTIF('6月'!ES19:ET19,"渋谷-夜勤")</f>
        <v>0</v>
      </c>
      <c r="I206" s="76">
        <f t="shared" si="63"/>
        <v>0</v>
      </c>
      <c r="J206" s="76">
        <f>COUNTIF('6月'!D19:E19,J$189)+COUNTIF('6月'!I19:J19,J$189)+COUNTIF('6月'!N19:O19,J$189)+COUNTIF('6月'!S19:T19,J$189)+COUNTIF('6月'!X19:Y19,J$189)+COUNTIF('6月'!AC19:AD19,J$189)+COUNTIF('6月'!AH19:AI19,J$189)+COUNTIF('6月'!AM19:AN19,J$189)+COUNTIF('6月'!AR19:AS19,J$189)+COUNTIF('6月'!AW19:AX19,J$189)+COUNTIF('6月'!BB19:BC19,J$189)+COUNTIF('6月'!BG19:BH19,J$189)+COUNTIF('6月'!BL19:BM19,J$189)+COUNTIF('6月'!BQ19:BR19,J$189)+COUNTIF('6月'!BV19:BW19,J$189)+COUNTIF('6月'!CA19:CB19,J$189)+COUNTIF('6月'!CF19:CG19,J$189)+COUNTIF('6月'!CK19:CL19,J$189)+COUNTIF('6月'!CP19:CQ19,J$189)+COUNTIF('6月'!CU19:CV19,J$189)+COUNTIF('6月'!CZ19:DA19,J$189)+COUNTIF('6月'!DE19:DF19,J$189)+COUNTIF('6月'!DJ19:DK19,J$189)+COUNTIF('6月'!DO19:DP19,J$189)+COUNTIF('6月'!DT19:DU19,J$189)+COUNTIF('6月'!DY19:DZ19,J$189)+COUNTIF('6月'!ED19:EE19,J$189)+COUNTIF('6月'!EI19:EJ19,J$189)+COUNTIF('6月'!EN19:EO19,J$189)+COUNTIF('6月'!ES19:ET19,J$189)+COUNTIF('6月'!D19:E19,"六本木-夜勤")+COUNTIF('6月'!I19:J19,"六本木-夜勤")+COUNTIF('6月'!N19:O19,"六本木-夜勤")+COUNTIF('6月'!S19:T19,"六本木-夜勤")+COUNTIF('6月'!X19:Y19,"六本木-夜勤")+COUNTIF('6月'!AC19:AD19,"六本木-夜勤")+COUNTIF('6月'!AH19:AI19,"六本木-夜勤")+COUNTIF('6月'!AM19:AN19,"六本木-夜勤")+COUNTIF('6月'!AR19:AS19,"六本木-夜勤")+COUNTIF('6月'!AW19:AX19,"六本木-夜勤")+COUNTIF('6月'!BB19:BC19,"六本木-夜勤")+COUNTIF('6月'!BG19:BH19,"六本木-夜勤")+COUNTIF('6月'!BL19:BM19,"六本木-夜勤")+COUNTIF('6月'!BQ19:BR19,"六本木-夜勤")+COUNTIF('6月'!BV19:BW19,"六本木-夜勤")+COUNTIF('6月'!CA19:CB19,"六本木-夜勤")+COUNTIF('6月'!CF19:CG19,"六本木-夜勤")+COUNTIF('6月'!CK19:CL19,"六本木-夜勤")+COUNTIF('6月'!CP19:CQ19,"六本木-夜勤")+COUNTIF('6月'!CU19:CV19,"六本木-夜勤")+COUNTIF('6月'!CZ19:DA19,"六本木-夜勤")+COUNTIF('6月'!DE19:DF19,"六本木-夜勤")+COUNTIF('6月'!DJ19:DK19,"六本木-夜勤")+COUNTIF('6月'!DO19:DP19,"六本木-夜勤")+COUNTIF('6月'!DT19:DU19,"六本木-夜勤")+COUNTIF('6月'!DY19:DZ19,"六本木-夜勤")+COUNTIF('6月'!ED19:EE19,"六本木-夜勤")+COUNTIF('6月'!EI19:EJ19,"六本木-夜勤")+COUNTIF('6月'!EN19:EO19,"六本木-夜勤")+COUNTIF('6月'!ES19:ET19,"六本木-夜勤")+COUNTIF('6月'!D19:E19,"六本木ー夜勤")+COUNTIF('6月'!I19:J19,"六本木ー夜勤")+COUNTIF('6月'!N19:O19,"六本木ー夜勤")+COUNTIF('6月'!S19:T19,"六本木ー夜勤")+COUNTIF('6月'!X19:Y19,"六本木ー夜勤")+COUNTIF('6月'!AC19:AD19,"六本木ー夜勤")+COUNTIF('6月'!AH19:AI19,"六本木ー夜勤")+COUNTIF('6月'!AM19:AN19,"六本木ー夜勤")+COUNTIF('6月'!AR19:AS19,"六本木ー夜勤")+COUNTIF('6月'!AW19:AX19,"六本木ー夜勤")+COUNTIF('6月'!BB19:BC19,"六本木ー夜勤")+COUNTIF('6月'!BG19:BH19,"六本木ー夜勤")+COUNTIF('6月'!BL19:BM19,"六本木ー夜勤")+COUNTIF('6月'!BQ19:BR19,"六本木ー夜勤")+COUNTIF('6月'!BV19:BW19,"六本木ー夜勤")+COUNTIF('6月'!CA19:CB19,"六本木ー夜勤")+COUNTIF('6月'!CF19:CG19,"六本木ー夜勤")+COUNTIF('6月'!CK19:CL19,"六本木ー夜勤")+COUNTIF('6月'!CP19:CQ19,"六本木ー夜勤")+COUNTIF('6月'!CU19:CV19,"六本木ー夜勤")+COUNTIF('6月'!CZ19:DA19,"六本木ー夜勤")+COUNTIF('6月'!DE19:DF19,"六本木ー夜勤")+COUNTIF('6月'!DJ19:DK19,"六本木ー夜勤")+COUNTIF('6月'!DO19:DP19,"六本木ー夜勤")+COUNTIF('6月'!DT19:DU19,"六本木ー夜勤")+COUNTIF('6月'!DY19:DZ19,"六本木ー夜勤")+COUNTIF('6月'!ED19:EE19,"六本木ー夜勤")+COUNTIF('6月'!EI19:EJ19,"六本木ー夜勤")+COUNTIF('6月'!EN19:EO19,"六本木ー夜勤")+COUNTIF('6月'!ES19:ET19,"六本木ー夜勤")</f>
        <v>0</v>
      </c>
      <c r="K206" s="76">
        <f t="shared" si="64"/>
        <v>0</v>
      </c>
      <c r="L206" s="76">
        <f>COUNTIF('6月'!D19:E19,L$189)+COUNTIF('6月'!I19:J19,L$189)+COUNTIF('6月'!N19:O19,L$189)+COUNTIF('6月'!S19:T19,L$189)+COUNTIF('6月'!X19:Y19,L$189)+COUNTIF('6月'!AC19:AD19,L$189)+COUNTIF('6月'!AH19:AI19,L$189)+COUNTIF('6月'!AM19:AN19,L$189)+COUNTIF('6月'!AR19:AS19,L$189)+COUNTIF('6月'!AW19:AX19,L$189)+COUNTIF('6月'!BB19:BC19,L$189)+COUNTIF('6月'!BG19:BH19,L$189)+COUNTIF('6月'!BL19:BM19,L$189)+COUNTIF('6月'!BQ19:BR19,L$189)+COUNTIF('6月'!BV19:BW19,L$189)+COUNTIF('6月'!CA19:CB19,L$189)+COUNTIF('6月'!CF19:CG19,L$189)+COUNTIF('6月'!CK19:CL19,L$189)+COUNTIF('6月'!CP19:CQ19,L$189)+COUNTIF('6月'!CU19:CV19,L$189)+COUNTIF('6月'!CZ19:DA19,L$189)+COUNTIF('6月'!DE19:DF19,L$189)+COUNTIF('6月'!DJ19:DK19,L$189)+COUNTIF('6月'!DO19:DP19,L$189)+COUNTIF('6月'!DT19:DU19,L$189)+COUNTIF('6月'!DY19:DZ19,L$189)+COUNTIF('6月'!ED19:EE19,L$189)+COUNTIF('6月'!EI19:EJ19,L$189)+COUNTIF('6月'!EN19:EO19,L$189)+COUNTIF('6月'!ES19:ET19,L$189)</f>
        <v>0</v>
      </c>
      <c r="M206" s="76">
        <f t="shared" si="65"/>
        <v>0</v>
      </c>
      <c r="N206" s="76">
        <f>COUNTIF('6月'!D19:E19,N$189)+COUNTIF('6月'!I19:J19,N$189)+COUNTIF('6月'!N19:O19,N$189)+COUNTIF('6月'!S19:T19,N$189)+COUNTIF('6月'!X19:Y19,N$189)+COUNTIF('6月'!AC19:AD19,N$189)+COUNTIF('6月'!AH19:AI19,N$189)+COUNTIF('6月'!AM19:AN19,N$189)+COUNTIF('6月'!AR19:AS19,N$189)+COUNTIF('6月'!AW19:AX19,N$189)+COUNTIF('6月'!BB19:BC19,N$189)+COUNTIF('6月'!BG19:BH19,N$189)+COUNTIF('6月'!BL19:BM19,N$189)+COUNTIF('6月'!BQ19:BR19,N$189)+COUNTIF('6月'!BV19:BW19,N$189)+COUNTIF('6月'!CA19:CB19,N$189)+COUNTIF('6月'!CF19:CG19,N$189)+COUNTIF('6月'!CK19:CL19,N$189)+COUNTIF('6月'!CP19:CQ19,N$189)+COUNTIF('6月'!CU19:CV19,N$189)+COUNTIF('6月'!CZ19:DA19,N$189)+COUNTIF('6月'!DE19:DF19,N$189)+COUNTIF('6月'!DJ19:DK19,N$189)+COUNTIF('6月'!DO19:DP19,N$189)+COUNTIF('6月'!DT19:DU19,N$189)+COUNTIF('6月'!DY19:DZ19,N$189)+COUNTIF('6月'!ED19:EE19,N$189)+COUNTIF('6月'!EI19:EJ19,N$189)+COUNTIF('6月'!EN19:EO19,N$189)+COUNTIF('6月'!ES19:ET19,N$189)+COUNTIF('6月'!D19:E19,"三軒茶屋－夜勤")+COUNTIF('6月'!I19:J19,"三軒茶屋－夜勤")+COUNTIF('6月'!N19:O19,"三軒茶屋－夜勤")+COUNTIF('6月'!S19:T19,"三軒茶屋－夜勤")+COUNTIF('6月'!X19:Y19,"三軒茶屋－夜勤")+COUNTIF('6月'!AC19:AD19,"三軒茶屋－夜勤")+COUNTIF('6月'!AH19:AI19,"三軒茶屋－夜勤")+COUNTIF('6月'!AM19:AN19,"三軒茶屋－夜勤")+COUNTIF('6月'!AR19:AS19,"三軒茶屋－夜勤")+COUNTIF('6月'!AW19:AX19,"三軒茶屋－夜勤")+COUNTIF('6月'!BB19:BC19,"三軒茶屋－夜勤")+COUNTIF('6月'!BG19:BH19,"三軒茶屋－夜勤")+COUNTIF('6月'!BL19:BM19,"三軒茶屋－夜勤")+COUNTIF('6月'!BQ19:BR19,"三軒茶屋－夜勤")+COUNTIF('6月'!BV19:BW19,"三軒茶屋－夜勤")+COUNTIF('6月'!CA19:CB19,"三軒茶屋－夜勤")+COUNTIF('6月'!CF19:CG19,"三軒茶屋－夜勤")+COUNTIF('6月'!CK19:CL19,"三軒茶屋－夜勤")+COUNTIF('6月'!CP19:CQ19,"三軒茶屋－夜勤")+COUNTIF('6月'!CU19:CV19,"三軒茶屋－夜勤")+COUNTIF('6月'!CZ19:DA19,"三軒茶屋－夜勤")+COUNTIF('6月'!DE19:DF19,"三軒茶屋－夜勤")+COUNTIF('6月'!DJ19:DK19,"三軒茶屋－夜勤")+COUNTIF('6月'!DO19:DP19,"三軒茶屋－夜勤")+COUNTIF('6月'!DT19:DU19,"三軒茶屋－夜勤")+COUNTIF('6月'!DY19:DZ19,"三軒茶屋－夜勤")+COUNTIF('6月'!ED19:EE19,"三軒茶屋－夜勤")+COUNTIF('6月'!EI19:EJ19,"三軒茶屋－夜勤")+COUNTIF('6月'!EN19:EO19,"三軒茶屋－夜勤")+COUNTIF('6月'!ES19:ET19,"三軒茶屋－夜勤")</f>
        <v>0</v>
      </c>
      <c r="O206" s="76">
        <f t="shared" si="66"/>
        <v>0</v>
      </c>
      <c r="P206" s="76">
        <f>COUNTIF('6月'!D19:E19,P$189)+COUNTIF('6月'!I19:J19,P$189)+COUNTIF('6月'!N19:O19,P$189)+COUNTIF('6月'!S19:T19,P$189)+COUNTIF('6月'!X19:Y19,P$189)+COUNTIF('6月'!AC19:AD19,P$189)+COUNTIF('6月'!AH19:AI19,P$189)+COUNTIF('6月'!AM19:AN19,P$189)+COUNTIF('6月'!AR19:AS19,P$189)+COUNTIF('6月'!AW19:AX19,P$189)+COUNTIF('6月'!BB19:BC19,P$189)+COUNTIF('6月'!BG19:BH19,P$189)+COUNTIF('6月'!BL19:BM19,P$189)+COUNTIF('6月'!BQ19:BR19,P$189)+COUNTIF('6月'!BV19:BW19,P$189)+COUNTIF('6月'!CA19:CB19,P$189)+COUNTIF('6月'!CF19:CG19,P$189)+COUNTIF('6月'!CK19:CL19,P$189)+COUNTIF('6月'!CP19:CQ19,P$189)+COUNTIF('6月'!CU19:CV19,P$189)+COUNTIF('6月'!CZ19:DA19,P$189)+COUNTIF('6月'!DE19:DF19,P$189)+COUNTIF('6月'!DJ19:DK19,P$189)+COUNTIF('6月'!DO19:DP19,P$189)+COUNTIF('6月'!DT19:DU19,P$189)+COUNTIF('6月'!DY19:DZ19,P$189)+COUNTIF('6月'!ED19:EE19,P$189)+COUNTIF('6月'!EI19:EJ19,P$189)+COUNTIF('6月'!EN19:EO19,P$189)+COUNTIF('6月'!ES19:ET19,P$189)+COUNTIF('6月'!D19:E19,"荻窪ー夜勤")+COUNTIF('6月'!I19:J19,"荻窪ー夜勤")+COUNTIF('6月'!N19:O19,"荻窪ー夜勤")+COUNTIF('6月'!S19:T19,"荻窪ー夜勤")+COUNTIF('6月'!X19:Y19,"荻窪ー夜勤")+COUNTIF('6月'!AC19:AD19,"荻窪ー夜勤")+COUNTIF('6月'!AH19:AI19,"荻窪ー夜勤")+COUNTIF('6月'!AM19:AN19,"荻窪ー夜勤")+COUNTIF('6月'!AR19:AS19,"荻窪ー夜勤")+COUNTIF('6月'!AW19:AX19,"荻窪ー夜勤")+COUNTIF('6月'!BB19:BC19,"荻窪ー夜勤")+COUNTIF('6月'!BG19:BH19,"荻窪ー夜勤")+COUNTIF('6月'!BL19:BM19,"荻窪ー夜勤")+COUNTIF('6月'!BQ19:BR19,"荻窪ー夜勤")+COUNTIF('6月'!BV19:BW19,"荻窪ー夜勤")+COUNTIF('6月'!CA19:CB19,"荻窪ー夜勤")+COUNTIF('6月'!CF19:CG19,"荻窪ー夜勤")+COUNTIF('6月'!CK19:CL19,"荻窪ー夜勤")+COUNTIF('6月'!CP19:CQ19,"荻窪ー夜勤")+COUNTIF('6月'!CU19:CV19,"荻窪ー夜勤")+COUNTIF('6月'!CZ19:DA19,"荻窪ー夜勤")+COUNTIF('6月'!DE19:DF19,"荻窪ー夜勤")+COUNTIF('6月'!DJ19:DK19,"荻窪ー夜勤")+COUNTIF('6月'!DO19:DP19,"荻窪ー夜勤")+COUNTIF('6月'!DT19:DU19,"荻窪ー夜勤")+COUNTIF('6月'!DY19:DZ19,"荻窪ー夜勤")+COUNTIF('6月'!ED19:EE19,"荻窪ー夜勤")+COUNTIF('6月'!EI19:EJ19,"荻窪ー夜勤")+COUNTIF('6月'!EN19:EO19,"荻窪ー夜勤")+COUNTIF('6月'!ES19:ET19,"荻窪ー夜勤")</f>
        <v>0</v>
      </c>
      <c r="Q206" s="76">
        <f t="shared" si="67"/>
        <v>0</v>
      </c>
      <c r="R206" s="76">
        <f>COUNTIF('6月'!D19:E19,R$189)+COUNTIF('6月'!I19:J19,R$189)+COUNTIF('6月'!N19:O19,R$189)+COUNTIF('6月'!S19:T19,R$189)+COUNTIF('6月'!X19:Y19,R$189)+COUNTIF('6月'!AC19:AD19,R$189)+COUNTIF('6月'!AH19:AI19,R$189)+COUNTIF('6月'!AM19:AN19,R$189)+COUNTIF('6月'!AR19:AS19,R$189)+COUNTIF('6月'!AW19:AX19,R$189)+COUNTIF('6月'!BB19:BC19,R$189)+COUNTIF('6月'!BG19:BH19,R$189)+COUNTIF('6月'!BL19:BM19,R$189)+COUNTIF('6月'!BQ19:BR19,R$189)+COUNTIF('6月'!BV19:BW19,R$189)+COUNTIF('6月'!CA19:CB19,R$189)+COUNTIF('6月'!CF19:CG19,R$189)+COUNTIF('6月'!CK19:CL19,R$189)+COUNTIF('6月'!CP19:CQ19,R$189)+COUNTIF('6月'!CU19:CV19,R$189)+COUNTIF('6月'!CZ19:DA19,R$189)+COUNTIF('6月'!DE19:DF19,R$189)+COUNTIF('6月'!DJ19:DK19,R$189)+COUNTIF('6月'!DO19:DP19,R$189)+COUNTIF('6月'!DT19:DU19,R$189)+COUNTIF('6月'!DY19:DZ19,R$189)+COUNTIF('6月'!ED19:EE19,R$189)+COUNTIF('6月'!EI19:EJ19,R$189)+COUNTIF('6月'!EN19:EO19,R$189)+COUNTIF('6月'!ES19:ET19,R$189)</f>
        <v>0</v>
      </c>
      <c r="S206" s="76">
        <f t="shared" si="68"/>
        <v>0</v>
      </c>
      <c r="T206" s="76">
        <f>COUNTIF('6月'!D19:E19,T$189)+COUNTIF('6月'!I19:J19,T$189)+COUNTIF('6月'!N19:O19,T$189)+COUNTIF('6月'!S19:T19,T$189)+COUNTIF('6月'!X19:Y19,T$189)+COUNTIF('6月'!AC19:AD19,T$189)+COUNTIF('6月'!AH19:AI19,T$189)+COUNTIF('6月'!AM19:AN19,T$189)+COUNTIF('6月'!AR19:AS19,T$189)+COUNTIF('6月'!AW19:AX19,T$189)+COUNTIF('6月'!BB19:BC19,T$189)+COUNTIF('6月'!BG19:BH19,T$189)+COUNTIF('6月'!BL19:BM19,T$189)+COUNTIF('6月'!BQ19:BR19,T$189)+COUNTIF('6月'!BV19:BW19,T$189)+COUNTIF('6月'!CA19:CB19,T$189)+COUNTIF('6月'!CF19:CG19,T$189)+COUNTIF('6月'!CK19:CL19,T$189)+COUNTIF('6月'!CP19:CQ19,T$189)+COUNTIF('6月'!CU19:CV19,T$189)+COUNTIF('6月'!CZ19:DA19,T$189)+COUNTIF('6月'!DE19:DF19,T$189)+COUNTIF('6月'!DJ19:DK19,T$189)+COUNTIF('6月'!DO19:DP19,T$189)+COUNTIF('6月'!DT19:DU19,T$189)+COUNTIF('6月'!DY19:DZ19,T$189)+COUNTIF('6月'!ED19:EE19,T$189)+COUNTIF('6月'!EI19:EJ19,T$189)+COUNTIF('6月'!EN19:EO19,T$189)+COUNTIF('6月'!ES19:ET19,T$189)</f>
        <v>0</v>
      </c>
      <c r="U206" s="76">
        <f t="shared" si="69"/>
        <v>0</v>
      </c>
      <c r="V206" s="76">
        <f>COUNTIF('6月'!D19:E19,V$189)+COUNTIF('6月'!I19:J19,V$189)+COUNTIF('6月'!N19:O19,V$189)+COUNTIF('6月'!S19:T19,V$189)+COUNTIF('6月'!X19:Y19,V$189)+COUNTIF('6月'!AC19:AD19,V$189)+COUNTIF('6月'!AH19:AI19,V$189)+COUNTIF('6月'!AM19:AN19,V$189)+COUNTIF('6月'!AR19:AS19,V$189)+COUNTIF('6月'!AW19:AX19,V$189)+COUNTIF('6月'!BB19:BC19,V$189)+COUNTIF('6月'!BG19:BH19,V$189)+COUNTIF('6月'!BL19:BM19,V$189)+COUNTIF('6月'!BQ19:BR19,V$189)+COUNTIF('6月'!BV19:BW19,V$189)+COUNTIF('6月'!CA19:CB19,V$189)+COUNTIF('6月'!CF19:CG19,V$189)+COUNTIF('6月'!CK19:CL19,V$189)+COUNTIF('6月'!CP19:CQ19,V$189)+COUNTIF('6月'!CU19:CV19,V$189)+COUNTIF('6月'!CZ19:DA19,V$189)+COUNTIF('6月'!DE19:DF19,V$189)+COUNTIF('6月'!DJ19:DK19,V$189)+COUNTIF('6月'!DO19:DP19,V$189)+COUNTIF('6月'!DT19:DU19,V$189)+COUNTIF('6月'!DY19:DZ19,V$189)+COUNTIF('6月'!ED19:EE19,V$189)+COUNTIF('6月'!EI19:EJ19,V$189)+COUNTIF('6月'!EN19:EO19,V$189)+COUNTIF('6月'!ES19:ET19,V$189)</f>
        <v>0</v>
      </c>
      <c r="W206" s="76">
        <f t="shared" si="70"/>
        <v>0</v>
      </c>
      <c r="X206" s="76">
        <f>COUNTIF('6月'!D19:E19,X$189)+COUNTIF('6月'!I19:J19,X$189)+COUNTIF('6月'!N19:O19,X$189)+COUNTIF('6月'!S19:T19,X$189)+COUNTIF('6月'!X19:Y19,X$189)+COUNTIF('6月'!AC19:AD19,X$189)+COUNTIF('6月'!AH19:AI19,X$189)+COUNTIF('6月'!AM19:AN19,X$189)+COUNTIF('6月'!AR19:AS19,X$189)+COUNTIF('6月'!AW19:AX19,X$189)+COUNTIF('6月'!BB19:BC19,X$189)+COUNTIF('6月'!BG19:BH19,X$189)+COUNTIF('6月'!BL19:BM19,X$189)+COUNTIF('6月'!BQ19:BR19,X$189)+COUNTIF('6月'!BV19:BW19,X$189)+COUNTIF('6月'!CA19:CB19,X$189)+COUNTIF('6月'!CF19:CG19,X$189)+COUNTIF('6月'!CK19:CL19,X$189)+COUNTIF('6月'!CP19:CQ19,X$189)+COUNTIF('6月'!CU19:CV19,X$189)+COUNTIF('6月'!CZ19:DA19,X$189)+COUNTIF('6月'!DE19:DF19,X$189)+COUNTIF('6月'!DJ19:DK19,X$189)+COUNTIF('6月'!DO19:DP19,X$189)+COUNTIF('6月'!DT19:DU19,X$189)+COUNTIF('6月'!DY19:DZ19,X$189)+COUNTIF('6月'!ED19:EE19,X$189)+COUNTIF('6月'!EI19:EJ19,X$189)+COUNTIF('6月'!EN19:EO19,X$189)+COUNTIF('6月'!ES19:ET19,X$189)</f>
        <v>0</v>
      </c>
      <c r="Y206" s="76">
        <f t="shared" si="71"/>
        <v>0</v>
      </c>
    </row>
    <row r="207" spans="1:25" ht="18" customHeight="1">
      <c r="A207" s="76">
        <v>17</v>
      </c>
      <c r="B207" s="76">
        <f>COUNTIF('6月'!D20:E20,B$189)+COUNTIF('6月'!I20:J20,B$189)+COUNTIF('6月'!N20:O20,B$189)+COUNTIF('6月'!S20:T20,B$189)+COUNTIF('6月'!X20:Y20,B$189)+COUNTIF('6月'!AC20:AD20,B$189)+COUNTIF('6月'!AH20:AI20,B$189)+COUNTIF('6月'!AM20:AN20,B$189)+COUNTIF('6月'!AR20:AS20,B$189)+COUNTIF('6月'!AW20:AX20,B$189)+COUNTIF('6月'!BB20:BC20,B$189)+COUNTIF('6月'!BG20:BH20,B$189)+COUNTIF('6月'!BL20:BM20,B$189)+COUNTIF('6月'!BQ20:BR20,B$189)+COUNTIF('6月'!BV20:BW20,B$189)+COUNTIF('6月'!CA20:CB20,B$189)+COUNTIF('6月'!CF20:CG20,B$189)+COUNTIF('6月'!CK20:CL20,B$189)+COUNTIF('6月'!CP20:CQ20,B$189)+COUNTIF('6月'!CU20:CV20,B$189)+COUNTIF('6月'!CZ20:DA20,B$189)+COUNTIF('6月'!DE20:DF20,B$189)+COUNTIF('6月'!DJ20:DK20,B$189)+COUNTIF('6月'!DO20:DP20,B$189)+COUNTIF('6月'!DT20:DU20,B$189)+COUNTIF('6月'!DY20:DZ20,B$189)+COUNTIF('6月'!ED20:EE20,B$189)+COUNTIF('6月'!EI20:EJ20,B$189)+COUNTIF('6月'!EN20:EO20,B$189)+COUNTIF('6月'!ES20:ET20,B$189)</f>
        <v>0</v>
      </c>
      <c r="C207" s="76">
        <f t="shared" si="60"/>
        <v>0</v>
      </c>
      <c r="D207" s="76">
        <f>COUNTIF('6月'!D20:E20,D$189)+COUNTIF('6月'!I20:J20,D$189)+COUNTIF('6月'!N20:O20,D$189)+COUNTIF('6月'!S20:T20,D$189)+COUNTIF('6月'!X20:Y20,D$189)+COUNTIF('6月'!AC20:AD20,D$189)+COUNTIF('6月'!AH20:AI20,D$189)+COUNTIF('6月'!AM20:AN20,D$189)+COUNTIF('6月'!AR20:AS20,D$189)+COUNTIF('6月'!AW20:AX20,D$189)+COUNTIF('6月'!BB20:BC20,D$189)+COUNTIF('6月'!BG20:BH20,D$189)+COUNTIF('6月'!BL20:BM20,D$189)+COUNTIF('6月'!BQ20:BR20,D$189)+COUNTIF('6月'!BV20:BW20,D$189)+COUNTIF('6月'!CA20:CB20,D$189)+COUNTIF('6月'!CF20:CG20,D$189)+COUNTIF('6月'!CK20:CL20,D$189)+COUNTIF('6月'!CP20:CQ20,D$189)+COUNTIF('6月'!CU20:CV20,D$189)+COUNTIF('6月'!CZ20:DA20,D$189)+COUNTIF('6月'!DE20:DF20,D$189)+COUNTIF('6月'!DJ20:DK20,D$189)+COUNTIF('6月'!DO20:DP20,D$189)+COUNTIF('6月'!DT20:DU20,D$189)+COUNTIF('6月'!DY20:DZ20,D$189)+COUNTIF('6月'!ED20:EE20,D$189)+COUNTIF('6月'!EI20:EJ20,D$189)+COUNTIF('6月'!EN20:EO20,D$189)+COUNTIF('6月'!ES20:ET20,D$189)</f>
        <v>0</v>
      </c>
      <c r="E207" s="76">
        <f t="shared" si="61"/>
        <v>0</v>
      </c>
      <c r="F207" s="76">
        <f>COUNTIF('6月'!D20:E20,F$189)+COUNTIF('6月'!I20:J20,F$189)+COUNTIF('6月'!N20:O20,F$189)+COUNTIF('6月'!S20:T20,F$189)+COUNTIF('6月'!X20:Y20,F$189)+COUNTIF('6月'!AC20:AD20,F$189)+COUNTIF('6月'!AH20:AI20,F$189)+COUNTIF('6月'!AM20:AN20,F$189)+COUNTIF('6月'!AR20:AS20,F$189)+COUNTIF('6月'!AW20:AX20,F$189)+COUNTIF('6月'!BB20:BC20,F$189)+COUNTIF('6月'!BG20:BH20,F$189)+COUNTIF('6月'!BL20:BM20,F$189)+COUNTIF('6月'!BQ20:BR20,F$189)+COUNTIF('6月'!BV20:BW20,F$189)+COUNTIF('6月'!CA20:CB20,F$189)+COUNTIF('6月'!CF20:CG20,F$189)+COUNTIF('6月'!CK20:CL20,F$189)+COUNTIF('6月'!CP20:CQ20,F$189)+COUNTIF('6月'!CU20:CV20,F$189)+COUNTIF('6月'!CZ20:DA20,F$189)+COUNTIF('6月'!DE20:DF20,F$189)+COUNTIF('6月'!DJ20:DK20,F$189)+COUNTIF('6月'!DO20:DP20,F$189)+COUNTIF('6月'!DT20:DU20,F$189)+COUNTIF('6月'!DY20:DZ20,F$189)+COUNTIF('6月'!ED20:EE20,F$189)+COUNTIF('6月'!EI20:EJ20,F$189)+COUNTIF('6月'!EN20:EO20,F$189)+COUNTIF('6月'!ES20:ET20,F$189)</f>
        <v>0</v>
      </c>
      <c r="G207" s="76">
        <f t="shared" si="62"/>
        <v>0</v>
      </c>
      <c r="H207" s="76">
        <f>COUNTIF('6月'!D20:E20,H$189)+COUNTIF('6月'!I20:J20,H$189)+COUNTIF('6月'!N20:O20,H$189)+COUNTIF('6月'!S20:T20,H$189)+COUNTIF('6月'!X20:Y20,H$189)+COUNTIF('6月'!AC20:AD20,H$189)+COUNTIF('6月'!AH20:AI20,H$189)+COUNTIF('6月'!AM20:AN20,H$189)+COUNTIF('6月'!AR20:AS20,H$189)+COUNTIF('6月'!AW20:AX20,H$189)+COUNTIF('6月'!BB20:BC20,H$189)+COUNTIF('6月'!BG20:BH20,H$189)+COUNTIF('6月'!BL20:BM20,H$189)+COUNTIF('6月'!BQ20:BR20,H$189)+COUNTIF('6月'!BV20:BW20,H$189)+COUNTIF('6月'!CA20:CB20,H$189)+COUNTIF('6月'!CF20:CG20,H$189)+COUNTIF('6月'!CK20:CL20,H$189)+COUNTIF('6月'!CP20:CQ20,H$189)+COUNTIF('6月'!CU20:CV20,H$189)+COUNTIF('6月'!CZ20:DA20,H$189)+COUNTIF('6月'!DE20:DF20,H$189)+COUNTIF('6月'!DJ20:DK20,H$189)+COUNTIF('6月'!DO20:DP20,H$189)+COUNTIF('6月'!DT20:DU20,H$189)+COUNTIF('6月'!DY20:DZ20,H$189)+COUNTIF('6月'!ED20:EE20,H$189)+COUNTIF('6月'!EI20:EJ20,H$189)+COUNTIF('6月'!EN20:EO20,H$189)+COUNTIF('6月'!ES20:ET20,H$189)+COUNTIF('6月'!D20:E20,"渋谷-夜勤")+COUNTIF('6月'!I20:J20,"渋谷-夜勤")+COUNTIF('6月'!N20:O20,"渋谷-夜勤")+COUNTIF('6月'!S20:T20,"渋谷-夜勤")+COUNTIF('6月'!X20:Y20,"渋谷-夜勤")+COUNTIF('6月'!AC20:AD20,"渋谷-夜勤")+COUNTIF('6月'!AH20:AI20,"渋谷-夜勤")+COUNTIF('6月'!AM20:AN20,"渋谷-夜勤")+COUNTIF('6月'!AR20:AS20,"渋谷-夜勤")+COUNTIF('6月'!AW20:AX20,"渋谷-夜勤")+COUNTIF('6月'!BB20:BC20,"渋谷-夜勤")+COUNTIF('6月'!BG20:BH20,"渋谷-夜勤")+COUNTIF('6月'!BL20:BM20,"渋谷-夜勤")+COUNTIF('6月'!BQ20:BR20,"渋谷-夜勤")+COUNTIF('6月'!BV20:BW20,"渋谷-夜勤")+COUNTIF('6月'!CA20:CB20,"渋谷-夜勤")+COUNTIF('6月'!CF20:CG20,"渋谷-夜勤")+COUNTIF('6月'!CK20:CL20,"渋谷-夜勤")+COUNTIF('6月'!CP20:CQ20,"渋谷-夜勤")+COUNTIF('6月'!CU20:CV20,"渋谷-夜勤")+COUNTIF('6月'!CZ20:DA20,"渋谷-夜勤")+COUNTIF('6月'!DE20:DF20,"渋谷-夜勤")+COUNTIF('6月'!DJ20:DK20,"渋谷-夜勤")+COUNTIF('6月'!DO20:DP20,"渋谷-夜勤")+COUNTIF('6月'!DT20:DU20,"渋谷-夜勤")+COUNTIF('6月'!DY20:DZ20,"渋谷-夜勤")+COUNTIF('6月'!ED20:EE20,"渋谷-夜勤")+COUNTIF('6月'!EI20:EJ20,"渋谷-夜勤")+COUNTIF('6月'!EN20:EO20,"渋谷-夜勤")+COUNTIF('6月'!ES20:ET20,"渋谷-夜勤")</f>
        <v>0</v>
      </c>
      <c r="I207" s="76">
        <f t="shared" si="63"/>
        <v>0</v>
      </c>
      <c r="J207" s="76">
        <f>COUNTIF('6月'!D20:E20,J$189)+COUNTIF('6月'!I20:J20,J$189)+COUNTIF('6月'!N20:O20,J$189)+COUNTIF('6月'!S20:T20,J$189)+COUNTIF('6月'!X20:Y20,J$189)+COUNTIF('6月'!AC20:AD20,J$189)+COUNTIF('6月'!AH20:AI20,J$189)+COUNTIF('6月'!AM20:AN20,J$189)+COUNTIF('6月'!AR20:AS20,J$189)+COUNTIF('6月'!AW20:AX20,J$189)+COUNTIF('6月'!BB20:BC20,J$189)+COUNTIF('6月'!BG20:BH20,J$189)+COUNTIF('6月'!BL20:BM20,J$189)+COUNTIF('6月'!BQ20:BR20,J$189)+COUNTIF('6月'!BV20:BW20,J$189)+COUNTIF('6月'!CA20:CB20,J$189)+COUNTIF('6月'!CF20:CG20,J$189)+COUNTIF('6月'!CK20:CL20,J$189)+COUNTIF('6月'!CP20:CQ20,J$189)+COUNTIF('6月'!CU20:CV20,J$189)+COUNTIF('6月'!CZ20:DA20,J$189)+COUNTIF('6月'!DE20:DF20,J$189)+COUNTIF('6月'!DJ20:DK20,J$189)+COUNTIF('6月'!DO20:DP20,J$189)+COUNTIF('6月'!DT20:DU20,J$189)+COUNTIF('6月'!DY20:DZ20,J$189)+COUNTIF('6月'!ED20:EE20,J$189)+COUNTIF('6月'!EI20:EJ20,J$189)+COUNTIF('6月'!EN20:EO20,J$189)+COUNTIF('6月'!ES20:ET20,J$189)+COUNTIF('6月'!D20:E20,"六本木-夜勤")+COUNTIF('6月'!I20:J20,"六本木-夜勤")+COUNTIF('6月'!N20:O20,"六本木-夜勤")+COUNTIF('6月'!S20:T20,"六本木-夜勤")+COUNTIF('6月'!X20:Y20,"六本木-夜勤")+COUNTIF('6月'!AC20:AD20,"六本木-夜勤")+COUNTIF('6月'!AH20:AI20,"六本木-夜勤")+COUNTIF('6月'!AM20:AN20,"六本木-夜勤")+COUNTIF('6月'!AR20:AS20,"六本木-夜勤")+COUNTIF('6月'!AW20:AX20,"六本木-夜勤")+COUNTIF('6月'!BB20:BC20,"六本木-夜勤")+COUNTIF('6月'!BG20:BH20,"六本木-夜勤")+COUNTIF('6月'!BL20:BM20,"六本木-夜勤")+COUNTIF('6月'!BQ20:BR20,"六本木-夜勤")+COUNTIF('6月'!BV20:BW20,"六本木-夜勤")+COUNTIF('6月'!CA20:CB20,"六本木-夜勤")+COUNTIF('6月'!CF20:CG20,"六本木-夜勤")+COUNTIF('6月'!CK20:CL20,"六本木-夜勤")+COUNTIF('6月'!CP20:CQ20,"六本木-夜勤")+COUNTIF('6月'!CU20:CV20,"六本木-夜勤")+COUNTIF('6月'!CZ20:DA20,"六本木-夜勤")+COUNTIF('6月'!DE20:DF20,"六本木-夜勤")+COUNTIF('6月'!DJ20:DK20,"六本木-夜勤")+COUNTIF('6月'!DO20:DP20,"六本木-夜勤")+COUNTIF('6月'!DT20:DU20,"六本木-夜勤")+COUNTIF('6月'!DY20:DZ20,"六本木-夜勤")+COUNTIF('6月'!ED20:EE20,"六本木-夜勤")+COUNTIF('6月'!EI20:EJ20,"六本木-夜勤")+COUNTIF('6月'!EN20:EO20,"六本木-夜勤")+COUNTIF('6月'!ES20:ET20,"六本木-夜勤")+COUNTIF('6月'!D20:E20,"六本木ー夜勤")+COUNTIF('6月'!I20:J20,"六本木ー夜勤")+COUNTIF('6月'!N20:O20,"六本木ー夜勤")+COUNTIF('6月'!S20:T20,"六本木ー夜勤")+COUNTIF('6月'!X20:Y20,"六本木ー夜勤")+COUNTIF('6月'!AC20:AD20,"六本木ー夜勤")+COUNTIF('6月'!AH20:AI20,"六本木ー夜勤")+COUNTIF('6月'!AM20:AN20,"六本木ー夜勤")+COUNTIF('6月'!AR20:AS20,"六本木ー夜勤")+COUNTIF('6月'!AW20:AX20,"六本木ー夜勤")+COUNTIF('6月'!BB20:BC20,"六本木ー夜勤")+COUNTIF('6月'!BG20:BH20,"六本木ー夜勤")+COUNTIF('6月'!BL20:BM20,"六本木ー夜勤")+COUNTIF('6月'!BQ20:BR20,"六本木ー夜勤")+COUNTIF('6月'!BV20:BW20,"六本木ー夜勤")+COUNTIF('6月'!CA20:CB20,"六本木ー夜勤")+COUNTIF('6月'!CF20:CG20,"六本木ー夜勤")+COUNTIF('6月'!CK20:CL20,"六本木ー夜勤")+COUNTIF('6月'!CP20:CQ20,"六本木ー夜勤")+COUNTIF('6月'!CU20:CV20,"六本木ー夜勤")+COUNTIF('6月'!CZ20:DA20,"六本木ー夜勤")+COUNTIF('6月'!DE20:DF20,"六本木ー夜勤")+COUNTIF('6月'!DJ20:DK20,"六本木ー夜勤")+COUNTIF('6月'!DO20:DP20,"六本木ー夜勤")+COUNTIF('6月'!DT20:DU20,"六本木ー夜勤")+COUNTIF('6月'!DY20:DZ20,"六本木ー夜勤")+COUNTIF('6月'!ED20:EE20,"六本木ー夜勤")+COUNTIF('6月'!EI20:EJ20,"六本木ー夜勤")+COUNTIF('6月'!EN20:EO20,"六本木ー夜勤")+COUNTIF('6月'!ES20:ET20,"六本木ー夜勤")</f>
        <v>0</v>
      </c>
      <c r="K207" s="76">
        <f t="shared" si="64"/>
        <v>0</v>
      </c>
      <c r="L207" s="76">
        <f>COUNTIF('6月'!D20:E20,L$189)+COUNTIF('6月'!I20:J20,L$189)+COUNTIF('6月'!N20:O20,L$189)+COUNTIF('6月'!S20:T20,L$189)+COUNTIF('6月'!X20:Y20,L$189)+COUNTIF('6月'!AC20:AD20,L$189)+COUNTIF('6月'!AH20:AI20,L$189)+COUNTIF('6月'!AM20:AN20,L$189)+COUNTIF('6月'!AR20:AS20,L$189)+COUNTIF('6月'!AW20:AX20,L$189)+COUNTIF('6月'!BB20:BC20,L$189)+COUNTIF('6月'!BG20:BH20,L$189)+COUNTIF('6月'!BL20:BM20,L$189)+COUNTIF('6月'!BQ20:BR20,L$189)+COUNTIF('6月'!BV20:BW20,L$189)+COUNTIF('6月'!CA20:CB20,L$189)+COUNTIF('6月'!CF20:CG20,L$189)+COUNTIF('6月'!CK20:CL20,L$189)+COUNTIF('6月'!CP20:CQ20,L$189)+COUNTIF('6月'!CU20:CV20,L$189)+COUNTIF('6月'!CZ20:DA20,L$189)+COUNTIF('6月'!DE20:DF20,L$189)+COUNTIF('6月'!DJ20:DK20,L$189)+COUNTIF('6月'!DO20:DP20,L$189)+COUNTIF('6月'!DT20:DU20,L$189)+COUNTIF('6月'!DY20:DZ20,L$189)+COUNTIF('6月'!ED20:EE20,L$189)+COUNTIF('6月'!EI20:EJ20,L$189)+COUNTIF('6月'!EN20:EO20,L$189)+COUNTIF('6月'!ES20:ET20,L$189)</f>
        <v>0</v>
      </c>
      <c r="M207" s="76">
        <f t="shared" si="65"/>
        <v>0</v>
      </c>
      <c r="N207" s="76">
        <f>COUNTIF('6月'!D20:E20,N$189)+COUNTIF('6月'!I20:J20,N$189)+COUNTIF('6月'!N20:O20,N$189)+COUNTIF('6月'!S20:T20,N$189)+COUNTIF('6月'!X20:Y20,N$189)+COUNTIF('6月'!AC20:AD20,N$189)+COUNTIF('6月'!AH20:AI20,N$189)+COUNTIF('6月'!AM20:AN20,N$189)+COUNTIF('6月'!AR20:AS20,N$189)+COUNTIF('6月'!AW20:AX20,N$189)+COUNTIF('6月'!BB20:BC20,N$189)+COUNTIF('6月'!BG20:BH20,N$189)+COUNTIF('6月'!BL20:BM20,N$189)+COUNTIF('6月'!BQ20:BR20,N$189)+COUNTIF('6月'!BV20:BW20,N$189)+COUNTIF('6月'!CA20:CB20,N$189)+COUNTIF('6月'!CF20:CG20,N$189)+COUNTIF('6月'!CK20:CL20,N$189)+COUNTIF('6月'!CP20:CQ20,N$189)+COUNTIF('6月'!CU20:CV20,N$189)+COUNTIF('6月'!CZ20:DA20,N$189)+COUNTIF('6月'!DE20:DF20,N$189)+COUNTIF('6月'!DJ20:DK20,N$189)+COUNTIF('6月'!DO20:DP20,N$189)+COUNTIF('6月'!DT20:DU20,N$189)+COUNTIF('6月'!DY20:DZ20,N$189)+COUNTIF('6月'!ED20:EE20,N$189)+COUNTIF('6月'!EI20:EJ20,N$189)+COUNTIF('6月'!EN20:EO20,N$189)+COUNTIF('6月'!ES20:ET20,N$189)+COUNTIF('6月'!D20:E20,"三軒茶屋－夜勤")+COUNTIF('6月'!I20:J20,"三軒茶屋－夜勤")+COUNTIF('6月'!N20:O20,"三軒茶屋－夜勤")+COUNTIF('6月'!S20:T20,"三軒茶屋－夜勤")+COUNTIF('6月'!X20:Y20,"三軒茶屋－夜勤")+COUNTIF('6月'!AC20:AD20,"三軒茶屋－夜勤")+COUNTIF('6月'!AH20:AI20,"三軒茶屋－夜勤")+COUNTIF('6月'!AM20:AN20,"三軒茶屋－夜勤")+COUNTIF('6月'!AR20:AS20,"三軒茶屋－夜勤")+COUNTIF('6月'!AW20:AX20,"三軒茶屋－夜勤")+COUNTIF('6月'!BB20:BC20,"三軒茶屋－夜勤")+COUNTIF('6月'!BG20:BH20,"三軒茶屋－夜勤")+COUNTIF('6月'!BL20:BM20,"三軒茶屋－夜勤")+COUNTIF('6月'!BQ20:BR20,"三軒茶屋－夜勤")+COUNTIF('6月'!BV20:BW20,"三軒茶屋－夜勤")+COUNTIF('6月'!CA20:CB20,"三軒茶屋－夜勤")+COUNTIF('6月'!CF20:CG20,"三軒茶屋－夜勤")+COUNTIF('6月'!CK20:CL20,"三軒茶屋－夜勤")+COUNTIF('6月'!CP20:CQ20,"三軒茶屋－夜勤")+COUNTIF('6月'!CU20:CV20,"三軒茶屋－夜勤")+COUNTIF('6月'!CZ20:DA20,"三軒茶屋－夜勤")+COUNTIF('6月'!DE20:DF20,"三軒茶屋－夜勤")+COUNTIF('6月'!DJ20:DK20,"三軒茶屋－夜勤")+COUNTIF('6月'!DO20:DP20,"三軒茶屋－夜勤")+COUNTIF('6月'!DT20:DU20,"三軒茶屋－夜勤")+COUNTIF('6月'!DY20:DZ20,"三軒茶屋－夜勤")+COUNTIF('6月'!ED20:EE20,"三軒茶屋－夜勤")+COUNTIF('6月'!EI20:EJ20,"三軒茶屋－夜勤")+COUNTIF('6月'!EN20:EO20,"三軒茶屋－夜勤")+COUNTIF('6月'!ES20:ET20,"三軒茶屋－夜勤")</f>
        <v>0</v>
      </c>
      <c r="O207" s="76">
        <f t="shared" si="66"/>
        <v>0</v>
      </c>
      <c r="P207" s="76">
        <f>COUNTIF('6月'!D20:E20,P$189)+COUNTIF('6月'!I20:J20,P$189)+COUNTIF('6月'!N20:O20,P$189)+COUNTIF('6月'!S20:T20,P$189)+COUNTIF('6月'!X20:Y20,P$189)+COUNTIF('6月'!AC20:AD20,P$189)+COUNTIF('6月'!AH20:AI20,P$189)+COUNTIF('6月'!AM20:AN20,P$189)+COUNTIF('6月'!AR20:AS20,P$189)+COUNTIF('6月'!AW20:AX20,P$189)+COUNTIF('6月'!BB20:BC20,P$189)+COUNTIF('6月'!BG20:BH20,P$189)+COUNTIF('6月'!BL20:BM20,P$189)+COUNTIF('6月'!BQ20:BR20,P$189)+COUNTIF('6月'!BV20:BW20,P$189)+COUNTIF('6月'!CA20:CB20,P$189)+COUNTIF('6月'!CF20:CG20,P$189)+COUNTIF('6月'!CK20:CL20,P$189)+COUNTIF('6月'!CP20:CQ20,P$189)+COUNTIF('6月'!CU20:CV20,P$189)+COUNTIF('6月'!CZ20:DA20,P$189)+COUNTIF('6月'!DE20:DF20,P$189)+COUNTIF('6月'!DJ20:DK20,P$189)+COUNTIF('6月'!DO20:DP20,P$189)+COUNTIF('6月'!DT20:DU20,P$189)+COUNTIF('6月'!DY20:DZ20,P$189)+COUNTIF('6月'!ED20:EE20,P$189)+COUNTIF('6月'!EI20:EJ20,P$189)+COUNTIF('6月'!EN20:EO20,P$189)+COUNTIF('6月'!ES20:ET20,P$189)+COUNTIF('6月'!D20:E20,"荻窪ー夜勤")+COUNTIF('6月'!I20:J20,"荻窪ー夜勤")+COUNTIF('6月'!N20:O20,"荻窪ー夜勤")+COUNTIF('6月'!S20:T20,"荻窪ー夜勤")+COUNTIF('6月'!X20:Y20,"荻窪ー夜勤")+COUNTIF('6月'!AC20:AD20,"荻窪ー夜勤")+COUNTIF('6月'!AH20:AI20,"荻窪ー夜勤")+COUNTIF('6月'!AM20:AN20,"荻窪ー夜勤")+COUNTIF('6月'!AR20:AS20,"荻窪ー夜勤")+COUNTIF('6月'!AW20:AX20,"荻窪ー夜勤")+COUNTIF('6月'!BB20:BC20,"荻窪ー夜勤")+COUNTIF('6月'!BG20:BH20,"荻窪ー夜勤")+COUNTIF('6月'!BL20:BM20,"荻窪ー夜勤")+COUNTIF('6月'!BQ20:BR20,"荻窪ー夜勤")+COUNTIF('6月'!BV20:BW20,"荻窪ー夜勤")+COUNTIF('6月'!CA20:CB20,"荻窪ー夜勤")+COUNTIF('6月'!CF20:CG20,"荻窪ー夜勤")+COUNTIF('6月'!CK20:CL20,"荻窪ー夜勤")+COUNTIF('6月'!CP20:CQ20,"荻窪ー夜勤")+COUNTIF('6月'!CU20:CV20,"荻窪ー夜勤")+COUNTIF('6月'!CZ20:DA20,"荻窪ー夜勤")+COUNTIF('6月'!DE20:DF20,"荻窪ー夜勤")+COUNTIF('6月'!DJ20:DK20,"荻窪ー夜勤")+COUNTIF('6月'!DO20:DP20,"荻窪ー夜勤")+COUNTIF('6月'!DT20:DU20,"荻窪ー夜勤")+COUNTIF('6月'!DY20:DZ20,"荻窪ー夜勤")+COUNTIF('6月'!ED20:EE20,"荻窪ー夜勤")+COUNTIF('6月'!EI20:EJ20,"荻窪ー夜勤")+COUNTIF('6月'!EN20:EO20,"荻窪ー夜勤")+COUNTIF('6月'!ES20:ET20,"荻窪ー夜勤")</f>
        <v>0</v>
      </c>
      <c r="Q207" s="76">
        <f t="shared" si="67"/>
        <v>0</v>
      </c>
      <c r="R207" s="76">
        <f>COUNTIF('6月'!D20:E20,R$189)+COUNTIF('6月'!I20:J20,R$189)+COUNTIF('6月'!N20:O20,R$189)+COUNTIF('6月'!S20:T20,R$189)+COUNTIF('6月'!X20:Y20,R$189)+COUNTIF('6月'!AC20:AD20,R$189)+COUNTIF('6月'!AH20:AI20,R$189)+COUNTIF('6月'!AM20:AN20,R$189)+COUNTIF('6月'!AR20:AS20,R$189)+COUNTIF('6月'!AW20:AX20,R$189)+COUNTIF('6月'!BB20:BC20,R$189)+COUNTIF('6月'!BG20:BH20,R$189)+COUNTIF('6月'!BL20:BM20,R$189)+COUNTIF('6月'!BQ20:BR20,R$189)+COUNTIF('6月'!BV20:BW20,R$189)+COUNTIF('6月'!CA20:CB20,R$189)+COUNTIF('6月'!CF20:CG20,R$189)+COUNTIF('6月'!CK20:CL20,R$189)+COUNTIF('6月'!CP20:CQ20,R$189)+COUNTIF('6月'!CU20:CV20,R$189)+COUNTIF('6月'!CZ20:DA20,R$189)+COUNTIF('6月'!DE20:DF20,R$189)+COUNTIF('6月'!DJ20:DK20,R$189)+COUNTIF('6月'!DO20:DP20,R$189)+COUNTIF('6月'!DT20:DU20,R$189)+COUNTIF('6月'!DY20:DZ20,R$189)+COUNTIF('6月'!ED20:EE20,R$189)+COUNTIF('6月'!EI20:EJ20,R$189)+COUNTIF('6月'!EN20:EO20,R$189)+COUNTIF('6月'!ES20:ET20,R$189)</f>
        <v>0</v>
      </c>
      <c r="S207" s="76">
        <f t="shared" si="68"/>
        <v>0</v>
      </c>
      <c r="T207" s="76">
        <f>COUNTIF('6月'!D20:E20,T$189)+COUNTIF('6月'!I20:J20,T$189)+COUNTIF('6月'!N20:O20,T$189)+COUNTIF('6月'!S20:T20,T$189)+COUNTIF('6月'!X20:Y20,T$189)+COUNTIF('6月'!AC20:AD20,T$189)+COUNTIF('6月'!AH20:AI20,T$189)+COUNTIF('6月'!AM20:AN20,T$189)+COUNTIF('6月'!AR20:AS20,T$189)+COUNTIF('6月'!AW20:AX20,T$189)+COUNTIF('6月'!BB20:BC20,T$189)+COUNTIF('6月'!BG20:BH20,T$189)+COUNTIF('6月'!BL20:BM20,T$189)+COUNTIF('6月'!BQ20:BR20,T$189)+COUNTIF('6月'!BV20:BW20,T$189)+COUNTIF('6月'!CA20:CB20,T$189)+COUNTIF('6月'!CF20:CG20,T$189)+COUNTIF('6月'!CK20:CL20,T$189)+COUNTIF('6月'!CP20:CQ20,T$189)+COUNTIF('6月'!CU20:CV20,T$189)+COUNTIF('6月'!CZ20:DA20,T$189)+COUNTIF('6月'!DE20:DF20,T$189)+COUNTIF('6月'!DJ20:DK20,T$189)+COUNTIF('6月'!DO20:DP20,T$189)+COUNTIF('6月'!DT20:DU20,T$189)+COUNTIF('6月'!DY20:DZ20,T$189)+COUNTIF('6月'!ED20:EE20,T$189)+COUNTIF('6月'!EI20:EJ20,T$189)+COUNTIF('6月'!EN20:EO20,T$189)+COUNTIF('6月'!ES20:ET20,T$189)</f>
        <v>0</v>
      </c>
      <c r="U207" s="76">
        <f t="shared" si="69"/>
        <v>0</v>
      </c>
      <c r="V207" s="76">
        <f>COUNTIF('6月'!D20:E20,V$189)+COUNTIF('6月'!I20:J20,V$189)+COUNTIF('6月'!N20:O20,V$189)+COUNTIF('6月'!S20:T20,V$189)+COUNTIF('6月'!X20:Y20,V$189)+COUNTIF('6月'!AC20:AD20,V$189)+COUNTIF('6月'!AH20:AI20,V$189)+COUNTIF('6月'!AM20:AN20,V$189)+COUNTIF('6月'!AR20:AS20,V$189)+COUNTIF('6月'!AW20:AX20,V$189)+COUNTIF('6月'!BB20:BC20,V$189)+COUNTIF('6月'!BG20:BH20,V$189)+COUNTIF('6月'!BL20:BM20,V$189)+COUNTIF('6月'!BQ20:BR20,V$189)+COUNTIF('6月'!BV20:BW20,V$189)+COUNTIF('6月'!CA20:CB20,V$189)+COUNTIF('6月'!CF20:CG20,V$189)+COUNTIF('6月'!CK20:CL20,V$189)+COUNTIF('6月'!CP20:CQ20,V$189)+COUNTIF('6月'!CU20:CV20,V$189)+COUNTIF('6月'!CZ20:DA20,V$189)+COUNTIF('6月'!DE20:DF20,V$189)+COUNTIF('6月'!DJ20:DK20,V$189)+COUNTIF('6月'!DO20:DP20,V$189)+COUNTIF('6月'!DT20:DU20,V$189)+COUNTIF('6月'!DY20:DZ20,V$189)+COUNTIF('6月'!ED20:EE20,V$189)+COUNTIF('6月'!EI20:EJ20,V$189)+COUNTIF('6月'!EN20:EO20,V$189)+COUNTIF('6月'!ES20:ET20,V$189)</f>
        <v>0</v>
      </c>
      <c r="W207" s="76">
        <f t="shared" si="70"/>
        <v>0</v>
      </c>
      <c r="X207" s="76">
        <f>COUNTIF('6月'!D20:E20,X$189)+COUNTIF('6月'!I20:J20,X$189)+COUNTIF('6月'!N20:O20,X$189)+COUNTIF('6月'!S20:T20,X$189)+COUNTIF('6月'!X20:Y20,X$189)+COUNTIF('6月'!AC20:AD20,X$189)+COUNTIF('6月'!AH20:AI20,X$189)+COUNTIF('6月'!AM20:AN20,X$189)+COUNTIF('6月'!AR20:AS20,X$189)+COUNTIF('6月'!AW20:AX20,X$189)+COUNTIF('6月'!BB20:BC20,X$189)+COUNTIF('6月'!BG20:BH20,X$189)+COUNTIF('6月'!BL20:BM20,X$189)+COUNTIF('6月'!BQ20:BR20,X$189)+COUNTIF('6月'!BV20:BW20,X$189)+COUNTIF('6月'!CA20:CB20,X$189)+COUNTIF('6月'!CF20:CG20,X$189)+COUNTIF('6月'!CK20:CL20,X$189)+COUNTIF('6月'!CP20:CQ20,X$189)+COUNTIF('6月'!CU20:CV20,X$189)+COUNTIF('6月'!CZ20:DA20,X$189)+COUNTIF('6月'!DE20:DF20,X$189)+COUNTIF('6月'!DJ20:DK20,X$189)+COUNTIF('6月'!DO20:DP20,X$189)+COUNTIF('6月'!DT20:DU20,X$189)+COUNTIF('6月'!DY20:DZ20,X$189)+COUNTIF('6月'!ED20:EE20,X$189)+COUNTIF('6月'!EI20:EJ20,X$189)+COUNTIF('6月'!EN20:EO20,X$189)+COUNTIF('6月'!ES20:ET20,X$189)</f>
        <v>0</v>
      </c>
      <c r="Y207" s="76">
        <f t="shared" si="71"/>
        <v>0</v>
      </c>
    </row>
    <row r="208" spans="1:25" ht="18" customHeight="1">
      <c r="A208" s="76">
        <v>18</v>
      </c>
      <c r="B208" s="76">
        <f>COUNTIF('6月'!D21:E21,B$189)+COUNTIF('6月'!I21:J21,B$189)+COUNTIF('6月'!N21:O21,B$189)+COUNTIF('6月'!S21:T21,B$189)+COUNTIF('6月'!X21:Y21,B$189)+COUNTIF('6月'!AC21:AD21,B$189)+COUNTIF('6月'!AH21:AI21,B$189)+COUNTIF('6月'!AM21:AN21,B$189)+COUNTIF('6月'!AR21:AS21,B$189)+COUNTIF('6月'!AW21:AX21,B$189)+COUNTIF('6月'!BB21:BC21,B$189)+COUNTIF('6月'!BG21:BH21,B$189)+COUNTIF('6月'!BL21:BM21,B$189)+COUNTIF('6月'!BQ21:BR21,B$189)+COUNTIF('6月'!BV21:BW21,B$189)+COUNTIF('6月'!CA21:CB21,B$189)+COUNTIF('6月'!CF21:CG21,B$189)+COUNTIF('6月'!CK21:CL21,B$189)+COUNTIF('6月'!CP21:CQ21,B$189)+COUNTIF('6月'!CU21:CV21,B$189)+COUNTIF('6月'!CZ21:DA21,B$189)+COUNTIF('6月'!DE21:DF21,B$189)+COUNTIF('6月'!DJ21:DK21,B$189)+COUNTIF('6月'!DO21:DP21,B$189)+COUNTIF('6月'!DT21:DU21,B$189)+COUNTIF('6月'!DY21:DZ21,B$189)+COUNTIF('6月'!ED21:EE21,B$189)+COUNTIF('6月'!EI21:EJ21,B$189)+COUNTIF('6月'!EN21:EO21,B$189)+COUNTIF('6月'!ES21:ET21,B$189)</f>
        <v>0</v>
      </c>
      <c r="C208" s="76">
        <f t="shared" si="60"/>
        <v>0</v>
      </c>
      <c r="D208" s="76">
        <f>COUNTIF('6月'!D21:E21,D$189)+COUNTIF('6月'!I21:J21,D$189)+COUNTIF('6月'!N21:O21,D$189)+COUNTIF('6月'!S21:T21,D$189)+COUNTIF('6月'!X21:Y21,D$189)+COUNTIF('6月'!AC21:AD21,D$189)+COUNTIF('6月'!AH21:AI21,D$189)+COUNTIF('6月'!AM21:AN21,D$189)+COUNTIF('6月'!AR21:AS21,D$189)+COUNTIF('6月'!AW21:AX21,D$189)+COUNTIF('6月'!BB21:BC21,D$189)+COUNTIF('6月'!BG21:BH21,D$189)+COUNTIF('6月'!BL21:BM21,D$189)+COUNTIF('6月'!BQ21:BR21,D$189)+COUNTIF('6月'!BV21:BW21,D$189)+COUNTIF('6月'!CA21:CB21,D$189)+COUNTIF('6月'!CF21:CG21,D$189)+COUNTIF('6月'!CK21:CL21,D$189)+COUNTIF('6月'!CP21:CQ21,D$189)+COUNTIF('6月'!CU21:CV21,D$189)+COUNTIF('6月'!CZ21:DA21,D$189)+COUNTIF('6月'!DE21:DF21,D$189)+COUNTIF('6月'!DJ21:DK21,D$189)+COUNTIF('6月'!DO21:DP21,D$189)+COUNTIF('6月'!DT21:DU21,D$189)+COUNTIF('6月'!DY21:DZ21,D$189)+COUNTIF('6月'!ED21:EE21,D$189)+COUNTIF('6月'!EI21:EJ21,D$189)+COUNTIF('6月'!EN21:EO21,D$189)+COUNTIF('6月'!ES21:ET21,D$189)</f>
        <v>0</v>
      </c>
      <c r="E208" s="76">
        <f t="shared" si="61"/>
        <v>0</v>
      </c>
      <c r="F208" s="76">
        <f>COUNTIF('6月'!D21:E21,F$189)+COUNTIF('6月'!I21:J21,F$189)+COUNTIF('6月'!N21:O21,F$189)+COUNTIF('6月'!S21:T21,F$189)+COUNTIF('6月'!X21:Y21,F$189)+COUNTIF('6月'!AC21:AD21,F$189)+COUNTIF('6月'!AH21:AI21,F$189)+COUNTIF('6月'!AM21:AN21,F$189)+COUNTIF('6月'!AR21:AS21,F$189)+COUNTIF('6月'!AW21:AX21,F$189)+COUNTIF('6月'!BB21:BC21,F$189)+COUNTIF('6月'!BG21:BH21,F$189)+COUNTIF('6月'!BL21:BM21,F$189)+COUNTIF('6月'!BQ21:BR21,F$189)+COUNTIF('6月'!BV21:BW21,F$189)+COUNTIF('6月'!CA21:CB21,F$189)+COUNTIF('6月'!CF21:CG21,F$189)+COUNTIF('6月'!CK21:CL21,F$189)+COUNTIF('6月'!CP21:CQ21,F$189)+COUNTIF('6月'!CU21:CV21,F$189)+COUNTIF('6月'!CZ21:DA21,F$189)+COUNTIF('6月'!DE21:DF21,F$189)+COUNTIF('6月'!DJ21:DK21,F$189)+COUNTIF('6月'!DO21:DP21,F$189)+COUNTIF('6月'!DT21:DU21,F$189)+COUNTIF('6月'!DY21:DZ21,F$189)+COUNTIF('6月'!ED21:EE21,F$189)+COUNTIF('6月'!EI21:EJ21,F$189)+COUNTIF('6月'!EN21:EO21,F$189)+COUNTIF('6月'!ES21:ET21,F$189)</f>
        <v>0</v>
      </c>
      <c r="G208" s="76">
        <f t="shared" si="62"/>
        <v>0</v>
      </c>
      <c r="H208" s="76">
        <f>COUNTIF('6月'!D21:E21,H$189)+COUNTIF('6月'!I21:J21,H$189)+COUNTIF('6月'!N21:O21,H$189)+COUNTIF('6月'!S21:T21,H$189)+COUNTIF('6月'!X21:Y21,H$189)+COUNTIF('6月'!AC21:AD21,H$189)+COUNTIF('6月'!AH21:AI21,H$189)+COUNTIF('6月'!AM21:AN21,H$189)+COUNTIF('6月'!AR21:AS21,H$189)+COUNTIF('6月'!AW21:AX21,H$189)+COUNTIF('6月'!BB21:BC21,H$189)+COUNTIF('6月'!BG21:BH21,H$189)+COUNTIF('6月'!BL21:BM21,H$189)+COUNTIF('6月'!BQ21:BR21,H$189)+COUNTIF('6月'!BV21:BW21,H$189)+COUNTIF('6月'!CA21:CB21,H$189)+COUNTIF('6月'!CF21:CG21,H$189)+COUNTIF('6月'!CK21:CL21,H$189)+COUNTIF('6月'!CP21:CQ21,H$189)+COUNTIF('6月'!CU21:CV21,H$189)+COUNTIF('6月'!CZ21:DA21,H$189)+COUNTIF('6月'!DE21:DF21,H$189)+COUNTIF('6月'!DJ21:DK21,H$189)+COUNTIF('6月'!DO21:DP21,H$189)+COUNTIF('6月'!DT21:DU21,H$189)+COUNTIF('6月'!DY21:DZ21,H$189)+COUNTIF('6月'!ED21:EE21,H$189)+COUNTIF('6月'!EI21:EJ21,H$189)+COUNTIF('6月'!EN21:EO21,H$189)+COUNTIF('6月'!ES21:ET21,H$189)+COUNTIF('6月'!D21:E21,"渋谷-夜勤")+COUNTIF('6月'!I21:J21,"渋谷-夜勤")+COUNTIF('6月'!N21:O21,"渋谷-夜勤")+COUNTIF('6月'!S21:T21,"渋谷-夜勤")+COUNTIF('6月'!X21:Y21,"渋谷-夜勤")+COUNTIF('6月'!AC21:AD21,"渋谷-夜勤")+COUNTIF('6月'!AH21:AI21,"渋谷-夜勤")+COUNTIF('6月'!AM21:AN21,"渋谷-夜勤")+COUNTIF('6月'!AR21:AS21,"渋谷-夜勤")+COUNTIF('6月'!AW21:AX21,"渋谷-夜勤")+COUNTIF('6月'!BB21:BC21,"渋谷-夜勤")+COUNTIF('6月'!BG21:BH21,"渋谷-夜勤")+COUNTIF('6月'!BL21:BM21,"渋谷-夜勤")+COUNTIF('6月'!BQ21:BR21,"渋谷-夜勤")+COUNTIF('6月'!BV21:BW21,"渋谷-夜勤")+COUNTIF('6月'!CA21:CB21,"渋谷-夜勤")+COUNTIF('6月'!CF21:CG21,"渋谷-夜勤")+COUNTIF('6月'!CK21:CL21,"渋谷-夜勤")+COUNTIF('6月'!CP21:CQ21,"渋谷-夜勤")+COUNTIF('6月'!CU21:CV21,"渋谷-夜勤")+COUNTIF('6月'!CZ21:DA21,"渋谷-夜勤")+COUNTIF('6月'!DE21:DF21,"渋谷-夜勤")+COUNTIF('6月'!DJ21:DK21,"渋谷-夜勤")+COUNTIF('6月'!DO21:DP21,"渋谷-夜勤")+COUNTIF('6月'!DT21:DU21,"渋谷-夜勤")+COUNTIF('6月'!DY21:DZ21,"渋谷-夜勤")+COUNTIF('6月'!ED21:EE21,"渋谷-夜勤")+COUNTIF('6月'!EI21:EJ21,"渋谷-夜勤")+COUNTIF('6月'!EN21:EO21,"渋谷-夜勤")+COUNTIF('6月'!ES21:ET21,"渋谷-夜勤")</f>
        <v>0</v>
      </c>
      <c r="I208" s="76">
        <f t="shared" si="63"/>
        <v>0</v>
      </c>
      <c r="J208" s="76">
        <f>COUNTIF('6月'!D21:E21,J$189)+COUNTIF('6月'!I21:J21,J$189)+COUNTIF('6月'!N21:O21,J$189)+COUNTIF('6月'!S21:T21,J$189)+COUNTIF('6月'!X21:Y21,J$189)+COUNTIF('6月'!AC21:AD21,J$189)+COUNTIF('6月'!AH21:AI21,J$189)+COUNTIF('6月'!AM21:AN21,J$189)+COUNTIF('6月'!AR21:AS21,J$189)+COUNTIF('6月'!AW21:AX21,J$189)+COUNTIF('6月'!BB21:BC21,J$189)+COUNTIF('6月'!BG21:BH21,J$189)+COUNTIF('6月'!BL21:BM21,J$189)+COUNTIF('6月'!BQ21:BR21,J$189)+COUNTIF('6月'!BV21:BW21,J$189)+COUNTIF('6月'!CA21:CB21,J$189)+COUNTIF('6月'!CF21:CG21,J$189)+COUNTIF('6月'!CK21:CL21,J$189)+COUNTIF('6月'!CP21:CQ21,J$189)+COUNTIF('6月'!CU21:CV21,J$189)+COUNTIF('6月'!CZ21:DA21,J$189)+COUNTIF('6月'!DE21:DF21,J$189)+COUNTIF('6月'!DJ21:DK21,J$189)+COUNTIF('6月'!DO21:DP21,J$189)+COUNTIF('6月'!DT21:DU21,J$189)+COUNTIF('6月'!DY21:DZ21,J$189)+COUNTIF('6月'!ED21:EE21,J$189)+COUNTIF('6月'!EI21:EJ21,J$189)+COUNTIF('6月'!EN21:EO21,J$189)+COUNTIF('6月'!ES21:ET21,J$189)+COUNTIF('6月'!D21:E21,"六本木-夜勤")+COUNTIF('6月'!I21:J21,"六本木-夜勤")+COUNTIF('6月'!N21:O21,"六本木-夜勤")+COUNTIF('6月'!S21:T21,"六本木-夜勤")+COUNTIF('6月'!X21:Y21,"六本木-夜勤")+COUNTIF('6月'!AC21:AD21,"六本木-夜勤")+COUNTIF('6月'!AH21:AI21,"六本木-夜勤")+COUNTIF('6月'!AM21:AN21,"六本木-夜勤")+COUNTIF('6月'!AR21:AS21,"六本木-夜勤")+COUNTIF('6月'!AW21:AX21,"六本木-夜勤")+COUNTIF('6月'!BB21:BC21,"六本木-夜勤")+COUNTIF('6月'!BG21:BH21,"六本木-夜勤")+COUNTIF('6月'!BL21:BM21,"六本木-夜勤")+COUNTIF('6月'!BQ21:BR21,"六本木-夜勤")+COUNTIF('6月'!BV21:BW21,"六本木-夜勤")+COUNTIF('6月'!CA21:CB21,"六本木-夜勤")+COUNTIF('6月'!CF21:CG21,"六本木-夜勤")+COUNTIF('6月'!CK21:CL21,"六本木-夜勤")+COUNTIF('6月'!CP21:CQ21,"六本木-夜勤")+COUNTIF('6月'!CU21:CV21,"六本木-夜勤")+COUNTIF('6月'!CZ21:DA21,"六本木-夜勤")+COUNTIF('6月'!DE21:DF21,"六本木-夜勤")+COUNTIF('6月'!DJ21:DK21,"六本木-夜勤")+COUNTIF('6月'!DO21:DP21,"六本木-夜勤")+COUNTIF('6月'!DT21:DU21,"六本木-夜勤")+COUNTIF('6月'!DY21:DZ21,"六本木-夜勤")+COUNTIF('6月'!ED21:EE21,"六本木-夜勤")+COUNTIF('6月'!EI21:EJ21,"六本木-夜勤")+COUNTIF('6月'!EN21:EO21,"六本木-夜勤")+COUNTIF('6月'!ES21:ET21,"六本木-夜勤")+COUNTIF('6月'!D21:E21,"六本木ー夜勤")+COUNTIF('6月'!I21:J21,"六本木ー夜勤")+COUNTIF('6月'!N21:O21,"六本木ー夜勤")+COUNTIF('6月'!S21:T21,"六本木ー夜勤")+COUNTIF('6月'!X21:Y21,"六本木ー夜勤")+COUNTIF('6月'!AC21:AD21,"六本木ー夜勤")+COUNTIF('6月'!AH21:AI21,"六本木ー夜勤")+COUNTIF('6月'!AM21:AN21,"六本木ー夜勤")+COUNTIF('6月'!AR21:AS21,"六本木ー夜勤")+COUNTIF('6月'!AW21:AX21,"六本木ー夜勤")+COUNTIF('6月'!BB21:BC21,"六本木ー夜勤")+COUNTIF('6月'!BG21:BH21,"六本木ー夜勤")+COUNTIF('6月'!BL21:BM21,"六本木ー夜勤")+COUNTIF('6月'!BQ21:BR21,"六本木ー夜勤")+COUNTIF('6月'!BV21:BW21,"六本木ー夜勤")+COUNTIF('6月'!CA21:CB21,"六本木ー夜勤")+COUNTIF('6月'!CF21:CG21,"六本木ー夜勤")+COUNTIF('6月'!CK21:CL21,"六本木ー夜勤")+COUNTIF('6月'!CP21:CQ21,"六本木ー夜勤")+COUNTIF('6月'!CU21:CV21,"六本木ー夜勤")+COUNTIF('6月'!CZ21:DA21,"六本木ー夜勤")+COUNTIF('6月'!DE21:DF21,"六本木ー夜勤")+COUNTIF('6月'!DJ21:DK21,"六本木ー夜勤")+COUNTIF('6月'!DO21:DP21,"六本木ー夜勤")+COUNTIF('6月'!DT21:DU21,"六本木ー夜勤")+COUNTIF('6月'!DY21:DZ21,"六本木ー夜勤")+COUNTIF('6月'!ED21:EE21,"六本木ー夜勤")+COUNTIF('6月'!EI21:EJ21,"六本木ー夜勤")+COUNTIF('6月'!EN21:EO21,"六本木ー夜勤")+COUNTIF('6月'!ES21:ET21,"六本木ー夜勤")</f>
        <v>0</v>
      </c>
      <c r="K208" s="76">
        <f t="shared" si="64"/>
        <v>0</v>
      </c>
      <c r="L208" s="76">
        <f>COUNTIF('6月'!D21:E21,L$189)+COUNTIF('6月'!I21:J21,L$189)+COUNTIF('6月'!N21:O21,L$189)+COUNTIF('6月'!S21:T21,L$189)+COUNTIF('6月'!X21:Y21,L$189)+COUNTIF('6月'!AC21:AD21,L$189)+COUNTIF('6月'!AH21:AI21,L$189)+COUNTIF('6月'!AM21:AN21,L$189)+COUNTIF('6月'!AR21:AS21,L$189)+COUNTIF('6月'!AW21:AX21,L$189)+COUNTIF('6月'!BB21:BC21,L$189)+COUNTIF('6月'!BG21:BH21,L$189)+COUNTIF('6月'!BL21:BM21,L$189)+COUNTIF('6月'!BQ21:BR21,L$189)+COUNTIF('6月'!BV21:BW21,L$189)+COUNTIF('6月'!CA21:CB21,L$189)+COUNTIF('6月'!CF21:CG21,L$189)+COUNTIF('6月'!CK21:CL21,L$189)+COUNTIF('6月'!CP21:CQ21,L$189)+COUNTIF('6月'!CU21:CV21,L$189)+COUNTIF('6月'!CZ21:DA21,L$189)+COUNTIF('6月'!DE21:DF21,L$189)+COUNTIF('6月'!DJ21:DK21,L$189)+COUNTIF('6月'!DO21:DP21,L$189)+COUNTIF('6月'!DT21:DU21,L$189)+COUNTIF('6月'!DY21:DZ21,L$189)+COUNTIF('6月'!ED21:EE21,L$189)+COUNTIF('6月'!EI21:EJ21,L$189)+COUNTIF('6月'!EN21:EO21,L$189)+COUNTIF('6月'!ES21:ET21,L$189)</f>
        <v>0</v>
      </c>
      <c r="M208" s="76">
        <f t="shared" si="65"/>
        <v>0</v>
      </c>
      <c r="N208" s="76">
        <f>COUNTIF('6月'!D21:E21,N$189)+COUNTIF('6月'!I21:J21,N$189)+COUNTIF('6月'!N21:O21,N$189)+COUNTIF('6月'!S21:T21,N$189)+COUNTIF('6月'!X21:Y21,N$189)+COUNTIF('6月'!AC21:AD21,N$189)+COUNTIF('6月'!AH21:AI21,N$189)+COUNTIF('6月'!AM21:AN21,N$189)+COUNTIF('6月'!AR21:AS21,N$189)+COUNTIF('6月'!AW21:AX21,N$189)+COUNTIF('6月'!BB21:BC21,N$189)+COUNTIF('6月'!BG21:BH21,N$189)+COUNTIF('6月'!BL21:BM21,N$189)+COUNTIF('6月'!BQ21:BR21,N$189)+COUNTIF('6月'!BV21:BW21,N$189)+COUNTIF('6月'!CA21:CB21,N$189)+COUNTIF('6月'!CF21:CG21,N$189)+COUNTIF('6月'!CK21:CL21,N$189)+COUNTIF('6月'!CP21:CQ21,N$189)+COUNTIF('6月'!CU21:CV21,N$189)+COUNTIF('6月'!CZ21:DA21,N$189)+COUNTIF('6月'!DE21:DF21,N$189)+COUNTIF('6月'!DJ21:DK21,N$189)+COUNTIF('6月'!DO21:DP21,N$189)+COUNTIF('6月'!DT21:DU21,N$189)+COUNTIF('6月'!DY21:DZ21,N$189)+COUNTIF('6月'!ED21:EE21,N$189)+COUNTIF('6月'!EI21:EJ21,N$189)+COUNTIF('6月'!EN21:EO21,N$189)+COUNTIF('6月'!ES21:ET21,N$189)+COUNTIF('6月'!D21:E21,"三軒茶屋－夜勤")+COUNTIF('6月'!I21:J21,"三軒茶屋－夜勤")+COUNTIF('6月'!N21:O21,"三軒茶屋－夜勤")+COUNTIF('6月'!S21:T21,"三軒茶屋－夜勤")+COUNTIF('6月'!X21:Y21,"三軒茶屋－夜勤")+COUNTIF('6月'!AC21:AD21,"三軒茶屋－夜勤")+COUNTIF('6月'!AH21:AI21,"三軒茶屋－夜勤")+COUNTIF('6月'!AM21:AN21,"三軒茶屋－夜勤")+COUNTIF('6月'!AR21:AS21,"三軒茶屋－夜勤")+COUNTIF('6月'!AW21:AX21,"三軒茶屋－夜勤")+COUNTIF('6月'!BB21:BC21,"三軒茶屋－夜勤")+COUNTIF('6月'!BG21:BH21,"三軒茶屋－夜勤")+COUNTIF('6月'!BL21:BM21,"三軒茶屋－夜勤")+COUNTIF('6月'!BQ21:BR21,"三軒茶屋－夜勤")+COUNTIF('6月'!BV21:BW21,"三軒茶屋－夜勤")+COUNTIF('6月'!CA21:CB21,"三軒茶屋－夜勤")+COUNTIF('6月'!CF21:CG21,"三軒茶屋－夜勤")+COUNTIF('6月'!CK21:CL21,"三軒茶屋－夜勤")+COUNTIF('6月'!CP21:CQ21,"三軒茶屋－夜勤")+COUNTIF('6月'!CU21:CV21,"三軒茶屋－夜勤")+COUNTIF('6月'!CZ21:DA21,"三軒茶屋－夜勤")+COUNTIF('6月'!DE21:DF21,"三軒茶屋－夜勤")+COUNTIF('6月'!DJ21:DK21,"三軒茶屋－夜勤")+COUNTIF('6月'!DO21:DP21,"三軒茶屋－夜勤")+COUNTIF('6月'!DT21:DU21,"三軒茶屋－夜勤")+COUNTIF('6月'!DY21:DZ21,"三軒茶屋－夜勤")+COUNTIF('6月'!ED21:EE21,"三軒茶屋－夜勤")+COUNTIF('6月'!EI21:EJ21,"三軒茶屋－夜勤")+COUNTIF('6月'!EN21:EO21,"三軒茶屋－夜勤")+COUNTIF('6月'!ES21:ET21,"三軒茶屋－夜勤")</f>
        <v>0</v>
      </c>
      <c r="O208" s="76">
        <f t="shared" si="66"/>
        <v>0</v>
      </c>
      <c r="P208" s="76">
        <f>COUNTIF('6月'!D21:E21,P$189)+COUNTIF('6月'!I21:J21,P$189)+COUNTIF('6月'!N21:O21,P$189)+COUNTIF('6月'!S21:T21,P$189)+COUNTIF('6月'!X21:Y21,P$189)+COUNTIF('6月'!AC21:AD21,P$189)+COUNTIF('6月'!AH21:AI21,P$189)+COUNTIF('6月'!AM21:AN21,P$189)+COUNTIF('6月'!AR21:AS21,P$189)+COUNTIF('6月'!AW21:AX21,P$189)+COUNTIF('6月'!BB21:BC21,P$189)+COUNTIF('6月'!BG21:BH21,P$189)+COUNTIF('6月'!BL21:BM21,P$189)+COUNTIF('6月'!BQ21:BR21,P$189)+COUNTIF('6月'!BV21:BW21,P$189)+COUNTIF('6月'!CA21:CB21,P$189)+COUNTIF('6月'!CF21:CG21,P$189)+COUNTIF('6月'!CK21:CL21,P$189)+COUNTIF('6月'!CP21:CQ21,P$189)+COUNTIF('6月'!CU21:CV21,P$189)+COUNTIF('6月'!CZ21:DA21,P$189)+COUNTIF('6月'!DE21:DF21,P$189)+COUNTIF('6月'!DJ21:DK21,P$189)+COUNTIF('6月'!DO21:DP21,P$189)+COUNTIF('6月'!DT21:DU21,P$189)+COUNTIF('6月'!DY21:DZ21,P$189)+COUNTIF('6月'!ED21:EE21,P$189)+COUNTIF('6月'!EI21:EJ21,P$189)+COUNTIF('6月'!EN21:EO21,P$189)+COUNTIF('6月'!ES21:ET21,P$189)+COUNTIF('6月'!D21:E21,"荻窪ー夜勤")+COUNTIF('6月'!I21:J21,"荻窪ー夜勤")+COUNTIF('6月'!N21:O21,"荻窪ー夜勤")+COUNTIF('6月'!S21:T21,"荻窪ー夜勤")+COUNTIF('6月'!X21:Y21,"荻窪ー夜勤")+COUNTIF('6月'!AC21:AD21,"荻窪ー夜勤")+COUNTIF('6月'!AH21:AI21,"荻窪ー夜勤")+COUNTIF('6月'!AM21:AN21,"荻窪ー夜勤")+COUNTIF('6月'!AR21:AS21,"荻窪ー夜勤")+COUNTIF('6月'!AW21:AX21,"荻窪ー夜勤")+COUNTIF('6月'!BB21:BC21,"荻窪ー夜勤")+COUNTIF('6月'!BG21:BH21,"荻窪ー夜勤")+COUNTIF('6月'!BL21:BM21,"荻窪ー夜勤")+COUNTIF('6月'!BQ21:BR21,"荻窪ー夜勤")+COUNTIF('6月'!BV21:BW21,"荻窪ー夜勤")+COUNTIF('6月'!CA21:CB21,"荻窪ー夜勤")+COUNTIF('6月'!CF21:CG21,"荻窪ー夜勤")+COUNTIF('6月'!CK21:CL21,"荻窪ー夜勤")+COUNTIF('6月'!CP21:CQ21,"荻窪ー夜勤")+COUNTIF('6月'!CU21:CV21,"荻窪ー夜勤")+COUNTIF('6月'!CZ21:DA21,"荻窪ー夜勤")+COUNTIF('6月'!DE21:DF21,"荻窪ー夜勤")+COUNTIF('6月'!DJ21:DK21,"荻窪ー夜勤")+COUNTIF('6月'!DO21:DP21,"荻窪ー夜勤")+COUNTIF('6月'!DT21:DU21,"荻窪ー夜勤")+COUNTIF('6月'!DY21:DZ21,"荻窪ー夜勤")+COUNTIF('6月'!ED21:EE21,"荻窪ー夜勤")+COUNTIF('6月'!EI21:EJ21,"荻窪ー夜勤")+COUNTIF('6月'!EN21:EO21,"荻窪ー夜勤")+COUNTIF('6月'!ES21:ET21,"荻窪ー夜勤")</f>
        <v>0</v>
      </c>
      <c r="Q208" s="76">
        <f t="shared" si="67"/>
        <v>0</v>
      </c>
      <c r="R208" s="76">
        <f>COUNTIF('6月'!D21:E21,R$189)+COUNTIF('6月'!I21:J21,R$189)+COUNTIF('6月'!N21:O21,R$189)+COUNTIF('6月'!S21:T21,R$189)+COUNTIF('6月'!X21:Y21,R$189)+COUNTIF('6月'!AC21:AD21,R$189)+COUNTIF('6月'!AH21:AI21,R$189)+COUNTIF('6月'!AM21:AN21,R$189)+COUNTIF('6月'!AR21:AS21,R$189)+COUNTIF('6月'!AW21:AX21,R$189)+COUNTIF('6月'!BB21:BC21,R$189)+COUNTIF('6月'!BG21:BH21,R$189)+COUNTIF('6月'!BL21:BM21,R$189)+COUNTIF('6月'!BQ21:BR21,R$189)+COUNTIF('6月'!BV21:BW21,R$189)+COUNTIF('6月'!CA21:CB21,R$189)+COUNTIF('6月'!CF21:CG21,R$189)+COUNTIF('6月'!CK21:CL21,R$189)+COUNTIF('6月'!CP21:CQ21,R$189)+COUNTIF('6月'!CU21:CV21,R$189)+COUNTIF('6月'!CZ21:DA21,R$189)+COUNTIF('6月'!DE21:DF21,R$189)+COUNTIF('6月'!DJ21:DK21,R$189)+COUNTIF('6月'!DO21:DP21,R$189)+COUNTIF('6月'!DT21:DU21,R$189)+COUNTIF('6月'!DY21:DZ21,R$189)+COUNTIF('6月'!ED21:EE21,R$189)+COUNTIF('6月'!EI21:EJ21,R$189)+COUNTIF('6月'!EN21:EO21,R$189)+COUNTIF('6月'!ES21:ET21,R$189)</f>
        <v>0</v>
      </c>
      <c r="S208" s="76">
        <f t="shared" si="68"/>
        <v>0</v>
      </c>
      <c r="T208" s="76">
        <f>COUNTIF('6月'!D21:E21,T$189)+COUNTIF('6月'!I21:J21,T$189)+COUNTIF('6月'!N21:O21,T$189)+COUNTIF('6月'!S21:T21,T$189)+COUNTIF('6月'!X21:Y21,T$189)+COUNTIF('6月'!AC21:AD21,T$189)+COUNTIF('6月'!AH21:AI21,T$189)+COUNTIF('6月'!AM21:AN21,T$189)+COUNTIF('6月'!AR21:AS21,T$189)+COUNTIF('6月'!AW21:AX21,T$189)+COUNTIF('6月'!BB21:BC21,T$189)+COUNTIF('6月'!BG21:BH21,T$189)+COUNTIF('6月'!BL21:BM21,T$189)+COUNTIF('6月'!BQ21:BR21,T$189)+COUNTIF('6月'!BV21:BW21,T$189)+COUNTIF('6月'!CA21:CB21,T$189)+COUNTIF('6月'!CF21:CG21,T$189)+COUNTIF('6月'!CK21:CL21,T$189)+COUNTIF('6月'!CP21:CQ21,T$189)+COUNTIF('6月'!CU21:CV21,T$189)+COUNTIF('6月'!CZ21:DA21,T$189)+COUNTIF('6月'!DE21:DF21,T$189)+COUNTIF('6月'!DJ21:DK21,T$189)+COUNTIF('6月'!DO21:DP21,T$189)+COUNTIF('6月'!DT21:DU21,T$189)+COUNTIF('6月'!DY21:DZ21,T$189)+COUNTIF('6月'!ED21:EE21,T$189)+COUNTIF('6月'!EI21:EJ21,T$189)+COUNTIF('6月'!EN21:EO21,T$189)+COUNTIF('6月'!ES21:ET21,T$189)</f>
        <v>0</v>
      </c>
      <c r="U208" s="76">
        <f t="shared" si="69"/>
        <v>0</v>
      </c>
      <c r="V208" s="76">
        <f>COUNTIF('6月'!D21:E21,V$189)+COUNTIF('6月'!I21:J21,V$189)+COUNTIF('6月'!N21:O21,V$189)+COUNTIF('6月'!S21:T21,V$189)+COUNTIF('6月'!X21:Y21,V$189)+COUNTIF('6月'!AC21:AD21,V$189)+COUNTIF('6月'!AH21:AI21,V$189)+COUNTIF('6月'!AM21:AN21,V$189)+COUNTIF('6月'!AR21:AS21,V$189)+COUNTIF('6月'!AW21:AX21,V$189)+COUNTIF('6月'!BB21:BC21,V$189)+COUNTIF('6月'!BG21:BH21,V$189)+COUNTIF('6月'!BL21:BM21,V$189)+COUNTIF('6月'!BQ21:BR21,V$189)+COUNTIF('6月'!BV21:BW21,V$189)+COUNTIF('6月'!CA21:CB21,V$189)+COUNTIF('6月'!CF21:CG21,V$189)+COUNTIF('6月'!CK21:CL21,V$189)+COUNTIF('6月'!CP21:CQ21,V$189)+COUNTIF('6月'!CU21:CV21,V$189)+COUNTIF('6月'!CZ21:DA21,V$189)+COUNTIF('6月'!DE21:DF21,V$189)+COUNTIF('6月'!DJ21:DK21,V$189)+COUNTIF('6月'!DO21:DP21,V$189)+COUNTIF('6月'!DT21:DU21,V$189)+COUNTIF('6月'!DY21:DZ21,V$189)+COUNTIF('6月'!ED21:EE21,V$189)+COUNTIF('6月'!EI21:EJ21,V$189)+COUNTIF('6月'!EN21:EO21,V$189)+COUNTIF('6月'!ES21:ET21,V$189)</f>
        <v>0</v>
      </c>
      <c r="W208" s="76">
        <f t="shared" si="70"/>
        <v>0</v>
      </c>
      <c r="X208" s="76">
        <f>COUNTIF('6月'!D21:E21,X$189)+COUNTIF('6月'!I21:J21,X$189)+COUNTIF('6月'!N21:O21,X$189)+COUNTIF('6月'!S21:T21,X$189)+COUNTIF('6月'!X21:Y21,X$189)+COUNTIF('6月'!AC21:AD21,X$189)+COUNTIF('6月'!AH21:AI21,X$189)+COUNTIF('6月'!AM21:AN21,X$189)+COUNTIF('6月'!AR21:AS21,X$189)+COUNTIF('6月'!AW21:AX21,X$189)+COUNTIF('6月'!BB21:BC21,X$189)+COUNTIF('6月'!BG21:BH21,X$189)+COUNTIF('6月'!BL21:BM21,X$189)+COUNTIF('6月'!BQ21:BR21,X$189)+COUNTIF('6月'!BV21:BW21,X$189)+COUNTIF('6月'!CA21:CB21,X$189)+COUNTIF('6月'!CF21:CG21,X$189)+COUNTIF('6月'!CK21:CL21,X$189)+COUNTIF('6月'!CP21:CQ21,X$189)+COUNTIF('6月'!CU21:CV21,X$189)+COUNTIF('6月'!CZ21:DA21,X$189)+COUNTIF('6月'!DE21:DF21,X$189)+COUNTIF('6月'!DJ21:DK21,X$189)+COUNTIF('6月'!DO21:DP21,X$189)+COUNTIF('6月'!DT21:DU21,X$189)+COUNTIF('6月'!DY21:DZ21,X$189)+COUNTIF('6月'!ED21:EE21,X$189)+COUNTIF('6月'!EI21:EJ21,X$189)+COUNTIF('6月'!EN21:EO21,X$189)+COUNTIF('6月'!ES21:ET21,X$189)</f>
        <v>0</v>
      </c>
      <c r="Y208" s="76">
        <f t="shared" si="71"/>
        <v>0</v>
      </c>
    </row>
    <row r="209" spans="1:25" ht="18" customHeight="1">
      <c r="A209" s="76">
        <v>19</v>
      </c>
      <c r="B209" s="76">
        <f>COUNTIF('6月'!D22:E22,B$189)+COUNTIF('6月'!I22:J22,B$189)+COUNTIF('6月'!N22:O22,B$189)+COUNTIF('6月'!S22:T22,B$189)+COUNTIF('6月'!X22:Y22,B$189)+COUNTIF('6月'!AC22:AD22,B$189)+COUNTIF('6月'!AH22:AI22,B$189)+COUNTIF('6月'!AM22:AN22,B$189)+COUNTIF('6月'!AR22:AS22,B$189)+COUNTIF('6月'!AW22:AX22,B$189)+COUNTIF('6月'!BB22:BC22,B$189)+COUNTIF('6月'!BG22:BH22,B$189)+COUNTIF('6月'!BL22:BM22,B$189)+COUNTIF('6月'!BQ22:BR22,B$189)+COUNTIF('6月'!BV22:BW22,B$189)+COUNTIF('6月'!CA22:CB22,B$189)+COUNTIF('6月'!CF22:CG22,B$189)+COUNTIF('6月'!CK22:CL22,B$189)+COUNTIF('6月'!CP22:CQ22,B$189)+COUNTIF('6月'!CU22:CV22,B$189)+COUNTIF('6月'!CZ22:DA22,B$189)+COUNTIF('6月'!DE22:DF22,B$189)+COUNTIF('6月'!DJ22:DK22,B$189)+COUNTIF('6月'!DO22:DP22,B$189)+COUNTIF('6月'!DT22:DU22,B$189)+COUNTIF('6月'!DY22:DZ22,B$189)+COUNTIF('6月'!ED22:EE22,B$189)+COUNTIF('6月'!EI22:EJ22,B$189)+COUNTIF('6月'!EN22:EO22,B$189)+COUNTIF('6月'!ES22:ET22,B$189)</f>
        <v>0</v>
      </c>
      <c r="C209" s="76">
        <f t="shared" si="60"/>
        <v>0</v>
      </c>
      <c r="D209" s="76">
        <f>COUNTIF('6月'!D22:E22,D$189)+COUNTIF('6月'!I22:J22,D$189)+COUNTIF('6月'!N22:O22,D$189)+COUNTIF('6月'!S22:T22,D$189)+COUNTIF('6月'!X22:Y22,D$189)+COUNTIF('6月'!AC22:AD22,D$189)+COUNTIF('6月'!AH22:AI22,D$189)+COUNTIF('6月'!AM22:AN22,D$189)+COUNTIF('6月'!AR22:AS22,D$189)+COUNTIF('6月'!AW22:AX22,D$189)+COUNTIF('6月'!BB22:BC22,D$189)+COUNTIF('6月'!BG22:BH22,D$189)+COUNTIF('6月'!BL22:BM22,D$189)+COUNTIF('6月'!BQ22:BR22,D$189)+COUNTIF('6月'!BV22:BW22,D$189)+COUNTIF('6月'!CA22:CB22,D$189)+COUNTIF('6月'!CF22:CG22,D$189)+COUNTIF('6月'!CK22:CL22,D$189)+COUNTIF('6月'!CP22:CQ22,D$189)+COUNTIF('6月'!CU22:CV22,D$189)+COUNTIF('6月'!CZ22:DA22,D$189)+COUNTIF('6月'!DE22:DF22,D$189)+COUNTIF('6月'!DJ22:DK22,D$189)+COUNTIF('6月'!DO22:DP22,D$189)+COUNTIF('6月'!DT22:DU22,D$189)+COUNTIF('6月'!DY22:DZ22,D$189)+COUNTIF('6月'!ED22:EE22,D$189)+COUNTIF('6月'!EI22:EJ22,D$189)+COUNTIF('6月'!EN22:EO22,D$189)+COUNTIF('6月'!ES22:ET22,D$189)</f>
        <v>0</v>
      </c>
      <c r="E209" s="76">
        <f t="shared" si="61"/>
        <v>0</v>
      </c>
      <c r="F209" s="76">
        <f>COUNTIF('6月'!D22:E22,F$189)+COUNTIF('6月'!I22:J22,F$189)+COUNTIF('6月'!N22:O22,F$189)+COUNTIF('6月'!S22:T22,F$189)+COUNTIF('6月'!X22:Y22,F$189)+COUNTIF('6月'!AC22:AD22,F$189)+COUNTIF('6月'!AH22:AI22,F$189)+COUNTIF('6月'!AM22:AN22,F$189)+COUNTIF('6月'!AR22:AS22,F$189)+COUNTIF('6月'!AW22:AX22,F$189)+COUNTIF('6月'!BB22:BC22,F$189)+COUNTIF('6月'!BG22:BH22,F$189)+COUNTIF('6月'!BL22:BM22,F$189)+COUNTIF('6月'!BQ22:BR22,F$189)+COUNTIF('6月'!BV22:BW22,F$189)+COUNTIF('6月'!CA22:CB22,F$189)+COUNTIF('6月'!CF22:CG22,F$189)+COUNTIF('6月'!CK22:CL22,F$189)+COUNTIF('6月'!CP22:CQ22,F$189)+COUNTIF('6月'!CU22:CV22,F$189)+COUNTIF('6月'!CZ22:DA22,F$189)+COUNTIF('6月'!DE22:DF22,F$189)+COUNTIF('6月'!DJ22:DK22,F$189)+COUNTIF('6月'!DO22:DP22,F$189)+COUNTIF('6月'!DT22:DU22,F$189)+COUNTIF('6月'!DY22:DZ22,F$189)+COUNTIF('6月'!ED22:EE22,F$189)+COUNTIF('6月'!EI22:EJ22,F$189)+COUNTIF('6月'!EN22:EO22,F$189)+COUNTIF('6月'!ES22:ET22,F$189)</f>
        <v>0</v>
      </c>
      <c r="G209" s="76">
        <f t="shared" si="62"/>
        <v>0</v>
      </c>
      <c r="H209" s="76">
        <f>COUNTIF('6月'!D22:E22,H$189)+COUNTIF('6月'!I22:J22,H$189)+COUNTIF('6月'!N22:O22,H$189)+COUNTIF('6月'!S22:T22,H$189)+COUNTIF('6月'!X22:Y22,H$189)+COUNTIF('6月'!AC22:AD22,H$189)+COUNTIF('6月'!AH22:AI22,H$189)+COUNTIF('6月'!AM22:AN22,H$189)+COUNTIF('6月'!AR22:AS22,H$189)+COUNTIF('6月'!AW22:AX22,H$189)+COUNTIF('6月'!BB22:BC22,H$189)+COUNTIF('6月'!BG22:BH22,H$189)+COUNTIF('6月'!BL22:BM22,H$189)+COUNTIF('6月'!BQ22:BR22,H$189)+COUNTIF('6月'!BV22:BW22,H$189)+COUNTIF('6月'!CA22:CB22,H$189)+COUNTIF('6月'!CF22:CG22,H$189)+COUNTIF('6月'!CK22:CL22,H$189)+COUNTIF('6月'!CP22:CQ22,H$189)+COUNTIF('6月'!CU22:CV22,H$189)+COUNTIF('6月'!CZ22:DA22,H$189)+COUNTIF('6月'!DE22:DF22,H$189)+COUNTIF('6月'!DJ22:DK22,H$189)+COUNTIF('6月'!DO22:DP22,H$189)+COUNTIF('6月'!DT22:DU22,H$189)+COUNTIF('6月'!DY22:DZ22,H$189)+COUNTIF('6月'!ED22:EE22,H$189)+COUNTIF('6月'!EI22:EJ22,H$189)+COUNTIF('6月'!EN22:EO22,H$189)+COUNTIF('6月'!ES22:ET22,H$189)+COUNTIF('6月'!D22:E22,"渋谷-夜勤")+COUNTIF('6月'!I22:J22,"渋谷-夜勤")+COUNTIF('6月'!N22:O22,"渋谷-夜勤")+COUNTIF('6月'!S22:T22,"渋谷-夜勤")+COUNTIF('6月'!X22:Y22,"渋谷-夜勤")+COUNTIF('6月'!AC22:AD22,"渋谷-夜勤")+COUNTIF('6月'!AH22:AI22,"渋谷-夜勤")+COUNTIF('6月'!AM22:AN22,"渋谷-夜勤")+COUNTIF('6月'!AR22:AS22,"渋谷-夜勤")+COUNTIF('6月'!AW22:AX22,"渋谷-夜勤")+COUNTIF('6月'!BB22:BC22,"渋谷-夜勤")+COUNTIF('6月'!BG22:BH22,"渋谷-夜勤")+COUNTIF('6月'!BL22:BM22,"渋谷-夜勤")+COUNTIF('6月'!BQ22:BR22,"渋谷-夜勤")+COUNTIF('6月'!BV22:BW22,"渋谷-夜勤")+COUNTIF('6月'!CA22:CB22,"渋谷-夜勤")+COUNTIF('6月'!CF22:CG22,"渋谷-夜勤")+COUNTIF('6月'!CK22:CL22,"渋谷-夜勤")+COUNTIF('6月'!CP22:CQ22,"渋谷-夜勤")+COUNTIF('6月'!CU22:CV22,"渋谷-夜勤")+COUNTIF('6月'!CZ22:DA22,"渋谷-夜勤")+COUNTIF('6月'!DE22:DF22,"渋谷-夜勤")+COUNTIF('6月'!DJ22:DK22,"渋谷-夜勤")+COUNTIF('6月'!DO22:DP22,"渋谷-夜勤")+COUNTIF('6月'!DT22:DU22,"渋谷-夜勤")+COUNTIF('6月'!DY22:DZ22,"渋谷-夜勤")+COUNTIF('6月'!ED22:EE22,"渋谷-夜勤")+COUNTIF('6月'!EI22:EJ22,"渋谷-夜勤")+COUNTIF('6月'!EN22:EO22,"渋谷-夜勤")+COUNTIF('6月'!ES22:ET22,"渋谷-夜勤")</f>
        <v>0</v>
      </c>
      <c r="I209" s="76">
        <f t="shared" si="63"/>
        <v>0</v>
      </c>
      <c r="J209" s="76">
        <f>COUNTIF('6月'!D22:E22,J$189)+COUNTIF('6月'!I22:J22,J$189)+COUNTIF('6月'!N22:O22,J$189)+COUNTIF('6月'!S22:T22,J$189)+COUNTIF('6月'!X22:Y22,J$189)+COUNTIF('6月'!AC22:AD22,J$189)+COUNTIF('6月'!AH22:AI22,J$189)+COUNTIF('6月'!AM22:AN22,J$189)+COUNTIF('6月'!AR22:AS22,J$189)+COUNTIF('6月'!AW22:AX22,J$189)+COUNTIF('6月'!BB22:BC22,J$189)+COUNTIF('6月'!BG22:BH22,J$189)+COUNTIF('6月'!BL22:BM22,J$189)+COUNTIF('6月'!BQ22:BR22,J$189)+COUNTIF('6月'!BV22:BW22,J$189)+COUNTIF('6月'!CA22:CB22,J$189)+COUNTIF('6月'!CF22:CG22,J$189)+COUNTIF('6月'!CK22:CL22,J$189)+COUNTIF('6月'!CP22:CQ22,J$189)+COUNTIF('6月'!CU22:CV22,J$189)+COUNTIF('6月'!CZ22:DA22,J$189)+COUNTIF('6月'!DE22:DF22,J$189)+COUNTIF('6月'!DJ22:DK22,J$189)+COUNTIF('6月'!DO22:DP22,J$189)+COUNTIF('6月'!DT22:DU22,J$189)+COUNTIF('6月'!DY22:DZ22,J$189)+COUNTIF('6月'!ED22:EE22,J$189)+COUNTIF('6月'!EI22:EJ22,J$189)+COUNTIF('6月'!EN22:EO22,J$189)+COUNTIF('6月'!ES22:ET22,J$189)+COUNTIF('6月'!D22:E22,"六本木-夜勤")+COUNTIF('6月'!I22:J22,"六本木-夜勤")+COUNTIF('6月'!N22:O22,"六本木-夜勤")+COUNTIF('6月'!S22:T22,"六本木-夜勤")+COUNTIF('6月'!X22:Y22,"六本木-夜勤")+COUNTIF('6月'!AC22:AD22,"六本木-夜勤")+COUNTIF('6月'!AH22:AI22,"六本木-夜勤")+COUNTIF('6月'!AM22:AN22,"六本木-夜勤")+COUNTIF('6月'!AR22:AS22,"六本木-夜勤")+COUNTIF('6月'!AW22:AX22,"六本木-夜勤")+COUNTIF('6月'!BB22:BC22,"六本木-夜勤")+COUNTIF('6月'!BG22:BH22,"六本木-夜勤")+COUNTIF('6月'!BL22:BM22,"六本木-夜勤")+COUNTIF('6月'!BQ22:BR22,"六本木-夜勤")+COUNTIF('6月'!BV22:BW22,"六本木-夜勤")+COUNTIF('6月'!CA22:CB22,"六本木-夜勤")+COUNTIF('6月'!CF22:CG22,"六本木-夜勤")+COUNTIF('6月'!CK22:CL22,"六本木-夜勤")+COUNTIF('6月'!CP22:CQ22,"六本木-夜勤")+COUNTIF('6月'!CU22:CV22,"六本木-夜勤")+COUNTIF('6月'!CZ22:DA22,"六本木-夜勤")+COUNTIF('6月'!DE22:DF22,"六本木-夜勤")+COUNTIF('6月'!DJ22:DK22,"六本木-夜勤")+COUNTIF('6月'!DO22:DP22,"六本木-夜勤")+COUNTIF('6月'!DT22:DU22,"六本木-夜勤")+COUNTIF('6月'!DY22:DZ22,"六本木-夜勤")+COUNTIF('6月'!ED22:EE22,"六本木-夜勤")+COUNTIF('6月'!EI22:EJ22,"六本木-夜勤")+COUNTIF('6月'!EN22:EO22,"六本木-夜勤")+COUNTIF('6月'!ES22:ET22,"六本木-夜勤")+COUNTIF('6月'!D22:E22,"六本木ー夜勤")+COUNTIF('6月'!I22:J22,"六本木ー夜勤")+COUNTIF('6月'!N22:O22,"六本木ー夜勤")+COUNTIF('6月'!S22:T22,"六本木ー夜勤")+COUNTIF('6月'!X22:Y22,"六本木ー夜勤")+COUNTIF('6月'!AC22:AD22,"六本木ー夜勤")+COUNTIF('6月'!AH22:AI22,"六本木ー夜勤")+COUNTIF('6月'!AM22:AN22,"六本木ー夜勤")+COUNTIF('6月'!AR22:AS22,"六本木ー夜勤")+COUNTIF('6月'!AW22:AX22,"六本木ー夜勤")+COUNTIF('6月'!BB22:BC22,"六本木ー夜勤")+COUNTIF('6月'!BG22:BH22,"六本木ー夜勤")+COUNTIF('6月'!BL22:BM22,"六本木ー夜勤")+COUNTIF('6月'!BQ22:BR22,"六本木ー夜勤")+COUNTIF('6月'!BV22:BW22,"六本木ー夜勤")+COUNTIF('6月'!CA22:CB22,"六本木ー夜勤")+COUNTIF('6月'!CF22:CG22,"六本木ー夜勤")+COUNTIF('6月'!CK22:CL22,"六本木ー夜勤")+COUNTIF('6月'!CP22:CQ22,"六本木ー夜勤")+COUNTIF('6月'!CU22:CV22,"六本木ー夜勤")+COUNTIF('6月'!CZ22:DA22,"六本木ー夜勤")+COUNTIF('6月'!DE22:DF22,"六本木ー夜勤")+COUNTIF('6月'!DJ22:DK22,"六本木ー夜勤")+COUNTIF('6月'!DO22:DP22,"六本木ー夜勤")+COUNTIF('6月'!DT22:DU22,"六本木ー夜勤")+COUNTIF('6月'!DY22:DZ22,"六本木ー夜勤")+COUNTIF('6月'!ED22:EE22,"六本木ー夜勤")+COUNTIF('6月'!EI22:EJ22,"六本木ー夜勤")+COUNTIF('6月'!EN22:EO22,"六本木ー夜勤")+COUNTIF('6月'!ES22:ET22,"六本木ー夜勤")</f>
        <v>0</v>
      </c>
      <c r="K209" s="76">
        <f t="shared" si="64"/>
        <v>0</v>
      </c>
      <c r="L209" s="76">
        <f>COUNTIF('6月'!D22:E22,L$189)+COUNTIF('6月'!I22:J22,L$189)+COUNTIF('6月'!N22:O22,L$189)+COUNTIF('6月'!S22:T22,L$189)+COUNTIF('6月'!X22:Y22,L$189)+COUNTIF('6月'!AC22:AD22,L$189)+COUNTIF('6月'!AH22:AI22,L$189)+COUNTIF('6月'!AM22:AN22,L$189)+COUNTIF('6月'!AR22:AS22,L$189)+COUNTIF('6月'!AW22:AX22,L$189)+COUNTIF('6月'!BB22:BC22,L$189)+COUNTIF('6月'!BG22:BH22,L$189)+COUNTIF('6月'!BL22:BM22,L$189)+COUNTIF('6月'!BQ22:BR22,L$189)+COUNTIF('6月'!BV22:BW22,L$189)+COUNTIF('6月'!CA22:CB22,L$189)+COUNTIF('6月'!CF22:CG22,L$189)+COUNTIF('6月'!CK22:CL22,L$189)+COUNTIF('6月'!CP22:CQ22,L$189)+COUNTIF('6月'!CU22:CV22,L$189)+COUNTIF('6月'!CZ22:DA22,L$189)+COUNTIF('6月'!DE22:DF22,L$189)+COUNTIF('6月'!DJ22:DK22,L$189)+COUNTIF('6月'!DO22:DP22,L$189)+COUNTIF('6月'!DT22:DU22,L$189)+COUNTIF('6月'!DY22:DZ22,L$189)+COUNTIF('6月'!ED22:EE22,L$189)+COUNTIF('6月'!EI22:EJ22,L$189)+COUNTIF('6月'!EN22:EO22,L$189)+COUNTIF('6月'!ES22:ET22,L$189)</f>
        <v>0</v>
      </c>
      <c r="M209" s="76">
        <f t="shared" si="65"/>
        <v>0</v>
      </c>
      <c r="N209" s="76">
        <f>COUNTIF('6月'!D22:E22,N$189)+COUNTIF('6月'!I22:J22,N$189)+COUNTIF('6月'!N22:O22,N$189)+COUNTIF('6月'!S22:T22,N$189)+COUNTIF('6月'!X22:Y22,N$189)+COUNTIF('6月'!AC22:AD22,N$189)+COUNTIF('6月'!AH22:AI22,N$189)+COUNTIF('6月'!AM22:AN22,N$189)+COUNTIF('6月'!AR22:AS22,N$189)+COUNTIF('6月'!AW22:AX22,N$189)+COUNTIF('6月'!BB22:BC22,N$189)+COUNTIF('6月'!BG22:BH22,N$189)+COUNTIF('6月'!BL22:BM22,N$189)+COUNTIF('6月'!BQ22:BR22,N$189)+COUNTIF('6月'!BV22:BW22,N$189)+COUNTIF('6月'!CA22:CB22,N$189)+COUNTIF('6月'!CF22:CG22,N$189)+COUNTIF('6月'!CK22:CL22,N$189)+COUNTIF('6月'!CP22:CQ22,N$189)+COUNTIF('6月'!CU22:CV22,N$189)+COUNTIF('6月'!CZ22:DA22,N$189)+COUNTIF('6月'!DE22:DF22,N$189)+COUNTIF('6月'!DJ22:DK22,N$189)+COUNTIF('6月'!DO22:DP22,N$189)+COUNTIF('6月'!DT22:DU22,N$189)+COUNTIF('6月'!DY22:DZ22,N$189)+COUNTIF('6月'!ED22:EE22,N$189)+COUNTIF('6月'!EI22:EJ22,N$189)+COUNTIF('6月'!EN22:EO22,N$189)+COUNTIF('6月'!ES22:ET22,N$189)+COUNTIF('6月'!D22:E22,"三軒茶屋－夜勤")+COUNTIF('6月'!I22:J22,"三軒茶屋－夜勤")+COUNTIF('6月'!N22:O22,"三軒茶屋－夜勤")+COUNTIF('6月'!S22:T22,"三軒茶屋－夜勤")+COUNTIF('6月'!X22:Y22,"三軒茶屋－夜勤")+COUNTIF('6月'!AC22:AD22,"三軒茶屋－夜勤")+COUNTIF('6月'!AH22:AI22,"三軒茶屋－夜勤")+COUNTIF('6月'!AM22:AN22,"三軒茶屋－夜勤")+COUNTIF('6月'!AR22:AS22,"三軒茶屋－夜勤")+COUNTIF('6月'!AW22:AX22,"三軒茶屋－夜勤")+COUNTIF('6月'!BB22:BC22,"三軒茶屋－夜勤")+COUNTIF('6月'!BG22:BH22,"三軒茶屋－夜勤")+COUNTIF('6月'!BL22:BM22,"三軒茶屋－夜勤")+COUNTIF('6月'!BQ22:BR22,"三軒茶屋－夜勤")+COUNTIF('6月'!BV22:BW22,"三軒茶屋－夜勤")+COUNTIF('6月'!CA22:CB22,"三軒茶屋－夜勤")+COUNTIF('6月'!CF22:CG22,"三軒茶屋－夜勤")+COUNTIF('6月'!CK22:CL22,"三軒茶屋－夜勤")+COUNTIF('6月'!CP22:CQ22,"三軒茶屋－夜勤")+COUNTIF('6月'!CU22:CV22,"三軒茶屋－夜勤")+COUNTIF('6月'!CZ22:DA22,"三軒茶屋－夜勤")+COUNTIF('6月'!DE22:DF22,"三軒茶屋－夜勤")+COUNTIF('6月'!DJ22:DK22,"三軒茶屋－夜勤")+COUNTIF('6月'!DO22:DP22,"三軒茶屋－夜勤")+COUNTIF('6月'!DT22:DU22,"三軒茶屋－夜勤")+COUNTIF('6月'!DY22:DZ22,"三軒茶屋－夜勤")+COUNTIF('6月'!ED22:EE22,"三軒茶屋－夜勤")+COUNTIF('6月'!EI22:EJ22,"三軒茶屋－夜勤")+COUNTIF('6月'!EN22:EO22,"三軒茶屋－夜勤")+COUNTIF('6月'!ES22:ET22,"三軒茶屋－夜勤")</f>
        <v>0</v>
      </c>
      <c r="O209" s="76">
        <f t="shared" si="66"/>
        <v>0</v>
      </c>
      <c r="P209" s="76">
        <f>COUNTIF('6月'!D22:E22,P$189)+COUNTIF('6月'!I22:J22,P$189)+COUNTIF('6月'!N22:O22,P$189)+COUNTIF('6月'!S22:T22,P$189)+COUNTIF('6月'!X22:Y22,P$189)+COUNTIF('6月'!AC22:AD22,P$189)+COUNTIF('6月'!AH22:AI22,P$189)+COUNTIF('6月'!AM22:AN22,P$189)+COUNTIF('6月'!AR22:AS22,P$189)+COUNTIF('6月'!AW22:AX22,P$189)+COUNTIF('6月'!BB22:BC22,P$189)+COUNTIF('6月'!BG22:BH22,P$189)+COUNTIF('6月'!BL22:BM22,P$189)+COUNTIF('6月'!BQ22:BR22,P$189)+COUNTIF('6月'!BV22:BW22,P$189)+COUNTIF('6月'!CA22:CB22,P$189)+COUNTIF('6月'!CF22:CG22,P$189)+COUNTIF('6月'!CK22:CL22,P$189)+COUNTIF('6月'!CP22:CQ22,P$189)+COUNTIF('6月'!CU22:CV22,P$189)+COUNTIF('6月'!CZ22:DA22,P$189)+COUNTIF('6月'!DE22:DF22,P$189)+COUNTIF('6月'!DJ22:DK22,P$189)+COUNTIF('6月'!DO22:DP22,P$189)+COUNTIF('6月'!DT22:DU22,P$189)+COUNTIF('6月'!DY22:DZ22,P$189)+COUNTIF('6月'!ED22:EE22,P$189)+COUNTIF('6月'!EI22:EJ22,P$189)+COUNTIF('6月'!EN22:EO22,P$189)+COUNTIF('6月'!ES22:ET22,P$189)+COUNTIF('6月'!D22:E22,"荻窪ー夜勤")+COUNTIF('6月'!I22:J22,"荻窪ー夜勤")+COUNTIF('6月'!N22:O22,"荻窪ー夜勤")+COUNTIF('6月'!S22:T22,"荻窪ー夜勤")+COUNTIF('6月'!X22:Y22,"荻窪ー夜勤")+COUNTIF('6月'!AC22:AD22,"荻窪ー夜勤")+COUNTIF('6月'!AH22:AI22,"荻窪ー夜勤")+COUNTIF('6月'!AM22:AN22,"荻窪ー夜勤")+COUNTIF('6月'!AR22:AS22,"荻窪ー夜勤")+COUNTIF('6月'!AW22:AX22,"荻窪ー夜勤")+COUNTIF('6月'!BB22:BC22,"荻窪ー夜勤")+COUNTIF('6月'!BG22:BH22,"荻窪ー夜勤")+COUNTIF('6月'!BL22:BM22,"荻窪ー夜勤")+COUNTIF('6月'!BQ22:BR22,"荻窪ー夜勤")+COUNTIF('6月'!BV22:BW22,"荻窪ー夜勤")+COUNTIF('6月'!CA22:CB22,"荻窪ー夜勤")+COUNTIF('6月'!CF22:CG22,"荻窪ー夜勤")+COUNTIF('6月'!CK22:CL22,"荻窪ー夜勤")+COUNTIF('6月'!CP22:CQ22,"荻窪ー夜勤")+COUNTIF('6月'!CU22:CV22,"荻窪ー夜勤")+COUNTIF('6月'!CZ22:DA22,"荻窪ー夜勤")+COUNTIF('6月'!DE22:DF22,"荻窪ー夜勤")+COUNTIF('6月'!DJ22:DK22,"荻窪ー夜勤")+COUNTIF('6月'!DO22:DP22,"荻窪ー夜勤")+COUNTIF('6月'!DT22:DU22,"荻窪ー夜勤")+COUNTIF('6月'!DY22:DZ22,"荻窪ー夜勤")+COUNTIF('6月'!ED22:EE22,"荻窪ー夜勤")+COUNTIF('6月'!EI22:EJ22,"荻窪ー夜勤")+COUNTIF('6月'!EN22:EO22,"荻窪ー夜勤")+COUNTIF('6月'!ES22:ET22,"荻窪ー夜勤")</f>
        <v>0</v>
      </c>
      <c r="Q209" s="76">
        <f t="shared" si="67"/>
        <v>0</v>
      </c>
      <c r="R209" s="76">
        <f>COUNTIF('6月'!D22:E22,R$189)+COUNTIF('6月'!I22:J22,R$189)+COUNTIF('6月'!N22:O22,R$189)+COUNTIF('6月'!S22:T22,R$189)+COUNTIF('6月'!X22:Y22,R$189)+COUNTIF('6月'!AC22:AD22,R$189)+COUNTIF('6月'!AH22:AI22,R$189)+COUNTIF('6月'!AM22:AN22,R$189)+COUNTIF('6月'!AR22:AS22,R$189)+COUNTIF('6月'!AW22:AX22,R$189)+COUNTIF('6月'!BB22:BC22,R$189)+COUNTIF('6月'!BG22:BH22,R$189)+COUNTIF('6月'!BL22:BM22,R$189)+COUNTIF('6月'!BQ22:BR22,R$189)+COUNTIF('6月'!BV22:BW22,R$189)+COUNTIF('6月'!CA22:CB22,R$189)+COUNTIF('6月'!CF22:CG22,R$189)+COUNTIF('6月'!CK22:CL22,R$189)+COUNTIF('6月'!CP22:CQ22,R$189)+COUNTIF('6月'!CU22:CV22,R$189)+COUNTIF('6月'!CZ22:DA22,R$189)+COUNTIF('6月'!DE22:DF22,R$189)+COUNTIF('6月'!DJ22:DK22,R$189)+COUNTIF('6月'!DO22:DP22,R$189)+COUNTIF('6月'!DT22:DU22,R$189)+COUNTIF('6月'!DY22:DZ22,R$189)+COUNTIF('6月'!ED22:EE22,R$189)+COUNTIF('6月'!EI22:EJ22,R$189)+COUNTIF('6月'!EN22:EO22,R$189)+COUNTIF('6月'!ES22:ET22,R$189)</f>
        <v>0</v>
      </c>
      <c r="S209" s="76">
        <f t="shared" si="68"/>
        <v>0</v>
      </c>
      <c r="T209" s="76">
        <f>COUNTIF('6月'!D22:E22,T$189)+COUNTIF('6月'!I22:J22,T$189)+COUNTIF('6月'!N22:O22,T$189)+COUNTIF('6月'!S22:T22,T$189)+COUNTIF('6月'!X22:Y22,T$189)+COUNTIF('6月'!AC22:AD22,T$189)+COUNTIF('6月'!AH22:AI22,T$189)+COUNTIF('6月'!AM22:AN22,T$189)+COUNTIF('6月'!AR22:AS22,T$189)+COUNTIF('6月'!AW22:AX22,T$189)+COUNTIF('6月'!BB22:BC22,T$189)+COUNTIF('6月'!BG22:BH22,T$189)+COUNTIF('6月'!BL22:BM22,T$189)+COUNTIF('6月'!BQ22:BR22,T$189)+COUNTIF('6月'!BV22:BW22,T$189)+COUNTIF('6月'!CA22:CB22,T$189)+COUNTIF('6月'!CF22:CG22,T$189)+COUNTIF('6月'!CK22:CL22,T$189)+COUNTIF('6月'!CP22:CQ22,T$189)+COUNTIF('6月'!CU22:CV22,T$189)+COUNTIF('6月'!CZ22:DA22,T$189)+COUNTIF('6月'!DE22:DF22,T$189)+COUNTIF('6月'!DJ22:DK22,T$189)+COUNTIF('6月'!DO22:DP22,T$189)+COUNTIF('6月'!DT22:DU22,T$189)+COUNTIF('6月'!DY22:DZ22,T$189)+COUNTIF('6月'!ED22:EE22,T$189)+COUNTIF('6月'!EI22:EJ22,T$189)+COUNTIF('6月'!EN22:EO22,T$189)+COUNTIF('6月'!ES22:ET22,T$189)</f>
        <v>0</v>
      </c>
      <c r="U209" s="76">
        <f t="shared" si="69"/>
        <v>0</v>
      </c>
      <c r="V209" s="76">
        <f>COUNTIF('6月'!D22:E22,V$189)+COUNTIF('6月'!I22:J22,V$189)+COUNTIF('6月'!N22:O22,V$189)+COUNTIF('6月'!S22:T22,V$189)+COUNTIF('6月'!X22:Y22,V$189)+COUNTIF('6月'!AC22:AD22,V$189)+COUNTIF('6月'!AH22:AI22,V$189)+COUNTIF('6月'!AM22:AN22,V$189)+COUNTIF('6月'!AR22:AS22,V$189)+COUNTIF('6月'!AW22:AX22,V$189)+COUNTIF('6月'!BB22:BC22,V$189)+COUNTIF('6月'!BG22:BH22,V$189)+COUNTIF('6月'!BL22:BM22,V$189)+COUNTIF('6月'!BQ22:BR22,V$189)+COUNTIF('6月'!BV22:BW22,V$189)+COUNTIF('6月'!CA22:CB22,V$189)+COUNTIF('6月'!CF22:CG22,V$189)+COUNTIF('6月'!CK22:CL22,V$189)+COUNTIF('6月'!CP22:CQ22,V$189)+COUNTIF('6月'!CU22:CV22,V$189)+COUNTIF('6月'!CZ22:DA22,V$189)+COUNTIF('6月'!DE22:DF22,V$189)+COUNTIF('6月'!DJ22:DK22,V$189)+COUNTIF('6月'!DO22:DP22,V$189)+COUNTIF('6月'!DT22:DU22,V$189)+COUNTIF('6月'!DY22:DZ22,V$189)+COUNTIF('6月'!ED22:EE22,V$189)+COUNTIF('6月'!EI22:EJ22,V$189)+COUNTIF('6月'!EN22:EO22,V$189)+COUNTIF('6月'!ES22:ET22,V$189)</f>
        <v>0</v>
      </c>
      <c r="W209" s="76">
        <f t="shared" si="70"/>
        <v>0</v>
      </c>
      <c r="X209" s="76">
        <f>COUNTIF('6月'!D22:E22,X$189)+COUNTIF('6月'!I22:J22,X$189)+COUNTIF('6月'!N22:O22,X$189)+COUNTIF('6月'!S22:T22,X$189)+COUNTIF('6月'!X22:Y22,X$189)+COUNTIF('6月'!AC22:AD22,X$189)+COUNTIF('6月'!AH22:AI22,X$189)+COUNTIF('6月'!AM22:AN22,X$189)+COUNTIF('6月'!AR22:AS22,X$189)+COUNTIF('6月'!AW22:AX22,X$189)+COUNTIF('6月'!BB22:BC22,X$189)+COUNTIF('6月'!BG22:BH22,X$189)+COUNTIF('6月'!BL22:BM22,X$189)+COUNTIF('6月'!BQ22:BR22,X$189)+COUNTIF('6月'!BV22:BW22,X$189)+COUNTIF('6月'!CA22:CB22,X$189)+COUNTIF('6月'!CF22:CG22,X$189)+COUNTIF('6月'!CK22:CL22,X$189)+COUNTIF('6月'!CP22:CQ22,X$189)+COUNTIF('6月'!CU22:CV22,X$189)+COUNTIF('6月'!CZ22:DA22,X$189)+COUNTIF('6月'!DE22:DF22,X$189)+COUNTIF('6月'!DJ22:DK22,X$189)+COUNTIF('6月'!DO22:DP22,X$189)+COUNTIF('6月'!DT22:DU22,X$189)+COUNTIF('6月'!DY22:DZ22,X$189)+COUNTIF('6月'!ED22:EE22,X$189)+COUNTIF('6月'!EI22:EJ22,X$189)+COUNTIF('6月'!EN22:EO22,X$189)+COUNTIF('6月'!ES22:ET22,X$189)</f>
        <v>0</v>
      </c>
      <c r="Y209" s="76">
        <f t="shared" si="71"/>
        <v>0</v>
      </c>
    </row>
    <row r="210" spans="1:25" ht="18" customHeight="1">
      <c r="A210" s="76">
        <v>20</v>
      </c>
      <c r="B210" s="76">
        <f>COUNTIF('6月'!D23:E23,B$189)+COUNTIF('6月'!I23:J23,B$189)+COUNTIF('6月'!N23:O23,B$189)+COUNTIF('6月'!S23:T23,B$189)+COUNTIF('6月'!X23:Y23,B$189)+COUNTIF('6月'!AC23:AD23,B$189)+COUNTIF('6月'!AH23:AI23,B$189)+COUNTIF('6月'!AM23:AN23,B$189)+COUNTIF('6月'!AR23:AS23,B$189)+COUNTIF('6月'!AW23:AX23,B$189)+COUNTIF('6月'!BB23:BC23,B$189)+COUNTIF('6月'!BG23:BH23,B$189)+COUNTIF('6月'!BL23:BM23,B$189)+COUNTIF('6月'!BQ23:BR23,B$189)+COUNTIF('6月'!BV23:BW23,B$189)+COUNTIF('6月'!CA23:CB23,B$189)+COUNTIF('6月'!CF23:CG23,B$189)+COUNTIF('6月'!CK23:CL23,B$189)+COUNTIF('6月'!CP23:CQ23,B$189)+COUNTIF('6月'!CU23:CV23,B$189)+COUNTIF('6月'!CZ23:DA23,B$189)+COUNTIF('6月'!DE23:DF23,B$189)+COUNTIF('6月'!DJ23:DK23,B$189)+COUNTIF('6月'!DO23:DP23,B$189)+COUNTIF('6月'!DT23:DU23,B$189)+COUNTIF('6月'!DY23:DZ23,B$189)+COUNTIF('6月'!ED23:EE23,B$189)+COUNTIF('6月'!EI23:EJ23,B$189)+COUNTIF('6月'!EN23:EO23,B$189)+COUNTIF('6月'!ES23:ET23,B$189)</f>
        <v>0</v>
      </c>
      <c r="C210" s="76">
        <f t="shared" si="60"/>
        <v>0</v>
      </c>
      <c r="D210" s="76">
        <f>COUNTIF('6月'!D23:E23,D$189)+COUNTIF('6月'!I23:J23,D$189)+COUNTIF('6月'!N23:O23,D$189)+COUNTIF('6月'!S23:T23,D$189)+COUNTIF('6月'!X23:Y23,D$189)+COUNTIF('6月'!AC23:AD23,D$189)+COUNTIF('6月'!AH23:AI23,D$189)+COUNTIF('6月'!AM23:AN23,D$189)+COUNTIF('6月'!AR23:AS23,D$189)+COUNTIF('6月'!AW23:AX23,D$189)+COUNTIF('6月'!BB23:BC23,D$189)+COUNTIF('6月'!BG23:BH23,D$189)+COUNTIF('6月'!BL23:BM23,D$189)+COUNTIF('6月'!BQ23:BR23,D$189)+COUNTIF('6月'!BV23:BW23,D$189)+COUNTIF('6月'!CA23:CB23,D$189)+COUNTIF('6月'!CF23:CG23,D$189)+COUNTIF('6月'!CK23:CL23,D$189)+COUNTIF('6月'!CP23:CQ23,D$189)+COUNTIF('6月'!CU23:CV23,D$189)+COUNTIF('6月'!CZ23:DA23,D$189)+COUNTIF('6月'!DE23:DF23,D$189)+COUNTIF('6月'!DJ23:DK23,D$189)+COUNTIF('6月'!DO23:DP23,D$189)+COUNTIF('6月'!DT23:DU23,D$189)+COUNTIF('6月'!DY23:DZ23,D$189)+COUNTIF('6月'!ED23:EE23,D$189)+COUNTIF('6月'!EI23:EJ23,D$189)+COUNTIF('6月'!EN23:EO23,D$189)+COUNTIF('6月'!ES23:ET23,D$189)</f>
        <v>0</v>
      </c>
      <c r="E210" s="76">
        <f t="shared" si="61"/>
        <v>0</v>
      </c>
      <c r="F210" s="76">
        <f>COUNTIF('6月'!D23:E23,F$189)+COUNTIF('6月'!I23:J23,F$189)+COUNTIF('6月'!N23:O23,F$189)+COUNTIF('6月'!S23:T23,F$189)+COUNTIF('6月'!X23:Y23,F$189)+COUNTIF('6月'!AC23:AD23,F$189)+COUNTIF('6月'!AH23:AI23,F$189)+COUNTIF('6月'!AM23:AN23,F$189)+COUNTIF('6月'!AR23:AS23,F$189)+COUNTIF('6月'!AW23:AX23,F$189)+COUNTIF('6月'!BB23:BC23,F$189)+COUNTIF('6月'!BG23:BH23,F$189)+COUNTIF('6月'!BL23:BM23,F$189)+COUNTIF('6月'!BQ23:BR23,F$189)+COUNTIF('6月'!BV23:BW23,F$189)+COUNTIF('6月'!CA23:CB23,F$189)+COUNTIF('6月'!CF23:CG23,F$189)+COUNTIF('6月'!CK23:CL23,F$189)+COUNTIF('6月'!CP23:CQ23,F$189)+COUNTIF('6月'!CU23:CV23,F$189)+COUNTIF('6月'!CZ23:DA23,F$189)+COUNTIF('6月'!DE23:DF23,F$189)+COUNTIF('6月'!DJ23:DK23,F$189)+COUNTIF('6月'!DO23:DP23,F$189)+COUNTIF('6月'!DT23:DU23,F$189)+COUNTIF('6月'!DY23:DZ23,F$189)+COUNTIF('6月'!ED23:EE23,F$189)+COUNTIF('6月'!EI23:EJ23,F$189)+COUNTIF('6月'!EN23:EO23,F$189)+COUNTIF('6月'!ES23:ET23,F$189)</f>
        <v>0</v>
      </c>
      <c r="G210" s="76">
        <f t="shared" si="62"/>
        <v>0</v>
      </c>
      <c r="H210" s="76">
        <f>COUNTIF('6月'!D23:E23,H$189)+COUNTIF('6月'!I23:J23,H$189)+COUNTIF('6月'!N23:O23,H$189)+COUNTIF('6月'!S23:T23,H$189)+COUNTIF('6月'!X23:Y23,H$189)+COUNTIF('6月'!AC23:AD23,H$189)+COUNTIF('6月'!AH23:AI23,H$189)+COUNTIF('6月'!AM23:AN23,H$189)+COUNTIF('6月'!AR23:AS23,H$189)+COUNTIF('6月'!AW23:AX23,H$189)+COUNTIF('6月'!BB23:BC23,H$189)+COUNTIF('6月'!BG23:BH23,H$189)+COUNTIF('6月'!BL23:BM23,H$189)+COUNTIF('6月'!BQ23:BR23,H$189)+COUNTIF('6月'!BV23:BW23,H$189)+COUNTIF('6月'!CA23:CB23,H$189)+COUNTIF('6月'!CF23:CG23,H$189)+COUNTIF('6月'!CK23:CL23,H$189)+COUNTIF('6月'!CP23:CQ23,H$189)+COUNTIF('6月'!CU23:CV23,H$189)+COUNTIF('6月'!CZ23:DA23,H$189)+COUNTIF('6月'!DE23:DF23,H$189)+COUNTIF('6月'!DJ23:DK23,H$189)+COUNTIF('6月'!DO23:DP23,H$189)+COUNTIF('6月'!DT23:DU23,H$189)+COUNTIF('6月'!DY23:DZ23,H$189)+COUNTIF('6月'!ED23:EE23,H$189)+COUNTIF('6月'!EI23:EJ23,H$189)+COUNTIF('6月'!EN23:EO23,H$189)+COUNTIF('6月'!ES23:ET23,H$189)+COUNTIF('6月'!D23:E23,"渋谷-夜勤")+COUNTIF('6月'!I23:J23,"渋谷-夜勤")+COUNTIF('6月'!N23:O23,"渋谷-夜勤")+COUNTIF('6月'!S23:T23,"渋谷-夜勤")+COUNTIF('6月'!X23:Y23,"渋谷-夜勤")+COUNTIF('6月'!AC23:AD23,"渋谷-夜勤")+COUNTIF('6月'!AH23:AI23,"渋谷-夜勤")+COUNTIF('6月'!AM23:AN23,"渋谷-夜勤")+COUNTIF('6月'!AR23:AS23,"渋谷-夜勤")+COUNTIF('6月'!AW23:AX23,"渋谷-夜勤")+COUNTIF('6月'!BB23:BC23,"渋谷-夜勤")+COUNTIF('6月'!BG23:BH23,"渋谷-夜勤")+COUNTIF('6月'!BL23:BM23,"渋谷-夜勤")+COUNTIF('6月'!BQ23:BR23,"渋谷-夜勤")+COUNTIF('6月'!BV23:BW23,"渋谷-夜勤")+COUNTIF('6月'!CA23:CB23,"渋谷-夜勤")+COUNTIF('6月'!CF23:CG23,"渋谷-夜勤")+COUNTIF('6月'!CK23:CL23,"渋谷-夜勤")+COUNTIF('6月'!CP23:CQ23,"渋谷-夜勤")+COUNTIF('6月'!CU23:CV23,"渋谷-夜勤")+COUNTIF('6月'!CZ23:DA23,"渋谷-夜勤")+COUNTIF('6月'!DE23:DF23,"渋谷-夜勤")+COUNTIF('6月'!DJ23:DK23,"渋谷-夜勤")+COUNTIF('6月'!DO23:DP23,"渋谷-夜勤")+COUNTIF('6月'!DT23:DU23,"渋谷-夜勤")+COUNTIF('6月'!DY23:DZ23,"渋谷-夜勤")+COUNTIF('6月'!ED23:EE23,"渋谷-夜勤")+COUNTIF('6月'!EI23:EJ23,"渋谷-夜勤")+COUNTIF('6月'!EN23:EO23,"渋谷-夜勤")+COUNTIF('6月'!ES23:ET23,"渋谷-夜勤")</f>
        <v>0</v>
      </c>
      <c r="I210" s="76">
        <f t="shared" si="63"/>
        <v>0</v>
      </c>
      <c r="J210" s="76">
        <f>COUNTIF('6月'!D23:E23,J$189)+COUNTIF('6月'!I23:J23,J$189)+COUNTIF('6月'!N23:O23,J$189)+COUNTIF('6月'!S23:T23,J$189)+COUNTIF('6月'!X23:Y23,J$189)+COUNTIF('6月'!AC23:AD23,J$189)+COUNTIF('6月'!AH23:AI23,J$189)+COUNTIF('6月'!AM23:AN23,J$189)+COUNTIF('6月'!AR23:AS23,J$189)+COUNTIF('6月'!AW23:AX23,J$189)+COUNTIF('6月'!BB23:BC23,J$189)+COUNTIF('6月'!BG23:BH23,J$189)+COUNTIF('6月'!BL23:BM23,J$189)+COUNTIF('6月'!BQ23:BR23,J$189)+COUNTIF('6月'!BV23:BW23,J$189)+COUNTIF('6月'!CA23:CB23,J$189)+COUNTIF('6月'!CF23:CG23,J$189)+COUNTIF('6月'!CK23:CL23,J$189)+COUNTIF('6月'!CP23:CQ23,J$189)+COUNTIF('6月'!CU23:CV23,J$189)+COUNTIF('6月'!CZ23:DA23,J$189)+COUNTIF('6月'!DE23:DF23,J$189)+COUNTIF('6月'!DJ23:DK23,J$189)+COUNTIF('6月'!DO23:DP23,J$189)+COUNTIF('6月'!DT23:DU23,J$189)+COUNTIF('6月'!DY23:DZ23,J$189)+COUNTIF('6月'!ED23:EE23,J$189)+COUNTIF('6月'!EI23:EJ23,J$189)+COUNTIF('6月'!EN23:EO23,J$189)+COUNTIF('6月'!ES23:ET23,J$189)+COUNTIF('6月'!D23:E23,"六本木-夜勤")+COUNTIF('6月'!I23:J23,"六本木-夜勤")+COUNTIF('6月'!N23:O23,"六本木-夜勤")+COUNTIF('6月'!S23:T23,"六本木-夜勤")+COUNTIF('6月'!X23:Y23,"六本木-夜勤")+COUNTIF('6月'!AC23:AD23,"六本木-夜勤")+COUNTIF('6月'!AH23:AI23,"六本木-夜勤")+COUNTIF('6月'!AM23:AN23,"六本木-夜勤")+COUNTIF('6月'!AR23:AS23,"六本木-夜勤")+COUNTIF('6月'!AW23:AX23,"六本木-夜勤")+COUNTIF('6月'!BB23:BC23,"六本木-夜勤")+COUNTIF('6月'!BG23:BH23,"六本木-夜勤")+COUNTIF('6月'!BL23:BM23,"六本木-夜勤")+COUNTIF('6月'!BQ23:BR23,"六本木-夜勤")+COUNTIF('6月'!BV23:BW23,"六本木-夜勤")+COUNTIF('6月'!CA23:CB23,"六本木-夜勤")+COUNTIF('6月'!CF23:CG23,"六本木-夜勤")+COUNTIF('6月'!CK23:CL23,"六本木-夜勤")+COUNTIF('6月'!CP23:CQ23,"六本木-夜勤")+COUNTIF('6月'!CU23:CV23,"六本木-夜勤")+COUNTIF('6月'!CZ23:DA23,"六本木-夜勤")+COUNTIF('6月'!DE23:DF23,"六本木-夜勤")+COUNTIF('6月'!DJ23:DK23,"六本木-夜勤")+COUNTIF('6月'!DO23:DP23,"六本木-夜勤")+COUNTIF('6月'!DT23:DU23,"六本木-夜勤")+COUNTIF('6月'!DY23:DZ23,"六本木-夜勤")+COUNTIF('6月'!ED23:EE23,"六本木-夜勤")+COUNTIF('6月'!EI23:EJ23,"六本木-夜勤")+COUNTIF('6月'!EN23:EO23,"六本木-夜勤")+COUNTIF('6月'!ES23:ET23,"六本木-夜勤")+COUNTIF('6月'!D23:E23,"六本木ー夜勤")+COUNTIF('6月'!I23:J23,"六本木ー夜勤")+COUNTIF('6月'!N23:O23,"六本木ー夜勤")+COUNTIF('6月'!S23:T23,"六本木ー夜勤")+COUNTIF('6月'!X23:Y23,"六本木ー夜勤")+COUNTIF('6月'!AC23:AD23,"六本木ー夜勤")+COUNTIF('6月'!AH23:AI23,"六本木ー夜勤")+COUNTIF('6月'!AM23:AN23,"六本木ー夜勤")+COUNTIF('6月'!AR23:AS23,"六本木ー夜勤")+COUNTIF('6月'!AW23:AX23,"六本木ー夜勤")+COUNTIF('6月'!BB23:BC23,"六本木ー夜勤")+COUNTIF('6月'!BG23:BH23,"六本木ー夜勤")+COUNTIF('6月'!BL23:BM23,"六本木ー夜勤")+COUNTIF('6月'!BQ23:BR23,"六本木ー夜勤")+COUNTIF('6月'!BV23:BW23,"六本木ー夜勤")+COUNTIF('6月'!CA23:CB23,"六本木ー夜勤")+COUNTIF('6月'!CF23:CG23,"六本木ー夜勤")+COUNTIF('6月'!CK23:CL23,"六本木ー夜勤")+COUNTIF('6月'!CP23:CQ23,"六本木ー夜勤")+COUNTIF('6月'!CU23:CV23,"六本木ー夜勤")+COUNTIF('6月'!CZ23:DA23,"六本木ー夜勤")+COUNTIF('6月'!DE23:DF23,"六本木ー夜勤")+COUNTIF('6月'!DJ23:DK23,"六本木ー夜勤")+COUNTIF('6月'!DO23:DP23,"六本木ー夜勤")+COUNTIF('6月'!DT23:DU23,"六本木ー夜勤")+COUNTIF('6月'!DY23:DZ23,"六本木ー夜勤")+COUNTIF('6月'!ED23:EE23,"六本木ー夜勤")+COUNTIF('6月'!EI23:EJ23,"六本木ー夜勤")+COUNTIF('6月'!EN23:EO23,"六本木ー夜勤")+COUNTIF('6月'!ES23:ET23,"六本木ー夜勤")</f>
        <v>0</v>
      </c>
      <c r="K210" s="76">
        <f t="shared" si="64"/>
        <v>0</v>
      </c>
      <c r="L210" s="76">
        <f>COUNTIF('6月'!D23:E23,L$189)+COUNTIF('6月'!I23:J23,L$189)+COUNTIF('6月'!N23:O23,L$189)+COUNTIF('6月'!S23:T23,L$189)+COUNTIF('6月'!X23:Y23,L$189)+COUNTIF('6月'!AC23:AD23,L$189)+COUNTIF('6月'!AH23:AI23,L$189)+COUNTIF('6月'!AM23:AN23,L$189)+COUNTIF('6月'!AR23:AS23,L$189)+COUNTIF('6月'!AW23:AX23,L$189)+COUNTIF('6月'!BB23:BC23,L$189)+COUNTIF('6月'!BG23:BH23,L$189)+COUNTIF('6月'!BL23:BM23,L$189)+COUNTIF('6月'!BQ23:BR23,L$189)+COUNTIF('6月'!BV23:BW23,L$189)+COUNTIF('6月'!CA23:CB23,L$189)+COUNTIF('6月'!CF23:CG23,L$189)+COUNTIF('6月'!CK23:CL23,L$189)+COUNTIF('6月'!CP23:CQ23,L$189)+COUNTIF('6月'!CU23:CV23,L$189)+COUNTIF('6月'!CZ23:DA23,L$189)+COUNTIF('6月'!DE23:DF23,L$189)+COUNTIF('6月'!DJ23:DK23,L$189)+COUNTIF('6月'!DO23:DP23,L$189)+COUNTIF('6月'!DT23:DU23,L$189)+COUNTIF('6月'!DY23:DZ23,L$189)+COUNTIF('6月'!ED23:EE23,L$189)+COUNTIF('6月'!EI23:EJ23,L$189)+COUNTIF('6月'!EN23:EO23,L$189)+COUNTIF('6月'!ES23:ET23,L$189)</f>
        <v>0</v>
      </c>
      <c r="M210" s="76">
        <f t="shared" si="65"/>
        <v>0</v>
      </c>
      <c r="N210" s="76">
        <f>COUNTIF('6月'!D23:E23,N$189)+COUNTIF('6月'!I23:J23,N$189)+COUNTIF('6月'!N23:O23,N$189)+COUNTIF('6月'!S23:T23,N$189)+COUNTIF('6月'!X23:Y23,N$189)+COUNTIF('6月'!AC23:AD23,N$189)+COUNTIF('6月'!AH23:AI23,N$189)+COUNTIF('6月'!AM23:AN23,N$189)+COUNTIF('6月'!AR23:AS23,N$189)+COUNTIF('6月'!AW23:AX23,N$189)+COUNTIF('6月'!BB23:BC23,N$189)+COUNTIF('6月'!BG23:BH23,N$189)+COUNTIF('6月'!BL23:BM23,N$189)+COUNTIF('6月'!BQ23:BR23,N$189)+COUNTIF('6月'!BV23:BW23,N$189)+COUNTIF('6月'!CA23:CB23,N$189)+COUNTIF('6月'!CF23:CG23,N$189)+COUNTIF('6月'!CK23:CL23,N$189)+COUNTIF('6月'!CP23:CQ23,N$189)+COUNTIF('6月'!CU23:CV23,N$189)+COUNTIF('6月'!CZ23:DA23,N$189)+COUNTIF('6月'!DE23:DF23,N$189)+COUNTIF('6月'!DJ23:DK23,N$189)+COUNTIF('6月'!DO23:DP23,N$189)+COUNTIF('6月'!DT23:DU23,N$189)+COUNTIF('6月'!DY23:DZ23,N$189)+COUNTIF('6月'!ED23:EE23,N$189)+COUNTIF('6月'!EI23:EJ23,N$189)+COUNTIF('6月'!EN23:EO23,N$189)+COUNTIF('6月'!ES23:ET23,N$189)+COUNTIF('6月'!D23:E23,"三軒茶屋－夜勤")+COUNTIF('6月'!I23:J23,"三軒茶屋－夜勤")+COUNTIF('6月'!N23:O23,"三軒茶屋－夜勤")+COUNTIF('6月'!S23:T23,"三軒茶屋－夜勤")+COUNTIF('6月'!X23:Y23,"三軒茶屋－夜勤")+COUNTIF('6月'!AC23:AD23,"三軒茶屋－夜勤")+COUNTIF('6月'!AH23:AI23,"三軒茶屋－夜勤")+COUNTIF('6月'!AM23:AN23,"三軒茶屋－夜勤")+COUNTIF('6月'!AR23:AS23,"三軒茶屋－夜勤")+COUNTIF('6月'!AW23:AX23,"三軒茶屋－夜勤")+COUNTIF('6月'!BB23:BC23,"三軒茶屋－夜勤")+COUNTIF('6月'!BG23:BH23,"三軒茶屋－夜勤")+COUNTIF('6月'!BL23:BM23,"三軒茶屋－夜勤")+COUNTIF('6月'!BQ23:BR23,"三軒茶屋－夜勤")+COUNTIF('6月'!BV23:BW23,"三軒茶屋－夜勤")+COUNTIF('6月'!CA23:CB23,"三軒茶屋－夜勤")+COUNTIF('6月'!CF23:CG23,"三軒茶屋－夜勤")+COUNTIF('6月'!CK23:CL23,"三軒茶屋－夜勤")+COUNTIF('6月'!CP23:CQ23,"三軒茶屋－夜勤")+COUNTIF('6月'!CU23:CV23,"三軒茶屋－夜勤")+COUNTIF('6月'!CZ23:DA23,"三軒茶屋－夜勤")+COUNTIF('6月'!DE23:DF23,"三軒茶屋－夜勤")+COUNTIF('6月'!DJ23:DK23,"三軒茶屋－夜勤")+COUNTIF('6月'!DO23:DP23,"三軒茶屋－夜勤")+COUNTIF('6月'!DT23:DU23,"三軒茶屋－夜勤")+COUNTIF('6月'!DY23:DZ23,"三軒茶屋－夜勤")+COUNTIF('6月'!ED23:EE23,"三軒茶屋－夜勤")+COUNTIF('6月'!EI23:EJ23,"三軒茶屋－夜勤")+COUNTIF('6月'!EN23:EO23,"三軒茶屋－夜勤")+COUNTIF('6月'!ES23:ET23,"三軒茶屋－夜勤")</f>
        <v>0</v>
      </c>
      <c r="O210" s="76">
        <f t="shared" si="66"/>
        <v>0</v>
      </c>
      <c r="P210" s="76">
        <f>COUNTIF('6月'!D23:E23,P$189)+COUNTIF('6月'!I23:J23,P$189)+COUNTIF('6月'!N23:O23,P$189)+COUNTIF('6月'!S23:T23,P$189)+COUNTIF('6月'!X23:Y23,P$189)+COUNTIF('6月'!AC23:AD23,P$189)+COUNTIF('6月'!AH23:AI23,P$189)+COUNTIF('6月'!AM23:AN23,P$189)+COUNTIF('6月'!AR23:AS23,P$189)+COUNTIF('6月'!AW23:AX23,P$189)+COUNTIF('6月'!BB23:BC23,P$189)+COUNTIF('6月'!BG23:BH23,P$189)+COUNTIF('6月'!BL23:BM23,P$189)+COUNTIF('6月'!BQ23:BR23,P$189)+COUNTIF('6月'!BV23:BW23,P$189)+COUNTIF('6月'!CA23:CB23,P$189)+COUNTIF('6月'!CF23:CG23,P$189)+COUNTIF('6月'!CK23:CL23,P$189)+COUNTIF('6月'!CP23:CQ23,P$189)+COUNTIF('6月'!CU23:CV23,P$189)+COUNTIF('6月'!CZ23:DA23,P$189)+COUNTIF('6月'!DE23:DF23,P$189)+COUNTIF('6月'!DJ23:DK23,P$189)+COUNTIF('6月'!DO23:DP23,P$189)+COUNTIF('6月'!DT23:DU23,P$189)+COUNTIF('6月'!DY23:DZ23,P$189)+COUNTIF('6月'!ED23:EE23,P$189)+COUNTIF('6月'!EI23:EJ23,P$189)+COUNTIF('6月'!EN23:EO23,P$189)+COUNTIF('6月'!ES23:ET23,P$189)+COUNTIF('6月'!D23:E23,"荻窪ー夜勤")+COUNTIF('6月'!I23:J23,"荻窪ー夜勤")+COUNTIF('6月'!N23:O23,"荻窪ー夜勤")+COUNTIF('6月'!S23:T23,"荻窪ー夜勤")+COUNTIF('6月'!X23:Y23,"荻窪ー夜勤")+COUNTIF('6月'!AC23:AD23,"荻窪ー夜勤")+COUNTIF('6月'!AH23:AI23,"荻窪ー夜勤")+COUNTIF('6月'!AM23:AN23,"荻窪ー夜勤")+COUNTIF('6月'!AR23:AS23,"荻窪ー夜勤")+COUNTIF('6月'!AW23:AX23,"荻窪ー夜勤")+COUNTIF('6月'!BB23:BC23,"荻窪ー夜勤")+COUNTIF('6月'!BG23:BH23,"荻窪ー夜勤")+COUNTIF('6月'!BL23:BM23,"荻窪ー夜勤")+COUNTIF('6月'!BQ23:BR23,"荻窪ー夜勤")+COUNTIF('6月'!BV23:BW23,"荻窪ー夜勤")+COUNTIF('6月'!CA23:CB23,"荻窪ー夜勤")+COUNTIF('6月'!CF23:CG23,"荻窪ー夜勤")+COUNTIF('6月'!CK23:CL23,"荻窪ー夜勤")+COUNTIF('6月'!CP23:CQ23,"荻窪ー夜勤")+COUNTIF('6月'!CU23:CV23,"荻窪ー夜勤")+COUNTIF('6月'!CZ23:DA23,"荻窪ー夜勤")+COUNTIF('6月'!DE23:DF23,"荻窪ー夜勤")+COUNTIF('6月'!DJ23:DK23,"荻窪ー夜勤")+COUNTIF('6月'!DO23:DP23,"荻窪ー夜勤")+COUNTIF('6月'!DT23:DU23,"荻窪ー夜勤")+COUNTIF('6月'!DY23:DZ23,"荻窪ー夜勤")+COUNTIF('6月'!ED23:EE23,"荻窪ー夜勤")+COUNTIF('6月'!EI23:EJ23,"荻窪ー夜勤")+COUNTIF('6月'!EN23:EO23,"荻窪ー夜勤")+COUNTIF('6月'!ES23:ET23,"荻窪ー夜勤")</f>
        <v>0</v>
      </c>
      <c r="Q210" s="76">
        <f t="shared" si="67"/>
        <v>0</v>
      </c>
      <c r="R210" s="76">
        <f>COUNTIF('6月'!D23:E23,R$189)+COUNTIF('6月'!I23:J23,R$189)+COUNTIF('6月'!N23:O23,R$189)+COUNTIF('6月'!S23:T23,R$189)+COUNTIF('6月'!X23:Y23,R$189)+COUNTIF('6月'!AC23:AD23,R$189)+COUNTIF('6月'!AH23:AI23,R$189)+COUNTIF('6月'!AM23:AN23,R$189)+COUNTIF('6月'!AR23:AS23,R$189)+COUNTIF('6月'!AW23:AX23,R$189)+COUNTIF('6月'!BB23:BC23,R$189)+COUNTIF('6月'!BG23:BH23,R$189)+COUNTIF('6月'!BL23:BM23,R$189)+COUNTIF('6月'!BQ23:BR23,R$189)+COUNTIF('6月'!BV23:BW23,R$189)+COUNTIF('6月'!CA23:CB23,R$189)+COUNTIF('6月'!CF23:CG23,R$189)+COUNTIF('6月'!CK23:CL23,R$189)+COUNTIF('6月'!CP23:CQ23,R$189)+COUNTIF('6月'!CU23:CV23,R$189)+COUNTIF('6月'!CZ23:DA23,R$189)+COUNTIF('6月'!DE23:DF23,R$189)+COUNTIF('6月'!DJ23:DK23,R$189)+COUNTIF('6月'!DO23:DP23,R$189)+COUNTIF('6月'!DT23:DU23,R$189)+COUNTIF('6月'!DY23:DZ23,R$189)+COUNTIF('6月'!ED23:EE23,R$189)+COUNTIF('6月'!EI23:EJ23,R$189)+COUNTIF('6月'!EN23:EO23,R$189)+COUNTIF('6月'!ES23:ET23,R$189)</f>
        <v>0</v>
      </c>
      <c r="S210" s="76">
        <f t="shared" si="68"/>
        <v>0</v>
      </c>
      <c r="T210" s="76">
        <f>COUNTIF('6月'!D23:E23,T$189)+COUNTIF('6月'!I23:J23,T$189)+COUNTIF('6月'!N23:O23,T$189)+COUNTIF('6月'!S23:T23,T$189)+COUNTIF('6月'!X23:Y23,T$189)+COUNTIF('6月'!AC23:AD23,T$189)+COUNTIF('6月'!AH23:AI23,T$189)+COUNTIF('6月'!AM23:AN23,T$189)+COUNTIF('6月'!AR23:AS23,T$189)+COUNTIF('6月'!AW23:AX23,T$189)+COUNTIF('6月'!BB23:BC23,T$189)+COUNTIF('6月'!BG23:BH23,T$189)+COUNTIF('6月'!BL23:BM23,T$189)+COUNTIF('6月'!BQ23:BR23,T$189)+COUNTIF('6月'!BV23:BW23,T$189)+COUNTIF('6月'!CA23:CB23,T$189)+COUNTIF('6月'!CF23:CG23,T$189)+COUNTIF('6月'!CK23:CL23,T$189)+COUNTIF('6月'!CP23:CQ23,T$189)+COUNTIF('6月'!CU23:CV23,T$189)+COUNTIF('6月'!CZ23:DA23,T$189)+COUNTIF('6月'!DE23:DF23,T$189)+COUNTIF('6月'!DJ23:DK23,T$189)+COUNTIF('6月'!DO23:DP23,T$189)+COUNTIF('6月'!DT23:DU23,T$189)+COUNTIF('6月'!DY23:DZ23,T$189)+COUNTIF('6月'!ED23:EE23,T$189)+COUNTIF('6月'!EI23:EJ23,T$189)+COUNTIF('6月'!EN23:EO23,T$189)+COUNTIF('6月'!ES23:ET23,T$189)</f>
        <v>0</v>
      </c>
      <c r="U210" s="76">
        <f t="shared" si="69"/>
        <v>0</v>
      </c>
      <c r="V210" s="76">
        <f>COUNTIF('6月'!D23:E23,V$189)+COUNTIF('6月'!I23:J23,V$189)+COUNTIF('6月'!N23:O23,V$189)+COUNTIF('6月'!S23:T23,V$189)+COUNTIF('6月'!X23:Y23,V$189)+COUNTIF('6月'!AC23:AD23,V$189)+COUNTIF('6月'!AH23:AI23,V$189)+COUNTIF('6月'!AM23:AN23,V$189)+COUNTIF('6月'!AR23:AS23,V$189)+COUNTIF('6月'!AW23:AX23,V$189)+COUNTIF('6月'!BB23:BC23,V$189)+COUNTIF('6月'!BG23:BH23,V$189)+COUNTIF('6月'!BL23:BM23,V$189)+COUNTIF('6月'!BQ23:BR23,V$189)+COUNTIF('6月'!BV23:BW23,V$189)+COUNTIF('6月'!CA23:CB23,V$189)+COUNTIF('6月'!CF23:CG23,V$189)+COUNTIF('6月'!CK23:CL23,V$189)+COUNTIF('6月'!CP23:CQ23,V$189)+COUNTIF('6月'!CU23:CV23,V$189)+COUNTIF('6月'!CZ23:DA23,V$189)+COUNTIF('6月'!DE23:DF23,V$189)+COUNTIF('6月'!DJ23:DK23,V$189)+COUNTIF('6月'!DO23:DP23,V$189)+COUNTIF('6月'!DT23:DU23,V$189)+COUNTIF('6月'!DY23:DZ23,V$189)+COUNTIF('6月'!ED23:EE23,V$189)+COUNTIF('6月'!EI23:EJ23,V$189)+COUNTIF('6月'!EN23:EO23,V$189)+COUNTIF('6月'!ES23:ET23,V$189)</f>
        <v>0</v>
      </c>
      <c r="W210" s="76">
        <f t="shared" si="70"/>
        <v>0</v>
      </c>
      <c r="X210" s="76">
        <f>COUNTIF('6月'!D23:E23,X$189)+COUNTIF('6月'!I23:J23,X$189)+COUNTIF('6月'!N23:O23,X$189)+COUNTIF('6月'!S23:T23,X$189)+COUNTIF('6月'!X23:Y23,X$189)+COUNTIF('6月'!AC23:AD23,X$189)+COUNTIF('6月'!AH23:AI23,X$189)+COUNTIF('6月'!AM23:AN23,X$189)+COUNTIF('6月'!AR23:AS23,X$189)+COUNTIF('6月'!AW23:AX23,X$189)+COUNTIF('6月'!BB23:BC23,X$189)+COUNTIF('6月'!BG23:BH23,X$189)+COUNTIF('6月'!BL23:BM23,X$189)+COUNTIF('6月'!BQ23:BR23,X$189)+COUNTIF('6月'!BV23:BW23,X$189)+COUNTIF('6月'!CA23:CB23,X$189)+COUNTIF('6月'!CF23:CG23,X$189)+COUNTIF('6月'!CK23:CL23,X$189)+COUNTIF('6月'!CP23:CQ23,X$189)+COUNTIF('6月'!CU23:CV23,X$189)+COUNTIF('6月'!CZ23:DA23,X$189)+COUNTIF('6月'!DE23:DF23,X$189)+COUNTIF('6月'!DJ23:DK23,X$189)+COUNTIF('6月'!DO23:DP23,X$189)+COUNTIF('6月'!DT23:DU23,X$189)+COUNTIF('6月'!DY23:DZ23,X$189)+COUNTIF('6月'!ED23:EE23,X$189)+COUNTIF('6月'!EI23:EJ23,X$189)+COUNTIF('6月'!EN23:EO23,X$189)+COUNTIF('6月'!ES23:ET23,X$189)</f>
        <v>0</v>
      </c>
      <c r="Y210" s="76">
        <f t="shared" si="71"/>
        <v>0</v>
      </c>
    </row>
    <row r="211" spans="1:25" ht="18" customHeight="1">
      <c r="A211" s="76">
        <v>21</v>
      </c>
      <c r="B211" s="76">
        <f>COUNTIF('6月'!D24:E24,B$189)+COUNTIF('6月'!I24:J24,B$189)+COUNTIF('6月'!N24:O24,B$189)+COUNTIF('6月'!S24:T24,B$189)+COUNTIF('6月'!X24:Y24,B$189)+COUNTIF('6月'!AC24:AD24,B$189)+COUNTIF('6月'!AH24:AI24,B$189)+COUNTIF('6月'!AM24:AN24,B$189)+COUNTIF('6月'!AR24:AS24,B$189)+COUNTIF('6月'!AW24:AX24,B$189)+COUNTIF('6月'!BB24:BC24,B$189)+COUNTIF('6月'!BG24:BH24,B$189)+COUNTIF('6月'!BL24:BM24,B$189)+COUNTIF('6月'!BQ24:BR24,B$189)+COUNTIF('6月'!BV24:BW24,B$189)+COUNTIF('6月'!CA24:CB24,B$189)+COUNTIF('6月'!CF24:CG24,B$189)+COUNTIF('6月'!CK24:CL24,B$189)+COUNTIF('6月'!CP24:CQ24,B$189)+COUNTIF('6月'!CU24:CV24,B$189)+COUNTIF('6月'!CZ24:DA24,B$189)+COUNTIF('6月'!DE24:DF24,B$189)+COUNTIF('6月'!DJ24:DK24,B$189)+COUNTIF('6月'!DO24:DP24,B$189)+COUNTIF('6月'!DT24:DU24,B$189)+COUNTIF('6月'!DY24:DZ24,B$189)+COUNTIF('6月'!ED24:EE24,B$189)+COUNTIF('6月'!EI24:EJ24,B$189)+COUNTIF('6月'!EN24:EO24,B$189)+COUNTIF('6月'!ES24:ET24,B$189)</f>
        <v>0</v>
      </c>
      <c r="C211" s="76">
        <f t="shared" si="60"/>
        <v>0</v>
      </c>
      <c r="D211" s="76">
        <f>COUNTIF('6月'!D24:E24,D$189)+COUNTIF('6月'!I24:J24,D$189)+COUNTIF('6月'!N24:O24,D$189)+COUNTIF('6月'!S24:T24,D$189)+COUNTIF('6月'!X24:Y24,D$189)+COUNTIF('6月'!AC24:AD24,D$189)+COUNTIF('6月'!AH24:AI24,D$189)+COUNTIF('6月'!AM24:AN24,D$189)+COUNTIF('6月'!AR24:AS24,D$189)+COUNTIF('6月'!AW24:AX24,D$189)+COUNTIF('6月'!BB24:BC24,D$189)+COUNTIF('6月'!BG24:BH24,D$189)+COUNTIF('6月'!BL24:BM24,D$189)+COUNTIF('6月'!BQ24:BR24,D$189)+COUNTIF('6月'!BV24:BW24,D$189)+COUNTIF('6月'!CA24:CB24,D$189)+COUNTIF('6月'!CF24:CG24,D$189)+COUNTIF('6月'!CK24:CL24,D$189)+COUNTIF('6月'!CP24:CQ24,D$189)+COUNTIF('6月'!CU24:CV24,D$189)+COUNTIF('6月'!CZ24:DA24,D$189)+COUNTIF('6月'!DE24:DF24,D$189)+COUNTIF('6月'!DJ24:DK24,D$189)+COUNTIF('6月'!DO24:DP24,D$189)+COUNTIF('6月'!DT24:DU24,D$189)+COUNTIF('6月'!DY24:DZ24,D$189)+COUNTIF('6月'!ED24:EE24,D$189)+COUNTIF('6月'!EI24:EJ24,D$189)+COUNTIF('6月'!EN24:EO24,D$189)+COUNTIF('6月'!ES24:ET24,D$189)</f>
        <v>0</v>
      </c>
      <c r="E211" s="76">
        <f t="shared" si="61"/>
        <v>0</v>
      </c>
      <c r="F211" s="76">
        <f>COUNTIF('6月'!D24:E24,F$189)+COUNTIF('6月'!I24:J24,F$189)+COUNTIF('6月'!N24:O24,F$189)+COUNTIF('6月'!S24:T24,F$189)+COUNTIF('6月'!X24:Y24,F$189)+COUNTIF('6月'!AC24:AD24,F$189)+COUNTIF('6月'!AH24:AI24,F$189)+COUNTIF('6月'!AM24:AN24,F$189)+COUNTIF('6月'!AR24:AS24,F$189)+COUNTIF('6月'!AW24:AX24,F$189)+COUNTIF('6月'!BB24:BC24,F$189)+COUNTIF('6月'!BG24:BH24,F$189)+COUNTIF('6月'!BL24:BM24,F$189)+COUNTIF('6月'!BQ24:BR24,F$189)+COUNTIF('6月'!BV24:BW24,F$189)+COUNTIF('6月'!CA24:CB24,F$189)+COUNTIF('6月'!CF24:CG24,F$189)+COUNTIF('6月'!CK24:CL24,F$189)+COUNTIF('6月'!CP24:CQ24,F$189)+COUNTIF('6月'!CU24:CV24,F$189)+COUNTIF('6月'!CZ24:DA24,F$189)+COUNTIF('6月'!DE24:DF24,F$189)+COUNTIF('6月'!DJ24:DK24,F$189)+COUNTIF('6月'!DO24:DP24,F$189)+COUNTIF('6月'!DT24:DU24,F$189)+COUNTIF('6月'!DY24:DZ24,F$189)+COUNTIF('6月'!ED24:EE24,F$189)+COUNTIF('6月'!EI24:EJ24,F$189)+COUNTIF('6月'!EN24:EO24,F$189)+COUNTIF('6月'!ES24:ET24,F$189)</f>
        <v>0</v>
      </c>
      <c r="G211" s="76">
        <f t="shared" si="62"/>
        <v>0</v>
      </c>
      <c r="H211" s="76">
        <f>COUNTIF('6月'!D24:E24,H$189)+COUNTIF('6月'!I24:J24,H$189)+COUNTIF('6月'!N24:O24,H$189)+COUNTIF('6月'!S24:T24,H$189)+COUNTIF('6月'!X24:Y24,H$189)+COUNTIF('6月'!AC24:AD24,H$189)+COUNTIF('6月'!AH24:AI24,H$189)+COUNTIF('6月'!AM24:AN24,H$189)+COUNTIF('6月'!AR24:AS24,H$189)+COUNTIF('6月'!AW24:AX24,H$189)+COUNTIF('6月'!BB24:BC24,H$189)+COUNTIF('6月'!BG24:BH24,H$189)+COUNTIF('6月'!BL24:BM24,H$189)+COUNTIF('6月'!BQ24:BR24,H$189)+COUNTIF('6月'!BV24:BW24,H$189)+COUNTIF('6月'!CA24:CB24,H$189)+COUNTIF('6月'!CF24:CG24,H$189)+COUNTIF('6月'!CK24:CL24,H$189)+COUNTIF('6月'!CP24:CQ24,H$189)+COUNTIF('6月'!CU24:CV24,H$189)+COUNTIF('6月'!CZ24:DA24,H$189)+COUNTIF('6月'!DE24:DF24,H$189)+COUNTIF('6月'!DJ24:DK24,H$189)+COUNTIF('6月'!DO24:DP24,H$189)+COUNTIF('6月'!DT24:DU24,H$189)+COUNTIF('6月'!DY24:DZ24,H$189)+COUNTIF('6月'!ED24:EE24,H$189)+COUNTIF('6月'!EI24:EJ24,H$189)+COUNTIF('6月'!EN24:EO24,H$189)+COUNTIF('6月'!ES24:ET24,H$189)+COUNTIF('6月'!D24:E24,"渋谷-夜勤")+COUNTIF('6月'!I24:J24,"渋谷-夜勤")+COUNTIF('6月'!N24:O24,"渋谷-夜勤")+COUNTIF('6月'!S24:T24,"渋谷-夜勤")+COUNTIF('6月'!X24:Y24,"渋谷-夜勤")+COUNTIF('6月'!AC24:AD24,"渋谷-夜勤")+COUNTIF('6月'!AH24:AI24,"渋谷-夜勤")+COUNTIF('6月'!AM24:AN24,"渋谷-夜勤")+COUNTIF('6月'!AR24:AS24,"渋谷-夜勤")+COUNTIF('6月'!AW24:AX24,"渋谷-夜勤")+COUNTIF('6月'!BB24:BC24,"渋谷-夜勤")+COUNTIF('6月'!BG24:BH24,"渋谷-夜勤")+COUNTIF('6月'!BL24:BM24,"渋谷-夜勤")+COUNTIF('6月'!BQ24:BR24,"渋谷-夜勤")+COUNTIF('6月'!BV24:BW24,"渋谷-夜勤")+COUNTIF('6月'!CA24:CB24,"渋谷-夜勤")+COUNTIF('6月'!CF24:CG24,"渋谷-夜勤")+COUNTIF('6月'!CK24:CL24,"渋谷-夜勤")+COUNTIF('6月'!CP24:CQ24,"渋谷-夜勤")+COUNTIF('6月'!CU24:CV24,"渋谷-夜勤")+COUNTIF('6月'!CZ24:DA24,"渋谷-夜勤")+COUNTIF('6月'!DE24:DF24,"渋谷-夜勤")+COUNTIF('6月'!DJ24:DK24,"渋谷-夜勤")+COUNTIF('6月'!DO24:DP24,"渋谷-夜勤")+COUNTIF('6月'!DT24:DU24,"渋谷-夜勤")+COUNTIF('6月'!DY24:DZ24,"渋谷-夜勤")+COUNTIF('6月'!ED24:EE24,"渋谷-夜勤")+COUNTIF('6月'!EI24:EJ24,"渋谷-夜勤")+COUNTIF('6月'!EN24:EO24,"渋谷-夜勤")+COUNTIF('6月'!ES24:ET24,"渋谷-夜勤")</f>
        <v>0</v>
      </c>
      <c r="I211" s="76">
        <f t="shared" si="63"/>
        <v>0</v>
      </c>
      <c r="J211" s="76">
        <f>COUNTIF('6月'!D24:E24,J$189)+COUNTIF('6月'!I24:J24,J$189)+COUNTIF('6月'!N24:O24,J$189)+COUNTIF('6月'!S24:T24,J$189)+COUNTIF('6月'!X24:Y24,J$189)+COUNTIF('6月'!AC24:AD24,J$189)+COUNTIF('6月'!AH24:AI24,J$189)+COUNTIF('6月'!AM24:AN24,J$189)+COUNTIF('6月'!AR24:AS24,J$189)+COUNTIF('6月'!AW24:AX24,J$189)+COUNTIF('6月'!BB24:BC24,J$189)+COUNTIF('6月'!BG24:BH24,J$189)+COUNTIF('6月'!BL24:BM24,J$189)+COUNTIF('6月'!BQ24:BR24,J$189)+COUNTIF('6月'!BV24:BW24,J$189)+COUNTIF('6月'!CA24:CB24,J$189)+COUNTIF('6月'!CF24:CG24,J$189)+COUNTIF('6月'!CK24:CL24,J$189)+COUNTIF('6月'!CP24:CQ24,J$189)+COUNTIF('6月'!CU24:CV24,J$189)+COUNTIF('6月'!CZ24:DA24,J$189)+COUNTIF('6月'!DE24:DF24,J$189)+COUNTIF('6月'!DJ24:DK24,J$189)+COUNTIF('6月'!DO24:DP24,J$189)+COUNTIF('6月'!DT24:DU24,J$189)+COUNTIF('6月'!DY24:DZ24,J$189)+COUNTIF('6月'!ED24:EE24,J$189)+COUNTIF('6月'!EI24:EJ24,J$189)+COUNTIF('6月'!EN24:EO24,J$189)+COUNTIF('6月'!ES24:ET24,J$189)+COUNTIF('6月'!D24:E24,"六本木-夜勤")+COUNTIF('6月'!I24:J24,"六本木-夜勤")+COUNTIF('6月'!N24:O24,"六本木-夜勤")+COUNTIF('6月'!S24:T24,"六本木-夜勤")+COUNTIF('6月'!X24:Y24,"六本木-夜勤")+COUNTIF('6月'!AC24:AD24,"六本木-夜勤")+COUNTIF('6月'!AH24:AI24,"六本木-夜勤")+COUNTIF('6月'!AM24:AN24,"六本木-夜勤")+COUNTIF('6月'!AR24:AS24,"六本木-夜勤")+COUNTIF('6月'!AW24:AX24,"六本木-夜勤")+COUNTIF('6月'!BB24:BC24,"六本木-夜勤")+COUNTIF('6月'!BG24:BH24,"六本木-夜勤")+COUNTIF('6月'!BL24:BM24,"六本木-夜勤")+COUNTIF('6月'!BQ24:BR24,"六本木-夜勤")+COUNTIF('6月'!BV24:BW24,"六本木-夜勤")+COUNTIF('6月'!CA24:CB24,"六本木-夜勤")+COUNTIF('6月'!CF24:CG24,"六本木-夜勤")+COUNTIF('6月'!CK24:CL24,"六本木-夜勤")+COUNTIF('6月'!CP24:CQ24,"六本木-夜勤")+COUNTIF('6月'!CU24:CV24,"六本木-夜勤")+COUNTIF('6月'!CZ24:DA24,"六本木-夜勤")+COUNTIF('6月'!DE24:DF24,"六本木-夜勤")+COUNTIF('6月'!DJ24:DK24,"六本木-夜勤")+COUNTIF('6月'!DO24:DP24,"六本木-夜勤")+COUNTIF('6月'!DT24:DU24,"六本木-夜勤")+COUNTIF('6月'!DY24:DZ24,"六本木-夜勤")+COUNTIF('6月'!ED24:EE24,"六本木-夜勤")+COUNTIF('6月'!EI24:EJ24,"六本木-夜勤")+COUNTIF('6月'!EN24:EO24,"六本木-夜勤")+COUNTIF('6月'!ES24:ET24,"六本木-夜勤")+COUNTIF('6月'!D24:E24,"六本木ー夜勤")+COUNTIF('6月'!I24:J24,"六本木ー夜勤")+COUNTIF('6月'!N24:O24,"六本木ー夜勤")+COUNTIF('6月'!S24:T24,"六本木ー夜勤")+COUNTIF('6月'!X24:Y24,"六本木ー夜勤")+COUNTIF('6月'!AC24:AD24,"六本木ー夜勤")+COUNTIF('6月'!AH24:AI24,"六本木ー夜勤")+COUNTIF('6月'!AM24:AN24,"六本木ー夜勤")+COUNTIF('6月'!AR24:AS24,"六本木ー夜勤")+COUNTIF('6月'!AW24:AX24,"六本木ー夜勤")+COUNTIF('6月'!BB24:BC24,"六本木ー夜勤")+COUNTIF('6月'!BG24:BH24,"六本木ー夜勤")+COUNTIF('6月'!BL24:BM24,"六本木ー夜勤")+COUNTIF('6月'!BQ24:BR24,"六本木ー夜勤")+COUNTIF('6月'!BV24:BW24,"六本木ー夜勤")+COUNTIF('6月'!CA24:CB24,"六本木ー夜勤")+COUNTIF('6月'!CF24:CG24,"六本木ー夜勤")+COUNTIF('6月'!CK24:CL24,"六本木ー夜勤")+COUNTIF('6月'!CP24:CQ24,"六本木ー夜勤")+COUNTIF('6月'!CU24:CV24,"六本木ー夜勤")+COUNTIF('6月'!CZ24:DA24,"六本木ー夜勤")+COUNTIF('6月'!DE24:DF24,"六本木ー夜勤")+COUNTIF('6月'!DJ24:DK24,"六本木ー夜勤")+COUNTIF('6月'!DO24:DP24,"六本木ー夜勤")+COUNTIF('6月'!DT24:DU24,"六本木ー夜勤")+COUNTIF('6月'!DY24:DZ24,"六本木ー夜勤")+COUNTIF('6月'!ED24:EE24,"六本木ー夜勤")+COUNTIF('6月'!EI24:EJ24,"六本木ー夜勤")+COUNTIF('6月'!EN24:EO24,"六本木ー夜勤")+COUNTIF('6月'!ES24:ET24,"六本木ー夜勤")</f>
        <v>0</v>
      </c>
      <c r="K211" s="76">
        <f t="shared" si="64"/>
        <v>0</v>
      </c>
      <c r="L211" s="76">
        <f>COUNTIF('6月'!D24:E24,L$189)+COUNTIF('6月'!I24:J24,L$189)+COUNTIF('6月'!N24:O24,L$189)+COUNTIF('6月'!S24:T24,L$189)+COUNTIF('6月'!X24:Y24,L$189)+COUNTIF('6月'!AC24:AD24,L$189)+COUNTIF('6月'!AH24:AI24,L$189)+COUNTIF('6月'!AM24:AN24,L$189)+COUNTIF('6月'!AR24:AS24,L$189)+COUNTIF('6月'!AW24:AX24,L$189)+COUNTIF('6月'!BB24:BC24,L$189)+COUNTIF('6月'!BG24:BH24,L$189)+COUNTIF('6月'!BL24:BM24,L$189)+COUNTIF('6月'!BQ24:BR24,L$189)+COUNTIF('6月'!BV24:BW24,L$189)+COUNTIF('6月'!CA24:CB24,L$189)+COUNTIF('6月'!CF24:CG24,L$189)+COUNTIF('6月'!CK24:CL24,L$189)+COUNTIF('6月'!CP24:CQ24,L$189)+COUNTIF('6月'!CU24:CV24,L$189)+COUNTIF('6月'!CZ24:DA24,L$189)+COUNTIF('6月'!DE24:DF24,L$189)+COUNTIF('6月'!DJ24:DK24,L$189)+COUNTIF('6月'!DO24:DP24,L$189)+COUNTIF('6月'!DT24:DU24,L$189)+COUNTIF('6月'!DY24:DZ24,L$189)+COUNTIF('6月'!ED24:EE24,L$189)+COUNTIF('6月'!EI24:EJ24,L$189)+COUNTIF('6月'!EN24:EO24,L$189)+COUNTIF('6月'!ES24:ET24,L$189)</f>
        <v>0</v>
      </c>
      <c r="M211" s="76">
        <f t="shared" si="65"/>
        <v>0</v>
      </c>
      <c r="N211" s="76">
        <f>COUNTIF('6月'!D24:E24,N$189)+COUNTIF('6月'!I24:J24,N$189)+COUNTIF('6月'!N24:O24,N$189)+COUNTIF('6月'!S24:T24,N$189)+COUNTIF('6月'!X24:Y24,N$189)+COUNTIF('6月'!AC24:AD24,N$189)+COUNTIF('6月'!AH24:AI24,N$189)+COUNTIF('6月'!AM24:AN24,N$189)+COUNTIF('6月'!AR24:AS24,N$189)+COUNTIF('6月'!AW24:AX24,N$189)+COUNTIF('6月'!BB24:BC24,N$189)+COUNTIF('6月'!BG24:BH24,N$189)+COUNTIF('6月'!BL24:BM24,N$189)+COUNTIF('6月'!BQ24:BR24,N$189)+COUNTIF('6月'!BV24:BW24,N$189)+COUNTIF('6月'!CA24:CB24,N$189)+COUNTIF('6月'!CF24:CG24,N$189)+COUNTIF('6月'!CK24:CL24,N$189)+COUNTIF('6月'!CP24:CQ24,N$189)+COUNTIF('6月'!CU24:CV24,N$189)+COUNTIF('6月'!CZ24:DA24,N$189)+COUNTIF('6月'!DE24:DF24,N$189)+COUNTIF('6月'!DJ24:DK24,N$189)+COUNTIF('6月'!DO24:DP24,N$189)+COUNTIF('6月'!DT24:DU24,N$189)+COUNTIF('6月'!DY24:DZ24,N$189)+COUNTIF('6月'!ED24:EE24,N$189)+COUNTIF('6月'!EI24:EJ24,N$189)+COUNTIF('6月'!EN24:EO24,N$189)+COUNTIF('6月'!ES24:ET24,N$189)+COUNTIF('6月'!D24:E24,"三軒茶屋－夜勤")+COUNTIF('6月'!I24:J24,"三軒茶屋－夜勤")+COUNTIF('6月'!N24:O24,"三軒茶屋－夜勤")+COUNTIF('6月'!S24:T24,"三軒茶屋－夜勤")+COUNTIF('6月'!X24:Y24,"三軒茶屋－夜勤")+COUNTIF('6月'!AC24:AD24,"三軒茶屋－夜勤")+COUNTIF('6月'!AH24:AI24,"三軒茶屋－夜勤")+COUNTIF('6月'!AM24:AN24,"三軒茶屋－夜勤")+COUNTIF('6月'!AR24:AS24,"三軒茶屋－夜勤")+COUNTIF('6月'!AW24:AX24,"三軒茶屋－夜勤")+COUNTIF('6月'!BB24:BC24,"三軒茶屋－夜勤")+COUNTIF('6月'!BG24:BH24,"三軒茶屋－夜勤")+COUNTIF('6月'!BL24:BM24,"三軒茶屋－夜勤")+COUNTIF('6月'!BQ24:BR24,"三軒茶屋－夜勤")+COUNTIF('6月'!BV24:BW24,"三軒茶屋－夜勤")+COUNTIF('6月'!CA24:CB24,"三軒茶屋－夜勤")+COUNTIF('6月'!CF24:CG24,"三軒茶屋－夜勤")+COUNTIF('6月'!CK24:CL24,"三軒茶屋－夜勤")+COUNTIF('6月'!CP24:CQ24,"三軒茶屋－夜勤")+COUNTIF('6月'!CU24:CV24,"三軒茶屋－夜勤")+COUNTIF('6月'!CZ24:DA24,"三軒茶屋－夜勤")+COUNTIF('6月'!DE24:DF24,"三軒茶屋－夜勤")+COUNTIF('6月'!DJ24:DK24,"三軒茶屋－夜勤")+COUNTIF('6月'!DO24:DP24,"三軒茶屋－夜勤")+COUNTIF('6月'!DT24:DU24,"三軒茶屋－夜勤")+COUNTIF('6月'!DY24:DZ24,"三軒茶屋－夜勤")+COUNTIF('6月'!ED24:EE24,"三軒茶屋－夜勤")+COUNTIF('6月'!EI24:EJ24,"三軒茶屋－夜勤")+COUNTIF('6月'!EN24:EO24,"三軒茶屋－夜勤")+COUNTIF('6月'!ES24:ET24,"三軒茶屋－夜勤")</f>
        <v>0</v>
      </c>
      <c r="O211" s="76">
        <f t="shared" si="66"/>
        <v>0</v>
      </c>
      <c r="P211" s="76">
        <f>COUNTIF('6月'!D24:E24,P$189)+COUNTIF('6月'!I24:J24,P$189)+COUNTIF('6月'!N24:O24,P$189)+COUNTIF('6月'!S24:T24,P$189)+COUNTIF('6月'!X24:Y24,P$189)+COUNTIF('6月'!AC24:AD24,P$189)+COUNTIF('6月'!AH24:AI24,P$189)+COUNTIF('6月'!AM24:AN24,P$189)+COUNTIF('6月'!AR24:AS24,P$189)+COUNTIF('6月'!AW24:AX24,P$189)+COUNTIF('6月'!BB24:BC24,P$189)+COUNTIF('6月'!BG24:BH24,P$189)+COUNTIF('6月'!BL24:BM24,P$189)+COUNTIF('6月'!BQ24:BR24,P$189)+COUNTIF('6月'!BV24:BW24,P$189)+COUNTIF('6月'!CA24:CB24,P$189)+COUNTIF('6月'!CF24:CG24,P$189)+COUNTIF('6月'!CK24:CL24,P$189)+COUNTIF('6月'!CP24:CQ24,P$189)+COUNTIF('6月'!CU24:CV24,P$189)+COUNTIF('6月'!CZ24:DA24,P$189)+COUNTIF('6月'!DE24:DF24,P$189)+COUNTIF('6月'!DJ24:DK24,P$189)+COUNTIF('6月'!DO24:DP24,P$189)+COUNTIF('6月'!DT24:DU24,P$189)+COUNTIF('6月'!DY24:DZ24,P$189)+COUNTIF('6月'!ED24:EE24,P$189)+COUNTIF('6月'!EI24:EJ24,P$189)+COUNTIF('6月'!EN24:EO24,P$189)+COUNTIF('6月'!ES24:ET24,P$189)+COUNTIF('6月'!D24:E24,"荻窪ー夜勤")+COUNTIF('6月'!I24:J24,"荻窪ー夜勤")+COUNTIF('6月'!N24:O24,"荻窪ー夜勤")+COUNTIF('6月'!S24:T24,"荻窪ー夜勤")+COUNTIF('6月'!X24:Y24,"荻窪ー夜勤")+COUNTIF('6月'!AC24:AD24,"荻窪ー夜勤")+COUNTIF('6月'!AH24:AI24,"荻窪ー夜勤")+COUNTIF('6月'!AM24:AN24,"荻窪ー夜勤")+COUNTIF('6月'!AR24:AS24,"荻窪ー夜勤")+COUNTIF('6月'!AW24:AX24,"荻窪ー夜勤")+COUNTIF('6月'!BB24:BC24,"荻窪ー夜勤")+COUNTIF('6月'!BG24:BH24,"荻窪ー夜勤")+COUNTIF('6月'!BL24:BM24,"荻窪ー夜勤")+COUNTIF('6月'!BQ24:BR24,"荻窪ー夜勤")+COUNTIF('6月'!BV24:BW24,"荻窪ー夜勤")+COUNTIF('6月'!CA24:CB24,"荻窪ー夜勤")+COUNTIF('6月'!CF24:CG24,"荻窪ー夜勤")+COUNTIF('6月'!CK24:CL24,"荻窪ー夜勤")+COUNTIF('6月'!CP24:CQ24,"荻窪ー夜勤")+COUNTIF('6月'!CU24:CV24,"荻窪ー夜勤")+COUNTIF('6月'!CZ24:DA24,"荻窪ー夜勤")+COUNTIF('6月'!DE24:DF24,"荻窪ー夜勤")+COUNTIF('6月'!DJ24:DK24,"荻窪ー夜勤")+COUNTIF('6月'!DO24:DP24,"荻窪ー夜勤")+COUNTIF('6月'!DT24:DU24,"荻窪ー夜勤")+COUNTIF('6月'!DY24:DZ24,"荻窪ー夜勤")+COUNTIF('6月'!ED24:EE24,"荻窪ー夜勤")+COUNTIF('6月'!EI24:EJ24,"荻窪ー夜勤")+COUNTIF('6月'!EN24:EO24,"荻窪ー夜勤")+COUNTIF('6月'!ES24:ET24,"荻窪ー夜勤")</f>
        <v>0</v>
      </c>
      <c r="Q211" s="76">
        <f t="shared" si="67"/>
        <v>0</v>
      </c>
      <c r="R211" s="76">
        <f>COUNTIF('6月'!D24:E24,R$189)+COUNTIF('6月'!I24:J24,R$189)+COUNTIF('6月'!N24:O24,R$189)+COUNTIF('6月'!S24:T24,R$189)+COUNTIF('6月'!X24:Y24,R$189)+COUNTIF('6月'!AC24:AD24,R$189)+COUNTIF('6月'!AH24:AI24,R$189)+COUNTIF('6月'!AM24:AN24,R$189)+COUNTIF('6月'!AR24:AS24,R$189)+COUNTIF('6月'!AW24:AX24,R$189)+COUNTIF('6月'!BB24:BC24,R$189)+COUNTIF('6月'!BG24:BH24,R$189)+COUNTIF('6月'!BL24:BM24,R$189)+COUNTIF('6月'!BQ24:BR24,R$189)+COUNTIF('6月'!BV24:BW24,R$189)+COUNTIF('6月'!CA24:CB24,R$189)+COUNTIF('6月'!CF24:CG24,R$189)+COUNTIF('6月'!CK24:CL24,R$189)+COUNTIF('6月'!CP24:CQ24,R$189)+COUNTIF('6月'!CU24:CV24,R$189)+COUNTIF('6月'!CZ24:DA24,R$189)+COUNTIF('6月'!DE24:DF24,R$189)+COUNTIF('6月'!DJ24:DK24,R$189)+COUNTIF('6月'!DO24:DP24,R$189)+COUNTIF('6月'!DT24:DU24,R$189)+COUNTIF('6月'!DY24:DZ24,R$189)+COUNTIF('6月'!ED24:EE24,R$189)+COUNTIF('6月'!EI24:EJ24,R$189)+COUNTIF('6月'!EN24:EO24,R$189)+COUNTIF('6月'!ES24:ET24,R$189)</f>
        <v>0</v>
      </c>
      <c r="S211" s="76">
        <f t="shared" si="68"/>
        <v>0</v>
      </c>
      <c r="T211" s="76">
        <f>COUNTIF('6月'!D24:E24,T$189)+COUNTIF('6月'!I24:J24,T$189)+COUNTIF('6月'!N24:O24,T$189)+COUNTIF('6月'!S24:T24,T$189)+COUNTIF('6月'!X24:Y24,T$189)+COUNTIF('6月'!AC24:AD24,T$189)+COUNTIF('6月'!AH24:AI24,T$189)+COUNTIF('6月'!AM24:AN24,T$189)+COUNTIF('6月'!AR24:AS24,T$189)+COUNTIF('6月'!AW24:AX24,T$189)+COUNTIF('6月'!BB24:BC24,T$189)+COUNTIF('6月'!BG24:BH24,T$189)+COUNTIF('6月'!BL24:BM24,T$189)+COUNTIF('6月'!BQ24:BR24,T$189)+COUNTIF('6月'!BV24:BW24,T$189)+COUNTIF('6月'!CA24:CB24,T$189)+COUNTIF('6月'!CF24:CG24,T$189)+COUNTIF('6月'!CK24:CL24,T$189)+COUNTIF('6月'!CP24:CQ24,T$189)+COUNTIF('6月'!CU24:CV24,T$189)+COUNTIF('6月'!CZ24:DA24,T$189)+COUNTIF('6月'!DE24:DF24,T$189)+COUNTIF('6月'!DJ24:DK24,T$189)+COUNTIF('6月'!DO24:DP24,T$189)+COUNTIF('6月'!DT24:DU24,T$189)+COUNTIF('6月'!DY24:DZ24,T$189)+COUNTIF('6月'!ED24:EE24,T$189)+COUNTIF('6月'!EI24:EJ24,T$189)+COUNTIF('6月'!EN24:EO24,T$189)+COUNTIF('6月'!ES24:ET24,T$189)</f>
        <v>0</v>
      </c>
      <c r="U211" s="76">
        <f t="shared" si="69"/>
        <v>0</v>
      </c>
      <c r="V211" s="76">
        <f>COUNTIF('6月'!D24:E24,V$189)+COUNTIF('6月'!I24:J24,V$189)+COUNTIF('6月'!N24:O24,V$189)+COUNTIF('6月'!S24:T24,V$189)+COUNTIF('6月'!X24:Y24,V$189)+COUNTIF('6月'!AC24:AD24,V$189)+COUNTIF('6月'!AH24:AI24,V$189)+COUNTIF('6月'!AM24:AN24,V$189)+COUNTIF('6月'!AR24:AS24,V$189)+COUNTIF('6月'!AW24:AX24,V$189)+COUNTIF('6月'!BB24:BC24,V$189)+COUNTIF('6月'!BG24:BH24,V$189)+COUNTIF('6月'!BL24:BM24,V$189)+COUNTIF('6月'!BQ24:BR24,V$189)+COUNTIF('6月'!BV24:BW24,V$189)+COUNTIF('6月'!CA24:CB24,V$189)+COUNTIF('6月'!CF24:CG24,V$189)+COUNTIF('6月'!CK24:CL24,V$189)+COUNTIF('6月'!CP24:CQ24,V$189)+COUNTIF('6月'!CU24:CV24,V$189)+COUNTIF('6月'!CZ24:DA24,V$189)+COUNTIF('6月'!DE24:DF24,V$189)+COUNTIF('6月'!DJ24:DK24,V$189)+COUNTIF('6月'!DO24:DP24,V$189)+COUNTIF('6月'!DT24:DU24,V$189)+COUNTIF('6月'!DY24:DZ24,V$189)+COUNTIF('6月'!ED24:EE24,V$189)+COUNTIF('6月'!EI24:EJ24,V$189)+COUNTIF('6月'!EN24:EO24,V$189)+COUNTIF('6月'!ES24:ET24,V$189)</f>
        <v>0</v>
      </c>
      <c r="W211" s="76">
        <f t="shared" si="70"/>
        <v>0</v>
      </c>
      <c r="X211" s="76">
        <f>COUNTIF('6月'!D24:E24,X$189)+COUNTIF('6月'!I24:J24,X$189)+COUNTIF('6月'!N24:O24,X$189)+COUNTIF('6月'!S24:T24,X$189)+COUNTIF('6月'!X24:Y24,X$189)+COUNTIF('6月'!AC24:AD24,X$189)+COUNTIF('6月'!AH24:AI24,X$189)+COUNTIF('6月'!AM24:AN24,X$189)+COUNTIF('6月'!AR24:AS24,X$189)+COUNTIF('6月'!AW24:AX24,X$189)+COUNTIF('6月'!BB24:BC24,X$189)+COUNTIF('6月'!BG24:BH24,X$189)+COUNTIF('6月'!BL24:BM24,X$189)+COUNTIF('6月'!BQ24:BR24,X$189)+COUNTIF('6月'!BV24:BW24,X$189)+COUNTIF('6月'!CA24:CB24,X$189)+COUNTIF('6月'!CF24:CG24,X$189)+COUNTIF('6月'!CK24:CL24,X$189)+COUNTIF('6月'!CP24:CQ24,X$189)+COUNTIF('6月'!CU24:CV24,X$189)+COUNTIF('6月'!CZ24:DA24,X$189)+COUNTIF('6月'!DE24:DF24,X$189)+COUNTIF('6月'!DJ24:DK24,X$189)+COUNTIF('6月'!DO24:DP24,X$189)+COUNTIF('6月'!DT24:DU24,X$189)+COUNTIF('6月'!DY24:DZ24,X$189)+COUNTIF('6月'!ED24:EE24,X$189)+COUNTIF('6月'!EI24:EJ24,X$189)+COUNTIF('6月'!EN24:EO24,X$189)+COUNTIF('6月'!ES24:ET24,X$189)</f>
        <v>0</v>
      </c>
      <c r="Y211" s="76">
        <f t="shared" si="71"/>
        <v>0</v>
      </c>
    </row>
    <row r="212" spans="1:25" ht="18" customHeight="1">
      <c r="A212" s="76">
        <v>22</v>
      </c>
      <c r="B212" s="76">
        <f>COUNTIF('6月'!D25:E25,B$189)+COUNTIF('6月'!I25:J25,B$189)+COUNTIF('6月'!N25:O25,B$189)+COUNTIF('6月'!S25:T25,B$189)+COUNTIF('6月'!X25:Y25,B$189)+COUNTIF('6月'!AC25:AD25,B$189)+COUNTIF('6月'!AH25:AI25,B$189)+COUNTIF('6月'!AM25:AN25,B$189)+COUNTIF('6月'!AR25:AS25,B$189)+COUNTIF('6月'!AW25:AX25,B$189)+COUNTIF('6月'!BB25:BC25,B$189)+COUNTIF('6月'!BG25:BH25,B$189)+COUNTIF('6月'!BL25:BM25,B$189)+COUNTIF('6月'!BQ25:BR25,B$189)+COUNTIF('6月'!BV25:BW25,B$189)+COUNTIF('6月'!CA25:CB25,B$189)+COUNTIF('6月'!CF25:CG25,B$189)+COUNTIF('6月'!CK25:CL25,B$189)+COUNTIF('6月'!CP25:CQ25,B$189)+COUNTIF('6月'!CU25:CV25,B$189)+COUNTIF('6月'!CZ25:DA25,B$189)+COUNTIF('6月'!DE25:DF25,B$189)+COUNTIF('6月'!DJ25:DK25,B$189)+COUNTIF('6月'!DO25:DP25,B$189)+COUNTIF('6月'!DT25:DU25,B$189)+COUNTIF('6月'!DY25:DZ25,B$189)+COUNTIF('6月'!ED25:EE25,B$189)+COUNTIF('6月'!EI25:EJ25,B$189)+COUNTIF('6月'!EN25:EO25,B$189)+COUNTIF('6月'!ES25:ET25,B$189)</f>
        <v>0</v>
      </c>
      <c r="C212" s="76">
        <f t="shared" si="60"/>
        <v>0</v>
      </c>
      <c r="D212" s="76">
        <f>COUNTIF('6月'!D25:E25,D$189)+COUNTIF('6月'!I25:J25,D$189)+COUNTIF('6月'!N25:O25,D$189)+COUNTIF('6月'!S25:T25,D$189)+COUNTIF('6月'!X25:Y25,D$189)+COUNTIF('6月'!AC25:AD25,D$189)+COUNTIF('6月'!AH25:AI25,D$189)+COUNTIF('6月'!AM25:AN25,D$189)+COUNTIF('6月'!AR25:AS25,D$189)+COUNTIF('6月'!AW25:AX25,D$189)+COUNTIF('6月'!BB25:BC25,D$189)+COUNTIF('6月'!BG25:BH25,D$189)+COUNTIF('6月'!BL25:BM25,D$189)+COUNTIF('6月'!BQ25:BR25,D$189)+COUNTIF('6月'!BV25:BW25,D$189)+COUNTIF('6月'!CA25:CB25,D$189)+COUNTIF('6月'!CF25:CG25,D$189)+COUNTIF('6月'!CK25:CL25,D$189)+COUNTIF('6月'!CP25:CQ25,D$189)+COUNTIF('6月'!CU25:CV25,D$189)+COUNTIF('6月'!CZ25:DA25,D$189)+COUNTIF('6月'!DE25:DF25,D$189)+COUNTIF('6月'!DJ25:DK25,D$189)+COUNTIF('6月'!DO25:DP25,D$189)+COUNTIF('6月'!DT25:DU25,D$189)+COUNTIF('6月'!DY25:DZ25,D$189)+COUNTIF('6月'!ED25:EE25,D$189)+COUNTIF('6月'!EI25:EJ25,D$189)+COUNTIF('6月'!EN25:EO25,D$189)+COUNTIF('6月'!ES25:ET25,D$189)</f>
        <v>0</v>
      </c>
      <c r="E212" s="76">
        <f t="shared" si="61"/>
        <v>0</v>
      </c>
      <c r="F212" s="76">
        <f>COUNTIF('6月'!D25:E25,F$189)+COUNTIF('6月'!I25:J25,F$189)+COUNTIF('6月'!N25:O25,F$189)+COUNTIF('6月'!S25:T25,F$189)+COUNTIF('6月'!X25:Y25,F$189)+COUNTIF('6月'!AC25:AD25,F$189)+COUNTIF('6月'!AH25:AI25,F$189)+COUNTIF('6月'!AM25:AN25,F$189)+COUNTIF('6月'!AR25:AS25,F$189)+COUNTIF('6月'!AW25:AX25,F$189)+COUNTIF('6月'!BB25:BC25,F$189)+COUNTIF('6月'!BG25:BH25,F$189)+COUNTIF('6月'!BL25:BM25,F$189)+COUNTIF('6月'!BQ25:BR25,F$189)+COUNTIF('6月'!BV25:BW25,F$189)+COUNTIF('6月'!CA25:CB25,F$189)+COUNTIF('6月'!CF25:CG25,F$189)+COUNTIF('6月'!CK25:CL25,F$189)+COUNTIF('6月'!CP25:CQ25,F$189)+COUNTIF('6月'!CU25:CV25,F$189)+COUNTIF('6月'!CZ25:DA25,F$189)+COUNTIF('6月'!DE25:DF25,F$189)+COUNTIF('6月'!DJ25:DK25,F$189)+COUNTIF('6月'!DO25:DP25,F$189)+COUNTIF('6月'!DT25:DU25,F$189)+COUNTIF('6月'!DY25:DZ25,F$189)+COUNTIF('6月'!ED25:EE25,F$189)+COUNTIF('6月'!EI25:EJ25,F$189)+COUNTIF('6月'!EN25:EO25,F$189)+COUNTIF('6月'!ES25:ET25,F$189)</f>
        <v>0</v>
      </c>
      <c r="G212" s="76">
        <f t="shared" si="62"/>
        <v>0</v>
      </c>
      <c r="H212" s="76">
        <f>COUNTIF('6月'!D25:E25,H$189)+COUNTIF('6月'!I25:J25,H$189)+COUNTIF('6月'!N25:O25,H$189)+COUNTIF('6月'!S25:T25,H$189)+COUNTIF('6月'!X25:Y25,H$189)+COUNTIF('6月'!AC25:AD25,H$189)+COUNTIF('6月'!AH25:AI25,H$189)+COUNTIF('6月'!AM25:AN25,H$189)+COUNTIF('6月'!AR25:AS25,H$189)+COUNTIF('6月'!AW25:AX25,H$189)+COUNTIF('6月'!BB25:BC25,H$189)+COUNTIF('6月'!BG25:BH25,H$189)+COUNTIF('6月'!BL25:BM25,H$189)+COUNTIF('6月'!BQ25:BR25,H$189)+COUNTIF('6月'!BV25:BW25,H$189)+COUNTIF('6月'!CA25:CB25,H$189)+COUNTIF('6月'!CF25:CG25,H$189)+COUNTIF('6月'!CK25:CL25,H$189)+COUNTIF('6月'!CP25:CQ25,H$189)+COUNTIF('6月'!CU25:CV25,H$189)+COUNTIF('6月'!CZ25:DA25,H$189)+COUNTIF('6月'!DE25:DF25,H$189)+COUNTIF('6月'!DJ25:DK25,H$189)+COUNTIF('6月'!DO25:DP25,H$189)+COUNTIF('6月'!DT25:DU25,H$189)+COUNTIF('6月'!DY25:DZ25,H$189)+COUNTIF('6月'!ED25:EE25,H$189)+COUNTIF('6月'!EI25:EJ25,H$189)+COUNTIF('6月'!EN25:EO25,H$189)+COUNTIF('6月'!ES25:ET25,H$189)+COUNTIF('6月'!D25:E25,"渋谷-夜勤")+COUNTIF('6月'!I25:J25,"渋谷-夜勤")+COUNTIF('6月'!N25:O25,"渋谷-夜勤")+COUNTIF('6月'!S25:T25,"渋谷-夜勤")+COUNTIF('6月'!X25:Y25,"渋谷-夜勤")+COUNTIF('6月'!AC25:AD25,"渋谷-夜勤")+COUNTIF('6月'!AH25:AI25,"渋谷-夜勤")+COUNTIF('6月'!AM25:AN25,"渋谷-夜勤")+COUNTIF('6月'!AR25:AS25,"渋谷-夜勤")+COUNTIF('6月'!AW25:AX25,"渋谷-夜勤")+COUNTIF('6月'!BB25:BC25,"渋谷-夜勤")+COUNTIF('6月'!BG25:BH25,"渋谷-夜勤")+COUNTIF('6月'!BL25:BM25,"渋谷-夜勤")+COUNTIF('6月'!BQ25:BR25,"渋谷-夜勤")+COUNTIF('6月'!BV25:BW25,"渋谷-夜勤")+COUNTIF('6月'!CA25:CB25,"渋谷-夜勤")+COUNTIF('6月'!CF25:CG25,"渋谷-夜勤")+COUNTIF('6月'!CK25:CL25,"渋谷-夜勤")+COUNTIF('6月'!CP25:CQ25,"渋谷-夜勤")+COUNTIF('6月'!CU25:CV25,"渋谷-夜勤")+COUNTIF('6月'!CZ25:DA25,"渋谷-夜勤")+COUNTIF('6月'!DE25:DF25,"渋谷-夜勤")+COUNTIF('6月'!DJ25:DK25,"渋谷-夜勤")+COUNTIF('6月'!DO25:DP25,"渋谷-夜勤")+COUNTIF('6月'!DT25:DU25,"渋谷-夜勤")+COUNTIF('6月'!DY25:DZ25,"渋谷-夜勤")+COUNTIF('6月'!ED25:EE25,"渋谷-夜勤")+COUNTIF('6月'!EI25:EJ25,"渋谷-夜勤")+COUNTIF('6月'!EN25:EO25,"渋谷-夜勤")+COUNTIF('6月'!ES25:ET25,"渋谷-夜勤")</f>
        <v>0</v>
      </c>
      <c r="I212" s="76">
        <f t="shared" si="63"/>
        <v>0</v>
      </c>
      <c r="J212" s="76">
        <f>COUNTIF('6月'!D25:E25,J$189)+COUNTIF('6月'!I25:J25,J$189)+COUNTIF('6月'!N25:O25,J$189)+COUNTIF('6月'!S25:T25,J$189)+COUNTIF('6月'!X25:Y25,J$189)+COUNTIF('6月'!AC25:AD25,J$189)+COUNTIF('6月'!AH25:AI25,J$189)+COUNTIF('6月'!AM25:AN25,J$189)+COUNTIF('6月'!AR25:AS25,J$189)+COUNTIF('6月'!AW25:AX25,J$189)+COUNTIF('6月'!BB25:BC25,J$189)+COUNTIF('6月'!BG25:BH25,J$189)+COUNTIF('6月'!BL25:BM25,J$189)+COUNTIF('6月'!BQ25:BR25,J$189)+COUNTIF('6月'!BV25:BW25,J$189)+COUNTIF('6月'!CA25:CB25,J$189)+COUNTIF('6月'!CF25:CG25,J$189)+COUNTIF('6月'!CK25:CL25,J$189)+COUNTIF('6月'!CP25:CQ25,J$189)+COUNTIF('6月'!CU25:CV25,J$189)+COUNTIF('6月'!CZ25:DA25,J$189)+COUNTIF('6月'!DE25:DF25,J$189)+COUNTIF('6月'!DJ25:DK25,J$189)+COUNTIF('6月'!DO25:DP25,J$189)+COUNTIF('6月'!DT25:DU25,J$189)+COUNTIF('6月'!DY25:DZ25,J$189)+COUNTIF('6月'!ED25:EE25,J$189)+COUNTIF('6月'!EI25:EJ25,J$189)+COUNTIF('6月'!EN25:EO25,J$189)+COUNTIF('6月'!ES25:ET25,J$189)+COUNTIF('6月'!D25:E25,"六本木-夜勤")+COUNTIF('6月'!I25:J25,"六本木-夜勤")+COUNTIF('6月'!N25:O25,"六本木-夜勤")+COUNTIF('6月'!S25:T25,"六本木-夜勤")+COUNTIF('6月'!X25:Y25,"六本木-夜勤")+COUNTIF('6月'!AC25:AD25,"六本木-夜勤")+COUNTIF('6月'!AH25:AI25,"六本木-夜勤")+COUNTIF('6月'!AM25:AN25,"六本木-夜勤")+COUNTIF('6月'!AR25:AS25,"六本木-夜勤")+COUNTIF('6月'!AW25:AX25,"六本木-夜勤")+COUNTIF('6月'!BB25:BC25,"六本木-夜勤")+COUNTIF('6月'!BG25:BH25,"六本木-夜勤")+COUNTIF('6月'!BL25:BM25,"六本木-夜勤")+COUNTIF('6月'!BQ25:BR25,"六本木-夜勤")+COUNTIF('6月'!BV25:BW25,"六本木-夜勤")+COUNTIF('6月'!CA25:CB25,"六本木-夜勤")+COUNTIF('6月'!CF25:CG25,"六本木-夜勤")+COUNTIF('6月'!CK25:CL25,"六本木-夜勤")+COUNTIF('6月'!CP25:CQ25,"六本木-夜勤")+COUNTIF('6月'!CU25:CV25,"六本木-夜勤")+COUNTIF('6月'!CZ25:DA25,"六本木-夜勤")+COUNTIF('6月'!DE25:DF25,"六本木-夜勤")+COUNTIF('6月'!DJ25:DK25,"六本木-夜勤")+COUNTIF('6月'!DO25:DP25,"六本木-夜勤")+COUNTIF('6月'!DT25:DU25,"六本木-夜勤")+COUNTIF('6月'!DY25:DZ25,"六本木-夜勤")+COUNTIF('6月'!ED25:EE25,"六本木-夜勤")+COUNTIF('6月'!EI25:EJ25,"六本木-夜勤")+COUNTIF('6月'!EN25:EO25,"六本木-夜勤")+COUNTIF('6月'!ES25:ET25,"六本木-夜勤")+COUNTIF('6月'!D25:E25,"六本木ー夜勤")+COUNTIF('6月'!I25:J25,"六本木ー夜勤")+COUNTIF('6月'!N25:O25,"六本木ー夜勤")+COUNTIF('6月'!S25:T25,"六本木ー夜勤")+COUNTIF('6月'!X25:Y25,"六本木ー夜勤")+COUNTIF('6月'!AC25:AD25,"六本木ー夜勤")+COUNTIF('6月'!AH25:AI25,"六本木ー夜勤")+COUNTIF('6月'!AM25:AN25,"六本木ー夜勤")+COUNTIF('6月'!AR25:AS25,"六本木ー夜勤")+COUNTIF('6月'!AW25:AX25,"六本木ー夜勤")+COUNTIF('6月'!BB25:BC25,"六本木ー夜勤")+COUNTIF('6月'!BG25:BH25,"六本木ー夜勤")+COUNTIF('6月'!BL25:BM25,"六本木ー夜勤")+COUNTIF('6月'!BQ25:BR25,"六本木ー夜勤")+COUNTIF('6月'!BV25:BW25,"六本木ー夜勤")+COUNTIF('6月'!CA25:CB25,"六本木ー夜勤")+COUNTIF('6月'!CF25:CG25,"六本木ー夜勤")+COUNTIF('6月'!CK25:CL25,"六本木ー夜勤")+COUNTIF('6月'!CP25:CQ25,"六本木ー夜勤")+COUNTIF('6月'!CU25:CV25,"六本木ー夜勤")+COUNTIF('6月'!CZ25:DA25,"六本木ー夜勤")+COUNTIF('6月'!DE25:DF25,"六本木ー夜勤")+COUNTIF('6月'!DJ25:DK25,"六本木ー夜勤")+COUNTIF('6月'!DO25:DP25,"六本木ー夜勤")+COUNTIF('6月'!DT25:DU25,"六本木ー夜勤")+COUNTIF('6月'!DY25:DZ25,"六本木ー夜勤")+COUNTIF('6月'!ED25:EE25,"六本木ー夜勤")+COUNTIF('6月'!EI25:EJ25,"六本木ー夜勤")+COUNTIF('6月'!EN25:EO25,"六本木ー夜勤")+COUNTIF('6月'!ES25:ET25,"六本木ー夜勤")</f>
        <v>0</v>
      </c>
      <c r="K212" s="76">
        <f t="shared" si="64"/>
        <v>0</v>
      </c>
      <c r="L212" s="76">
        <f>COUNTIF('6月'!D25:E25,L$189)+COUNTIF('6月'!I25:J25,L$189)+COUNTIF('6月'!N25:O25,L$189)+COUNTIF('6月'!S25:T25,L$189)+COUNTIF('6月'!X25:Y25,L$189)+COUNTIF('6月'!AC25:AD25,L$189)+COUNTIF('6月'!AH25:AI25,L$189)+COUNTIF('6月'!AM25:AN25,L$189)+COUNTIF('6月'!AR25:AS25,L$189)+COUNTIF('6月'!AW25:AX25,L$189)+COUNTIF('6月'!BB25:BC25,L$189)+COUNTIF('6月'!BG25:BH25,L$189)+COUNTIF('6月'!BL25:BM25,L$189)+COUNTIF('6月'!BQ25:BR25,L$189)+COUNTIF('6月'!BV25:BW25,L$189)+COUNTIF('6月'!CA25:CB25,L$189)+COUNTIF('6月'!CF25:CG25,L$189)+COUNTIF('6月'!CK25:CL25,L$189)+COUNTIF('6月'!CP25:CQ25,L$189)+COUNTIF('6月'!CU25:CV25,L$189)+COUNTIF('6月'!CZ25:DA25,L$189)+COUNTIF('6月'!DE25:DF25,L$189)+COUNTIF('6月'!DJ25:DK25,L$189)+COUNTIF('6月'!DO25:DP25,L$189)+COUNTIF('6月'!DT25:DU25,L$189)+COUNTIF('6月'!DY25:DZ25,L$189)+COUNTIF('6月'!ED25:EE25,L$189)+COUNTIF('6月'!EI25:EJ25,L$189)+COUNTIF('6月'!EN25:EO25,L$189)+COUNTIF('6月'!ES25:ET25,L$189)</f>
        <v>0</v>
      </c>
      <c r="M212" s="76">
        <f t="shared" si="65"/>
        <v>0</v>
      </c>
      <c r="N212" s="76">
        <f>COUNTIF('6月'!D25:E25,N$189)+COUNTIF('6月'!I25:J25,N$189)+COUNTIF('6月'!N25:O25,N$189)+COUNTIF('6月'!S25:T25,N$189)+COUNTIF('6月'!X25:Y25,N$189)+COUNTIF('6月'!AC25:AD25,N$189)+COUNTIF('6月'!AH25:AI25,N$189)+COUNTIF('6月'!AM25:AN25,N$189)+COUNTIF('6月'!AR25:AS25,N$189)+COUNTIF('6月'!AW25:AX25,N$189)+COUNTIF('6月'!BB25:BC25,N$189)+COUNTIF('6月'!BG25:BH25,N$189)+COUNTIF('6月'!BL25:BM25,N$189)+COUNTIF('6月'!BQ25:BR25,N$189)+COUNTIF('6月'!BV25:BW25,N$189)+COUNTIF('6月'!CA25:CB25,N$189)+COUNTIF('6月'!CF25:CG25,N$189)+COUNTIF('6月'!CK25:CL25,N$189)+COUNTIF('6月'!CP25:CQ25,N$189)+COUNTIF('6月'!CU25:CV25,N$189)+COUNTIF('6月'!CZ25:DA25,N$189)+COUNTIF('6月'!DE25:DF25,N$189)+COUNTIF('6月'!DJ25:DK25,N$189)+COUNTIF('6月'!DO25:DP25,N$189)+COUNTIF('6月'!DT25:DU25,N$189)+COUNTIF('6月'!DY25:DZ25,N$189)+COUNTIF('6月'!ED25:EE25,N$189)+COUNTIF('6月'!EI25:EJ25,N$189)+COUNTIF('6月'!EN25:EO25,N$189)+COUNTIF('6月'!ES25:ET25,N$189)+COUNTIF('6月'!D25:E25,"三軒茶屋－夜勤")+COUNTIF('6月'!I25:J25,"三軒茶屋－夜勤")+COUNTIF('6月'!N25:O25,"三軒茶屋－夜勤")+COUNTIF('6月'!S25:T25,"三軒茶屋－夜勤")+COUNTIF('6月'!X25:Y25,"三軒茶屋－夜勤")+COUNTIF('6月'!AC25:AD25,"三軒茶屋－夜勤")+COUNTIF('6月'!AH25:AI25,"三軒茶屋－夜勤")+COUNTIF('6月'!AM25:AN25,"三軒茶屋－夜勤")+COUNTIF('6月'!AR25:AS25,"三軒茶屋－夜勤")+COUNTIF('6月'!AW25:AX25,"三軒茶屋－夜勤")+COUNTIF('6月'!BB25:BC25,"三軒茶屋－夜勤")+COUNTIF('6月'!BG25:BH25,"三軒茶屋－夜勤")+COUNTIF('6月'!BL25:BM25,"三軒茶屋－夜勤")+COUNTIF('6月'!BQ25:BR25,"三軒茶屋－夜勤")+COUNTIF('6月'!BV25:BW25,"三軒茶屋－夜勤")+COUNTIF('6月'!CA25:CB25,"三軒茶屋－夜勤")+COUNTIF('6月'!CF25:CG25,"三軒茶屋－夜勤")+COUNTIF('6月'!CK25:CL25,"三軒茶屋－夜勤")+COUNTIF('6月'!CP25:CQ25,"三軒茶屋－夜勤")+COUNTIF('6月'!CU25:CV25,"三軒茶屋－夜勤")+COUNTIF('6月'!CZ25:DA25,"三軒茶屋－夜勤")+COUNTIF('6月'!DE25:DF25,"三軒茶屋－夜勤")+COUNTIF('6月'!DJ25:DK25,"三軒茶屋－夜勤")+COUNTIF('6月'!DO25:DP25,"三軒茶屋－夜勤")+COUNTIF('6月'!DT25:DU25,"三軒茶屋－夜勤")+COUNTIF('6月'!DY25:DZ25,"三軒茶屋－夜勤")+COUNTIF('6月'!ED25:EE25,"三軒茶屋－夜勤")+COUNTIF('6月'!EI25:EJ25,"三軒茶屋－夜勤")+COUNTIF('6月'!EN25:EO25,"三軒茶屋－夜勤")+COUNTIF('6月'!ES25:ET25,"三軒茶屋－夜勤")</f>
        <v>0</v>
      </c>
      <c r="O212" s="76">
        <f t="shared" si="66"/>
        <v>0</v>
      </c>
      <c r="P212" s="76">
        <f>COUNTIF('6月'!D25:E25,P$189)+COUNTIF('6月'!I25:J25,P$189)+COUNTIF('6月'!N25:O25,P$189)+COUNTIF('6月'!S25:T25,P$189)+COUNTIF('6月'!X25:Y25,P$189)+COUNTIF('6月'!AC25:AD25,P$189)+COUNTIF('6月'!AH25:AI25,P$189)+COUNTIF('6月'!AM25:AN25,P$189)+COUNTIF('6月'!AR25:AS25,P$189)+COUNTIF('6月'!AW25:AX25,P$189)+COUNTIF('6月'!BB25:BC25,P$189)+COUNTIF('6月'!BG25:BH25,P$189)+COUNTIF('6月'!BL25:BM25,P$189)+COUNTIF('6月'!BQ25:BR25,P$189)+COUNTIF('6月'!BV25:BW25,P$189)+COUNTIF('6月'!CA25:CB25,P$189)+COUNTIF('6月'!CF25:CG25,P$189)+COUNTIF('6月'!CK25:CL25,P$189)+COUNTIF('6月'!CP25:CQ25,P$189)+COUNTIF('6月'!CU25:CV25,P$189)+COUNTIF('6月'!CZ25:DA25,P$189)+COUNTIF('6月'!DE25:DF25,P$189)+COUNTIF('6月'!DJ25:DK25,P$189)+COUNTIF('6月'!DO25:DP25,P$189)+COUNTIF('6月'!DT25:DU25,P$189)+COUNTIF('6月'!DY25:DZ25,P$189)+COUNTIF('6月'!ED25:EE25,P$189)+COUNTIF('6月'!EI25:EJ25,P$189)+COUNTIF('6月'!EN25:EO25,P$189)+COUNTIF('6月'!ES25:ET25,P$189)+COUNTIF('6月'!D25:E25,"荻窪ー夜勤")+COUNTIF('6月'!I25:J25,"荻窪ー夜勤")+COUNTIF('6月'!N25:O25,"荻窪ー夜勤")+COUNTIF('6月'!S25:T25,"荻窪ー夜勤")+COUNTIF('6月'!X25:Y25,"荻窪ー夜勤")+COUNTIF('6月'!AC25:AD25,"荻窪ー夜勤")+COUNTIF('6月'!AH25:AI25,"荻窪ー夜勤")+COUNTIF('6月'!AM25:AN25,"荻窪ー夜勤")+COUNTIF('6月'!AR25:AS25,"荻窪ー夜勤")+COUNTIF('6月'!AW25:AX25,"荻窪ー夜勤")+COUNTIF('6月'!BB25:BC25,"荻窪ー夜勤")+COUNTIF('6月'!BG25:BH25,"荻窪ー夜勤")+COUNTIF('6月'!BL25:BM25,"荻窪ー夜勤")+COUNTIF('6月'!BQ25:BR25,"荻窪ー夜勤")+COUNTIF('6月'!BV25:BW25,"荻窪ー夜勤")+COUNTIF('6月'!CA25:CB25,"荻窪ー夜勤")+COUNTIF('6月'!CF25:CG25,"荻窪ー夜勤")+COUNTIF('6月'!CK25:CL25,"荻窪ー夜勤")+COUNTIF('6月'!CP25:CQ25,"荻窪ー夜勤")+COUNTIF('6月'!CU25:CV25,"荻窪ー夜勤")+COUNTIF('6月'!CZ25:DA25,"荻窪ー夜勤")+COUNTIF('6月'!DE25:DF25,"荻窪ー夜勤")+COUNTIF('6月'!DJ25:DK25,"荻窪ー夜勤")+COUNTIF('6月'!DO25:DP25,"荻窪ー夜勤")+COUNTIF('6月'!DT25:DU25,"荻窪ー夜勤")+COUNTIF('6月'!DY25:DZ25,"荻窪ー夜勤")+COUNTIF('6月'!ED25:EE25,"荻窪ー夜勤")+COUNTIF('6月'!EI25:EJ25,"荻窪ー夜勤")+COUNTIF('6月'!EN25:EO25,"荻窪ー夜勤")+COUNTIF('6月'!ES25:ET25,"荻窪ー夜勤")</f>
        <v>0</v>
      </c>
      <c r="Q212" s="76">
        <f t="shared" si="67"/>
        <v>0</v>
      </c>
      <c r="R212" s="76">
        <f>COUNTIF('6月'!D25:E25,R$189)+COUNTIF('6月'!I25:J25,R$189)+COUNTIF('6月'!N25:O25,R$189)+COUNTIF('6月'!S25:T25,R$189)+COUNTIF('6月'!X25:Y25,R$189)+COUNTIF('6月'!AC25:AD25,R$189)+COUNTIF('6月'!AH25:AI25,R$189)+COUNTIF('6月'!AM25:AN25,R$189)+COUNTIF('6月'!AR25:AS25,R$189)+COUNTIF('6月'!AW25:AX25,R$189)+COUNTIF('6月'!BB25:BC25,R$189)+COUNTIF('6月'!BG25:BH25,R$189)+COUNTIF('6月'!BL25:BM25,R$189)+COUNTIF('6月'!BQ25:BR25,R$189)+COUNTIF('6月'!BV25:BW25,R$189)+COUNTIF('6月'!CA25:CB25,R$189)+COUNTIF('6月'!CF25:CG25,R$189)+COUNTIF('6月'!CK25:CL25,R$189)+COUNTIF('6月'!CP25:CQ25,R$189)+COUNTIF('6月'!CU25:CV25,R$189)+COUNTIF('6月'!CZ25:DA25,R$189)+COUNTIF('6月'!DE25:DF25,R$189)+COUNTIF('6月'!DJ25:DK25,R$189)+COUNTIF('6月'!DO25:DP25,R$189)+COUNTIF('6月'!DT25:DU25,R$189)+COUNTIF('6月'!DY25:DZ25,R$189)+COUNTIF('6月'!ED25:EE25,R$189)+COUNTIF('6月'!EI25:EJ25,R$189)+COUNTIF('6月'!EN25:EO25,R$189)+COUNTIF('6月'!ES25:ET25,R$189)</f>
        <v>0</v>
      </c>
      <c r="S212" s="76">
        <f t="shared" si="68"/>
        <v>0</v>
      </c>
      <c r="T212" s="76">
        <f>COUNTIF('6月'!D25:E25,T$189)+COUNTIF('6月'!I25:J25,T$189)+COUNTIF('6月'!N25:O25,T$189)+COUNTIF('6月'!S25:T25,T$189)+COUNTIF('6月'!X25:Y25,T$189)+COUNTIF('6月'!AC25:AD25,T$189)+COUNTIF('6月'!AH25:AI25,T$189)+COUNTIF('6月'!AM25:AN25,T$189)+COUNTIF('6月'!AR25:AS25,T$189)+COUNTIF('6月'!AW25:AX25,T$189)+COUNTIF('6月'!BB25:BC25,T$189)+COUNTIF('6月'!BG25:BH25,T$189)+COUNTIF('6月'!BL25:BM25,T$189)+COUNTIF('6月'!BQ25:BR25,T$189)+COUNTIF('6月'!BV25:BW25,T$189)+COUNTIF('6月'!CA25:CB25,T$189)+COUNTIF('6月'!CF25:CG25,T$189)+COUNTIF('6月'!CK25:CL25,T$189)+COUNTIF('6月'!CP25:CQ25,T$189)+COUNTIF('6月'!CU25:CV25,T$189)+COUNTIF('6月'!CZ25:DA25,T$189)+COUNTIF('6月'!DE25:DF25,T$189)+COUNTIF('6月'!DJ25:DK25,T$189)+COUNTIF('6月'!DO25:DP25,T$189)+COUNTIF('6月'!DT25:DU25,T$189)+COUNTIF('6月'!DY25:DZ25,T$189)+COUNTIF('6月'!ED25:EE25,T$189)+COUNTIF('6月'!EI25:EJ25,T$189)+COUNTIF('6月'!EN25:EO25,T$189)+COUNTIF('6月'!ES25:ET25,T$189)</f>
        <v>0</v>
      </c>
      <c r="U212" s="76">
        <f t="shared" si="69"/>
        <v>0</v>
      </c>
      <c r="V212" s="76">
        <f>COUNTIF('6月'!D25:E25,V$189)+COUNTIF('6月'!I25:J25,V$189)+COUNTIF('6月'!N25:O25,V$189)+COUNTIF('6月'!S25:T25,V$189)+COUNTIF('6月'!X25:Y25,V$189)+COUNTIF('6月'!AC25:AD25,V$189)+COUNTIF('6月'!AH25:AI25,V$189)+COUNTIF('6月'!AM25:AN25,V$189)+COUNTIF('6月'!AR25:AS25,V$189)+COUNTIF('6月'!AW25:AX25,V$189)+COUNTIF('6月'!BB25:BC25,V$189)+COUNTIF('6月'!BG25:BH25,V$189)+COUNTIF('6月'!BL25:BM25,V$189)+COUNTIF('6月'!BQ25:BR25,V$189)+COUNTIF('6月'!BV25:BW25,V$189)+COUNTIF('6月'!CA25:CB25,V$189)+COUNTIF('6月'!CF25:CG25,V$189)+COUNTIF('6月'!CK25:CL25,V$189)+COUNTIF('6月'!CP25:CQ25,V$189)+COUNTIF('6月'!CU25:CV25,V$189)+COUNTIF('6月'!CZ25:DA25,V$189)+COUNTIF('6月'!DE25:DF25,V$189)+COUNTIF('6月'!DJ25:DK25,V$189)+COUNTIF('6月'!DO25:DP25,V$189)+COUNTIF('6月'!DT25:DU25,V$189)+COUNTIF('6月'!DY25:DZ25,V$189)+COUNTIF('6月'!ED25:EE25,V$189)+COUNTIF('6月'!EI25:EJ25,V$189)+COUNTIF('6月'!EN25:EO25,V$189)+COUNTIF('6月'!ES25:ET25,V$189)</f>
        <v>0</v>
      </c>
      <c r="W212" s="76">
        <f t="shared" si="70"/>
        <v>0</v>
      </c>
      <c r="X212" s="76">
        <f>COUNTIF('6月'!D25:E25,X$189)+COUNTIF('6月'!I25:J25,X$189)+COUNTIF('6月'!N25:O25,X$189)+COUNTIF('6月'!S25:T25,X$189)+COUNTIF('6月'!X25:Y25,X$189)+COUNTIF('6月'!AC25:AD25,X$189)+COUNTIF('6月'!AH25:AI25,X$189)+COUNTIF('6月'!AM25:AN25,X$189)+COUNTIF('6月'!AR25:AS25,X$189)+COUNTIF('6月'!AW25:AX25,X$189)+COUNTIF('6月'!BB25:BC25,X$189)+COUNTIF('6月'!BG25:BH25,X$189)+COUNTIF('6月'!BL25:BM25,X$189)+COUNTIF('6月'!BQ25:BR25,X$189)+COUNTIF('6月'!BV25:BW25,X$189)+COUNTIF('6月'!CA25:CB25,X$189)+COUNTIF('6月'!CF25:CG25,X$189)+COUNTIF('6月'!CK25:CL25,X$189)+COUNTIF('6月'!CP25:CQ25,X$189)+COUNTIF('6月'!CU25:CV25,X$189)+COUNTIF('6月'!CZ25:DA25,X$189)+COUNTIF('6月'!DE25:DF25,X$189)+COUNTIF('6月'!DJ25:DK25,X$189)+COUNTIF('6月'!DO25:DP25,X$189)+COUNTIF('6月'!DT25:DU25,X$189)+COUNTIF('6月'!DY25:DZ25,X$189)+COUNTIF('6月'!ED25:EE25,X$189)+COUNTIF('6月'!EI25:EJ25,X$189)+COUNTIF('6月'!EN25:EO25,X$189)+COUNTIF('6月'!ES25:ET25,X$189)</f>
        <v>0</v>
      </c>
      <c r="Y212" s="76">
        <f t="shared" si="71"/>
        <v>0</v>
      </c>
    </row>
    <row r="213" spans="1:25" ht="18" customHeight="1">
      <c r="A213" s="76">
        <v>23</v>
      </c>
      <c r="B213" s="76">
        <f>COUNTIF('6月'!D26:E26,B$189)+COUNTIF('6月'!I26:J26,B$189)+COUNTIF('6月'!N26:O26,B$189)+COUNTIF('6月'!S26:T26,B$189)+COUNTIF('6月'!X26:Y26,B$189)+COUNTIF('6月'!AC26:AD26,B$189)+COUNTIF('6月'!AH26:AI26,B$189)+COUNTIF('6月'!AM26:AN26,B$189)+COUNTIF('6月'!AR26:AS26,B$189)+COUNTIF('6月'!AW26:AX26,B$189)+COUNTIF('6月'!BB26:BC26,B$189)+COUNTIF('6月'!BG26:BH26,B$189)+COUNTIF('6月'!BL26:BM26,B$189)+COUNTIF('6月'!BQ26:BR26,B$189)+COUNTIF('6月'!BV26:BW26,B$189)+COUNTIF('6月'!CA26:CB26,B$189)+COUNTIF('6月'!CF26:CG26,B$189)+COUNTIF('6月'!CK26:CL26,B$189)+COUNTIF('6月'!CP26:CQ26,B$189)+COUNTIF('6月'!CU26:CV26,B$189)+COUNTIF('6月'!CZ26:DA26,B$189)+COUNTIF('6月'!DE26:DF26,B$189)+COUNTIF('6月'!DJ26:DK26,B$189)+COUNTIF('6月'!DO26:DP26,B$189)+COUNTIF('6月'!DT26:DU26,B$189)+COUNTIF('6月'!DY26:DZ26,B$189)+COUNTIF('6月'!ED26:EE26,B$189)+COUNTIF('6月'!EI26:EJ26,B$189)+COUNTIF('6月'!EN26:EO26,B$189)+COUNTIF('6月'!ES26:ET26,B$189)</f>
        <v>0</v>
      </c>
      <c r="C213" s="76">
        <f t="shared" si="60"/>
        <v>0</v>
      </c>
      <c r="D213" s="76">
        <f>COUNTIF('6月'!D26:E26,D$189)+COUNTIF('6月'!I26:J26,D$189)+COUNTIF('6月'!N26:O26,D$189)+COUNTIF('6月'!S26:T26,D$189)+COUNTIF('6月'!X26:Y26,D$189)+COUNTIF('6月'!AC26:AD26,D$189)+COUNTIF('6月'!AH26:AI26,D$189)+COUNTIF('6月'!AM26:AN26,D$189)+COUNTIF('6月'!AR26:AS26,D$189)+COUNTIF('6月'!AW26:AX26,D$189)+COUNTIF('6月'!BB26:BC26,D$189)+COUNTIF('6月'!BG26:BH26,D$189)+COUNTIF('6月'!BL26:BM26,D$189)+COUNTIF('6月'!BQ26:BR26,D$189)+COUNTIF('6月'!BV26:BW26,D$189)+COUNTIF('6月'!CA26:CB26,D$189)+COUNTIF('6月'!CF26:CG26,D$189)+COUNTIF('6月'!CK26:CL26,D$189)+COUNTIF('6月'!CP26:CQ26,D$189)+COUNTIF('6月'!CU26:CV26,D$189)+COUNTIF('6月'!CZ26:DA26,D$189)+COUNTIF('6月'!DE26:DF26,D$189)+COUNTIF('6月'!DJ26:DK26,D$189)+COUNTIF('6月'!DO26:DP26,D$189)+COUNTIF('6月'!DT26:DU26,D$189)+COUNTIF('6月'!DY26:DZ26,D$189)+COUNTIF('6月'!ED26:EE26,D$189)+COUNTIF('6月'!EI26:EJ26,D$189)+COUNTIF('6月'!EN26:EO26,D$189)+COUNTIF('6月'!ES26:ET26,D$189)</f>
        <v>0</v>
      </c>
      <c r="E213" s="76">
        <f t="shared" si="61"/>
        <v>0</v>
      </c>
      <c r="F213" s="76">
        <f>COUNTIF('6月'!D26:E26,F$189)+COUNTIF('6月'!I26:J26,F$189)+COUNTIF('6月'!N26:O26,F$189)+COUNTIF('6月'!S26:T26,F$189)+COUNTIF('6月'!X26:Y26,F$189)+COUNTIF('6月'!AC26:AD26,F$189)+COUNTIF('6月'!AH26:AI26,F$189)+COUNTIF('6月'!AM26:AN26,F$189)+COUNTIF('6月'!AR26:AS26,F$189)+COUNTIF('6月'!AW26:AX26,F$189)+COUNTIF('6月'!BB26:BC26,F$189)+COUNTIF('6月'!BG26:BH26,F$189)+COUNTIF('6月'!BL26:BM26,F$189)+COUNTIF('6月'!BQ26:BR26,F$189)+COUNTIF('6月'!BV26:BW26,F$189)+COUNTIF('6月'!CA26:CB26,F$189)+COUNTIF('6月'!CF26:CG26,F$189)+COUNTIF('6月'!CK26:CL26,F$189)+COUNTIF('6月'!CP26:CQ26,F$189)+COUNTIF('6月'!CU26:CV26,F$189)+COUNTIF('6月'!CZ26:DA26,F$189)+COUNTIF('6月'!DE26:DF26,F$189)+COUNTIF('6月'!DJ26:DK26,F$189)+COUNTIF('6月'!DO26:DP26,F$189)+COUNTIF('6月'!DT26:DU26,F$189)+COUNTIF('6月'!DY26:DZ26,F$189)+COUNTIF('6月'!ED26:EE26,F$189)+COUNTIF('6月'!EI26:EJ26,F$189)+COUNTIF('6月'!EN26:EO26,F$189)+COUNTIF('6月'!ES26:ET26,F$189)</f>
        <v>0</v>
      </c>
      <c r="G213" s="76">
        <f t="shared" si="62"/>
        <v>0</v>
      </c>
      <c r="H213" s="76">
        <f>COUNTIF('6月'!D26:E26,H$189)+COUNTIF('6月'!I26:J26,H$189)+COUNTIF('6月'!N26:O26,H$189)+COUNTIF('6月'!S26:T26,H$189)+COUNTIF('6月'!X26:Y26,H$189)+COUNTIF('6月'!AC26:AD26,H$189)+COUNTIF('6月'!AH26:AI26,H$189)+COUNTIF('6月'!AM26:AN26,H$189)+COUNTIF('6月'!AR26:AS26,H$189)+COUNTIF('6月'!AW26:AX26,H$189)+COUNTIF('6月'!BB26:BC26,H$189)+COUNTIF('6月'!BG26:BH26,H$189)+COUNTIF('6月'!BL26:BM26,H$189)+COUNTIF('6月'!BQ26:BR26,H$189)+COUNTIF('6月'!BV26:BW26,H$189)+COUNTIF('6月'!CA26:CB26,H$189)+COUNTIF('6月'!CF26:CG26,H$189)+COUNTIF('6月'!CK26:CL26,H$189)+COUNTIF('6月'!CP26:CQ26,H$189)+COUNTIF('6月'!CU26:CV26,H$189)+COUNTIF('6月'!CZ26:DA26,H$189)+COUNTIF('6月'!DE26:DF26,H$189)+COUNTIF('6月'!DJ26:DK26,H$189)+COUNTIF('6月'!DO26:DP26,H$189)+COUNTIF('6月'!DT26:DU26,H$189)+COUNTIF('6月'!DY26:DZ26,H$189)+COUNTIF('6月'!ED26:EE26,H$189)+COUNTIF('6月'!EI26:EJ26,H$189)+COUNTIF('6月'!EN26:EO26,H$189)+COUNTIF('6月'!ES26:ET26,H$189)+COUNTIF('6月'!D26:E26,"渋谷-夜勤")+COUNTIF('6月'!I26:J26,"渋谷-夜勤")+COUNTIF('6月'!N26:O26,"渋谷-夜勤")+COUNTIF('6月'!S26:T26,"渋谷-夜勤")+COUNTIF('6月'!X26:Y26,"渋谷-夜勤")+COUNTIF('6月'!AC26:AD26,"渋谷-夜勤")+COUNTIF('6月'!AH26:AI26,"渋谷-夜勤")+COUNTIF('6月'!AM26:AN26,"渋谷-夜勤")+COUNTIF('6月'!AR26:AS26,"渋谷-夜勤")+COUNTIF('6月'!AW26:AX26,"渋谷-夜勤")+COUNTIF('6月'!BB26:BC26,"渋谷-夜勤")+COUNTIF('6月'!BG26:BH26,"渋谷-夜勤")+COUNTIF('6月'!BL26:BM26,"渋谷-夜勤")+COUNTIF('6月'!BQ26:BR26,"渋谷-夜勤")+COUNTIF('6月'!BV26:BW26,"渋谷-夜勤")+COUNTIF('6月'!CA26:CB26,"渋谷-夜勤")+COUNTIF('6月'!CF26:CG26,"渋谷-夜勤")+COUNTIF('6月'!CK26:CL26,"渋谷-夜勤")+COUNTIF('6月'!CP26:CQ26,"渋谷-夜勤")+COUNTIF('6月'!CU26:CV26,"渋谷-夜勤")+COUNTIF('6月'!CZ26:DA26,"渋谷-夜勤")+COUNTIF('6月'!DE26:DF26,"渋谷-夜勤")+COUNTIF('6月'!DJ26:DK26,"渋谷-夜勤")+COUNTIF('6月'!DO26:DP26,"渋谷-夜勤")+COUNTIF('6月'!DT26:DU26,"渋谷-夜勤")+COUNTIF('6月'!DY26:DZ26,"渋谷-夜勤")+COUNTIF('6月'!ED26:EE26,"渋谷-夜勤")+COUNTIF('6月'!EI26:EJ26,"渋谷-夜勤")+COUNTIF('6月'!EN26:EO26,"渋谷-夜勤")+COUNTIF('6月'!ES26:ET26,"渋谷-夜勤")</f>
        <v>0</v>
      </c>
      <c r="I213" s="76">
        <f t="shared" si="63"/>
        <v>0</v>
      </c>
      <c r="J213" s="76">
        <f>COUNTIF('6月'!D26:E26,J$189)+COUNTIF('6月'!I26:J26,J$189)+COUNTIF('6月'!N26:O26,J$189)+COUNTIF('6月'!S26:T26,J$189)+COUNTIF('6月'!X26:Y26,J$189)+COUNTIF('6月'!AC26:AD26,J$189)+COUNTIF('6月'!AH26:AI26,J$189)+COUNTIF('6月'!AM26:AN26,J$189)+COUNTIF('6月'!AR26:AS26,J$189)+COUNTIF('6月'!AW26:AX26,J$189)+COUNTIF('6月'!BB26:BC26,J$189)+COUNTIF('6月'!BG26:BH26,J$189)+COUNTIF('6月'!BL26:BM26,J$189)+COUNTIF('6月'!BQ26:BR26,J$189)+COUNTIF('6月'!BV26:BW26,J$189)+COUNTIF('6月'!CA26:CB26,J$189)+COUNTIF('6月'!CF26:CG26,J$189)+COUNTIF('6月'!CK26:CL26,J$189)+COUNTIF('6月'!CP26:CQ26,J$189)+COUNTIF('6月'!CU26:CV26,J$189)+COUNTIF('6月'!CZ26:DA26,J$189)+COUNTIF('6月'!DE26:DF26,J$189)+COUNTIF('6月'!DJ26:DK26,J$189)+COUNTIF('6月'!DO26:DP26,J$189)+COUNTIF('6月'!DT26:DU26,J$189)+COUNTIF('6月'!DY26:DZ26,J$189)+COUNTIF('6月'!ED26:EE26,J$189)+COUNTIF('6月'!EI26:EJ26,J$189)+COUNTIF('6月'!EN26:EO26,J$189)+COUNTIF('6月'!ES26:ET26,J$189)+COUNTIF('6月'!D26:E26,"六本木-夜勤")+COUNTIF('6月'!I26:J26,"六本木-夜勤")+COUNTIF('6月'!N26:O26,"六本木-夜勤")+COUNTIF('6月'!S26:T26,"六本木-夜勤")+COUNTIF('6月'!X26:Y26,"六本木-夜勤")+COUNTIF('6月'!AC26:AD26,"六本木-夜勤")+COUNTIF('6月'!AH26:AI26,"六本木-夜勤")+COUNTIF('6月'!AM26:AN26,"六本木-夜勤")+COUNTIF('6月'!AR26:AS26,"六本木-夜勤")+COUNTIF('6月'!AW26:AX26,"六本木-夜勤")+COUNTIF('6月'!BB26:BC26,"六本木-夜勤")+COUNTIF('6月'!BG26:BH26,"六本木-夜勤")+COUNTIF('6月'!BL26:BM26,"六本木-夜勤")+COUNTIF('6月'!BQ26:BR26,"六本木-夜勤")+COUNTIF('6月'!BV26:BW26,"六本木-夜勤")+COUNTIF('6月'!CA26:CB26,"六本木-夜勤")+COUNTIF('6月'!CF26:CG26,"六本木-夜勤")+COUNTIF('6月'!CK26:CL26,"六本木-夜勤")+COUNTIF('6月'!CP26:CQ26,"六本木-夜勤")+COUNTIF('6月'!CU26:CV26,"六本木-夜勤")+COUNTIF('6月'!CZ26:DA26,"六本木-夜勤")+COUNTIF('6月'!DE26:DF26,"六本木-夜勤")+COUNTIF('6月'!DJ26:DK26,"六本木-夜勤")+COUNTIF('6月'!DO26:DP26,"六本木-夜勤")+COUNTIF('6月'!DT26:DU26,"六本木-夜勤")+COUNTIF('6月'!DY26:DZ26,"六本木-夜勤")+COUNTIF('6月'!ED26:EE26,"六本木-夜勤")+COUNTIF('6月'!EI26:EJ26,"六本木-夜勤")+COUNTIF('6月'!EN26:EO26,"六本木-夜勤")+COUNTIF('6月'!ES26:ET26,"六本木-夜勤")+COUNTIF('6月'!D26:E26,"六本木ー夜勤")+COUNTIF('6月'!I26:J26,"六本木ー夜勤")+COUNTIF('6月'!N26:O26,"六本木ー夜勤")+COUNTIF('6月'!S26:T26,"六本木ー夜勤")+COUNTIF('6月'!X26:Y26,"六本木ー夜勤")+COUNTIF('6月'!AC26:AD26,"六本木ー夜勤")+COUNTIF('6月'!AH26:AI26,"六本木ー夜勤")+COUNTIF('6月'!AM26:AN26,"六本木ー夜勤")+COUNTIF('6月'!AR26:AS26,"六本木ー夜勤")+COUNTIF('6月'!AW26:AX26,"六本木ー夜勤")+COUNTIF('6月'!BB26:BC26,"六本木ー夜勤")+COUNTIF('6月'!BG26:BH26,"六本木ー夜勤")+COUNTIF('6月'!BL26:BM26,"六本木ー夜勤")+COUNTIF('6月'!BQ26:BR26,"六本木ー夜勤")+COUNTIF('6月'!BV26:BW26,"六本木ー夜勤")+COUNTIF('6月'!CA26:CB26,"六本木ー夜勤")+COUNTIF('6月'!CF26:CG26,"六本木ー夜勤")+COUNTIF('6月'!CK26:CL26,"六本木ー夜勤")+COUNTIF('6月'!CP26:CQ26,"六本木ー夜勤")+COUNTIF('6月'!CU26:CV26,"六本木ー夜勤")+COUNTIF('6月'!CZ26:DA26,"六本木ー夜勤")+COUNTIF('6月'!DE26:DF26,"六本木ー夜勤")+COUNTIF('6月'!DJ26:DK26,"六本木ー夜勤")+COUNTIF('6月'!DO26:DP26,"六本木ー夜勤")+COUNTIF('6月'!DT26:DU26,"六本木ー夜勤")+COUNTIF('6月'!DY26:DZ26,"六本木ー夜勤")+COUNTIF('6月'!ED26:EE26,"六本木ー夜勤")+COUNTIF('6月'!EI26:EJ26,"六本木ー夜勤")+COUNTIF('6月'!EN26:EO26,"六本木ー夜勤")+COUNTIF('6月'!ES26:ET26,"六本木ー夜勤")</f>
        <v>0</v>
      </c>
      <c r="K213" s="76">
        <f t="shared" si="64"/>
        <v>0</v>
      </c>
      <c r="L213" s="76">
        <f>COUNTIF('6月'!D26:E26,L$189)+COUNTIF('6月'!I26:J26,L$189)+COUNTIF('6月'!N26:O26,L$189)+COUNTIF('6月'!S26:T26,L$189)+COUNTIF('6月'!X26:Y26,L$189)+COUNTIF('6月'!AC26:AD26,L$189)+COUNTIF('6月'!AH26:AI26,L$189)+COUNTIF('6月'!AM26:AN26,L$189)+COUNTIF('6月'!AR26:AS26,L$189)+COUNTIF('6月'!AW26:AX26,L$189)+COUNTIF('6月'!BB26:BC26,L$189)+COUNTIF('6月'!BG26:BH26,L$189)+COUNTIF('6月'!BL26:BM26,L$189)+COUNTIF('6月'!BQ26:BR26,L$189)+COUNTIF('6月'!BV26:BW26,L$189)+COUNTIF('6月'!CA26:CB26,L$189)+COUNTIF('6月'!CF26:CG26,L$189)+COUNTIF('6月'!CK26:CL26,L$189)+COUNTIF('6月'!CP26:CQ26,L$189)+COUNTIF('6月'!CU26:CV26,L$189)+COUNTIF('6月'!CZ26:DA26,L$189)+COUNTIF('6月'!DE26:DF26,L$189)+COUNTIF('6月'!DJ26:DK26,L$189)+COUNTIF('6月'!DO26:DP26,L$189)+COUNTIF('6月'!DT26:DU26,L$189)+COUNTIF('6月'!DY26:DZ26,L$189)+COUNTIF('6月'!ED26:EE26,L$189)+COUNTIF('6月'!EI26:EJ26,L$189)+COUNTIF('6月'!EN26:EO26,L$189)+COUNTIF('6月'!ES26:ET26,L$189)</f>
        <v>0</v>
      </c>
      <c r="M213" s="76">
        <f t="shared" si="65"/>
        <v>0</v>
      </c>
      <c r="N213" s="76">
        <f>COUNTIF('6月'!D26:E26,N$189)+COUNTIF('6月'!I26:J26,N$189)+COUNTIF('6月'!N26:O26,N$189)+COUNTIF('6月'!S26:T26,N$189)+COUNTIF('6月'!X26:Y26,N$189)+COUNTIF('6月'!AC26:AD26,N$189)+COUNTIF('6月'!AH26:AI26,N$189)+COUNTIF('6月'!AM26:AN26,N$189)+COUNTIF('6月'!AR26:AS26,N$189)+COUNTIF('6月'!AW26:AX26,N$189)+COUNTIF('6月'!BB26:BC26,N$189)+COUNTIF('6月'!BG26:BH26,N$189)+COUNTIF('6月'!BL26:BM26,N$189)+COUNTIF('6月'!BQ26:BR26,N$189)+COUNTIF('6月'!BV26:BW26,N$189)+COUNTIF('6月'!CA26:CB26,N$189)+COUNTIF('6月'!CF26:CG26,N$189)+COUNTIF('6月'!CK26:CL26,N$189)+COUNTIF('6月'!CP26:CQ26,N$189)+COUNTIF('6月'!CU26:CV26,N$189)+COUNTIF('6月'!CZ26:DA26,N$189)+COUNTIF('6月'!DE26:DF26,N$189)+COUNTIF('6月'!DJ26:DK26,N$189)+COUNTIF('6月'!DO26:DP26,N$189)+COUNTIF('6月'!DT26:DU26,N$189)+COUNTIF('6月'!DY26:DZ26,N$189)+COUNTIF('6月'!ED26:EE26,N$189)+COUNTIF('6月'!EI26:EJ26,N$189)+COUNTIF('6月'!EN26:EO26,N$189)+COUNTIF('6月'!ES26:ET26,N$189)+COUNTIF('6月'!D26:E26,"三軒茶屋－夜勤")+COUNTIF('6月'!I26:J26,"三軒茶屋－夜勤")+COUNTIF('6月'!N26:O26,"三軒茶屋－夜勤")+COUNTIF('6月'!S26:T26,"三軒茶屋－夜勤")+COUNTIF('6月'!X26:Y26,"三軒茶屋－夜勤")+COUNTIF('6月'!AC26:AD26,"三軒茶屋－夜勤")+COUNTIF('6月'!AH26:AI26,"三軒茶屋－夜勤")+COUNTIF('6月'!AM26:AN26,"三軒茶屋－夜勤")+COUNTIF('6月'!AR26:AS26,"三軒茶屋－夜勤")+COUNTIF('6月'!AW26:AX26,"三軒茶屋－夜勤")+COUNTIF('6月'!BB26:BC26,"三軒茶屋－夜勤")+COUNTIF('6月'!BG26:BH26,"三軒茶屋－夜勤")+COUNTIF('6月'!BL26:BM26,"三軒茶屋－夜勤")+COUNTIF('6月'!BQ26:BR26,"三軒茶屋－夜勤")+COUNTIF('6月'!BV26:BW26,"三軒茶屋－夜勤")+COUNTIF('6月'!CA26:CB26,"三軒茶屋－夜勤")+COUNTIF('6月'!CF26:CG26,"三軒茶屋－夜勤")+COUNTIF('6月'!CK26:CL26,"三軒茶屋－夜勤")+COUNTIF('6月'!CP26:CQ26,"三軒茶屋－夜勤")+COUNTIF('6月'!CU26:CV26,"三軒茶屋－夜勤")+COUNTIF('6月'!CZ26:DA26,"三軒茶屋－夜勤")+COUNTIF('6月'!DE26:DF26,"三軒茶屋－夜勤")+COUNTIF('6月'!DJ26:DK26,"三軒茶屋－夜勤")+COUNTIF('6月'!DO26:DP26,"三軒茶屋－夜勤")+COUNTIF('6月'!DT26:DU26,"三軒茶屋－夜勤")+COUNTIF('6月'!DY26:DZ26,"三軒茶屋－夜勤")+COUNTIF('6月'!ED26:EE26,"三軒茶屋－夜勤")+COUNTIF('6月'!EI26:EJ26,"三軒茶屋－夜勤")+COUNTIF('6月'!EN26:EO26,"三軒茶屋－夜勤")+COUNTIF('6月'!ES26:ET26,"三軒茶屋－夜勤")</f>
        <v>0</v>
      </c>
      <c r="O213" s="76">
        <f t="shared" si="66"/>
        <v>0</v>
      </c>
      <c r="P213" s="76">
        <f>COUNTIF('6月'!D26:E26,P$189)+COUNTIF('6月'!I26:J26,P$189)+COUNTIF('6月'!N26:O26,P$189)+COUNTIF('6月'!S26:T26,P$189)+COUNTIF('6月'!X26:Y26,P$189)+COUNTIF('6月'!AC26:AD26,P$189)+COUNTIF('6月'!AH26:AI26,P$189)+COUNTIF('6月'!AM26:AN26,P$189)+COUNTIF('6月'!AR26:AS26,P$189)+COUNTIF('6月'!AW26:AX26,P$189)+COUNTIF('6月'!BB26:BC26,P$189)+COUNTIF('6月'!BG26:BH26,P$189)+COUNTIF('6月'!BL26:BM26,P$189)+COUNTIF('6月'!BQ26:BR26,P$189)+COUNTIF('6月'!BV26:BW26,P$189)+COUNTIF('6月'!CA26:CB26,P$189)+COUNTIF('6月'!CF26:CG26,P$189)+COUNTIF('6月'!CK26:CL26,P$189)+COUNTIF('6月'!CP26:CQ26,P$189)+COUNTIF('6月'!CU26:CV26,P$189)+COUNTIF('6月'!CZ26:DA26,P$189)+COUNTIF('6月'!DE26:DF26,P$189)+COUNTIF('6月'!DJ26:DK26,P$189)+COUNTIF('6月'!DO26:DP26,P$189)+COUNTIF('6月'!DT26:DU26,P$189)+COUNTIF('6月'!DY26:DZ26,P$189)+COUNTIF('6月'!ED26:EE26,P$189)+COUNTIF('6月'!EI26:EJ26,P$189)+COUNTIF('6月'!EN26:EO26,P$189)+COUNTIF('6月'!ES26:ET26,P$189)+COUNTIF('6月'!D26:E26,"荻窪ー夜勤")+COUNTIF('6月'!I26:J26,"荻窪ー夜勤")+COUNTIF('6月'!N26:O26,"荻窪ー夜勤")+COUNTIF('6月'!S26:T26,"荻窪ー夜勤")+COUNTIF('6月'!X26:Y26,"荻窪ー夜勤")+COUNTIF('6月'!AC26:AD26,"荻窪ー夜勤")+COUNTIF('6月'!AH26:AI26,"荻窪ー夜勤")+COUNTIF('6月'!AM26:AN26,"荻窪ー夜勤")+COUNTIF('6月'!AR26:AS26,"荻窪ー夜勤")+COUNTIF('6月'!AW26:AX26,"荻窪ー夜勤")+COUNTIF('6月'!BB26:BC26,"荻窪ー夜勤")+COUNTIF('6月'!BG26:BH26,"荻窪ー夜勤")+COUNTIF('6月'!BL26:BM26,"荻窪ー夜勤")+COUNTIF('6月'!BQ26:BR26,"荻窪ー夜勤")+COUNTIF('6月'!BV26:BW26,"荻窪ー夜勤")+COUNTIF('6月'!CA26:CB26,"荻窪ー夜勤")+COUNTIF('6月'!CF26:CG26,"荻窪ー夜勤")+COUNTIF('6月'!CK26:CL26,"荻窪ー夜勤")+COUNTIF('6月'!CP26:CQ26,"荻窪ー夜勤")+COUNTIF('6月'!CU26:CV26,"荻窪ー夜勤")+COUNTIF('6月'!CZ26:DA26,"荻窪ー夜勤")+COUNTIF('6月'!DE26:DF26,"荻窪ー夜勤")+COUNTIF('6月'!DJ26:DK26,"荻窪ー夜勤")+COUNTIF('6月'!DO26:DP26,"荻窪ー夜勤")+COUNTIF('6月'!DT26:DU26,"荻窪ー夜勤")+COUNTIF('6月'!DY26:DZ26,"荻窪ー夜勤")+COUNTIF('6月'!ED26:EE26,"荻窪ー夜勤")+COUNTIF('6月'!EI26:EJ26,"荻窪ー夜勤")+COUNTIF('6月'!EN26:EO26,"荻窪ー夜勤")+COUNTIF('6月'!ES26:ET26,"荻窪ー夜勤")</f>
        <v>0</v>
      </c>
      <c r="Q213" s="76">
        <f t="shared" si="67"/>
        <v>0</v>
      </c>
      <c r="R213" s="76">
        <f>COUNTIF('6月'!D26:E26,R$189)+COUNTIF('6月'!I26:J26,R$189)+COUNTIF('6月'!N26:O26,R$189)+COUNTIF('6月'!S26:T26,R$189)+COUNTIF('6月'!X26:Y26,R$189)+COUNTIF('6月'!AC26:AD26,R$189)+COUNTIF('6月'!AH26:AI26,R$189)+COUNTIF('6月'!AM26:AN26,R$189)+COUNTIF('6月'!AR26:AS26,R$189)+COUNTIF('6月'!AW26:AX26,R$189)+COUNTIF('6月'!BB26:BC26,R$189)+COUNTIF('6月'!BG26:BH26,R$189)+COUNTIF('6月'!BL26:BM26,R$189)+COUNTIF('6月'!BQ26:BR26,R$189)+COUNTIF('6月'!BV26:BW26,R$189)+COUNTIF('6月'!CA26:CB26,R$189)+COUNTIF('6月'!CF26:CG26,R$189)+COUNTIF('6月'!CK26:CL26,R$189)+COUNTIF('6月'!CP26:CQ26,R$189)+COUNTIF('6月'!CU26:CV26,R$189)+COUNTIF('6月'!CZ26:DA26,R$189)+COUNTIF('6月'!DE26:DF26,R$189)+COUNTIF('6月'!DJ26:DK26,R$189)+COUNTIF('6月'!DO26:DP26,R$189)+COUNTIF('6月'!DT26:DU26,R$189)+COUNTIF('6月'!DY26:DZ26,R$189)+COUNTIF('6月'!ED26:EE26,R$189)+COUNTIF('6月'!EI26:EJ26,R$189)+COUNTIF('6月'!EN26:EO26,R$189)+COUNTIF('6月'!ES26:ET26,R$189)</f>
        <v>0</v>
      </c>
      <c r="S213" s="76">
        <f t="shared" si="68"/>
        <v>0</v>
      </c>
      <c r="T213" s="76">
        <f>COUNTIF('6月'!D26:E26,T$189)+COUNTIF('6月'!I26:J26,T$189)+COUNTIF('6月'!N26:O26,T$189)+COUNTIF('6月'!S26:T26,T$189)+COUNTIF('6月'!X26:Y26,T$189)+COUNTIF('6月'!AC26:AD26,T$189)+COUNTIF('6月'!AH26:AI26,T$189)+COUNTIF('6月'!AM26:AN26,T$189)+COUNTIF('6月'!AR26:AS26,T$189)+COUNTIF('6月'!AW26:AX26,T$189)+COUNTIF('6月'!BB26:BC26,T$189)+COUNTIF('6月'!BG26:BH26,T$189)+COUNTIF('6月'!BL26:BM26,T$189)+COUNTIF('6月'!BQ26:BR26,T$189)+COUNTIF('6月'!BV26:BW26,T$189)+COUNTIF('6月'!CA26:CB26,T$189)+COUNTIF('6月'!CF26:CG26,T$189)+COUNTIF('6月'!CK26:CL26,T$189)+COUNTIF('6月'!CP26:CQ26,T$189)+COUNTIF('6月'!CU26:CV26,T$189)+COUNTIF('6月'!CZ26:DA26,T$189)+COUNTIF('6月'!DE26:DF26,T$189)+COUNTIF('6月'!DJ26:DK26,T$189)+COUNTIF('6月'!DO26:DP26,T$189)+COUNTIF('6月'!DT26:DU26,T$189)+COUNTIF('6月'!DY26:DZ26,T$189)+COUNTIF('6月'!ED26:EE26,T$189)+COUNTIF('6月'!EI26:EJ26,T$189)+COUNTIF('6月'!EN26:EO26,T$189)+COUNTIF('6月'!ES26:ET26,T$189)</f>
        <v>0</v>
      </c>
      <c r="U213" s="76">
        <f t="shared" si="69"/>
        <v>0</v>
      </c>
      <c r="V213" s="76">
        <f>COUNTIF('6月'!D26:E26,V$189)+COUNTIF('6月'!I26:J26,V$189)+COUNTIF('6月'!N26:O26,V$189)+COUNTIF('6月'!S26:T26,V$189)+COUNTIF('6月'!X26:Y26,V$189)+COUNTIF('6月'!AC26:AD26,V$189)+COUNTIF('6月'!AH26:AI26,V$189)+COUNTIF('6月'!AM26:AN26,V$189)+COUNTIF('6月'!AR26:AS26,V$189)+COUNTIF('6月'!AW26:AX26,V$189)+COUNTIF('6月'!BB26:BC26,V$189)+COUNTIF('6月'!BG26:BH26,V$189)+COUNTIF('6月'!BL26:BM26,V$189)+COUNTIF('6月'!BQ26:BR26,V$189)+COUNTIF('6月'!BV26:BW26,V$189)+COUNTIF('6月'!CA26:CB26,V$189)+COUNTIF('6月'!CF26:CG26,V$189)+COUNTIF('6月'!CK26:CL26,V$189)+COUNTIF('6月'!CP26:CQ26,V$189)+COUNTIF('6月'!CU26:CV26,V$189)+COUNTIF('6月'!CZ26:DA26,V$189)+COUNTIF('6月'!DE26:DF26,V$189)+COUNTIF('6月'!DJ26:DK26,V$189)+COUNTIF('6月'!DO26:DP26,V$189)+COUNTIF('6月'!DT26:DU26,V$189)+COUNTIF('6月'!DY26:DZ26,V$189)+COUNTIF('6月'!ED26:EE26,V$189)+COUNTIF('6月'!EI26:EJ26,V$189)+COUNTIF('6月'!EN26:EO26,V$189)+COUNTIF('6月'!ES26:ET26,V$189)</f>
        <v>0</v>
      </c>
      <c r="W213" s="76">
        <f t="shared" si="70"/>
        <v>0</v>
      </c>
      <c r="X213" s="76">
        <f>COUNTIF('6月'!D26:E26,X$189)+COUNTIF('6月'!I26:J26,X$189)+COUNTIF('6月'!N26:O26,X$189)+COUNTIF('6月'!S26:T26,X$189)+COUNTIF('6月'!X26:Y26,X$189)+COUNTIF('6月'!AC26:AD26,X$189)+COUNTIF('6月'!AH26:AI26,X$189)+COUNTIF('6月'!AM26:AN26,X$189)+COUNTIF('6月'!AR26:AS26,X$189)+COUNTIF('6月'!AW26:AX26,X$189)+COUNTIF('6月'!BB26:BC26,X$189)+COUNTIF('6月'!BG26:BH26,X$189)+COUNTIF('6月'!BL26:BM26,X$189)+COUNTIF('6月'!BQ26:BR26,X$189)+COUNTIF('6月'!BV26:BW26,X$189)+COUNTIF('6月'!CA26:CB26,X$189)+COUNTIF('6月'!CF26:CG26,X$189)+COUNTIF('6月'!CK26:CL26,X$189)+COUNTIF('6月'!CP26:CQ26,X$189)+COUNTIF('6月'!CU26:CV26,X$189)+COUNTIF('6月'!CZ26:DA26,X$189)+COUNTIF('6月'!DE26:DF26,X$189)+COUNTIF('6月'!DJ26:DK26,X$189)+COUNTIF('6月'!DO26:DP26,X$189)+COUNTIF('6月'!DT26:DU26,X$189)+COUNTIF('6月'!DY26:DZ26,X$189)+COUNTIF('6月'!ED26:EE26,X$189)+COUNTIF('6月'!EI26:EJ26,X$189)+COUNTIF('6月'!EN26:EO26,X$189)+COUNTIF('6月'!ES26:ET26,X$189)</f>
        <v>0</v>
      </c>
      <c r="Y213" s="76">
        <f t="shared" si="71"/>
        <v>0</v>
      </c>
    </row>
    <row r="214" spans="1:25" ht="18" customHeight="1">
      <c r="A214" s="76">
        <v>24</v>
      </c>
      <c r="B214" s="76">
        <f>COUNTIF('6月'!D27:E27,B$189)+COUNTIF('6月'!I27:J27,B$189)+COUNTIF('6月'!N27:O27,B$189)+COUNTIF('6月'!S27:T27,B$189)+COUNTIF('6月'!X27:Y27,B$189)+COUNTIF('6月'!AC27:AD27,B$189)+COUNTIF('6月'!AH27:AI27,B$189)+COUNTIF('6月'!AM27:AN27,B$189)+COUNTIF('6月'!AR27:AS27,B$189)+COUNTIF('6月'!AW27:AX27,B$189)+COUNTIF('6月'!BB27:BC27,B$189)+COUNTIF('6月'!BG27:BH27,B$189)+COUNTIF('6月'!BL27:BM27,B$189)+COUNTIF('6月'!BQ27:BR27,B$189)+COUNTIF('6月'!BV27:BW27,B$189)+COUNTIF('6月'!CA27:CB27,B$189)+COUNTIF('6月'!CF27:CG27,B$189)+COUNTIF('6月'!CK27:CL27,B$189)+COUNTIF('6月'!CP27:CQ27,B$189)+COUNTIF('6月'!CU27:CV27,B$189)+COUNTIF('6月'!CZ27:DA27,B$189)+COUNTIF('6月'!DE27:DF27,B$189)+COUNTIF('6月'!DJ27:DK27,B$189)+COUNTIF('6月'!DO27:DP27,B$189)+COUNTIF('6月'!DT27:DU27,B$189)+COUNTIF('6月'!DY27:DZ27,B$189)+COUNTIF('6月'!ED27:EE27,B$189)+COUNTIF('6月'!EI27:EJ27,B$189)+COUNTIF('6月'!EN27:EO27,B$189)+COUNTIF('6月'!ES27:ET27,B$189)</f>
        <v>0</v>
      </c>
      <c r="C214" s="76">
        <f t="shared" si="60"/>
        <v>0</v>
      </c>
      <c r="D214" s="76">
        <f>COUNTIF('6月'!D27:E27,D$189)+COUNTIF('6月'!I27:J27,D$189)+COUNTIF('6月'!N27:O27,D$189)+COUNTIF('6月'!S27:T27,D$189)+COUNTIF('6月'!X27:Y27,D$189)+COUNTIF('6月'!AC27:AD27,D$189)+COUNTIF('6月'!AH27:AI27,D$189)+COUNTIF('6月'!AM27:AN27,D$189)+COUNTIF('6月'!AR27:AS27,D$189)+COUNTIF('6月'!AW27:AX27,D$189)+COUNTIF('6月'!BB27:BC27,D$189)+COUNTIF('6月'!BG27:BH27,D$189)+COUNTIF('6月'!BL27:BM27,D$189)+COUNTIF('6月'!BQ27:BR27,D$189)+COUNTIF('6月'!BV27:BW27,D$189)+COUNTIF('6月'!CA27:CB27,D$189)+COUNTIF('6月'!CF27:CG27,D$189)+COUNTIF('6月'!CK27:CL27,D$189)+COUNTIF('6月'!CP27:CQ27,D$189)+COUNTIF('6月'!CU27:CV27,D$189)+COUNTIF('6月'!CZ27:DA27,D$189)+COUNTIF('6月'!DE27:DF27,D$189)+COUNTIF('6月'!DJ27:DK27,D$189)+COUNTIF('6月'!DO27:DP27,D$189)+COUNTIF('6月'!DT27:DU27,D$189)+COUNTIF('6月'!DY27:DZ27,D$189)+COUNTIF('6月'!ED27:EE27,D$189)+COUNTIF('6月'!EI27:EJ27,D$189)+COUNTIF('6月'!EN27:EO27,D$189)+COUNTIF('6月'!ES27:ET27,D$189)</f>
        <v>0</v>
      </c>
      <c r="E214" s="76">
        <f t="shared" si="61"/>
        <v>0</v>
      </c>
      <c r="F214" s="76">
        <f>COUNTIF('6月'!D27:E27,F$189)+COUNTIF('6月'!I27:J27,F$189)+COUNTIF('6月'!N27:O27,F$189)+COUNTIF('6月'!S27:T27,F$189)+COUNTIF('6月'!X27:Y27,F$189)+COUNTIF('6月'!AC27:AD27,F$189)+COUNTIF('6月'!AH27:AI27,F$189)+COUNTIF('6月'!AM27:AN27,F$189)+COUNTIF('6月'!AR27:AS27,F$189)+COUNTIF('6月'!AW27:AX27,F$189)+COUNTIF('6月'!BB27:BC27,F$189)+COUNTIF('6月'!BG27:BH27,F$189)+COUNTIF('6月'!BL27:BM27,F$189)+COUNTIF('6月'!BQ27:BR27,F$189)+COUNTIF('6月'!BV27:BW27,F$189)+COUNTIF('6月'!CA27:CB27,F$189)+COUNTIF('6月'!CF27:CG27,F$189)+COUNTIF('6月'!CK27:CL27,F$189)+COUNTIF('6月'!CP27:CQ27,F$189)+COUNTIF('6月'!CU27:CV27,F$189)+COUNTIF('6月'!CZ27:DA27,F$189)+COUNTIF('6月'!DE27:DF27,F$189)+COUNTIF('6月'!DJ27:DK27,F$189)+COUNTIF('6月'!DO27:DP27,F$189)+COUNTIF('6月'!DT27:DU27,F$189)+COUNTIF('6月'!DY27:DZ27,F$189)+COUNTIF('6月'!ED27:EE27,F$189)+COUNTIF('6月'!EI27:EJ27,F$189)+COUNTIF('6月'!EN27:EO27,F$189)+COUNTIF('6月'!ES27:ET27,F$189)</f>
        <v>0</v>
      </c>
      <c r="G214" s="76">
        <f t="shared" si="62"/>
        <v>0</v>
      </c>
      <c r="H214" s="76">
        <f>COUNTIF('6月'!D27:E27,H$189)+COUNTIF('6月'!I27:J27,H$189)+COUNTIF('6月'!N27:O27,H$189)+COUNTIF('6月'!S27:T27,H$189)+COUNTIF('6月'!X27:Y27,H$189)+COUNTIF('6月'!AC27:AD27,H$189)+COUNTIF('6月'!AH27:AI27,H$189)+COUNTIF('6月'!AM27:AN27,H$189)+COUNTIF('6月'!AR27:AS27,H$189)+COUNTIF('6月'!AW27:AX27,H$189)+COUNTIF('6月'!BB27:BC27,H$189)+COUNTIF('6月'!BG27:BH27,H$189)+COUNTIF('6月'!BL27:BM27,H$189)+COUNTIF('6月'!BQ27:BR27,H$189)+COUNTIF('6月'!BV27:BW27,H$189)+COUNTIF('6月'!CA27:CB27,H$189)+COUNTIF('6月'!CF27:CG27,H$189)+COUNTIF('6月'!CK27:CL27,H$189)+COUNTIF('6月'!CP27:CQ27,H$189)+COUNTIF('6月'!CU27:CV27,H$189)+COUNTIF('6月'!CZ27:DA27,H$189)+COUNTIF('6月'!DE27:DF27,H$189)+COUNTIF('6月'!DJ27:DK27,H$189)+COUNTIF('6月'!DO27:DP27,H$189)+COUNTIF('6月'!DT27:DU27,H$189)+COUNTIF('6月'!DY27:DZ27,H$189)+COUNTIF('6月'!ED27:EE27,H$189)+COUNTIF('6月'!EI27:EJ27,H$189)+COUNTIF('6月'!EN27:EO27,H$189)+COUNTIF('6月'!ES27:ET27,H$189)+COUNTIF('6月'!D27:E27,"渋谷-夜勤")+COUNTIF('6月'!I27:J27,"渋谷-夜勤")+COUNTIF('6月'!N27:O27,"渋谷-夜勤")+COUNTIF('6月'!S27:T27,"渋谷-夜勤")+COUNTIF('6月'!X27:Y27,"渋谷-夜勤")+COUNTIF('6月'!AC27:AD27,"渋谷-夜勤")+COUNTIF('6月'!AH27:AI27,"渋谷-夜勤")+COUNTIF('6月'!AM27:AN27,"渋谷-夜勤")+COUNTIF('6月'!AR27:AS27,"渋谷-夜勤")+COUNTIF('6月'!AW27:AX27,"渋谷-夜勤")+COUNTIF('6月'!BB27:BC27,"渋谷-夜勤")+COUNTIF('6月'!BG27:BH27,"渋谷-夜勤")+COUNTIF('6月'!BL27:BM27,"渋谷-夜勤")+COUNTIF('6月'!BQ27:BR27,"渋谷-夜勤")+COUNTIF('6月'!BV27:BW27,"渋谷-夜勤")+COUNTIF('6月'!CA27:CB27,"渋谷-夜勤")+COUNTIF('6月'!CF27:CG27,"渋谷-夜勤")+COUNTIF('6月'!CK27:CL27,"渋谷-夜勤")+COUNTIF('6月'!CP27:CQ27,"渋谷-夜勤")+COUNTIF('6月'!CU27:CV27,"渋谷-夜勤")+COUNTIF('6月'!CZ27:DA27,"渋谷-夜勤")+COUNTIF('6月'!DE27:DF27,"渋谷-夜勤")+COUNTIF('6月'!DJ27:DK27,"渋谷-夜勤")+COUNTIF('6月'!DO27:DP27,"渋谷-夜勤")+COUNTIF('6月'!DT27:DU27,"渋谷-夜勤")+COUNTIF('6月'!DY27:DZ27,"渋谷-夜勤")+COUNTIF('6月'!ED27:EE27,"渋谷-夜勤")+COUNTIF('6月'!EI27:EJ27,"渋谷-夜勤")+COUNTIF('6月'!EN27:EO27,"渋谷-夜勤")+COUNTIF('6月'!ES27:ET27,"渋谷-夜勤")</f>
        <v>0</v>
      </c>
      <c r="I214" s="76">
        <f t="shared" si="63"/>
        <v>0</v>
      </c>
      <c r="J214" s="76">
        <f>COUNTIF('6月'!D27:E27,J$189)+COUNTIF('6月'!I27:J27,J$189)+COUNTIF('6月'!N27:O27,J$189)+COUNTIF('6月'!S27:T27,J$189)+COUNTIF('6月'!X27:Y27,J$189)+COUNTIF('6月'!AC27:AD27,J$189)+COUNTIF('6月'!AH27:AI27,J$189)+COUNTIF('6月'!AM27:AN27,J$189)+COUNTIF('6月'!AR27:AS27,J$189)+COUNTIF('6月'!AW27:AX27,J$189)+COUNTIF('6月'!BB27:BC27,J$189)+COUNTIF('6月'!BG27:BH27,J$189)+COUNTIF('6月'!BL27:BM27,J$189)+COUNTIF('6月'!BQ27:BR27,J$189)+COUNTIF('6月'!BV27:BW27,J$189)+COUNTIF('6月'!CA27:CB27,J$189)+COUNTIF('6月'!CF27:CG27,J$189)+COUNTIF('6月'!CK27:CL27,J$189)+COUNTIF('6月'!CP27:CQ27,J$189)+COUNTIF('6月'!CU27:CV27,J$189)+COUNTIF('6月'!CZ27:DA27,J$189)+COUNTIF('6月'!DE27:DF27,J$189)+COUNTIF('6月'!DJ27:DK27,J$189)+COUNTIF('6月'!DO27:DP27,J$189)+COUNTIF('6月'!DT27:DU27,J$189)+COUNTIF('6月'!DY27:DZ27,J$189)+COUNTIF('6月'!ED27:EE27,J$189)+COUNTIF('6月'!EI27:EJ27,J$189)+COUNTIF('6月'!EN27:EO27,J$189)+COUNTIF('6月'!ES27:ET27,J$189)+COUNTIF('6月'!D27:E27,"六本木-夜勤")+COUNTIF('6月'!I27:J27,"六本木-夜勤")+COUNTIF('6月'!N27:O27,"六本木-夜勤")+COUNTIF('6月'!S27:T27,"六本木-夜勤")+COUNTIF('6月'!X27:Y27,"六本木-夜勤")+COUNTIF('6月'!AC27:AD27,"六本木-夜勤")+COUNTIF('6月'!AH27:AI27,"六本木-夜勤")+COUNTIF('6月'!AM27:AN27,"六本木-夜勤")+COUNTIF('6月'!AR27:AS27,"六本木-夜勤")+COUNTIF('6月'!AW27:AX27,"六本木-夜勤")+COUNTIF('6月'!BB27:BC27,"六本木-夜勤")+COUNTIF('6月'!BG27:BH27,"六本木-夜勤")+COUNTIF('6月'!BL27:BM27,"六本木-夜勤")+COUNTIF('6月'!BQ27:BR27,"六本木-夜勤")+COUNTIF('6月'!BV27:BW27,"六本木-夜勤")+COUNTIF('6月'!CA27:CB27,"六本木-夜勤")+COUNTIF('6月'!CF27:CG27,"六本木-夜勤")+COUNTIF('6月'!CK27:CL27,"六本木-夜勤")+COUNTIF('6月'!CP27:CQ27,"六本木-夜勤")+COUNTIF('6月'!CU27:CV27,"六本木-夜勤")+COUNTIF('6月'!CZ27:DA27,"六本木-夜勤")+COUNTIF('6月'!DE27:DF27,"六本木-夜勤")+COUNTIF('6月'!DJ27:DK27,"六本木-夜勤")+COUNTIF('6月'!DO27:DP27,"六本木-夜勤")+COUNTIF('6月'!DT27:DU27,"六本木-夜勤")+COUNTIF('6月'!DY27:DZ27,"六本木-夜勤")+COUNTIF('6月'!ED27:EE27,"六本木-夜勤")+COUNTIF('6月'!EI27:EJ27,"六本木-夜勤")+COUNTIF('6月'!EN27:EO27,"六本木-夜勤")+COUNTIF('6月'!ES27:ET27,"六本木-夜勤")+COUNTIF('6月'!D27:E27,"六本木ー夜勤")+COUNTIF('6月'!I27:J27,"六本木ー夜勤")+COUNTIF('6月'!N27:O27,"六本木ー夜勤")+COUNTIF('6月'!S27:T27,"六本木ー夜勤")+COUNTIF('6月'!X27:Y27,"六本木ー夜勤")+COUNTIF('6月'!AC27:AD27,"六本木ー夜勤")+COUNTIF('6月'!AH27:AI27,"六本木ー夜勤")+COUNTIF('6月'!AM27:AN27,"六本木ー夜勤")+COUNTIF('6月'!AR27:AS27,"六本木ー夜勤")+COUNTIF('6月'!AW27:AX27,"六本木ー夜勤")+COUNTIF('6月'!BB27:BC27,"六本木ー夜勤")+COUNTIF('6月'!BG27:BH27,"六本木ー夜勤")+COUNTIF('6月'!BL27:BM27,"六本木ー夜勤")+COUNTIF('6月'!BQ27:BR27,"六本木ー夜勤")+COUNTIF('6月'!BV27:BW27,"六本木ー夜勤")+COUNTIF('6月'!CA27:CB27,"六本木ー夜勤")+COUNTIF('6月'!CF27:CG27,"六本木ー夜勤")+COUNTIF('6月'!CK27:CL27,"六本木ー夜勤")+COUNTIF('6月'!CP27:CQ27,"六本木ー夜勤")+COUNTIF('6月'!CU27:CV27,"六本木ー夜勤")+COUNTIF('6月'!CZ27:DA27,"六本木ー夜勤")+COUNTIF('6月'!DE27:DF27,"六本木ー夜勤")+COUNTIF('6月'!DJ27:DK27,"六本木ー夜勤")+COUNTIF('6月'!DO27:DP27,"六本木ー夜勤")+COUNTIF('6月'!DT27:DU27,"六本木ー夜勤")+COUNTIF('6月'!DY27:DZ27,"六本木ー夜勤")+COUNTIF('6月'!ED27:EE27,"六本木ー夜勤")+COUNTIF('6月'!EI27:EJ27,"六本木ー夜勤")+COUNTIF('6月'!EN27:EO27,"六本木ー夜勤")+COUNTIF('6月'!ES27:ET27,"六本木ー夜勤")</f>
        <v>0</v>
      </c>
      <c r="K214" s="76">
        <f t="shared" si="64"/>
        <v>0</v>
      </c>
      <c r="L214" s="76">
        <f>COUNTIF('6月'!D27:E27,L$189)+COUNTIF('6月'!I27:J27,L$189)+COUNTIF('6月'!N27:O27,L$189)+COUNTIF('6月'!S27:T27,L$189)+COUNTIF('6月'!X27:Y27,L$189)+COUNTIF('6月'!AC27:AD27,L$189)+COUNTIF('6月'!AH27:AI27,L$189)+COUNTIF('6月'!AM27:AN27,L$189)+COUNTIF('6月'!AR27:AS27,L$189)+COUNTIF('6月'!AW27:AX27,L$189)+COUNTIF('6月'!BB27:BC27,L$189)+COUNTIF('6月'!BG27:BH27,L$189)+COUNTIF('6月'!BL27:BM27,L$189)+COUNTIF('6月'!BQ27:BR27,L$189)+COUNTIF('6月'!BV27:BW27,L$189)+COUNTIF('6月'!CA27:CB27,L$189)+COUNTIF('6月'!CF27:CG27,L$189)+COUNTIF('6月'!CK27:CL27,L$189)+COUNTIF('6月'!CP27:CQ27,L$189)+COUNTIF('6月'!CU27:CV27,L$189)+COUNTIF('6月'!CZ27:DA27,L$189)+COUNTIF('6月'!DE27:DF27,L$189)+COUNTIF('6月'!DJ27:DK27,L$189)+COUNTIF('6月'!DO27:DP27,L$189)+COUNTIF('6月'!DT27:DU27,L$189)+COUNTIF('6月'!DY27:DZ27,L$189)+COUNTIF('6月'!ED27:EE27,L$189)+COUNTIF('6月'!EI27:EJ27,L$189)+COUNTIF('6月'!EN27:EO27,L$189)+COUNTIF('6月'!ES27:ET27,L$189)</f>
        <v>0</v>
      </c>
      <c r="M214" s="76">
        <f t="shared" si="65"/>
        <v>0</v>
      </c>
      <c r="N214" s="76">
        <f>COUNTIF('6月'!D27:E27,N$189)+COUNTIF('6月'!I27:J27,N$189)+COUNTIF('6月'!N27:O27,N$189)+COUNTIF('6月'!S27:T27,N$189)+COUNTIF('6月'!X27:Y27,N$189)+COUNTIF('6月'!AC27:AD27,N$189)+COUNTIF('6月'!AH27:AI27,N$189)+COUNTIF('6月'!AM27:AN27,N$189)+COUNTIF('6月'!AR27:AS27,N$189)+COUNTIF('6月'!AW27:AX27,N$189)+COUNTIF('6月'!BB27:BC27,N$189)+COUNTIF('6月'!BG27:BH27,N$189)+COUNTIF('6月'!BL27:BM27,N$189)+COUNTIF('6月'!BQ27:BR27,N$189)+COUNTIF('6月'!BV27:BW27,N$189)+COUNTIF('6月'!CA27:CB27,N$189)+COUNTIF('6月'!CF27:CG27,N$189)+COUNTIF('6月'!CK27:CL27,N$189)+COUNTIF('6月'!CP27:CQ27,N$189)+COUNTIF('6月'!CU27:CV27,N$189)+COUNTIF('6月'!CZ27:DA27,N$189)+COUNTIF('6月'!DE27:DF27,N$189)+COUNTIF('6月'!DJ27:DK27,N$189)+COUNTIF('6月'!DO27:DP27,N$189)+COUNTIF('6月'!DT27:DU27,N$189)+COUNTIF('6月'!DY27:DZ27,N$189)+COUNTIF('6月'!ED27:EE27,N$189)+COUNTIF('6月'!EI27:EJ27,N$189)+COUNTIF('6月'!EN27:EO27,N$189)+COUNTIF('6月'!ES27:ET27,N$189)+COUNTIF('6月'!D27:E27,"三軒茶屋－夜勤")+COUNTIF('6月'!I27:J27,"三軒茶屋－夜勤")+COUNTIF('6月'!N27:O27,"三軒茶屋－夜勤")+COUNTIF('6月'!S27:T27,"三軒茶屋－夜勤")+COUNTIF('6月'!X27:Y27,"三軒茶屋－夜勤")+COUNTIF('6月'!AC27:AD27,"三軒茶屋－夜勤")+COUNTIF('6月'!AH27:AI27,"三軒茶屋－夜勤")+COUNTIF('6月'!AM27:AN27,"三軒茶屋－夜勤")+COUNTIF('6月'!AR27:AS27,"三軒茶屋－夜勤")+COUNTIF('6月'!AW27:AX27,"三軒茶屋－夜勤")+COUNTIF('6月'!BB27:BC27,"三軒茶屋－夜勤")+COUNTIF('6月'!BG27:BH27,"三軒茶屋－夜勤")+COUNTIF('6月'!BL27:BM27,"三軒茶屋－夜勤")+COUNTIF('6月'!BQ27:BR27,"三軒茶屋－夜勤")+COUNTIF('6月'!BV27:BW27,"三軒茶屋－夜勤")+COUNTIF('6月'!CA27:CB27,"三軒茶屋－夜勤")+COUNTIF('6月'!CF27:CG27,"三軒茶屋－夜勤")+COUNTIF('6月'!CK27:CL27,"三軒茶屋－夜勤")+COUNTIF('6月'!CP27:CQ27,"三軒茶屋－夜勤")+COUNTIF('6月'!CU27:CV27,"三軒茶屋－夜勤")+COUNTIF('6月'!CZ27:DA27,"三軒茶屋－夜勤")+COUNTIF('6月'!DE27:DF27,"三軒茶屋－夜勤")+COUNTIF('6月'!DJ27:DK27,"三軒茶屋－夜勤")+COUNTIF('6月'!DO27:DP27,"三軒茶屋－夜勤")+COUNTIF('6月'!DT27:DU27,"三軒茶屋－夜勤")+COUNTIF('6月'!DY27:DZ27,"三軒茶屋－夜勤")+COUNTIF('6月'!ED27:EE27,"三軒茶屋－夜勤")+COUNTIF('6月'!EI27:EJ27,"三軒茶屋－夜勤")+COUNTIF('6月'!EN27:EO27,"三軒茶屋－夜勤")+COUNTIF('6月'!ES27:ET27,"三軒茶屋－夜勤")</f>
        <v>0</v>
      </c>
      <c r="O214" s="76">
        <f t="shared" si="66"/>
        <v>0</v>
      </c>
      <c r="P214" s="76">
        <f>COUNTIF('6月'!D27:E27,P$189)+COUNTIF('6月'!I27:J27,P$189)+COUNTIF('6月'!N27:O27,P$189)+COUNTIF('6月'!S27:T27,P$189)+COUNTIF('6月'!X27:Y27,P$189)+COUNTIF('6月'!AC27:AD27,P$189)+COUNTIF('6月'!AH27:AI27,P$189)+COUNTIF('6月'!AM27:AN27,P$189)+COUNTIF('6月'!AR27:AS27,P$189)+COUNTIF('6月'!AW27:AX27,P$189)+COUNTIF('6月'!BB27:BC27,P$189)+COUNTIF('6月'!BG27:BH27,P$189)+COUNTIF('6月'!BL27:BM27,P$189)+COUNTIF('6月'!BQ27:BR27,P$189)+COUNTIF('6月'!BV27:BW27,P$189)+COUNTIF('6月'!CA27:CB27,P$189)+COUNTIF('6月'!CF27:CG27,P$189)+COUNTIF('6月'!CK27:CL27,P$189)+COUNTIF('6月'!CP27:CQ27,P$189)+COUNTIF('6月'!CU27:CV27,P$189)+COUNTIF('6月'!CZ27:DA27,P$189)+COUNTIF('6月'!DE27:DF27,P$189)+COUNTIF('6月'!DJ27:DK27,P$189)+COUNTIF('6月'!DO27:DP27,P$189)+COUNTIF('6月'!DT27:DU27,P$189)+COUNTIF('6月'!DY27:DZ27,P$189)+COUNTIF('6月'!ED27:EE27,P$189)+COUNTIF('6月'!EI27:EJ27,P$189)+COUNTIF('6月'!EN27:EO27,P$189)+COUNTIF('6月'!ES27:ET27,P$189)+COUNTIF('6月'!D27:E27,"荻窪ー夜勤")+COUNTIF('6月'!I27:J27,"荻窪ー夜勤")+COUNTIF('6月'!N27:O27,"荻窪ー夜勤")+COUNTIF('6月'!S27:T27,"荻窪ー夜勤")+COUNTIF('6月'!X27:Y27,"荻窪ー夜勤")+COUNTIF('6月'!AC27:AD27,"荻窪ー夜勤")+COUNTIF('6月'!AH27:AI27,"荻窪ー夜勤")+COUNTIF('6月'!AM27:AN27,"荻窪ー夜勤")+COUNTIF('6月'!AR27:AS27,"荻窪ー夜勤")+COUNTIF('6月'!AW27:AX27,"荻窪ー夜勤")+COUNTIF('6月'!BB27:BC27,"荻窪ー夜勤")+COUNTIF('6月'!BG27:BH27,"荻窪ー夜勤")+COUNTIF('6月'!BL27:BM27,"荻窪ー夜勤")+COUNTIF('6月'!BQ27:BR27,"荻窪ー夜勤")+COUNTIF('6月'!BV27:BW27,"荻窪ー夜勤")+COUNTIF('6月'!CA27:CB27,"荻窪ー夜勤")+COUNTIF('6月'!CF27:CG27,"荻窪ー夜勤")+COUNTIF('6月'!CK27:CL27,"荻窪ー夜勤")+COUNTIF('6月'!CP27:CQ27,"荻窪ー夜勤")+COUNTIF('6月'!CU27:CV27,"荻窪ー夜勤")+COUNTIF('6月'!CZ27:DA27,"荻窪ー夜勤")+COUNTIF('6月'!DE27:DF27,"荻窪ー夜勤")+COUNTIF('6月'!DJ27:DK27,"荻窪ー夜勤")+COUNTIF('6月'!DO27:DP27,"荻窪ー夜勤")+COUNTIF('6月'!DT27:DU27,"荻窪ー夜勤")+COUNTIF('6月'!DY27:DZ27,"荻窪ー夜勤")+COUNTIF('6月'!ED27:EE27,"荻窪ー夜勤")+COUNTIF('6月'!EI27:EJ27,"荻窪ー夜勤")+COUNTIF('6月'!EN27:EO27,"荻窪ー夜勤")+COUNTIF('6月'!ES27:ET27,"荻窪ー夜勤")</f>
        <v>0</v>
      </c>
      <c r="Q214" s="76">
        <f t="shared" si="67"/>
        <v>0</v>
      </c>
      <c r="R214" s="76">
        <f>COUNTIF('6月'!D27:E27,R$189)+COUNTIF('6月'!I27:J27,R$189)+COUNTIF('6月'!N27:O27,R$189)+COUNTIF('6月'!S27:T27,R$189)+COUNTIF('6月'!X27:Y27,R$189)+COUNTIF('6月'!AC27:AD27,R$189)+COUNTIF('6月'!AH27:AI27,R$189)+COUNTIF('6月'!AM27:AN27,R$189)+COUNTIF('6月'!AR27:AS27,R$189)+COUNTIF('6月'!AW27:AX27,R$189)+COUNTIF('6月'!BB27:BC27,R$189)+COUNTIF('6月'!BG27:BH27,R$189)+COUNTIF('6月'!BL27:BM27,R$189)+COUNTIF('6月'!BQ27:BR27,R$189)+COUNTIF('6月'!BV27:BW27,R$189)+COUNTIF('6月'!CA27:CB27,R$189)+COUNTIF('6月'!CF27:CG27,R$189)+COUNTIF('6月'!CK27:CL27,R$189)+COUNTIF('6月'!CP27:CQ27,R$189)+COUNTIF('6月'!CU27:CV27,R$189)+COUNTIF('6月'!CZ27:DA27,R$189)+COUNTIF('6月'!DE27:DF27,R$189)+COUNTIF('6月'!DJ27:DK27,R$189)+COUNTIF('6月'!DO27:DP27,R$189)+COUNTIF('6月'!DT27:DU27,R$189)+COUNTIF('6月'!DY27:DZ27,R$189)+COUNTIF('6月'!ED27:EE27,R$189)+COUNTIF('6月'!EI27:EJ27,R$189)+COUNTIF('6月'!EN27:EO27,R$189)+COUNTIF('6月'!ES27:ET27,R$189)</f>
        <v>0</v>
      </c>
      <c r="S214" s="76">
        <f t="shared" si="68"/>
        <v>0</v>
      </c>
      <c r="T214" s="76">
        <f>COUNTIF('6月'!D27:E27,T$189)+COUNTIF('6月'!I27:J27,T$189)+COUNTIF('6月'!N27:O27,T$189)+COUNTIF('6月'!S27:T27,T$189)+COUNTIF('6月'!X27:Y27,T$189)+COUNTIF('6月'!AC27:AD27,T$189)+COUNTIF('6月'!AH27:AI27,T$189)+COUNTIF('6月'!AM27:AN27,T$189)+COUNTIF('6月'!AR27:AS27,T$189)+COUNTIF('6月'!AW27:AX27,T$189)+COUNTIF('6月'!BB27:BC27,T$189)+COUNTIF('6月'!BG27:BH27,T$189)+COUNTIF('6月'!BL27:BM27,T$189)+COUNTIF('6月'!BQ27:BR27,T$189)+COUNTIF('6月'!BV27:BW27,T$189)+COUNTIF('6月'!CA27:CB27,T$189)+COUNTIF('6月'!CF27:CG27,T$189)+COUNTIF('6月'!CK27:CL27,T$189)+COUNTIF('6月'!CP27:CQ27,T$189)+COUNTIF('6月'!CU27:CV27,T$189)+COUNTIF('6月'!CZ27:DA27,T$189)+COUNTIF('6月'!DE27:DF27,T$189)+COUNTIF('6月'!DJ27:DK27,T$189)+COUNTIF('6月'!DO27:DP27,T$189)+COUNTIF('6月'!DT27:DU27,T$189)+COUNTIF('6月'!DY27:DZ27,T$189)+COUNTIF('6月'!ED27:EE27,T$189)+COUNTIF('6月'!EI27:EJ27,T$189)+COUNTIF('6月'!EN27:EO27,T$189)+COUNTIF('6月'!ES27:ET27,T$189)</f>
        <v>0</v>
      </c>
      <c r="U214" s="76">
        <f t="shared" si="69"/>
        <v>0</v>
      </c>
      <c r="V214" s="76">
        <f>COUNTIF('6月'!D27:E27,V$189)+COUNTIF('6月'!I27:J27,V$189)+COUNTIF('6月'!N27:O27,V$189)+COUNTIF('6月'!S27:T27,V$189)+COUNTIF('6月'!X27:Y27,V$189)+COUNTIF('6月'!AC27:AD27,V$189)+COUNTIF('6月'!AH27:AI27,V$189)+COUNTIF('6月'!AM27:AN27,V$189)+COUNTIF('6月'!AR27:AS27,V$189)+COUNTIF('6月'!AW27:AX27,V$189)+COUNTIF('6月'!BB27:BC27,V$189)+COUNTIF('6月'!BG27:BH27,V$189)+COUNTIF('6月'!BL27:BM27,V$189)+COUNTIF('6月'!BQ27:BR27,V$189)+COUNTIF('6月'!BV27:BW27,V$189)+COUNTIF('6月'!CA27:CB27,V$189)+COUNTIF('6月'!CF27:CG27,V$189)+COUNTIF('6月'!CK27:CL27,V$189)+COUNTIF('6月'!CP27:CQ27,V$189)+COUNTIF('6月'!CU27:CV27,V$189)+COUNTIF('6月'!CZ27:DA27,V$189)+COUNTIF('6月'!DE27:DF27,V$189)+COUNTIF('6月'!DJ27:DK27,V$189)+COUNTIF('6月'!DO27:DP27,V$189)+COUNTIF('6月'!DT27:DU27,V$189)+COUNTIF('6月'!DY27:DZ27,V$189)+COUNTIF('6月'!ED27:EE27,V$189)+COUNTIF('6月'!EI27:EJ27,V$189)+COUNTIF('6月'!EN27:EO27,V$189)+COUNTIF('6月'!ES27:ET27,V$189)</f>
        <v>0</v>
      </c>
      <c r="W214" s="76">
        <f t="shared" si="70"/>
        <v>0</v>
      </c>
      <c r="X214" s="76">
        <f>COUNTIF('6月'!D27:E27,X$189)+COUNTIF('6月'!I27:J27,X$189)+COUNTIF('6月'!N27:O27,X$189)+COUNTIF('6月'!S27:T27,X$189)+COUNTIF('6月'!X27:Y27,X$189)+COUNTIF('6月'!AC27:AD27,X$189)+COUNTIF('6月'!AH27:AI27,X$189)+COUNTIF('6月'!AM27:AN27,X$189)+COUNTIF('6月'!AR27:AS27,X$189)+COUNTIF('6月'!AW27:AX27,X$189)+COUNTIF('6月'!BB27:BC27,X$189)+COUNTIF('6月'!BG27:BH27,X$189)+COUNTIF('6月'!BL27:BM27,X$189)+COUNTIF('6月'!BQ27:BR27,X$189)+COUNTIF('6月'!BV27:BW27,X$189)+COUNTIF('6月'!CA27:CB27,X$189)+COUNTIF('6月'!CF27:CG27,X$189)+COUNTIF('6月'!CK27:CL27,X$189)+COUNTIF('6月'!CP27:CQ27,X$189)+COUNTIF('6月'!CU27:CV27,X$189)+COUNTIF('6月'!CZ27:DA27,X$189)+COUNTIF('6月'!DE27:DF27,X$189)+COUNTIF('6月'!DJ27:DK27,X$189)+COUNTIF('6月'!DO27:DP27,X$189)+COUNTIF('6月'!DT27:DU27,X$189)+COUNTIF('6月'!DY27:DZ27,X$189)+COUNTIF('6月'!ED27:EE27,X$189)+COUNTIF('6月'!EI27:EJ27,X$189)+COUNTIF('6月'!EN27:EO27,X$189)+COUNTIF('6月'!ES27:ET27,X$189)</f>
        <v>0</v>
      </c>
      <c r="Y214" s="76">
        <f t="shared" si="71"/>
        <v>0</v>
      </c>
    </row>
    <row r="215" spans="1:25" ht="18" customHeight="1">
      <c r="A215" s="76">
        <v>25</v>
      </c>
      <c r="B215" s="76">
        <f>COUNTIF('6月'!D28:E28,B$189)+COUNTIF('6月'!I28:J28,B$189)+COUNTIF('6月'!N28:O28,B$189)+COUNTIF('6月'!S28:T28,B$189)+COUNTIF('6月'!X28:Y28,B$189)+COUNTIF('6月'!AC28:AD28,B$189)+COUNTIF('6月'!AH28:AI28,B$189)+COUNTIF('6月'!AM28:AN28,B$189)+COUNTIF('6月'!AR28:AS28,B$189)+COUNTIF('6月'!AW28:AX28,B$189)+COUNTIF('6月'!BB28:BC28,B$189)+COUNTIF('6月'!BG28:BH28,B$189)+COUNTIF('6月'!BL28:BM28,B$189)+COUNTIF('6月'!BQ28:BR28,B$189)+COUNTIF('6月'!BV28:BW28,B$189)+COUNTIF('6月'!CA28:CB28,B$189)+COUNTIF('6月'!CF28:CG28,B$189)+COUNTIF('6月'!CK28:CL28,B$189)+COUNTIF('6月'!CP28:CQ28,B$189)+COUNTIF('6月'!CU28:CV28,B$189)+COUNTIF('6月'!CZ28:DA28,B$189)+COUNTIF('6月'!DE28:DF28,B$189)+COUNTIF('6月'!DJ28:DK28,B$189)+COUNTIF('6月'!DO28:DP28,B$189)+COUNTIF('6月'!DT28:DU28,B$189)+COUNTIF('6月'!DY28:DZ28,B$189)+COUNTIF('6月'!ED28:EE28,B$189)+COUNTIF('6月'!EI28:EJ28,B$189)+COUNTIF('6月'!EN28:EO28,B$189)+COUNTIF('6月'!ES28:ET28,B$189)</f>
        <v>0</v>
      </c>
      <c r="C215" s="76">
        <f t="shared" si="60"/>
        <v>0</v>
      </c>
      <c r="D215" s="76">
        <f>COUNTIF('6月'!D28:E28,D$189)+COUNTIF('6月'!I28:J28,D$189)+COUNTIF('6月'!N28:O28,D$189)+COUNTIF('6月'!S28:T28,D$189)+COUNTIF('6月'!X28:Y28,D$189)+COUNTIF('6月'!AC28:AD28,D$189)+COUNTIF('6月'!AH28:AI28,D$189)+COUNTIF('6月'!AM28:AN28,D$189)+COUNTIF('6月'!AR28:AS28,D$189)+COUNTIF('6月'!AW28:AX28,D$189)+COUNTIF('6月'!BB28:BC28,D$189)+COUNTIF('6月'!BG28:BH28,D$189)+COUNTIF('6月'!BL28:BM28,D$189)+COUNTIF('6月'!BQ28:BR28,D$189)+COUNTIF('6月'!BV28:BW28,D$189)+COUNTIF('6月'!CA28:CB28,D$189)+COUNTIF('6月'!CF28:CG28,D$189)+COUNTIF('6月'!CK28:CL28,D$189)+COUNTIF('6月'!CP28:CQ28,D$189)+COUNTIF('6月'!CU28:CV28,D$189)+COUNTIF('6月'!CZ28:DA28,D$189)+COUNTIF('6月'!DE28:DF28,D$189)+COUNTIF('6月'!DJ28:DK28,D$189)+COUNTIF('6月'!DO28:DP28,D$189)+COUNTIF('6月'!DT28:DU28,D$189)+COUNTIF('6月'!DY28:DZ28,D$189)+COUNTIF('6月'!ED28:EE28,D$189)+COUNTIF('6月'!EI28:EJ28,D$189)+COUNTIF('6月'!EN28:EO28,D$189)+COUNTIF('6月'!ES28:ET28,D$189)</f>
        <v>0</v>
      </c>
      <c r="E215" s="76">
        <f t="shared" si="61"/>
        <v>0</v>
      </c>
      <c r="F215" s="76">
        <f>COUNTIF('6月'!D28:E28,F$189)+COUNTIF('6月'!I28:J28,F$189)+COUNTIF('6月'!N28:O28,F$189)+COUNTIF('6月'!S28:T28,F$189)+COUNTIF('6月'!X28:Y28,F$189)+COUNTIF('6月'!AC28:AD28,F$189)+COUNTIF('6月'!AH28:AI28,F$189)+COUNTIF('6月'!AM28:AN28,F$189)+COUNTIF('6月'!AR28:AS28,F$189)+COUNTIF('6月'!AW28:AX28,F$189)+COUNTIF('6月'!BB28:BC28,F$189)+COUNTIF('6月'!BG28:BH28,F$189)+COUNTIF('6月'!BL28:BM28,F$189)+COUNTIF('6月'!BQ28:BR28,F$189)+COUNTIF('6月'!BV28:BW28,F$189)+COUNTIF('6月'!CA28:CB28,F$189)+COUNTIF('6月'!CF28:CG28,F$189)+COUNTIF('6月'!CK28:CL28,F$189)+COUNTIF('6月'!CP28:CQ28,F$189)+COUNTIF('6月'!CU28:CV28,F$189)+COUNTIF('6月'!CZ28:DA28,F$189)+COUNTIF('6月'!DE28:DF28,F$189)+COUNTIF('6月'!DJ28:DK28,F$189)+COUNTIF('6月'!DO28:DP28,F$189)+COUNTIF('6月'!DT28:DU28,F$189)+COUNTIF('6月'!DY28:DZ28,F$189)+COUNTIF('6月'!ED28:EE28,F$189)+COUNTIF('6月'!EI28:EJ28,F$189)+COUNTIF('6月'!EN28:EO28,F$189)+COUNTIF('6月'!ES28:ET28,F$189)</f>
        <v>0</v>
      </c>
      <c r="G215" s="76">
        <f t="shared" si="62"/>
        <v>0</v>
      </c>
      <c r="H215" s="76">
        <f>COUNTIF('6月'!D28:E28,H$189)+COUNTIF('6月'!I28:J28,H$189)+COUNTIF('6月'!N28:O28,H$189)+COUNTIF('6月'!S28:T28,H$189)+COUNTIF('6月'!X28:Y28,H$189)+COUNTIF('6月'!AC28:AD28,H$189)+COUNTIF('6月'!AH28:AI28,H$189)+COUNTIF('6月'!AM28:AN28,H$189)+COUNTIF('6月'!AR28:AS28,H$189)+COUNTIF('6月'!AW28:AX28,H$189)+COUNTIF('6月'!BB28:BC28,H$189)+COUNTIF('6月'!BG28:BH28,H$189)+COUNTIF('6月'!BL28:BM28,H$189)+COUNTIF('6月'!BQ28:BR28,H$189)+COUNTIF('6月'!BV28:BW28,H$189)+COUNTIF('6月'!CA28:CB28,H$189)+COUNTIF('6月'!CF28:CG28,H$189)+COUNTIF('6月'!CK28:CL28,H$189)+COUNTIF('6月'!CP28:CQ28,H$189)+COUNTIF('6月'!CU28:CV28,H$189)+COUNTIF('6月'!CZ28:DA28,H$189)+COUNTIF('6月'!DE28:DF28,H$189)+COUNTIF('6月'!DJ28:DK28,H$189)+COUNTIF('6月'!DO28:DP28,H$189)+COUNTIF('6月'!DT28:DU28,H$189)+COUNTIF('6月'!DY28:DZ28,H$189)+COUNTIF('6月'!ED28:EE28,H$189)+COUNTIF('6月'!EI28:EJ28,H$189)+COUNTIF('6月'!EN28:EO28,H$189)+COUNTIF('6月'!ES28:ET28,H$189)+COUNTIF('6月'!D28:E28,"渋谷-夜勤")+COUNTIF('6月'!I28:J28,"渋谷-夜勤")+COUNTIF('6月'!N28:O28,"渋谷-夜勤")+COUNTIF('6月'!S28:T28,"渋谷-夜勤")+COUNTIF('6月'!X28:Y28,"渋谷-夜勤")+COUNTIF('6月'!AC28:AD28,"渋谷-夜勤")+COUNTIF('6月'!AH28:AI28,"渋谷-夜勤")+COUNTIF('6月'!AM28:AN28,"渋谷-夜勤")+COUNTIF('6月'!AR28:AS28,"渋谷-夜勤")+COUNTIF('6月'!AW28:AX28,"渋谷-夜勤")+COUNTIF('6月'!BB28:BC28,"渋谷-夜勤")+COUNTIF('6月'!BG28:BH28,"渋谷-夜勤")+COUNTIF('6月'!BL28:BM28,"渋谷-夜勤")+COUNTIF('6月'!BQ28:BR28,"渋谷-夜勤")+COUNTIF('6月'!BV28:BW28,"渋谷-夜勤")+COUNTIF('6月'!CA28:CB28,"渋谷-夜勤")+COUNTIF('6月'!CF28:CG28,"渋谷-夜勤")+COUNTIF('6月'!CK28:CL28,"渋谷-夜勤")+COUNTIF('6月'!CP28:CQ28,"渋谷-夜勤")+COUNTIF('6月'!CU28:CV28,"渋谷-夜勤")+COUNTIF('6月'!CZ28:DA28,"渋谷-夜勤")+COUNTIF('6月'!DE28:DF28,"渋谷-夜勤")+COUNTIF('6月'!DJ28:DK28,"渋谷-夜勤")+COUNTIF('6月'!DO28:DP28,"渋谷-夜勤")+COUNTIF('6月'!DT28:DU28,"渋谷-夜勤")+COUNTIF('6月'!DY28:DZ28,"渋谷-夜勤")+COUNTIF('6月'!ED28:EE28,"渋谷-夜勤")+COUNTIF('6月'!EI28:EJ28,"渋谷-夜勤")+COUNTIF('6月'!EN28:EO28,"渋谷-夜勤")+COUNTIF('6月'!ES28:ET28,"渋谷-夜勤")</f>
        <v>0</v>
      </c>
      <c r="I215" s="76">
        <f t="shared" si="63"/>
        <v>0</v>
      </c>
      <c r="J215" s="76">
        <f>COUNTIF('6月'!D28:E28,J$189)+COUNTIF('6月'!I28:J28,J$189)+COUNTIF('6月'!N28:O28,J$189)+COUNTIF('6月'!S28:T28,J$189)+COUNTIF('6月'!X28:Y28,J$189)+COUNTIF('6月'!AC28:AD28,J$189)+COUNTIF('6月'!AH28:AI28,J$189)+COUNTIF('6月'!AM28:AN28,J$189)+COUNTIF('6月'!AR28:AS28,J$189)+COUNTIF('6月'!AW28:AX28,J$189)+COUNTIF('6月'!BB28:BC28,J$189)+COUNTIF('6月'!BG28:BH28,J$189)+COUNTIF('6月'!BL28:BM28,J$189)+COUNTIF('6月'!BQ28:BR28,J$189)+COUNTIF('6月'!BV28:BW28,J$189)+COUNTIF('6月'!CA28:CB28,J$189)+COUNTIF('6月'!CF28:CG28,J$189)+COUNTIF('6月'!CK28:CL28,J$189)+COUNTIF('6月'!CP28:CQ28,J$189)+COUNTIF('6月'!CU28:CV28,J$189)+COUNTIF('6月'!CZ28:DA28,J$189)+COUNTIF('6月'!DE28:DF28,J$189)+COUNTIF('6月'!DJ28:DK28,J$189)+COUNTIF('6月'!DO28:DP28,J$189)+COUNTIF('6月'!DT28:DU28,J$189)+COUNTIF('6月'!DY28:DZ28,J$189)+COUNTIF('6月'!ED28:EE28,J$189)+COUNTIF('6月'!EI28:EJ28,J$189)+COUNTIF('6月'!EN28:EO28,J$189)+COUNTIF('6月'!ES28:ET28,J$189)+COUNTIF('6月'!D28:E28,"六本木-夜勤")+COUNTIF('6月'!I28:J28,"六本木-夜勤")+COUNTIF('6月'!N28:O28,"六本木-夜勤")+COUNTIF('6月'!S28:T28,"六本木-夜勤")+COUNTIF('6月'!X28:Y28,"六本木-夜勤")+COUNTIF('6月'!AC28:AD28,"六本木-夜勤")+COUNTIF('6月'!AH28:AI28,"六本木-夜勤")+COUNTIF('6月'!AM28:AN28,"六本木-夜勤")+COUNTIF('6月'!AR28:AS28,"六本木-夜勤")+COUNTIF('6月'!AW28:AX28,"六本木-夜勤")+COUNTIF('6月'!BB28:BC28,"六本木-夜勤")+COUNTIF('6月'!BG28:BH28,"六本木-夜勤")+COUNTIF('6月'!BL28:BM28,"六本木-夜勤")+COUNTIF('6月'!BQ28:BR28,"六本木-夜勤")+COUNTIF('6月'!BV28:BW28,"六本木-夜勤")+COUNTIF('6月'!CA28:CB28,"六本木-夜勤")+COUNTIF('6月'!CF28:CG28,"六本木-夜勤")+COUNTIF('6月'!CK28:CL28,"六本木-夜勤")+COUNTIF('6月'!CP28:CQ28,"六本木-夜勤")+COUNTIF('6月'!CU28:CV28,"六本木-夜勤")+COUNTIF('6月'!CZ28:DA28,"六本木-夜勤")+COUNTIF('6月'!DE28:DF28,"六本木-夜勤")+COUNTIF('6月'!DJ28:DK28,"六本木-夜勤")+COUNTIF('6月'!DO28:DP28,"六本木-夜勤")+COUNTIF('6月'!DT28:DU28,"六本木-夜勤")+COUNTIF('6月'!DY28:DZ28,"六本木-夜勤")+COUNTIF('6月'!ED28:EE28,"六本木-夜勤")+COUNTIF('6月'!EI28:EJ28,"六本木-夜勤")+COUNTIF('6月'!EN28:EO28,"六本木-夜勤")+COUNTIF('6月'!ES28:ET28,"六本木-夜勤")+COUNTIF('6月'!D28:E28,"六本木ー夜勤")+COUNTIF('6月'!I28:J28,"六本木ー夜勤")+COUNTIF('6月'!N28:O28,"六本木ー夜勤")+COUNTIF('6月'!S28:T28,"六本木ー夜勤")+COUNTIF('6月'!X28:Y28,"六本木ー夜勤")+COUNTIF('6月'!AC28:AD28,"六本木ー夜勤")+COUNTIF('6月'!AH28:AI28,"六本木ー夜勤")+COUNTIF('6月'!AM28:AN28,"六本木ー夜勤")+COUNTIF('6月'!AR28:AS28,"六本木ー夜勤")+COUNTIF('6月'!AW28:AX28,"六本木ー夜勤")+COUNTIF('6月'!BB28:BC28,"六本木ー夜勤")+COUNTIF('6月'!BG28:BH28,"六本木ー夜勤")+COUNTIF('6月'!BL28:BM28,"六本木ー夜勤")+COUNTIF('6月'!BQ28:BR28,"六本木ー夜勤")+COUNTIF('6月'!BV28:BW28,"六本木ー夜勤")+COUNTIF('6月'!CA28:CB28,"六本木ー夜勤")+COUNTIF('6月'!CF28:CG28,"六本木ー夜勤")+COUNTIF('6月'!CK28:CL28,"六本木ー夜勤")+COUNTIF('6月'!CP28:CQ28,"六本木ー夜勤")+COUNTIF('6月'!CU28:CV28,"六本木ー夜勤")+COUNTIF('6月'!CZ28:DA28,"六本木ー夜勤")+COUNTIF('6月'!DE28:DF28,"六本木ー夜勤")+COUNTIF('6月'!DJ28:DK28,"六本木ー夜勤")+COUNTIF('6月'!DO28:DP28,"六本木ー夜勤")+COUNTIF('6月'!DT28:DU28,"六本木ー夜勤")+COUNTIF('6月'!DY28:DZ28,"六本木ー夜勤")+COUNTIF('6月'!ED28:EE28,"六本木ー夜勤")+COUNTIF('6月'!EI28:EJ28,"六本木ー夜勤")+COUNTIF('6月'!EN28:EO28,"六本木ー夜勤")+COUNTIF('6月'!ES28:ET28,"六本木ー夜勤")</f>
        <v>0</v>
      </c>
      <c r="K215" s="76">
        <f t="shared" si="64"/>
        <v>0</v>
      </c>
      <c r="L215" s="76">
        <f>COUNTIF('6月'!D28:E28,L$189)+COUNTIF('6月'!I28:J28,L$189)+COUNTIF('6月'!N28:O28,L$189)+COUNTIF('6月'!S28:T28,L$189)+COUNTIF('6月'!X28:Y28,L$189)+COUNTIF('6月'!AC28:AD28,L$189)+COUNTIF('6月'!AH28:AI28,L$189)+COUNTIF('6月'!AM28:AN28,L$189)+COUNTIF('6月'!AR28:AS28,L$189)+COUNTIF('6月'!AW28:AX28,L$189)+COUNTIF('6月'!BB28:BC28,L$189)+COUNTIF('6月'!BG28:BH28,L$189)+COUNTIF('6月'!BL28:BM28,L$189)+COUNTIF('6月'!BQ28:BR28,L$189)+COUNTIF('6月'!BV28:BW28,L$189)+COUNTIF('6月'!CA28:CB28,L$189)+COUNTIF('6月'!CF28:CG28,L$189)+COUNTIF('6月'!CK28:CL28,L$189)+COUNTIF('6月'!CP28:CQ28,L$189)+COUNTIF('6月'!CU28:CV28,L$189)+COUNTIF('6月'!CZ28:DA28,L$189)+COUNTIF('6月'!DE28:DF28,L$189)+COUNTIF('6月'!DJ28:DK28,L$189)+COUNTIF('6月'!DO28:DP28,L$189)+COUNTIF('6月'!DT28:DU28,L$189)+COUNTIF('6月'!DY28:DZ28,L$189)+COUNTIF('6月'!ED28:EE28,L$189)+COUNTIF('6月'!EI28:EJ28,L$189)+COUNTIF('6月'!EN28:EO28,L$189)+COUNTIF('6月'!ES28:ET28,L$189)</f>
        <v>0</v>
      </c>
      <c r="M215" s="76">
        <f t="shared" si="65"/>
        <v>0</v>
      </c>
      <c r="N215" s="76">
        <f>COUNTIF('6月'!D28:E28,N$189)+COUNTIF('6月'!I28:J28,N$189)+COUNTIF('6月'!N28:O28,N$189)+COUNTIF('6月'!S28:T28,N$189)+COUNTIF('6月'!X28:Y28,N$189)+COUNTIF('6月'!AC28:AD28,N$189)+COUNTIF('6月'!AH28:AI28,N$189)+COUNTIF('6月'!AM28:AN28,N$189)+COUNTIF('6月'!AR28:AS28,N$189)+COUNTIF('6月'!AW28:AX28,N$189)+COUNTIF('6月'!BB28:BC28,N$189)+COUNTIF('6月'!BG28:BH28,N$189)+COUNTIF('6月'!BL28:BM28,N$189)+COUNTIF('6月'!BQ28:BR28,N$189)+COUNTIF('6月'!BV28:BW28,N$189)+COUNTIF('6月'!CA28:CB28,N$189)+COUNTIF('6月'!CF28:CG28,N$189)+COUNTIF('6月'!CK28:CL28,N$189)+COUNTIF('6月'!CP28:CQ28,N$189)+COUNTIF('6月'!CU28:CV28,N$189)+COUNTIF('6月'!CZ28:DA28,N$189)+COUNTIF('6月'!DE28:DF28,N$189)+COUNTIF('6月'!DJ28:DK28,N$189)+COUNTIF('6月'!DO28:DP28,N$189)+COUNTIF('6月'!DT28:DU28,N$189)+COUNTIF('6月'!DY28:DZ28,N$189)+COUNTIF('6月'!ED28:EE28,N$189)+COUNTIF('6月'!EI28:EJ28,N$189)+COUNTIF('6月'!EN28:EO28,N$189)+COUNTIF('6月'!ES28:ET28,N$189)+COUNTIF('6月'!D28:E28,"三軒茶屋－夜勤")+COUNTIF('6月'!I28:J28,"三軒茶屋－夜勤")+COUNTIF('6月'!N28:O28,"三軒茶屋－夜勤")+COUNTIF('6月'!S28:T28,"三軒茶屋－夜勤")+COUNTIF('6月'!X28:Y28,"三軒茶屋－夜勤")+COUNTIF('6月'!AC28:AD28,"三軒茶屋－夜勤")+COUNTIF('6月'!AH28:AI28,"三軒茶屋－夜勤")+COUNTIF('6月'!AM28:AN28,"三軒茶屋－夜勤")+COUNTIF('6月'!AR28:AS28,"三軒茶屋－夜勤")+COUNTIF('6月'!AW28:AX28,"三軒茶屋－夜勤")+COUNTIF('6月'!BB28:BC28,"三軒茶屋－夜勤")+COUNTIF('6月'!BG28:BH28,"三軒茶屋－夜勤")+COUNTIF('6月'!BL28:BM28,"三軒茶屋－夜勤")+COUNTIF('6月'!BQ28:BR28,"三軒茶屋－夜勤")+COUNTIF('6月'!BV28:BW28,"三軒茶屋－夜勤")+COUNTIF('6月'!CA28:CB28,"三軒茶屋－夜勤")+COUNTIF('6月'!CF28:CG28,"三軒茶屋－夜勤")+COUNTIF('6月'!CK28:CL28,"三軒茶屋－夜勤")+COUNTIF('6月'!CP28:CQ28,"三軒茶屋－夜勤")+COUNTIF('6月'!CU28:CV28,"三軒茶屋－夜勤")+COUNTIF('6月'!CZ28:DA28,"三軒茶屋－夜勤")+COUNTIF('6月'!DE28:DF28,"三軒茶屋－夜勤")+COUNTIF('6月'!DJ28:DK28,"三軒茶屋－夜勤")+COUNTIF('6月'!DO28:DP28,"三軒茶屋－夜勤")+COUNTIF('6月'!DT28:DU28,"三軒茶屋－夜勤")+COUNTIF('6月'!DY28:DZ28,"三軒茶屋－夜勤")+COUNTIF('6月'!ED28:EE28,"三軒茶屋－夜勤")+COUNTIF('6月'!EI28:EJ28,"三軒茶屋－夜勤")+COUNTIF('6月'!EN28:EO28,"三軒茶屋－夜勤")+COUNTIF('6月'!ES28:ET28,"三軒茶屋－夜勤")</f>
        <v>0</v>
      </c>
      <c r="O215" s="76">
        <f t="shared" si="66"/>
        <v>0</v>
      </c>
      <c r="P215" s="76">
        <f>COUNTIF('6月'!D28:E28,P$189)+COUNTIF('6月'!I28:J28,P$189)+COUNTIF('6月'!N28:O28,P$189)+COUNTIF('6月'!S28:T28,P$189)+COUNTIF('6月'!X28:Y28,P$189)+COUNTIF('6月'!AC28:AD28,P$189)+COUNTIF('6月'!AH28:AI28,P$189)+COUNTIF('6月'!AM28:AN28,P$189)+COUNTIF('6月'!AR28:AS28,P$189)+COUNTIF('6月'!AW28:AX28,P$189)+COUNTIF('6月'!BB28:BC28,P$189)+COUNTIF('6月'!BG28:BH28,P$189)+COUNTIF('6月'!BL28:BM28,P$189)+COUNTIF('6月'!BQ28:BR28,P$189)+COUNTIF('6月'!BV28:BW28,P$189)+COUNTIF('6月'!CA28:CB28,P$189)+COUNTIF('6月'!CF28:CG28,P$189)+COUNTIF('6月'!CK28:CL28,P$189)+COUNTIF('6月'!CP28:CQ28,P$189)+COUNTIF('6月'!CU28:CV28,P$189)+COUNTIF('6月'!CZ28:DA28,P$189)+COUNTIF('6月'!DE28:DF28,P$189)+COUNTIF('6月'!DJ28:DK28,P$189)+COUNTIF('6月'!DO28:DP28,P$189)+COUNTIF('6月'!DT28:DU28,P$189)+COUNTIF('6月'!DY28:DZ28,P$189)+COUNTIF('6月'!ED28:EE28,P$189)+COUNTIF('6月'!EI28:EJ28,P$189)+COUNTIF('6月'!EN28:EO28,P$189)+COUNTIF('6月'!ES28:ET28,P$189)+COUNTIF('6月'!D28:E28,"荻窪ー夜勤")+COUNTIF('6月'!I28:J28,"荻窪ー夜勤")+COUNTIF('6月'!N28:O28,"荻窪ー夜勤")+COUNTIF('6月'!S28:T28,"荻窪ー夜勤")+COUNTIF('6月'!X28:Y28,"荻窪ー夜勤")+COUNTIF('6月'!AC28:AD28,"荻窪ー夜勤")+COUNTIF('6月'!AH28:AI28,"荻窪ー夜勤")+COUNTIF('6月'!AM28:AN28,"荻窪ー夜勤")+COUNTIF('6月'!AR28:AS28,"荻窪ー夜勤")+COUNTIF('6月'!AW28:AX28,"荻窪ー夜勤")+COUNTIF('6月'!BB28:BC28,"荻窪ー夜勤")+COUNTIF('6月'!BG28:BH28,"荻窪ー夜勤")+COUNTIF('6月'!BL28:BM28,"荻窪ー夜勤")+COUNTIF('6月'!BQ28:BR28,"荻窪ー夜勤")+COUNTIF('6月'!BV28:BW28,"荻窪ー夜勤")+COUNTIF('6月'!CA28:CB28,"荻窪ー夜勤")+COUNTIF('6月'!CF28:CG28,"荻窪ー夜勤")+COUNTIF('6月'!CK28:CL28,"荻窪ー夜勤")+COUNTIF('6月'!CP28:CQ28,"荻窪ー夜勤")+COUNTIF('6月'!CU28:CV28,"荻窪ー夜勤")+COUNTIF('6月'!CZ28:DA28,"荻窪ー夜勤")+COUNTIF('6月'!DE28:DF28,"荻窪ー夜勤")+COUNTIF('6月'!DJ28:DK28,"荻窪ー夜勤")+COUNTIF('6月'!DO28:DP28,"荻窪ー夜勤")+COUNTIF('6月'!DT28:DU28,"荻窪ー夜勤")+COUNTIF('6月'!DY28:DZ28,"荻窪ー夜勤")+COUNTIF('6月'!ED28:EE28,"荻窪ー夜勤")+COUNTIF('6月'!EI28:EJ28,"荻窪ー夜勤")+COUNTIF('6月'!EN28:EO28,"荻窪ー夜勤")+COUNTIF('6月'!ES28:ET28,"荻窪ー夜勤")</f>
        <v>0</v>
      </c>
      <c r="Q215" s="76">
        <f t="shared" si="67"/>
        <v>0</v>
      </c>
      <c r="R215" s="76">
        <f>COUNTIF('6月'!D28:E28,R$189)+COUNTIF('6月'!I28:J28,R$189)+COUNTIF('6月'!N28:O28,R$189)+COUNTIF('6月'!S28:T28,R$189)+COUNTIF('6月'!X28:Y28,R$189)+COUNTIF('6月'!AC28:AD28,R$189)+COUNTIF('6月'!AH28:AI28,R$189)+COUNTIF('6月'!AM28:AN28,R$189)+COUNTIF('6月'!AR28:AS28,R$189)+COUNTIF('6月'!AW28:AX28,R$189)+COUNTIF('6月'!BB28:BC28,R$189)+COUNTIF('6月'!BG28:BH28,R$189)+COUNTIF('6月'!BL28:BM28,R$189)+COUNTIF('6月'!BQ28:BR28,R$189)+COUNTIF('6月'!BV28:BW28,R$189)+COUNTIF('6月'!CA28:CB28,R$189)+COUNTIF('6月'!CF28:CG28,R$189)+COUNTIF('6月'!CK28:CL28,R$189)+COUNTIF('6月'!CP28:CQ28,R$189)+COUNTIF('6月'!CU28:CV28,R$189)+COUNTIF('6月'!CZ28:DA28,R$189)+COUNTIF('6月'!DE28:DF28,R$189)+COUNTIF('6月'!DJ28:DK28,R$189)+COUNTIF('6月'!DO28:DP28,R$189)+COUNTIF('6月'!DT28:DU28,R$189)+COUNTIF('6月'!DY28:DZ28,R$189)+COUNTIF('6月'!ED28:EE28,R$189)+COUNTIF('6月'!EI28:EJ28,R$189)+COUNTIF('6月'!EN28:EO28,R$189)+COUNTIF('6月'!ES28:ET28,R$189)</f>
        <v>0</v>
      </c>
      <c r="S215" s="76">
        <f t="shared" si="68"/>
        <v>0</v>
      </c>
      <c r="T215" s="76">
        <f>COUNTIF('6月'!D28:E28,T$189)+COUNTIF('6月'!I28:J28,T$189)+COUNTIF('6月'!N28:O28,T$189)+COUNTIF('6月'!S28:T28,T$189)+COUNTIF('6月'!X28:Y28,T$189)+COUNTIF('6月'!AC28:AD28,T$189)+COUNTIF('6月'!AH28:AI28,T$189)+COUNTIF('6月'!AM28:AN28,T$189)+COUNTIF('6月'!AR28:AS28,T$189)+COUNTIF('6月'!AW28:AX28,T$189)+COUNTIF('6月'!BB28:BC28,T$189)+COUNTIF('6月'!BG28:BH28,T$189)+COUNTIF('6月'!BL28:BM28,T$189)+COUNTIF('6月'!BQ28:BR28,T$189)+COUNTIF('6月'!BV28:BW28,T$189)+COUNTIF('6月'!CA28:CB28,T$189)+COUNTIF('6月'!CF28:CG28,T$189)+COUNTIF('6月'!CK28:CL28,T$189)+COUNTIF('6月'!CP28:CQ28,T$189)+COUNTIF('6月'!CU28:CV28,T$189)+COUNTIF('6月'!CZ28:DA28,T$189)+COUNTIF('6月'!DE28:DF28,T$189)+COUNTIF('6月'!DJ28:DK28,T$189)+COUNTIF('6月'!DO28:DP28,T$189)+COUNTIF('6月'!DT28:DU28,T$189)+COUNTIF('6月'!DY28:DZ28,T$189)+COUNTIF('6月'!ED28:EE28,T$189)+COUNTIF('6月'!EI28:EJ28,T$189)+COUNTIF('6月'!EN28:EO28,T$189)+COUNTIF('6月'!ES28:ET28,T$189)</f>
        <v>0</v>
      </c>
      <c r="U215" s="76">
        <f t="shared" si="69"/>
        <v>0</v>
      </c>
      <c r="V215" s="76">
        <f>COUNTIF('6月'!D28:E28,V$189)+COUNTIF('6月'!I28:J28,V$189)+COUNTIF('6月'!N28:O28,V$189)+COUNTIF('6月'!S28:T28,V$189)+COUNTIF('6月'!X28:Y28,V$189)+COUNTIF('6月'!AC28:AD28,V$189)+COUNTIF('6月'!AH28:AI28,V$189)+COUNTIF('6月'!AM28:AN28,V$189)+COUNTIF('6月'!AR28:AS28,V$189)+COUNTIF('6月'!AW28:AX28,V$189)+COUNTIF('6月'!BB28:BC28,V$189)+COUNTIF('6月'!BG28:BH28,V$189)+COUNTIF('6月'!BL28:BM28,V$189)+COUNTIF('6月'!BQ28:BR28,V$189)+COUNTIF('6月'!BV28:BW28,V$189)+COUNTIF('6月'!CA28:CB28,V$189)+COUNTIF('6月'!CF28:CG28,V$189)+COUNTIF('6月'!CK28:CL28,V$189)+COUNTIF('6月'!CP28:CQ28,V$189)+COUNTIF('6月'!CU28:CV28,V$189)+COUNTIF('6月'!CZ28:DA28,V$189)+COUNTIF('6月'!DE28:DF28,V$189)+COUNTIF('6月'!DJ28:DK28,V$189)+COUNTIF('6月'!DO28:DP28,V$189)+COUNTIF('6月'!DT28:DU28,V$189)+COUNTIF('6月'!DY28:DZ28,V$189)+COUNTIF('6月'!ED28:EE28,V$189)+COUNTIF('6月'!EI28:EJ28,V$189)+COUNTIF('6月'!EN28:EO28,V$189)+COUNTIF('6月'!ES28:ET28,V$189)</f>
        <v>0</v>
      </c>
      <c r="W215" s="76">
        <f t="shared" si="70"/>
        <v>0</v>
      </c>
      <c r="X215" s="76">
        <f>COUNTIF('6月'!D28:E28,X$189)+COUNTIF('6月'!I28:J28,X$189)+COUNTIF('6月'!N28:O28,X$189)+COUNTIF('6月'!S28:T28,X$189)+COUNTIF('6月'!X28:Y28,X$189)+COUNTIF('6月'!AC28:AD28,X$189)+COUNTIF('6月'!AH28:AI28,X$189)+COUNTIF('6月'!AM28:AN28,X$189)+COUNTIF('6月'!AR28:AS28,X$189)+COUNTIF('6月'!AW28:AX28,X$189)+COUNTIF('6月'!BB28:BC28,X$189)+COUNTIF('6月'!BG28:BH28,X$189)+COUNTIF('6月'!BL28:BM28,X$189)+COUNTIF('6月'!BQ28:BR28,X$189)+COUNTIF('6月'!BV28:BW28,X$189)+COUNTIF('6月'!CA28:CB28,X$189)+COUNTIF('6月'!CF28:CG28,X$189)+COUNTIF('6月'!CK28:CL28,X$189)+COUNTIF('6月'!CP28:CQ28,X$189)+COUNTIF('6月'!CU28:CV28,X$189)+COUNTIF('6月'!CZ28:DA28,X$189)+COUNTIF('6月'!DE28:DF28,X$189)+COUNTIF('6月'!DJ28:DK28,X$189)+COUNTIF('6月'!DO28:DP28,X$189)+COUNTIF('6月'!DT28:DU28,X$189)+COUNTIF('6月'!DY28:DZ28,X$189)+COUNTIF('6月'!ED28:EE28,X$189)+COUNTIF('6月'!EI28:EJ28,X$189)+COUNTIF('6月'!EN28:EO28,X$189)+COUNTIF('6月'!ES28:ET28,X$189)</f>
        <v>0</v>
      </c>
      <c r="Y215" s="76">
        <f t="shared" si="71"/>
        <v>0</v>
      </c>
    </row>
    <row r="216" spans="1:25" ht="18" customHeight="1">
      <c r="A216" s="76">
        <v>26</v>
      </c>
      <c r="B216" s="76">
        <f>COUNTIF('6月'!D29:E29,B$189)+COUNTIF('6月'!I29:J29,B$189)+COUNTIF('6月'!N29:O29,B$189)+COUNTIF('6月'!S29:T29,B$189)+COUNTIF('6月'!X29:Y29,B$189)+COUNTIF('6月'!AC29:AD29,B$189)+COUNTIF('6月'!AH29:AI29,B$189)+COUNTIF('6月'!AM29:AN29,B$189)+COUNTIF('6月'!AR29:AS29,B$189)+COUNTIF('6月'!AW29:AX29,B$189)+COUNTIF('6月'!BB29:BC29,B$189)+COUNTIF('6月'!BG29:BH29,B$189)+COUNTIF('6月'!BL29:BM29,B$189)+COUNTIF('6月'!BQ29:BR29,B$189)+COUNTIF('6月'!BV29:BW29,B$189)+COUNTIF('6月'!CA29:CB29,B$189)+COUNTIF('6月'!CF29:CG29,B$189)+COUNTIF('6月'!CK29:CL29,B$189)+COUNTIF('6月'!CP29:CQ29,B$189)+COUNTIF('6月'!CU29:CV29,B$189)+COUNTIF('6月'!CZ29:DA29,B$189)+COUNTIF('6月'!DE29:DF29,B$189)+COUNTIF('6月'!DJ29:DK29,B$189)+COUNTIF('6月'!DO29:DP29,B$189)+COUNTIF('6月'!DT29:DU29,B$189)+COUNTIF('6月'!DY29:DZ29,B$189)+COUNTIF('6月'!ED29:EE29,B$189)+COUNTIF('6月'!EI29:EJ29,B$189)+COUNTIF('6月'!EN29:EO29,B$189)+COUNTIF('6月'!ES29:ET29,B$189)</f>
        <v>0</v>
      </c>
      <c r="C216" s="76">
        <f t="shared" si="60"/>
        <v>0</v>
      </c>
      <c r="D216" s="76">
        <f>COUNTIF('6月'!D29:E29,D$189)+COUNTIF('6月'!I29:J29,D$189)+COUNTIF('6月'!N29:O29,D$189)+COUNTIF('6月'!S29:T29,D$189)+COUNTIF('6月'!X29:Y29,D$189)+COUNTIF('6月'!AC29:AD29,D$189)+COUNTIF('6月'!AH29:AI29,D$189)+COUNTIF('6月'!AM29:AN29,D$189)+COUNTIF('6月'!AR29:AS29,D$189)+COUNTIF('6月'!AW29:AX29,D$189)+COUNTIF('6月'!BB29:BC29,D$189)+COUNTIF('6月'!BG29:BH29,D$189)+COUNTIF('6月'!BL29:BM29,D$189)+COUNTIF('6月'!BQ29:BR29,D$189)+COUNTIF('6月'!BV29:BW29,D$189)+COUNTIF('6月'!CA29:CB29,D$189)+COUNTIF('6月'!CF29:CG29,D$189)+COUNTIF('6月'!CK29:CL29,D$189)+COUNTIF('6月'!CP29:CQ29,D$189)+COUNTIF('6月'!CU29:CV29,D$189)+COUNTIF('6月'!CZ29:DA29,D$189)+COUNTIF('6月'!DE29:DF29,D$189)+COUNTIF('6月'!DJ29:DK29,D$189)+COUNTIF('6月'!DO29:DP29,D$189)+COUNTIF('6月'!DT29:DU29,D$189)+COUNTIF('6月'!DY29:DZ29,D$189)+COUNTIF('6月'!ED29:EE29,D$189)+COUNTIF('6月'!EI29:EJ29,D$189)+COUNTIF('6月'!EN29:EO29,D$189)+COUNTIF('6月'!ES29:ET29,D$189)</f>
        <v>0</v>
      </c>
      <c r="E216" s="76">
        <f t="shared" si="61"/>
        <v>0</v>
      </c>
      <c r="F216" s="76">
        <f>COUNTIF('6月'!D29:E29,F$189)+COUNTIF('6月'!I29:J29,F$189)+COUNTIF('6月'!N29:O29,F$189)+COUNTIF('6月'!S29:T29,F$189)+COUNTIF('6月'!X29:Y29,F$189)+COUNTIF('6月'!AC29:AD29,F$189)+COUNTIF('6月'!AH29:AI29,F$189)+COUNTIF('6月'!AM29:AN29,F$189)+COUNTIF('6月'!AR29:AS29,F$189)+COUNTIF('6月'!AW29:AX29,F$189)+COUNTIF('6月'!BB29:BC29,F$189)+COUNTIF('6月'!BG29:BH29,F$189)+COUNTIF('6月'!BL29:BM29,F$189)+COUNTIF('6月'!BQ29:BR29,F$189)+COUNTIF('6月'!BV29:BW29,F$189)+COUNTIF('6月'!CA29:CB29,F$189)+COUNTIF('6月'!CF29:CG29,F$189)+COUNTIF('6月'!CK29:CL29,F$189)+COUNTIF('6月'!CP29:CQ29,F$189)+COUNTIF('6月'!CU29:CV29,F$189)+COUNTIF('6月'!CZ29:DA29,F$189)+COUNTIF('6月'!DE29:DF29,F$189)+COUNTIF('6月'!DJ29:DK29,F$189)+COUNTIF('6月'!DO29:DP29,F$189)+COUNTIF('6月'!DT29:DU29,F$189)+COUNTIF('6月'!DY29:DZ29,F$189)+COUNTIF('6月'!ED29:EE29,F$189)+COUNTIF('6月'!EI29:EJ29,F$189)+COUNTIF('6月'!EN29:EO29,F$189)+COUNTIF('6月'!ES29:ET29,F$189)</f>
        <v>0</v>
      </c>
      <c r="G216" s="76">
        <f t="shared" si="62"/>
        <v>0</v>
      </c>
      <c r="H216" s="76">
        <f>COUNTIF('6月'!D29:E29,H$189)+COUNTIF('6月'!I29:J29,H$189)+COUNTIF('6月'!N29:O29,H$189)+COUNTIF('6月'!S29:T29,H$189)+COUNTIF('6月'!X29:Y29,H$189)+COUNTIF('6月'!AC29:AD29,H$189)+COUNTIF('6月'!AH29:AI29,H$189)+COUNTIF('6月'!AM29:AN29,H$189)+COUNTIF('6月'!AR29:AS29,H$189)+COUNTIF('6月'!AW29:AX29,H$189)+COUNTIF('6月'!BB29:BC29,H$189)+COUNTIF('6月'!BG29:BH29,H$189)+COUNTIF('6月'!BL29:BM29,H$189)+COUNTIF('6月'!BQ29:BR29,H$189)+COUNTIF('6月'!BV29:BW29,H$189)+COUNTIF('6月'!CA29:CB29,H$189)+COUNTIF('6月'!CF29:CG29,H$189)+COUNTIF('6月'!CK29:CL29,H$189)+COUNTIF('6月'!CP29:CQ29,H$189)+COUNTIF('6月'!CU29:CV29,H$189)+COUNTIF('6月'!CZ29:DA29,H$189)+COUNTIF('6月'!DE29:DF29,H$189)+COUNTIF('6月'!DJ29:DK29,H$189)+COUNTIF('6月'!DO29:DP29,H$189)+COUNTIF('6月'!DT29:DU29,H$189)+COUNTIF('6月'!DY29:DZ29,H$189)+COUNTIF('6月'!ED29:EE29,H$189)+COUNTIF('6月'!EI29:EJ29,H$189)+COUNTIF('6月'!EN29:EO29,H$189)+COUNTIF('6月'!ES29:ET29,H$189)+COUNTIF('6月'!D29:E29,"渋谷-夜勤")+COUNTIF('6月'!I29:J29,"渋谷-夜勤")+COUNTIF('6月'!N29:O29,"渋谷-夜勤")+COUNTIF('6月'!S29:T29,"渋谷-夜勤")+COUNTIF('6月'!X29:Y29,"渋谷-夜勤")+COUNTIF('6月'!AC29:AD29,"渋谷-夜勤")+COUNTIF('6月'!AH29:AI29,"渋谷-夜勤")+COUNTIF('6月'!AM29:AN29,"渋谷-夜勤")+COUNTIF('6月'!AR29:AS29,"渋谷-夜勤")+COUNTIF('6月'!AW29:AX29,"渋谷-夜勤")+COUNTIF('6月'!BB29:BC29,"渋谷-夜勤")+COUNTIF('6月'!BG29:BH29,"渋谷-夜勤")+COUNTIF('6月'!BL29:BM29,"渋谷-夜勤")+COUNTIF('6月'!BQ29:BR29,"渋谷-夜勤")+COUNTIF('6月'!BV29:BW29,"渋谷-夜勤")+COUNTIF('6月'!CA29:CB29,"渋谷-夜勤")+COUNTIF('6月'!CF29:CG29,"渋谷-夜勤")+COUNTIF('6月'!CK29:CL29,"渋谷-夜勤")+COUNTIF('6月'!CP29:CQ29,"渋谷-夜勤")+COUNTIF('6月'!CU29:CV29,"渋谷-夜勤")+COUNTIF('6月'!CZ29:DA29,"渋谷-夜勤")+COUNTIF('6月'!DE29:DF29,"渋谷-夜勤")+COUNTIF('6月'!DJ29:DK29,"渋谷-夜勤")+COUNTIF('6月'!DO29:DP29,"渋谷-夜勤")+COUNTIF('6月'!DT29:DU29,"渋谷-夜勤")+COUNTIF('6月'!DY29:DZ29,"渋谷-夜勤")+COUNTIF('6月'!ED29:EE29,"渋谷-夜勤")+COUNTIF('6月'!EI29:EJ29,"渋谷-夜勤")+COUNTIF('6月'!EN29:EO29,"渋谷-夜勤")+COUNTIF('6月'!ES29:ET29,"渋谷-夜勤")</f>
        <v>0</v>
      </c>
      <c r="I216" s="76">
        <f t="shared" si="63"/>
        <v>0</v>
      </c>
      <c r="J216" s="76">
        <f>COUNTIF('6月'!D29:E29,J$189)+COUNTIF('6月'!I29:J29,J$189)+COUNTIF('6月'!N29:O29,J$189)+COUNTIF('6月'!S29:T29,J$189)+COUNTIF('6月'!X29:Y29,J$189)+COUNTIF('6月'!AC29:AD29,J$189)+COUNTIF('6月'!AH29:AI29,J$189)+COUNTIF('6月'!AM29:AN29,J$189)+COUNTIF('6月'!AR29:AS29,J$189)+COUNTIF('6月'!AW29:AX29,J$189)+COUNTIF('6月'!BB29:BC29,J$189)+COUNTIF('6月'!BG29:BH29,J$189)+COUNTIF('6月'!BL29:BM29,J$189)+COUNTIF('6月'!BQ29:BR29,J$189)+COUNTIF('6月'!BV29:BW29,J$189)+COUNTIF('6月'!CA29:CB29,J$189)+COUNTIF('6月'!CF29:CG29,J$189)+COUNTIF('6月'!CK29:CL29,J$189)+COUNTIF('6月'!CP29:CQ29,J$189)+COUNTIF('6月'!CU29:CV29,J$189)+COUNTIF('6月'!CZ29:DA29,J$189)+COUNTIF('6月'!DE29:DF29,J$189)+COUNTIF('6月'!DJ29:DK29,J$189)+COUNTIF('6月'!DO29:DP29,J$189)+COUNTIF('6月'!DT29:DU29,J$189)+COUNTIF('6月'!DY29:DZ29,J$189)+COUNTIF('6月'!ED29:EE29,J$189)+COUNTIF('6月'!EI29:EJ29,J$189)+COUNTIF('6月'!EN29:EO29,J$189)+COUNTIF('6月'!ES29:ET29,J$189)+COUNTIF('6月'!D29:E29,"六本木-夜勤")+COUNTIF('6月'!I29:J29,"六本木-夜勤")+COUNTIF('6月'!N29:O29,"六本木-夜勤")+COUNTIF('6月'!S29:T29,"六本木-夜勤")+COUNTIF('6月'!X29:Y29,"六本木-夜勤")+COUNTIF('6月'!AC29:AD29,"六本木-夜勤")+COUNTIF('6月'!AH29:AI29,"六本木-夜勤")+COUNTIF('6月'!AM29:AN29,"六本木-夜勤")+COUNTIF('6月'!AR29:AS29,"六本木-夜勤")+COUNTIF('6月'!AW29:AX29,"六本木-夜勤")+COUNTIF('6月'!BB29:BC29,"六本木-夜勤")+COUNTIF('6月'!BG29:BH29,"六本木-夜勤")+COUNTIF('6月'!BL29:BM29,"六本木-夜勤")+COUNTIF('6月'!BQ29:BR29,"六本木-夜勤")+COUNTIF('6月'!BV29:BW29,"六本木-夜勤")+COUNTIF('6月'!CA29:CB29,"六本木-夜勤")+COUNTIF('6月'!CF29:CG29,"六本木-夜勤")+COUNTIF('6月'!CK29:CL29,"六本木-夜勤")+COUNTIF('6月'!CP29:CQ29,"六本木-夜勤")+COUNTIF('6月'!CU29:CV29,"六本木-夜勤")+COUNTIF('6月'!CZ29:DA29,"六本木-夜勤")+COUNTIF('6月'!DE29:DF29,"六本木-夜勤")+COUNTIF('6月'!DJ29:DK29,"六本木-夜勤")+COUNTIF('6月'!DO29:DP29,"六本木-夜勤")+COUNTIF('6月'!DT29:DU29,"六本木-夜勤")+COUNTIF('6月'!DY29:DZ29,"六本木-夜勤")+COUNTIF('6月'!ED29:EE29,"六本木-夜勤")+COUNTIF('6月'!EI29:EJ29,"六本木-夜勤")+COUNTIF('6月'!EN29:EO29,"六本木-夜勤")+COUNTIF('6月'!ES29:ET29,"六本木-夜勤")+COUNTIF('6月'!D29:E29,"六本木ー夜勤")+COUNTIF('6月'!I29:J29,"六本木ー夜勤")+COUNTIF('6月'!N29:O29,"六本木ー夜勤")+COUNTIF('6月'!S29:T29,"六本木ー夜勤")+COUNTIF('6月'!X29:Y29,"六本木ー夜勤")+COUNTIF('6月'!AC29:AD29,"六本木ー夜勤")+COUNTIF('6月'!AH29:AI29,"六本木ー夜勤")+COUNTIF('6月'!AM29:AN29,"六本木ー夜勤")+COUNTIF('6月'!AR29:AS29,"六本木ー夜勤")+COUNTIF('6月'!AW29:AX29,"六本木ー夜勤")+COUNTIF('6月'!BB29:BC29,"六本木ー夜勤")+COUNTIF('6月'!BG29:BH29,"六本木ー夜勤")+COUNTIF('6月'!BL29:BM29,"六本木ー夜勤")+COUNTIF('6月'!BQ29:BR29,"六本木ー夜勤")+COUNTIF('6月'!BV29:BW29,"六本木ー夜勤")+COUNTIF('6月'!CA29:CB29,"六本木ー夜勤")+COUNTIF('6月'!CF29:CG29,"六本木ー夜勤")+COUNTIF('6月'!CK29:CL29,"六本木ー夜勤")+COUNTIF('6月'!CP29:CQ29,"六本木ー夜勤")+COUNTIF('6月'!CU29:CV29,"六本木ー夜勤")+COUNTIF('6月'!CZ29:DA29,"六本木ー夜勤")+COUNTIF('6月'!DE29:DF29,"六本木ー夜勤")+COUNTIF('6月'!DJ29:DK29,"六本木ー夜勤")+COUNTIF('6月'!DO29:DP29,"六本木ー夜勤")+COUNTIF('6月'!DT29:DU29,"六本木ー夜勤")+COUNTIF('6月'!DY29:DZ29,"六本木ー夜勤")+COUNTIF('6月'!ED29:EE29,"六本木ー夜勤")+COUNTIF('6月'!EI29:EJ29,"六本木ー夜勤")+COUNTIF('6月'!EN29:EO29,"六本木ー夜勤")+COUNTIF('6月'!ES29:ET29,"六本木ー夜勤")</f>
        <v>0</v>
      </c>
      <c r="K216" s="76">
        <f t="shared" si="64"/>
        <v>0</v>
      </c>
      <c r="L216" s="76">
        <f>COUNTIF('6月'!D29:E29,L$189)+COUNTIF('6月'!I29:J29,L$189)+COUNTIF('6月'!N29:O29,L$189)+COUNTIF('6月'!S29:T29,L$189)+COUNTIF('6月'!X29:Y29,L$189)+COUNTIF('6月'!AC29:AD29,L$189)+COUNTIF('6月'!AH29:AI29,L$189)+COUNTIF('6月'!AM29:AN29,L$189)+COUNTIF('6月'!AR29:AS29,L$189)+COUNTIF('6月'!AW29:AX29,L$189)+COUNTIF('6月'!BB29:BC29,L$189)+COUNTIF('6月'!BG29:BH29,L$189)+COUNTIF('6月'!BL29:BM29,L$189)+COUNTIF('6月'!BQ29:BR29,L$189)+COUNTIF('6月'!BV29:BW29,L$189)+COUNTIF('6月'!CA29:CB29,L$189)+COUNTIF('6月'!CF29:CG29,L$189)+COUNTIF('6月'!CK29:CL29,L$189)+COUNTIF('6月'!CP29:CQ29,L$189)+COUNTIF('6月'!CU29:CV29,L$189)+COUNTIF('6月'!CZ29:DA29,L$189)+COUNTIF('6月'!DE29:DF29,L$189)+COUNTIF('6月'!DJ29:DK29,L$189)+COUNTIF('6月'!DO29:DP29,L$189)+COUNTIF('6月'!DT29:DU29,L$189)+COUNTIF('6月'!DY29:DZ29,L$189)+COUNTIF('6月'!ED29:EE29,L$189)+COUNTIF('6月'!EI29:EJ29,L$189)+COUNTIF('6月'!EN29:EO29,L$189)+COUNTIF('6月'!ES29:ET29,L$189)</f>
        <v>0</v>
      </c>
      <c r="M216" s="76">
        <f t="shared" si="65"/>
        <v>0</v>
      </c>
      <c r="N216" s="76">
        <f>COUNTIF('6月'!D29:E29,N$189)+COUNTIF('6月'!I29:J29,N$189)+COUNTIF('6月'!N29:O29,N$189)+COUNTIF('6月'!S29:T29,N$189)+COUNTIF('6月'!X29:Y29,N$189)+COUNTIF('6月'!AC29:AD29,N$189)+COUNTIF('6月'!AH29:AI29,N$189)+COUNTIF('6月'!AM29:AN29,N$189)+COUNTIF('6月'!AR29:AS29,N$189)+COUNTIF('6月'!AW29:AX29,N$189)+COUNTIF('6月'!BB29:BC29,N$189)+COUNTIF('6月'!BG29:BH29,N$189)+COUNTIF('6月'!BL29:BM29,N$189)+COUNTIF('6月'!BQ29:BR29,N$189)+COUNTIF('6月'!BV29:BW29,N$189)+COUNTIF('6月'!CA29:CB29,N$189)+COUNTIF('6月'!CF29:CG29,N$189)+COUNTIF('6月'!CK29:CL29,N$189)+COUNTIF('6月'!CP29:CQ29,N$189)+COUNTIF('6月'!CU29:CV29,N$189)+COUNTIF('6月'!CZ29:DA29,N$189)+COUNTIF('6月'!DE29:DF29,N$189)+COUNTIF('6月'!DJ29:DK29,N$189)+COUNTIF('6月'!DO29:DP29,N$189)+COUNTIF('6月'!DT29:DU29,N$189)+COUNTIF('6月'!DY29:DZ29,N$189)+COUNTIF('6月'!ED29:EE29,N$189)+COUNTIF('6月'!EI29:EJ29,N$189)+COUNTIF('6月'!EN29:EO29,N$189)+COUNTIF('6月'!ES29:ET29,N$189)+COUNTIF('6月'!D29:E29,"三軒茶屋－夜勤")+COUNTIF('6月'!I29:J29,"三軒茶屋－夜勤")+COUNTIF('6月'!N29:O29,"三軒茶屋－夜勤")+COUNTIF('6月'!S29:T29,"三軒茶屋－夜勤")+COUNTIF('6月'!X29:Y29,"三軒茶屋－夜勤")+COUNTIF('6月'!AC29:AD29,"三軒茶屋－夜勤")+COUNTIF('6月'!AH29:AI29,"三軒茶屋－夜勤")+COUNTIF('6月'!AM29:AN29,"三軒茶屋－夜勤")+COUNTIF('6月'!AR29:AS29,"三軒茶屋－夜勤")+COUNTIF('6月'!AW29:AX29,"三軒茶屋－夜勤")+COUNTIF('6月'!BB29:BC29,"三軒茶屋－夜勤")+COUNTIF('6月'!BG29:BH29,"三軒茶屋－夜勤")+COUNTIF('6月'!BL29:BM29,"三軒茶屋－夜勤")+COUNTIF('6月'!BQ29:BR29,"三軒茶屋－夜勤")+COUNTIF('6月'!BV29:BW29,"三軒茶屋－夜勤")+COUNTIF('6月'!CA29:CB29,"三軒茶屋－夜勤")+COUNTIF('6月'!CF29:CG29,"三軒茶屋－夜勤")+COUNTIF('6月'!CK29:CL29,"三軒茶屋－夜勤")+COUNTIF('6月'!CP29:CQ29,"三軒茶屋－夜勤")+COUNTIF('6月'!CU29:CV29,"三軒茶屋－夜勤")+COUNTIF('6月'!CZ29:DA29,"三軒茶屋－夜勤")+COUNTIF('6月'!DE29:DF29,"三軒茶屋－夜勤")+COUNTIF('6月'!DJ29:DK29,"三軒茶屋－夜勤")+COUNTIF('6月'!DO29:DP29,"三軒茶屋－夜勤")+COUNTIF('6月'!DT29:DU29,"三軒茶屋－夜勤")+COUNTIF('6月'!DY29:DZ29,"三軒茶屋－夜勤")+COUNTIF('6月'!ED29:EE29,"三軒茶屋－夜勤")+COUNTIF('6月'!EI29:EJ29,"三軒茶屋－夜勤")+COUNTIF('6月'!EN29:EO29,"三軒茶屋－夜勤")+COUNTIF('6月'!ES29:ET29,"三軒茶屋－夜勤")</f>
        <v>0</v>
      </c>
      <c r="O216" s="76">
        <f t="shared" si="66"/>
        <v>0</v>
      </c>
      <c r="P216" s="76">
        <f>COUNTIF('6月'!D29:E29,P$189)+COUNTIF('6月'!I29:J29,P$189)+COUNTIF('6月'!N29:O29,P$189)+COUNTIF('6月'!S29:T29,P$189)+COUNTIF('6月'!X29:Y29,P$189)+COUNTIF('6月'!AC29:AD29,P$189)+COUNTIF('6月'!AH29:AI29,P$189)+COUNTIF('6月'!AM29:AN29,P$189)+COUNTIF('6月'!AR29:AS29,P$189)+COUNTIF('6月'!AW29:AX29,P$189)+COUNTIF('6月'!BB29:BC29,P$189)+COUNTIF('6月'!BG29:BH29,P$189)+COUNTIF('6月'!BL29:BM29,P$189)+COUNTIF('6月'!BQ29:BR29,P$189)+COUNTIF('6月'!BV29:BW29,P$189)+COUNTIF('6月'!CA29:CB29,P$189)+COUNTIF('6月'!CF29:CG29,P$189)+COUNTIF('6月'!CK29:CL29,P$189)+COUNTIF('6月'!CP29:CQ29,P$189)+COUNTIF('6月'!CU29:CV29,P$189)+COUNTIF('6月'!CZ29:DA29,P$189)+COUNTIF('6月'!DE29:DF29,P$189)+COUNTIF('6月'!DJ29:DK29,P$189)+COUNTIF('6月'!DO29:DP29,P$189)+COUNTIF('6月'!DT29:DU29,P$189)+COUNTIF('6月'!DY29:DZ29,P$189)+COUNTIF('6月'!ED29:EE29,P$189)+COUNTIF('6月'!EI29:EJ29,P$189)+COUNTIF('6月'!EN29:EO29,P$189)+COUNTIF('6月'!ES29:ET29,P$189)+COUNTIF('6月'!D29:E29,"荻窪ー夜勤")+COUNTIF('6月'!I29:J29,"荻窪ー夜勤")+COUNTIF('6月'!N29:O29,"荻窪ー夜勤")+COUNTIF('6月'!S29:T29,"荻窪ー夜勤")+COUNTIF('6月'!X29:Y29,"荻窪ー夜勤")+COUNTIF('6月'!AC29:AD29,"荻窪ー夜勤")+COUNTIF('6月'!AH29:AI29,"荻窪ー夜勤")+COUNTIF('6月'!AM29:AN29,"荻窪ー夜勤")+COUNTIF('6月'!AR29:AS29,"荻窪ー夜勤")+COUNTIF('6月'!AW29:AX29,"荻窪ー夜勤")+COUNTIF('6月'!BB29:BC29,"荻窪ー夜勤")+COUNTIF('6月'!BG29:BH29,"荻窪ー夜勤")+COUNTIF('6月'!BL29:BM29,"荻窪ー夜勤")+COUNTIF('6月'!BQ29:BR29,"荻窪ー夜勤")+COUNTIF('6月'!BV29:BW29,"荻窪ー夜勤")+COUNTIF('6月'!CA29:CB29,"荻窪ー夜勤")+COUNTIF('6月'!CF29:CG29,"荻窪ー夜勤")+COUNTIF('6月'!CK29:CL29,"荻窪ー夜勤")+COUNTIF('6月'!CP29:CQ29,"荻窪ー夜勤")+COUNTIF('6月'!CU29:CV29,"荻窪ー夜勤")+COUNTIF('6月'!CZ29:DA29,"荻窪ー夜勤")+COUNTIF('6月'!DE29:DF29,"荻窪ー夜勤")+COUNTIF('6月'!DJ29:DK29,"荻窪ー夜勤")+COUNTIF('6月'!DO29:DP29,"荻窪ー夜勤")+COUNTIF('6月'!DT29:DU29,"荻窪ー夜勤")+COUNTIF('6月'!DY29:DZ29,"荻窪ー夜勤")+COUNTIF('6月'!ED29:EE29,"荻窪ー夜勤")+COUNTIF('6月'!EI29:EJ29,"荻窪ー夜勤")+COUNTIF('6月'!EN29:EO29,"荻窪ー夜勤")+COUNTIF('6月'!ES29:ET29,"荻窪ー夜勤")</f>
        <v>0</v>
      </c>
      <c r="Q216" s="76">
        <f t="shared" si="67"/>
        <v>0</v>
      </c>
      <c r="R216" s="76">
        <f>COUNTIF('6月'!D29:E29,R$189)+COUNTIF('6月'!I29:J29,R$189)+COUNTIF('6月'!N29:O29,R$189)+COUNTIF('6月'!S29:T29,R$189)+COUNTIF('6月'!X29:Y29,R$189)+COUNTIF('6月'!AC29:AD29,R$189)+COUNTIF('6月'!AH29:AI29,R$189)+COUNTIF('6月'!AM29:AN29,R$189)+COUNTIF('6月'!AR29:AS29,R$189)+COUNTIF('6月'!AW29:AX29,R$189)+COUNTIF('6月'!BB29:BC29,R$189)+COUNTIF('6月'!BG29:BH29,R$189)+COUNTIF('6月'!BL29:BM29,R$189)+COUNTIF('6月'!BQ29:BR29,R$189)+COUNTIF('6月'!BV29:BW29,R$189)+COUNTIF('6月'!CA29:CB29,R$189)+COUNTIF('6月'!CF29:CG29,R$189)+COUNTIF('6月'!CK29:CL29,R$189)+COUNTIF('6月'!CP29:CQ29,R$189)+COUNTIF('6月'!CU29:CV29,R$189)+COUNTIF('6月'!CZ29:DA29,R$189)+COUNTIF('6月'!DE29:DF29,R$189)+COUNTIF('6月'!DJ29:DK29,R$189)+COUNTIF('6月'!DO29:DP29,R$189)+COUNTIF('6月'!DT29:DU29,R$189)+COUNTIF('6月'!DY29:DZ29,R$189)+COUNTIF('6月'!ED29:EE29,R$189)+COUNTIF('6月'!EI29:EJ29,R$189)+COUNTIF('6月'!EN29:EO29,R$189)+COUNTIF('6月'!ES29:ET29,R$189)</f>
        <v>0</v>
      </c>
      <c r="S216" s="76">
        <f t="shared" si="68"/>
        <v>0</v>
      </c>
      <c r="T216" s="76">
        <f>COUNTIF('6月'!D29:E29,T$189)+COUNTIF('6月'!I29:J29,T$189)+COUNTIF('6月'!N29:O29,T$189)+COUNTIF('6月'!S29:T29,T$189)+COUNTIF('6月'!X29:Y29,T$189)+COUNTIF('6月'!AC29:AD29,T$189)+COUNTIF('6月'!AH29:AI29,T$189)+COUNTIF('6月'!AM29:AN29,T$189)+COUNTIF('6月'!AR29:AS29,T$189)+COUNTIF('6月'!AW29:AX29,T$189)+COUNTIF('6月'!BB29:BC29,T$189)+COUNTIF('6月'!BG29:BH29,T$189)+COUNTIF('6月'!BL29:BM29,T$189)+COUNTIF('6月'!BQ29:BR29,T$189)+COUNTIF('6月'!BV29:BW29,T$189)+COUNTIF('6月'!CA29:CB29,T$189)+COUNTIF('6月'!CF29:CG29,T$189)+COUNTIF('6月'!CK29:CL29,T$189)+COUNTIF('6月'!CP29:CQ29,T$189)+COUNTIF('6月'!CU29:CV29,T$189)+COUNTIF('6月'!CZ29:DA29,T$189)+COUNTIF('6月'!DE29:DF29,T$189)+COUNTIF('6月'!DJ29:DK29,T$189)+COUNTIF('6月'!DO29:DP29,T$189)+COUNTIF('6月'!DT29:DU29,T$189)+COUNTIF('6月'!DY29:DZ29,T$189)+COUNTIF('6月'!ED29:EE29,T$189)+COUNTIF('6月'!EI29:EJ29,T$189)+COUNTIF('6月'!EN29:EO29,T$189)+COUNTIF('6月'!ES29:ET29,T$189)</f>
        <v>0</v>
      </c>
      <c r="U216" s="76">
        <f t="shared" si="69"/>
        <v>0</v>
      </c>
      <c r="V216" s="76">
        <f>COUNTIF('6月'!D29:E29,V$189)+COUNTIF('6月'!I29:J29,V$189)+COUNTIF('6月'!N29:O29,V$189)+COUNTIF('6月'!S29:T29,V$189)+COUNTIF('6月'!X29:Y29,V$189)+COUNTIF('6月'!AC29:AD29,V$189)+COUNTIF('6月'!AH29:AI29,V$189)+COUNTIF('6月'!AM29:AN29,V$189)+COUNTIF('6月'!AR29:AS29,V$189)+COUNTIF('6月'!AW29:AX29,V$189)+COUNTIF('6月'!BB29:BC29,V$189)+COUNTIF('6月'!BG29:BH29,V$189)+COUNTIF('6月'!BL29:BM29,V$189)+COUNTIF('6月'!BQ29:BR29,V$189)+COUNTIF('6月'!BV29:BW29,V$189)+COUNTIF('6月'!CA29:CB29,V$189)+COUNTIF('6月'!CF29:CG29,V$189)+COUNTIF('6月'!CK29:CL29,V$189)+COUNTIF('6月'!CP29:CQ29,V$189)+COUNTIF('6月'!CU29:CV29,V$189)+COUNTIF('6月'!CZ29:DA29,V$189)+COUNTIF('6月'!DE29:DF29,V$189)+COUNTIF('6月'!DJ29:DK29,V$189)+COUNTIF('6月'!DO29:DP29,V$189)+COUNTIF('6月'!DT29:DU29,V$189)+COUNTIF('6月'!DY29:DZ29,V$189)+COUNTIF('6月'!ED29:EE29,V$189)+COUNTIF('6月'!EI29:EJ29,V$189)+COUNTIF('6月'!EN29:EO29,V$189)+COUNTIF('6月'!ES29:ET29,V$189)</f>
        <v>0</v>
      </c>
      <c r="W216" s="76">
        <f t="shared" si="70"/>
        <v>0</v>
      </c>
      <c r="X216" s="76">
        <f>COUNTIF('6月'!D29:E29,X$189)+COUNTIF('6月'!I29:J29,X$189)+COUNTIF('6月'!N29:O29,X$189)+COUNTIF('6月'!S29:T29,X$189)+COUNTIF('6月'!X29:Y29,X$189)+COUNTIF('6月'!AC29:AD29,X$189)+COUNTIF('6月'!AH29:AI29,X$189)+COUNTIF('6月'!AM29:AN29,X$189)+COUNTIF('6月'!AR29:AS29,X$189)+COUNTIF('6月'!AW29:AX29,X$189)+COUNTIF('6月'!BB29:BC29,X$189)+COUNTIF('6月'!BG29:BH29,X$189)+COUNTIF('6月'!BL29:BM29,X$189)+COUNTIF('6月'!BQ29:BR29,X$189)+COUNTIF('6月'!BV29:BW29,X$189)+COUNTIF('6月'!CA29:CB29,X$189)+COUNTIF('6月'!CF29:CG29,X$189)+COUNTIF('6月'!CK29:CL29,X$189)+COUNTIF('6月'!CP29:CQ29,X$189)+COUNTIF('6月'!CU29:CV29,X$189)+COUNTIF('6月'!CZ29:DA29,X$189)+COUNTIF('6月'!DE29:DF29,X$189)+COUNTIF('6月'!DJ29:DK29,X$189)+COUNTIF('6月'!DO29:DP29,X$189)+COUNTIF('6月'!DT29:DU29,X$189)+COUNTIF('6月'!DY29:DZ29,X$189)+COUNTIF('6月'!ED29:EE29,X$189)+COUNTIF('6月'!EI29:EJ29,X$189)+COUNTIF('6月'!EN29:EO29,X$189)+COUNTIF('6月'!ES29:ET29,X$189)</f>
        <v>0</v>
      </c>
      <c r="Y216" s="76">
        <f t="shared" si="71"/>
        <v>0</v>
      </c>
    </row>
    <row r="217" spans="1:25" ht="18" customHeight="1">
      <c r="A217" s="76">
        <v>27</v>
      </c>
      <c r="B217" s="76">
        <f>COUNTIF('6月'!D30:E30,B$189)+COUNTIF('6月'!I30:J30,B$189)+COUNTIF('6月'!N30:O30,B$189)+COUNTIF('6月'!S30:T30,B$189)+COUNTIF('6月'!X30:Y30,B$189)+COUNTIF('6月'!AC30:AD30,B$189)+COUNTIF('6月'!AH30:AI30,B$189)+COUNTIF('6月'!AM30:AN30,B$189)+COUNTIF('6月'!AR30:AS30,B$189)+COUNTIF('6月'!AW30:AX30,B$189)+COUNTIF('6月'!BB30:BC30,B$189)+COUNTIF('6月'!BG30:BH30,B$189)+COUNTIF('6月'!BL30:BM30,B$189)+COUNTIF('6月'!BQ30:BR30,B$189)+COUNTIF('6月'!BV30:BW30,B$189)+COUNTIF('6月'!CA30:CB30,B$189)+COUNTIF('6月'!CF30:CG30,B$189)+COUNTIF('6月'!CK30:CL30,B$189)+COUNTIF('6月'!CP30:CQ30,B$189)+COUNTIF('6月'!CU30:CV30,B$189)+COUNTIF('6月'!CZ30:DA30,B$189)+COUNTIF('6月'!DE30:DF30,B$189)+COUNTIF('6月'!DJ30:DK30,B$189)+COUNTIF('6月'!DO30:DP30,B$189)+COUNTIF('6月'!DT30:DU30,B$189)+COUNTIF('6月'!DY30:DZ30,B$189)+COUNTIF('6月'!ED30:EE30,B$189)+COUNTIF('6月'!EI30:EJ30,B$189)+COUNTIF('6月'!EN30:EO30,B$189)+COUNTIF('6月'!ES30:ET30,B$189)</f>
        <v>0</v>
      </c>
      <c r="C217" s="76">
        <f t="shared" si="60"/>
        <v>0</v>
      </c>
      <c r="D217" s="76">
        <f>COUNTIF('6月'!D30:E30,D$189)+COUNTIF('6月'!I30:J30,D$189)+COUNTIF('6月'!N30:O30,D$189)+COUNTIF('6月'!S30:T30,D$189)+COUNTIF('6月'!X30:Y30,D$189)+COUNTIF('6月'!AC30:AD30,D$189)+COUNTIF('6月'!AH30:AI30,D$189)+COUNTIF('6月'!AM30:AN30,D$189)+COUNTIF('6月'!AR30:AS30,D$189)+COUNTIF('6月'!AW30:AX30,D$189)+COUNTIF('6月'!BB30:BC30,D$189)+COUNTIF('6月'!BG30:BH30,D$189)+COUNTIF('6月'!BL30:BM30,D$189)+COUNTIF('6月'!BQ30:BR30,D$189)+COUNTIF('6月'!BV30:BW30,D$189)+COUNTIF('6月'!CA30:CB30,D$189)+COUNTIF('6月'!CF30:CG30,D$189)+COUNTIF('6月'!CK30:CL30,D$189)+COUNTIF('6月'!CP30:CQ30,D$189)+COUNTIF('6月'!CU30:CV30,D$189)+COUNTIF('6月'!CZ30:DA30,D$189)+COUNTIF('6月'!DE30:DF30,D$189)+COUNTIF('6月'!DJ30:DK30,D$189)+COUNTIF('6月'!DO30:DP30,D$189)+COUNTIF('6月'!DT30:DU30,D$189)+COUNTIF('6月'!DY30:DZ30,D$189)+COUNTIF('6月'!ED30:EE30,D$189)+COUNTIF('6月'!EI30:EJ30,D$189)+COUNTIF('6月'!EN30:EO30,D$189)+COUNTIF('6月'!ES30:ET30,D$189)</f>
        <v>0</v>
      </c>
      <c r="E217" s="76">
        <f t="shared" si="61"/>
        <v>0</v>
      </c>
      <c r="F217" s="76">
        <f>COUNTIF('6月'!D30:E30,F$189)+COUNTIF('6月'!I30:J30,F$189)+COUNTIF('6月'!N30:O30,F$189)+COUNTIF('6月'!S30:T30,F$189)+COUNTIF('6月'!X30:Y30,F$189)+COUNTIF('6月'!AC30:AD30,F$189)+COUNTIF('6月'!AH30:AI30,F$189)+COUNTIF('6月'!AM30:AN30,F$189)+COUNTIF('6月'!AR30:AS30,F$189)+COUNTIF('6月'!AW30:AX30,F$189)+COUNTIF('6月'!BB30:BC30,F$189)+COUNTIF('6月'!BG30:BH30,F$189)+COUNTIF('6月'!BL30:BM30,F$189)+COUNTIF('6月'!BQ30:BR30,F$189)+COUNTIF('6月'!BV30:BW30,F$189)+COUNTIF('6月'!CA30:CB30,F$189)+COUNTIF('6月'!CF30:CG30,F$189)+COUNTIF('6月'!CK30:CL30,F$189)+COUNTIF('6月'!CP30:CQ30,F$189)+COUNTIF('6月'!CU30:CV30,F$189)+COUNTIF('6月'!CZ30:DA30,F$189)+COUNTIF('6月'!DE30:DF30,F$189)+COUNTIF('6月'!DJ30:DK30,F$189)+COUNTIF('6月'!DO30:DP30,F$189)+COUNTIF('6月'!DT30:DU30,F$189)+COUNTIF('6月'!DY30:DZ30,F$189)+COUNTIF('6月'!ED30:EE30,F$189)+COUNTIF('6月'!EI30:EJ30,F$189)+COUNTIF('6月'!EN30:EO30,F$189)+COUNTIF('6月'!ES30:ET30,F$189)</f>
        <v>0</v>
      </c>
      <c r="G217" s="76">
        <f t="shared" si="62"/>
        <v>0</v>
      </c>
      <c r="H217" s="76">
        <f>COUNTIF('6月'!D30:E30,H$189)+COUNTIF('6月'!I30:J30,H$189)+COUNTIF('6月'!N30:O30,H$189)+COUNTIF('6月'!S30:T30,H$189)+COUNTIF('6月'!X30:Y30,H$189)+COUNTIF('6月'!AC30:AD30,H$189)+COUNTIF('6月'!AH30:AI30,H$189)+COUNTIF('6月'!AM30:AN30,H$189)+COUNTIF('6月'!AR30:AS30,H$189)+COUNTIF('6月'!AW30:AX30,H$189)+COUNTIF('6月'!BB30:BC30,H$189)+COUNTIF('6月'!BG30:BH30,H$189)+COUNTIF('6月'!BL30:BM30,H$189)+COUNTIF('6月'!BQ30:BR30,H$189)+COUNTIF('6月'!BV30:BW30,H$189)+COUNTIF('6月'!CA30:CB30,H$189)+COUNTIF('6月'!CF30:CG30,H$189)+COUNTIF('6月'!CK30:CL30,H$189)+COUNTIF('6月'!CP30:CQ30,H$189)+COUNTIF('6月'!CU30:CV30,H$189)+COUNTIF('6月'!CZ30:DA30,H$189)+COUNTIF('6月'!DE30:DF30,H$189)+COUNTIF('6月'!DJ30:DK30,H$189)+COUNTIF('6月'!DO30:DP30,H$189)+COUNTIF('6月'!DT30:DU30,H$189)+COUNTIF('6月'!DY30:DZ30,H$189)+COUNTIF('6月'!ED30:EE30,H$189)+COUNTIF('6月'!EI30:EJ30,H$189)+COUNTIF('6月'!EN30:EO30,H$189)+COUNTIF('6月'!ES30:ET30,H$189)+COUNTIF('6月'!D30:E30,"渋谷-夜勤")+COUNTIF('6月'!I30:J30,"渋谷-夜勤")+COUNTIF('6月'!N30:O30,"渋谷-夜勤")+COUNTIF('6月'!S30:T30,"渋谷-夜勤")+COUNTIF('6月'!X30:Y30,"渋谷-夜勤")+COUNTIF('6月'!AC30:AD30,"渋谷-夜勤")+COUNTIF('6月'!AH30:AI30,"渋谷-夜勤")+COUNTIF('6月'!AM30:AN30,"渋谷-夜勤")+COUNTIF('6月'!AR30:AS30,"渋谷-夜勤")+COUNTIF('6月'!AW30:AX30,"渋谷-夜勤")+COUNTIF('6月'!BB30:BC30,"渋谷-夜勤")+COUNTIF('6月'!BG30:BH30,"渋谷-夜勤")+COUNTIF('6月'!BL30:BM30,"渋谷-夜勤")+COUNTIF('6月'!BQ30:BR30,"渋谷-夜勤")+COUNTIF('6月'!BV30:BW30,"渋谷-夜勤")+COUNTIF('6月'!CA30:CB30,"渋谷-夜勤")+COUNTIF('6月'!CF30:CG30,"渋谷-夜勤")+COUNTIF('6月'!CK30:CL30,"渋谷-夜勤")+COUNTIF('6月'!CP30:CQ30,"渋谷-夜勤")+COUNTIF('6月'!CU30:CV30,"渋谷-夜勤")+COUNTIF('6月'!CZ30:DA30,"渋谷-夜勤")+COUNTIF('6月'!DE30:DF30,"渋谷-夜勤")+COUNTIF('6月'!DJ30:DK30,"渋谷-夜勤")+COUNTIF('6月'!DO30:DP30,"渋谷-夜勤")+COUNTIF('6月'!DT30:DU30,"渋谷-夜勤")+COUNTIF('6月'!DY30:DZ30,"渋谷-夜勤")+COUNTIF('6月'!ED30:EE30,"渋谷-夜勤")+COUNTIF('6月'!EI30:EJ30,"渋谷-夜勤")+COUNTIF('6月'!EN30:EO30,"渋谷-夜勤")+COUNTIF('6月'!ES30:ET30,"渋谷-夜勤")</f>
        <v>0</v>
      </c>
      <c r="I217" s="76">
        <f t="shared" si="63"/>
        <v>0</v>
      </c>
      <c r="J217" s="76">
        <f>COUNTIF('6月'!D30:E30,J$189)+COUNTIF('6月'!I30:J30,J$189)+COUNTIF('6月'!N30:O30,J$189)+COUNTIF('6月'!S30:T30,J$189)+COUNTIF('6月'!X30:Y30,J$189)+COUNTIF('6月'!AC30:AD30,J$189)+COUNTIF('6月'!AH30:AI30,J$189)+COUNTIF('6月'!AM30:AN30,J$189)+COUNTIF('6月'!AR30:AS30,J$189)+COUNTIF('6月'!AW30:AX30,J$189)+COUNTIF('6月'!BB30:BC30,J$189)+COUNTIF('6月'!BG30:BH30,J$189)+COUNTIF('6月'!BL30:BM30,J$189)+COUNTIF('6月'!BQ30:BR30,J$189)+COUNTIF('6月'!BV30:BW30,J$189)+COUNTIF('6月'!CA30:CB30,J$189)+COUNTIF('6月'!CF30:CG30,J$189)+COUNTIF('6月'!CK30:CL30,J$189)+COUNTIF('6月'!CP30:CQ30,J$189)+COUNTIF('6月'!CU30:CV30,J$189)+COUNTIF('6月'!CZ30:DA30,J$189)+COUNTIF('6月'!DE30:DF30,J$189)+COUNTIF('6月'!DJ30:DK30,J$189)+COUNTIF('6月'!DO30:DP30,J$189)+COUNTIF('6月'!DT30:DU30,J$189)+COUNTIF('6月'!DY30:DZ30,J$189)+COUNTIF('6月'!ED30:EE30,J$189)+COUNTIF('6月'!EI30:EJ30,J$189)+COUNTIF('6月'!EN30:EO30,J$189)+COUNTIF('6月'!ES30:ET30,J$189)+COUNTIF('6月'!D30:E30,"六本木-夜勤")+COUNTIF('6月'!I30:J30,"六本木-夜勤")+COUNTIF('6月'!N30:O30,"六本木-夜勤")+COUNTIF('6月'!S30:T30,"六本木-夜勤")+COUNTIF('6月'!X30:Y30,"六本木-夜勤")+COUNTIF('6月'!AC30:AD30,"六本木-夜勤")+COUNTIF('6月'!AH30:AI30,"六本木-夜勤")+COUNTIF('6月'!AM30:AN30,"六本木-夜勤")+COUNTIF('6月'!AR30:AS30,"六本木-夜勤")+COUNTIF('6月'!AW30:AX30,"六本木-夜勤")+COUNTIF('6月'!BB30:BC30,"六本木-夜勤")+COUNTIF('6月'!BG30:BH30,"六本木-夜勤")+COUNTIF('6月'!BL30:BM30,"六本木-夜勤")+COUNTIF('6月'!BQ30:BR30,"六本木-夜勤")+COUNTIF('6月'!BV30:BW30,"六本木-夜勤")+COUNTIF('6月'!CA30:CB30,"六本木-夜勤")+COUNTIF('6月'!CF30:CG30,"六本木-夜勤")+COUNTIF('6月'!CK30:CL30,"六本木-夜勤")+COUNTIF('6月'!CP30:CQ30,"六本木-夜勤")+COUNTIF('6月'!CU30:CV30,"六本木-夜勤")+COUNTIF('6月'!CZ30:DA30,"六本木-夜勤")+COUNTIF('6月'!DE30:DF30,"六本木-夜勤")+COUNTIF('6月'!DJ30:DK30,"六本木-夜勤")+COUNTIF('6月'!DO30:DP30,"六本木-夜勤")+COUNTIF('6月'!DT30:DU30,"六本木-夜勤")+COUNTIF('6月'!DY30:DZ30,"六本木-夜勤")+COUNTIF('6月'!ED30:EE30,"六本木-夜勤")+COUNTIF('6月'!EI30:EJ30,"六本木-夜勤")+COUNTIF('6月'!EN30:EO30,"六本木-夜勤")+COUNTIF('6月'!ES30:ET30,"六本木-夜勤")+COUNTIF('6月'!D30:E30,"六本木ー夜勤")+COUNTIF('6月'!I30:J30,"六本木ー夜勤")+COUNTIF('6月'!N30:O30,"六本木ー夜勤")+COUNTIF('6月'!S30:T30,"六本木ー夜勤")+COUNTIF('6月'!X30:Y30,"六本木ー夜勤")+COUNTIF('6月'!AC30:AD30,"六本木ー夜勤")+COUNTIF('6月'!AH30:AI30,"六本木ー夜勤")+COUNTIF('6月'!AM30:AN30,"六本木ー夜勤")+COUNTIF('6月'!AR30:AS30,"六本木ー夜勤")+COUNTIF('6月'!AW30:AX30,"六本木ー夜勤")+COUNTIF('6月'!BB30:BC30,"六本木ー夜勤")+COUNTIF('6月'!BG30:BH30,"六本木ー夜勤")+COUNTIF('6月'!BL30:BM30,"六本木ー夜勤")+COUNTIF('6月'!BQ30:BR30,"六本木ー夜勤")+COUNTIF('6月'!BV30:BW30,"六本木ー夜勤")+COUNTIF('6月'!CA30:CB30,"六本木ー夜勤")+COUNTIF('6月'!CF30:CG30,"六本木ー夜勤")+COUNTIF('6月'!CK30:CL30,"六本木ー夜勤")+COUNTIF('6月'!CP30:CQ30,"六本木ー夜勤")+COUNTIF('6月'!CU30:CV30,"六本木ー夜勤")+COUNTIF('6月'!CZ30:DA30,"六本木ー夜勤")+COUNTIF('6月'!DE30:DF30,"六本木ー夜勤")+COUNTIF('6月'!DJ30:DK30,"六本木ー夜勤")+COUNTIF('6月'!DO30:DP30,"六本木ー夜勤")+COUNTIF('6月'!DT30:DU30,"六本木ー夜勤")+COUNTIF('6月'!DY30:DZ30,"六本木ー夜勤")+COUNTIF('6月'!ED30:EE30,"六本木ー夜勤")+COUNTIF('6月'!EI30:EJ30,"六本木ー夜勤")+COUNTIF('6月'!EN30:EO30,"六本木ー夜勤")+COUNTIF('6月'!ES30:ET30,"六本木ー夜勤")</f>
        <v>0</v>
      </c>
      <c r="K217" s="76">
        <f t="shared" si="64"/>
        <v>0</v>
      </c>
      <c r="L217" s="76">
        <f>COUNTIF('6月'!D30:E30,L$189)+COUNTIF('6月'!I30:J30,L$189)+COUNTIF('6月'!N30:O30,L$189)+COUNTIF('6月'!S30:T30,L$189)+COUNTIF('6月'!X30:Y30,L$189)+COUNTIF('6月'!AC30:AD30,L$189)+COUNTIF('6月'!AH30:AI30,L$189)+COUNTIF('6月'!AM30:AN30,L$189)+COUNTIF('6月'!AR30:AS30,L$189)+COUNTIF('6月'!AW30:AX30,L$189)+COUNTIF('6月'!BB30:BC30,L$189)+COUNTIF('6月'!BG30:BH30,L$189)+COUNTIF('6月'!BL30:BM30,L$189)+COUNTIF('6月'!BQ30:BR30,L$189)+COUNTIF('6月'!BV30:BW30,L$189)+COUNTIF('6月'!CA30:CB30,L$189)+COUNTIF('6月'!CF30:CG30,L$189)+COUNTIF('6月'!CK30:CL30,L$189)+COUNTIF('6月'!CP30:CQ30,L$189)+COUNTIF('6月'!CU30:CV30,L$189)+COUNTIF('6月'!CZ30:DA30,L$189)+COUNTIF('6月'!DE30:DF30,L$189)+COUNTIF('6月'!DJ30:DK30,L$189)+COUNTIF('6月'!DO30:DP30,L$189)+COUNTIF('6月'!DT30:DU30,L$189)+COUNTIF('6月'!DY30:DZ30,L$189)+COUNTIF('6月'!ED30:EE30,L$189)+COUNTIF('6月'!EI30:EJ30,L$189)+COUNTIF('6月'!EN30:EO30,L$189)+COUNTIF('6月'!ES30:ET30,L$189)</f>
        <v>0</v>
      </c>
      <c r="M217" s="76">
        <f t="shared" si="65"/>
        <v>0</v>
      </c>
      <c r="N217" s="76">
        <f>COUNTIF('6月'!D30:E30,N$189)+COUNTIF('6月'!I30:J30,N$189)+COUNTIF('6月'!N30:O30,N$189)+COUNTIF('6月'!S30:T30,N$189)+COUNTIF('6月'!X30:Y30,N$189)+COUNTIF('6月'!AC30:AD30,N$189)+COUNTIF('6月'!AH30:AI30,N$189)+COUNTIF('6月'!AM30:AN30,N$189)+COUNTIF('6月'!AR30:AS30,N$189)+COUNTIF('6月'!AW30:AX30,N$189)+COUNTIF('6月'!BB30:BC30,N$189)+COUNTIF('6月'!BG30:BH30,N$189)+COUNTIF('6月'!BL30:BM30,N$189)+COUNTIF('6月'!BQ30:BR30,N$189)+COUNTIF('6月'!BV30:BW30,N$189)+COUNTIF('6月'!CA30:CB30,N$189)+COUNTIF('6月'!CF30:CG30,N$189)+COUNTIF('6月'!CK30:CL30,N$189)+COUNTIF('6月'!CP30:CQ30,N$189)+COUNTIF('6月'!CU30:CV30,N$189)+COUNTIF('6月'!CZ30:DA30,N$189)+COUNTIF('6月'!DE30:DF30,N$189)+COUNTIF('6月'!DJ30:DK30,N$189)+COUNTIF('6月'!DO30:DP30,N$189)+COUNTIF('6月'!DT30:DU30,N$189)+COUNTIF('6月'!DY30:DZ30,N$189)+COUNTIF('6月'!ED30:EE30,N$189)+COUNTIF('6月'!EI30:EJ30,N$189)+COUNTIF('6月'!EN30:EO30,N$189)+COUNTIF('6月'!ES30:ET30,N$189)+COUNTIF('6月'!D30:E30,"三軒茶屋－夜勤")+COUNTIF('6月'!I30:J30,"三軒茶屋－夜勤")+COUNTIF('6月'!N30:O30,"三軒茶屋－夜勤")+COUNTIF('6月'!S30:T30,"三軒茶屋－夜勤")+COUNTIF('6月'!X30:Y30,"三軒茶屋－夜勤")+COUNTIF('6月'!AC30:AD30,"三軒茶屋－夜勤")+COUNTIF('6月'!AH30:AI30,"三軒茶屋－夜勤")+COUNTIF('6月'!AM30:AN30,"三軒茶屋－夜勤")+COUNTIF('6月'!AR30:AS30,"三軒茶屋－夜勤")+COUNTIF('6月'!AW30:AX30,"三軒茶屋－夜勤")+COUNTIF('6月'!BB30:BC30,"三軒茶屋－夜勤")+COUNTIF('6月'!BG30:BH30,"三軒茶屋－夜勤")+COUNTIF('6月'!BL30:BM30,"三軒茶屋－夜勤")+COUNTIF('6月'!BQ30:BR30,"三軒茶屋－夜勤")+COUNTIF('6月'!BV30:BW30,"三軒茶屋－夜勤")+COUNTIF('6月'!CA30:CB30,"三軒茶屋－夜勤")+COUNTIF('6月'!CF30:CG30,"三軒茶屋－夜勤")+COUNTIF('6月'!CK30:CL30,"三軒茶屋－夜勤")+COUNTIF('6月'!CP30:CQ30,"三軒茶屋－夜勤")+COUNTIF('6月'!CU30:CV30,"三軒茶屋－夜勤")+COUNTIF('6月'!CZ30:DA30,"三軒茶屋－夜勤")+COUNTIF('6月'!DE30:DF30,"三軒茶屋－夜勤")+COUNTIF('6月'!DJ30:DK30,"三軒茶屋－夜勤")+COUNTIF('6月'!DO30:DP30,"三軒茶屋－夜勤")+COUNTIF('6月'!DT30:DU30,"三軒茶屋－夜勤")+COUNTIF('6月'!DY30:DZ30,"三軒茶屋－夜勤")+COUNTIF('6月'!ED30:EE30,"三軒茶屋－夜勤")+COUNTIF('6月'!EI30:EJ30,"三軒茶屋－夜勤")+COUNTIF('6月'!EN30:EO30,"三軒茶屋－夜勤")+COUNTIF('6月'!ES30:ET30,"三軒茶屋－夜勤")</f>
        <v>0</v>
      </c>
      <c r="O217" s="76">
        <f t="shared" si="66"/>
        <v>0</v>
      </c>
      <c r="P217" s="76">
        <f>COUNTIF('6月'!D30:E30,P$189)+COUNTIF('6月'!I30:J30,P$189)+COUNTIF('6月'!N30:O30,P$189)+COUNTIF('6月'!S30:T30,P$189)+COUNTIF('6月'!X30:Y30,P$189)+COUNTIF('6月'!AC30:AD30,P$189)+COUNTIF('6月'!AH30:AI30,P$189)+COUNTIF('6月'!AM30:AN30,P$189)+COUNTIF('6月'!AR30:AS30,P$189)+COUNTIF('6月'!AW30:AX30,P$189)+COUNTIF('6月'!BB30:BC30,P$189)+COUNTIF('6月'!BG30:BH30,P$189)+COUNTIF('6月'!BL30:BM30,P$189)+COUNTIF('6月'!BQ30:BR30,P$189)+COUNTIF('6月'!BV30:BW30,P$189)+COUNTIF('6月'!CA30:CB30,P$189)+COUNTIF('6月'!CF30:CG30,P$189)+COUNTIF('6月'!CK30:CL30,P$189)+COUNTIF('6月'!CP30:CQ30,P$189)+COUNTIF('6月'!CU30:CV30,P$189)+COUNTIF('6月'!CZ30:DA30,P$189)+COUNTIF('6月'!DE30:DF30,P$189)+COUNTIF('6月'!DJ30:DK30,P$189)+COUNTIF('6月'!DO30:DP30,P$189)+COUNTIF('6月'!DT30:DU30,P$189)+COUNTIF('6月'!DY30:DZ30,P$189)+COUNTIF('6月'!ED30:EE30,P$189)+COUNTIF('6月'!EI30:EJ30,P$189)+COUNTIF('6月'!EN30:EO30,P$189)+COUNTIF('6月'!ES30:ET30,P$189)+COUNTIF('6月'!D30:E30,"荻窪ー夜勤")+COUNTIF('6月'!I30:J30,"荻窪ー夜勤")+COUNTIF('6月'!N30:O30,"荻窪ー夜勤")+COUNTIF('6月'!S30:T30,"荻窪ー夜勤")+COUNTIF('6月'!X30:Y30,"荻窪ー夜勤")+COUNTIF('6月'!AC30:AD30,"荻窪ー夜勤")+COUNTIF('6月'!AH30:AI30,"荻窪ー夜勤")+COUNTIF('6月'!AM30:AN30,"荻窪ー夜勤")+COUNTIF('6月'!AR30:AS30,"荻窪ー夜勤")+COUNTIF('6月'!AW30:AX30,"荻窪ー夜勤")+COUNTIF('6月'!BB30:BC30,"荻窪ー夜勤")+COUNTIF('6月'!BG30:BH30,"荻窪ー夜勤")+COUNTIF('6月'!BL30:BM30,"荻窪ー夜勤")+COUNTIF('6月'!BQ30:BR30,"荻窪ー夜勤")+COUNTIF('6月'!BV30:BW30,"荻窪ー夜勤")+COUNTIF('6月'!CA30:CB30,"荻窪ー夜勤")+COUNTIF('6月'!CF30:CG30,"荻窪ー夜勤")+COUNTIF('6月'!CK30:CL30,"荻窪ー夜勤")+COUNTIF('6月'!CP30:CQ30,"荻窪ー夜勤")+COUNTIF('6月'!CU30:CV30,"荻窪ー夜勤")+COUNTIF('6月'!CZ30:DA30,"荻窪ー夜勤")+COUNTIF('6月'!DE30:DF30,"荻窪ー夜勤")+COUNTIF('6月'!DJ30:DK30,"荻窪ー夜勤")+COUNTIF('6月'!DO30:DP30,"荻窪ー夜勤")+COUNTIF('6月'!DT30:DU30,"荻窪ー夜勤")+COUNTIF('6月'!DY30:DZ30,"荻窪ー夜勤")+COUNTIF('6月'!ED30:EE30,"荻窪ー夜勤")+COUNTIF('6月'!EI30:EJ30,"荻窪ー夜勤")+COUNTIF('6月'!EN30:EO30,"荻窪ー夜勤")+COUNTIF('6月'!ES30:ET30,"荻窪ー夜勤")</f>
        <v>0</v>
      </c>
      <c r="Q217" s="76">
        <f t="shared" si="67"/>
        <v>0</v>
      </c>
      <c r="R217" s="76">
        <f>COUNTIF('6月'!D30:E30,R$189)+COUNTIF('6月'!I30:J30,R$189)+COUNTIF('6月'!N30:O30,R$189)+COUNTIF('6月'!S30:T30,R$189)+COUNTIF('6月'!X30:Y30,R$189)+COUNTIF('6月'!AC30:AD30,R$189)+COUNTIF('6月'!AH30:AI30,R$189)+COUNTIF('6月'!AM30:AN30,R$189)+COUNTIF('6月'!AR30:AS30,R$189)+COUNTIF('6月'!AW30:AX30,R$189)+COUNTIF('6月'!BB30:BC30,R$189)+COUNTIF('6月'!BG30:BH30,R$189)+COUNTIF('6月'!BL30:BM30,R$189)+COUNTIF('6月'!BQ30:BR30,R$189)+COUNTIF('6月'!BV30:BW30,R$189)+COUNTIF('6月'!CA30:CB30,R$189)+COUNTIF('6月'!CF30:CG30,R$189)+COUNTIF('6月'!CK30:CL30,R$189)+COUNTIF('6月'!CP30:CQ30,R$189)+COUNTIF('6月'!CU30:CV30,R$189)+COUNTIF('6月'!CZ30:DA30,R$189)+COUNTIF('6月'!DE30:DF30,R$189)+COUNTIF('6月'!DJ30:DK30,R$189)+COUNTIF('6月'!DO30:DP30,R$189)+COUNTIF('6月'!DT30:DU30,R$189)+COUNTIF('6月'!DY30:DZ30,R$189)+COUNTIF('6月'!ED30:EE30,R$189)+COUNTIF('6月'!EI30:EJ30,R$189)+COUNTIF('6月'!EN30:EO30,R$189)+COUNTIF('6月'!ES30:ET30,R$189)</f>
        <v>0</v>
      </c>
      <c r="S217" s="76">
        <f t="shared" si="68"/>
        <v>0</v>
      </c>
      <c r="T217" s="76">
        <f>COUNTIF('6月'!D30:E30,T$189)+COUNTIF('6月'!I30:J30,T$189)+COUNTIF('6月'!N30:O30,T$189)+COUNTIF('6月'!S30:T30,T$189)+COUNTIF('6月'!X30:Y30,T$189)+COUNTIF('6月'!AC30:AD30,T$189)+COUNTIF('6月'!AH30:AI30,T$189)+COUNTIF('6月'!AM30:AN30,T$189)+COUNTIF('6月'!AR30:AS30,T$189)+COUNTIF('6月'!AW30:AX30,T$189)+COUNTIF('6月'!BB30:BC30,T$189)+COUNTIF('6月'!BG30:BH30,T$189)+COUNTIF('6月'!BL30:BM30,T$189)+COUNTIF('6月'!BQ30:BR30,T$189)+COUNTIF('6月'!BV30:BW30,T$189)+COUNTIF('6月'!CA30:CB30,T$189)+COUNTIF('6月'!CF30:CG30,T$189)+COUNTIF('6月'!CK30:CL30,T$189)+COUNTIF('6月'!CP30:CQ30,T$189)+COUNTIF('6月'!CU30:CV30,T$189)+COUNTIF('6月'!CZ30:DA30,T$189)+COUNTIF('6月'!DE30:DF30,T$189)+COUNTIF('6月'!DJ30:DK30,T$189)+COUNTIF('6月'!DO30:DP30,T$189)+COUNTIF('6月'!DT30:DU30,T$189)+COUNTIF('6月'!DY30:DZ30,T$189)+COUNTIF('6月'!ED30:EE30,T$189)+COUNTIF('6月'!EI30:EJ30,T$189)+COUNTIF('6月'!EN30:EO30,T$189)+COUNTIF('6月'!ES30:ET30,T$189)</f>
        <v>0</v>
      </c>
      <c r="U217" s="76">
        <f t="shared" si="69"/>
        <v>0</v>
      </c>
      <c r="V217" s="76">
        <f>COUNTIF('6月'!D30:E30,V$189)+COUNTIF('6月'!I30:J30,V$189)+COUNTIF('6月'!N30:O30,V$189)+COUNTIF('6月'!S30:T30,V$189)+COUNTIF('6月'!X30:Y30,V$189)+COUNTIF('6月'!AC30:AD30,V$189)+COUNTIF('6月'!AH30:AI30,V$189)+COUNTIF('6月'!AM30:AN30,V$189)+COUNTIF('6月'!AR30:AS30,V$189)+COUNTIF('6月'!AW30:AX30,V$189)+COUNTIF('6月'!BB30:BC30,V$189)+COUNTIF('6月'!BG30:BH30,V$189)+COUNTIF('6月'!BL30:BM30,V$189)+COUNTIF('6月'!BQ30:BR30,V$189)+COUNTIF('6月'!BV30:BW30,V$189)+COUNTIF('6月'!CA30:CB30,V$189)+COUNTIF('6月'!CF30:CG30,V$189)+COUNTIF('6月'!CK30:CL30,V$189)+COUNTIF('6月'!CP30:CQ30,V$189)+COUNTIF('6月'!CU30:CV30,V$189)+COUNTIF('6月'!CZ30:DA30,V$189)+COUNTIF('6月'!DE30:DF30,V$189)+COUNTIF('6月'!DJ30:DK30,V$189)+COUNTIF('6月'!DO30:DP30,V$189)+COUNTIF('6月'!DT30:DU30,V$189)+COUNTIF('6月'!DY30:DZ30,V$189)+COUNTIF('6月'!ED30:EE30,V$189)+COUNTIF('6月'!EI30:EJ30,V$189)+COUNTIF('6月'!EN30:EO30,V$189)+COUNTIF('6月'!ES30:ET30,V$189)</f>
        <v>0</v>
      </c>
      <c r="W217" s="76">
        <f t="shared" si="70"/>
        <v>0</v>
      </c>
      <c r="X217" s="76">
        <f>COUNTIF('6月'!D30:E30,X$189)+COUNTIF('6月'!I30:J30,X$189)+COUNTIF('6月'!N30:O30,X$189)+COUNTIF('6月'!S30:T30,X$189)+COUNTIF('6月'!X30:Y30,X$189)+COUNTIF('6月'!AC30:AD30,X$189)+COUNTIF('6月'!AH30:AI30,X$189)+COUNTIF('6月'!AM30:AN30,X$189)+COUNTIF('6月'!AR30:AS30,X$189)+COUNTIF('6月'!AW30:AX30,X$189)+COUNTIF('6月'!BB30:BC30,X$189)+COUNTIF('6月'!BG30:BH30,X$189)+COUNTIF('6月'!BL30:BM30,X$189)+COUNTIF('6月'!BQ30:BR30,X$189)+COUNTIF('6月'!BV30:BW30,X$189)+COUNTIF('6月'!CA30:CB30,X$189)+COUNTIF('6月'!CF30:CG30,X$189)+COUNTIF('6月'!CK30:CL30,X$189)+COUNTIF('6月'!CP30:CQ30,X$189)+COUNTIF('6月'!CU30:CV30,X$189)+COUNTIF('6月'!CZ30:DA30,X$189)+COUNTIF('6月'!DE30:DF30,X$189)+COUNTIF('6月'!DJ30:DK30,X$189)+COUNTIF('6月'!DO30:DP30,X$189)+COUNTIF('6月'!DT30:DU30,X$189)+COUNTIF('6月'!DY30:DZ30,X$189)+COUNTIF('6月'!ED30:EE30,X$189)+COUNTIF('6月'!EI30:EJ30,X$189)+COUNTIF('6月'!EN30:EO30,X$189)+COUNTIF('6月'!ES30:ET30,X$189)</f>
        <v>0</v>
      </c>
      <c r="Y217" s="76">
        <f t="shared" si="71"/>
        <v>0</v>
      </c>
    </row>
    <row r="218" spans="1:25" ht="18" customHeight="1">
      <c r="A218" s="76">
        <v>28</v>
      </c>
      <c r="B218" s="76">
        <f>COUNTIF('6月'!D31:E31,B$189)+COUNTIF('6月'!I31:J31,B$189)+COUNTIF('6月'!N31:O31,B$189)+COUNTIF('6月'!S31:T31,B$189)+COUNTIF('6月'!X31:Y31,B$189)+COUNTIF('6月'!AC31:AD31,B$189)+COUNTIF('6月'!AH31:AI31,B$189)+COUNTIF('6月'!AM31:AN31,B$189)+COUNTIF('6月'!AR31:AS31,B$189)+COUNTIF('6月'!AW31:AX31,B$189)+COUNTIF('6月'!BB31:BC31,B$189)+COUNTIF('6月'!BG31:BH31,B$189)+COUNTIF('6月'!BL31:BM31,B$189)+COUNTIF('6月'!BQ31:BR31,B$189)+COUNTIF('6月'!BV31:BW31,B$189)+COUNTIF('6月'!CA31:CB31,B$189)+COUNTIF('6月'!CF31:CG31,B$189)+COUNTIF('6月'!CK31:CL31,B$189)+COUNTIF('6月'!CP31:CQ31,B$189)+COUNTIF('6月'!CU31:CV31,B$189)+COUNTIF('6月'!CZ31:DA31,B$189)+COUNTIF('6月'!DE31:DF31,B$189)+COUNTIF('6月'!DJ31:DK31,B$189)+COUNTIF('6月'!DO31:DP31,B$189)+COUNTIF('6月'!DT31:DU31,B$189)+COUNTIF('6月'!DY31:DZ31,B$189)+COUNTIF('6月'!ED31:EE31,B$189)+COUNTIF('6月'!EI31:EJ31,B$189)+COUNTIF('6月'!EN31:EO31,B$189)+COUNTIF('6月'!ES31:ET31,B$189)</f>
        <v>0</v>
      </c>
      <c r="C218" s="76">
        <f t="shared" si="60"/>
        <v>0</v>
      </c>
      <c r="D218" s="76">
        <f>COUNTIF('6月'!D31:E31,D$189)+COUNTIF('6月'!I31:J31,D$189)+COUNTIF('6月'!N31:O31,D$189)+COUNTIF('6月'!S31:T31,D$189)+COUNTIF('6月'!X31:Y31,D$189)+COUNTIF('6月'!AC31:AD31,D$189)+COUNTIF('6月'!AH31:AI31,D$189)+COUNTIF('6月'!AM31:AN31,D$189)+COUNTIF('6月'!AR31:AS31,D$189)+COUNTIF('6月'!AW31:AX31,D$189)+COUNTIF('6月'!BB31:BC31,D$189)+COUNTIF('6月'!BG31:BH31,D$189)+COUNTIF('6月'!BL31:BM31,D$189)+COUNTIF('6月'!BQ31:BR31,D$189)+COUNTIF('6月'!BV31:BW31,D$189)+COUNTIF('6月'!CA31:CB31,D$189)+COUNTIF('6月'!CF31:CG31,D$189)+COUNTIF('6月'!CK31:CL31,D$189)+COUNTIF('6月'!CP31:CQ31,D$189)+COUNTIF('6月'!CU31:CV31,D$189)+COUNTIF('6月'!CZ31:DA31,D$189)+COUNTIF('6月'!DE31:DF31,D$189)+COUNTIF('6月'!DJ31:DK31,D$189)+COUNTIF('6月'!DO31:DP31,D$189)+COUNTIF('6月'!DT31:DU31,D$189)+COUNTIF('6月'!DY31:DZ31,D$189)+COUNTIF('6月'!ED31:EE31,D$189)+COUNTIF('6月'!EI31:EJ31,D$189)+COUNTIF('6月'!EN31:EO31,D$189)+COUNTIF('6月'!ES31:ET31,D$189)</f>
        <v>0</v>
      </c>
      <c r="E218" s="76">
        <f t="shared" si="61"/>
        <v>0</v>
      </c>
      <c r="F218" s="76">
        <f>COUNTIF('6月'!D31:E31,F$189)+COUNTIF('6月'!I31:J31,F$189)+COUNTIF('6月'!N31:O31,F$189)+COUNTIF('6月'!S31:T31,F$189)+COUNTIF('6月'!X31:Y31,F$189)+COUNTIF('6月'!AC31:AD31,F$189)+COUNTIF('6月'!AH31:AI31,F$189)+COUNTIF('6月'!AM31:AN31,F$189)+COUNTIF('6月'!AR31:AS31,F$189)+COUNTIF('6月'!AW31:AX31,F$189)+COUNTIF('6月'!BB31:BC31,F$189)+COUNTIF('6月'!BG31:BH31,F$189)+COUNTIF('6月'!BL31:BM31,F$189)+COUNTIF('6月'!BQ31:BR31,F$189)+COUNTIF('6月'!BV31:BW31,F$189)+COUNTIF('6月'!CA31:CB31,F$189)+COUNTIF('6月'!CF31:CG31,F$189)+COUNTIF('6月'!CK31:CL31,F$189)+COUNTIF('6月'!CP31:CQ31,F$189)+COUNTIF('6月'!CU31:CV31,F$189)+COUNTIF('6月'!CZ31:DA31,F$189)+COUNTIF('6月'!DE31:DF31,F$189)+COUNTIF('6月'!DJ31:DK31,F$189)+COUNTIF('6月'!DO31:DP31,F$189)+COUNTIF('6月'!DT31:DU31,F$189)+COUNTIF('6月'!DY31:DZ31,F$189)+COUNTIF('6月'!ED31:EE31,F$189)+COUNTIF('6月'!EI31:EJ31,F$189)+COUNTIF('6月'!EN31:EO31,F$189)+COUNTIF('6月'!ES31:ET31,F$189)</f>
        <v>0</v>
      </c>
      <c r="G218" s="76">
        <f t="shared" si="62"/>
        <v>0</v>
      </c>
      <c r="H218" s="76">
        <f>COUNTIF('6月'!D31:E31,H$189)+COUNTIF('6月'!I31:J31,H$189)+COUNTIF('6月'!N31:O31,H$189)+COUNTIF('6月'!S31:T31,H$189)+COUNTIF('6月'!X31:Y31,H$189)+COUNTIF('6月'!AC31:AD31,H$189)+COUNTIF('6月'!AH31:AI31,H$189)+COUNTIF('6月'!AM31:AN31,H$189)+COUNTIF('6月'!AR31:AS31,H$189)+COUNTIF('6月'!AW31:AX31,H$189)+COUNTIF('6月'!BB31:BC31,H$189)+COUNTIF('6月'!BG31:BH31,H$189)+COUNTIF('6月'!BL31:BM31,H$189)+COUNTIF('6月'!BQ31:BR31,H$189)+COUNTIF('6月'!BV31:BW31,H$189)+COUNTIF('6月'!CA31:CB31,H$189)+COUNTIF('6月'!CF31:CG31,H$189)+COUNTIF('6月'!CK31:CL31,H$189)+COUNTIF('6月'!CP31:CQ31,H$189)+COUNTIF('6月'!CU31:CV31,H$189)+COUNTIF('6月'!CZ31:DA31,H$189)+COUNTIF('6月'!DE31:DF31,H$189)+COUNTIF('6月'!DJ31:DK31,H$189)+COUNTIF('6月'!DO31:DP31,H$189)+COUNTIF('6月'!DT31:DU31,H$189)+COUNTIF('6月'!DY31:DZ31,H$189)+COUNTIF('6月'!ED31:EE31,H$189)+COUNTIF('6月'!EI31:EJ31,H$189)+COUNTIF('6月'!EN31:EO31,H$189)+COUNTIF('6月'!ES31:ET31,H$189)+COUNTIF('6月'!D31:E31,"渋谷-夜勤")+COUNTIF('6月'!I31:J31,"渋谷-夜勤")+COUNTIF('6月'!N31:O31,"渋谷-夜勤")+COUNTIF('6月'!S31:T31,"渋谷-夜勤")+COUNTIF('6月'!X31:Y31,"渋谷-夜勤")+COUNTIF('6月'!AC31:AD31,"渋谷-夜勤")+COUNTIF('6月'!AH31:AI31,"渋谷-夜勤")+COUNTIF('6月'!AM31:AN31,"渋谷-夜勤")+COUNTIF('6月'!AR31:AS31,"渋谷-夜勤")+COUNTIF('6月'!AW31:AX31,"渋谷-夜勤")+COUNTIF('6月'!BB31:BC31,"渋谷-夜勤")+COUNTIF('6月'!BG31:BH31,"渋谷-夜勤")+COUNTIF('6月'!BL31:BM31,"渋谷-夜勤")+COUNTIF('6月'!BQ31:BR31,"渋谷-夜勤")+COUNTIF('6月'!BV31:BW31,"渋谷-夜勤")+COUNTIF('6月'!CA31:CB31,"渋谷-夜勤")+COUNTIF('6月'!CF31:CG31,"渋谷-夜勤")+COUNTIF('6月'!CK31:CL31,"渋谷-夜勤")+COUNTIF('6月'!CP31:CQ31,"渋谷-夜勤")+COUNTIF('6月'!CU31:CV31,"渋谷-夜勤")+COUNTIF('6月'!CZ31:DA31,"渋谷-夜勤")+COUNTIF('6月'!DE31:DF31,"渋谷-夜勤")+COUNTIF('6月'!DJ31:DK31,"渋谷-夜勤")+COUNTIF('6月'!DO31:DP31,"渋谷-夜勤")+COUNTIF('6月'!DT31:DU31,"渋谷-夜勤")+COUNTIF('6月'!DY31:DZ31,"渋谷-夜勤")+COUNTIF('6月'!ED31:EE31,"渋谷-夜勤")+COUNTIF('6月'!EI31:EJ31,"渋谷-夜勤")+COUNTIF('6月'!EN31:EO31,"渋谷-夜勤")+COUNTIF('6月'!ES31:ET31,"渋谷-夜勤")</f>
        <v>0</v>
      </c>
      <c r="I218" s="76">
        <f t="shared" si="63"/>
        <v>0</v>
      </c>
      <c r="J218" s="76">
        <f>COUNTIF('6月'!D31:E31,J$189)+COUNTIF('6月'!I31:J31,J$189)+COUNTIF('6月'!N31:O31,J$189)+COUNTIF('6月'!S31:T31,J$189)+COUNTIF('6月'!X31:Y31,J$189)+COUNTIF('6月'!AC31:AD31,J$189)+COUNTIF('6月'!AH31:AI31,J$189)+COUNTIF('6月'!AM31:AN31,J$189)+COUNTIF('6月'!AR31:AS31,J$189)+COUNTIF('6月'!AW31:AX31,J$189)+COUNTIF('6月'!BB31:BC31,J$189)+COUNTIF('6月'!BG31:BH31,J$189)+COUNTIF('6月'!BL31:BM31,J$189)+COUNTIF('6月'!BQ31:BR31,J$189)+COUNTIF('6月'!BV31:BW31,J$189)+COUNTIF('6月'!CA31:CB31,J$189)+COUNTIF('6月'!CF31:CG31,J$189)+COUNTIF('6月'!CK31:CL31,J$189)+COUNTIF('6月'!CP31:CQ31,J$189)+COUNTIF('6月'!CU31:CV31,J$189)+COUNTIF('6月'!CZ31:DA31,J$189)+COUNTIF('6月'!DE31:DF31,J$189)+COUNTIF('6月'!DJ31:DK31,J$189)+COUNTIF('6月'!DO31:DP31,J$189)+COUNTIF('6月'!DT31:DU31,J$189)+COUNTIF('6月'!DY31:DZ31,J$189)+COUNTIF('6月'!ED31:EE31,J$189)+COUNTIF('6月'!EI31:EJ31,J$189)+COUNTIF('6月'!EN31:EO31,J$189)+COUNTIF('6月'!ES31:ET31,J$189)+COUNTIF('6月'!D31:E31,"六本木-夜勤")+COUNTIF('6月'!I31:J31,"六本木-夜勤")+COUNTIF('6月'!N31:O31,"六本木-夜勤")+COUNTIF('6月'!S31:T31,"六本木-夜勤")+COUNTIF('6月'!X31:Y31,"六本木-夜勤")+COUNTIF('6月'!AC31:AD31,"六本木-夜勤")+COUNTIF('6月'!AH31:AI31,"六本木-夜勤")+COUNTIF('6月'!AM31:AN31,"六本木-夜勤")+COUNTIF('6月'!AR31:AS31,"六本木-夜勤")+COUNTIF('6月'!AW31:AX31,"六本木-夜勤")+COUNTIF('6月'!BB31:BC31,"六本木-夜勤")+COUNTIF('6月'!BG31:BH31,"六本木-夜勤")+COUNTIF('6月'!BL31:BM31,"六本木-夜勤")+COUNTIF('6月'!BQ31:BR31,"六本木-夜勤")+COUNTIF('6月'!BV31:BW31,"六本木-夜勤")+COUNTIF('6月'!CA31:CB31,"六本木-夜勤")+COUNTIF('6月'!CF31:CG31,"六本木-夜勤")+COUNTIF('6月'!CK31:CL31,"六本木-夜勤")+COUNTIF('6月'!CP31:CQ31,"六本木-夜勤")+COUNTIF('6月'!CU31:CV31,"六本木-夜勤")+COUNTIF('6月'!CZ31:DA31,"六本木-夜勤")+COUNTIF('6月'!DE31:DF31,"六本木-夜勤")+COUNTIF('6月'!DJ31:DK31,"六本木-夜勤")+COUNTIF('6月'!DO31:DP31,"六本木-夜勤")+COUNTIF('6月'!DT31:DU31,"六本木-夜勤")+COUNTIF('6月'!DY31:DZ31,"六本木-夜勤")+COUNTIF('6月'!ED31:EE31,"六本木-夜勤")+COUNTIF('6月'!EI31:EJ31,"六本木-夜勤")+COUNTIF('6月'!EN31:EO31,"六本木-夜勤")+COUNTIF('6月'!ES31:ET31,"六本木-夜勤")+COUNTIF('6月'!D31:E31,"六本木ー夜勤")+COUNTIF('6月'!I31:J31,"六本木ー夜勤")+COUNTIF('6月'!N31:O31,"六本木ー夜勤")+COUNTIF('6月'!S31:T31,"六本木ー夜勤")+COUNTIF('6月'!X31:Y31,"六本木ー夜勤")+COUNTIF('6月'!AC31:AD31,"六本木ー夜勤")+COUNTIF('6月'!AH31:AI31,"六本木ー夜勤")+COUNTIF('6月'!AM31:AN31,"六本木ー夜勤")+COUNTIF('6月'!AR31:AS31,"六本木ー夜勤")+COUNTIF('6月'!AW31:AX31,"六本木ー夜勤")+COUNTIF('6月'!BB31:BC31,"六本木ー夜勤")+COUNTIF('6月'!BG31:BH31,"六本木ー夜勤")+COUNTIF('6月'!BL31:BM31,"六本木ー夜勤")+COUNTIF('6月'!BQ31:BR31,"六本木ー夜勤")+COUNTIF('6月'!BV31:BW31,"六本木ー夜勤")+COUNTIF('6月'!CA31:CB31,"六本木ー夜勤")+COUNTIF('6月'!CF31:CG31,"六本木ー夜勤")+COUNTIF('6月'!CK31:CL31,"六本木ー夜勤")+COUNTIF('6月'!CP31:CQ31,"六本木ー夜勤")+COUNTIF('6月'!CU31:CV31,"六本木ー夜勤")+COUNTIF('6月'!CZ31:DA31,"六本木ー夜勤")+COUNTIF('6月'!DE31:DF31,"六本木ー夜勤")+COUNTIF('6月'!DJ31:DK31,"六本木ー夜勤")+COUNTIF('6月'!DO31:DP31,"六本木ー夜勤")+COUNTIF('6月'!DT31:DU31,"六本木ー夜勤")+COUNTIF('6月'!DY31:DZ31,"六本木ー夜勤")+COUNTIF('6月'!ED31:EE31,"六本木ー夜勤")+COUNTIF('6月'!EI31:EJ31,"六本木ー夜勤")+COUNTIF('6月'!EN31:EO31,"六本木ー夜勤")+COUNTIF('6月'!ES31:ET31,"六本木ー夜勤")</f>
        <v>0</v>
      </c>
      <c r="K218" s="76">
        <f t="shared" si="64"/>
        <v>0</v>
      </c>
      <c r="L218" s="76">
        <f>COUNTIF('6月'!D31:E31,L$189)+COUNTIF('6月'!I31:J31,L$189)+COUNTIF('6月'!N31:O31,L$189)+COUNTIF('6月'!S31:T31,L$189)+COUNTIF('6月'!X31:Y31,L$189)+COUNTIF('6月'!AC31:AD31,L$189)+COUNTIF('6月'!AH31:AI31,L$189)+COUNTIF('6月'!AM31:AN31,L$189)+COUNTIF('6月'!AR31:AS31,L$189)+COUNTIF('6月'!AW31:AX31,L$189)+COUNTIF('6月'!BB31:BC31,L$189)+COUNTIF('6月'!BG31:BH31,L$189)+COUNTIF('6月'!BL31:BM31,L$189)+COUNTIF('6月'!BQ31:BR31,L$189)+COUNTIF('6月'!BV31:BW31,L$189)+COUNTIF('6月'!CA31:CB31,L$189)+COUNTIF('6月'!CF31:CG31,L$189)+COUNTIF('6月'!CK31:CL31,L$189)+COUNTIF('6月'!CP31:CQ31,L$189)+COUNTIF('6月'!CU31:CV31,L$189)+COUNTIF('6月'!CZ31:DA31,L$189)+COUNTIF('6月'!DE31:DF31,L$189)+COUNTIF('6月'!DJ31:DK31,L$189)+COUNTIF('6月'!DO31:DP31,L$189)+COUNTIF('6月'!DT31:DU31,L$189)+COUNTIF('6月'!DY31:DZ31,L$189)+COUNTIF('6月'!ED31:EE31,L$189)+COUNTIF('6月'!EI31:EJ31,L$189)+COUNTIF('6月'!EN31:EO31,L$189)+COUNTIF('6月'!ES31:ET31,L$189)</f>
        <v>0</v>
      </c>
      <c r="M218" s="76">
        <f t="shared" si="65"/>
        <v>0</v>
      </c>
      <c r="N218" s="76">
        <f>COUNTIF('6月'!D31:E31,N$189)+COUNTIF('6月'!I31:J31,N$189)+COUNTIF('6月'!N31:O31,N$189)+COUNTIF('6月'!S31:T31,N$189)+COUNTIF('6月'!X31:Y31,N$189)+COUNTIF('6月'!AC31:AD31,N$189)+COUNTIF('6月'!AH31:AI31,N$189)+COUNTIF('6月'!AM31:AN31,N$189)+COUNTIF('6月'!AR31:AS31,N$189)+COUNTIF('6月'!AW31:AX31,N$189)+COUNTIF('6月'!BB31:BC31,N$189)+COUNTIF('6月'!BG31:BH31,N$189)+COUNTIF('6月'!BL31:BM31,N$189)+COUNTIF('6月'!BQ31:BR31,N$189)+COUNTIF('6月'!BV31:BW31,N$189)+COUNTIF('6月'!CA31:CB31,N$189)+COUNTIF('6月'!CF31:CG31,N$189)+COUNTIF('6月'!CK31:CL31,N$189)+COUNTIF('6月'!CP31:CQ31,N$189)+COUNTIF('6月'!CU31:CV31,N$189)+COUNTIF('6月'!CZ31:DA31,N$189)+COUNTIF('6月'!DE31:DF31,N$189)+COUNTIF('6月'!DJ31:DK31,N$189)+COUNTIF('6月'!DO31:DP31,N$189)+COUNTIF('6月'!DT31:DU31,N$189)+COUNTIF('6月'!DY31:DZ31,N$189)+COUNTIF('6月'!ED31:EE31,N$189)+COUNTIF('6月'!EI31:EJ31,N$189)+COUNTIF('6月'!EN31:EO31,N$189)+COUNTIF('6月'!ES31:ET31,N$189)+COUNTIF('6月'!D31:E31,"三軒茶屋－夜勤")+COUNTIF('6月'!I31:J31,"三軒茶屋－夜勤")+COUNTIF('6月'!N31:O31,"三軒茶屋－夜勤")+COUNTIF('6月'!S31:T31,"三軒茶屋－夜勤")+COUNTIF('6月'!X31:Y31,"三軒茶屋－夜勤")+COUNTIF('6月'!AC31:AD31,"三軒茶屋－夜勤")+COUNTIF('6月'!AH31:AI31,"三軒茶屋－夜勤")+COUNTIF('6月'!AM31:AN31,"三軒茶屋－夜勤")+COUNTIF('6月'!AR31:AS31,"三軒茶屋－夜勤")+COUNTIF('6月'!AW31:AX31,"三軒茶屋－夜勤")+COUNTIF('6月'!BB31:BC31,"三軒茶屋－夜勤")+COUNTIF('6月'!BG31:BH31,"三軒茶屋－夜勤")+COUNTIF('6月'!BL31:BM31,"三軒茶屋－夜勤")+COUNTIF('6月'!BQ31:BR31,"三軒茶屋－夜勤")+COUNTIF('6月'!BV31:BW31,"三軒茶屋－夜勤")+COUNTIF('6月'!CA31:CB31,"三軒茶屋－夜勤")+COUNTIF('6月'!CF31:CG31,"三軒茶屋－夜勤")+COUNTIF('6月'!CK31:CL31,"三軒茶屋－夜勤")+COUNTIF('6月'!CP31:CQ31,"三軒茶屋－夜勤")+COUNTIF('6月'!CU31:CV31,"三軒茶屋－夜勤")+COUNTIF('6月'!CZ31:DA31,"三軒茶屋－夜勤")+COUNTIF('6月'!DE31:DF31,"三軒茶屋－夜勤")+COUNTIF('6月'!DJ31:DK31,"三軒茶屋－夜勤")+COUNTIF('6月'!DO31:DP31,"三軒茶屋－夜勤")+COUNTIF('6月'!DT31:DU31,"三軒茶屋－夜勤")+COUNTIF('6月'!DY31:DZ31,"三軒茶屋－夜勤")+COUNTIF('6月'!ED31:EE31,"三軒茶屋－夜勤")+COUNTIF('6月'!EI31:EJ31,"三軒茶屋－夜勤")+COUNTIF('6月'!EN31:EO31,"三軒茶屋－夜勤")+COUNTIF('6月'!ES31:ET31,"三軒茶屋－夜勤")</f>
        <v>0</v>
      </c>
      <c r="O218" s="76">
        <f t="shared" si="66"/>
        <v>0</v>
      </c>
      <c r="P218" s="76">
        <f>COUNTIF('6月'!D31:E31,P$189)+COUNTIF('6月'!I31:J31,P$189)+COUNTIF('6月'!N31:O31,P$189)+COUNTIF('6月'!S31:T31,P$189)+COUNTIF('6月'!X31:Y31,P$189)+COUNTIF('6月'!AC31:AD31,P$189)+COUNTIF('6月'!AH31:AI31,P$189)+COUNTIF('6月'!AM31:AN31,P$189)+COUNTIF('6月'!AR31:AS31,P$189)+COUNTIF('6月'!AW31:AX31,P$189)+COUNTIF('6月'!BB31:BC31,P$189)+COUNTIF('6月'!BG31:BH31,P$189)+COUNTIF('6月'!BL31:BM31,P$189)+COUNTIF('6月'!BQ31:BR31,P$189)+COUNTIF('6月'!BV31:BW31,P$189)+COUNTIF('6月'!CA31:CB31,P$189)+COUNTIF('6月'!CF31:CG31,P$189)+COUNTIF('6月'!CK31:CL31,P$189)+COUNTIF('6月'!CP31:CQ31,P$189)+COUNTIF('6月'!CU31:CV31,P$189)+COUNTIF('6月'!CZ31:DA31,P$189)+COUNTIF('6月'!DE31:DF31,P$189)+COUNTIF('6月'!DJ31:DK31,P$189)+COUNTIF('6月'!DO31:DP31,P$189)+COUNTIF('6月'!DT31:DU31,P$189)+COUNTIF('6月'!DY31:DZ31,P$189)+COUNTIF('6月'!ED31:EE31,P$189)+COUNTIF('6月'!EI31:EJ31,P$189)+COUNTIF('6月'!EN31:EO31,P$189)+COUNTIF('6月'!ES31:ET31,P$189)+COUNTIF('6月'!D31:E31,"荻窪ー夜勤")+COUNTIF('6月'!I31:J31,"荻窪ー夜勤")+COUNTIF('6月'!N31:O31,"荻窪ー夜勤")+COUNTIF('6月'!S31:T31,"荻窪ー夜勤")+COUNTIF('6月'!X31:Y31,"荻窪ー夜勤")+COUNTIF('6月'!AC31:AD31,"荻窪ー夜勤")+COUNTIF('6月'!AH31:AI31,"荻窪ー夜勤")+COUNTIF('6月'!AM31:AN31,"荻窪ー夜勤")+COUNTIF('6月'!AR31:AS31,"荻窪ー夜勤")+COUNTIF('6月'!AW31:AX31,"荻窪ー夜勤")+COUNTIF('6月'!BB31:BC31,"荻窪ー夜勤")+COUNTIF('6月'!BG31:BH31,"荻窪ー夜勤")+COUNTIF('6月'!BL31:BM31,"荻窪ー夜勤")+COUNTIF('6月'!BQ31:BR31,"荻窪ー夜勤")+COUNTIF('6月'!BV31:BW31,"荻窪ー夜勤")+COUNTIF('6月'!CA31:CB31,"荻窪ー夜勤")+COUNTIF('6月'!CF31:CG31,"荻窪ー夜勤")+COUNTIF('6月'!CK31:CL31,"荻窪ー夜勤")+COUNTIF('6月'!CP31:CQ31,"荻窪ー夜勤")+COUNTIF('6月'!CU31:CV31,"荻窪ー夜勤")+COUNTIF('6月'!CZ31:DA31,"荻窪ー夜勤")+COUNTIF('6月'!DE31:DF31,"荻窪ー夜勤")+COUNTIF('6月'!DJ31:DK31,"荻窪ー夜勤")+COUNTIF('6月'!DO31:DP31,"荻窪ー夜勤")+COUNTIF('6月'!DT31:DU31,"荻窪ー夜勤")+COUNTIF('6月'!DY31:DZ31,"荻窪ー夜勤")+COUNTIF('6月'!ED31:EE31,"荻窪ー夜勤")+COUNTIF('6月'!EI31:EJ31,"荻窪ー夜勤")+COUNTIF('6月'!EN31:EO31,"荻窪ー夜勤")+COUNTIF('6月'!ES31:ET31,"荻窪ー夜勤")</f>
        <v>0</v>
      </c>
      <c r="Q218" s="76">
        <f t="shared" si="67"/>
        <v>0</v>
      </c>
      <c r="R218" s="76">
        <f>COUNTIF('6月'!D31:E31,R$189)+COUNTIF('6月'!I31:J31,R$189)+COUNTIF('6月'!N31:O31,R$189)+COUNTIF('6月'!S31:T31,R$189)+COUNTIF('6月'!X31:Y31,R$189)+COUNTIF('6月'!AC31:AD31,R$189)+COUNTIF('6月'!AH31:AI31,R$189)+COUNTIF('6月'!AM31:AN31,R$189)+COUNTIF('6月'!AR31:AS31,R$189)+COUNTIF('6月'!AW31:AX31,R$189)+COUNTIF('6月'!BB31:BC31,R$189)+COUNTIF('6月'!BG31:BH31,R$189)+COUNTIF('6月'!BL31:BM31,R$189)+COUNTIF('6月'!BQ31:BR31,R$189)+COUNTIF('6月'!BV31:BW31,R$189)+COUNTIF('6月'!CA31:CB31,R$189)+COUNTIF('6月'!CF31:CG31,R$189)+COUNTIF('6月'!CK31:CL31,R$189)+COUNTIF('6月'!CP31:CQ31,R$189)+COUNTIF('6月'!CU31:CV31,R$189)+COUNTIF('6月'!CZ31:DA31,R$189)+COUNTIF('6月'!DE31:DF31,R$189)+COUNTIF('6月'!DJ31:DK31,R$189)+COUNTIF('6月'!DO31:DP31,R$189)+COUNTIF('6月'!DT31:DU31,R$189)+COUNTIF('6月'!DY31:DZ31,R$189)+COUNTIF('6月'!ED31:EE31,R$189)+COUNTIF('6月'!EI31:EJ31,R$189)+COUNTIF('6月'!EN31:EO31,R$189)+COUNTIF('6月'!ES31:ET31,R$189)</f>
        <v>0</v>
      </c>
      <c r="S218" s="76">
        <f t="shared" si="68"/>
        <v>0</v>
      </c>
      <c r="T218" s="76">
        <f>COUNTIF('6月'!D31:E31,T$189)+COUNTIF('6月'!I31:J31,T$189)+COUNTIF('6月'!N31:O31,T$189)+COUNTIF('6月'!S31:T31,T$189)+COUNTIF('6月'!X31:Y31,T$189)+COUNTIF('6月'!AC31:AD31,T$189)+COUNTIF('6月'!AH31:AI31,T$189)+COUNTIF('6月'!AM31:AN31,T$189)+COUNTIF('6月'!AR31:AS31,T$189)+COUNTIF('6月'!AW31:AX31,T$189)+COUNTIF('6月'!BB31:BC31,T$189)+COUNTIF('6月'!BG31:BH31,T$189)+COUNTIF('6月'!BL31:BM31,T$189)+COUNTIF('6月'!BQ31:BR31,T$189)+COUNTIF('6月'!BV31:BW31,T$189)+COUNTIF('6月'!CA31:CB31,T$189)+COUNTIF('6月'!CF31:CG31,T$189)+COUNTIF('6月'!CK31:CL31,T$189)+COUNTIF('6月'!CP31:CQ31,T$189)+COUNTIF('6月'!CU31:CV31,T$189)+COUNTIF('6月'!CZ31:DA31,T$189)+COUNTIF('6月'!DE31:DF31,T$189)+COUNTIF('6月'!DJ31:DK31,T$189)+COUNTIF('6月'!DO31:DP31,T$189)+COUNTIF('6月'!DT31:DU31,T$189)+COUNTIF('6月'!DY31:DZ31,T$189)+COUNTIF('6月'!ED31:EE31,T$189)+COUNTIF('6月'!EI31:EJ31,T$189)+COUNTIF('6月'!EN31:EO31,T$189)+COUNTIF('6月'!ES31:ET31,T$189)</f>
        <v>0</v>
      </c>
      <c r="U218" s="76">
        <f t="shared" si="69"/>
        <v>0</v>
      </c>
      <c r="V218" s="76">
        <f>COUNTIF('6月'!D31:E31,V$189)+COUNTIF('6月'!I31:J31,V$189)+COUNTIF('6月'!N31:O31,V$189)+COUNTIF('6月'!S31:T31,V$189)+COUNTIF('6月'!X31:Y31,V$189)+COUNTIF('6月'!AC31:AD31,V$189)+COUNTIF('6月'!AH31:AI31,V$189)+COUNTIF('6月'!AM31:AN31,V$189)+COUNTIF('6月'!AR31:AS31,V$189)+COUNTIF('6月'!AW31:AX31,V$189)+COUNTIF('6月'!BB31:BC31,V$189)+COUNTIF('6月'!BG31:BH31,V$189)+COUNTIF('6月'!BL31:BM31,V$189)+COUNTIF('6月'!BQ31:BR31,V$189)+COUNTIF('6月'!BV31:BW31,V$189)+COUNTIF('6月'!CA31:CB31,V$189)+COUNTIF('6月'!CF31:CG31,V$189)+COUNTIF('6月'!CK31:CL31,V$189)+COUNTIF('6月'!CP31:CQ31,V$189)+COUNTIF('6月'!CU31:CV31,V$189)+COUNTIF('6月'!CZ31:DA31,V$189)+COUNTIF('6月'!DE31:DF31,V$189)+COUNTIF('6月'!DJ31:DK31,V$189)+COUNTIF('6月'!DO31:DP31,V$189)+COUNTIF('6月'!DT31:DU31,V$189)+COUNTIF('6月'!DY31:DZ31,V$189)+COUNTIF('6月'!ED31:EE31,V$189)+COUNTIF('6月'!EI31:EJ31,V$189)+COUNTIF('6月'!EN31:EO31,V$189)+COUNTIF('6月'!ES31:ET31,V$189)</f>
        <v>0</v>
      </c>
      <c r="W218" s="76">
        <f t="shared" si="70"/>
        <v>0</v>
      </c>
      <c r="X218" s="76">
        <f>COUNTIF('6月'!D31:E31,X$189)+COUNTIF('6月'!I31:J31,X$189)+COUNTIF('6月'!N31:O31,X$189)+COUNTIF('6月'!S31:T31,X$189)+COUNTIF('6月'!X31:Y31,X$189)+COUNTIF('6月'!AC31:AD31,X$189)+COUNTIF('6月'!AH31:AI31,X$189)+COUNTIF('6月'!AM31:AN31,X$189)+COUNTIF('6月'!AR31:AS31,X$189)+COUNTIF('6月'!AW31:AX31,X$189)+COUNTIF('6月'!BB31:BC31,X$189)+COUNTIF('6月'!BG31:BH31,X$189)+COUNTIF('6月'!BL31:BM31,X$189)+COUNTIF('6月'!BQ31:BR31,X$189)+COUNTIF('6月'!BV31:BW31,X$189)+COUNTIF('6月'!CA31:CB31,X$189)+COUNTIF('6月'!CF31:CG31,X$189)+COUNTIF('6月'!CK31:CL31,X$189)+COUNTIF('6月'!CP31:CQ31,X$189)+COUNTIF('6月'!CU31:CV31,X$189)+COUNTIF('6月'!CZ31:DA31,X$189)+COUNTIF('6月'!DE31:DF31,X$189)+COUNTIF('6月'!DJ31:DK31,X$189)+COUNTIF('6月'!DO31:DP31,X$189)+COUNTIF('6月'!DT31:DU31,X$189)+COUNTIF('6月'!DY31:DZ31,X$189)+COUNTIF('6月'!ED31:EE31,X$189)+COUNTIF('6月'!EI31:EJ31,X$189)+COUNTIF('6月'!EN31:EO31,X$189)+COUNTIF('6月'!ES31:ET31,X$189)</f>
        <v>0</v>
      </c>
      <c r="Y218" s="76">
        <f t="shared" si="71"/>
        <v>0</v>
      </c>
    </row>
    <row r="219" spans="1:25" ht="18" customHeight="1">
      <c r="A219" s="76">
        <v>29</v>
      </c>
      <c r="B219" s="76">
        <f>COUNTIF('6月'!D32:E32,B$189)+COUNTIF('6月'!I32:J32,B$189)+COUNTIF('6月'!N32:O32,B$189)+COUNTIF('6月'!S32:T32,B$189)+COUNTIF('6月'!X32:Y32,B$189)+COUNTIF('6月'!AC32:AD32,B$189)+COUNTIF('6月'!AH32:AI32,B$189)+COUNTIF('6月'!AM32:AN32,B$189)+COUNTIF('6月'!AR32:AS32,B$189)+COUNTIF('6月'!AW32:AX32,B$189)+COUNTIF('6月'!BB32:BC32,B$189)+COUNTIF('6月'!BG32:BH32,B$189)+COUNTIF('6月'!BL32:BM32,B$189)+COUNTIF('6月'!BQ32:BR32,B$189)+COUNTIF('6月'!BV32:BW32,B$189)+COUNTIF('6月'!CA32:CB32,B$189)+COUNTIF('6月'!CF32:CG32,B$189)+COUNTIF('6月'!CK32:CL32,B$189)+COUNTIF('6月'!CP32:CQ32,B$189)+COUNTIF('6月'!CU32:CV32,B$189)+COUNTIF('6月'!CZ32:DA32,B$189)+COUNTIF('6月'!DE32:DF32,B$189)+COUNTIF('6月'!DJ32:DK32,B$189)+COUNTIF('6月'!DO32:DP32,B$189)+COUNTIF('6月'!DT32:DU32,B$189)+COUNTIF('6月'!DY32:DZ32,B$189)+COUNTIF('6月'!ED32:EE32,B$189)+COUNTIF('6月'!EI32:EJ32,B$189)+COUNTIF('6月'!EN32:EO32,B$189)+COUNTIF('6月'!ES32:ET32,B$189)</f>
        <v>0</v>
      </c>
      <c r="C219" s="76">
        <f t="shared" si="60"/>
        <v>0</v>
      </c>
      <c r="D219" s="76">
        <f>COUNTIF('6月'!D32:E32,D$189)+COUNTIF('6月'!I32:J32,D$189)+COUNTIF('6月'!N32:O32,D$189)+COUNTIF('6月'!S32:T32,D$189)+COUNTIF('6月'!X32:Y32,D$189)+COUNTIF('6月'!AC32:AD32,D$189)+COUNTIF('6月'!AH32:AI32,D$189)+COUNTIF('6月'!AM32:AN32,D$189)+COUNTIF('6月'!AR32:AS32,D$189)+COUNTIF('6月'!AW32:AX32,D$189)+COUNTIF('6月'!BB32:BC32,D$189)+COUNTIF('6月'!BG32:BH32,D$189)+COUNTIF('6月'!BL32:BM32,D$189)+COUNTIF('6月'!BQ32:BR32,D$189)+COUNTIF('6月'!BV32:BW32,D$189)+COUNTIF('6月'!CA32:CB32,D$189)+COUNTIF('6月'!CF32:CG32,D$189)+COUNTIF('6月'!CK32:CL32,D$189)+COUNTIF('6月'!CP32:CQ32,D$189)+COUNTIF('6月'!CU32:CV32,D$189)+COUNTIF('6月'!CZ32:DA32,D$189)+COUNTIF('6月'!DE32:DF32,D$189)+COUNTIF('6月'!DJ32:DK32,D$189)+COUNTIF('6月'!DO32:DP32,D$189)+COUNTIF('6月'!DT32:DU32,D$189)+COUNTIF('6月'!DY32:DZ32,D$189)+COUNTIF('6月'!ED32:EE32,D$189)+COUNTIF('6月'!EI32:EJ32,D$189)+COUNTIF('6月'!EN32:EO32,D$189)+COUNTIF('6月'!ES32:ET32,D$189)</f>
        <v>0</v>
      </c>
      <c r="E219" s="76">
        <f t="shared" si="61"/>
        <v>0</v>
      </c>
      <c r="F219" s="76">
        <f>COUNTIF('6月'!D32:E32,F$189)+COUNTIF('6月'!I32:J32,F$189)+COUNTIF('6月'!N32:O32,F$189)+COUNTIF('6月'!S32:T32,F$189)+COUNTIF('6月'!X32:Y32,F$189)+COUNTIF('6月'!AC32:AD32,F$189)+COUNTIF('6月'!AH32:AI32,F$189)+COUNTIF('6月'!AM32:AN32,F$189)+COUNTIF('6月'!AR32:AS32,F$189)+COUNTIF('6月'!AW32:AX32,F$189)+COUNTIF('6月'!BB32:BC32,F$189)+COUNTIF('6月'!BG32:BH32,F$189)+COUNTIF('6月'!BL32:BM32,F$189)+COUNTIF('6月'!BQ32:BR32,F$189)+COUNTIF('6月'!BV32:BW32,F$189)+COUNTIF('6月'!CA32:CB32,F$189)+COUNTIF('6月'!CF32:CG32,F$189)+COUNTIF('6月'!CK32:CL32,F$189)+COUNTIF('6月'!CP32:CQ32,F$189)+COUNTIF('6月'!CU32:CV32,F$189)+COUNTIF('6月'!CZ32:DA32,F$189)+COUNTIF('6月'!DE32:DF32,F$189)+COUNTIF('6月'!DJ32:DK32,F$189)+COUNTIF('6月'!DO32:DP32,F$189)+COUNTIF('6月'!DT32:DU32,F$189)+COUNTIF('6月'!DY32:DZ32,F$189)+COUNTIF('6月'!ED32:EE32,F$189)+COUNTIF('6月'!EI32:EJ32,F$189)+COUNTIF('6月'!EN32:EO32,F$189)+COUNTIF('6月'!ES32:ET32,F$189)</f>
        <v>0</v>
      </c>
      <c r="G219" s="76">
        <f t="shared" si="62"/>
        <v>0</v>
      </c>
      <c r="H219" s="76">
        <f>COUNTIF('6月'!D32:E32,H$189)+COUNTIF('6月'!I32:J32,H$189)+COUNTIF('6月'!N32:O32,H$189)+COUNTIF('6月'!S32:T32,H$189)+COUNTIF('6月'!X32:Y32,H$189)+COUNTIF('6月'!AC32:AD32,H$189)+COUNTIF('6月'!AH32:AI32,H$189)+COUNTIF('6月'!AM32:AN32,H$189)+COUNTIF('6月'!AR32:AS32,H$189)+COUNTIF('6月'!AW32:AX32,H$189)+COUNTIF('6月'!BB32:BC32,H$189)+COUNTIF('6月'!BG32:BH32,H$189)+COUNTIF('6月'!BL32:BM32,H$189)+COUNTIF('6月'!BQ32:BR32,H$189)+COUNTIF('6月'!BV32:BW32,H$189)+COUNTIF('6月'!CA32:CB32,H$189)+COUNTIF('6月'!CF32:CG32,H$189)+COUNTIF('6月'!CK32:CL32,H$189)+COUNTIF('6月'!CP32:CQ32,H$189)+COUNTIF('6月'!CU32:CV32,H$189)+COUNTIF('6月'!CZ32:DA32,H$189)+COUNTIF('6月'!DE32:DF32,H$189)+COUNTIF('6月'!DJ32:DK32,H$189)+COUNTIF('6月'!DO32:DP32,H$189)+COUNTIF('6月'!DT32:DU32,H$189)+COUNTIF('6月'!DY32:DZ32,H$189)+COUNTIF('6月'!ED32:EE32,H$189)+COUNTIF('6月'!EI32:EJ32,H$189)+COUNTIF('6月'!EN32:EO32,H$189)+COUNTIF('6月'!ES32:ET32,H$189)+COUNTIF('6月'!D32:E32,"渋谷-夜勤")+COUNTIF('6月'!I32:J32,"渋谷-夜勤")+COUNTIF('6月'!N32:O32,"渋谷-夜勤")+COUNTIF('6月'!S32:T32,"渋谷-夜勤")+COUNTIF('6月'!X32:Y32,"渋谷-夜勤")+COUNTIF('6月'!AC32:AD32,"渋谷-夜勤")+COUNTIF('6月'!AH32:AI32,"渋谷-夜勤")+COUNTIF('6月'!AM32:AN32,"渋谷-夜勤")+COUNTIF('6月'!AR32:AS32,"渋谷-夜勤")+COUNTIF('6月'!AW32:AX32,"渋谷-夜勤")+COUNTIF('6月'!BB32:BC32,"渋谷-夜勤")+COUNTIF('6月'!BG32:BH32,"渋谷-夜勤")+COUNTIF('6月'!BL32:BM32,"渋谷-夜勤")+COUNTIF('6月'!BQ32:BR32,"渋谷-夜勤")+COUNTIF('6月'!BV32:BW32,"渋谷-夜勤")+COUNTIF('6月'!CA32:CB32,"渋谷-夜勤")+COUNTIF('6月'!CF32:CG32,"渋谷-夜勤")+COUNTIF('6月'!CK32:CL32,"渋谷-夜勤")+COUNTIF('6月'!CP32:CQ32,"渋谷-夜勤")+COUNTIF('6月'!CU32:CV32,"渋谷-夜勤")+COUNTIF('6月'!CZ32:DA32,"渋谷-夜勤")+COUNTIF('6月'!DE32:DF32,"渋谷-夜勤")+COUNTIF('6月'!DJ32:DK32,"渋谷-夜勤")+COUNTIF('6月'!DO32:DP32,"渋谷-夜勤")+COUNTIF('6月'!DT32:DU32,"渋谷-夜勤")+COUNTIF('6月'!DY32:DZ32,"渋谷-夜勤")+COUNTIF('6月'!ED32:EE32,"渋谷-夜勤")+COUNTIF('6月'!EI32:EJ32,"渋谷-夜勤")+COUNTIF('6月'!EN32:EO32,"渋谷-夜勤")+COUNTIF('6月'!ES32:ET32,"渋谷-夜勤")</f>
        <v>0</v>
      </c>
      <c r="I219" s="76">
        <f t="shared" si="63"/>
        <v>0</v>
      </c>
      <c r="J219" s="76">
        <f>COUNTIF('6月'!D32:E32,J$189)+COUNTIF('6月'!I32:J32,J$189)+COUNTIF('6月'!N32:O32,J$189)+COUNTIF('6月'!S32:T32,J$189)+COUNTIF('6月'!X32:Y32,J$189)+COUNTIF('6月'!AC32:AD32,J$189)+COUNTIF('6月'!AH32:AI32,J$189)+COUNTIF('6月'!AM32:AN32,J$189)+COUNTIF('6月'!AR32:AS32,J$189)+COUNTIF('6月'!AW32:AX32,J$189)+COUNTIF('6月'!BB32:BC32,J$189)+COUNTIF('6月'!BG32:BH32,J$189)+COUNTIF('6月'!BL32:BM32,J$189)+COUNTIF('6月'!BQ32:BR32,J$189)+COUNTIF('6月'!BV32:BW32,J$189)+COUNTIF('6月'!CA32:CB32,J$189)+COUNTIF('6月'!CF32:CG32,J$189)+COUNTIF('6月'!CK32:CL32,J$189)+COUNTIF('6月'!CP32:CQ32,J$189)+COUNTIF('6月'!CU32:CV32,J$189)+COUNTIF('6月'!CZ32:DA32,J$189)+COUNTIF('6月'!DE32:DF32,J$189)+COUNTIF('6月'!DJ32:DK32,J$189)+COUNTIF('6月'!DO32:DP32,J$189)+COUNTIF('6月'!DT32:DU32,J$189)+COUNTIF('6月'!DY32:DZ32,J$189)+COUNTIF('6月'!ED32:EE32,J$189)+COUNTIF('6月'!EI32:EJ32,J$189)+COUNTIF('6月'!EN32:EO32,J$189)+COUNTIF('6月'!ES32:ET32,J$189)+COUNTIF('6月'!D32:E32,"六本木-夜勤")+COUNTIF('6月'!I32:J32,"六本木-夜勤")+COUNTIF('6月'!N32:O32,"六本木-夜勤")+COUNTIF('6月'!S32:T32,"六本木-夜勤")+COUNTIF('6月'!X32:Y32,"六本木-夜勤")+COUNTIF('6月'!AC32:AD32,"六本木-夜勤")+COUNTIF('6月'!AH32:AI32,"六本木-夜勤")+COUNTIF('6月'!AM32:AN32,"六本木-夜勤")+COUNTIF('6月'!AR32:AS32,"六本木-夜勤")+COUNTIF('6月'!AW32:AX32,"六本木-夜勤")+COUNTIF('6月'!BB32:BC32,"六本木-夜勤")+COUNTIF('6月'!BG32:BH32,"六本木-夜勤")+COUNTIF('6月'!BL32:BM32,"六本木-夜勤")+COUNTIF('6月'!BQ32:BR32,"六本木-夜勤")+COUNTIF('6月'!BV32:BW32,"六本木-夜勤")+COUNTIF('6月'!CA32:CB32,"六本木-夜勤")+COUNTIF('6月'!CF32:CG32,"六本木-夜勤")+COUNTIF('6月'!CK32:CL32,"六本木-夜勤")+COUNTIF('6月'!CP32:CQ32,"六本木-夜勤")+COUNTIF('6月'!CU32:CV32,"六本木-夜勤")+COUNTIF('6月'!CZ32:DA32,"六本木-夜勤")+COUNTIF('6月'!DE32:DF32,"六本木-夜勤")+COUNTIF('6月'!DJ32:DK32,"六本木-夜勤")+COUNTIF('6月'!DO32:DP32,"六本木-夜勤")+COUNTIF('6月'!DT32:DU32,"六本木-夜勤")+COUNTIF('6月'!DY32:DZ32,"六本木-夜勤")+COUNTIF('6月'!ED32:EE32,"六本木-夜勤")+COUNTIF('6月'!EI32:EJ32,"六本木-夜勤")+COUNTIF('6月'!EN32:EO32,"六本木-夜勤")+COUNTIF('6月'!ES32:ET32,"六本木-夜勤")+COUNTIF('6月'!D32:E32,"六本木ー夜勤")+COUNTIF('6月'!I32:J32,"六本木ー夜勤")+COUNTIF('6月'!N32:O32,"六本木ー夜勤")+COUNTIF('6月'!S32:T32,"六本木ー夜勤")+COUNTIF('6月'!X32:Y32,"六本木ー夜勤")+COUNTIF('6月'!AC32:AD32,"六本木ー夜勤")+COUNTIF('6月'!AH32:AI32,"六本木ー夜勤")+COUNTIF('6月'!AM32:AN32,"六本木ー夜勤")+COUNTIF('6月'!AR32:AS32,"六本木ー夜勤")+COUNTIF('6月'!AW32:AX32,"六本木ー夜勤")+COUNTIF('6月'!BB32:BC32,"六本木ー夜勤")+COUNTIF('6月'!BG32:BH32,"六本木ー夜勤")+COUNTIF('6月'!BL32:BM32,"六本木ー夜勤")+COUNTIF('6月'!BQ32:BR32,"六本木ー夜勤")+COUNTIF('6月'!BV32:BW32,"六本木ー夜勤")+COUNTIF('6月'!CA32:CB32,"六本木ー夜勤")+COUNTIF('6月'!CF32:CG32,"六本木ー夜勤")+COUNTIF('6月'!CK32:CL32,"六本木ー夜勤")+COUNTIF('6月'!CP32:CQ32,"六本木ー夜勤")+COUNTIF('6月'!CU32:CV32,"六本木ー夜勤")+COUNTIF('6月'!CZ32:DA32,"六本木ー夜勤")+COUNTIF('6月'!DE32:DF32,"六本木ー夜勤")+COUNTIF('6月'!DJ32:DK32,"六本木ー夜勤")+COUNTIF('6月'!DO32:DP32,"六本木ー夜勤")+COUNTIF('6月'!DT32:DU32,"六本木ー夜勤")+COUNTIF('6月'!DY32:DZ32,"六本木ー夜勤")+COUNTIF('6月'!ED32:EE32,"六本木ー夜勤")+COUNTIF('6月'!EI32:EJ32,"六本木ー夜勤")+COUNTIF('6月'!EN32:EO32,"六本木ー夜勤")+COUNTIF('6月'!ES32:ET32,"六本木ー夜勤")</f>
        <v>0</v>
      </c>
      <c r="K219" s="76">
        <f t="shared" si="64"/>
        <v>0</v>
      </c>
      <c r="L219" s="76">
        <f>COUNTIF('6月'!D32:E32,L$189)+COUNTIF('6月'!I32:J32,L$189)+COUNTIF('6月'!N32:O32,L$189)+COUNTIF('6月'!S32:T32,L$189)+COUNTIF('6月'!X32:Y32,L$189)+COUNTIF('6月'!AC32:AD32,L$189)+COUNTIF('6月'!AH32:AI32,L$189)+COUNTIF('6月'!AM32:AN32,L$189)+COUNTIF('6月'!AR32:AS32,L$189)+COUNTIF('6月'!AW32:AX32,L$189)+COUNTIF('6月'!BB32:BC32,L$189)+COUNTIF('6月'!BG32:BH32,L$189)+COUNTIF('6月'!BL32:BM32,L$189)+COUNTIF('6月'!BQ32:BR32,L$189)+COUNTIF('6月'!BV32:BW32,L$189)+COUNTIF('6月'!CA32:CB32,L$189)+COUNTIF('6月'!CF32:CG32,L$189)+COUNTIF('6月'!CK32:CL32,L$189)+COUNTIF('6月'!CP32:CQ32,L$189)+COUNTIF('6月'!CU32:CV32,L$189)+COUNTIF('6月'!CZ32:DA32,L$189)+COUNTIF('6月'!DE32:DF32,L$189)+COUNTIF('6月'!DJ32:DK32,L$189)+COUNTIF('6月'!DO32:DP32,L$189)+COUNTIF('6月'!DT32:DU32,L$189)+COUNTIF('6月'!DY32:DZ32,L$189)+COUNTIF('6月'!ED32:EE32,L$189)+COUNTIF('6月'!EI32:EJ32,L$189)+COUNTIF('6月'!EN32:EO32,L$189)+COUNTIF('6月'!ES32:ET32,L$189)</f>
        <v>0</v>
      </c>
      <c r="M219" s="76">
        <f t="shared" si="65"/>
        <v>0</v>
      </c>
      <c r="N219" s="76">
        <f>COUNTIF('6月'!D32:E32,N$189)+COUNTIF('6月'!I32:J32,N$189)+COUNTIF('6月'!N32:O32,N$189)+COUNTIF('6月'!S32:T32,N$189)+COUNTIF('6月'!X32:Y32,N$189)+COUNTIF('6月'!AC32:AD32,N$189)+COUNTIF('6月'!AH32:AI32,N$189)+COUNTIF('6月'!AM32:AN32,N$189)+COUNTIF('6月'!AR32:AS32,N$189)+COUNTIF('6月'!AW32:AX32,N$189)+COUNTIF('6月'!BB32:BC32,N$189)+COUNTIF('6月'!BG32:BH32,N$189)+COUNTIF('6月'!BL32:BM32,N$189)+COUNTIF('6月'!BQ32:BR32,N$189)+COUNTIF('6月'!BV32:BW32,N$189)+COUNTIF('6月'!CA32:CB32,N$189)+COUNTIF('6月'!CF32:CG32,N$189)+COUNTIF('6月'!CK32:CL32,N$189)+COUNTIF('6月'!CP32:CQ32,N$189)+COUNTIF('6月'!CU32:CV32,N$189)+COUNTIF('6月'!CZ32:DA32,N$189)+COUNTIF('6月'!DE32:DF32,N$189)+COUNTIF('6月'!DJ32:DK32,N$189)+COUNTIF('6月'!DO32:DP32,N$189)+COUNTIF('6月'!DT32:DU32,N$189)+COUNTIF('6月'!DY32:DZ32,N$189)+COUNTIF('6月'!ED32:EE32,N$189)+COUNTIF('6月'!EI32:EJ32,N$189)+COUNTIF('6月'!EN32:EO32,N$189)+COUNTIF('6月'!ES32:ET32,N$189)+COUNTIF('6月'!D32:E32,"三軒茶屋－夜勤")+COUNTIF('6月'!I32:J32,"三軒茶屋－夜勤")+COUNTIF('6月'!N32:O32,"三軒茶屋－夜勤")+COUNTIF('6月'!S32:T32,"三軒茶屋－夜勤")+COUNTIF('6月'!X32:Y32,"三軒茶屋－夜勤")+COUNTIF('6月'!AC32:AD32,"三軒茶屋－夜勤")+COUNTIF('6月'!AH32:AI32,"三軒茶屋－夜勤")+COUNTIF('6月'!AM32:AN32,"三軒茶屋－夜勤")+COUNTIF('6月'!AR32:AS32,"三軒茶屋－夜勤")+COUNTIF('6月'!AW32:AX32,"三軒茶屋－夜勤")+COUNTIF('6月'!BB32:BC32,"三軒茶屋－夜勤")+COUNTIF('6月'!BG32:BH32,"三軒茶屋－夜勤")+COUNTIF('6月'!BL32:BM32,"三軒茶屋－夜勤")+COUNTIF('6月'!BQ32:BR32,"三軒茶屋－夜勤")+COUNTIF('6月'!BV32:BW32,"三軒茶屋－夜勤")+COUNTIF('6月'!CA32:CB32,"三軒茶屋－夜勤")+COUNTIF('6月'!CF32:CG32,"三軒茶屋－夜勤")+COUNTIF('6月'!CK32:CL32,"三軒茶屋－夜勤")+COUNTIF('6月'!CP32:CQ32,"三軒茶屋－夜勤")+COUNTIF('6月'!CU32:CV32,"三軒茶屋－夜勤")+COUNTIF('6月'!CZ32:DA32,"三軒茶屋－夜勤")+COUNTIF('6月'!DE32:DF32,"三軒茶屋－夜勤")+COUNTIF('6月'!DJ32:DK32,"三軒茶屋－夜勤")+COUNTIF('6月'!DO32:DP32,"三軒茶屋－夜勤")+COUNTIF('6月'!DT32:DU32,"三軒茶屋－夜勤")+COUNTIF('6月'!DY32:DZ32,"三軒茶屋－夜勤")+COUNTIF('6月'!ED32:EE32,"三軒茶屋－夜勤")+COUNTIF('6月'!EI32:EJ32,"三軒茶屋－夜勤")+COUNTIF('6月'!EN32:EO32,"三軒茶屋－夜勤")+COUNTIF('6月'!ES32:ET32,"三軒茶屋－夜勤")</f>
        <v>0</v>
      </c>
      <c r="O219" s="76">
        <f t="shared" si="66"/>
        <v>0</v>
      </c>
      <c r="P219" s="76">
        <f>COUNTIF('6月'!D32:E32,P$189)+COUNTIF('6月'!I32:J32,P$189)+COUNTIF('6月'!N32:O32,P$189)+COUNTIF('6月'!S32:T32,P$189)+COUNTIF('6月'!X32:Y32,P$189)+COUNTIF('6月'!AC32:AD32,P$189)+COUNTIF('6月'!AH32:AI32,P$189)+COUNTIF('6月'!AM32:AN32,P$189)+COUNTIF('6月'!AR32:AS32,P$189)+COUNTIF('6月'!AW32:AX32,P$189)+COUNTIF('6月'!BB32:BC32,P$189)+COUNTIF('6月'!BG32:BH32,P$189)+COUNTIF('6月'!BL32:BM32,P$189)+COUNTIF('6月'!BQ32:BR32,P$189)+COUNTIF('6月'!BV32:BW32,P$189)+COUNTIF('6月'!CA32:CB32,P$189)+COUNTIF('6月'!CF32:CG32,P$189)+COUNTIF('6月'!CK32:CL32,P$189)+COUNTIF('6月'!CP32:CQ32,P$189)+COUNTIF('6月'!CU32:CV32,P$189)+COUNTIF('6月'!CZ32:DA32,P$189)+COUNTIF('6月'!DE32:DF32,P$189)+COUNTIF('6月'!DJ32:DK32,P$189)+COUNTIF('6月'!DO32:DP32,P$189)+COUNTIF('6月'!DT32:DU32,P$189)+COUNTIF('6月'!DY32:DZ32,P$189)+COUNTIF('6月'!ED32:EE32,P$189)+COUNTIF('6月'!EI32:EJ32,P$189)+COUNTIF('6月'!EN32:EO32,P$189)+COUNTIF('6月'!ES32:ET32,P$189)+COUNTIF('6月'!D32:E32,"荻窪ー夜勤")+COUNTIF('6月'!I32:J32,"荻窪ー夜勤")+COUNTIF('6月'!N32:O32,"荻窪ー夜勤")+COUNTIF('6月'!S32:T32,"荻窪ー夜勤")+COUNTIF('6月'!X32:Y32,"荻窪ー夜勤")+COUNTIF('6月'!AC32:AD32,"荻窪ー夜勤")+COUNTIF('6月'!AH32:AI32,"荻窪ー夜勤")+COUNTIF('6月'!AM32:AN32,"荻窪ー夜勤")+COUNTIF('6月'!AR32:AS32,"荻窪ー夜勤")+COUNTIF('6月'!AW32:AX32,"荻窪ー夜勤")+COUNTIF('6月'!BB32:BC32,"荻窪ー夜勤")+COUNTIF('6月'!BG32:BH32,"荻窪ー夜勤")+COUNTIF('6月'!BL32:BM32,"荻窪ー夜勤")+COUNTIF('6月'!BQ32:BR32,"荻窪ー夜勤")+COUNTIF('6月'!BV32:BW32,"荻窪ー夜勤")+COUNTIF('6月'!CA32:CB32,"荻窪ー夜勤")+COUNTIF('6月'!CF32:CG32,"荻窪ー夜勤")+COUNTIF('6月'!CK32:CL32,"荻窪ー夜勤")+COUNTIF('6月'!CP32:CQ32,"荻窪ー夜勤")+COUNTIF('6月'!CU32:CV32,"荻窪ー夜勤")+COUNTIF('6月'!CZ32:DA32,"荻窪ー夜勤")+COUNTIF('6月'!DE32:DF32,"荻窪ー夜勤")+COUNTIF('6月'!DJ32:DK32,"荻窪ー夜勤")+COUNTIF('6月'!DO32:DP32,"荻窪ー夜勤")+COUNTIF('6月'!DT32:DU32,"荻窪ー夜勤")+COUNTIF('6月'!DY32:DZ32,"荻窪ー夜勤")+COUNTIF('6月'!ED32:EE32,"荻窪ー夜勤")+COUNTIF('6月'!EI32:EJ32,"荻窪ー夜勤")+COUNTIF('6月'!EN32:EO32,"荻窪ー夜勤")+COUNTIF('6月'!ES32:ET32,"荻窪ー夜勤")</f>
        <v>0</v>
      </c>
      <c r="Q219" s="76">
        <f t="shared" si="67"/>
        <v>0</v>
      </c>
      <c r="R219" s="76">
        <f>COUNTIF('6月'!D32:E32,R$189)+COUNTIF('6月'!I32:J32,R$189)+COUNTIF('6月'!N32:O32,R$189)+COUNTIF('6月'!S32:T32,R$189)+COUNTIF('6月'!X32:Y32,R$189)+COUNTIF('6月'!AC32:AD32,R$189)+COUNTIF('6月'!AH32:AI32,R$189)+COUNTIF('6月'!AM32:AN32,R$189)+COUNTIF('6月'!AR32:AS32,R$189)+COUNTIF('6月'!AW32:AX32,R$189)+COUNTIF('6月'!BB32:BC32,R$189)+COUNTIF('6月'!BG32:BH32,R$189)+COUNTIF('6月'!BL32:BM32,R$189)+COUNTIF('6月'!BQ32:BR32,R$189)+COUNTIF('6月'!BV32:BW32,R$189)+COUNTIF('6月'!CA32:CB32,R$189)+COUNTIF('6月'!CF32:CG32,R$189)+COUNTIF('6月'!CK32:CL32,R$189)+COUNTIF('6月'!CP32:CQ32,R$189)+COUNTIF('6月'!CU32:CV32,R$189)+COUNTIF('6月'!CZ32:DA32,R$189)+COUNTIF('6月'!DE32:DF32,R$189)+COUNTIF('6月'!DJ32:DK32,R$189)+COUNTIF('6月'!DO32:DP32,R$189)+COUNTIF('6月'!DT32:DU32,R$189)+COUNTIF('6月'!DY32:DZ32,R$189)+COUNTIF('6月'!ED32:EE32,R$189)+COUNTIF('6月'!EI32:EJ32,R$189)+COUNTIF('6月'!EN32:EO32,R$189)+COUNTIF('6月'!ES32:ET32,R$189)</f>
        <v>0</v>
      </c>
      <c r="S219" s="76">
        <f t="shared" si="68"/>
        <v>0</v>
      </c>
      <c r="T219" s="76">
        <f>COUNTIF('6月'!D32:E32,T$189)+COUNTIF('6月'!I32:J32,T$189)+COUNTIF('6月'!N32:O32,T$189)+COUNTIF('6月'!S32:T32,T$189)+COUNTIF('6月'!X32:Y32,T$189)+COUNTIF('6月'!AC32:AD32,T$189)+COUNTIF('6月'!AH32:AI32,T$189)+COUNTIF('6月'!AM32:AN32,T$189)+COUNTIF('6月'!AR32:AS32,T$189)+COUNTIF('6月'!AW32:AX32,T$189)+COUNTIF('6月'!BB32:BC32,T$189)+COUNTIF('6月'!BG32:BH32,T$189)+COUNTIF('6月'!BL32:BM32,T$189)+COUNTIF('6月'!BQ32:BR32,T$189)+COUNTIF('6月'!BV32:BW32,T$189)+COUNTIF('6月'!CA32:CB32,T$189)+COUNTIF('6月'!CF32:CG32,T$189)+COUNTIF('6月'!CK32:CL32,T$189)+COUNTIF('6月'!CP32:CQ32,T$189)+COUNTIF('6月'!CU32:CV32,T$189)+COUNTIF('6月'!CZ32:DA32,T$189)+COUNTIF('6月'!DE32:DF32,T$189)+COUNTIF('6月'!DJ32:DK32,T$189)+COUNTIF('6月'!DO32:DP32,T$189)+COUNTIF('6月'!DT32:DU32,T$189)+COUNTIF('6月'!DY32:DZ32,T$189)+COUNTIF('6月'!ED32:EE32,T$189)+COUNTIF('6月'!EI32:EJ32,T$189)+COUNTIF('6月'!EN32:EO32,T$189)+COUNTIF('6月'!ES32:ET32,T$189)</f>
        <v>0</v>
      </c>
      <c r="U219" s="76">
        <f t="shared" si="69"/>
        <v>0</v>
      </c>
      <c r="V219" s="76">
        <f>COUNTIF('6月'!D32:E32,V$189)+COUNTIF('6月'!I32:J32,V$189)+COUNTIF('6月'!N32:O32,V$189)+COUNTIF('6月'!S32:T32,V$189)+COUNTIF('6月'!X32:Y32,V$189)+COUNTIF('6月'!AC32:AD32,V$189)+COUNTIF('6月'!AH32:AI32,V$189)+COUNTIF('6月'!AM32:AN32,V$189)+COUNTIF('6月'!AR32:AS32,V$189)+COUNTIF('6月'!AW32:AX32,V$189)+COUNTIF('6月'!BB32:BC32,V$189)+COUNTIF('6月'!BG32:BH32,V$189)+COUNTIF('6月'!BL32:BM32,V$189)+COUNTIF('6月'!BQ32:BR32,V$189)+COUNTIF('6月'!BV32:BW32,V$189)+COUNTIF('6月'!CA32:CB32,V$189)+COUNTIF('6月'!CF32:CG32,V$189)+COUNTIF('6月'!CK32:CL32,V$189)+COUNTIF('6月'!CP32:CQ32,V$189)+COUNTIF('6月'!CU32:CV32,V$189)+COUNTIF('6月'!CZ32:DA32,V$189)+COUNTIF('6月'!DE32:DF32,V$189)+COUNTIF('6月'!DJ32:DK32,V$189)+COUNTIF('6月'!DO32:DP32,V$189)+COUNTIF('6月'!DT32:DU32,V$189)+COUNTIF('6月'!DY32:DZ32,V$189)+COUNTIF('6月'!ED32:EE32,V$189)+COUNTIF('6月'!EI32:EJ32,V$189)+COUNTIF('6月'!EN32:EO32,V$189)+COUNTIF('6月'!ES32:ET32,V$189)</f>
        <v>0</v>
      </c>
      <c r="W219" s="76">
        <f t="shared" si="70"/>
        <v>0</v>
      </c>
      <c r="X219" s="76">
        <f>COUNTIF('6月'!D32:E32,X$189)+COUNTIF('6月'!I32:J32,X$189)+COUNTIF('6月'!N32:O32,X$189)+COUNTIF('6月'!S32:T32,X$189)+COUNTIF('6月'!X32:Y32,X$189)+COUNTIF('6月'!AC32:AD32,X$189)+COUNTIF('6月'!AH32:AI32,X$189)+COUNTIF('6月'!AM32:AN32,X$189)+COUNTIF('6月'!AR32:AS32,X$189)+COUNTIF('6月'!AW32:AX32,X$189)+COUNTIF('6月'!BB32:BC32,X$189)+COUNTIF('6月'!BG32:BH32,X$189)+COUNTIF('6月'!BL32:BM32,X$189)+COUNTIF('6月'!BQ32:BR32,X$189)+COUNTIF('6月'!BV32:BW32,X$189)+COUNTIF('6月'!CA32:CB32,X$189)+COUNTIF('6月'!CF32:CG32,X$189)+COUNTIF('6月'!CK32:CL32,X$189)+COUNTIF('6月'!CP32:CQ32,X$189)+COUNTIF('6月'!CU32:CV32,X$189)+COUNTIF('6月'!CZ32:DA32,X$189)+COUNTIF('6月'!DE32:DF32,X$189)+COUNTIF('6月'!DJ32:DK32,X$189)+COUNTIF('6月'!DO32:DP32,X$189)+COUNTIF('6月'!DT32:DU32,X$189)+COUNTIF('6月'!DY32:DZ32,X$189)+COUNTIF('6月'!ED32:EE32,X$189)+COUNTIF('6月'!EI32:EJ32,X$189)+COUNTIF('6月'!EN32:EO32,X$189)+COUNTIF('6月'!ES32:ET32,X$189)</f>
        <v>0</v>
      </c>
      <c r="Y219" s="76">
        <f t="shared" si="71"/>
        <v>0</v>
      </c>
    </row>
    <row r="220" spans="1:25" ht="18" customHeight="1">
      <c r="A220" s="76">
        <v>30</v>
      </c>
      <c r="B220" s="76">
        <f>COUNTIF('6月'!D33:E33,B$189)+COUNTIF('6月'!I33:J33,B$189)+COUNTIF('6月'!N33:O33,B$189)+COUNTIF('6月'!S33:T33,B$189)+COUNTIF('6月'!X33:Y33,B$189)+COUNTIF('6月'!AC33:AD33,B$189)+COUNTIF('6月'!AH33:AI33,B$189)+COUNTIF('6月'!AM33:AN33,B$189)+COUNTIF('6月'!AR33:AS33,B$189)+COUNTIF('6月'!AW33:AX33,B$189)+COUNTIF('6月'!BB33:BC33,B$189)+COUNTIF('6月'!BG33:BH33,B$189)+COUNTIF('6月'!BL33:BM33,B$189)+COUNTIF('6月'!BQ33:BR33,B$189)+COUNTIF('6月'!BV33:BW33,B$189)+COUNTIF('6月'!CA33:CB33,B$189)+COUNTIF('6月'!CF33:CG33,B$189)+COUNTIF('6月'!CK33:CL33,B$189)+COUNTIF('6月'!CP33:CQ33,B$189)+COUNTIF('6月'!CU33:CV33,B$189)+COUNTIF('6月'!CZ33:DA33,B$189)+COUNTIF('6月'!DE33:DF33,B$189)+COUNTIF('6月'!DJ33:DK33,B$189)+COUNTIF('6月'!DO33:DP33,B$189)+COUNTIF('6月'!DT33:DU33,B$189)+COUNTIF('6月'!DY33:DZ33,B$189)+COUNTIF('6月'!ED33:EE33,B$189)+COUNTIF('6月'!EI33:EJ33,B$189)+COUNTIF('6月'!EN33:EO33,B$189)+COUNTIF('6月'!ES33:ET33,B$189)</f>
        <v>0</v>
      </c>
      <c r="C220" s="76">
        <f t="shared" si="60"/>
        <v>0</v>
      </c>
      <c r="D220" s="76">
        <f>COUNTIF('6月'!D33:E33,D$189)+COUNTIF('6月'!I33:J33,D$189)+COUNTIF('6月'!N33:O33,D$189)+COUNTIF('6月'!S33:T33,D$189)+COUNTIF('6月'!X33:Y33,D$189)+COUNTIF('6月'!AC33:AD33,D$189)+COUNTIF('6月'!AH33:AI33,D$189)+COUNTIF('6月'!AM33:AN33,D$189)+COUNTIF('6月'!AR33:AS33,D$189)+COUNTIF('6月'!AW33:AX33,D$189)+COUNTIF('6月'!BB33:BC33,D$189)+COUNTIF('6月'!BG33:BH33,D$189)+COUNTIF('6月'!BL33:BM33,D$189)+COUNTIF('6月'!BQ33:BR33,D$189)+COUNTIF('6月'!BV33:BW33,D$189)+COUNTIF('6月'!CA33:CB33,D$189)+COUNTIF('6月'!CF33:CG33,D$189)+COUNTIF('6月'!CK33:CL33,D$189)+COUNTIF('6月'!CP33:CQ33,D$189)+COUNTIF('6月'!CU33:CV33,D$189)+COUNTIF('6月'!CZ33:DA33,D$189)+COUNTIF('6月'!DE33:DF33,D$189)+COUNTIF('6月'!DJ33:DK33,D$189)+COUNTIF('6月'!DO33:DP33,D$189)+COUNTIF('6月'!DT33:DU33,D$189)+COUNTIF('6月'!DY33:DZ33,D$189)+COUNTIF('6月'!ED33:EE33,D$189)+COUNTIF('6月'!EI33:EJ33,D$189)+COUNTIF('6月'!EN33:EO33,D$189)+COUNTIF('6月'!ES33:ET33,D$189)</f>
        <v>0</v>
      </c>
      <c r="E220" s="76">
        <f t="shared" si="61"/>
        <v>0</v>
      </c>
      <c r="F220" s="76">
        <f>COUNTIF('6月'!D33:E33,F$189)+COUNTIF('6月'!I33:J33,F$189)+COUNTIF('6月'!N33:O33,F$189)+COUNTIF('6月'!S33:T33,F$189)+COUNTIF('6月'!X33:Y33,F$189)+COUNTIF('6月'!AC33:AD33,F$189)+COUNTIF('6月'!AH33:AI33,F$189)+COUNTIF('6月'!AM33:AN33,F$189)+COUNTIF('6月'!AR33:AS33,F$189)+COUNTIF('6月'!AW33:AX33,F$189)+COUNTIF('6月'!BB33:BC33,F$189)+COUNTIF('6月'!BG33:BH33,F$189)+COUNTIF('6月'!BL33:BM33,F$189)+COUNTIF('6月'!BQ33:BR33,F$189)+COUNTIF('6月'!BV33:BW33,F$189)+COUNTIF('6月'!CA33:CB33,F$189)+COUNTIF('6月'!CF33:CG33,F$189)+COUNTIF('6月'!CK33:CL33,F$189)+COUNTIF('6月'!CP33:CQ33,F$189)+COUNTIF('6月'!CU33:CV33,F$189)+COUNTIF('6月'!CZ33:DA33,F$189)+COUNTIF('6月'!DE33:DF33,F$189)+COUNTIF('6月'!DJ33:DK33,F$189)+COUNTIF('6月'!DO33:DP33,F$189)+COUNTIF('6月'!DT33:DU33,F$189)+COUNTIF('6月'!DY33:DZ33,F$189)+COUNTIF('6月'!ED33:EE33,F$189)+COUNTIF('6月'!EI33:EJ33,F$189)+COUNTIF('6月'!EN33:EO33,F$189)+COUNTIF('6月'!ES33:ET33,F$189)</f>
        <v>0</v>
      </c>
      <c r="G220" s="76">
        <f t="shared" si="62"/>
        <v>0</v>
      </c>
      <c r="H220" s="76">
        <f>COUNTIF('6月'!D33:E33,H$189)+COUNTIF('6月'!I33:J33,H$189)+COUNTIF('6月'!N33:O33,H$189)+COUNTIF('6月'!S33:T33,H$189)+COUNTIF('6月'!X33:Y33,H$189)+COUNTIF('6月'!AC33:AD33,H$189)+COUNTIF('6月'!AH33:AI33,H$189)+COUNTIF('6月'!AM33:AN33,H$189)+COUNTIF('6月'!AR33:AS33,H$189)+COUNTIF('6月'!AW33:AX33,H$189)+COUNTIF('6月'!BB33:BC33,H$189)+COUNTIF('6月'!BG33:BH33,H$189)+COUNTIF('6月'!BL33:BM33,H$189)+COUNTIF('6月'!BQ33:BR33,H$189)+COUNTIF('6月'!BV33:BW33,H$189)+COUNTIF('6月'!CA33:CB33,H$189)+COUNTIF('6月'!CF33:CG33,H$189)+COUNTIF('6月'!CK33:CL33,H$189)+COUNTIF('6月'!CP33:CQ33,H$189)+COUNTIF('6月'!CU33:CV33,H$189)+COUNTIF('6月'!CZ33:DA33,H$189)+COUNTIF('6月'!DE33:DF33,H$189)+COUNTIF('6月'!DJ33:DK33,H$189)+COUNTIF('6月'!DO33:DP33,H$189)+COUNTIF('6月'!DT33:DU33,H$189)+COUNTIF('6月'!DY33:DZ33,H$189)+COUNTIF('6月'!ED33:EE33,H$189)+COUNTIF('6月'!EI33:EJ33,H$189)+COUNTIF('6月'!EN33:EO33,H$189)+COUNTIF('6月'!ES33:ET33,H$189)+COUNTIF('6月'!D33:E33,"渋谷-夜勤")+COUNTIF('6月'!I33:J33,"渋谷-夜勤")+COUNTIF('6月'!N33:O33,"渋谷-夜勤")+COUNTIF('6月'!S33:T33,"渋谷-夜勤")+COUNTIF('6月'!X33:Y33,"渋谷-夜勤")+COUNTIF('6月'!AC33:AD33,"渋谷-夜勤")+COUNTIF('6月'!AH33:AI33,"渋谷-夜勤")+COUNTIF('6月'!AM33:AN33,"渋谷-夜勤")+COUNTIF('6月'!AR33:AS33,"渋谷-夜勤")+COUNTIF('6月'!AW33:AX33,"渋谷-夜勤")+COUNTIF('6月'!BB33:BC33,"渋谷-夜勤")+COUNTIF('6月'!BG33:BH33,"渋谷-夜勤")+COUNTIF('6月'!BL33:BM33,"渋谷-夜勤")+COUNTIF('6月'!BQ33:BR33,"渋谷-夜勤")+COUNTIF('6月'!BV33:BW33,"渋谷-夜勤")+COUNTIF('6月'!CA33:CB33,"渋谷-夜勤")+COUNTIF('6月'!CF33:CG33,"渋谷-夜勤")+COUNTIF('6月'!CK33:CL33,"渋谷-夜勤")+COUNTIF('6月'!CP33:CQ33,"渋谷-夜勤")+COUNTIF('6月'!CU33:CV33,"渋谷-夜勤")+COUNTIF('6月'!CZ33:DA33,"渋谷-夜勤")+COUNTIF('6月'!DE33:DF33,"渋谷-夜勤")+COUNTIF('6月'!DJ33:DK33,"渋谷-夜勤")+COUNTIF('6月'!DO33:DP33,"渋谷-夜勤")+COUNTIF('6月'!DT33:DU33,"渋谷-夜勤")+COUNTIF('6月'!DY33:DZ33,"渋谷-夜勤")+COUNTIF('6月'!ED33:EE33,"渋谷-夜勤")+COUNTIF('6月'!EI33:EJ33,"渋谷-夜勤")+COUNTIF('6月'!EN33:EO33,"渋谷-夜勤")+COUNTIF('6月'!ES33:ET33,"渋谷-夜勤")</f>
        <v>0</v>
      </c>
      <c r="I220" s="76">
        <f t="shared" si="63"/>
        <v>0</v>
      </c>
      <c r="J220" s="76">
        <f>COUNTIF('6月'!D33:E33,J$189)+COUNTIF('6月'!I33:J33,J$189)+COUNTIF('6月'!N33:O33,J$189)+COUNTIF('6月'!S33:T33,J$189)+COUNTIF('6月'!X33:Y33,J$189)+COUNTIF('6月'!AC33:AD33,J$189)+COUNTIF('6月'!AH33:AI33,J$189)+COUNTIF('6月'!AM33:AN33,J$189)+COUNTIF('6月'!AR33:AS33,J$189)+COUNTIF('6月'!AW33:AX33,J$189)+COUNTIF('6月'!BB33:BC33,J$189)+COUNTIF('6月'!BG33:BH33,J$189)+COUNTIF('6月'!BL33:BM33,J$189)+COUNTIF('6月'!BQ33:BR33,J$189)+COUNTIF('6月'!BV33:BW33,J$189)+COUNTIF('6月'!CA33:CB33,J$189)+COUNTIF('6月'!CF33:CG33,J$189)+COUNTIF('6月'!CK33:CL33,J$189)+COUNTIF('6月'!CP33:CQ33,J$189)+COUNTIF('6月'!CU33:CV33,J$189)+COUNTIF('6月'!CZ33:DA33,J$189)+COUNTIF('6月'!DE33:DF33,J$189)+COUNTIF('6月'!DJ33:DK33,J$189)+COUNTIF('6月'!DO33:DP33,J$189)+COUNTIF('6月'!DT33:DU33,J$189)+COUNTIF('6月'!DY33:DZ33,J$189)+COUNTIF('6月'!ED33:EE33,J$189)+COUNTIF('6月'!EI33:EJ33,J$189)+COUNTIF('6月'!EN33:EO33,J$189)+COUNTIF('6月'!ES33:ET33,J$189)+COUNTIF('6月'!D33:E33,"六本木-夜勤")+COUNTIF('6月'!I33:J33,"六本木-夜勤")+COUNTIF('6月'!N33:O33,"六本木-夜勤")+COUNTIF('6月'!S33:T33,"六本木-夜勤")+COUNTIF('6月'!X33:Y33,"六本木-夜勤")+COUNTIF('6月'!AC33:AD33,"六本木-夜勤")+COUNTIF('6月'!AH33:AI33,"六本木-夜勤")+COUNTIF('6月'!AM33:AN33,"六本木-夜勤")+COUNTIF('6月'!AR33:AS33,"六本木-夜勤")+COUNTIF('6月'!AW33:AX33,"六本木-夜勤")+COUNTIF('6月'!BB33:BC33,"六本木-夜勤")+COUNTIF('6月'!BG33:BH33,"六本木-夜勤")+COUNTIF('6月'!BL33:BM33,"六本木-夜勤")+COUNTIF('6月'!BQ33:BR33,"六本木-夜勤")+COUNTIF('6月'!BV33:BW33,"六本木-夜勤")+COUNTIF('6月'!CA33:CB33,"六本木-夜勤")+COUNTIF('6月'!CF33:CG33,"六本木-夜勤")+COUNTIF('6月'!CK33:CL33,"六本木-夜勤")+COUNTIF('6月'!CP33:CQ33,"六本木-夜勤")+COUNTIF('6月'!CU33:CV33,"六本木-夜勤")+COUNTIF('6月'!CZ33:DA33,"六本木-夜勤")+COUNTIF('6月'!DE33:DF33,"六本木-夜勤")+COUNTIF('6月'!DJ33:DK33,"六本木-夜勤")+COUNTIF('6月'!DO33:DP33,"六本木-夜勤")+COUNTIF('6月'!DT33:DU33,"六本木-夜勤")+COUNTIF('6月'!DY33:DZ33,"六本木-夜勤")+COUNTIF('6月'!ED33:EE33,"六本木-夜勤")+COUNTIF('6月'!EI33:EJ33,"六本木-夜勤")+COUNTIF('6月'!EN33:EO33,"六本木-夜勤")+COUNTIF('6月'!ES33:ET33,"六本木-夜勤")+COUNTIF('6月'!D33:E33,"六本木ー夜勤")+COUNTIF('6月'!I33:J33,"六本木ー夜勤")+COUNTIF('6月'!N33:O33,"六本木ー夜勤")+COUNTIF('6月'!S33:T33,"六本木ー夜勤")+COUNTIF('6月'!X33:Y33,"六本木ー夜勤")+COUNTIF('6月'!AC33:AD33,"六本木ー夜勤")+COUNTIF('6月'!AH33:AI33,"六本木ー夜勤")+COUNTIF('6月'!AM33:AN33,"六本木ー夜勤")+COUNTIF('6月'!AR33:AS33,"六本木ー夜勤")+COUNTIF('6月'!AW33:AX33,"六本木ー夜勤")+COUNTIF('6月'!BB33:BC33,"六本木ー夜勤")+COUNTIF('6月'!BG33:BH33,"六本木ー夜勤")+COUNTIF('6月'!BL33:BM33,"六本木ー夜勤")+COUNTIF('6月'!BQ33:BR33,"六本木ー夜勤")+COUNTIF('6月'!BV33:BW33,"六本木ー夜勤")+COUNTIF('6月'!CA33:CB33,"六本木ー夜勤")+COUNTIF('6月'!CF33:CG33,"六本木ー夜勤")+COUNTIF('6月'!CK33:CL33,"六本木ー夜勤")+COUNTIF('6月'!CP33:CQ33,"六本木ー夜勤")+COUNTIF('6月'!CU33:CV33,"六本木ー夜勤")+COUNTIF('6月'!CZ33:DA33,"六本木ー夜勤")+COUNTIF('6月'!DE33:DF33,"六本木ー夜勤")+COUNTIF('6月'!DJ33:DK33,"六本木ー夜勤")+COUNTIF('6月'!DO33:DP33,"六本木ー夜勤")+COUNTIF('6月'!DT33:DU33,"六本木ー夜勤")+COUNTIF('6月'!DY33:DZ33,"六本木ー夜勤")+COUNTIF('6月'!ED33:EE33,"六本木ー夜勤")+COUNTIF('6月'!EI33:EJ33,"六本木ー夜勤")+COUNTIF('6月'!EN33:EO33,"六本木ー夜勤")+COUNTIF('6月'!ES33:ET33,"六本木ー夜勤")</f>
        <v>0</v>
      </c>
      <c r="K220" s="76">
        <f t="shared" si="64"/>
        <v>0</v>
      </c>
      <c r="L220" s="76">
        <f>COUNTIF('6月'!D33:E33,L$189)+COUNTIF('6月'!I33:J33,L$189)+COUNTIF('6月'!N33:O33,L$189)+COUNTIF('6月'!S33:T33,L$189)+COUNTIF('6月'!X33:Y33,L$189)+COUNTIF('6月'!AC33:AD33,L$189)+COUNTIF('6月'!AH33:AI33,L$189)+COUNTIF('6月'!AM33:AN33,L$189)+COUNTIF('6月'!AR33:AS33,L$189)+COUNTIF('6月'!AW33:AX33,L$189)+COUNTIF('6月'!BB33:BC33,L$189)+COUNTIF('6月'!BG33:BH33,L$189)+COUNTIF('6月'!BL33:BM33,L$189)+COUNTIF('6月'!BQ33:BR33,L$189)+COUNTIF('6月'!BV33:BW33,L$189)+COUNTIF('6月'!CA33:CB33,L$189)+COUNTIF('6月'!CF33:CG33,L$189)+COUNTIF('6月'!CK33:CL33,L$189)+COUNTIF('6月'!CP33:CQ33,L$189)+COUNTIF('6月'!CU33:CV33,L$189)+COUNTIF('6月'!CZ33:DA33,L$189)+COUNTIF('6月'!DE33:DF33,L$189)+COUNTIF('6月'!DJ33:DK33,L$189)+COUNTIF('6月'!DO33:DP33,L$189)+COUNTIF('6月'!DT33:DU33,L$189)+COUNTIF('6月'!DY33:DZ33,L$189)+COUNTIF('6月'!ED33:EE33,L$189)+COUNTIF('6月'!EI33:EJ33,L$189)+COUNTIF('6月'!EN33:EO33,L$189)+COUNTIF('6月'!ES33:ET33,L$189)</f>
        <v>0</v>
      </c>
      <c r="M220" s="76">
        <f t="shared" si="65"/>
        <v>0</v>
      </c>
      <c r="N220" s="76">
        <f>COUNTIF('6月'!D33:E33,N$189)+COUNTIF('6月'!I33:J33,N$189)+COUNTIF('6月'!N33:O33,N$189)+COUNTIF('6月'!S33:T33,N$189)+COUNTIF('6月'!X33:Y33,N$189)+COUNTIF('6月'!AC33:AD33,N$189)+COUNTIF('6月'!AH33:AI33,N$189)+COUNTIF('6月'!AM33:AN33,N$189)+COUNTIF('6月'!AR33:AS33,N$189)+COUNTIF('6月'!AW33:AX33,N$189)+COUNTIF('6月'!BB33:BC33,N$189)+COUNTIF('6月'!BG33:BH33,N$189)+COUNTIF('6月'!BL33:BM33,N$189)+COUNTIF('6月'!BQ33:BR33,N$189)+COUNTIF('6月'!BV33:BW33,N$189)+COUNTIF('6月'!CA33:CB33,N$189)+COUNTIF('6月'!CF33:CG33,N$189)+COUNTIF('6月'!CK33:CL33,N$189)+COUNTIF('6月'!CP33:CQ33,N$189)+COUNTIF('6月'!CU33:CV33,N$189)+COUNTIF('6月'!CZ33:DA33,N$189)+COUNTIF('6月'!DE33:DF33,N$189)+COUNTIF('6月'!DJ33:DK33,N$189)+COUNTIF('6月'!DO33:DP33,N$189)+COUNTIF('6月'!DT33:DU33,N$189)+COUNTIF('6月'!DY33:DZ33,N$189)+COUNTIF('6月'!ED33:EE33,N$189)+COUNTIF('6月'!EI33:EJ33,N$189)+COUNTIF('6月'!EN33:EO33,N$189)+COUNTIF('6月'!ES33:ET33,N$189)+COUNTIF('6月'!D33:E33,"三軒茶屋－夜勤")+COUNTIF('6月'!I33:J33,"三軒茶屋－夜勤")+COUNTIF('6月'!N33:O33,"三軒茶屋－夜勤")+COUNTIF('6月'!S33:T33,"三軒茶屋－夜勤")+COUNTIF('6月'!X33:Y33,"三軒茶屋－夜勤")+COUNTIF('6月'!AC33:AD33,"三軒茶屋－夜勤")+COUNTIF('6月'!AH33:AI33,"三軒茶屋－夜勤")+COUNTIF('6月'!AM33:AN33,"三軒茶屋－夜勤")+COUNTIF('6月'!AR33:AS33,"三軒茶屋－夜勤")+COUNTIF('6月'!AW33:AX33,"三軒茶屋－夜勤")+COUNTIF('6月'!BB33:BC33,"三軒茶屋－夜勤")+COUNTIF('6月'!BG33:BH33,"三軒茶屋－夜勤")+COUNTIF('6月'!BL33:BM33,"三軒茶屋－夜勤")+COUNTIF('6月'!BQ33:BR33,"三軒茶屋－夜勤")+COUNTIF('6月'!BV33:BW33,"三軒茶屋－夜勤")+COUNTIF('6月'!CA33:CB33,"三軒茶屋－夜勤")+COUNTIF('6月'!CF33:CG33,"三軒茶屋－夜勤")+COUNTIF('6月'!CK33:CL33,"三軒茶屋－夜勤")+COUNTIF('6月'!CP33:CQ33,"三軒茶屋－夜勤")+COUNTIF('6月'!CU33:CV33,"三軒茶屋－夜勤")+COUNTIF('6月'!CZ33:DA33,"三軒茶屋－夜勤")+COUNTIF('6月'!DE33:DF33,"三軒茶屋－夜勤")+COUNTIF('6月'!DJ33:DK33,"三軒茶屋－夜勤")+COUNTIF('6月'!DO33:DP33,"三軒茶屋－夜勤")+COUNTIF('6月'!DT33:DU33,"三軒茶屋－夜勤")+COUNTIF('6月'!DY33:DZ33,"三軒茶屋－夜勤")+COUNTIF('6月'!ED33:EE33,"三軒茶屋－夜勤")+COUNTIF('6月'!EI33:EJ33,"三軒茶屋－夜勤")+COUNTIF('6月'!EN33:EO33,"三軒茶屋－夜勤")+COUNTIF('6月'!ES33:ET33,"三軒茶屋－夜勤")</f>
        <v>0</v>
      </c>
      <c r="O220" s="76">
        <f t="shared" si="66"/>
        <v>0</v>
      </c>
      <c r="P220" s="76">
        <f>COUNTIF('6月'!D33:E33,P$189)+COUNTIF('6月'!I33:J33,P$189)+COUNTIF('6月'!N33:O33,P$189)+COUNTIF('6月'!S33:T33,P$189)+COUNTIF('6月'!X33:Y33,P$189)+COUNTIF('6月'!AC33:AD33,P$189)+COUNTIF('6月'!AH33:AI33,P$189)+COUNTIF('6月'!AM33:AN33,P$189)+COUNTIF('6月'!AR33:AS33,P$189)+COUNTIF('6月'!AW33:AX33,P$189)+COUNTIF('6月'!BB33:BC33,P$189)+COUNTIF('6月'!BG33:BH33,P$189)+COUNTIF('6月'!BL33:BM33,P$189)+COUNTIF('6月'!BQ33:BR33,P$189)+COUNTIF('6月'!BV33:BW33,P$189)+COUNTIF('6月'!CA33:CB33,P$189)+COUNTIF('6月'!CF33:CG33,P$189)+COUNTIF('6月'!CK33:CL33,P$189)+COUNTIF('6月'!CP33:CQ33,P$189)+COUNTIF('6月'!CU33:CV33,P$189)+COUNTIF('6月'!CZ33:DA33,P$189)+COUNTIF('6月'!DE33:DF33,P$189)+COUNTIF('6月'!DJ33:DK33,P$189)+COUNTIF('6月'!DO33:DP33,P$189)+COUNTIF('6月'!DT33:DU33,P$189)+COUNTIF('6月'!DY33:DZ33,P$189)+COUNTIF('6月'!ED33:EE33,P$189)+COUNTIF('6月'!EI33:EJ33,P$189)+COUNTIF('6月'!EN33:EO33,P$189)+COUNTIF('6月'!ES33:ET33,P$189)+COUNTIF('6月'!D33:E33,"荻窪ー夜勤")+COUNTIF('6月'!I33:J33,"荻窪ー夜勤")+COUNTIF('6月'!N33:O33,"荻窪ー夜勤")+COUNTIF('6月'!S33:T33,"荻窪ー夜勤")+COUNTIF('6月'!X33:Y33,"荻窪ー夜勤")+COUNTIF('6月'!AC33:AD33,"荻窪ー夜勤")+COUNTIF('6月'!AH33:AI33,"荻窪ー夜勤")+COUNTIF('6月'!AM33:AN33,"荻窪ー夜勤")+COUNTIF('6月'!AR33:AS33,"荻窪ー夜勤")+COUNTIF('6月'!AW33:AX33,"荻窪ー夜勤")+COUNTIF('6月'!BB33:BC33,"荻窪ー夜勤")+COUNTIF('6月'!BG33:BH33,"荻窪ー夜勤")+COUNTIF('6月'!BL33:BM33,"荻窪ー夜勤")+COUNTIF('6月'!BQ33:BR33,"荻窪ー夜勤")+COUNTIF('6月'!BV33:BW33,"荻窪ー夜勤")+COUNTIF('6月'!CA33:CB33,"荻窪ー夜勤")+COUNTIF('6月'!CF33:CG33,"荻窪ー夜勤")+COUNTIF('6月'!CK33:CL33,"荻窪ー夜勤")+COUNTIF('6月'!CP33:CQ33,"荻窪ー夜勤")+COUNTIF('6月'!CU33:CV33,"荻窪ー夜勤")+COUNTIF('6月'!CZ33:DA33,"荻窪ー夜勤")+COUNTIF('6月'!DE33:DF33,"荻窪ー夜勤")+COUNTIF('6月'!DJ33:DK33,"荻窪ー夜勤")+COUNTIF('6月'!DO33:DP33,"荻窪ー夜勤")+COUNTIF('6月'!DT33:DU33,"荻窪ー夜勤")+COUNTIF('6月'!DY33:DZ33,"荻窪ー夜勤")+COUNTIF('6月'!ED33:EE33,"荻窪ー夜勤")+COUNTIF('6月'!EI33:EJ33,"荻窪ー夜勤")+COUNTIF('6月'!EN33:EO33,"荻窪ー夜勤")+COUNTIF('6月'!ES33:ET33,"荻窪ー夜勤")</f>
        <v>0</v>
      </c>
      <c r="Q220" s="76">
        <f t="shared" si="67"/>
        <v>0</v>
      </c>
      <c r="R220" s="76">
        <f>COUNTIF('6月'!D33:E33,R$189)+COUNTIF('6月'!I33:J33,R$189)+COUNTIF('6月'!N33:O33,R$189)+COUNTIF('6月'!S33:T33,R$189)+COUNTIF('6月'!X33:Y33,R$189)+COUNTIF('6月'!AC33:AD33,R$189)+COUNTIF('6月'!AH33:AI33,R$189)+COUNTIF('6月'!AM33:AN33,R$189)+COUNTIF('6月'!AR33:AS33,R$189)+COUNTIF('6月'!AW33:AX33,R$189)+COUNTIF('6月'!BB33:BC33,R$189)+COUNTIF('6月'!BG33:BH33,R$189)+COUNTIF('6月'!BL33:BM33,R$189)+COUNTIF('6月'!BQ33:BR33,R$189)+COUNTIF('6月'!BV33:BW33,R$189)+COUNTIF('6月'!CA33:CB33,R$189)+COUNTIF('6月'!CF33:CG33,R$189)+COUNTIF('6月'!CK33:CL33,R$189)+COUNTIF('6月'!CP33:CQ33,R$189)+COUNTIF('6月'!CU33:CV33,R$189)+COUNTIF('6月'!CZ33:DA33,R$189)+COUNTIF('6月'!DE33:DF33,R$189)+COUNTIF('6月'!DJ33:DK33,R$189)+COUNTIF('6月'!DO33:DP33,R$189)+COUNTIF('6月'!DT33:DU33,R$189)+COUNTIF('6月'!DY33:DZ33,R$189)+COUNTIF('6月'!ED33:EE33,R$189)+COUNTIF('6月'!EI33:EJ33,R$189)+COUNTIF('6月'!EN33:EO33,R$189)+COUNTIF('6月'!ES33:ET33,R$189)</f>
        <v>0</v>
      </c>
      <c r="S220" s="76">
        <f t="shared" si="68"/>
        <v>0</v>
      </c>
      <c r="T220" s="76">
        <f>COUNTIF('6月'!D33:E33,T$189)+COUNTIF('6月'!I33:J33,T$189)+COUNTIF('6月'!N33:O33,T$189)+COUNTIF('6月'!S33:T33,T$189)+COUNTIF('6月'!X33:Y33,T$189)+COUNTIF('6月'!AC33:AD33,T$189)+COUNTIF('6月'!AH33:AI33,T$189)+COUNTIF('6月'!AM33:AN33,T$189)+COUNTIF('6月'!AR33:AS33,T$189)+COUNTIF('6月'!AW33:AX33,T$189)+COUNTIF('6月'!BB33:BC33,T$189)+COUNTIF('6月'!BG33:BH33,T$189)+COUNTIF('6月'!BL33:BM33,T$189)+COUNTIF('6月'!BQ33:BR33,T$189)+COUNTIF('6月'!BV33:BW33,T$189)+COUNTIF('6月'!CA33:CB33,T$189)+COUNTIF('6月'!CF33:CG33,T$189)+COUNTIF('6月'!CK33:CL33,T$189)+COUNTIF('6月'!CP33:CQ33,T$189)+COUNTIF('6月'!CU33:CV33,T$189)+COUNTIF('6月'!CZ33:DA33,T$189)+COUNTIF('6月'!DE33:DF33,T$189)+COUNTIF('6月'!DJ33:DK33,T$189)+COUNTIF('6月'!DO33:DP33,T$189)+COUNTIF('6月'!DT33:DU33,T$189)+COUNTIF('6月'!DY33:DZ33,T$189)+COUNTIF('6月'!ED33:EE33,T$189)+COUNTIF('6月'!EI33:EJ33,T$189)+COUNTIF('6月'!EN33:EO33,T$189)+COUNTIF('6月'!ES33:ET33,T$189)</f>
        <v>0</v>
      </c>
      <c r="U220" s="76">
        <f t="shared" si="69"/>
        <v>0</v>
      </c>
      <c r="V220" s="76">
        <f>COUNTIF('6月'!D33:E33,V$189)+COUNTIF('6月'!I33:J33,V$189)+COUNTIF('6月'!N33:O33,V$189)+COUNTIF('6月'!S33:T33,V$189)+COUNTIF('6月'!X33:Y33,V$189)+COUNTIF('6月'!AC33:AD33,V$189)+COUNTIF('6月'!AH33:AI33,V$189)+COUNTIF('6月'!AM33:AN33,V$189)+COUNTIF('6月'!AR33:AS33,V$189)+COUNTIF('6月'!AW33:AX33,V$189)+COUNTIF('6月'!BB33:BC33,V$189)+COUNTIF('6月'!BG33:BH33,V$189)+COUNTIF('6月'!BL33:BM33,V$189)+COUNTIF('6月'!BQ33:BR33,V$189)+COUNTIF('6月'!BV33:BW33,V$189)+COUNTIF('6月'!CA33:CB33,V$189)+COUNTIF('6月'!CF33:CG33,V$189)+COUNTIF('6月'!CK33:CL33,V$189)+COUNTIF('6月'!CP33:CQ33,V$189)+COUNTIF('6月'!CU33:CV33,V$189)+COUNTIF('6月'!CZ33:DA33,V$189)+COUNTIF('6月'!DE33:DF33,V$189)+COUNTIF('6月'!DJ33:DK33,V$189)+COUNTIF('6月'!DO33:DP33,V$189)+COUNTIF('6月'!DT33:DU33,V$189)+COUNTIF('6月'!DY33:DZ33,V$189)+COUNTIF('6月'!ED33:EE33,V$189)+COUNTIF('6月'!EI33:EJ33,V$189)+COUNTIF('6月'!EN33:EO33,V$189)+COUNTIF('6月'!ES33:ET33,V$189)</f>
        <v>0</v>
      </c>
      <c r="W220" s="76">
        <f t="shared" si="70"/>
        <v>0</v>
      </c>
      <c r="X220" s="76">
        <f>COUNTIF('6月'!D33:E33,X$189)+COUNTIF('6月'!I33:J33,X$189)+COUNTIF('6月'!N33:O33,X$189)+COUNTIF('6月'!S33:T33,X$189)+COUNTIF('6月'!X33:Y33,X$189)+COUNTIF('6月'!AC33:AD33,X$189)+COUNTIF('6月'!AH33:AI33,X$189)+COUNTIF('6月'!AM33:AN33,X$189)+COUNTIF('6月'!AR33:AS33,X$189)+COUNTIF('6月'!AW33:AX33,X$189)+COUNTIF('6月'!BB33:BC33,X$189)+COUNTIF('6月'!BG33:BH33,X$189)+COUNTIF('6月'!BL33:BM33,X$189)+COUNTIF('6月'!BQ33:BR33,X$189)+COUNTIF('6月'!BV33:BW33,X$189)+COUNTIF('6月'!CA33:CB33,X$189)+COUNTIF('6月'!CF33:CG33,X$189)+COUNTIF('6月'!CK33:CL33,X$189)+COUNTIF('6月'!CP33:CQ33,X$189)+COUNTIF('6月'!CU33:CV33,X$189)+COUNTIF('6月'!CZ33:DA33,X$189)+COUNTIF('6月'!DE33:DF33,X$189)+COUNTIF('6月'!DJ33:DK33,X$189)+COUNTIF('6月'!DO33:DP33,X$189)+COUNTIF('6月'!DT33:DU33,X$189)+COUNTIF('6月'!DY33:DZ33,X$189)+COUNTIF('6月'!ED33:EE33,X$189)+COUNTIF('6月'!EI33:EJ33,X$189)+COUNTIF('6月'!EN33:EO33,X$189)+COUNTIF('6月'!ES33:ET33,X$189)</f>
        <v>0</v>
      </c>
      <c r="Y220" s="76">
        <f t="shared" si="71"/>
        <v>0</v>
      </c>
    </row>
    <row r="221" spans="1:25" ht="18" customHeight="1">
      <c r="A221" s="76">
        <v>31</v>
      </c>
      <c r="B221" s="76">
        <f>COUNTIF('6月'!D34:E34,B$189)+COUNTIF('6月'!I34:J34,B$189)+COUNTIF('6月'!N34:O34,B$189)+COUNTIF('6月'!S34:T34,B$189)+COUNTIF('6月'!X34:Y34,B$189)+COUNTIF('6月'!AC34:AD34,B$189)+COUNTIF('6月'!AH34:AI34,B$189)+COUNTIF('6月'!AM34:AN34,B$189)+COUNTIF('6月'!AR34:AS34,B$189)+COUNTIF('6月'!AW34:AX34,B$189)+COUNTIF('6月'!BB34:BC34,B$189)+COUNTIF('6月'!BG34:BH34,B$189)+COUNTIF('6月'!BL34:BM34,B$189)+COUNTIF('6月'!BQ34:BR34,B$189)+COUNTIF('6月'!BV34:BW34,B$189)+COUNTIF('6月'!CA34:CB34,B$189)+COUNTIF('6月'!CF34:CG34,B$189)+COUNTIF('6月'!CK34:CL34,B$189)+COUNTIF('6月'!CP34:CQ34,B$189)+COUNTIF('6月'!CU34:CV34,B$189)+COUNTIF('6月'!CZ34:DA34,B$189)+COUNTIF('6月'!DE34:DF34,B$189)+COUNTIF('6月'!DJ34:DK34,B$189)+COUNTIF('6月'!DO34:DP34,B$189)+COUNTIF('6月'!DT34:DU34,B$189)+COUNTIF('6月'!DY34:DZ34,B$189)+COUNTIF('6月'!ED34:EE34,B$189)+COUNTIF('6月'!EI34:EJ34,B$189)+COUNTIF('6月'!EN34:EO34,B$189)+COUNTIF('6月'!ES34:ET34,B$189)</f>
        <v>0</v>
      </c>
      <c r="C221" s="76">
        <f t="shared" si="60"/>
        <v>0</v>
      </c>
      <c r="D221" s="76">
        <f>COUNTIF('6月'!D34:E34,D$189)+COUNTIF('6月'!I34:J34,D$189)+COUNTIF('6月'!N34:O34,D$189)+COUNTIF('6月'!S34:T34,D$189)+COUNTIF('6月'!X34:Y34,D$189)+COUNTIF('6月'!AC34:AD34,D$189)+COUNTIF('6月'!AH34:AI34,D$189)+COUNTIF('6月'!AM34:AN34,D$189)+COUNTIF('6月'!AR34:AS34,D$189)+COUNTIF('6月'!AW34:AX34,D$189)+COUNTIF('6月'!BB34:BC34,D$189)+COUNTIF('6月'!BG34:BH34,D$189)+COUNTIF('6月'!BL34:BM34,D$189)+COUNTIF('6月'!BQ34:BR34,D$189)+COUNTIF('6月'!BV34:BW34,D$189)+COUNTIF('6月'!CA34:CB34,D$189)+COUNTIF('6月'!CF34:CG34,D$189)+COUNTIF('6月'!CK34:CL34,D$189)+COUNTIF('6月'!CP34:CQ34,D$189)+COUNTIF('6月'!CU34:CV34,D$189)+COUNTIF('6月'!CZ34:DA34,D$189)+COUNTIF('6月'!DE34:DF34,D$189)+COUNTIF('6月'!DJ34:DK34,D$189)+COUNTIF('6月'!DO34:DP34,D$189)+COUNTIF('6月'!DT34:DU34,D$189)+COUNTIF('6月'!DY34:DZ34,D$189)+COUNTIF('6月'!ED34:EE34,D$189)+COUNTIF('6月'!EI34:EJ34,D$189)+COUNTIF('6月'!EN34:EO34,D$189)+COUNTIF('6月'!ES34:ET34,D$189)</f>
        <v>0</v>
      </c>
      <c r="E221" s="76">
        <f t="shared" si="61"/>
        <v>0</v>
      </c>
      <c r="F221" s="76">
        <f>COUNTIF('6月'!D34:E34,F$189)+COUNTIF('6月'!I34:J34,F$189)+COUNTIF('6月'!N34:O34,F$189)+COUNTIF('6月'!S34:T34,F$189)+COUNTIF('6月'!X34:Y34,F$189)+COUNTIF('6月'!AC34:AD34,F$189)+COUNTIF('6月'!AH34:AI34,F$189)+COUNTIF('6月'!AM34:AN34,F$189)+COUNTIF('6月'!AR34:AS34,F$189)+COUNTIF('6月'!AW34:AX34,F$189)+COUNTIF('6月'!BB34:BC34,F$189)+COUNTIF('6月'!BG34:BH34,F$189)+COUNTIF('6月'!BL34:BM34,F$189)+COUNTIF('6月'!BQ34:BR34,F$189)+COUNTIF('6月'!BV34:BW34,F$189)+COUNTIF('6月'!CA34:CB34,F$189)+COUNTIF('6月'!CF34:CG34,F$189)+COUNTIF('6月'!CK34:CL34,F$189)+COUNTIF('6月'!CP34:CQ34,F$189)+COUNTIF('6月'!CU34:CV34,F$189)+COUNTIF('6月'!CZ34:DA34,F$189)+COUNTIF('6月'!DE34:DF34,F$189)+COUNTIF('6月'!DJ34:DK34,F$189)+COUNTIF('6月'!DO34:DP34,F$189)+COUNTIF('6月'!DT34:DU34,F$189)+COUNTIF('6月'!DY34:DZ34,F$189)+COUNTIF('6月'!ED34:EE34,F$189)+COUNTIF('6月'!EI34:EJ34,F$189)+COUNTIF('6月'!EN34:EO34,F$189)+COUNTIF('6月'!ES34:ET34,F$189)</f>
        <v>0</v>
      </c>
      <c r="G221" s="76">
        <f t="shared" si="62"/>
        <v>0</v>
      </c>
      <c r="H221" s="76">
        <f>COUNTIF('6月'!D34:E34,H$189)+COUNTIF('6月'!I34:J34,H$189)+COUNTIF('6月'!N34:O34,H$189)+COUNTIF('6月'!S34:T34,H$189)+COUNTIF('6月'!X34:Y34,H$189)+COUNTIF('6月'!AC34:AD34,H$189)+COUNTIF('6月'!AH34:AI34,H$189)+COUNTIF('6月'!AM34:AN34,H$189)+COUNTIF('6月'!AR34:AS34,H$189)+COUNTIF('6月'!AW34:AX34,H$189)+COUNTIF('6月'!BB34:BC34,H$189)+COUNTIF('6月'!BG34:BH34,H$189)+COUNTIF('6月'!BL34:BM34,H$189)+COUNTIF('6月'!BQ34:BR34,H$189)+COUNTIF('6月'!BV34:BW34,H$189)+COUNTIF('6月'!CA34:CB34,H$189)+COUNTIF('6月'!CF34:CG34,H$189)+COUNTIF('6月'!CK34:CL34,H$189)+COUNTIF('6月'!CP34:CQ34,H$189)+COUNTIF('6月'!CU34:CV34,H$189)+COUNTIF('6月'!CZ34:DA34,H$189)+COUNTIF('6月'!DE34:DF34,H$189)+COUNTIF('6月'!DJ34:DK34,H$189)+COUNTIF('6月'!DO34:DP34,H$189)+COUNTIF('6月'!DT34:DU34,H$189)+COUNTIF('6月'!DY34:DZ34,H$189)+COUNTIF('6月'!ED34:EE34,H$189)+COUNTIF('6月'!EI34:EJ34,H$189)+COUNTIF('6月'!EN34:EO34,H$189)+COUNTIF('6月'!ES34:ET34,H$189)+COUNTIF('6月'!D34:E34,"渋谷-夜勤")+COUNTIF('6月'!I34:J34,"渋谷-夜勤")+COUNTIF('6月'!N34:O34,"渋谷-夜勤")+COUNTIF('6月'!S34:T34,"渋谷-夜勤")+COUNTIF('6月'!X34:Y34,"渋谷-夜勤")+COUNTIF('6月'!AC34:AD34,"渋谷-夜勤")+COUNTIF('6月'!AH34:AI34,"渋谷-夜勤")+COUNTIF('6月'!AM34:AN34,"渋谷-夜勤")+COUNTIF('6月'!AR34:AS34,"渋谷-夜勤")+COUNTIF('6月'!AW34:AX34,"渋谷-夜勤")+COUNTIF('6月'!BB34:BC34,"渋谷-夜勤")+COUNTIF('6月'!BG34:BH34,"渋谷-夜勤")+COUNTIF('6月'!BL34:BM34,"渋谷-夜勤")+COUNTIF('6月'!BQ34:BR34,"渋谷-夜勤")+COUNTIF('6月'!BV34:BW34,"渋谷-夜勤")+COUNTIF('6月'!CA34:CB34,"渋谷-夜勤")+COUNTIF('6月'!CF34:CG34,"渋谷-夜勤")+COUNTIF('6月'!CK34:CL34,"渋谷-夜勤")+COUNTIF('6月'!CP34:CQ34,"渋谷-夜勤")+COUNTIF('6月'!CU34:CV34,"渋谷-夜勤")+COUNTIF('6月'!CZ34:DA34,"渋谷-夜勤")+COUNTIF('6月'!DE34:DF34,"渋谷-夜勤")+COUNTIF('6月'!DJ34:DK34,"渋谷-夜勤")+COUNTIF('6月'!DO34:DP34,"渋谷-夜勤")+COUNTIF('6月'!DT34:DU34,"渋谷-夜勤")+COUNTIF('6月'!DY34:DZ34,"渋谷-夜勤")+COUNTIF('6月'!ED34:EE34,"渋谷-夜勤")+COUNTIF('6月'!EI34:EJ34,"渋谷-夜勤")+COUNTIF('6月'!EN34:EO34,"渋谷-夜勤")+COUNTIF('6月'!ES34:ET34,"渋谷-夜勤")</f>
        <v>0</v>
      </c>
      <c r="I221" s="76">
        <f t="shared" si="63"/>
        <v>0</v>
      </c>
      <c r="J221" s="76">
        <f>COUNTIF('6月'!D34:E34,J$189)+COUNTIF('6月'!I34:J34,J$189)+COUNTIF('6月'!N34:O34,J$189)+COUNTIF('6月'!S34:T34,J$189)+COUNTIF('6月'!X34:Y34,J$189)+COUNTIF('6月'!AC34:AD34,J$189)+COUNTIF('6月'!AH34:AI34,J$189)+COUNTIF('6月'!AM34:AN34,J$189)+COUNTIF('6月'!AR34:AS34,J$189)+COUNTIF('6月'!AW34:AX34,J$189)+COUNTIF('6月'!BB34:BC34,J$189)+COUNTIF('6月'!BG34:BH34,J$189)+COUNTIF('6月'!BL34:BM34,J$189)+COUNTIF('6月'!BQ34:BR34,J$189)+COUNTIF('6月'!BV34:BW34,J$189)+COUNTIF('6月'!CA34:CB34,J$189)+COUNTIF('6月'!CF34:CG34,J$189)+COUNTIF('6月'!CK34:CL34,J$189)+COUNTIF('6月'!CP34:CQ34,J$189)+COUNTIF('6月'!CU34:CV34,J$189)+COUNTIF('6月'!CZ34:DA34,J$189)+COUNTIF('6月'!DE34:DF34,J$189)+COUNTIF('6月'!DJ34:DK34,J$189)+COUNTIF('6月'!DO34:DP34,J$189)+COUNTIF('6月'!DT34:DU34,J$189)+COUNTIF('6月'!DY34:DZ34,J$189)+COUNTIF('6月'!ED34:EE34,J$189)+COUNTIF('6月'!EI34:EJ34,J$189)+COUNTIF('6月'!EN34:EO34,J$189)+COUNTIF('6月'!ES34:ET34,J$189)+COUNTIF('6月'!D34:E34,"六本木-夜勤")+COUNTIF('6月'!I34:J34,"六本木-夜勤")+COUNTIF('6月'!N34:O34,"六本木-夜勤")+COUNTIF('6月'!S34:T34,"六本木-夜勤")+COUNTIF('6月'!X34:Y34,"六本木-夜勤")+COUNTIF('6月'!AC34:AD34,"六本木-夜勤")+COUNTIF('6月'!AH34:AI34,"六本木-夜勤")+COUNTIF('6月'!AM34:AN34,"六本木-夜勤")+COUNTIF('6月'!AR34:AS34,"六本木-夜勤")+COUNTIF('6月'!AW34:AX34,"六本木-夜勤")+COUNTIF('6月'!BB34:BC34,"六本木-夜勤")+COUNTIF('6月'!BG34:BH34,"六本木-夜勤")+COUNTIF('6月'!BL34:BM34,"六本木-夜勤")+COUNTIF('6月'!BQ34:BR34,"六本木-夜勤")+COUNTIF('6月'!BV34:BW34,"六本木-夜勤")+COUNTIF('6月'!CA34:CB34,"六本木-夜勤")+COUNTIF('6月'!CF34:CG34,"六本木-夜勤")+COUNTIF('6月'!CK34:CL34,"六本木-夜勤")+COUNTIF('6月'!CP34:CQ34,"六本木-夜勤")+COUNTIF('6月'!CU34:CV34,"六本木-夜勤")+COUNTIF('6月'!CZ34:DA34,"六本木-夜勤")+COUNTIF('6月'!DE34:DF34,"六本木-夜勤")+COUNTIF('6月'!DJ34:DK34,"六本木-夜勤")+COUNTIF('6月'!DO34:DP34,"六本木-夜勤")+COUNTIF('6月'!DT34:DU34,"六本木-夜勤")+COUNTIF('6月'!DY34:DZ34,"六本木-夜勤")+COUNTIF('6月'!ED34:EE34,"六本木-夜勤")+COUNTIF('6月'!EI34:EJ34,"六本木-夜勤")+COUNTIF('6月'!EN34:EO34,"六本木-夜勤")+COUNTIF('6月'!ES34:ET34,"六本木-夜勤")+COUNTIF('6月'!D34:E34,"六本木ー夜勤")+COUNTIF('6月'!I34:J34,"六本木ー夜勤")+COUNTIF('6月'!N34:O34,"六本木ー夜勤")+COUNTIF('6月'!S34:T34,"六本木ー夜勤")+COUNTIF('6月'!X34:Y34,"六本木ー夜勤")+COUNTIF('6月'!AC34:AD34,"六本木ー夜勤")+COUNTIF('6月'!AH34:AI34,"六本木ー夜勤")+COUNTIF('6月'!AM34:AN34,"六本木ー夜勤")+COUNTIF('6月'!AR34:AS34,"六本木ー夜勤")+COUNTIF('6月'!AW34:AX34,"六本木ー夜勤")+COUNTIF('6月'!BB34:BC34,"六本木ー夜勤")+COUNTIF('6月'!BG34:BH34,"六本木ー夜勤")+COUNTIF('6月'!BL34:BM34,"六本木ー夜勤")+COUNTIF('6月'!BQ34:BR34,"六本木ー夜勤")+COUNTIF('6月'!BV34:BW34,"六本木ー夜勤")+COUNTIF('6月'!CA34:CB34,"六本木ー夜勤")+COUNTIF('6月'!CF34:CG34,"六本木ー夜勤")+COUNTIF('6月'!CK34:CL34,"六本木ー夜勤")+COUNTIF('6月'!CP34:CQ34,"六本木ー夜勤")+COUNTIF('6月'!CU34:CV34,"六本木ー夜勤")+COUNTIF('6月'!CZ34:DA34,"六本木ー夜勤")+COUNTIF('6月'!DE34:DF34,"六本木ー夜勤")+COUNTIF('6月'!DJ34:DK34,"六本木ー夜勤")+COUNTIF('6月'!DO34:DP34,"六本木ー夜勤")+COUNTIF('6月'!DT34:DU34,"六本木ー夜勤")+COUNTIF('6月'!DY34:DZ34,"六本木ー夜勤")+COUNTIF('6月'!ED34:EE34,"六本木ー夜勤")+COUNTIF('6月'!EI34:EJ34,"六本木ー夜勤")+COUNTIF('6月'!EN34:EO34,"六本木ー夜勤")+COUNTIF('6月'!ES34:ET34,"六本木ー夜勤")</f>
        <v>0</v>
      </c>
      <c r="K221" s="76">
        <f t="shared" si="64"/>
        <v>0</v>
      </c>
      <c r="L221" s="76">
        <f>COUNTIF('6月'!D34:E34,L$189)+COUNTIF('6月'!I34:J34,L$189)+COUNTIF('6月'!N34:O34,L$189)+COUNTIF('6月'!S34:T34,L$189)+COUNTIF('6月'!X34:Y34,L$189)+COUNTIF('6月'!AC34:AD34,L$189)+COUNTIF('6月'!AH34:AI34,L$189)+COUNTIF('6月'!AM34:AN34,L$189)+COUNTIF('6月'!AR34:AS34,L$189)+COUNTIF('6月'!AW34:AX34,L$189)+COUNTIF('6月'!BB34:BC34,L$189)+COUNTIF('6月'!BG34:BH34,L$189)+COUNTIF('6月'!BL34:BM34,L$189)+COUNTIF('6月'!BQ34:BR34,L$189)+COUNTIF('6月'!BV34:BW34,L$189)+COUNTIF('6月'!CA34:CB34,L$189)+COUNTIF('6月'!CF34:CG34,L$189)+COUNTIF('6月'!CK34:CL34,L$189)+COUNTIF('6月'!CP34:CQ34,L$189)+COUNTIF('6月'!CU34:CV34,L$189)+COUNTIF('6月'!CZ34:DA34,L$189)+COUNTIF('6月'!DE34:DF34,L$189)+COUNTIF('6月'!DJ34:DK34,L$189)+COUNTIF('6月'!DO34:DP34,L$189)+COUNTIF('6月'!DT34:DU34,L$189)+COUNTIF('6月'!DY34:DZ34,L$189)+COUNTIF('6月'!ED34:EE34,L$189)+COUNTIF('6月'!EI34:EJ34,L$189)+COUNTIF('6月'!EN34:EO34,L$189)+COUNTIF('6月'!ES34:ET34,L$189)</f>
        <v>0</v>
      </c>
      <c r="M221" s="76">
        <f t="shared" si="65"/>
        <v>0</v>
      </c>
      <c r="N221" s="76">
        <f>COUNTIF('6月'!D34:E34,N$189)+COUNTIF('6月'!I34:J34,N$189)+COUNTIF('6月'!N34:O34,N$189)+COUNTIF('6月'!S34:T34,N$189)+COUNTIF('6月'!X34:Y34,N$189)+COUNTIF('6月'!AC34:AD34,N$189)+COUNTIF('6月'!AH34:AI34,N$189)+COUNTIF('6月'!AM34:AN34,N$189)+COUNTIF('6月'!AR34:AS34,N$189)+COUNTIF('6月'!AW34:AX34,N$189)+COUNTIF('6月'!BB34:BC34,N$189)+COUNTIF('6月'!BG34:BH34,N$189)+COUNTIF('6月'!BL34:BM34,N$189)+COUNTIF('6月'!BQ34:BR34,N$189)+COUNTIF('6月'!BV34:BW34,N$189)+COUNTIF('6月'!CA34:CB34,N$189)+COUNTIF('6月'!CF34:CG34,N$189)+COUNTIF('6月'!CK34:CL34,N$189)+COUNTIF('6月'!CP34:CQ34,N$189)+COUNTIF('6月'!CU34:CV34,N$189)+COUNTIF('6月'!CZ34:DA34,N$189)+COUNTIF('6月'!DE34:DF34,N$189)+COUNTIF('6月'!DJ34:DK34,N$189)+COUNTIF('6月'!DO34:DP34,N$189)+COUNTIF('6月'!DT34:DU34,N$189)+COUNTIF('6月'!DY34:DZ34,N$189)+COUNTIF('6月'!ED34:EE34,N$189)+COUNTIF('6月'!EI34:EJ34,N$189)+COUNTIF('6月'!EN34:EO34,N$189)+COUNTIF('6月'!ES34:ET34,N$189)+COUNTIF('6月'!D34:E34,"三軒茶屋－夜勤")+COUNTIF('6月'!I34:J34,"三軒茶屋－夜勤")+COUNTIF('6月'!N34:O34,"三軒茶屋－夜勤")+COUNTIF('6月'!S34:T34,"三軒茶屋－夜勤")+COUNTIF('6月'!X34:Y34,"三軒茶屋－夜勤")+COUNTIF('6月'!AC34:AD34,"三軒茶屋－夜勤")+COUNTIF('6月'!AH34:AI34,"三軒茶屋－夜勤")+COUNTIF('6月'!AM34:AN34,"三軒茶屋－夜勤")+COUNTIF('6月'!AR34:AS34,"三軒茶屋－夜勤")+COUNTIF('6月'!AW34:AX34,"三軒茶屋－夜勤")+COUNTIF('6月'!BB34:BC34,"三軒茶屋－夜勤")+COUNTIF('6月'!BG34:BH34,"三軒茶屋－夜勤")+COUNTIF('6月'!BL34:BM34,"三軒茶屋－夜勤")+COUNTIF('6月'!BQ34:BR34,"三軒茶屋－夜勤")+COUNTIF('6月'!BV34:BW34,"三軒茶屋－夜勤")+COUNTIF('6月'!CA34:CB34,"三軒茶屋－夜勤")+COUNTIF('6月'!CF34:CG34,"三軒茶屋－夜勤")+COUNTIF('6月'!CK34:CL34,"三軒茶屋－夜勤")+COUNTIF('6月'!CP34:CQ34,"三軒茶屋－夜勤")+COUNTIF('6月'!CU34:CV34,"三軒茶屋－夜勤")+COUNTIF('6月'!CZ34:DA34,"三軒茶屋－夜勤")+COUNTIF('6月'!DE34:DF34,"三軒茶屋－夜勤")+COUNTIF('6月'!DJ34:DK34,"三軒茶屋－夜勤")+COUNTIF('6月'!DO34:DP34,"三軒茶屋－夜勤")+COUNTIF('6月'!DT34:DU34,"三軒茶屋－夜勤")+COUNTIF('6月'!DY34:DZ34,"三軒茶屋－夜勤")+COUNTIF('6月'!ED34:EE34,"三軒茶屋－夜勤")+COUNTIF('6月'!EI34:EJ34,"三軒茶屋－夜勤")+COUNTIF('6月'!EN34:EO34,"三軒茶屋－夜勤")+COUNTIF('6月'!ES34:ET34,"三軒茶屋－夜勤")</f>
        <v>0</v>
      </c>
      <c r="O221" s="76">
        <f t="shared" si="66"/>
        <v>0</v>
      </c>
      <c r="P221" s="76">
        <f>COUNTIF('6月'!D34:E34,P$189)+COUNTIF('6月'!I34:J34,P$189)+COUNTIF('6月'!N34:O34,P$189)+COUNTIF('6月'!S34:T34,P$189)+COUNTIF('6月'!X34:Y34,P$189)+COUNTIF('6月'!AC34:AD34,P$189)+COUNTIF('6月'!AH34:AI34,P$189)+COUNTIF('6月'!AM34:AN34,P$189)+COUNTIF('6月'!AR34:AS34,P$189)+COUNTIF('6月'!AW34:AX34,P$189)+COUNTIF('6月'!BB34:BC34,P$189)+COUNTIF('6月'!BG34:BH34,P$189)+COUNTIF('6月'!BL34:BM34,P$189)+COUNTIF('6月'!BQ34:BR34,P$189)+COUNTIF('6月'!BV34:BW34,P$189)+COUNTIF('6月'!CA34:CB34,P$189)+COUNTIF('6月'!CF34:CG34,P$189)+COUNTIF('6月'!CK34:CL34,P$189)+COUNTIF('6月'!CP34:CQ34,P$189)+COUNTIF('6月'!CU34:CV34,P$189)+COUNTIF('6月'!CZ34:DA34,P$189)+COUNTIF('6月'!DE34:DF34,P$189)+COUNTIF('6月'!DJ34:DK34,P$189)+COUNTIF('6月'!DO34:DP34,P$189)+COUNTIF('6月'!DT34:DU34,P$189)+COUNTIF('6月'!DY34:DZ34,P$189)+COUNTIF('6月'!ED34:EE34,P$189)+COUNTIF('6月'!EI34:EJ34,P$189)+COUNTIF('6月'!EN34:EO34,P$189)+COUNTIF('6月'!ES34:ET34,P$189)+COUNTIF('6月'!D34:E34,"荻窪ー夜勤")+COUNTIF('6月'!I34:J34,"荻窪ー夜勤")+COUNTIF('6月'!N34:O34,"荻窪ー夜勤")+COUNTIF('6月'!S34:T34,"荻窪ー夜勤")+COUNTIF('6月'!X34:Y34,"荻窪ー夜勤")+COUNTIF('6月'!AC34:AD34,"荻窪ー夜勤")+COUNTIF('6月'!AH34:AI34,"荻窪ー夜勤")+COUNTIF('6月'!AM34:AN34,"荻窪ー夜勤")+COUNTIF('6月'!AR34:AS34,"荻窪ー夜勤")+COUNTIF('6月'!AW34:AX34,"荻窪ー夜勤")+COUNTIF('6月'!BB34:BC34,"荻窪ー夜勤")+COUNTIF('6月'!BG34:BH34,"荻窪ー夜勤")+COUNTIF('6月'!BL34:BM34,"荻窪ー夜勤")+COUNTIF('6月'!BQ34:BR34,"荻窪ー夜勤")+COUNTIF('6月'!BV34:BW34,"荻窪ー夜勤")+COUNTIF('6月'!CA34:CB34,"荻窪ー夜勤")+COUNTIF('6月'!CF34:CG34,"荻窪ー夜勤")+COUNTIF('6月'!CK34:CL34,"荻窪ー夜勤")+COUNTIF('6月'!CP34:CQ34,"荻窪ー夜勤")+COUNTIF('6月'!CU34:CV34,"荻窪ー夜勤")+COUNTIF('6月'!CZ34:DA34,"荻窪ー夜勤")+COUNTIF('6月'!DE34:DF34,"荻窪ー夜勤")+COUNTIF('6月'!DJ34:DK34,"荻窪ー夜勤")+COUNTIF('6月'!DO34:DP34,"荻窪ー夜勤")+COUNTIF('6月'!DT34:DU34,"荻窪ー夜勤")+COUNTIF('6月'!DY34:DZ34,"荻窪ー夜勤")+COUNTIF('6月'!ED34:EE34,"荻窪ー夜勤")+COUNTIF('6月'!EI34:EJ34,"荻窪ー夜勤")+COUNTIF('6月'!EN34:EO34,"荻窪ー夜勤")+COUNTIF('6月'!ES34:ET34,"荻窪ー夜勤")</f>
        <v>0</v>
      </c>
      <c r="Q221" s="76">
        <f t="shared" si="67"/>
        <v>0</v>
      </c>
      <c r="R221" s="76">
        <f>COUNTIF('6月'!D34:E34,R$189)+COUNTIF('6月'!I34:J34,R$189)+COUNTIF('6月'!N34:O34,R$189)+COUNTIF('6月'!S34:T34,R$189)+COUNTIF('6月'!X34:Y34,R$189)+COUNTIF('6月'!AC34:AD34,R$189)+COUNTIF('6月'!AH34:AI34,R$189)+COUNTIF('6月'!AM34:AN34,R$189)+COUNTIF('6月'!AR34:AS34,R$189)+COUNTIF('6月'!AW34:AX34,R$189)+COUNTIF('6月'!BB34:BC34,R$189)+COUNTIF('6月'!BG34:BH34,R$189)+COUNTIF('6月'!BL34:BM34,R$189)+COUNTIF('6月'!BQ34:BR34,R$189)+COUNTIF('6月'!BV34:BW34,R$189)+COUNTIF('6月'!CA34:CB34,R$189)+COUNTIF('6月'!CF34:CG34,R$189)+COUNTIF('6月'!CK34:CL34,R$189)+COUNTIF('6月'!CP34:CQ34,R$189)+COUNTIF('6月'!CU34:CV34,R$189)+COUNTIF('6月'!CZ34:DA34,R$189)+COUNTIF('6月'!DE34:DF34,R$189)+COUNTIF('6月'!DJ34:DK34,R$189)+COUNTIF('6月'!DO34:DP34,R$189)+COUNTIF('6月'!DT34:DU34,R$189)+COUNTIF('6月'!DY34:DZ34,R$189)+COUNTIF('6月'!ED34:EE34,R$189)+COUNTIF('6月'!EI34:EJ34,R$189)+COUNTIF('6月'!EN34:EO34,R$189)+COUNTIF('6月'!ES34:ET34,R$189)</f>
        <v>0</v>
      </c>
      <c r="S221" s="76">
        <f t="shared" si="68"/>
        <v>0</v>
      </c>
      <c r="T221" s="76">
        <f>COUNTIF('6月'!D34:E34,T$189)+COUNTIF('6月'!I34:J34,T$189)+COUNTIF('6月'!N34:O34,T$189)+COUNTIF('6月'!S34:T34,T$189)+COUNTIF('6月'!X34:Y34,T$189)+COUNTIF('6月'!AC34:AD34,T$189)+COUNTIF('6月'!AH34:AI34,T$189)+COUNTIF('6月'!AM34:AN34,T$189)+COUNTIF('6月'!AR34:AS34,T$189)+COUNTIF('6月'!AW34:AX34,T$189)+COUNTIF('6月'!BB34:BC34,T$189)+COUNTIF('6月'!BG34:BH34,T$189)+COUNTIF('6月'!BL34:BM34,T$189)+COUNTIF('6月'!BQ34:BR34,T$189)+COUNTIF('6月'!BV34:BW34,T$189)+COUNTIF('6月'!CA34:CB34,T$189)+COUNTIF('6月'!CF34:CG34,T$189)+COUNTIF('6月'!CK34:CL34,T$189)+COUNTIF('6月'!CP34:CQ34,T$189)+COUNTIF('6月'!CU34:CV34,T$189)+COUNTIF('6月'!CZ34:DA34,T$189)+COUNTIF('6月'!DE34:DF34,T$189)+COUNTIF('6月'!DJ34:DK34,T$189)+COUNTIF('6月'!DO34:DP34,T$189)+COUNTIF('6月'!DT34:DU34,T$189)+COUNTIF('6月'!DY34:DZ34,T$189)+COUNTIF('6月'!ED34:EE34,T$189)+COUNTIF('6月'!EI34:EJ34,T$189)+COUNTIF('6月'!EN34:EO34,T$189)+COUNTIF('6月'!ES34:ET34,T$189)</f>
        <v>0</v>
      </c>
      <c r="U221" s="76">
        <f t="shared" si="69"/>
        <v>0</v>
      </c>
      <c r="V221" s="76">
        <f>COUNTIF('6月'!D34:E34,V$189)+COUNTIF('6月'!I34:J34,V$189)+COUNTIF('6月'!N34:O34,V$189)+COUNTIF('6月'!S34:T34,V$189)+COUNTIF('6月'!X34:Y34,V$189)+COUNTIF('6月'!AC34:AD34,V$189)+COUNTIF('6月'!AH34:AI34,V$189)+COUNTIF('6月'!AM34:AN34,V$189)+COUNTIF('6月'!AR34:AS34,V$189)+COUNTIF('6月'!AW34:AX34,V$189)+COUNTIF('6月'!BB34:BC34,V$189)+COUNTIF('6月'!BG34:BH34,V$189)+COUNTIF('6月'!BL34:BM34,V$189)+COUNTIF('6月'!BQ34:BR34,V$189)+COUNTIF('6月'!BV34:BW34,V$189)+COUNTIF('6月'!CA34:CB34,V$189)+COUNTIF('6月'!CF34:CG34,V$189)+COUNTIF('6月'!CK34:CL34,V$189)+COUNTIF('6月'!CP34:CQ34,V$189)+COUNTIF('6月'!CU34:CV34,V$189)+COUNTIF('6月'!CZ34:DA34,V$189)+COUNTIF('6月'!DE34:DF34,V$189)+COUNTIF('6月'!DJ34:DK34,V$189)+COUNTIF('6月'!DO34:DP34,V$189)+COUNTIF('6月'!DT34:DU34,V$189)+COUNTIF('6月'!DY34:DZ34,V$189)+COUNTIF('6月'!ED34:EE34,V$189)+COUNTIF('6月'!EI34:EJ34,V$189)+COUNTIF('6月'!EN34:EO34,V$189)+COUNTIF('6月'!ES34:ET34,V$189)</f>
        <v>0</v>
      </c>
      <c r="W221" s="76">
        <f t="shared" si="70"/>
        <v>0</v>
      </c>
      <c r="X221" s="76">
        <f>COUNTIF('6月'!D34:E34,X$189)+COUNTIF('6月'!I34:J34,X$189)+COUNTIF('6月'!N34:O34,X$189)+COUNTIF('6月'!S34:T34,X$189)+COUNTIF('6月'!X34:Y34,X$189)+COUNTIF('6月'!AC34:AD34,X$189)+COUNTIF('6月'!AH34:AI34,X$189)+COUNTIF('6月'!AM34:AN34,X$189)+COUNTIF('6月'!AR34:AS34,X$189)+COUNTIF('6月'!AW34:AX34,X$189)+COUNTIF('6月'!BB34:BC34,X$189)+COUNTIF('6月'!BG34:BH34,X$189)+COUNTIF('6月'!BL34:BM34,X$189)+COUNTIF('6月'!BQ34:BR34,X$189)+COUNTIF('6月'!BV34:BW34,X$189)+COUNTIF('6月'!CA34:CB34,X$189)+COUNTIF('6月'!CF34:CG34,X$189)+COUNTIF('6月'!CK34:CL34,X$189)+COUNTIF('6月'!CP34:CQ34,X$189)+COUNTIF('6月'!CU34:CV34,X$189)+COUNTIF('6月'!CZ34:DA34,X$189)+COUNTIF('6月'!DE34:DF34,X$189)+COUNTIF('6月'!DJ34:DK34,X$189)+COUNTIF('6月'!DO34:DP34,X$189)+COUNTIF('6月'!DT34:DU34,X$189)+COUNTIF('6月'!DY34:DZ34,X$189)+COUNTIF('6月'!ED34:EE34,X$189)+COUNTIF('6月'!EI34:EJ34,X$189)+COUNTIF('6月'!EN34:EO34,X$189)+COUNTIF('6月'!ES34:ET34,X$189)</f>
        <v>0</v>
      </c>
      <c r="Y221" s="76">
        <f t="shared" si="71"/>
        <v>0</v>
      </c>
    </row>
    <row r="222" spans="1:25" ht="21.95" customHeight="1">
      <c r="A222" s="65" t="s">
        <v>116</v>
      </c>
      <c r="B222" s="65">
        <f>SUM(B191:B221)</f>
        <v>0</v>
      </c>
      <c r="C222" s="65"/>
      <c r="D222" s="65">
        <f>SUM(D191:D221)</f>
        <v>0</v>
      </c>
      <c r="E222" s="65"/>
      <c r="F222" s="65">
        <f>SUM(F191:F221)</f>
        <v>0</v>
      </c>
      <c r="G222" s="65"/>
      <c r="H222" s="65">
        <f>SUM(H191:H221)</f>
        <v>0</v>
      </c>
      <c r="I222" s="65"/>
      <c r="J222" s="65">
        <f>SUM(J191:J221)</f>
        <v>0</v>
      </c>
      <c r="K222" s="65"/>
      <c r="L222" s="65">
        <f>SUM(L191:L221)</f>
        <v>0</v>
      </c>
      <c r="M222" s="65"/>
      <c r="N222" s="65">
        <f>SUM(N191:N221)</f>
        <v>0</v>
      </c>
      <c r="O222" s="65"/>
      <c r="P222" s="65">
        <f>SUM(P191:P221)</f>
        <v>0</v>
      </c>
      <c r="Q222" s="65"/>
      <c r="R222" s="65">
        <f>SUM(R191:R221)</f>
        <v>0</v>
      </c>
      <c r="S222" s="65"/>
      <c r="T222" s="65">
        <f>SUM(T191:T221)</f>
        <v>0</v>
      </c>
      <c r="U222" s="65"/>
      <c r="V222" s="65">
        <f>SUM(V191:V221)</f>
        <v>0</v>
      </c>
      <c r="W222" s="65"/>
      <c r="X222" s="65">
        <f>SUM(X191:X221)</f>
        <v>0</v>
      </c>
      <c r="Y222" s="65"/>
    </row>
    <row r="223" spans="1:25" ht="21.95" customHeight="1">
      <c r="A223" s="65" t="s">
        <v>117</v>
      </c>
      <c r="B223" s="65">
        <f>SUM('6月'!H4:H34)+SUM('6月'!M4:M34)+SUM('6月'!R4:R34)+SUM('6月'!W4:W34)+SUM('6月'!AB4:AB34)+SUM('6月'!AG4:AG34)+SUM('6月'!AL4:AL34)+SUM('6月'!AQ4:AQ34)+SUM('6月'!AV4:AV34)+SUM('6月'!BA4:BA34)+SUM('6月'!BF4:BF34)+SUM('6月'!BK4:BK34)+SUM('6月'!BP4:BP34)+SUM('6月'!BU4:BU34)+SUM('6月'!BZ4:BZ34)+SUM('6月'!CE4:CE34)+SUM('6月'!CJ4:CJ34)+SUM('6月'!CO4:CO34)+SUM('6月'!CT4:CT34)+SUM('6月'!CY4:CY34)+SUM('6月'!DD4:DD34)+SUM('6月'!DI4:DI34)+SUM('6月'!DN4:DN34)+SUM('6月'!DS4:DS34)+SUM('6月'!DX4:DX34)+SUM('6月'!EC4:EC34)+SUM('6月'!EH4:EH34)+SUM('6月'!EM4:EM34)+SUM('6月'!ER4:ER34)+SUM('6月'!EW4:EW34)</f>
        <v>0</v>
      </c>
      <c r="C223" s="127" t="s">
        <v>118</v>
      </c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</row>
    <row r="224" spans="1:25" ht="9.9499999999999993" customHeight="1"/>
    <row r="225" spans="1:25" ht="21.95" customHeight="1">
      <c r="A225" s="112" t="str">
        <f>対象年度&amp;"年 7月分  30日締め"</f>
        <v>2026年 7月分  30日締め</v>
      </c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</row>
    <row r="226" spans="1:25" ht="21.95" customHeight="1">
      <c r="A226" s="60" t="s">
        <v>113</v>
      </c>
      <c r="B226" s="123" t="str">
        <f>IFERROR(現場マスタ!$C$4,"")</f>
        <v>新宿</v>
      </c>
      <c r="C226" s="123"/>
      <c r="D226" s="123" t="str">
        <f>IFERROR(現場マスタ!$C$5,"")</f>
        <v>赤坂</v>
      </c>
      <c r="E226" s="123"/>
      <c r="F226" s="123" t="str">
        <f>IFERROR(現場マスタ!$C$6,"")</f>
        <v>渋谷ヒカリエ</v>
      </c>
      <c r="G226" s="123"/>
      <c r="H226" s="123" t="str">
        <f>IFERROR(現場マスタ!$C$7,"")</f>
        <v>六本木ヒルズ</v>
      </c>
      <c r="I226" s="123"/>
      <c r="J226" s="123" t="str">
        <f>IFERROR(現場マスタ!$C$10,"")</f>
        <v>有給</v>
      </c>
      <c r="K226" s="123"/>
      <c r="L226" s="123">
        <f>IFERROR(現場マスタ!$C$12,"")</f>
        <v>0</v>
      </c>
      <c r="M226" s="123"/>
      <c r="N226" s="123">
        <f>IFERROR(現場マスタ!$C$16,"")</f>
        <v>0</v>
      </c>
      <c r="O226" s="123"/>
      <c r="P226" s="123">
        <f>IFERROR(現場マスタ!$C$17,"")</f>
        <v>0</v>
      </c>
      <c r="Q226" s="123"/>
      <c r="R226" s="123">
        <f>IFERROR(現場マスタ!$C$18,"")</f>
        <v>0</v>
      </c>
      <c r="S226" s="123"/>
      <c r="T226" s="123">
        <f>IFERROR(現場マスタ!$C$20,"")</f>
        <v>0</v>
      </c>
      <c r="U226" s="123"/>
      <c r="V226" s="123">
        <f>IFERROR(現場マスタ!$C$21,"")</f>
        <v>0</v>
      </c>
      <c r="W226" s="123"/>
      <c r="X226" s="123">
        <f>IFERROR(現場マスタ!$C$22,"")</f>
        <v>0</v>
      </c>
      <c r="Y226" s="123"/>
    </row>
    <row r="227" spans="1:25" ht="20.100000000000001" customHeight="1">
      <c r="A227" s="60" t="s">
        <v>4</v>
      </c>
      <c r="B227" s="65" t="s">
        <v>114</v>
      </c>
      <c r="C227" s="65" t="s">
        <v>115</v>
      </c>
      <c r="D227" s="65" t="s">
        <v>114</v>
      </c>
      <c r="E227" s="65" t="s">
        <v>115</v>
      </c>
      <c r="F227" s="65" t="s">
        <v>114</v>
      </c>
      <c r="G227" s="65" t="s">
        <v>115</v>
      </c>
      <c r="H227" s="65" t="s">
        <v>114</v>
      </c>
      <c r="I227" s="65" t="s">
        <v>115</v>
      </c>
      <c r="J227" s="65" t="s">
        <v>114</v>
      </c>
      <c r="K227" s="65" t="s">
        <v>115</v>
      </c>
      <c r="L227" s="65" t="s">
        <v>114</v>
      </c>
      <c r="M227" s="65" t="s">
        <v>115</v>
      </c>
      <c r="N227" s="65" t="s">
        <v>114</v>
      </c>
      <c r="O227" s="65" t="s">
        <v>115</v>
      </c>
      <c r="P227" s="65" t="s">
        <v>114</v>
      </c>
      <c r="Q227" s="65" t="s">
        <v>115</v>
      </c>
      <c r="R227" s="65" t="s">
        <v>114</v>
      </c>
      <c r="S227" s="65" t="s">
        <v>115</v>
      </c>
      <c r="T227" s="65" t="s">
        <v>114</v>
      </c>
      <c r="U227" s="65" t="s">
        <v>115</v>
      </c>
      <c r="V227" s="65" t="s">
        <v>114</v>
      </c>
      <c r="W227" s="65" t="s">
        <v>115</v>
      </c>
      <c r="X227" s="65" t="s">
        <v>114</v>
      </c>
      <c r="Y227" s="65" t="s">
        <v>115</v>
      </c>
    </row>
    <row r="228" spans="1:25" ht="18" customHeight="1">
      <c r="A228" s="76">
        <v>1</v>
      </c>
      <c r="B228" s="76">
        <f>COUNTIF('7月'!D4:E4,B$226)+COUNTIF('7月'!I4:J4,B$226)+COUNTIF('7月'!N4:O4,B$226)+COUNTIF('7月'!S4:T4,B$226)+COUNTIF('7月'!X4:Y4,B$226)+COUNTIF('7月'!AC4:AD4,B$226)+COUNTIF('7月'!AH4:AI4,B$226)+COUNTIF('7月'!AM4:AN4,B$226)+COUNTIF('7月'!AR4:AS4,B$226)+COUNTIF('7月'!AW4:AX4,B$226)+COUNTIF('7月'!BB4:BC4,B$226)+COUNTIF('7月'!BG4:BH4,B$226)+COUNTIF('7月'!BL4:BM4,B$226)+COUNTIF('7月'!BQ4:BR4,B$226)+COUNTIF('7月'!BV4:BW4,B$226)+COUNTIF('7月'!CA4:CB4,B$226)+COUNTIF('7月'!CF4:CG4,B$226)+COUNTIF('7月'!CK4:CL4,B$226)+COUNTIF('7月'!CP4:CQ4,B$226)+COUNTIF('7月'!CU4:CV4,B$226)+COUNTIF('7月'!CZ4:DA4,B$226)+COUNTIF('7月'!DE4:DF4,B$226)+COUNTIF('7月'!DJ4:DK4,B$226)+COUNTIF('7月'!DO4:DP4,B$226)+COUNTIF('7月'!DT4:DU4,B$226)+COUNTIF('7月'!DY4:DZ4,B$226)+COUNTIF('7月'!ED4:EE4,B$226)+COUNTIF('7月'!EI4:EJ4,B$226)+COUNTIF('7月'!EN4:EO4,B$226)+COUNTIF('7月'!ES4:ET4,B$226)</f>
        <v>0</v>
      </c>
      <c r="C228" s="76">
        <f>IF(B228=0,0,B228)</f>
        <v>0</v>
      </c>
      <c r="D228" s="76">
        <f>COUNTIF('7月'!D4:E4,D$226)+COUNTIF('7月'!I4:J4,D$226)+COUNTIF('7月'!N4:O4,D$226)+COUNTIF('7月'!S4:T4,D$226)+COUNTIF('7月'!X4:Y4,D$226)+COUNTIF('7月'!AC4:AD4,D$226)+COUNTIF('7月'!AH4:AI4,D$226)+COUNTIF('7月'!AM4:AN4,D$226)+COUNTIF('7月'!AR4:AS4,D$226)+COUNTIF('7月'!AW4:AX4,D$226)+COUNTIF('7月'!BB4:BC4,D$226)+COUNTIF('7月'!BG4:BH4,D$226)+COUNTIF('7月'!BL4:BM4,D$226)+COUNTIF('7月'!BQ4:BR4,D$226)+COUNTIF('7月'!BV4:BW4,D$226)+COUNTIF('7月'!CA4:CB4,D$226)+COUNTIF('7月'!CF4:CG4,D$226)+COUNTIF('7月'!CK4:CL4,D$226)+COUNTIF('7月'!CP4:CQ4,D$226)+COUNTIF('7月'!CU4:CV4,D$226)+COUNTIF('7月'!CZ4:DA4,D$226)+COUNTIF('7月'!DE4:DF4,D$226)+COUNTIF('7月'!DJ4:DK4,D$226)+COUNTIF('7月'!DO4:DP4,D$226)+COUNTIF('7月'!DT4:DU4,D$226)+COUNTIF('7月'!DY4:DZ4,D$226)+COUNTIF('7月'!ED4:EE4,D$226)+COUNTIF('7月'!EI4:EJ4,D$226)+COUNTIF('7月'!EN4:EO4,D$226)+COUNTIF('7月'!ES4:ET4,D$226)</f>
        <v>0</v>
      </c>
      <c r="E228" s="76">
        <f>IF(D228=0,0,D228)</f>
        <v>0</v>
      </c>
      <c r="F228" s="76">
        <f>COUNTIF('7月'!D4:E4,F$226)+COUNTIF('7月'!I4:J4,F$226)+COUNTIF('7月'!N4:O4,F$226)+COUNTIF('7月'!S4:T4,F$226)+COUNTIF('7月'!X4:Y4,F$226)+COUNTIF('7月'!AC4:AD4,F$226)+COUNTIF('7月'!AH4:AI4,F$226)+COUNTIF('7月'!AM4:AN4,F$226)+COUNTIF('7月'!AR4:AS4,F$226)+COUNTIF('7月'!AW4:AX4,F$226)+COUNTIF('7月'!BB4:BC4,F$226)+COUNTIF('7月'!BG4:BH4,F$226)+COUNTIF('7月'!BL4:BM4,F$226)+COUNTIF('7月'!BQ4:BR4,F$226)+COUNTIF('7月'!BV4:BW4,F$226)+COUNTIF('7月'!CA4:CB4,F$226)+COUNTIF('7月'!CF4:CG4,F$226)+COUNTIF('7月'!CK4:CL4,F$226)+COUNTIF('7月'!CP4:CQ4,F$226)+COUNTIF('7月'!CU4:CV4,F$226)+COUNTIF('7月'!CZ4:DA4,F$226)+COUNTIF('7月'!DE4:DF4,F$226)+COUNTIF('7月'!DJ4:DK4,F$226)+COUNTIF('7月'!DO4:DP4,F$226)+COUNTIF('7月'!DT4:DU4,F$226)+COUNTIF('7月'!DY4:DZ4,F$226)+COUNTIF('7月'!ED4:EE4,F$226)+COUNTIF('7月'!EI4:EJ4,F$226)+COUNTIF('7月'!EN4:EO4,F$226)+COUNTIF('7月'!ES4:ET4,F$226)</f>
        <v>0</v>
      </c>
      <c r="G228" s="76">
        <f>IF(F228=0,0,F228)</f>
        <v>0</v>
      </c>
      <c r="H228" s="76">
        <f>COUNTIF('7月'!D4:E4,H$226)+COUNTIF('7月'!I4:J4,H$226)+COUNTIF('7月'!N4:O4,H$226)+COUNTIF('7月'!S4:T4,H$226)+COUNTIF('7月'!X4:Y4,H$226)+COUNTIF('7月'!AC4:AD4,H$226)+COUNTIF('7月'!AH4:AI4,H$226)+COUNTIF('7月'!AM4:AN4,H$226)+COUNTIF('7月'!AR4:AS4,H$226)+COUNTIF('7月'!AW4:AX4,H$226)+COUNTIF('7月'!BB4:BC4,H$226)+COUNTIF('7月'!BG4:BH4,H$226)+COUNTIF('7月'!BL4:BM4,H$226)+COUNTIF('7月'!BQ4:BR4,H$226)+COUNTIF('7月'!BV4:BW4,H$226)+COUNTIF('7月'!CA4:CB4,H$226)+COUNTIF('7月'!CF4:CG4,H$226)+COUNTIF('7月'!CK4:CL4,H$226)+COUNTIF('7月'!CP4:CQ4,H$226)+COUNTIF('7月'!CU4:CV4,H$226)+COUNTIF('7月'!CZ4:DA4,H$226)+COUNTIF('7月'!DE4:DF4,H$226)+COUNTIF('7月'!DJ4:DK4,H$226)+COUNTIF('7月'!DO4:DP4,H$226)+COUNTIF('7月'!DT4:DU4,H$226)+COUNTIF('7月'!DY4:DZ4,H$226)+COUNTIF('7月'!ED4:EE4,H$226)+COUNTIF('7月'!EI4:EJ4,H$226)+COUNTIF('7月'!EN4:EO4,H$226)+COUNTIF('7月'!ES4:ET4,H$226)+COUNTIF('7月'!D4:E4,"渋谷-夜勤")+COUNTIF('7月'!I4:J4,"渋谷-夜勤")+COUNTIF('7月'!N4:O4,"渋谷-夜勤")+COUNTIF('7月'!S4:T4,"渋谷-夜勤")+COUNTIF('7月'!X4:Y4,"渋谷-夜勤")+COUNTIF('7月'!AC4:AD4,"渋谷-夜勤")+COUNTIF('7月'!AH4:AI4,"渋谷-夜勤")+COUNTIF('7月'!AM4:AN4,"渋谷-夜勤")+COUNTIF('7月'!AR4:AS4,"渋谷-夜勤")+COUNTIF('7月'!AW4:AX4,"渋谷-夜勤")+COUNTIF('7月'!BB4:BC4,"渋谷-夜勤")+COUNTIF('7月'!BG4:BH4,"渋谷-夜勤")+COUNTIF('7月'!BL4:BM4,"渋谷-夜勤")+COUNTIF('7月'!BQ4:BR4,"渋谷-夜勤")+COUNTIF('7月'!BV4:BW4,"渋谷-夜勤")+COUNTIF('7月'!CA4:CB4,"渋谷-夜勤")+COUNTIF('7月'!CF4:CG4,"渋谷-夜勤")+COUNTIF('7月'!CK4:CL4,"渋谷-夜勤")+COUNTIF('7月'!CP4:CQ4,"渋谷-夜勤")+COUNTIF('7月'!CU4:CV4,"渋谷-夜勤")+COUNTIF('7月'!CZ4:DA4,"渋谷-夜勤")+COUNTIF('7月'!DE4:DF4,"渋谷-夜勤")+COUNTIF('7月'!DJ4:DK4,"渋谷-夜勤")+COUNTIF('7月'!DO4:DP4,"渋谷-夜勤")+COUNTIF('7月'!DT4:DU4,"渋谷-夜勤")+COUNTIF('7月'!DY4:DZ4,"渋谷-夜勤")+COUNTIF('7月'!ED4:EE4,"渋谷-夜勤")+COUNTIF('7月'!EI4:EJ4,"渋谷-夜勤")+COUNTIF('7月'!EN4:EO4,"渋谷-夜勤")+COUNTIF('7月'!ES4:ET4,"渋谷-夜勤")</f>
        <v>0</v>
      </c>
      <c r="I228" s="76">
        <f>IF(H228=0,0,H228)</f>
        <v>0</v>
      </c>
      <c r="J228" s="76">
        <f>COUNTIF('7月'!D4:E4,J$226)+COUNTIF('7月'!I4:J4,J$226)+COUNTIF('7月'!N4:O4,J$226)+COUNTIF('7月'!S4:T4,J$226)+COUNTIF('7月'!X4:Y4,J$226)+COUNTIF('7月'!AC4:AD4,J$226)+COUNTIF('7月'!AH4:AI4,J$226)+COUNTIF('7月'!AM4:AN4,J$226)+COUNTIF('7月'!AR4:AS4,J$226)+COUNTIF('7月'!AW4:AX4,J$226)+COUNTIF('7月'!BB4:BC4,J$226)+COUNTIF('7月'!BG4:BH4,J$226)+COUNTIF('7月'!BL4:BM4,J$226)+COUNTIF('7月'!BQ4:BR4,J$226)+COUNTIF('7月'!BV4:BW4,J$226)+COUNTIF('7月'!CA4:CB4,J$226)+COUNTIF('7月'!CF4:CG4,J$226)+COUNTIF('7月'!CK4:CL4,J$226)+COUNTIF('7月'!CP4:CQ4,J$226)+COUNTIF('7月'!CU4:CV4,J$226)+COUNTIF('7月'!CZ4:DA4,J$226)+COUNTIF('7月'!DE4:DF4,J$226)+COUNTIF('7月'!DJ4:DK4,J$226)+COUNTIF('7月'!DO4:DP4,J$226)+COUNTIF('7月'!DT4:DU4,J$226)+COUNTIF('7月'!DY4:DZ4,J$226)+COUNTIF('7月'!ED4:EE4,J$226)+COUNTIF('7月'!EI4:EJ4,J$226)+COUNTIF('7月'!EN4:EO4,J$226)+COUNTIF('7月'!ES4:ET4,J$226)+COUNTIF('7月'!D4:E4,"六本木-夜勤")+COUNTIF('7月'!I4:J4,"六本木-夜勤")+COUNTIF('7月'!N4:O4,"六本木-夜勤")+COUNTIF('7月'!S4:T4,"六本木-夜勤")+COUNTIF('7月'!X4:Y4,"六本木-夜勤")+COUNTIF('7月'!AC4:AD4,"六本木-夜勤")+COUNTIF('7月'!AH4:AI4,"六本木-夜勤")+COUNTIF('7月'!AM4:AN4,"六本木-夜勤")+COUNTIF('7月'!AR4:AS4,"六本木-夜勤")+COUNTIF('7月'!AW4:AX4,"六本木-夜勤")+COUNTIF('7月'!BB4:BC4,"六本木-夜勤")+COUNTIF('7月'!BG4:BH4,"六本木-夜勤")+COUNTIF('7月'!BL4:BM4,"六本木-夜勤")+COUNTIF('7月'!BQ4:BR4,"六本木-夜勤")+COUNTIF('7月'!BV4:BW4,"六本木-夜勤")+COUNTIF('7月'!CA4:CB4,"六本木-夜勤")+COUNTIF('7月'!CF4:CG4,"六本木-夜勤")+COUNTIF('7月'!CK4:CL4,"六本木-夜勤")+COUNTIF('7月'!CP4:CQ4,"六本木-夜勤")+COUNTIF('7月'!CU4:CV4,"六本木-夜勤")+COUNTIF('7月'!CZ4:DA4,"六本木-夜勤")+COUNTIF('7月'!DE4:DF4,"六本木-夜勤")+COUNTIF('7月'!DJ4:DK4,"六本木-夜勤")+COUNTIF('7月'!DO4:DP4,"六本木-夜勤")+COUNTIF('7月'!DT4:DU4,"六本木-夜勤")+COUNTIF('7月'!DY4:DZ4,"六本木-夜勤")+COUNTIF('7月'!ED4:EE4,"六本木-夜勤")+COUNTIF('7月'!EI4:EJ4,"六本木-夜勤")+COUNTIF('7月'!EN4:EO4,"六本木-夜勤")+COUNTIF('7月'!ES4:ET4,"六本木-夜勤")+COUNTIF('7月'!D4:E4,"六本木ー夜勤")+COUNTIF('7月'!I4:J4,"六本木ー夜勤")+COUNTIF('7月'!N4:O4,"六本木ー夜勤")+COUNTIF('7月'!S4:T4,"六本木ー夜勤")+COUNTIF('7月'!X4:Y4,"六本木ー夜勤")+COUNTIF('7月'!AC4:AD4,"六本木ー夜勤")+COUNTIF('7月'!AH4:AI4,"六本木ー夜勤")+COUNTIF('7月'!AM4:AN4,"六本木ー夜勤")+COUNTIF('7月'!AR4:AS4,"六本木ー夜勤")+COUNTIF('7月'!AW4:AX4,"六本木ー夜勤")+COUNTIF('7月'!BB4:BC4,"六本木ー夜勤")+COUNTIF('7月'!BG4:BH4,"六本木ー夜勤")+COUNTIF('7月'!BL4:BM4,"六本木ー夜勤")+COUNTIF('7月'!BQ4:BR4,"六本木ー夜勤")+COUNTIF('7月'!BV4:BW4,"六本木ー夜勤")+COUNTIF('7月'!CA4:CB4,"六本木ー夜勤")+COUNTIF('7月'!CF4:CG4,"六本木ー夜勤")+COUNTIF('7月'!CK4:CL4,"六本木ー夜勤")+COUNTIF('7月'!CP4:CQ4,"六本木ー夜勤")+COUNTIF('7月'!CU4:CV4,"六本木ー夜勤")+COUNTIF('7月'!CZ4:DA4,"六本木ー夜勤")+COUNTIF('7月'!DE4:DF4,"六本木ー夜勤")+COUNTIF('7月'!DJ4:DK4,"六本木ー夜勤")+COUNTIF('7月'!DO4:DP4,"六本木ー夜勤")+COUNTIF('7月'!DT4:DU4,"六本木ー夜勤")+COUNTIF('7月'!DY4:DZ4,"六本木ー夜勤")+COUNTIF('7月'!ED4:EE4,"六本木ー夜勤")+COUNTIF('7月'!EI4:EJ4,"六本木ー夜勤")+COUNTIF('7月'!EN4:EO4,"六本木ー夜勤")+COUNTIF('7月'!ES4:ET4,"六本木ー夜勤")</f>
        <v>0</v>
      </c>
      <c r="K228" s="76">
        <f>IF(J228=0,0,J228)</f>
        <v>0</v>
      </c>
      <c r="L228" s="76">
        <f>COUNTIF('7月'!D4:E4,L$226)+COUNTIF('7月'!I4:J4,L$226)+COUNTIF('7月'!N4:O4,L$226)+COUNTIF('7月'!S4:T4,L$226)+COUNTIF('7月'!X4:Y4,L$226)+COUNTIF('7月'!AC4:AD4,L$226)+COUNTIF('7月'!AH4:AI4,L$226)+COUNTIF('7月'!AM4:AN4,L$226)+COUNTIF('7月'!AR4:AS4,L$226)+COUNTIF('7月'!AW4:AX4,L$226)+COUNTIF('7月'!BB4:BC4,L$226)+COUNTIF('7月'!BG4:BH4,L$226)+COUNTIF('7月'!BL4:BM4,L$226)+COUNTIF('7月'!BQ4:BR4,L$226)+COUNTIF('7月'!BV4:BW4,L$226)+COUNTIF('7月'!CA4:CB4,L$226)+COUNTIF('7月'!CF4:CG4,L$226)+COUNTIF('7月'!CK4:CL4,L$226)+COUNTIF('7月'!CP4:CQ4,L$226)+COUNTIF('7月'!CU4:CV4,L$226)+COUNTIF('7月'!CZ4:DA4,L$226)+COUNTIF('7月'!DE4:DF4,L$226)+COUNTIF('7月'!DJ4:DK4,L$226)+COUNTIF('7月'!DO4:DP4,L$226)+COUNTIF('7月'!DT4:DU4,L$226)+COUNTIF('7月'!DY4:DZ4,L$226)+COUNTIF('7月'!ED4:EE4,L$226)+COUNTIF('7月'!EI4:EJ4,L$226)+COUNTIF('7月'!EN4:EO4,L$226)+COUNTIF('7月'!ES4:ET4,L$226)</f>
        <v>0</v>
      </c>
      <c r="M228" s="76">
        <f>IF(L228=0,0,L228)</f>
        <v>0</v>
      </c>
      <c r="N228" s="76">
        <f>COUNTIF('7月'!D4:E4,N$226)+COUNTIF('7月'!I4:J4,N$226)+COUNTIF('7月'!N4:O4,N$226)+COUNTIF('7月'!S4:T4,N$226)+COUNTIF('7月'!X4:Y4,N$226)+COUNTIF('7月'!AC4:AD4,N$226)+COUNTIF('7月'!AH4:AI4,N$226)+COUNTIF('7月'!AM4:AN4,N$226)+COUNTIF('7月'!AR4:AS4,N$226)+COUNTIF('7月'!AW4:AX4,N$226)+COUNTIF('7月'!BB4:BC4,N$226)+COUNTIF('7月'!BG4:BH4,N$226)+COUNTIF('7月'!BL4:BM4,N$226)+COUNTIF('7月'!BQ4:BR4,N$226)+COUNTIF('7月'!BV4:BW4,N$226)+COUNTIF('7月'!CA4:CB4,N$226)+COUNTIF('7月'!CF4:CG4,N$226)+COUNTIF('7月'!CK4:CL4,N$226)+COUNTIF('7月'!CP4:CQ4,N$226)+COUNTIF('7月'!CU4:CV4,N$226)+COUNTIF('7月'!CZ4:DA4,N$226)+COUNTIF('7月'!DE4:DF4,N$226)+COUNTIF('7月'!DJ4:DK4,N$226)+COUNTIF('7月'!DO4:DP4,N$226)+COUNTIF('7月'!DT4:DU4,N$226)+COUNTIF('7月'!DY4:DZ4,N$226)+COUNTIF('7月'!ED4:EE4,N$226)+COUNTIF('7月'!EI4:EJ4,N$226)+COUNTIF('7月'!EN4:EO4,N$226)+COUNTIF('7月'!ES4:ET4,N$226)+COUNTIF('7月'!D4:E4,"三軒茶屋－夜勤")+COUNTIF('7月'!I4:J4,"三軒茶屋－夜勤")+COUNTIF('7月'!N4:O4,"三軒茶屋－夜勤")+COUNTIF('7月'!S4:T4,"三軒茶屋－夜勤")+COUNTIF('7月'!X4:Y4,"三軒茶屋－夜勤")+COUNTIF('7月'!AC4:AD4,"三軒茶屋－夜勤")+COUNTIF('7月'!AH4:AI4,"三軒茶屋－夜勤")+COUNTIF('7月'!AM4:AN4,"三軒茶屋－夜勤")+COUNTIF('7月'!AR4:AS4,"三軒茶屋－夜勤")+COUNTIF('7月'!AW4:AX4,"三軒茶屋－夜勤")+COUNTIF('7月'!BB4:BC4,"三軒茶屋－夜勤")+COUNTIF('7月'!BG4:BH4,"三軒茶屋－夜勤")+COUNTIF('7月'!BL4:BM4,"三軒茶屋－夜勤")+COUNTIF('7月'!BQ4:BR4,"三軒茶屋－夜勤")+COUNTIF('7月'!BV4:BW4,"三軒茶屋－夜勤")+COUNTIF('7月'!CA4:CB4,"三軒茶屋－夜勤")+COUNTIF('7月'!CF4:CG4,"三軒茶屋－夜勤")+COUNTIF('7月'!CK4:CL4,"三軒茶屋－夜勤")+COUNTIF('7月'!CP4:CQ4,"三軒茶屋－夜勤")+COUNTIF('7月'!CU4:CV4,"三軒茶屋－夜勤")+COUNTIF('7月'!CZ4:DA4,"三軒茶屋－夜勤")+COUNTIF('7月'!DE4:DF4,"三軒茶屋－夜勤")+COUNTIF('7月'!DJ4:DK4,"三軒茶屋－夜勤")+COUNTIF('7月'!DO4:DP4,"三軒茶屋－夜勤")+COUNTIF('7月'!DT4:DU4,"三軒茶屋－夜勤")+COUNTIF('7月'!DY4:DZ4,"三軒茶屋－夜勤")+COUNTIF('7月'!ED4:EE4,"三軒茶屋－夜勤")+COUNTIF('7月'!EI4:EJ4,"三軒茶屋－夜勤")+COUNTIF('7月'!EN4:EO4,"三軒茶屋－夜勤")+COUNTIF('7月'!ES4:ET4,"三軒茶屋－夜勤")</f>
        <v>0</v>
      </c>
      <c r="O228" s="76">
        <f>IF(N228=0,0,N228)</f>
        <v>0</v>
      </c>
      <c r="P228" s="76">
        <f>COUNTIF('7月'!D4:E4,P$226)+COUNTIF('7月'!I4:J4,P$226)+COUNTIF('7月'!N4:O4,P$226)+COUNTIF('7月'!S4:T4,P$226)+COUNTIF('7月'!X4:Y4,P$226)+COUNTIF('7月'!AC4:AD4,P$226)+COUNTIF('7月'!AH4:AI4,P$226)+COUNTIF('7月'!AM4:AN4,P$226)+COUNTIF('7月'!AR4:AS4,P$226)+COUNTIF('7月'!AW4:AX4,P$226)+COUNTIF('7月'!BB4:BC4,P$226)+COUNTIF('7月'!BG4:BH4,P$226)+COUNTIF('7月'!BL4:BM4,P$226)+COUNTIF('7月'!BQ4:BR4,P$226)+COUNTIF('7月'!BV4:BW4,P$226)+COUNTIF('7月'!CA4:CB4,P$226)+COUNTIF('7月'!CF4:CG4,P$226)+COUNTIF('7月'!CK4:CL4,P$226)+COUNTIF('7月'!CP4:CQ4,P$226)+COUNTIF('7月'!CU4:CV4,P$226)+COUNTIF('7月'!CZ4:DA4,P$226)+COUNTIF('7月'!DE4:DF4,P$226)+COUNTIF('7月'!DJ4:DK4,P$226)+COUNTIF('7月'!DO4:DP4,P$226)+COUNTIF('7月'!DT4:DU4,P$226)+COUNTIF('7月'!DY4:DZ4,P$226)+COUNTIF('7月'!ED4:EE4,P$226)+COUNTIF('7月'!EI4:EJ4,P$226)+COUNTIF('7月'!EN4:EO4,P$226)+COUNTIF('7月'!ES4:ET4,P$226)+COUNTIF('7月'!D4:E4,"荻窪ー夜勤")+COUNTIF('7月'!I4:J4,"荻窪ー夜勤")+COUNTIF('7月'!N4:O4,"荻窪ー夜勤")+COUNTIF('7月'!S4:T4,"荻窪ー夜勤")+COUNTIF('7月'!X4:Y4,"荻窪ー夜勤")+COUNTIF('7月'!AC4:AD4,"荻窪ー夜勤")+COUNTIF('7月'!AH4:AI4,"荻窪ー夜勤")+COUNTIF('7月'!AM4:AN4,"荻窪ー夜勤")+COUNTIF('7月'!AR4:AS4,"荻窪ー夜勤")+COUNTIF('7月'!AW4:AX4,"荻窪ー夜勤")+COUNTIF('7月'!BB4:BC4,"荻窪ー夜勤")+COUNTIF('7月'!BG4:BH4,"荻窪ー夜勤")+COUNTIF('7月'!BL4:BM4,"荻窪ー夜勤")+COUNTIF('7月'!BQ4:BR4,"荻窪ー夜勤")+COUNTIF('7月'!BV4:BW4,"荻窪ー夜勤")+COUNTIF('7月'!CA4:CB4,"荻窪ー夜勤")+COUNTIF('7月'!CF4:CG4,"荻窪ー夜勤")+COUNTIF('7月'!CK4:CL4,"荻窪ー夜勤")+COUNTIF('7月'!CP4:CQ4,"荻窪ー夜勤")+COUNTIF('7月'!CU4:CV4,"荻窪ー夜勤")+COUNTIF('7月'!CZ4:DA4,"荻窪ー夜勤")+COUNTIF('7月'!DE4:DF4,"荻窪ー夜勤")+COUNTIF('7月'!DJ4:DK4,"荻窪ー夜勤")+COUNTIF('7月'!DO4:DP4,"荻窪ー夜勤")+COUNTIF('7月'!DT4:DU4,"荻窪ー夜勤")+COUNTIF('7月'!DY4:DZ4,"荻窪ー夜勤")+COUNTIF('7月'!ED4:EE4,"荻窪ー夜勤")+COUNTIF('7月'!EI4:EJ4,"荻窪ー夜勤")+COUNTIF('7月'!EN4:EO4,"荻窪ー夜勤")+COUNTIF('7月'!ES4:ET4,"荻窪ー夜勤")</f>
        <v>0</v>
      </c>
      <c r="Q228" s="76">
        <f>IF(P228=0,0,P228)</f>
        <v>0</v>
      </c>
      <c r="R228" s="76">
        <f>COUNTIF('7月'!D4:E4,R$226)+COUNTIF('7月'!I4:J4,R$226)+COUNTIF('7月'!N4:O4,R$226)+COUNTIF('7月'!S4:T4,R$226)+COUNTIF('7月'!X4:Y4,R$226)+COUNTIF('7月'!AC4:AD4,R$226)+COUNTIF('7月'!AH4:AI4,R$226)+COUNTIF('7月'!AM4:AN4,R$226)+COUNTIF('7月'!AR4:AS4,R$226)+COUNTIF('7月'!AW4:AX4,R$226)+COUNTIF('7月'!BB4:BC4,R$226)+COUNTIF('7月'!BG4:BH4,R$226)+COUNTIF('7月'!BL4:BM4,R$226)+COUNTIF('7月'!BQ4:BR4,R$226)+COUNTIF('7月'!BV4:BW4,R$226)+COUNTIF('7月'!CA4:CB4,R$226)+COUNTIF('7月'!CF4:CG4,R$226)+COUNTIF('7月'!CK4:CL4,R$226)+COUNTIF('7月'!CP4:CQ4,R$226)+COUNTIF('7月'!CU4:CV4,R$226)+COUNTIF('7月'!CZ4:DA4,R$226)+COUNTIF('7月'!DE4:DF4,R$226)+COUNTIF('7月'!DJ4:DK4,R$226)+COUNTIF('7月'!DO4:DP4,R$226)+COUNTIF('7月'!DT4:DU4,R$226)+COUNTIF('7月'!DY4:DZ4,R$226)+COUNTIF('7月'!ED4:EE4,R$226)+COUNTIF('7月'!EI4:EJ4,R$226)+COUNTIF('7月'!EN4:EO4,R$226)+COUNTIF('7月'!ES4:ET4,R$226)</f>
        <v>0</v>
      </c>
      <c r="S228" s="76">
        <f>IF(R228=0,0,R228)</f>
        <v>0</v>
      </c>
      <c r="T228" s="76">
        <f>COUNTIF('7月'!D4:E4,T$226)+COUNTIF('7月'!I4:J4,T$226)+COUNTIF('7月'!N4:O4,T$226)+COUNTIF('7月'!S4:T4,T$226)+COUNTIF('7月'!X4:Y4,T$226)+COUNTIF('7月'!AC4:AD4,T$226)+COUNTIF('7月'!AH4:AI4,T$226)+COUNTIF('7月'!AM4:AN4,T$226)+COUNTIF('7月'!AR4:AS4,T$226)+COUNTIF('7月'!AW4:AX4,T$226)+COUNTIF('7月'!BB4:BC4,T$226)+COUNTIF('7月'!BG4:BH4,T$226)+COUNTIF('7月'!BL4:BM4,T$226)+COUNTIF('7月'!BQ4:BR4,T$226)+COUNTIF('7月'!BV4:BW4,T$226)+COUNTIF('7月'!CA4:CB4,T$226)+COUNTIF('7月'!CF4:CG4,T$226)+COUNTIF('7月'!CK4:CL4,T$226)+COUNTIF('7月'!CP4:CQ4,T$226)+COUNTIF('7月'!CU4:CV4,T$226)+COUNTIF('7月'!CZ4:DA4,T$226)+COUNTIF('7月'!DE4:DF4,T$226)+COUNTIF('7月'!DJ4:DK4,T$226)+COUNTIF('7月'!DO4:DP4,T$226)+COUNTIF('7月'!DT4:DU4,T$226)+COUNTIF('7月'!DY4:DZ4,T$226)+COUNTIF('7月'!ED4:EE4,T$226)+COUNTIF('7月'!EI4:EJ4,T$226)+COUNTIF('7月'!EN4:EO4,T$226)+COUNTIF('7月'!ES4:ET4,T$226)</f>
        <v>0</v>
      </c>
      <c r="U228" s="76">
        <f>IF(T228=0,0,T228)</f>
        <v>0</v>
      </c>
      <c r="V228" s="76">
        <f>COUNTIF('7月'!D4:E4,V$226)+COUNTIF('7月'!I4:J4,V$226)+COUNTIF('7月'!N4:O4,V$226)+COUNTIF('7月'!S4:T4,V$226)+COUNTIF('7月'!X4:Y4,V$226)+COUNTIF('7月'!AC4:AD4,V$226)+COUNTIF('7月'!AH4:AI4,V$226)+COUNTIF('7月'!AM4:AN4,V$226)+COUNTIF('7月'!AR4:AS4,V$226)+COUNTIF('7月'!AW4:AX4,V$226)+COUNTIF('7月'!BB4:BC4,V$226)+COUNTIF('7月'!BG4:BH4,V$226)+COUNTIF('7月'!BL4:BM4,V$226)+COUNTIF('7月'!BQ4:BR4,V$226)+COUNTIF('7月'!BV4:BW4,V$226)+COUNTIF('7月'!CA4:CB4,V$226)+COUNTIF('7月'!CF4:CG4,V$226)+COUNTIF('7月'!CK4:CL4,V$226)+COUNTIF('7月'!CP4:CQ4,V$226)+COUNTIF('7月'!CU4:CV4,V$226)+COUNTIF('7月'!CZ4:DA4,V$226)+COUNTIF('7月'!DE4:DF4,V$226)+COUNTIF('7月'!DJ4:DK4,V$226)+COUNTIF('7月'!DO4:DP4,V$226)+COUNTIF('7月'!DT4:DU4,V$226)+COUNTIF('7月'!DY4:DZ4,V$226)+COUNTIF('7月'!ED4:EE4,V$226)+COUNTIF('7月'!EI4:EJ4,V$226)+COUNTIF('7月'!EN4:EO4,V$226)+COUNTIF('7月'!ES4:ET4,V$226)</f>
        <v>0</v>
      </c>
      <c r="W228" s="76">
        <f>IF(V228=0,0,V228)</f>
        <v>0</v>
      </c>
      <c r="X228" s="76">
        <f>COUNTIF('7月'!D4:E4,X$226)+COUNTIF('7月'!I4:J4,X$226)+COUNTIF('7月'!N4:O4,X$226)+COUNTIF('7月'!S4:T4,X$226)+COUNTIF('7月'!X4:Y4,X$226)+COUNTIF('7月'!AC4:AD4,X$226)+COUNTIF('7月'!AH4:AI4,X$226)+COUNTIF('7月'!AM4:AN4,X$226)+COUNTIF('7月'!AR4:AS4,X$226)+COUNTIF('7月'!AW4:AX4,X$226)+COUNTIF('7月'!BB4:BC4,X$226)+COUNTIF('7月'!BG4:BH4,X$226)+COUNTIF('7月'!BL4:BM4,X$226)+COUNTIF('7月'!BQ4:BR4,X$226)+COUNTIF('7月'!BV4:BW4,X$226)+COUNTIF('7月'!CA4:CB4,X$226)+COUNTIF('7月'!CF4:CG4,X$226)+COUNTIF('7月'!CK4:CL4,X$226)+COUNTIF('7月'!CP4:CQ4,X$226)+COUNTIF('7月'!CU4:CV4,X$226)+COUNTIF('7月'!CZ4:DA4,X$226)+COUNTIF('7月'!DE4:DF4,X$226)+COUNTIF('7月'!DJ4:DK4,X$226)+COUNTIF('7月'!DO4:DP4,X$226)+COUNTIF('7月'!DT4:DU4,X$226)+COUNTIF('7月'!DY4:DZ4,X$226)+COUNTIF('7月'!ED4:EE4,X$226)+COUNTIF('7月'!EI4:EJ4,X$226)+COUNTIF('7月'!EN4:EO4,X$226)+COUNTIF('7月'!ES4:ET4,X$226)</f>
        <v>0</v>
      </c>
      <c r="Y228" s="76">
        <f>IF(X228=0,0,X228)</f>
        <v>0</v>
      </c>
    </row>
    <row r="229" spans="1:25" ht="18" customHeight="1">
      <c r="A229" s="76">
        <v>2</v>
      </c>
      <c r="B229" s="76">
        <f>COUNTIF('7月'!D5:E5,B$226)+COUNTIF('7月'!I5:J5,B$226)+COUNTIF('7月'!N5:O5,B$226)+COUNTIF('7月'!S5:T5,B$226)+COUNTIF('7月'!X5:Y5,B$226)+COUNTIF('7月'!AC5:AD5,B$226)+COUNTIF('7月'!AH5:AI5,B$226)+COUNTIF('7月'!AM5:AN5,B$226)+COUNTIF('7月'!AR5:AS5,B$226)+COUNTIF('7月'!AW5:AX5,B$226)+COUNTIF('7月'!BB5:BC5,B$226)+COUNTIF('7月'!BG5:BH5,B$226)+COUNTIF('7月'!BL5:BM5,B$226)+COUNTIF('7月'!BQ5:BR5,B$226)+COUNTIF('7月'!BV5:BW5,B$226)+COUNTIF('7月'!CA5:CB5,B$226)+COUNTIF('7月'!CF5:CG5,B$226)+COUNTIF('7月'!CK5:CL5,B$226)+COUNTIF('7月'!CP5:CQ5,B$226)+COUNTIF('7月'!CU5:CV5,B$226)+COUNTIF('7月'!CZ5:DA5,B$226)+COUNTIF('7月'!DE5:DF5,B$226)+COUNTIF('7月'!DJ5:DK5,B$226)+COUNTIF('7月'!DO5:DP5,B$226)+COUNTIF('7月'!DT5:DU5,B$226)+COUNTIF('7月'!DY5:DZ5,B$226)+COUNTIF('7月'!ED5:EE5,B$226)+COUNTIF('7月'!EI5:EJ5,B$226)+COUNTIF('7月'!EN5:EO5,B$226)+COUNTIF('7月'!ES5:ET5,B$226)</f>
        <v>0</v>
      </c>
      <c r="C229" s="76">
        <f t="shared" ref="C229:C258" si="72">IF(B229=0,C228,C228+B229)</f>
        <v>0</v>
      </c>
      <c r="D229" s="76">
        <f>COUNTIF('7月'!D5:E5,D$226)+COUNTIF('7月'!I5:J5,D$226)+COUNTIF('7月'!N5:O5,D$226)+COUNTIF('7月'!S5:T5,D$226)+COUNTIF('7月'!X5:Y5,D$226)+COUNTIF('7月'!AC5:AD5,D$226)+COUNTIF('7月'!AH5:AI5,D$226)+COUNTIF('7月'!AM5:AN5,D$226)+COUNTIF('7月'!AR5:AS5,D$226)+COUNTIF('7月'!AW5:AX5,D$226)+COUNTIF('7月'!BB5:BC5,D$226)+COUNTIF('7月'!BG5:BH5,D$226)+COUNTIF('7月'!BL5:BM5,D$226)+COUNTIF('7月'!BQ5:BR5,D$226)+COUNTIF('7月'!BV5:BW5,D$226)+COUNTIF('7月'!CA5:CB5,D$226)+COUNTIF('7月'!CF5:CG5,D$226)+COUNTIF('7月'!CK5:CL5,D$226)+COUNTIF('7月'!CP5:CQ5,D$226)+COUNTIF('7月'!CU5:CV5,D$226)+COUNTIF('7月'!CZ5:DA5,D$226)+COUNTIF('7月'!DE5:DF5,D$226)+COUNTIF('7月'!DJ5:DK5,D$226)+COUNTIF('7月'!DO5:DP5,D$226)+COUNTIF('7月'!DT5:DU5,D$226)+COUNTIF('7月'!DY5:DZ5,D$226)+COUNTIF('7月'!ED5:EE5,D$226)+COUNTIF('7月'!EI5:EJ5,D$226)+COUNTIF('7月'!EN5:EO5,D$226)+COUNTIF('7月'!ES5:ET5,D$226)</f>
        <v>0</v>
      </c>
      <c r="E229" s="76">
        <f t="shared" ref="E229:E258" si="73">IF(D229=0,E228,E228+D229)</f>
        <v>0</v>
      </c>
      <c r="F229" s="76">
        <f>COUNTIF('7月'!D5:E5,F$226)+COUNTIF('7月'!I5:J5,F$226)+COUNTIF('7月'!N5:O5,F$226)+COUNTIF('7月'!S5:T5,F$226)+COUNTIF('7月'!X5:Y5,F$226)+COUNTIF('7月'!AC5:AD5,F$226)+COUNTIF('7月'!AH5:AI5,F$226)+COUNTIF('7月'!AM5:AN5,F$226)+COUNTIF('7月'!AR5:AS5,F$226)+COUNTIF('7月'!AW5:AX5,F$226)+COUNTIF('7月'!BB5:BC5,F$226)+COUNTIF('7月'!BG5:BH5,F$226)+COUNTIF('7月'!BL5:BM5,F$226)+COUNTIF('7月'!BQ5:BR5,F$226)+COUNTIF('7月'!BV5:BW5,F$226)+COUNTIF('7月'!CA5:CB5,F$226)+COUNTIF('7月'!CF5:CG5,F$226)+COUNTIF('7月'!CK5:CL5,F$226)+COUNTIF('7月'!CP5:CQ5,F$226)+COUNTIF('7月'!CU5:CV5,F$226)+COUNTIF('7月'!CZ5:DA5,F$226)+COUNTIF('7月'!DE5:DF5,F$226)+COUNTIF('7月'!DJ5:DK5,F$226)+COUNTIF('7月'!DO5:DP5,F$226)+COUNTIF('7月'!DT5:DU5,F$226)+COUNTIF('7月'!DY5:DZ5,F$226)+COUNTIF('7月'!ED5:EE5,F$226)+COUNTIF('7月'!EI5:EJ5,F$226)+COUNTIF('7月'!EN5:EO5,F$226)+COUNTIF('7月'!ES5:ET5,F$226)</f>
        <v>0</v>
      </c>
      <c r="G229" s="76">
        <f t="shared" ref="G229:G258" si="74">IF(F229=0,G228,G228+F229)</f>
        <v>0</v>
      </c>
      <c r="H229" s="76">
        <f>COUNTIF('7月'!D5:E5,H$226)+COUNTIF('7月'!I5:J5,H$226)+COUNTIF('7月'!N5:O5,H$226)+COUNTIF('7月'!S5:T5,H$226)+COUNTIF('7月'!X5:Y5,H$226)+COUNTIF('7月'!AC5:AD5,H$226)+COUNTIF('7月'!AH5:AI5,H$226)+COUNTIF('7月'!AM5:AN5,H$226)+COUNTIF('7月'!AR5:AS5,H$226)+COUNTIF('7月'!AW5:AX5,H$226)+COUNTIF('7月'!BB5:BC5,H$226)+COUNTIF('7月'!BG5:BH5,H$226)+COUNTIF('7月'!BL5:BM5,H$226)+COUNTIF('7月'!BQ5:BR5,H$226)+COUNTIF('7月'!BV5:BW5,H$226)+COUNTIF('7月'!CA5:CB5,H$226)+COUNTIF('7月'!CF5:CG5,H$226)+COUNTIF('7月'!CK5:CL5,H$226)+COUNTIF('7月'!CP5:CQ5,H$226)+COUNTIF('7月'!CU5:CV5,H$226)+COUNTIF('7月'!CZ5:DA5,H$226)+COUNTIF('7月'!DE5:DF5,H$226)+COUNTIF('7月'!DJ5:DK5,H$226)+COUNTIF('7月'!DO5:DP5,H$226)+COUNTIF('7月'!DT5:DU5,H$226)+COUNTIF('7月'!DY5:DZ5,H$226)+COUNTIF('7月'!ED5:EE5,H$226)+COUNTIF('7月'!EI5:EJ5,H$226)+COUNTIF('7月'!EN5:EO5,H$226)+COUNTIF('7月'!ES5:ET5,H$226)+COUNTIF('7月'!D5:E5,"渋谷-夜勤")+COUNTIF('7月'!I5:J5,"渋谷-夜勤")+COUNTIF('7月'!N5:O5,"渋谷-夜勤")+COUNTIF('7月'!S5:T5,"渋谷-夜勤")+COUNTIF('7月'!X5:Y5,"渋谷-夜勤")+COUNTIF('7月'!AC5:AD5,"渋谷-夜勤")+COUNTIF('7月'!AH5:AI5,"渋谷-夜勤")+COUNTIF('7月'!AM5:AN5,"渋谷-夜勤")+COUNTIF('7月'!AR5:AS5,"渋谷-夜勤")+COUNTIF('7月'!AW5:AX5,"渋谷-夜勤")+COUNTIF('7月'!BB5:BC5,"渋谷-夜勤")+COUNTIF('7月'!BG5:BH5,"渋谷-夜勤")+COUNTIF('7月'!BL5:BM5,"渋谷-夜勤")+COUNTIF('7月'!BQ5:BR5,"渋谷-夜勤")+COUNTIF('7月'!BV5:BW5,"渋谷-夜勤")+COUNTIF('7月'!CA5:CB5,"渋谷-夜勤")+COUNTIF('7月'!CF5:CG5,"渋谷-夜勤")+COUNTIF('7月'!CK5:CL5,"渋谷-夜勤")+COUNTIF('7月'!CP5:CQ5,"渋谷-夜勤")+COUNTIF('7月'!CU5:CV5,"渋谷-夜勤")+COUNTIF('7月'!CZ5:DA5,"渋谷-夜勤")+COUNTIF('7月'!DE5:DF5,"渋谷-夜勤")+COUNTIF('7月'!DJ5:DK5,"渋谷-夜勤")+COUNTIF('7月'!DO5:DP5,"渋谷-夜勤")+COUNTIF('7月'!DT5:DU5,"渋谷-夜勤")+COUNTIF('7月'!DY5:DZ5,"渋谷-夜勤")+COUNTIF('7月'!ED5:EE5,"渋谷-夜勤")+COUNTIF('7月'!EI5:EJ5,"渋谷-夜勤")+COUNTIF('7月'!EN5:EO5,"渋谷-夜勤")+COUNTIF('7月'!ES5:ET5,"渋谷-夜勤")</f>
        <v>0</v>
      </c>
      <c r="I229" s="76">
        <f t="shared" ref="I229:I258" si="75">IF(H229=0,I228,I228+H229)</f>
        <v>0</v>
      </c>
      <c r="J229" s="76">
        <f>COUNTIF('7月'!D5:E5,J$226)+COUNTIF('7月'!I5:J5,J$226)+COUNTIF('7月'!N5:O5,J$226)+COUNTIF('7月'!S5:T5,J$226)+COUNTIF('7月'!X5:Y5,J$226)+COUNTIF('7月'!AC5:AD5,J$226)+COUNTIF('7月'!AH5:AI5,J$226)+COUNTIF('7月'!AM5:AN5,J$226)+COUNTIF('7月'!AR5:AS5,J$226)+COUNTIF('7月'!AW5:AX5,J$226)+COUNTIF('7月'!BB5:BC5,J$226)+COUNTIF('7月'!BG5:BH5,J$226)+COUNTIF('7月'!BL5:BM5,J$226)+COUNTIF('7月'!BQ5:BR5,J$226)+COUNTIF('7月'!BV5:BW5,J$226)+COUNTIF('7月'!CA5:CB5,J$226)+COUNTIF('7月'!CF5:CG5,J$226)+COUNTIF('7月'!CK5:CL5,J$226)+COUNTIF('7月'!CP5:CQ5,J$226)+COUNTIF('7月'!CU5:CV5,J$226)+COUNTIF('7月'!CZ5:DA5,J$226)+COUNTIF('7月'!DE5:DF5,J$226)+COUNTIF('7月'!DJ5:DK5,J$226)+COUNTIF('7月'!DO5:DP5,J$226)+COUNTIF('7月'!DT5:DU5,J$226)+COUNTIF('7月'!DY5:DZ5,J$226)+COUNTIF('7月'!ED5:EE5,J$226)+COUNTIF('7月'!EI5:EJ5,J$226)+COUNTIF('7月'!EN5:EO5,J$226)+COUNTIF('7月'!ES5:ET5,J$226)+COUNTIF('7月'!D5:E5,"六本木-夜勤")+COUNTIF('7月'!I5:J5,"六本木-夜勤")+COUNTIF('7月'!N5:O5,"六本木-夜勤")+COUNTIF('7月'!S5:T5,"六本木-夜勤")+COUNTIF('7月'!X5:Y5,"六本木-夜勤")+COUNTIF('7月'!AC5:AD5,"六本木-夜勤")+COUNTIF('7月'!AH5:AI5,"六本木-夜勤")+COUNTIF('7月'!AM5:AN5,"六本木-夜勤")+COUNTIF('7月'!AR5:AS5,"六本木-夜勤")+COUNTIF('7月'!AW5:AX5,"六本木-夜勤")+COUNTIF('7月'!BB5:BC5,"六本木-夜勤")+COUNTIF('7月'!BG5:BH5,"六本木-夜勤")+COUNTIF('7月'!BL5:BM5,"六本木-夜勤")+COUNTIF('7月'!BQ5:BR5,"六本木-夜勤")+COUNTIF('7月'!BV5:BW5,"六本木-夜勤")+COUNTIF('7月'!CA5:CB5,"六本木-夜勤")+COUNTIF('7月'!CF5:CG5,"六本木-夜勤")+COUNTIF('7月'!CK5:CL5,"六本木-夜勤")+COUNTIF('7月'!CP5:CQ5,"六本木-夜勤")+COUNTIF('7月'!CU5:CV5,"六本木-夜勤")+COUNTIF('7月'!CZ5:DA5,"六本木-夜勤")+COUNTIF('7月'!DE5:DF5,"六本木-夜勤")+COUNTIF('7月'!DJ5:DK5,"六本木-夜勤")+COUNTIF('7月'!DO5:DP5,"六本木-夜勤")+COUNTIF('7月'!DT5:DU5,"六本木-夜勤")+COUNTIF('7月'!DY5:DZ5,"六本木-夜勤")+COUNTIF('7月'!ED5:EE5,"六本木-夜勤")+COUNTIF('7月'!EI5:EJ5,"六本木-夜勤")+COUNTIF('7月'!EN5:EO5,"六本木-夜勤")+COUNTIF('7月'!ES5:ET5,"六本木-夜勤")+COUNTIF('7月'!D5:E5,"六本木ー夜勤")+COUNTIF('7月'!I5:J5,"六本木ー夜勤")+COUNTIF('7月'!N5:O5,"六本木ー夜勤")+COUNTIF('7月'!S5:T5,"六本木ー夜勤")+COUNTIF('7月'!X5:Y5,"六本木ー夜勤")+COUNTIF('7月'!AC5:AD5,"六本木ー夜勤")+COUNTIF('7月'!AH5:AI5,"六本木ー夜勤")+COUNTIF('7月'!AM5:AN5,"六本木ー夜勤")+COUNTIF('7月'!AR5:AS5,"六本木ー夜勤")+COUNTIF('7月'!AW5:AX5,"六本木ー夜勤")+COUNTIF('7月'!BB5:BC5,"六本木ー夜勤")+COUNTIF('7月'!BG5:BH5,"六本木ー夜勤")+COUNTIF('7月'!BL5:BM5,"六本木ー夜勤")+COUNTIF('7月'!BQ5:BR5,"六本木ー夜勤")+COUNTIF('7月'!BV5:BW5,"六本木ー夜勤")+COUNTIF('7月'!CA5:CB5,"六本木ー夜勤")+COUNTIF('7月'!CF5:CG5,"六本木ー夜勤")+COUNTIF('7月'!CK5:CL5,"六本木ー夜勤")+COUNTIF('7月'!CP5:CQ5,"六本木ー夜勤")+COUNTIF('7月'!CU5:CV5,"六本木ー夜勤")+COUNTIF('7月'!CZ5:DA5,"六本木ー夜勤")+COUNTIF('7月'!DE5:DF5,"六本木ー夜勤")+COUNTIF('7月'!DJ5:DK5,"六本木ー夜勤")+COUNTIF('7月'!DO5:DP5,"六本木ー夜勤")+COUNTIF('7月'!DT5:DU5,"六本木ー夜勤")+COUNTIF('7月'!DY5:DZ5,"六本木ー夜勤")+COUNTIF('7月'!ED5:EE5,"六本木ー夜勤")+COUNTIF('7月'!EI5:EJ5,"六本木ー夜勤")+COUNTIF('7月'!EN5:EO5,"六本木ー夜勤")+COUNTIF('7月'!ES5:ET5,"六本木ー夜勤")</f>
        <v>0</v>
      </c>
      <c r="K229" s="76">
        <f t="shared" ref="K229:K258" si="76">IF(J229=0,K228,K228+J229)</f>
        <v>0</v>
      </c>
      <c r="L229" s="76">
        <f>COUNTIF('7月'!D5:E5,L$226)+COUNTIF('7月'!I5:J5,L$226)+COUNTIF('7月'!N5:O5,L$226)+COUNTIF('7月'!S5:T5,L$226)+COUNTIF('7月'!X5:Y5,L$226)+COUNTIF('7月'!AC5:AD5,L$226)+COUNTIF('7月'!AH5:AI5,L$226)+COUNTIF('7月'!AM5:AN5,L$226)+COUNTIF('7月'!AR5:AS5,L$226)+COUNTIF('7月'!AW5:AX5,L$226)+COUNTIF('7月'!BB5:BC5,L$226)+COUNTIF('7月'!BG5:BH5,L$226)+COUNTIF('7月'!BL5:BM5,L$226)+COUNTIF('7月'!BQ5:BR5,L$226)+COUNTIF('7月'!BV5:BW5,L$226)+COUNTIF('7月'!CA5:CB5,L$226)+COUNTIF('7月'!CF5:CG5,L$226)+COUNTIF('7月'!CK5:CL5,L$226)+COUNTIF('7月'!CP5:CQ5,L$226)+COUNTIF('7月'!CU5:CV5,L$226)+COUNTIF('7月'!CZ5:DA5,L$226)+COUNTIF('7月'!DE5:DF5,L$226)+COUNTIF('7月'!DJ5:DK5,L$226)+COUNTIF('7月'!DO5:DP5,L$226)+COUNTIF('7月'!DT5:DU5,L$226)+COUNTIF('7月'!DY5:DZ5,L$226)+COUNTIF('7月'!ED5:EE5,L$226)+COUNTIF('7月'!EI5:EJ5,L$226)+COUNTIF('7月'!EN5:EO5,L$226)+COUNTIF('7月'!ES5:ET5,L$226)</f>
        <v>0</v>
      </c>
      <c r="M229" s="76">
        <f t="shared" ref="M229:M258" si="77">IF(L229=0,M228,M228+L229)</f>
        <v>0</v>
      </c>
      <c r="N229" s="76">
        <f>COUNTIF('7月'!D5:E5,N$226)+COUNTIF('7月'!I5:J5,N$226)+COUNTIF('7月'!N5:O5,N$226)+COUNTIF('7月'!S5:T5,N$226)+COUNTIF('7月'!X5:Y5,N$226)+COUNTIF('7月'!AC5:AD5,N$226)+COUNTIF('7月'!AH5:AI5,N$226)+COUNTIF('7月'!AM5:AN5,N$226)+COUNTIF('7月'!AR5:AS5,N$226)+COUNTIF('7月'!AW5:AX5,N$226)+COUNTIF('7月'!BB5:BC5,N$226)+COUNTIF('7月'!BG5:BH5,N$226)+COUNTIF('7月'!BL5:BM5,N$226)+COUNTIF('7月'!BQ5:BR5,N$226)+COUNTIF('7月'!BV5:BW5,N$226)+COUNTIF('7月'!CA5:CB5,N$226)+COUNTIF('7月'!CF5:CG5,N$226)+COUNTIF('7月'!CK5:CL5,N$226)+COUNTIF('7月'!CP5:CQ5,N$226)+COUNTIF('7月'!CU5:CV5,N$226)+COUNTIF('7月'!CZ5:DA5,N$226)+COUNTIF('7月'!DE5:DF5,N$226)+COUNTIF('7月'!DJ5:DK5,N$226)+COUNTIF('7月'!DO5:DP5,N$226)+COUNTIF('7月'!DT5:DU5,N$226)+COUNTIF('7月'!DY5:DZ5,N$226)+COUNTIF('7月'!ED5:EE5,N$226)+COUNTIF('7月'!EI5:EJ5,N$226)+COUNTIF('7月'!EN5:EO5,N$226)+COUNTIF('7月'!ES5:ET5,N$226)+COUNTIF('7月'!D5:E5,"三軒茶屋－夜勤")+COUNTIF('7月'!I5:J5,"三軒茶屋－夜勤")+COUNTIF('7月'!N5:O5,"三軒茶屋－夜勤")+COUNTIF('7月'!S5:T5,"三軒茶屋－夜勤")+COUNTIF('7月'!X5:Y5,"三軒茶屋－夜勤")+COUNTIF('7月'!AC5:AD5,"三軒茶屋－夜勤")+COUNTIF('7月'!AH5:AI5,"三軒茶屋－夜勤")+COUNTIF('7月'!AM5:AN5,"三軒茶屋－夜勤")+COUNTIF('7月'!AR5:AS5,"三軒茶屋－夜勤")+COUNTIF('7月'!AW5:AX5,"三軒茶屋－夜勤")+COUNTIF('7月'!BB5:BC5,"三軒茶屋－夜勤")+COUNTIF('7月'!BG5:BH5,"三軒茶屋－夜勤")+COUNTIF('7月'!BL5:BM5,"三軒茶屋－夜勤")+COUNTIF('7月'!BQ5:BR5,"三軒茶屋－夜勤")+COUNTIF('7月'!BV5:BW5,"三軒茶屋－夜勤")+COUNTIF('7月'!CA5:CB5,"三軒茶屋－夜勤")+COUNTIF('7月'!CF5:CG5,"三軒茶屋－夜勤")+COUNTIF('7月'!CK5:CL5,"三軒茶屋－夜勤")+COUNTIF('7月'!CP5:CQ5,"三軒茶屋－夜勤")+COUNTIF('7月'!CU5:CV5,"三軒茶屋－夜勤")+COUNTIF('7月'!CZ5:DA5,"三軒茶屋－夜勤")+COUNTIF('7月'!DE5:DF5,"三軒茶屋－夜勤")+COUNTIF('7月'!DJ5:DK5,"三軒茶屋－夜勤")+COUNTIF('7月'!DO5:DP5,"三軒茶屋－夜勤")+COUNTIF('7月'!DT5:DU5,"三軒茶屋－夜勤")+COUNTIF('7月'!DY5:DZ5,"三軒茶屋－夜勤")+COUNTIF('7月'!ED5:EE5,"三軒茶屋－夜勤")+COUNTIF('7月'!EI5:EJ5,"三軒茶屋－夜勤")+COUNTIF('7月'!EN5:EO5,"三軒茶屋－夜勤")+COUNTIF('7月'!ES5:ET5,"三軒茶屋－夜勤")</f>
        <v>0</v>
      </c>
      <c r="O229" s="76">
        <f t="shared" ref="O229:O258" si="78">IF(N229=0,O228,O228+N229)</f>
        <v>0</v>
      </c>
      <c r="P229" s="76">
        <f>COUNTIF('7月'!D5:E5,P$226)+COUNTIF('7月'!I5:J5,P$226)+COUNTIF('7月'!N5:O5,P$226)+COUNTIF('7月'!S5:T5,P$226)+COUNTIF('7月'!X5:Y5,P$226)+COUNTIF('7月'!AC5:AD5,P$226)+COUNTIF('7月'!AH5:AI5,P$226)+COUNTIF('7月'!AM5:AN5,P$226)+COUNTIF('7月'!AR5:AS5,P$226)+COUNTIF('7月'!AW5:AX5,P$226)+COUNTIF('7月'!BB5:BC5,P$226)+COUNTIF('7月'!BG5:BH5,P$226)+COUNTIF('7月'!BL5:BM5,P$226)+COUNTIF('7月'!BQ5:BR5,P$226)+COUNTIF('7月'!BV5:BW5,P$226)+COUNTIF('7月'!CA5:CB5,P$226)+COUNTIF('7月'!CF5:CG5,P$226)+COUNTIF('7月'!CK5:CL5,P$226)+COUNTIF('7月'!CP5:CQ5,P$226)+COUNTIF('7月'!CU5:CV5,P$226)+COUNTIF('7月'!CZ5:DA5,P$226)+COUNTIF('7月'!DE5:DF5,P$226)+COUNTIF('7月'!DJ5:DK5,P$226)+COUNTIF('7月'!DO5:DP5,P$226)+COUNTIF('7月'!DT5:DU5,P$226)+COUNTIF('7月'!DY5:DZ5,P$226)+COUNTIF('7月'!ED5:EE5,P$226)+COUNTIF('7月'!EI5:EJ5,P$226)+COUNTIF('7月'!EN5:EO5,P$226)+COUNTIF('7月'!ES5:ET5,P$226)+COUNTIF('7月'!D5:E5,"荻窪ー夜勤")+COUNTIF('7月'!I5:J5,"荻窪ー夜勤")+COUNTIF('7月'!N5:O5,"荻窪ー夜勤")+COUNTIF('7月'!S5:T5,"荻窪ー夜勤")+COUNTIF('7月'!X5:Y5,"荻窪ー夜勤")+COUNTIF('7月'!AC5:AD5,"荻窪ー夜勤")+COUNTIF('7月'!AH5:AI5,"荻窪ー夜勤")+COUNTIF('7月'!AM5:AN5,"荻窪ー夜勤")+COUNTIF('7月'!AR5:AS5,"荻窪ー夜勤")+COUNTIF('7月'!AW5:AX5,"荻窪ー夜勤")+COUNTIF('7月'!BB5:BC5,"荻窪ー夜勤")+COUNTIF('7月'!BG5:BH5,"荻窪ー夜勤")+COUNTIF('7月'!BL5:BM5,"荻窪ー夜勤")+COUNTIF('7月'!BQ5:BR5,"荻窪ー夜勤")+COUNTIF('7月'!BV5:BW5,"荻窪ー夜勤")+COUNTIF('7月'!CA5:CB5,"荻窪ー夜勤")+COUNTIF('7月'!CF5:CG5,"荻窪ー夜勤")+COUNTIF('7月'!CK5:CL5,"荻窪ー夜勤")+COUNTIF('7月'!CP5:CQ5,"荻窪ー夜勤")+COUNTIF('7月'!CU5:CV5,"荻窪ー夜勤")+COUNTIF('7月'!CZ5:DA5,"荻窪ー夜勤")+COUNTIF('7月'!DE5:DF5,"荻窪ー夜勤")+COUNTIF('7月'!DJ5:DK5,"荻窪ー夜勤")+COUNTIF('7月'!DO5:DP5,"荻窪ー夜勤")+COUNTIF('7月'!DT5:DU5,"荻窪ー夜勤")+COUNTIF('7月'!DY5:DZ5,"荻窪ー夜勤")+COUNTIF('7月'!ED5:EE5,"荻窪ー夜勤")+COUNTIF('7月'!EI5:EJ5,"荻窪ー夜勤")+COUNTIF('7月'!EN5:EO5,"荻窪ー夜勤")+COUNTIF('7月'!ES5:ET5,"荻窪ー夜勤")</f>
        <v>0</v>
      </c>
      <c r="Q229" s="76">
        <f t="shared" ref="Q229:Q258" si="79">IF(P229=0,Q228,Q228+P229)</f>
        <v>0</v>
      </c>
      <c r="R229" s="76">
        <f>COUNTIF('7月'!D5:E5,R$226)+COUNTIF('7月'!I5:J5,R$226)+COUNTIF('7月'!N5:O5,R$226)+COUNTIF('7月'!S5:T5,R$226)+COUNTIF('7月'!X5:Y5,R$226)+COUNTIF('7月'!AC5:AD5,R$226)+COUNTIF('7月'!AH5:AI5,R$226)+COUNTIF('7月'!AM5:AN5,R$226)+COUNTIF('7月'!AR5:AS5,R$226)+COUNTIF('7月'!AW5:AX5,R$226)+COUNTIF('7月'!BB5:BC5,R$226)+COUNTIF('7月'!BG5:BH5,R$226)+COUNTIF('7月'!BL5:BM5,R$226)+COUNTIF('7月'!BQ5:BR5,R$226)+COUNTIF('7月'!BV5:BW5,R$226)+COUNTIF('7月'!CA5:CB5,R$226)+COUNTIF('7月'!CF5:CG5,R$226)+COUNTIF('7月'!CK5:CL5,R$226)+COUNTIF('7月'!CP5:CQ5,R$226)+COUNTIF('7月'!CU5:CV5,R$226)+COUNTIF('7月'!CZ5:DA5,R$226)+COUNTIF('7月'!DE5:DF5,R$226)+COUNTIF('7月'!DJ5:DK5,R$226)+COUNTIF('7月'!DO5:DP5,R$226)+COUNTIF('7月'!DT5:DU5,R$226)+COUNTIF('7月'!DY5:DZ5,R$226)+COUNTIF('7月'!ED5:EE5,R$226)+COUNTIF('7月'!EI5:EJ5,R$226)+COUNTIF('7月'!EN5:EO5,R$226)+COUNTIF('7月'!ES5:ET5,R$226)</f>
        <v>0</v>
      </c>
      <c r="S229" s="76">
        <f t="shared" ref="S229:S258" si="80">IF(R229=0,S228,S228+R229)</f>
        <v>0</v>
      </c>
      <c r="T229" s="76">
        <f>COUNTIF('7月'!D5:E5,T$226)+COUNTIF('7月'!I5:J5,T$226)+COUNTIF('7月'!N5:O5,T$226)+COUNTIF('7月'!S5:T5,T$226)+COUNTIF('7月'!X5:Y5,T$226)+COUNTIF('7月'!AC5:AD5,T$226)+COUNTIF('7月'!AH5:AI5,T$226)+COUNTIF('7月'!AM5:AN5,T$226)+COUNTIF('7月'!AR5:AS5,T$226)+COUNTIF('7月'!AW5:AX5,T$226)+COUNTIF('7月'!BB5:BC5,T$226)+COUNTIF('7月'!BG5:BH5,T$226)+COUNTIF('7月'!BL5:BM5,T$226)+COUNTIF('7月'!BQ5:BR5,T$226)+COUNTIF('7月'!BV5:BW5,T$226)+COUNTIF('7月'!CA5:CB5,T$226)+COUNTIF('7月'!CF5:CG5,T$226)+COUNTIF('7月'!CK5:CL5,T$226)+COUNTIF('7月'!CP5:CQ5,T$226)+COUNTIF('7月'!CU5:CV5,T$226)+COUNTIF('7月'!CZ5:DA5,T$226)+COUNTIF('7月'!DE5:DF5,T$226)+COUNTIF('7月'!DJ5:DK5,T$226)+COUNTIF('7月'!DO5:DP5,T$226)+COUNTIF('7月'!DT5:DU5,T$226)+COUNTIF('7月'!DY5:DZ5,T$226)+COUNTIF('7月'!ED5:EE5,T$226)+COUNTIF('7月'!EI5:EJ5,T$226)+COUNTIF('7月'!EN5:EO5,T$226)+COUNTIF('7月'!ES5:ET5,T$226)</f>
        <v>0</v>
      </c>
      <c r="U229" s="76">
        <f t="shared" ref="U229:U258" si="81">IF(T229=0,U228,U228+T229)</f>
        <v>0</v>
      </c>
      <c r="V229" s="76">
        <f>COUNTIF('7月'!D5:E5,V$226)+COUNTIF('7月'!I5:J5,V$226)+COUNTIF('7月'!N5:O5,V$226)+COUNTIF('7月'!S5:T5,V$226)+COUNTIF('7月'!X5:Y5,V$226)+COUNTIF('7月'!AC5:AD5,V$226)+COUNTIF('7月'!AH5:AI5,V$226)+COUNTIF('7月'!AM5:AN5,V$226)+COUNTIF('7月'!AR5:AS5,V$226)+COUNTIF('7月'!AW5:AX5,V$226)+COUNTIF('7月'!BB5:BC5,V$226)+COUNTIF('7月'!BG5:BH5,V$226)+COUNTIF('7月'!BL5:BM5,V$226)+COUNTIF('7月'!BQ5:BR5,V$226)+COUNTIF('7月'!BV5:BW5,V$226)+COUNTIF('7月'!CA5:CB5,V$226)+COUNTIF('7月'!CF5:CG5,V$226)+COUNTIF('7月'!CK5:CL5,V$226)+COUNTIF('7月'!CP5:CQ5,V$226)+COUNTIF('7月'!CU5:CV5,V$226)+COUNTIF('7月'!CZ5:DA5,V$226)+COUNTIF('7月'!DE5:DF5,V$226)+COUNTIF('7月'!DJ5:DK5,V$226)+COUNTIF('7月'!DO5:DP5,V$226)+COUNTIF('7月'!DT5:DU5,V$226)+COUNTIF('7月'!DY5:DZ5,V$226)+COUNTIF('7月'!ED5:EE5,V$226)+COUNTIF('7月'!EI5:EJ5,V$226)+COUNTIF('7月'!EN5:EO5,V$226)+COUNTIF('7月'!ES5:ET5,V$226)</f>
        <v>0</v>
      </c>
      <c r="W229" s="76">
        <f t="shared" ref="W229:W258" si="82">IF(V229=0,W228,W228+V229)</f>
        <v>0</v>
      </c>
      <c r="X229" s="76">
        <f>COUNTIF('7月'!D5:E5,X$226)+COUNTIF('7月'!I5:J5,X$226)+COUNTIF('7月'!N5:O5,X$226)+COUNTIF('7月'!S5:T5,X$226)+COUNTIF('7月'!X5:Y5,X$226)+COUNTIF('7月'!AC5:AD5,X$226)+COUNTIF('7月'!AH5:AI5,X$226)+COUNTIF('7月'!AM5:AN5,X$226)+COUNTIF('7月'!AR5:AS5,X$226)+COUNTIF('7月'!AW5:AX5,X$226)+COUNTIF('7月'!BB5:BC5,X$226)+COUNTIF('7月'!BG5:BH5,X$226)+COUNTIF('7月'!BL5:BM5,X$226)+COUNTIF('7月'!BQ5:BR5,X$226)+COUNTIF('7月'!BV5:BW5,X$226)+COUNTIF('7月'!CA5:CB5,X$226)+COUNTIF('7月'!CF5:CG5,X$226)+COUNTIF('7月'!CK5:CL5,X$226)+COUNTIF('7月'!CP5:CQ5,X$226)+COUNTIF('7月'!CU5:CV5,X$226)+COUNTIF('7月'!CZ5:DA5,X$226)+COUNTIF('7月'!DE5:DF5,X$226)+COUNTIF('7月'!DJ5:DK5,X$226)+COUNTIF('7月'!DO5:DP5,X$226)+COUNTIF('7月'!DT5:DU5,X$226)+COUNTIF('7月'!DY5:DZ5,X$226)+COUNTIF('7月'!ED5:EE5,X$226)+COUNTIF('7月'!EI5:EJ5,X$226)+COUNTIF('7月'!EN5:EO5,X$226)+COUNTIF('7月'!ES5:ET5,X$226)</f>
        <v>0</v>
      </c>
      <c r="Y229" s="76">
        <f t="shared" ref="Y229:Y258" si="83">IF(X229=0,Y228,Y228+X229)</f>
        <v>0</v>
      </c>
    </row>
    <row r="230" spans="1:25" ht="18" customHeight="1">
      <c r="A230" s="76">
        <v>3</v>
      </c>
      <c r="B230" s="76">
        <f>COUNTIF('7月'!D6:E6,B$226)+COUNTIF('7月'!I6:J6,B$226)+COUNTIF('7月'!N6:O6,B$226)+COUNTIF('7月'!S6:T6,B$226)+COUNTIF('7月'!X6:Y6,B$226)+COUNTIF('7月'!AC6:AD6,B$226)+COUNTIF('7月'!AH6:AI6,B$226)+COUNTIF('7月'!AM6:AN6,B$226)+COUNTIF('7月'!AR6:AS6,B$226)+COUNTIF('7月'!AW6:AX6,B$226)+COUNTIF('7月'!BB6:BC6,B$226)+COUNTIF('7月'!BG6:BH6,B$226)+COUNTIF('7月'!BL6:BM6,B$226)+COUNTIF('7月'!BQ6:BR6,B$226)+COUNTIF('7月'!BV6:BW6,B$226)+COUNTIF('7月'!CA6:CB6,B$226)+COUNTIF('7月'!CF6:CG6,B$226)+COUNTIF('7月'!CK6:CL6,B$226)+COUNTIF('7月'!CP6:CQ6,B$226)+COUNTIF('7月'!CU6:CV6,B$226)+COUNTIF('7月'!CZ6:DA6,B$226)+COUNTIF('7月'!DE6:DF6,B$226)+COUNTIF('7月'!DJ6:DK6,B$226)+COUNTIF('7月'!DO6:DP6,B$226)+COUNTIF('7月'!DT6:DU6,B$226)+COUNTIF('7月'!DY6:DZ6,B$226)+COUNTIF('7月'!ED6:EE6,B$226)+COUNTIF('7月'!EI6:EJ6,B$226)+COUNTIF('7月'!EN6:EO6,B$226)+COUNTIF('7月'!ES6:ET6,B$226)</f>
        <v>0</v>
      </c>
      <c r="C230" s="76">
        <f t="shared" si="72"/>
        <v>0</v>
      </c>
      <c r="D230" s="76">
        <f>COUNTIF('7月'!D6:E6,D$226)+COUNTIF('7月'!I6:J6,D$226)+COUNTIF('7月'!N6:O6,D$226)+COUNTIF('7月'!S6:T6,D$226)+COUNTIF('7月'!X6:Y6,D$226)+COUNTIF('7月'!AC6:AD6,D$226)+COUNTIF('7月'!AH6:AI6,D$226)+COUNTIF('7月'!AM6:AN6,D$226)+COUNTIF('7月'!AR6:AS6,D$226)+COUNTIF('7月'!AW6:AX6,D$226)+COUNTIF('7月'!BB6:BC6,D$226)+COUNTIF('7月'!BG6:BH6,D$226)+COUNTIF('7月'!BL6:BM6,D$226)+COUNTIF('7月'!BQ6:BR6,D$226)+COUNTIF('7月'!BV6:BW6,D$226)+COUNTIF('7月'!CA6:CB6,D$226)+COUNTIF('7月'!CF6:CG6,D$226)+COUNTIF('7月'!CK6:CL6,D$226)+COUNTIF('7月'!CP6:CQ6,D$226)+COUNTIF('7月'!CU6:CV6,D$226)+COUNTIF('7月'!CZ6:DA6,D$226)+COUNTIF('7月'!DE6:DF6,D$226)+COUNTIF('7月'!DJ6:DK6,D$226)+COUNTIF('7月'!DO6:DP6,D$226)+COUNTIF('7月'!DT6:DU6,D$226)+COUNTIF('7月'!DY6:DZ6,D$226)+COUNTIF('7月'!ED6:EE6,D$226)+COUNTIF('7月'!EI6:EJ6,D$226)+COUNTIF('7月'!EN6:EO6,D$226)+COUNTIF('7月'!ES6:ET6,D$226)</f>
        <v>0</v>
      </c>
      <c r="E230" s="76">
        <f t="shared" si="73"/>
        <v>0</v>
      </c>
      <c r="F230" s="76">
        <f>COUNTIF('7月'!D6:E6,F$226)+COUNTIF('7月'!I6:J6,F$226)+COUNTIF('7月'!N6:O6,F$226)+COUNTIF('7月'!S6:T6,F$226)+COUNTIF('7月'!X6:Y6,F$226)+COUNTIF('7月'!AC6:AD6,F$226)+COUNTIF('7月'!AH6:AI6,F$226)+COUNTIF('7月'!AM6:AN6,F$226)+COUNTIF('7月'!AR6:AS6,F$226)+COUNTIF('7月'!AW6:AX6,F$226)+COUNTIF('7月'!BB6:BC6,F$226)+COUNTIF('7月'!BG6:BH6,F$226)+COUNTIF('7月'!BL6:BM6,F$226)+COUNTIF('7月'!BQ6:BR6,F$226)+COUNTIF('7月'!BV6:BW6,F$226)+COUNTIF('7月'!CA6:CB6,F$226)+COUNTIF('7月'!CF6:CG6,F$226)+COUNTIF('7月'!CK6:CL6,F$226)+COUNTIF('7月'!CP6:CQ6,F$226)+COUNTIF('7月'!CU6:CV6,F$226)+COUNTIF('7月'!CZ6:DA6,F$226)+COUNTIF('7月'!DE6:DF6,F$226)+COUNTIF('7月'!DJ6:DK6,F$226)+COUNTIF('7月'!DO6:DP6,F$226)+COUNTIF('7月'!DT6:DU6,F$226)+COUNTIF('7月'!DY6:DZ6,F$226)+COUNTIF('7月'!ED6:EE6,F$226)+COUNTIF('7月'!EI6:EJ6,F$226)+COUNTIF('7月'!EN6:EO6,F$226)+COUNTIF('7月'!ES6:ET6,F$226)</f>
        <v>0</v>
      </c>
      <c r="G230" s="76">
        <f t="shared" si="74"/>
        <v>0</v>
      </c>
      <c r="H230" s="76">
        <f>COUNTIF('7月'!D6:E6,H$226)+COUNTIF('7月'!I6:J6,H$226)+COUNTIF('7月'!N6:O6,H$226)+COUNTIF('7月'!S6:T6,H$226)+COUNTIF('7月'!X6:Y6,H$226)+COUNTIF('7月'!AC6:AD6,H$226)+COUNTIF('7月'!AH6:AI6,H$226)+COUNTIF('7月'!AM6:AN6,H$226)+COUNTIF('7月'!AR6:AS6,H$226)+COUNTIF('7月'!AW6:AX6,H$226)+COUNTIF('7月'!BB6:BC6,H$226)+COUNTIF('7月'!BG6:BH6,H$226)+COUNTIF('7月'!BL6:BM6,H$226)+COUNTIF('7月'!BQ6:BR6,H$226)+COUNTIF('7月'!BV6:BW6,H$226)+COUNTIF('7月'!CA6:CB6,H$226)+COUNTIF('7月'!CF6:CG6,H$226)+COUNTIF('7月'!CK6:CL6,H$226)+COUNTIF('7月'!CP6:CQ6,H$226)+COUNTIF('7月'!CU6:CV6,H$226)+COUNTIF('7月'!CZ6:DA6,H$226)+COUNTIF('7月'!DE6:DF6,H$226)+COUNTIF('7月'!DJ6:DK6,H$226)+COUNTIF('7月'!DO6:DP6,H$226)+COUNTIF('7月'!DT6:DU6,H$226)+COUNTIF('7月'!DY6:DZ6,H$226)+COUNTIF('7月'!ED6:EE6,H$226)+COUNTIF('7月'!EI6:EJ6,H$226)+COUNTIF('7月'!EN6:EO6,H$226)+COUNTIF('7月'!ES6:ET6,H$226)+COUNTIF('7月'!D6:E6,"渋谷-夜勤")+COUNTIF('7月'!I6:J6,"渋谷-夜勤")+COUNTIF('7月'!N6:O6,"渋谷-夜勤")+COUNTIF('7月'!S6:T6,"渋谷-夜勤")+COUNTIF('7月'!X6:Y6,"渋谷-夜勤")+COUNTIF('7月'!AC6:AD6,"渋谷-夜勤")+COUNTIF('7月'!AH6:AI6,"渋谷-夜勤")+COUNTIF('7月'!AM6:AN6,"渋谷-夜勤")+COUNTIF('7月'!AR6:AS6,"渋谷-夜勤")+COUNTIF('7月'!AW6:AX6,"渋谷-夜勤")+COUNTIF('7月'!BB6:BC6,"渋谷-夜勤")+COUNTIF('7月'!BG6:BH6,"渋谷-夜勤")+COUNTIF('7月'!BL6:BM6,"渋谷-夜勤")+COUNTIF('7月'!BQ6:BR6,"渋谷-夜勤")+COUNTIF('7月'!BV6:BW6,"渋谷-夜勤")+COUNTIF('7月'!CA6:CB6,"渋谷-夜勤")+COUNTIF('7月'!CF6:CG6,"渋谷-夜勤")+COUNTIF('7月'!CK6:CL6,"渋谷-夜勤")+COUNTIF('7月'!CP6:CQ6,"渋谷-夜勤")+COUNTIF('7月'!CU6:CV6,"渋谷-夜勤")+COUNTIF('7月'!CZ6:DA6,"渋谷-夜勤")+COUNTIF('7月'!DE6:DF6,"渋谷-夜勤")+COUNTIF('7月'!DJ6:DK6,"渋谷-夜勤")+COUNTIF('7月'!DO6:DP6,"渋谷-夜勤")+COUNTIF('7月'!DT6:DU6,"渋谷-夜勤")+COUNTIF('7月'!DY6:DZ6,"渋谷-夜勤")+COUNTIF('7月'!ED6:EE6,"渋谷-夜勤")+COUNTIF('7月'!EI6:EJ6,"渋谷-夜勤")+COUNTIF('7月'!EN6:EO6,"渋谷-夜勤")+COUNTIF('7月'!ES6:ET6,"渋谷-夜勤")</f>
        <v>0</v>
      </c>
      <c r="I230" s="76">
        <f t="shared" si="75"/>
        <v>0</v>
      </c>
      <c r="J230" s="76">
        <f>COUNTIF('7月'!D6:E6,J$226)+COUNTIF('7月'!I6:J6,J$226)+COUNTIF('7月'!N6:O6,J$226)+COUNTIF('7月'!S6:T6,J$226)+COUNTIF('7月'!X6:Y6,J$226)+COUNTIF('7月'!AC6:AD6,J$226)+COUNTIF('7月'!AH6:AI6,J$226)+COUNTIF('7月'!AM6:AN6,J$226)+COUNTIF('7月'!AR6:AS6,J$226)+COUNTIF('7月'!AW6:AX6,J$226)+COUNTIF('7月'!BB6:BC6,J$226)+COUNTIF('7月'!BG6:BH6,J$226)+COUNTIF('7月'!BL6:BM6,J$226)+COUNTIF('7月'!BQ6:BR6,J$226)+COUNTIF('7月'!BV6:BW6,J$226)+COUNTIF('7月'!CA6:CB6,J$226)+COUNTIF('7月'!CF6:CG6,J$226)+COUNTIF('7月'!CK6:CL6,J$226)+COUNTIF('7月'!CP6:CQ6,J$226)+COUNTIF('7月'!CU6:CV6,J$226)+COUNTIF('7月'!CZ6:DA6,J$226)+COUNTIF('7月'!DE6:DF6,J$226)+COUNTIF('7月'!DJ6:DK6,J$226)+COUNTIF('7月'!DO6:DP6,J$226)+COUNTIF('7月'!DT6:DU6,J$226)+COUNTIF('7月'!DY6:DZ6,J$226)+COUNTIF('7月'!ED6:EE6,J$226)+COUNTIF('7月'!EI6:EJ6,J$226)+COUNTIF('7月'!EN6:EO6,J$226)+COUNTIF('7月'!ES6:ET6,J$226)+COUNTIF('7月'!D6:E6,"六本木-夜勤")+COUNTIF('7月'!I6:J6,"六本木-夜勤")+COUNTIF('7月'!N6:O6,"六本木-夜勤")+COUNTIF('7月'!S6:T6,"六本木-夜勤")+COUNTIF('7月'!X6:Y6,"六本木-夜勤")+COUNTIF('7月'!AC6:AD6,"六本木-夜勤")+COUNTIF('7月'!AH6:AI6,"六本木-夜勤")+COUNTIF('7月'!AM6:AN6,"六本木-夜勤")+COUNTIF('7月'!AR6:AS6,"六本木-夜勤")+COUNTIF('7月'!AW6:AX6,"六本木-夜勤")+COUNTIF('7月'!BB6:BC6,"六本木-夜勤")+COUNTIF('7月'!BG6:BH6,"六本木-夜勤")+COUNTIF('7月'!BL6:BM6,"六本木-夜勤")+COUNTIF('7月'!BQ6:BR6,"六本木-夜勤")+COUNTIF('7月'!BV6:BW6,"六本木-夜勤")+COUNTIF('7月'!CA6:CB6,"六本木-夜勤")+COUNTIF('7月'!CF6:CG6,"六本木-夜勤")+COUNTIF('7月'!CK6:CL6,"六本木-夜勤")+COUNTIF('7月'!CP6:CQ6,"六本木-夜勤")+COUNTIF('7月'!CU6:CV6,"六本木-夜勤")+COUNTIF('7月'!CZ6:DA6,"六本木-夜勤")+COUNTIF('7月'!DE6:DF6,"六本木-夜勤")+COUNTIF('7月'!DJ6:DK6,"六本木-夜勤")+COUNTIF('7月'!DO6:DP6,"六本木-夜勤")+COUNTIF('7月'!DT6:DU6,"六本木-夜勤")+COUNTIF('7月'!DY6:DZ6,"六本木-夜勤")+COUNTIF('7月'!ED6:EE6,"六本木-夜勤")+COUNTIF('7月'!EI6:EJ6,"六本木-夜勤")+COUNTIF('7月'!EN6:EO6,"六本木-夜勤")+COUNTIF('7月'!ES6:ET6,"六本木-夜勤")+COUNTIF('7月'!D6:E6,"六本木ー夜勤")+COUNTIF('7月'!I6:J6,"六本木ー夜勤")+COUNTIF('7月'!N6:O6,"六本木ー夜勤")+COUNTIF('7月'!S6:T6,"六本木ー夜勤")+COUNTIF('7月'!X6:Y6,"六本木ー夜勤")+COUNTIF('7月'!AC6:AD6,"六本木ー夜勤")+COUNTIF('7月'!AH6:AI6,"六本木ー夜勤")+COUNTIF('7月'!AM6:AN6,"六本木ー夜勤")+COUNTIF('7月'!AR6:AS6,"六本木ー夜勤")+COUNTIF('7月'!AW6:AX6,"六本木ー夜勤")+COUNTIF('7月'!BB6:BC6,"六本木ー夜勤")+COUNTIF('7月'!BG6:BH6,"六本木ー夜勤")+COUNTIF('7月'!BL6:BM6,"六本木ー夜勤")+COUNTIF('7月'!BQ6:BR6,"六本木ー夜勤")+COUNTIF('7月'!BV6:BW6,"六本木ー夜勤")+COUNTIF('7月'!CA6:CB6,"六本木ー夜勤")+COUNTIF('7月'!CF6:CG6,"六本木ー夜勤")+COUNTIF('7月'!CK6:CL6,"六本木ー夜勤")+COUNTIF('7月'!CP6:CQ6,"六本木ー夜勤")+COUNTIF('7月'!CU6:CV6,"六本木ー夜勤")+COUNTIF('7月'!CZ6:DA6,"六本木ー夜勤")+COUNTIF('7月'!DE6:DF6,"六本木ー夜勤")+COUNTIF('7月'!DJ6:DK6,"六本木ー夜勤")+COUNTIF('7月'!DO6:DP6,"六本木ー夜勤")+COUNTIF('7月'!DT6:DU6,"六本木ー夜勤")+COUNTIF('7月'!DY6:DZ6,"六本木ー夜勤")+COUNTIF('7月'!ED6:EE6,"六本木ー夜勤")+COUNTIF('7月'!EI6:EJ6,"六本木ー夜勤")+COUNTIF('7月'!EN6:EO6,"六本木ー夜勤")+COUNTIF('7月'!ES6:ET6,"六本木ー夜勤")</f>
        <v>0</v>
      </c>
      <c r="K230" s="76">
        <f t="shared" si="76"/>
        <v>0</v>
      </c>
      <c r="L230" s="76">
        <f>COUNTIF('7月'!D6:E6,L$226)+COUNTIF('7月'!I6:J6,L$226)+COUNTIF('7月'!N6:O6,L$226)+COUNTIF('7月'!S6:T6,L$226)+COUNTIF('7月'!X6:Y6,L$226)+COUNTIF('7月'!AC6:AD6,L$226)+COUNTIF('7月'!AH6:AI6,L$226)+COUNTIF('7月'!AM6:AN6,L$226)+COUNTIF('7月'!AR6:AS6,L$226)+COUNTIF('7月'!AW6:AX6,L$226)+COUNTIF('7月'!BB6:BC6,L$226)+COUNTIF('7月'!BG6:BH6,L$226)+COUNTIF('7月'!BL6:BM6,L$226)+COUNTIF('7月'!BQ6:BR6,L$226)+COUNTIF('7月'!BV6:BW6,L$226)+COUNTIF('7月'!CA6:CB6,L$226)+COUNTIF('7月'!CF6:CG6,L$226)+COUNTIF('7月'!CK6:CL6,L$226)+COUNTIF('7月'!CP6:CQ6,L$226)+COUNTIF('7月'!CU6:CV6,L$226)+COUNTIF('7月'!CZ6:DA6,L$226)+COUNTIF('7月'!DE6:DF6,L$226)+COUNTIF('7月'!DJ6:DK6,L$226)+COUNTIF('7月'!DO6:DP6,L$226)+COUNTIF('7月'!DT6:DU6,L$226)+COUNTIF('7月'!DY6:DZ6,L$226)+COUNTIF('7月'!ED6:EE6,L$226)+COUNTIF('7月'!EI6:EJ6,L$226)+COUNTIF('7月'!EN6:EO6,L$226)+COUNTIF('7月'!ES6:ET6,L$226)</f>
        <v>0</v>
      </c>
      <c r="M230" s="76">
        <f t="shared" si="77"/>
        <v>0</v>
      </c>
      <c r="N230" s="76">
        <f>COUNTIF('7月'!D6:E6,N$226)+COUNTIF('7月'!I6:J6,N$226)+COUNTIF('7月'!N6:O6,N$226)+COUNTIF('7月'!S6:T6,N$226)+COUNTIF('7月'!X6:Y6,N$226)+COUNTIF('7月'!AC6:AD6,N$226)+COUNTIF('7月'!AH6:AI6,N$226)+COUNTIF('7月'!AM6:AN6,N$226)+COUNTIF('7月'!AR6:AS6,N$226)+COUNTIF('7月'!AW6:AX6,N$226)+COUNTIF('7月'!BB6:BC6,N$226)+COUNTIF('7月'!BG6:BH6,N$226)+COUNTIF('7月'!BL6:BM6,N$226)+COUNTIF('7月'!BQ6:BR6,N$226)+COUNTIF('7月'!BV6:BW6,N$226)+COUNTIF('7月'!CA6:CB6,N$226)+COUNTIF('7月'!CF6:CG6,N$226)+COUNTIF('7月'!CK6:CL6,N$226)+COUNTIF('7月'!CP6:CQ6,N$226)+COUNTIF('7月'!CU6:CV6,N$226)+COUNTIF('7月'!CZ6:DA6,N$226)+COUNTIF('7月'!DE6:DF6,N$226)+COUNTIF('7月'!DJ6:DK6,N$226)+COUNTIF('7月'!DO6:DP6,N$226)+COUNTIF('7月'!DT6:DU6,N$226)+COUNTIF('7月'!DY6:DZ6,N$226)+COUNTIF('7月'!ED6:EE6,N$226)+COUNTIF('7月'!EI6:EJ6,N$226)+COUNTIF('7月'!EN6:EO6,N$226)+COUNTIF('7月'!ES6:ET6,N$226)+COUNTIF('7月'!D6:E6,"三軒茶屋－夜勤")+COUNTIF('7月'!I6:J6,"三軒茶屋－夜勤")+COUNTIF('7月'!N6:O6,"三軒茶屋－夜勤")+COUNTIF('7月'!S6:T6,"三軒茶屋－夜勤")+COUNTIF('7月'!X6:Y6,"三軒茶屋－夜勤")+COUNTIF('7月'!AC6:AD6,"三軒茶屋－夜勤")+COUNTIF('7月'!AH6:AI6,"三軒茶屋－夜勤")+COUNTIF('7月'!AM6:AN6,"三軒茶屋－夜勤")+COUNTIF('7月'!AR6:AS6,"三軒茶屋－夜勤")+COUNTIF('7月'!AW6:AX6,"三軒茶屋－夜勤")+COUNTIF('7月'!BB6:BC6,"三軒茶屋－夜勤")+COUNTIF('7月'!BG6:BH6,"三軒茶屋－夜勤")+COUNTIF('7月'!BL6:BM6,"三軒茶屋－夜勤")+COUNTIF('7月'!BQ6:BR6,"三軒茶屋－夜勤")+COUNTIF('7月'!BV6:BW6,"三軒茶屋－夜勤")+COUNTIF('7月'!CA6:CB6,"三軒茶屋－夜勤")+COUNTIF('7月'!CF6:CG6,"三軒茶屋－夜勤")+COUNTIF('7月'!CK6:CL6,"三軒茶屋－夜勤")+COUNTIF('7月'!CP6:CQ6,"三軒茶屋－夜勤")+COUNTIF('7月'!CU6:CV6,"三軒茶屋－夜勤")+COUNTIF('7月'!CZ6:DA6,"三軒茶屋－夜勤")+COUNTIF('7月'!DE6:DF6,"三軒茶屋－夜勤")+COUNTIF('7月'!DJ6:DK6,"三軒茶屋－夜勤")+COUNTIF('7月'!DO6:DP6,"三軒茶屋－夜勤")+COUNTIF('7月'!DT6:DU6,"三軒茶屋－夜勤")+COUNTIF('7月'!DY6:DZ6,"三軒茶屋－夜勤")+COUNTIF('7月'!ED6:EE6,"三軒茶屋－夜勤")+COUNTIF('7月'!EI6:EJ6,"三軒茶屋－夜勤")+COUNTIF('7月'!EN6:EO6,"三軒茶屋－夜勤")+COUNTIF('7月'!ES6:ET6,"三軒茶屋－夜勤")</f>
        <v>0</v>
      </c>
      <c r="O230" s="76">
        <f t="shared" si="78"/>
        <v>0</v>
      </c>
      <c r="P230" s="76">
        <f>COUNTIF('7月'!D6:E6,P$226)+COUNTIF('7月'!I6:J6,P$226)+COUNTIF('7月'!N6:O6,P$226)+COUNTIF('7月'!S6:T6,P$226)+COUNTIF('7月'!X6:Y6,P$226)+COUNTIF('7月'!AC6:AD6,P$226)+COUNTIF('7月'!AH6:AI6,P$226)+COUNTIF('7月'!AM6:AN6,P$226)+COUNTIF('7月'!AR6:AS6,P$226)+COUNTIF('7月'!AW6:AX6,P$226)+COUNTIF('7月'!BB6:BC6,P$226)+COUNTIF('7月'!BG6:BH6,P$226)+COUNTIF('7月'!BL6:BM6,P$226)+COUNTIF('7月'!BQ6:BR6,P$226)+COUNTIF('7月'!BV6:BW6,P$226)+COUNTIF('7月'!CA6:CB6,P$226)+COUNTIF('7月'!CF6:CG6,P$226)+COUNTIF('7月'!CK6:CL6,P$226)+COUNTIF('7月'!CP6:CQ6,P$226)+COUNTIF('7月'!CU6:CV6,P$226)+COUNTIF('7月'!CZ6:DA6,P$226)+COUNTIF('7月'!DE6:DF6,P$226)+COUNTIF('7月'!DJ6:DK6,P$226)+COUNTIF('7月'!DO6:DP6,P$226)+COUNTIF('7月'!DT6:DU6,P$226)+COUNTIF('7月'!DY6:DZ6,P$226)+COUNTIF('7月'!ED6:EE6,P$226)+COUNTIF('7月'!EI6:EJ6,P$226)+COUNTIF('7月'!EN6:EO6,P$226)+COUNTIF('7月'!ES6:ET6,P$226)+COUNTIF('7月'!D6:E6,"荻窪ー夜勤")+COUNTIF('7月'!I6:J6,"荻窪ー夜勤")+COUNTIF('7月'!N6:O6,"荻窪ー夜勤")+COUNTIF('7月'!S6:T6,"荻窪ー夜勤")+COUNTIF('7月'!X6:Y6,"荻窪ー夜勤")+COUNTIF('7月'!AC6:AD6,"荻窪ー夜勤")+COUNTIF('7月'!AH6:AI6,"荻窪ー夜勤")+COUNTIF('7月'!AM6:AN6,"荻窪ー夜勤")+COUNTIF('7月'!AR6:AS6,"荻窪ー夜勤")+COUNTIF('7月'!AW6:AX6,"荻窪ー夜勤")+COUNTIF('7月'!BB6:BC6,"荻窪ー夜勤")+COUNTIF('7月'!BG6:BH6,"荻窪ー夜勤")+COUNTIF('7月'!BL6:BM6,"荻窪ー夜勤")+COUNTIF('7月'!BQ6:BR6,"荻窪ー夜勤")+COUNTIF('7月'!BV6:BW6,"荻窪ー夜勤")+COUNTIF('7月'!CA6:CB6,"荻窪ー夜勤")+COUNTIF('7月'!CF6:CG6,"荻窪ー夜勤")+COUNTIF('7月'!CK6:CL6,"荻窪ー夜勤")+COUNTIF('7月'!CP6:CQ6,"荻窪ー夜勤")+COUNTIF('7月'!CU6:CV6,"荻窪ー夜勤")+COUNTIF('7月'!CZ6:DA6,"荻窪ー夜勤")+COUNTIF('7月'!DE6:DF6,"荻窪ー夜勤")+COUNTIF('7月'!DJ6:DK6,"荻窪ー夜勤")+COUNTIF('7月'!DO6:DP6,"荻窪ー夜勤")+COUNTIF('7月'!DT6:DU6,"荻窪ー夜勤")+COUNTIF('7月'!DY6:DZ6,"荻窪ー夜勤")+COUNTIF('7月'!ED6:EE6,"荻窪ー夜勤")+COUNTIF('7月'!EI6:EJ6,"荻窪ー夜勤")+COUNTIF('7月'!EN6:EO6,"荻窪ー夜勤")+COUNTIF('7月'!ES6:ET6,"荻窪ー夜勤")</f>
        <v>0</v>
      </c>
      <c r="Q230" s="76">
        <f t="shared" si="79"/>
        <v>0</v>
      </c>
      <c r="R230" s="76">
        <f>COUNTIF('7月'!D6:E6,R$226)+COUNTIF('7月'!I6:J6,R$226)+COUNTIF('7月'!N6:O6,R$226)+COUNTIF('7月'!S6:T6,R$226)+COUNTIF('7月'!X6:Y6,R$226)+COUNTIF('7月'!AC6:AD6,R$226)+COUNTIF('7月'!AH6:AI6,R$226)+COUNTIF('7月'!AM6:AN6,R$226)+COUNTIF('7月'!AR6:AS6,R$226)+COUNTIF('7月'!AW6:AX6,R$226)+COUNTIF('7月'!BB6:BC6,R$226)+COUNTIF('7月'!BG6:BH6,R$226)+COUNTIF('7月'!BL6:BM6,R$226)+COUNTIF('7月'!BQ6:BR6,R$226)+COUNTIF('7月'!BV6:BW6,R$226)+COUNTIF('7月'!CA6:CB6,R$226)+COUNTIF('7月'!CF6:CG6,R$226)+COUNTIF('7月'!CK6:CL6,R$226)+COUNTIF('7月'!CP6:CQ6,R$226)+COUNTIF('7月'!CU6:CV6,R$226)+COUNTIF('7月'!CZ6:DA6,R$226)+COUNTIF('7月'!DE6:DF6,R$226)+COUNTIF('7月'!DJ6:DK6,R$226)+COUNTIF('7月'!DO6:DP6,R$226)+COUNTIF('7月'!DT6:DU6,R$226)+COUNTIF('7月'!DY6:DZ6,R$226)+COUNTIF('7月'!ED6:EE6,R$226)+COUNTIF('7月'!EI6:EJ6,R$226)+COUNTIF('7月'!EN6:EO6,R$226)+COUNTIF('7月'!ES6:ET6,R$226)</f>
        <v>0</v>
      </c>
      <c r="S230" s="76">
        <f t="shared" si="80"/>
        <v>0</v>
      </c>
      <c r="T230" s="76">
        <f>COUNTIF('7月'!D6:E6,T$226)+COUNTIF('7月'!I6:J6,T$226)+COUNTIF('7月'!N6:O6,T$226)+COUNTIF('7月'!S6:T6,T$226)+COUNTIF('7月'!X6:Y6,T$226)+COUNTIF('7月'!AC6:AD6,T$226)+COUNTIF('7月'!AH6:AI6,T$226)+COUNTIF('7月'!AM6:AN6,T$226)+COUNTIF('7月'!AR6:AS6,T$226)+COUNTIF('7月'!AW6:AX6,T$226)+COUNTIF('7月'!BB6:BC6,T$226)+COUNTIF('7月'!BG6:BH6,T$226)+COUNTIF('7月'!BL6:BM6,T$226)+COUNTIF('7月'!BQ6:BR6,T$226)+COUNTIF('7月'!BV6:BW6,T$226)+COUNTIF('7月'!CA6:CB6,T$226)+COUNTIF('7月'!CF6:CG6,T$226)+COUNTIF('7月'!CK6:CL6,T$226)+COUNTIF('7月'!CP6:CQ6,T$226)+COUNTIF('7月'!CU6:CV6,T$226)+COUNTIF('7月'!CZ6:DA6,T$226)+COUNTIF('7月'!DE6:DF6,T$226)+COUNTIF('7月'!DJ6:DK6,T$226)+COUNTIF('7月'!DO6:DP6,T$226)+COUNTIF('7月'!DT6:DU6,T$226)+COUNTIF('7月'!DY6:DZ6,T$226)+COUNTIF('7月'!ED6:EE6,T$226)+COUNTIF('7月'!EI6:EJ6,T$226)+COUNTIF('7月'!EN6:EO6,T$226)+COUNTIF('7月'!ES6:ET6,T$226)</f>
        <v>0</v>
      </c>
      <c r="U230" s="76">
        <f t="shared" si="81"/>
        <v>0</v>
      </c>
      <c r="V230" s="76">
        <f>COUNTIF('7月'!D6:E6,V$226)+COUNTIF('7月'!I6:J6,V$226)+COUNTIF('7月'!N6:O6,V$226)+COUNTIF('7月'!S6:T6,V$226)+COUNTIF('7月'!X6:Y6,V$226)+COUNTIF('7月'!AC6:AD6,V$226)+COUNTIF('7月'!AH6:AI6,V$226)+COUNTIF('7月'!AM6:AN6,V$226)+COUNTIF('7月'!AR6:AS6,V$226)+COUNTIF('7月'!AW6:AX6,V$226)+COUNTIF('7月'!BB6:BC6,V$226)+COUNTIF('7月'!BG6:BH6,V$226)+COUNTIF('7月'!BL6:BM6,V$226)+COUNTIF('7月'!BQ6:BR6,V$226)+COUNTIF('7月'!BV6:BW6,V$226)+COUNTIF('7月'!CA6:CB6,V$226)+COUNTIF('7月'!CF6:CG6,V$226)+COUNTIF('7月'!CK6:CL6,V$226)+COUNTIF('7月'!CP6:CQ6,V$226)+COUNTIF('7月'!CU6:CV6,V$226)+COUNTIF('7月'!CZ6:DA6,V$226)+COUNTIF('7月'!DE6:DF6,V$226)+COUNTIF('7月'!DJ6:DK6,V$226)+COUNTIF('7月'!DO6:DP6,V$226)+COUNTIF('7月'!DT6:DU6,V$226)+COUNTIF('7月'!DY6:DZ6,V$226)+COUNTIF('7月'!ED6:EE6,V$226)+COUNTIF('7月'!EI6:EJ6,V$226)+COUNTIF('7月'!EN6:EO6,V$226)+COUNTIF('7月'!ES6:ET6,V$226)</f>
        <v>0</v>
      </c>
      <c r="W230" s="76">
        <f t="shared" si="82"/>
        <v>0</v>
      </c>
      <c r="X230" s="76">
        <f>COUNTIF('7月'!D6:E6,X$226)+COUNTIF('7月'!I6:J6,X$226)+COUNTIF('7月'!N6:O6,X$226)+COUNTIF('7月'!S6:T6,X$226)+COUNTIF('7月'!X6:Y6,X$226)+COUNTIF('7月'!AC6:AD6,X$226)+COUNTIF('7月'!AH6:AI6,X$226)+COUNTIF('7月'!AM6:AN6,X$226)+COUNTIF('7月'!AR6:AS6,X$226)+COUNTIF('7月'!AW6:AX6,X$226)+COUNTIF('7月'!BB6:BC6,X$226)+COUNTIF('7月'!BG6:BH6,X$226)+COUNTIF('7月'!BL6:BM6,X$226)+COUNTIF('7月'!BQ6:BR6,X$226)+COUNTIF('7月'!BV6:BW6,X$226)+COUNTIF('7月'!CA6:CB6,X$226)+COUNTIF('7月'!CF6:CG6,X$226)+COUNTIF('7月'!CK6:CL6,X$226)+COUNTIF('7月'!CP6:CQ6,X$226)+COUNTIF('7月'!CU6:CV6,X$226)+COUNTIF('7月'!CZ6:DA6,X$226)+COUNTIF('7月'!DE6:DF6,X$226)+COUNTIF('7月'!DJ6:DK6,X$226)+COUNTIF('7月'!DO6:DP6,X$226)+COUNTIF('7月'!DT6:DU6,X$226)+COUNTIF('7月'!DY6:DZ6,X$226)+COUNTIF('7月'!ED6:EE6,X$226)+COUNTIF('7月'!EI6:EJ6,X$226)+COUNTIF('7月'!EN6:EO6,X$226)+COUNTIF('7月'!ES6:ET6,X$226)</f>
        <v>0</v>
      </c>
      <c r="Y230" s="76">
        <f t="shared" si="83"/>
        <v>0</v>
      </c>
    </row>
    <row r="231" spans="1:25" ht="18" customHeight="1">
      <c r="A231" s="76">
        <v>4</v>
      </c>
      <c r="B231" s="76">
        <f>COUNTIF('7月'!D7:E7,B$226)+COUNTIF('7月'!I7:J7,B$226)+COUNTIF('7月'!N7:O7,B$226)+COUNTIF('7月'!S7:T7,B$226)+COUNTIF('7月'!X7:Y7,B$226)+COUNTIF('7月'!AC7:AD7,B$226)+COUNTIF('7月'!AH7:AI7,B$226)+COUNTIF('7月'!AM7:AN7,B$226)+COUNTIF('7月'!AR7:AS7,B$226)+COUNTIF('7月'!AW7:AX7,B$226)+COUNTIF('7月'!BB7:BC7,B$226)+COUNTIF('7月'!BG7:BH7,B$226)+COUNTIF('7月'!BL7:BM7,B$226)+COUNTIF('7月'!BQ7:BR7,B$226)+COUNTIF('7月'!BV7:BW7,B$226)+COUNTIF('7月'!CA7:CB7,B$226)+COUNTIF('7月'!CF7:CG7,B$226)+COUNTIF('7月'!CK7:CL7,B$226)+COUNTIF('7月'!CP7:CQ7,B$226)+COUNTIF('7月'!CU7:CV7,B$226)+COUNTIF('7月'!CZ7:DA7,B$226)+COUNTIF('7月'!DE7:DF7,B$226)+COUNTIF('7月'!DJ7:DK7,B$226)+COUNTIF('7月'!DO7:DP7,B$226)+COUNTIF('7月'!DT7:DU7,B$226)+COUNTIF('7月'!DY7:DZ7,B$226)+COUNTIF('7月'!ED7:EE7,B$226)+COUNTIF('7月'!EI7:EJ7,B$226)+COUNTIF('7月'!EN7:EO7,B$226)+COUNTIF('7月'!ES7:ET7,B$226)</f>
        <v>0</v>
      </c>
      <c r="C231" s="76">
        <f t="shared" si="72"/>
        <v>0</v>
      </c>
      <c r="D231" s="76">
        <f>COUNTIF('7月'!D7:E7,D$226)+COUNTIF('7月'!I7:J7,D$226)+COUNTIF('7月'!N7:O7,D$226)+COUNTIF('7月'!S7:T7,D$226)+COUNTIF('7月'!X7:Y7,D$226)+COUNTIF('7月'!AC7:AD7,D$226)+COUNTIF('7月'!AH7:AI7,D$226)+COUNTIF('7月'!AM7:AN7,D$226)+COUNTIF('7月'!AR7:AS7,D$226)+COUNTIF('7月'!AW7:AX7,D$226)+COUNTIF('7月'!BB7:BC7,D$226)+COUNTIF('7月'!BG7:BH7,D$226)+COUNTIF('7月'!BL7:BM7,D$226)+COUNTIF('7月'!BQ7:BR7,D$226)+COUNTIF('7月'!BV7:BW7,D$226)+COUNTIF('7月'!CA7:CB7,D$226)+COUNTIF('7月'!CF7:CG7,D$226)+COUNTIF('7月'!CK7:CL7,D$226)+COUNTIF('7月'!CP7:CQ7,D$226)+COUNTIF('7月'!CU7:CV7,D$226)+COUNTIF('7月'!CZ7:DA7,D$226)+COUNTIF('7月'!DE7:DF7,D$226)+COUNTIF('7月'!DJ7:DK7,D$226)+COUNTIF('7月'!DO7:DP7,D$226)+COUNTIF('7月'!DT7:DU7,D$226)+COUNTIF('7月'!DY7:DZ7,D$226)+COUNTIF('7月'!ED7:EE7,D$226)+COUNTIF('7月'!EI7:EJ7,D$226)+COUNTIF('7月'!EN7:EO7,D$226)+COUNTIF('7月'!ES7:ET7,D$226)</f>
        <v>0</v>
      </c>
      <c r="E231" s="76">
        <f t="shared" si="73"/>
        <v>0</v>
      </c>
      <c r="F231" s="76">
        <f>COUNTIF('7月'!D7:E7,F$226)+COUNTIF('7月'!I7:J7,F$226)+COUNTIF('7月'!N7:O7,F$226)+COUNTIF('7月'!S7:T7,F$226)+COUNTIF('7月'!X7:Y7,F$226)+COUNTIF('7月'!AC7:AD7,F$226)+COUNTIF('7月'!AH7:AI7,F$226)+COUNTIF('7月'!AM7:AN7,F$226)+COUNTIF('7月'!AR7:AS7,F$226)+COUNTIF('7月'!AW7:AX7,F$226)+COUNTIF('7月'!BB7:BC7,F$226)+COUNTIF('7月'!BG7:BH7,F$226)+COUNTIF('7月'!BL7:BM7,F$226)+COUNTIF('7月'!BQ7:BR7,F$226)+COUNTIF('7月'!BV7:BW7,F$226)+COUNTIF('7月'!CA7:CB7,F$226)+COUNTIF('7月'!CF7:CG7,F$226)+COUNTIF('7月'!CK7:CL7,F$226)+COUNTIF('7月'!CP7:CQ7,F$226)+COUNTIF('7月'!CU7:CV7,F$226)+COUNTIF('7月'!CZ7:DA7,F$226)+COUNTIF('7月'!DE7:DF7,F$226)+COUNTIF('7月'!DJ7:DK7,F$226)+COUNTIF('7月'!DO7:DP7,F$226)+COUNTIF('7月'!DT7:DU7,F$226)+COUNTIF('7月'!DY7:DZ7,F$226)+COUNTIF('7月'!ED7:EE7,F$226)+COUNTIF('7月'!EI7:EJ7,F$226)+COUNTIF('7月'!EN7:EO7,F$226)+COUNTIF('7月'!ES7:ET7,F$226)</f>
        <v>0</v>
      </c>
      <c r="G231" s="76">
        <f t="shared" si="74"/>
        <v>0</v>
      </c>
      <c r="H231" s="76">
        <f>COUNTIF('7月'!D7:E7,H$226)+COUNTIF('7月'!I7:J7,H$226)+COUNTIF('7月'!N7:O7,H$226)+COUNTIF('7月'!S7:T7,H$226)+COUNTIF('7月'!X7:Y7,H$226)+COUNTIF('7月'!AC7:AD7,H$226)+COUNTIF('7月'!AH7:AI7,H$226)+COUNTIF('7月'!AM7:AN7,H$226)+COUNTIF('7月'!AR7:AS7,H$226)+COUNTIF('7月'!AW7:AX7,H$226)+COUNTIF('7月'!BB7:BC7,H$226)+COUNTIF('7月'!BG7:BH7,H$226)+COUNTIF('7月'!BL7:BM7,H$226)+COUNTIF('7月'!BQ7:BR7,H$226)+COUNTIF('7月'!BV7:BW7,H$226)+COUNTIF('7月'!CA7:CB7,H$226)+COUNTIF('7月'!CF7:CG7,H$226)+COUNTIF('7月'!CK7:CL7,H$226)+COUNTIF('7月'!CP7:CQ7,H$226)+COUNTIF('7月'!CU7:CV7,H$226)+COUNTIF('7月'!CZ7:DA7,H$226)+COUNTIF('7月'!DE7:DF7,H$226)+COUNTIF('7月'!DJ7:DK7,H$226)+COUNTIF('7月'!DO7:DP7,H$226)+COUNTIF('7月'!DT7:DU7,H$226)+COUNTIF('7月'!DY7:DZ7,H$226)+COUNTIF('7月'!ED7:EE7,H$226)+COUNTIF('7月'!EI7:EJ7,H$226)+COUNTIF('7月'!EN7:EO7,H$226)+COUNTIF('7月'!ES7:ET7,H$226)+COUNTIF('7月'!D7:E7,"渋谷-夜勤")+COUNTIF('7月'!I7:J7,"渋谷-夜勤")+COUNTIF('7月'!N7:O7,"渋谷-夜勤")+COUNTIF('7月'!S7:T7,"渋谷-夜勤")+COUNTIF('7月'!X7:Y7,"渋谷-夜勤")+COUNTIF('7月'!AC7:AD7,"渋谷-夜勤")+COUNTIF('7月'!AH7:AI7,"渋谷-夜勤")+COUNTIF('7月'!AM7:AN7,"渋谷-夜勤")+COUNTIF('7月'!AR7:AS7,"渋谷-夜勤")+COUNTIF('7月'!AW7:AX7,"渋谷-夜勤")+COUNTIF('7月'!BB7:BC7,"渋谷-夜勤")+COUNTIF('7月'!BG7:BH7,"渋谷-夜勤")+COUNTIF('7月'!BL7:BM7,"渋谷-夜勤")+COUNTIF('7月'!BQ7:BR7,"渋谷-夜勤")+COUNTIF('7月'!BV7:BW7,"渋谷-夜勤")+COUNTIF('7月'!CA7:CB7,"渋谷-夜勤")+COUNTIF('7月'!CF7:CG7,"渋谷-夜勤")+COUNTIF('7月'!CK7:CL7,"渋谷-夜勤")+COUNTIF('7月'!CP7:CQ7,"渋谷-夜勤")+COUNTIF('7月'!CU7:CV7,"渋谷-夜勤")+COUNTIF('7月'!CZ7:DA7,"渋谷-夜勤")+COUNTIF('7月'!DE7:DF7,"渋谷-夜勤")+COUNTIF('7月'!DJ7:DK7,"渋谷-夜勤")+COUNTIF('7月'!DO7:DP7,"渋谷-夜勤")+COUNTIF('7月'!DT7:DU7,"渋谷-夜勤")+COUNTIF('7月'!DY7:DZ7,"渋谷-夜勤")+COUNTIF('7月'!ED7:EE7,"渋谷-夜勤")+COUNTIF('7月'!EI7:EJ7,"渋谷-夜勤")+COUNTIF('7月'!EN7:EO7,"渋谷-夜勤")+COUNTIF('7月'!ES7:ET7,"渋谷-夜勤")</f>
        <v>0</v>
      </c>
      <c r="I231" s="76">
        <f t="shared" si="75"/>
        <v>0</v>
      </c>
      <c r="J231" s="76">
        <f>COUNTIF('7月'!D7:E7,J$226)+COUNTIF('7月'!I7:J7,J$226)+COUNTIF('7月'!N7:O7,J$226)+COUNTIF('7月'!S7:T7,J$226)+COUNTIF('7月'!X7:Y7,J$226)+COUNTIF('7月'!AC7:AD7,J$226)+COUNTIF('7月'!AH7:AI7,J$226)+COUNTIF('7月'!AM7:AN7,J$226)+COUNTIF('7月'!AR7:AS7,J$226)+COUNTIF('7月'!AW7:AX7,J$226)+COUNTIF('7月'!BB7:BC7,J$226)+COUNTIF('7月'!BG7:BH7,J$226)+COUNTIF('7月'!BL7:BM7,J$226)+COUNTIF('7月'!BQ7:BR7,J$226)+COUNTIF('7月'!BV7:BW7,J$226)+COUNTIF('7月'!CA7:CB7,J$226)+COUNTIF('7月'!CF7:CG7,J$226)+COUNTIF('7月'!CK7:CL7,J$226)+COUNTIF('7月'!CP7:CQ7,J$226)+COUNTIF('7月'!CU7:CV7,J$226)+COUNTIF('7月'!CZ7:DA7,J$226)+COUNTIF('7月'!DE7:DF7,J$226)+COUNTIF('7月'!DJ7:DK7,J$226)+COUNTIF('7月'!DO7:DP7,J$226)+COUNTIF('7月'!DT7:DU7,J$226)+COUNTIF('7月'!DY7:DZ7,J$226)+COUNTIF('7月'!ED7:EE7,J$226)+COUNTIF('7月'!EI7:EJ7,J$226)+COUNTIF('7月'!EN7:EO7,J$226)+COUNTIF('7月'!ES7:ET7,J$226)+COUNTIF('7月'!D7:E7,"六本木-夜勤")+COUNTIF('7月'!I7:J7,"六本木-夜勤")+COUNTIF('7月'!N7:O7,"六本木-夜勤")+COUNTIF('7月'!S7:T7,"六本木-夜勤")+COUNTIF('7月'!X7:Y7,"六本木-夜勤")+COUNTIF('7月'!AC7:AD7,"六本木-夜勤")+COUNTIF('7月'!AH7:AI7,"六本木-夜勤")+COUNTIF('7月'!AM7:AN7,"六本木-夜勤")+COUNTIF('7月'!AR7:AS7,"六本木-夜勤")+COUNTIF('7月'!AW7:AX7,"六本木-夜勤")+COUNTIF('7月'!BB7:BC7,"六本木-夜勤")+COUNTIF('7月'!BG7:BH7,"六本木-夜勤")+COUNTIF('7月'!BL7:BM7,"六本木-夜勤")+COUNTIF('7月'!BQ7:BR7,"六本木-夜勤")+COUNTIF('7月'!BV7:BW7,"六本木-夜勤")+COUNTIF('7月'!CA7:CB7,"六本木-夜勤")+COUNTIF('7月'!CF7:CG7,"六本木-夜勤")+COUNTIF('7月'!CK7:CL7,"六本木-夜勤")+COUNTIF('7月'!CP7:CQ7,"六本木-夜勤")+COUNTIF('7月'!CU7:CV7,"六本木-夜勤")+COUNTIF('7月'!CZ7:DA7,"六本木-夜勤")+COUNTIF('7月'!DE7:DF7,"六本木-夜勤")+COUNTIF('7月'!DJ7:DK7,"六本木-夜勤")+COUNTIF('7月'!DO7:DP7,"六本木-夜勤")+COUNTIF('7月'!DT7:DU7,"六本木-夜勤")+COUNTIF('7月'!DY7:DZ7,"六本木-夜勤")+COUNTIF('7月'!ED7:EE7,"六本木-夜勤")+COUNTIF('7月'!EI7:EJ7,"六本木-夜勤")+COUNTIF('7月'!EN7:EO7,"六本木-夜勤")+COUNTIF('7月'!ES7:ET7,"六本木-夜勤")+COUNTIF('7月'!D7:E7,"六本木ー夜勤")+COUNTIF('7月'!I7:J7,"六本木ー夜勤")+COUNTIF('7月'!N7:O7,"六本木ー夜勤")+COUNTIF('7月'!S7:T7,"六本木ー夜勤")+COUNTIF('7月'!X7:Y7,"六本木ー夜勤")+COUNTIF('7月'!AC7:AD7,"六本木ー夜勤")+COUNTIF('7月'!AH7:AI7,"六本木ー夜勤")+COUNTIF('7月'!AM7:AN7,"六本木ー夜勤")+COUNTIF('7月'!AR7:AS7,"六本木ー夜勤")+COUNTIF('7月'!AW7:AX7,"六本木ー夜勤")+COUNTIF('7月'!BB7:BC7,"六本木ー夜勤")+COUNTIF('7月'!BG7:BH7,"六本木ー夜勤")+COUNTIF('7月'!BL7:BM7,"六本木ー夜勤")+COUNTIF('7月'!BQ7:BR7,"六本木ー夜勤")+COUNTIF('7月'!BV7:BW7,"六本木ー夜勤")+COUNTIF('7月'!CA7:CB7,"六本木ー夜勤")+COUNTIF('7月'!CF7:CG7,"六本木ー夜勤")+COUNTIF('7月'!CK7:CL7,"六本木ー夜勤")+COUNTIF('7月'!CP7:CQ7,"六本木ー夜勤")+COUNTIF('7月'!CU7:CV7,"六本木ー夜勤")+COUNTIF('7月'!CZ7:DA7,"六本木ー夜勤")+COUNTIF('7月'!DE7:DF7,"六本木ー夜勤")+COUNTIF('7月'!DJ7:DK7,"六本木ー夜勤")+COUNTIF('7月'!DO7:DP7,"六本木ー夜勤")+COUNTIF('7月'!DT7:DU7,"六本木ー夜勤")+COUNTIF('7月'!DY7:DZ7,"六本木ー夜勤")+COUNTIF('7月'!ED7:EE7,"六本木ー夜勤")+COUNTIF('7月'!EI7:EJ7,"六本木ー夜勤")+COUNTIF('7月'!EN7:EO7,"六本木ー夜勤")+COUNTIF('7月'!ES7:ET7,"六本木ー夜勤")</f>
        <v>0</v>
      </c>
      <c r="K231" s="76">
        <f t="shared" si="76"/>
        <v>0</v>
      </c>
      <c r="L231" s="76">
        <f>COUNTIF('7月'!D7:E7,L$226)+COUNTIF('7月'!I7:J7,L$226)+COUNTIF('7月'!N7:O7,L$226)+COUNTIF('7月'!S7:T7,L$226)+COUNTIF('7月'!X7:Y7,L$226)+COUNTIF('7月'!AC7:AD7,L$226)+COUNTIF('7月'!AH7:AI7,L$226)+COUNTIF('7月'!AM7:AN7,L$226)+COUNTIF('7月'!AR7:AS7,L$226)+COUNTIF('7月'!AW7:AX7,L$226)+COUNTIF('7月'!BB7:BC7,L$226)+COUNTIF('7月'!BG7:BH7,L$226)+COUNTIF('7月'!BL7:BM7,L$226)+COUNTIF('7月'!BQ7:BR7,L$226)+COUNTIF('7月'!BV7:BW7,L$226)+COUNTIF('7月'!CA7:CB7,L$226)+COUNTIF('7月'!CF7:CG7,L$226)+COUNTIF('7月'!CK7:CL7,L$226)+COUNTIF('7月'!CP7:CQ7,L$226)+COUNTIF('7月'!CU7:CV7,L$226)+COUNTIF('7月'!CZ7:DA7,L$226)+COUNTIF('7月'!DE7:DF7,L$226)+COUNTIF('7月'!DJ7:DK7,L$226)+COUNTIF('7月'!DO7:DP7,L$226)+COUNTIF('7月'!DT7:DU7,L$226)+COUNTIF('7月'!DY7:DZ7,L$226)+COUNTIF('7月'!ED7:EE7,L$226)+COUNTIF('7月'!EI7:EJ7,L$226)+COUNTIF('7月'!EN7:EO7,L$226)+COUNTIF('7月'!ES7:ET7,L$226)</f>
        <v>0</v>
      </c>
      <c r="M231" s="76">
        <f t="shared" si="77"/>
        <v>0</v>
      </c>
      <c r="N231" s="76">
        <f>COUNTIF('7月'!D7:E7,N$226)+COUNTIF('7月'!I7:J7,N$226)+COUNTIF('7月'!N7:O7,N$226)+COUNTIF('7月'!S7:T7,N$226)+COUNTIF('7月'!X7:Y7,N$226)+COUNTIF('7月'!AC7:AD7,N$226)+COUNTIF('7月'!AH7:AI7,N$226)+COUNTIF('7月'!AM7:AN7,N$226)+COUNTIF('7月'!AR7:AS7,N$226)+COUNTIF('7月'!AW7:AX7,N$226)+COUNTIF('7月'!BB7:BC7,N$226)+COUNTIF('7月'!BG7:BH7,N$226)+COUNTIF('7月'!BL7:BM7,N$226)+COUNTIF('7月'!BQ7:BR7,N$226)+COUNTIF('7月'!BV7:BW7,N$226)+COUNTIF('7月'!CA7:CB7,N$226)+COUNTIF('7月'!CF7:CG7,N$226)+COUNTIF('7月'!CK7:CL7,N$226)+COUNTIF('7月'!CP7:CQ7,N$226)+COUNTIF('7月'!CU7:CV7,N$226)+COUNTIF('7月'!CZ7:DA7,N$226)+COUNTIF('7月'!DE7:DF7,N$226)+COUNTIF('7月'!DJ7:DK7,N$226)+COUNTIF('7月'!DO7:DP7,N$226)+COUNTIF('7月'!DT7:DU7,N$226)+COUNTIF('7月'!DY7:DZ7,N$226)+COUNTIF('7月'!ED7:EE7,N$226)+COUNTIF('7月'!EI7:EJ7,N$226)+COUNTIF('7月'!EN7:EO7,N$226)+COUNTIF('7月'!ES7:ET7,N$226)+COUNTIF('7月'!D7:E7,"三軒茶屋－夜勤")+COUNTIF('7月'!I7:J7,"三軒茶屋－夜勤")+COUNTIF('7月'!N7:O7,"三軒茶屋－夜勤")+COUNTIF('7月'!S7:T7,"三軒茶屋－夜勤")+COUNTIF('7月'!X7:Y7,"三軒茶屋－夜勤")+COUNTIF('7月'!AC7:AD7,"三軒茶屋－夜勤")+COUNTIF('7月'!AH7:AI7,"三軒茶屋－夜勤")+COUNTIF('7月'!AM7:AN7,"三軒茶屋－夜勤")+COUNTIF('7月'!AR7:AS7,"三軒茶屋－夜勤")+COUNTIF('7月'!AW7:AX7,"三軒茶屋－夜勤")+COUNTIF('7月'!BB7:BC7,"三軒茶屋－夜勤")+COUNTIF('7月'!BG7:BH7,"三軒茶屋－夜勤")+COUNTIF('7月'!BL7:BM7,"三軒茶屋－夜勤")+COUNTIF('7月'!BQ7:BR7,"三軒茶屋－夜勤")+COUNTIF('7月'!BV7:BW7,"三軒茶屋－夜勤")+COUNTIF('7月'!CA7:CB7,"三軒茶屋－夜勤")+COUNTIF('7月'!CF7:CG7,"三軒茶屋－夜勤")+COUNTIF('7月'!CK7:CL7,"三軒茶屋－夜勤")+COUNTIF('7月'!CP7:CQ7,"三軒茶屋－夜勤")+COUNTIF('7月'!CU7:CV7,"三軒茶屋－夜勤")+COUNTIF('7月'!CZ7:DA7,"三軒茶屋－夜勤")+COUNTIF('7月'!DE7:DF7,"三軒茶屋－夜勤")+COUNTIF('7月'!DJ7:DK7,"三軒茶屋－夜勤")+COUNTIF('7月'!DO7:DP7,"三軒茶屋－夜勤")+COUNTIF('7月'!DT7:DU7,"三軒茶屋－夜勤")+COUNTIF('7月'!DY7:DZ7,"三軒茶屋－夜勤")+COUNTIF('7月'!ED7:EE7,"三軒茶屋－夜勤")+COUNTIF('7月'!EI7:EJ7,"三軒茶屋－夜勤")+COUNTIF('7月'!EN7:EO7,"三軒茶屋－夜勤")+COUNTIF('7月'!ES7:ET7,"三軒茶屋－夜勤")</f>
        <v>0</v>
      </c>
      <c r="O231" s="76">
        <f t="shared" si="78"/>
        <v>0</v>
      </c>
      <c r="P231" s="76">
        <f>COUNTIF('7月'!D7:E7,P$226)+COUNTIF('7月'!I7:J7,P$226)+COUNTIF('7月'!N7:O7,P$226)+COUNTIF('7月'!S7:T7,P$226)+COUNTIF('7月'!X7:Y7,P$226)+COUNTIF('7月'!AC7:AD7,P$226)+COUNTIF('7月'!AH7:AI7,P$226)+COUNTIF('7月'!AM7:AN7,P$226)+COUNTIF('7月'!AR7:AS7,P$226)+COUNTIF('7月'!AW7:AX7,P$226)+COUNTIF('7月'!BB7:BC7,P$226)+COUNTIF('7月'!BG7:BH7,P$226)+COUNTIF('7月'!BL7:BM7,P$226)+COUNTIF('7月'!BQ7:BR7,P$226)+COUNTIF('7月'!BV7:BW7,P$226)+COUNTIF('7月'!CA7:CB7,P$226)+COUNTIF('7月'!CF7:CG7,P$226)+COUNTIF('7月'!CK7:CL7,P$226)+COUNTIF('7月'!CP7:CQ7,P$226)+COUNTIF('7月'!CU7:CV7,P$226)+COUNTIF('7月'!CZ7:DA7,P$226)+COUNTIF('7月'!DE7:DF7,P$226)+COUNTIF('7月'!DJ7:DK7,P$226)+COUNTIF('7月'!DO7:DP7,P$226)+COUNTIF('7月'!DT7:DU7,P$226)+COUNTIF('7月'!DY7:DZ7,P$226)+COUNTIF('7月'!ED7:EE7,P$226)+COUNTIF('7月'!EI7:EJ7,P$226)+COUNTIF('7月'!EN7:EO7,P$226)+COUNTIF('7月'!ES7:ET7,P$226)+COUNTIF('7月'!D7:E7,"荻窪ー夜勤")+COUNTIF('7月'!I7:J7,"荻窪ー夜勤")+COUNTIF('7月'!N7:O7,"荻窪ー夜勤")+COUNTIF('7月'!S7:T7,"荻窪ー夜勤")+COUNTIF('7月'!X7:Y7,"荻窪ー夜勤")+COUNTIF('7月'!AC7:AD7,"荻窪ー夜勤")+COUNTIF('7月'!AH7:AI7,"荻窪ー夜勤")+COUNTIF('7月'!AM7:AN7,"荻窪ー夜勤")+COUNTIF('7月'!AR7:AS7,"荻窪ー夜勤")+COUNTIF('7月'!AW7:AX7,"荻窪ー夜勤")+COUNTIF('7月'!BB7:BC7,"荻窪ー夜勤")+COUNTIF('7月'!BG7:BH7,"荻窪ー夜勤")+COUNTIF('7月'!BL7:BM7,"荻窪ー夜勤")+COUNTIF('7月'!BQ7:BR7,"荻窪ー夜勤")+COUNTIF('7月'!BV7:BW7,"荻窪ー夜勤")+COUNTIF('7月'!CA7:CB7,"荻窪ー夜勤")+COUNTIF('7月'!CF7:CG7,"荻窪ー夜勤")+COUNTIF('7月'!CK7:CL7,"荻窪ー夜勤")+COUNTIF('7月'!CP7:CQ7,"荻窪ー夜勤")+COUNTIF('7月'!CU7:CV7,"荻窪ー夜勤")+COUNTIF('7月'!CZ7:DA7,"荻窪ー夜勤")+COUNTIF('7月'!DE7:DF7,"荻窪ー夜勤")+COUNTIF('7月'!DJ7:DK7,"荻窪ー夜勤")+COUNTIF('7月'!DO7:DP7,"荻窪ー夜勤")+COUNTIF('7月'!DT7:DU7,"荻窪ー夜勤")+COUNTIF('7月'!DY7:DZ7,"荻窪ー夜勤")+COUNTIF('7月'!ED7:EE7,"荻窪ー夜勤")+COUNTIF('7月'!EI7:EJ7,"荻窪ー夜勤")+COUNTIF('7月'!EN7:EO7,"荻窪ー夜勤")+COUNTIF('7月'!ES7:ET7,"荻窪ー夜勤")</f>
        <v>0</v>
      </c>
      <c r="Q231" s="76">
        <f t="shared" si="79"/>
        <v>0</v>
      </c>
      <c r="R231" s="76">
        <f>COUNTIF('7月'!D7:E7,R$226)+COUNTIF('7月'!I7:J7,R$226)+COUNTIF('7月'!N7:O7,R$226)+COUNTIF('7月'!S7:T7,R$226)+COUNTIF('7月'!X7:Y7,R$226)+COUNTIF('7月'!AC7:AD7,R$226)+COUNTIF('7月'!AH7:AI7,R$226)+COUNTIF('7月'!AM7:AN7,R$226)+COUNTIF('7月'!AR7:AS7,R$226)+COUNTIF('7月'!AW7:AX7,R$226)+COUNTIF('7月'!BB7:BC7,R$226)+COUNTIF('7月'!BG7:BH7,R$226)+COUNTIF('7月'!BL7:BM7,R$226)+COUNTIF('7月'!BQ7:BR7,R$226)+COUNTIF('7月'!BV7:BW7,R$226)+COUNTIF('7月'!CA7:CB7,R$226)+COUNTIF('7月'!CF7:CG7,R$226)+COUNTIF('7月'!CK7:CL7,R$226)+COUNTIF('7月'!CP7:CQ7,R$226)+COUNTIF('7月'!CU7:CV7,R$226)+COUNTIF('7月'!CZ7:DA7,R$226)+COUNTIF('7月'!DE7:DF7,R$226)+COUNTIF('7月'!DJ7:DK7,R$226)+COUNTIF('7月'!DO7:DP7,R$226)+COUNTIF('7月'!DT7:DU7,R$226)+COUNTIF('7月'!DY7:DZ7,R$226)+COUNTIF('7月'!ED7:EE7,R$226)+COUNTIF('7月'!EI7:EJ7,R$226)+COUNTIF('7月'!EN7:EO7,R$226)+COUNTIF('7月'!ES7:ET7,R$226)</f>
        <v>0</v>
      </c>
      <c r="S231" s="76">
        <f t="shared" si="80"/>
        <v>0</v>
      </c>
      <c r="T231" s="76">
        <f>COUNTIF('7月'!D7:E7,T$226)+COUNTIF('7月'!I7:J7,T$226)+COUNTIF('7月'!N7:O7,T$226)+COUNTIF('7月'!S7:T7,T$226)+COUNTIF('7月'!X7:Y7,T$226)+COUNTIF('7月'!AC7:AD7,T$226)+COUNTIF('7月'!AH7:AI7,T$226)+COUNTIF('7月'!AM7:AN7,T$226)+COUNTIF('7月'!AR7:AS7,T$226)+COUNTIF('7月'!AW7:AX7,T$226)+COUNTIF('7月'!BB7:BC7,T$226)+COUNTIF('7月'!BG7:BH7,T$226)+COUNTIF('7月'!BL7:BM7,T$226)+COUNTIF('7月'!BQ7:BR7,T$226)+COUNTIF('7月'!BV7:BW7,T$226)+COUNTIF('7月'!CA7:CB7,T$226)+COUNTIF('7月'!CF7:CG7,T$226)+COUNTIF('7月'!CK7:CL7,T$226)+COUNTIF('7月'!CP7:CQ7,T$226)+COUNTIF('7月'!CU7:CV7,T$226)+COUNTIF('7月'!CZ7:DA7,T$226)+COUNTIF('7月'!DE7:DF7,T$226)+COUNTIF('7月'!DJ7:DK7,T$226)+COUNTIF('7月'!DO7:DP7,T$226)+COUNTIF('7月'!DT7:DU7,T$226)+COUNTIF('7月'!DY7:DZ7,T$226)+COUNTIF('7月'!ED7:EE7,T$226)+COUNTIF('7月'!EI7:EJ7,T$226)+COUNTIF('7月'!EN7:EO7,T$226)+COUNTIF('7月'!ES7:ET7,T$226)</f>
        <v>0</v>
      </c>
      <c r="U231" s="76">
        <f t="shared" si="81"/>
        <v>0</v>
      </c>
      <c r="V231" s="76">
        <f>COUNTIF('7月'!D7:E7,V$226)+COUNTIF('7月'!I7:J7,V$226)+COUNTIF('7月'!N7:O7,V$226)+COUNTIF('7月'!S7:T7,V$226)+COUNTIF('7月'!X7:Y7,V$226)+COUNTIF('7月'!AC7:AD7,V$226)+COUNTIF('7月'!AH7:AI7,V$226)+COUNTIF('7月'!AM7:AN7,V$226)+COUNTIF('7月'!AR7:AS7,V$226)+COUNTIF('7月'!AW7:AX7,V$226)+COUNTIF('7月'!BB7:BC7,V$226)+COUNTIF('7月'!BG7:BH7,V$226)+COUNTIF('7月'!BL7:BM7,V$226)+COUNTIF('7月'!BQ7:BR7,V$226)+COUNTIF('7月'!BV7:BW7,V$226)+COUNTIF('7月'!CA7:CB7,V$226)+COUNTIF('7月'!CF7:CG7,V$226)+COUNTIF('7月'!CK7:CL7,V$226)+COUNTIF('7月'!CP7:CQ7,V$226)+COUNTIF('7月'!CU7:CV7,V$226)+COUNTIF('7月'!CZ7:DA7,V$226)+COUNTIF('7月'!DE7:DF7,V$226)+COUNTIF('7月'!DJ7:DK7,V$226)+COUNTIF('7月'!DO7:DP7,V$226)+COUNTIF('7月'!DT7:DU7,V$226)+COUNTIF('7月'!DY7:DZ7,V$226)+COUNTIF('7月'!ED7:EE7,V$226)+COUNTIF('7月'!EI7:EJ7,V$226)+COUNTIF('7月'!EN7:EO7,V$226)+COUNTIF('7月'!ES7:ET7,V$226)</f>
        <v>0</v>
      </c>
      <c r="W231" s="76">
        <f t="shared" si="82"/>
        <v>0</v>
      </c>
      <c r="X231" s="76">
        <f>COUNTIF('7月'!D7:E7,X$226)+COUNTIF('7月'!I7:J7,X$226)+COUNTIF('7月'!N7:O7,X$226)+COUNTIF('7月'!S7:T7,X$226)+COUNTIF('7月'!X7:Y7,X$226)+COUNTIF('7月'!AC7:AD7,X$226)+COUNTIF('7月'!AH7:AI7,X$226)+COUNTIF('7月'!AM7:AN7,X$226)+COUNTIF('7月'!AR7:AS7,X$226)+COUNTIF('7月'!AW7:AX7,X$226)+COUNTIF('7月'!BB7:BC7,X$226)+COUNTIF('7月'!BG7:BH7,X$226)+COUNTIF('7月'!BL7:BM7,X$226)+COUNTIF('7月'!BQ7:BR7,X$226)+COUNTIF('7月'!BV7:BW7,X$226)+COUNTIF('7月'!CA7:CB7,X$226)+COUNTIF('7月'!CF7:CG7,X$226)+COUNTIF('7月'!CK7:CL7,X$226)+COUNTIF('7月'!CP7:CQ7,X$226)+COUNTIF('7月'!CU7:CV7,X$226)+COUNTIF('7月'!CZ7:DA7,X$226)+COUNTIF('7月'!DE7:DF7,X$226)+COUNTIF('7月'!DJ7:DK7,X$226)+COUNTIF('7月'!DO7:DP7,X$226)+COUNTIF('7月'!DT7:DU7,X$226)+COUNTIF('7月'!DY7:DZ7,X$226)+COUNTIF('7月'!ED7:EE7,X$226)+COUNTIF('7月'!EI7:EJ7,X$226)+COUNTIF('7月'!EN7:EO7,X$226)+COUNTIF('7月'!ES7:ET7,X$226)</f>
        <v>0</v>
      </c>
      <c r="Y231" s="76">
        <f t="shared" si="83"/>
        <v>0</v>
      </c>
    </row>
    <row r="232" spans="1:25" ht="18" customHeight="1">
      <c r="A232" s="76">
        <v>5</v>
      </c>
      <c r="B232" s="76">
        <f>COUNTIF('7月'!D8:E8,B$226)+COUNTIF('7月'!I8:J8,B$226)+COUNTIF('7月'!N8:O8,B$226)+COUNTIF('7月'!S8:T8,B$226)+COUNTIF('7月'!X8:Y8,B$226)+COUNTIF('7月'!AC8:AD8,B$226)+COUNTIF('7月'!AH8:AI8,B$226)+COUNTIF('7月'!AM8:AN8,B$226)+COUNTIF('7月'!AR8:AS8,B$226)+COUNTIF('7月'!AW8:AX8,B$226)+COUNTIF('7月'!BB8:BC8,B$226)+COUNTIF('7月'!BG8:BH8,B$226)+COUNTIF('7月'!BL8:BM8,B$226)+COUNTIF('7月'!BQ8:BR8,B$226)+COUNTIF('7月'!BV8:BW8,B$226)+COUNTIF('7月'!CA8:CB8,B$226)+COUNTIF('7月'!CF8:CG8,B$226)+COUNTIF('7月'!CK8:CL8,B$226)+COUNTIF('7月'!CP8:CQ8,B$226)+COUNTIF('7月'!CU8:CV8,B$226)+COUNTIF('7月'!CZ8:DA8,B$226)+COUNTIF('7月'!DE8:DF8,B$226)+COUNTIF('7月'!DJ8:DK8,B$226)+COUNTIF('7月'!DO8:DP8,B$226)+COUNTIF('7月'!DT8:DU8,B$226)+COUNTIF('7月'!DY8:DZ8,B$226)+COUNTIF('7月'!ED8:EE8,B$226)+COUNTIF('7月'!EI8:EJ8,B$226)+COUNTIF('7月'!EN8:EO8,B$226)+COUNTIF('7月'!ES8:ET8,B$226)</f>
        <v>0</v>
      </c>
      <c r="C232" s="76">
        <f t="shared" si="72"/>
        <v>0</v>
      </c>
      <c r="D232" s="76">
        <f>COUNTIF('7月'!D8:E8,D$226)+COUNTIF('7月'!I8:J8,D$226)+COUNTIF('7月'!N8:O8,D$226)+COUNTIF('7月'!S8:T8,D$226)+COUNTIF('7月'!X8:Y8,D$226)+COUNTIF('7月'!AC8:AD8,D$226)+COUNTIF('7月'!AH8:AI8,D$226)+COUNTIF('7月'!AM8:AN8,D$226)+COUNTIF('7月'!AR8:AS8,D$226)+COUNTIF('7月'!AW8:AX8,D$226)+COUNTIF('7月'!BB8:BC8,D$226)+COUNTIF('7月'!BG8:BH8,D$226)+COUNTIF('7月'!BL8:BM8,D$226)+COUNTIF('7月'!BQ8:BR8,D$226)+COUNTIF('7月'!BV8:BW8,D$226)+COUNTIF('7月'!CA8:CB8,D$226)+COUNTIF('7月'!CF8:CG8,D$226)+COUNTIF('7月'!CK8:CL8,D$226)+COUNTIF('7月'!CP8:CQ8,D$226)+COUNTIF('7月'!CU8:CV8,D$226)+COUNTIF('7月'!CZ8:DA8,D$226)+COUNTIF('7月'!DE8:DF8,D$226)+COUNTIF('7月'!DJ8:DK8,D$226)+COUNTIF('7月'!DO8:DP8,D$226)+COUNTIF('7月'!DT8:DU8,D$226)+COUNTIF('7月'!DY8:DZ8,D$226)+COUNTIF('7月'!ED8:EE8,D$226)+COUNTIF('7月'!EI8:EJ8,D$226)+COUNTIF('7月'!EN8:EO8,D$226)+COUNTIF('7月'!ES8:ET8,D$226)</f>
        <v>0</v>
      </c>
      <c r="E232" s="76">
        <f t="shared" si="73"/>
        <v>0</v>
      </c>
      <c r="F232" s="76">
        <f>COUNTIF('7月'!D8:E8,F$226)+COUNTIF('7月'!I8:J8,F$226)+COUNTIF('7月'!N8:O8,F$226)+COUNTIF('7月'!S8:T8,F$226)+COUNTIF('7月'!X8:Y8,F$226)+COUNTIF('7月'!AC8:AD8,F$226)+COUNTIF('7月'!AH8:AI8,F$226)+COUNTIF('7月'!AM8:AN8,F$226)+COUNTIF('7月'!AR8:AS8,F$226)+COUNTIF('7月'!AW8:AX8,F$226)+COUNTIF('7月'!BB8:BC8,F$226)+COUNTIF('7月'!BG8:BH8,F$226)+COUNTIF('7月'!BL8:BM8,F$226)+COUNTIF('7月'!BQ8:BR8,F$226)+COUNTIF('7月'!BV8:BW8,F$226)+COUNTIF('7月'!CA8:CB8,F$226)+COUNTIF('7月'!CF8:CG8,F$226)+COUNTIF('7月'!CK8:CL8,F$226)+COUNTIF('7月'!CP8:CQ8,F$226)+COUNTIF('7月'!CU8:CV8,F$226)+COUNTIF('7月'!CZ8:DA8,F$226)+COUNTIF('7月'!DE8:DF8,F$226)+COUNTIF('7月'!DJ8:DK8,F$226)+COUNTIF('7月'!DO8:DP8,F$226)+COUNTIF('7月'!DT8:DU8,F$226)+COUNTIF('7月'!DY8:DZ8,F$226)+COUNTIF('7月'!ED8:EE8,F$226)+COUNTIF('7月'!EI8:EJ8,F$226)+COUNTIF('7月'!EN8:EO8,F$226)+COUNTIF('7月'!ES8:ET8,F$226)</f>
        <v>0</v>
      </c>
      <c r="G232" s="76">
        <f t="shared" si="74"/>
        <v>0</v>
      </c>
      <c r="H232" s="76">
        <f>COUNTIF('7月'!D8:E8,H$226)+COUNTIF('7月'!I8:J8,H$226)+COUNTIF('7月'!N8:O8,H$226)+COUNTIF('7月'!S8:T8,H$226)+COUNTIF('7月'!X8:Y8,H$226)+COUNTIF('7月'!AC8:AD8,H$226)+COUNTIF('7月'!AH8:AI8,H$226)+COUNTIF('7月'!AM8:AN8,H$226)+COUNTIF('7月'!AR8:AS8,H$226)+COUNTIF('7月'!AW8:AX8,H$226)+COUNTIF('7月'!BB8:BC8,H$226)+COUNTIF('7月'!BG8:BH8,H$226)+COUNTIF('7月'!BL8:BM8,H$226)+COUNTIF('7月'!BQ8:BR8,H$226)+COUNTIF('7月'!BV8:BW8,H$226)+COUNTIF('7月'!CA8:CB8,H$226)+COUNTIF('7月'!CF8:CG8,H$226)+COUNTIF('7月'!CK8:CL8,H$226)+COUNTIF('7月'!CP8:CQ8,H$226)+COUNTIF('7月'!CU8:CV8,H$226)+COUNTIF('7月'!CZ8:DA8,H$226)+COUNTIF('7月'!DE8:DF8,H$226)+COUNTIF('7月'!DJ8:DK8,H$226)+COUNTIF('7月'!DO8:DP8,H$226)+COUNTIF('7月'!DT8:DU8,H$226)+COUNTIF('7月'!DY8:DZ8,H$226)+COUNTIF('7月'!ED8:EE8,H$226)+COUNTIF('7月'!EI8:EJ8,H$226)+COUNTIF('7月'!EN8:EO8,H$226)+COUNTIF('7月'!ES8:ET8,H$226)+COUNTIF('7月'!D8:E8,"渋谷-夜勤")+COUNTIF('7月'!I8:J8,"渋谷-夜勤")+COUNTIF('7月'!N8:O8,"渋谷-夜勤")+COUNTIF('7月'!S8:T8,"渋谷-夜勤")+COUNTIF('7月'!X8:Y8,"渋谷-夜勤")+COUNTIF('7月'!AC8:AD8,"渋谷-夜勤")+COUNTIF('7月'!AH8:AI8,"渋谷-夜勤")+COUNTIF('7月'!AM8:AN8,"渋谷-夜勤")+COUNTIF('7月'!AR8:AS8,"渋谷-夜勤")+COUNTIF('7月'!AW8:AX8,"渋谷-夜勤")+COUNTIF('7月'!BB8:BC8,"渋谷-夜勤")+COUNTIF('7月'!BG8:BH8,"渋谷-夜勤")+COUNTIF('7月'!BL8:BM8,"渋谷-夜勤")+COUNTIF('7月'!BQ8:BR8,"渋谷-夜勤")+COUNTIF('7月'!BV8:BW8,"渋谷-夜勤")+COUNTIF('7月'!CA8:CB8,"渋谷-夜勤")+COUNTIF('7月'!CF8:CG8,"渋谷-夜勤")+COUNTIF('7月'!CK8:CL8,"渋谷-夜勤")+COUNTIF('7月'!CP8:CQ8,"渋谷-夜勤")+COUNTIF('7月'!CU8:CV8,"渋谷-夜勤")+COUNTIF('7月'!CZ8:DA8,"渋谷-夜勤")+COUNTIF('7月'!DE8:DF8,"渋谷-夜勤")+COUNTIF('7月'!DJ8:DK8,"渋谷-夜勤")+COUNTIF('7月'!DO8:DP8,"渋谷-夜勤")+COUNTIF('7月'!DT8:DU8,"渋谷-夜勤")+COUNTIF('7月'!DY8:DZ8,"渋谷-夜勤")+COUNTIF('7月'!ED8:EE8,"渋谷-夜勤")+COUNTIF('7月'!EI8:EJ8,"渋谷-夜勤")+COUNTIF('7月'!EN8:EO8,"渋谷-夜勤")+COUNTIF('7月'!ES8:ET8,"渋谷-夜勤")</f>
        <v>0</v>
      </c>
      <c r="I232" s="76">
        <f t="shared" si="75"/>
        <v>0</v>
      </c>
      <c r="J232" s="76">
        <f>COUNTIF('7月'!D8:E8,J$226)+COUNTIF('7月'!I8:J8,J$226)+COUNTIF('7月'!N8:O8,J$226)+COUNTIF('7月'!S8:T8,J$226)+COUNTIF('7月'!X8:Y8,J$226)+COUNTIF('7月'!AC8:AD8,J$226)+COUNTIF('7月'!AH8:AI8,J$226)+COUNTIF('7月'!AM8:AN8,J$226)+COUNTIF('7月'!AR8:AS8,J$226)+COUNTIF('7月'!AW8:AX8,J$226)+COUNTIF('7月'!BB8:BC8,J$226)+COUNTIF('7月'!BG8:BH8,J$226)+COUNTIF('7月'!BL8:BM8,J$226)+COUNTIF('7月'!BQ8:BR8,J$226)+COUNTIF('7月'!BV8:BW8,J$226)+COUNTIF('7月'!CA8:CB8,J$226)+COUNTIF('7月'!CF8:CG8,J$226)+COUNTIF('7月'!CK8:CL8,J$226)+COUNTIF('7月'!CP8:CQ8,J$226)+COUNTIF('7月'!CU8:CV8,J$226)+COUNTIF('7月'!CZ8:DA8,J$226)+COUNTIF('7月'!DE8:DF8,J$226)+COUNTIF('7月'!DJ8:DK8,J$226)+COUNTIF('7月'!DO8:DP8,J$226)+COUNTIF('7月'!DT8:DU8,J$226)+COUNTIF('7月'!DY8:DZ8,J$226)+COUNTIF('7月'!ED8:EE8,J$226)+COUNTIF('7月'!EI8:EJ8,J$226)+COUNTIF('7月'!EN8:EO8,J$226)+COUNTIF('7月'!ES8:ET8,J$226)+COUNTIF('7月'!D8:E8,"六本木-夜勤")+COUNTIF('7月'!I8:J8,"六本木-夜勤")+COUNTIF('7月'!N8:O8,"六本木-夜勤")+COUNTIF('7月'!S8:T8,"六本木-夜勤")+COUNTIF('7月'!X8:Y8,"六本木-夜勤")+COUNTIF('7月'!AC8:AD8,"六本木-夜勤")+COUNTIF('7月'!AH8:AI8,"六本木-夜勤")+COUNTIF('7月'!AM8:AN8,"六本木-夜勤")+COUNTIF('7月'!AR8:AS8,"六本木-夜勤")+COUNTIF('7月'!AW8:AX8,"六本木-夜勤")+COUNTIF('7月'!BB8:BC8,"六本木-夜勤")+COUNTIF('7月'!BG8:BH8,"六本木-夜勤")+COUNTIF('7月'!BL8:BM8,"六本木-夜勤")+COUNTIF('7月'!BQ8:BR8,"六本木-夜勤")+COUNTIF('7月'!BV8:BW8,"六本木-夜勤")+COUNTIF('7月'!CA8:CB8,"六本木-夜勤")+COUNTIF('7月'!CF8:CG8,"六本木-夜勤")+COUNTIF('7月'!CK8:CL8,"六本木-夜勤")+COUNTIF('7月'!CP8:CQ8,"六本木-夜勤")+COUNTIF('7月'!CU8:CV8,"六本木-夜勤")+COUNTIF('7月'!CZ8:DA8,"六本木-夜勤")+COUNTIF('7月'!DE8:DF8,"六本木-夜勤")+COUNTIF('7月'!DJ8:DK8,"六本木-夜勤")+COUNTIF('7月'!DO8:DP8,"六本木-夜勤")+COUNTIF('7月'!DT8:DU8,"六本木-夜勤")+COUNTIF('7月'!DY8:DZ8,"六本木-夜勤")+COUNTIF('7月'!ED8:EE8,"六本木-夜勤")+COUNTIF('7月'!EI8:EJ8,"六本木-夜勤")+COUNTIF('7月'!EN8:EO8,"六本木-夜勤")+COUNTIF('7月'!ES8:ET8,"六本木-夜勤")+COUNTIF('7月'!D8:E8,"六本木ー夜勤")+COUNTIF('7月'!I8:J8,"六本木ー夜勤")+COUNTIF('7月'!N8:O8,"六本木ー夜勤")+COUNTIF('7月'!S8:T8,"六本木ー夜勤")+COUNTIF('7月'!X8:Y8,"六本木ー夜勤")+COUNTIF('7月'!AC8:AD8,"六本木ー夜勤")+COUNTIF('7月'!AH8:AI8,"六本木ー夜勤")+COUNTIF('7月'!AM8:AN8,"六本木ー夜勤")+COUNTIF('7月'!AR8:AS8,"六本木ー夜勤")+COUNTIF('7月'!AW8:AX8,"六本木ー夜勤")+COUNTIF('7月'!BB8:BC8,"六本木ー夜勤")+COUNTIF('7月'!BG8:BH8,"六本木ー夜勤")+COUNTIF('7月'!BL8:BM8,"六本木ー夜勤")+COUNTIF('7月'!BQ8:BR8,"六本木ー夜勤")+COUNTIF('7月'!BV8:BW8,"六本木ー夜勤")+COUNTIF('7月'!CA8:CB8,"六本木ー夜勤")+COUNTIF('7月'!CF8:CG8,"六本木ー夜勤")+COUNTIF('7月'!CK8:CL8,"六本木ー夜勤")+COUNTIF('7月'!CP8:CQ8,"六本木ー夜勤")+COUNTIF('7月'!CU8:CV8,"六本木ー夜勤")+COUNTIF('7月'!CZ8:DA8,"六本木ー夜勤")+COUNTIF('7月'!DE8:DF8,"六本木ー夜勤")+COUNTIF('7月'!DJ8:DK8,"六本木ー夜勤")+COUNTIF('7月'!DO8:DP8,"六本木ー夜勤")+COUNTIF('7月'!DT8:DU8,"六本木ー夜勤")+COUNTIF('7月'!DY8:DZ8,"六本木ー夜勤")+COUNTIF('7月'!ED8:EE8,"六本木ー夜勤")+COUNTIF('7月'!EI8:EJ8,"六本木ー夜勤")+COUNTIF('7月'!EN8:EO8,"六本木ー夜勤")+COUNTIF('7月'!ES8:ET8,"六本木ー夜勤")</f>
        <v>0</v>
      </c>
      <c r="K232" s="76">
        <f t="shared" si="76"/>
        <v>0</v>
      </c>
      <c r="L232" s="76">
        <f>COUNTIF('7月'!D8:E8,L$226)+COUNTIF('7月'!I8:J8,L$226)+COUNTIF('7月'!N8:O8,L$226)+COUNTIF('7月'!S8:T8,L$226)+COUNTIF('7月'!X8:Y8,L$226)+COUNTIF('7月'!AC8:AD8,L$226)+COUNTIF('7月'!AH8:AI8,L$226)+COUNTIF('7月'!AM8:AN8,L$226)+COUNTIF('7月'!AR8:AS8,L$226)+COUNTIF('7月'!AW8:AX8,L$226)+COUNTIF('7月'!BB8:BC8,L$226)+COUNTIF('7月'!BG8:BH8,L$226)+COUNTIF('7月'!BL8:BM8,L$226)+COUNTIF('7月'!BQ8:BR8,L$226)+COUNTIF('7月'!BV8:BW8,L$226)+COUNTIF('7月'!CA8:CB8,L$226)+COUNTIF('7月'!CF8:CG8,L$226)+COUNTIF('7月'!CK8:CL8,L$226)+COUNTIF('7月'!CP8:CQ8,L$226)+COUNTIF('7月'!CU8:CV8,L$226)+COUNTIF('7月'!CZ8:DA8,L$226)+COUNTIF('7月'!DE8:DF8,L$226)+COUNTIF('7月'!DJ8:DK8,L$226)+COUNTIF('7月'!DO8:DP8,L$226)+COUNTIF('7月'!DT8:DU8,L$226)+COUNTIF('7月'!DY8:DZ8,L$226)+COUNTIF('7月'!ED8:EE8,L$226)+COUNTIF('7月'!EI8:EJ8,L$226)+COUNTIF('7月'!EN8:EO8,L$226)+COUNTIF('7月'!ES8:ET8,L$226)</f>
        <v>0</v>
      </c>
      <c r="M232" s="76">
        <f t="shared" si="77"/>
        <v>0</v>
      </c>
      <c r="N232" s="76">
        <f>COUNTIF('7月'!D8:E8,N$226)+COUNTIF('7月'!I8:J8,N$226)+COUNTIF('7月'!N8:O8,N$226)+COUNTIF('7月'!S8:T8,N$226)+COUNTIF('7月'!X8:Y8,N$226)+COUNTIF('7月'!AC8:AD8,N$226)+COUNTIF('7月'!AH8:AI8,N$226)+COUNTIF('7月'!AM8:AN8,N$226)+COUNTIF('7月'!AR8:AS8,N$226)+COUNTIF('7月'!AW8:AX8,N$226)+COUNTIF('7月'!BB8:BC8,N$226)+COUNTIF('7月'!BG8:BH8,N$226)+COUNTIF('7月'!BL8:BM8,N$226)+COUNTIF('7月'!BQ8:BR8,N$226)+COUNTIF('7月'!BV8:BW8,N$226)+COUNTIF('7月'!CA8:CB8,N$226)+COUNTIF('7月'!CF8:CG8,N$226)+COUNTIF('7月'!CK8:CL8,N$226)+COUNTIF('7月'!CP8:CQ8,N$226)+COUNTIF('7月'!CU8:CV8,N$226)+COUNTIF('7月'!CZ8:DA8,N$226)+COUNTIF('7月'!DE8:DF8,N$226)+COUNTIF('7月'!DJ8:DK8,N$226)+COUNTIF('7月'!DO8:DP8,N$226)+COUNTIF('7月'!DT8:DU8,N$226)+COUNTIF('7月'!DY8:DZ8,N$226)+COUNTIF('7月'!ED8:EE8,N$226)+COUNTIF('7月'!EI8:EJ8,N$226)+COUNTIF('7月'!EN8:EO8,N$226)+COUNTIF('7月'!ES8:ET8,N$226)+COUNTIF('7月'!D8:E8,"三軒茶屋－夜勤")+COUNTIF('7月'!I8:J8,"三軒茶屋－夜勤")+COUNTIF('7月'!N8:O8,"三軒茶屋－夜勤")+COUNTIF('7月'!S8:T8,"三軒茶屋－夜勤")+COUNTIF('7月'!X8:Y8,"三軒茶屋－夜勤")+COUNTIF('7月'!AC8:AD8,"三軒茶屋－夜勤")+COUNTIF('7月'!AH8:AI8,"三軒茶屋－夜勤")+COUNTIF('7月'!AM8:AN8,"三軒茶屋－夜勤")+COUNTIF('7月'!AR8:AS8,"三軒茶屋－夜勤")+COUNTIF('7月'!AW8:AX8,"三軒茶屋－夜勤")+COUNTIF('7月'!BB8:BC8,"三軒茶屋－夜勤")+COUNTIF('7月'!BG8:BH8,"三軒茶屋－夜勤")+COUNTIF('7月'!BL8:BM8,"三軒茶屋－夜勤")+COUNTIF('7月'!BQ8:BR8,"三軒茶屋－夜勤")+COUNTIF('7月'!BV8:BW8,"三軒茶屋－夜勤")+COUNTIF('7月'!CA8:CB8,"三軒茶屋－夜勤")+COUNTIF('7月'!CF8:CG8,"三軒茶屋－夜勤")+COUNTIF('7月'!CK8:CL8,"三軒茶屋－夜勤")+COUNTIF('7月'!CP8:CQ8,"三軒茶屋－夜勤")+COUNTIF('7月'!CU8:CV8,"三軒茶屋－夜勤")+COUNTIF('7月'!CZ8:DA8,"三軒茶屋－夜勤")+COUNTIF('7月'!DE8:DF8,"三軒茶屋－夜勤")+COUNTIF('7月'!DJ8:DK8,"三軒茶屋－夜勤")+COUNTIF('7月'!DO8:DP8,"三軒茶屋－夜勤")+COUNTIF('7月'!DT8:DU8,"三軒茶屋－夜勤")+COUNTIF('7月'!DY8:DZ8,"三軒茶屋－夜勤")+COUNTIF('7月'!ED8:EE8,"三軒茶屋－夜勤")+COUNTIF('7月'!EI8:EJ8,"三軒茶屋－夜勤")+COUNTIF('7月'!EN8:EO8,"三軒茶屋－夜勤")+COUNTIF('7月'!ES8:ET8,"三軒茶屋－夜勤")</f>
        <v>0</v>
      </c>
      <c r="O232" s="76">
        <f t="shared" si="78"/>
        <v>0</v>
      </c>
      <c r="P232" s="76">
        <f>COUNTIF('7月'!D8:E8,P$226)+COUNTIF('7月'!I8:J8,P$226)+COUNTIF('7月'!N8:O8,P$226)+COUNTIF('7月'!S8:T8,P$226)+COUNTIF('7月'!X8:Y8,P$226)+COUNTIF('7月'!AC8:AD8,P$226)+COUNTIF('7月'!AH8:AI8,P$226)+COUNTIF('7月'!AM8:AN8,P$226)+COUNTIF('7月'!AR8:AS8,P$226)+COUNTIF('7月'!AW8:AX8,P$226)+COUNTIF('7月'!BB8:BC8,P$226)+COUNTIF('7月'!BG8:BH8,P$226)+COUNTIF('7月'!BL8:BM8,P$226)+COUNTIF('7月'!BQ8:BR8,P$226)+COUNTIF('7月'!BV8:BW8,P$226)+COUNTIF('7月'!CA8:CB8,P$226)+COUNTIF('7月'!CF8:CG8,P$226)+COUNTIF('7月'!CK8:CL8,P$226)+COUNTIF('7月'!CP8:CQ8,P$226)+COUNTIF('7月'!CU8:CV8,P$226)+COUNTIF('7月'!CZ8:DA8,P$226)+COUNTIF('7月'!DE8:DF8,P$226)+COUNTIF('7月'!DJ8:DK8,P$226)+COUNTIF('7月'!DO8:DP8,P$226)+COUNTIF('7月'!DT8:DU8,P$226)+COUNTIF('7月'!DY8:DZ8,P$226)+COUNTIF('7月'!ED8:EE8,P$226)+COUNTIF('7月'!EI8:EJ8,P$226)+COUNTIF('7月'!EN8:EO8,P$226)+COUNTIF('7月'!ES8:ET8,P$226)+COUNTIF('7月'!D8:E8,"荻窪ー夜勤")+COUNTIF('7月'!I8:J8,"荻窪ー夜勤")+COUNTIF('7月'!N8:O8,"荻窪ー夜勤")+COUNTIF('7月'!S8:T8,"荻窪ー夜勤")+COUNTIF('7月'!X8:Y8,"荻窪ー夜勤")+COUNTIF('7月'!AC8:AD8,"荻窪ー夜勤")+COUNTIF('7月'!AH8:AI8,"荻窪ー夜勤")+COUNTIF('7月'!AM8:AN8,"荻窪ー夜勤")+COUNTIF('7月'!AR8:AS8,"荻窪ー夜勤")+COUNTIF('7月'!AW8:AX8,"荻窪ー夜勤")+COUNTIF('7月'!BB8:BC8,"荻窪ー夜勤")+COUNTIF('7月'!BG8:BH8,"荻窪ー夜勤")+COUNTIF('7月'!BL8:BM8,"荻窪ー夜勤")+COUNTIF('7月'!BQ8:BR8,"荻窪ー夜勤")+COUNTIF('7月'!BV8:BW8,"荻窪ー夜勤")+COUNTIF('7月'!CA8:CB8,"荻窪ー夜勤")+COUNTIF('7月'!CF8:CG8,"荻窪ー夜勤")+COUNTIF('7月'!CK8:CL8,"荻窪ー夜勤")+COUNTIF('7月'!CP8:CQ8,"荻窪ー夜勤")+COUNTIF('7月'!CU8:CV8,"荻窪ー夜勤")+COUNTIF('7月'!CZ8:DA8,"荻窪ー夜勤")+COUNTIF('7月'!DE8:DF8,"荻窪ー夜勤")+COUNTIF('7月'!DJ8:DK8,"荻窪ー夜勤")+COUNTIF('7月'!DO8:DP8,"荻窪ー夜勤")+COUNTIF('7月'!DT8:DU8,"荻窪ー夜勤")+COUNTIF('7月'!DY8:DZ8,"荻窪ー夜勤")+COUNTIF('7月'!ED8:EE8,"荻窪ー夜勤")+COUNTIF('7月'!EI8:EJ8,"荻窪ー夜勤")+COUNTIF('7月'!EN8:EO8,"荻窪ー夜勤")+COUNTIF('7月'!ES8:ET8,"荻窪ー夜勤")</f>
        <v>0</v>
      </c>
      <c r="Q232" s="76">
        <f t="shared" si="79"/>
        <v>0</v>
      </c>
      <c r="R232" s="76">
        <f>COUNTIF('7月'!D8:E8,R$226)+COUNTIF('7月'!I8:J8,R$226)+COUNTIF('7月'!N8:O8,R$226)+COUNTIF('7月'!S8:T8,R$226)+COUNTIF('7月'!X8:Y8,R$226)+COUNTIF('7月'!AC8:AD8,R$226)+COUNTIF('7月'!AH8:AI8,R$226)+COUNTIF('7月'!AM8:AN8,R$226)+COUNTIF('7月'!AR8:AS8,R$226)+COUNTIF('7月'!AW8:AX8,R$226)+COUNTIF('7月'!BB8:BC8,R$226)+COUNTIF('7月'!BG8:BH8,R$226)+COUNTIF('7月'!BL8:BM8,R$226)+COUNTIF('7月'!BQ8:BR8,R$226)+COUNTIF('7月'!BV8:BW8,R$226)+COUNTIF('7月'!CA8:CB8,R$226)+COUNTIF('7月'!CF8:CG8,R$226)+COUNTIF('7月'!CK8:CL8,R$226)+COUNTIF('7月'!CP8:CQ8,R$226)+COUNTIF('7月'!CU8:CV8,R$226)+COUNTIF('7月'!CZ8:DA8,R$226)+COUNTIF('7月'!DE8:DF8,R$226)+COUNTIF('7月'!DJ8:DK8,R$226)+COUNTIF('7月'!DO8:DP8,R$226)+COUNTIF('7月'!DT8:DU8,R$226)+COUNTIF('7月'!DY8:DZ8,R$226)+COUNTIF('7月'!ED8:EE8,R$226)+COUNTIF('7月'!EI8:EJ8,R$226)+COUNTIF('7月'!EN8:EO8,R$226)+COUNTIF('7月'!ES8:ET8,R$226)</f>
        <v>0</v>
      </c>
      <c r="S232" s="76">
        <f t="shared" si="80"/>
        <v>0</v>
      </c>
      <c r="T232" s="76">
        <f>COUNTIF('7月'!D8:E8,T$226)+COUNTIF('7月'!I8:J8,T$226)+COUNTIF('7月'!N8:O8,T$226)+COUNTIF('7月'!S8:T8,T$226)+COUNTIF('7月'!X8:Y8,T$226)+COUNTIF('7月'!AC8:AD8,T$226)+COUNTIF('7月'!AH8:AI8,T$226)+COUNTIF('7月'!AM8:AN8,T$226)+COUNTIF('7月'!AR8:AS8,T$226)+COUNTIF('7月'!AW8:AX8,T$226)+COUNTIF('7月'!BB8:BC8,T$226)+COUNTIF('7月'!BG8:BH8,T$226)+COUNTIF('7月'!BL8:BM8,T$226)+COUNTIF('7月'!BQ8:BR8,T$226)+COUNTIF('7月'!BV8:BW8,T$226)+COUNTIF('7月'!CA8:CB8,T$226)+COUNTIF('7月'!CF8:CG8,T$226)+COUNTIF('7月'!CK8:CL8,T$226)+COUNTIF('7月'!CP8:CQ8,T$226)+COUNTIF('7月'!CU8:CV8,T$226)+COUNTIF('7月'!CZ8:DA8,T$226)+COUNTIF('7月'!DE8:DF8,T$226)+COUNTIF('7月'!DJ8:DK8,T$226)+COUNTIF('7月'!DO8:DP8,T$226)+COUNTIF('7月'!DT8:DU8,T$226)+COUNTIF('7月'!DY8:DZ8,T$226)+COUNTIF('7月'!ED8:EE8,T$226)+COUNTIF('7月'!EI8:EJ8,T$226)+COUNTIF('7月'!EN8:EO8,T$226)+COUNTIF('7月'!ES8:ET8,T$226)</f>
        <v>0</v>
      </c>
      <c r="U232" s="76">
        <f t="shared" si="81"/>
        <v>0</v>
      </c>
      <c r="V232" s="76">
        <f>COUNTIF('7月'!D8:E8,V$226)+COUNTIF('7月'!I8:J8,V$226)+COUNTIF('7月'!N8:O8,V$226)+COUNTIF('7月'!S8:T8,V$226)+COUNTIF('7月'!X8:Y8,V$226)+COUNTIF('7月'!AC8:AD8,V$226)+COUNTIF('7月'!AH8:AI8,V$226)+COUNTIF('7月'!AM8:AN8,V$226)+COUNTIF('7月'!AR8:AS8,V$226)+COUNTIF('7月'!AW8:AX8,V$226)+COUNTIF('7月'!BB8:BC8,V$226)+COUNTIF('7月'!BG8:BH8,V$226)+COUNTIF('7月'!BL8:BM8,V$226)+COUNTIF('7月'!BQ8:BR8,V$226)+COUNTIF('7月'!BV8:BW8,V$226)+COUNTIF('7月'!CA8:CB8,V$226)+COUNTIF('7月'!CF8:CG8,V$226)+COUNTIF('7月'!CK8:CL8,V$226)+COUNTIF('7月'!CP8:CQ8,V$226)+COUNTIF('7月'!CU8:CV8,V$226)+COUNTIF('7月'!CZ8:DA8,V$226)+COUNTIF('7月'!DE8:DF8,V$226)+COUNTIF('7月'!DJ8:DK8,V$226)+COUNTIF('7月'!DO8:DP8,V$226)+COUNTIF('7月'!DT8:DU8,V$226)+COUNTIF('7月'!DY8:DZ8,V$226)+COUNTIF('7月'!ED8:EE8,V$226)+COUNTIF('7月'!EI8:EJ8,V$226)+COUNTIF('7月'!EN8:EO8,V$226)+COUNTIF('7月'!ES8:ET8,V$226)</f>
        <v>0</v>
      </c>
      <c r="W232" s="76">
        <f t="shared" si="82"/>
        <v>0</v>
      </c>
      <c r="X232" s="76">
        <f>COUNTIF('7月'!D8:E8,X$226)+COUNTIF('7月'!I8:J8,X$226)+COUNTIF('7月'!N8:O8,X$226)+COUNTIF('7月'!S8:T8,X$226)+COUNTIF('7月'!X8:Y8,X$226)+COUNTIF('7月'!AC8:AD8,X$226)+COUNTIF('7月'!AH8:AI8,X$226)+COUNTIF('7月'!AM8:AN8,X$226)+COUNTIF('7月'!AR8:AS8,X$226)+COUNTIF('7月'!AW8:AX8,X$226)+COUNTIF('7月'!BB8:BC8,X$226)+COUNTIF('7月'!BG8:BH8,X$226)+COUNTIF('7月'!BL8:BM8,X$226)+COUNTIF('7月'!BQ8:BR8,X$226)+COUNTIF('7月'!BV8:BW8,X$226)+COUNTIF('7月'!CA8:CB8,X$226)+COUNTIF('7月'!CF8:CG8,X$226)+COUNTIF('7月'!CK8:CL8,X$226)+COUNTIF('7月'!CP8:CQ8,X$226)+COUNTIF('7月'!CU8:CV8,X$226)+COUNTIF('7月'!CZ8:DA8,X$226)+COUNTIF('7月'!DE8:DF8,X$226)+COUNTIF('7月'!DJ8:DK8,X$226)+COUNTIF('7月'!DO8:DP8,X$226)+COUNTIF('7月'!DT8:DU8,X$226)+COUNTIF('7月'!DY8:DZ8,X$226)+COUNTIF('7月'!ED8:EE8,X$226)+COUNTIF('7月'!EI8:EJ8,X$226)+COUNTIF('7月'!EN8:EO8,X$226)+COUNTIF('7月'!ES8:ET8,X$226)</f>
        <v>0</v>
      </c>
      <c r="Y232" s="76">
        <f t="shared" si="83"/>
        <v>0</v>
      </c>
    </row>
    <row r="233" spans="1:25" ht="18" customHeight="1">
      <c r="A233" s="76">
        <v>6</v>
      </c>
      <c r="B233" s="76">
        <f>COUNTIF('7月'!D9:E9,B$226)+COUNTIF('7月'!I9:J9,B$226)+COUNTIF('7月'!N9:O9,B$226)+COUNTIF('7月'!S9:T9,B$226)+COUNTIF('7月'!X9:Y9,B$226)+COUNTIF('7月'!AC9:AD9,B$226)+COUNTIF('7月'!AH9:AI9,B$226)+COUNTIF('7月'!AM9:AN9,B$226)+COUNTIF('7月'!AR9:AS9,B$226)+COUNTIF('7月'!AW9:AX9,B$226)+COUNTIF('7月'!BB9:BC9,B$226)+COUNTIF('7月'!BG9:BH9,B$226)+COUNTIF('7月'!BL9:BM9,B$226)+COUNTIF('7月'!BQ9:BR9,B$226)+COUNTIF('7月'!BV9:BW9,B$226)+COUNTIF('7月'!CA9:CB9,B$226)+COUNTIF('7月'!CF9:CG9,B$226)+COUNTIF('7月'!CK9:CL9,B$226)+COUNTIF('7月'!CP9:CQ9,B$226)+COUNTIF('7月'!CU9:CV9,B$226)+COUNTIF('7月'!CZ9:DA9,B$226)+COUNTIF('7月'!DE9:DF9,B$226)+COUNTIF('7月'!DJ9:DK9,B$226)+COUNTIF('7月'!DO9:DP9,B$226)+COUNTIF('7月'!DT9:DU9,B$226)+COUNTIF('7月'!DY9:DZ9,B$226)+COUNTIF('7月'!ED9:EE9,B$226)+COUNTIF('7月'!EI9:EJ9,B$226)+COUNTIF('7月'!EN9:EO9,B$226)+COUNTIF('7月'!ES9:ET9,B$226)</f>
        <v>0</v>
      </c>
      <c r="C233" s="76">
        <f t="shared" si="72"/>
        <v>0</v>
      </c>
      <c r="D233" s="76">
        <f>COUNTIF('7月'!D9:E9,D$226)+COUNTIF('7月'!I9:J9,D$226)+COUNTIF('7月'!N9:O9,D$226)+COUNTIF('7月'!S9:T9,D$226)+COUNTIF('7月'!X9:Y9,D$226)+COUNTIF('7月'!AC9:AD9,D$226)+COUNTIF('7月'!AH9:AI9,D$226)+COUNTIF('7月'!AM9:AN9,D$226)+COUNTIF('7月'!AR9:AS9,D$226)+COUNTIF('7月'!AW9:AX9,D$226)+COUNTIF('7月'!BB9:BC9,D$226)+COUNTIF('7月'!BG9:BH9,D$226)+COUNTIF('7月'!BL9:BM9,D$226)+COUNTIF('7月'!BQ9:BR9,D$226)+COUNTIF('7月'!BV9:BW9,D$226)+COUNTIF('7月'!CA9:CB9,D$226)+COUNTIF('7月'!CF9:CG9,D$226)+COUNTIF('7月'!CK9:CL9,D$226)+COUNTIF('7月'!CP9:CQ9,D$226)+COUNTIF('7月'!CU9:CV9,D$226)+COUNTIF('7月'!CZ9:DA9,D$226)+COUNTIF('7月'!DE9:DF9,D$226)+COUNTIF('7月'!DJ9:DK9,D$226)+COUNTIF('7月'!DO9:DP9,D$226)+COUNTIF('7月'!DT9:DU9,D$226)+COUNTIF('7月'!DY9:DZ9,D$226)+COUNTIF('7月'!ED9:EE9,D$226)+COUNTIF('7月'!EI9:EJ9,D$226)+COUNTIF('7月'!EN9:EO9,D$226)+COUNTIF('7月'!ES9:ET9,D$226)</f>
        <v>0</v>
      </c>
      <c r="E233" s="76">
        <f t="shared" si="73"/>
        <v>0</v>
      </c>
      <c r="F233" s="76">
        <f>COUNTIF('7月'!D9:E9,F$226)+COUNTIF('7月'!I9:J9,F$226)+COUNTIF('7月'!N9:O9,F$226)+COUNTIF('7月'!S9:T9,F$226)+COUNTIF('7月'!X9:Y9,F$226)+COUNTIF('7月'!AC9:AD9,F$226)+COUNTIF('7月'!AH9:AI9,F$226)+COUNTIF('7月'!AM9:AN9,F$226)+COUNTIF('7月'!AR9:AS9,F$226)+COUNTIF('7月'!AW9:AX9,F$226)+COUNTIF('7月'!BB9:BC9,F$226)+COUNTIF('7月'!BG9:BH9,F$226)+COUNTIF('7月'!BL9:BM9,F$226)+COUNTIF('7月'!BQ9:BR9,F$226)+COUNTIF('7月'!BV9:BW9,F$226)+COUNTIF('7月'!CA9:CB9,F$226)+COUNTIF('7月'!CF9:CG9,F$226)+COUNTIF('7月'!CK9:CL9,F$226)+COUNTIF('7月'!CP9:CQ9,F$226)+COUNTIF('7月'!CU9:CV9,F$226)+COUNTIF('7月'!CZ9:DA9,F$226)+COUNTIF('7月'!DE9:DF9,F$226)+COUNTIF('7月'!DJ9:DK9,F$226)+COUNTIF('7月'!DO9:DP9,F$226)+COUNTIF('7月'!DT9:DU9,F$226)+COUNTIF('7月'!DY9:DZ9,F$226)+COUNTIF('7月'!ED9:EE9,F$226)+COUNTIF('7月'!EI9:EJ9,F$226)+COUNTIF('7月'!EN9:EO9,F$226)+COUNTIF('7月'!ES9:ET9,F$226)</f>
        <v>0</v>
      </c>
      <c r="G233" s="76">
        <f t="shared" si="74"/>
        <v>0</v>
      </c>
      <c r="H233" s="76">
        <f>COUNTIF('7月'!D9:E9,H$226)+COUNTIF('7月'!I9:J9,H$226)+COUNTIF('7月'!N9:O9,H$226)+COUNTIF('7月'!S9:T9,H$226)+COUNTIF('7月'!X9:Y9,H$226)+COUNTIF('7月'!AC9:AD9,H$226)+COUNTIF('7月'!AH9:AI9,H$226)+COUNTIF('7月'!AM9:AN9,H$226)+COUNTIF('7月'!AR9:AS9,H$226)+COUNTIF('7月'!AW9:AX9,H$226)+COUNTIF('7月'!BB9:BC9,H$226)+COUNTIF('7月'!BG9:BH9,H$226)+COUNTIF('7月'!BL9:BM9,H$226)+COUNTIF('7月'!BQ9:BR9,H$226)+COUNTIF('7月'!BV9:BW9,H$226)+COUNTIF('7月'!CA9:CB9,H$226)+COUNTIF('7月'!CF9:CG9,H$226)+COUNTIF('7月'!CK9:CL9,H$226)+COUNTIF('7月'!CP9:CQ9,H$226)+COUNTIF('7月'!CU9:CV9,H$226)+COUNTIF('7月'!CZ9:DA9,H$226)+COUNTIF('7月'!DE9:DF9,H$226)+COUNTIF('7月'!DJ9:DK9,H$226)+COUNTIF('7月'!DO9:DP9,H$226)+COUNTIF('7月'!DT9:DU9,H$226)+COUNTIF('7月'!DY9:DZ9,H$226)+COUNTIF('7月'!ED9:EE9,H$226)+COUNTIF('7月'!EI9:EJ9,H$226)+COUNTIF('7月'!EN9:EO9,H$226)+COUNTIF('7月'!ES9:ET9,H$226)+COUNTIF('7月'!D9:E9,"渋谷-夜勤")+COUNTIF('7月'!I9:J9,"渋谷-夜勤")+COUNTIF('7月'!N9:O9,"渋谷-夜勤")+COUNTIF('7月'!S9:T9,"渋谷-夜勤")+COUNTIF('7月'!X9:Y9,"渋谷-夜勤")+COUNTIF('7月'!AC9:AD9,"渋谷-夜勤")+COUNTIF('7月'!AH9:AI9,"渋谷-夜勤")+COUNTIF('7月'!AM9:AN9,"渋谷-夜勤")+COUNTIF('7月'!AR9:AS9,"渋谷-夜勤")+COUNTIF('7月'!AW9:AX9,"渋谷-夜勤")+COUNTIF('7月'!BB9:BC9,"渋谷-夜勤")+COUNTIF('7月'!BG9:BH9,"渋谷-夜勤")+COUNTIF('7月'!BL9:BM9,"渋谷-夜勤")+COUNTIF('7月'!BQ9:BR9,"渋谷-夜勤")+COUNTIF('7月'!BV9:BW9,"渋谷-夜勤")+COUNTIF('7月'!CA9:CB9,"渋谷-夜勤")+COUNTIF('7月'!CF9:CG9,"渋谷-夜勤")+COUNTIF('7月'!CK9:CL9,"渋谷-夜勤")+COUNTIF('7月'!CP9:CQ9,"渋谷-夜勤")+COUNTIF('7月'!CU9:CV9,"渋谷-夜勤")+COUNTIF('7月'!CZ9:DA9,"渋谷-夜勤")+COUNTIF('7月'!DE9:DF9,"渋谷-夜勤")+COUNTIF('7月'!DJ9:DK9,"渋谷-夜勤")+COUNTIF('7月'!DO9:DP9,"渋谷-夜勤")+COUNTIF('7月'!DT9:DU9,"渋谷-夜勤")+COUNTIF('7月'!DY9:DZ9,"渋谷-夜勤")+COUNTIF('7月'!ED9:EE9,"渋谷-夜勤")+COUNTIF('7月'!EI9:EJ9,"渋谷-夜勤")+COUNTIF('7月'!EN9:EO9,"渋谷-夜勤")+COUNTIF('7月'!ES9:ET9,"渋谷-夜勤")</f>
        <v>0</v>
      </c>
      <c r="I233" s="76">
        <f t="shared" si="75"/>
        <v>0</v>
      </c>
      <c r="J233" s="76">
        <f>COUNTIF('7月'!D9:E9,J$226)+COUNTIF('7月'!I9:J9,J$226)+COUNTIF('7月'!N9:O9,J$226)+COUNTIF('7月'!S9:T9,J$226)+COUNTIF('7月'!X9:Y9,J$226)+COUNTIF('7月'!AC9:AD9,J$226)+COUNTIF('7月'!AH9:AI9,J$226)+COUNTIF('7月'!AM9:AN9,J$226)+COUNTIF('7月'!AR9:AS9,J$226)+COUNTIF('7月'!AW9:AX9,J$226)+COUNTIF('7月'!BB9:BC9,J$226)+COUNTIF('7月'!BG9:BH9,J$226)+COUNTIF('7月'!BL9:BM9,J$226)+COUNTIF('7月'!BQ9:BR9,J$226)+COUNTIF('7月'!BV9:BW9,J$226)+COUNTIF('7月'!CA9:CB9,J$226)+COUNTIF('7月'!CF9:CG9,J$226)+COUNTIF('7月'!CK9:CL9,J$226)+COUNTIF('7月'!CP9:CQ9,J$226)+COUNTIF('7月'!CU9:CV9,J$226)+COUNTIF('7月'!CZ9:DA9,J$226)+COUNTIF('7月'!DE9:DF9,J$226)+COUNTIF('7月'!DJ9:DK9,J$226)+COUNTIF('7月'!DO9:DP9,J$226)+COUNTIF('7月'!DT9:DU9,J$226)+COUNTIF('7月'!DY9:DZ9,J$226)+COUNTIF('7月'!ED9:EE9,J$226)+COUNTIF('7月'!EI9:EJ9,J$226)+COUNTIF('7月'!EN9:EO9,J$226)+COUNTIF('7月'!ES9:ET9,J$226)+COUNTIF('7月'!D9:E9,"六本木-夜勤")+COUNTIF('7月'!I9:J9,"六本木-夜勤")+COUNTIF('7月'!N9:O9,"六本木-夜勤")+COUNTIF('7月'!S9:T9,"六本木-夜勤")+COUNTIF('7月'!X9:Y9,"六本木-夜勤")+COUNTIF('7月'!AC9:AD9,"六本木-夜勤")+COUNTIF('7月'!AH9:AI9,"六本木-夜勤")+COUNTIF('7月'!AM9:AN9,"六本木-夜勤")+COUNTIF('7月'!AR9:AS9,"六本木-夜勤")+COUNTIF('7月'!AW9:AX9,"六本木-夜勤")+COUNTIF('7月'!BB9:BC9,"六本木-夜勤")+COUNTIF('7月'!BG9:BH9,"六本木-夜勤")+COUNTIF('7月'!BL9:BM9,"六本木-夜勤")+COUNTIF('7月'!BQ9:BR9,"六本木-夜勤")+COUNTIF('7月'!BV9:BW9,"六本木-夜勤")+COUNTIF('7月'!CA9:CB9,"六本木-夜勤")+COUNTIF('7月'!CF9:CG9,"六本木-夜勤")+COUNTIF('7月'!CK9:CL9,"六本木-夜勤")+COUNTIF('7月'!CP9:CQ9,"六本木-夜勤")+COUNTIF('7月'!CU9:CV9,"六本木-夜勤")+COUNTIF('7月'!CZ9:DA9,"六本木-夜勤")+COUNTIF('7月'!DE9:DF9,"六本木-夜勤")+COUNTIF('7月'!DJ9:DK9,"六本木-夜勤")+COUNTIF('7月'!DO9:DP9,"六本木-夜勤")+COUNTIF('7月'!DT9:DU9,"六本木-夜勤")+COUNTIF('7月'!DY9:DZ9,"六本木-夜勤")+COUNTIF('7月'!ED9:EE9,"六本木-夜勤")+COUNTIF('7月'!EI9:EJ9,"六本木-夜勤")+COUNTIF('7月'!EN9:EO9,"六本木-夜勤")+COUNTIF('7月'!ES9:ET9,"六本木-夜勤")+COUNTIF('7月'!D9:E9,"六本木ー夜勤")+COUNTIF('7月'!I9:J9,"六本木ー夜勤")+COUNTIF('7月'!N9:O9,"六本木ー夜勤")+COUNTIF('7月'!S9:T9,"六本木ー夜勤")+COUNTIF('7月'!X9:Y9,"六本木ー夜勤")+COUNTIF('7月'!AC9:AD9,"六本木ー夜勤")+COUNTIF('7月'!AH9:AI9,"六本木ー夜勤")+COUNTIF('7月'!AM9:AN9,"六本木ー夜勤")+COUNTIF('7月'!AR9:AS9,"六本木ー夜勤")+COUNTIF('7月'!AW9:AX9,"六本木ー夜勤")+COUNTIF('7月'!BB9:BC9,"六本木ー夜勤")+COUNTIF('7月'!BG9:BH9,"六本木ー夜勤")+COUNTIF('7月'!BL9:BM9,"六本木ー夜勤")+COUNTIF('7月'!BQ9:BR9,"六本木ー夜勤")+COUNTIF('7月'!BV9:BW9,"六本木ー夜勤")+COUNTIF('7月'!CA9:CB9,"六本木ー夜勤")+COUNTIF('7月'!CF9:CG9,"六本木ー夜勤")+COUNTIF('7月'!CK9:CL9,"六本木ー夜勤")+COUNTIF('7月'!CP9:CQ9,"六本木ー夜勤")+COUNTIF('7月'!CU9:CV9,"六本木ー夜勤")+COUNTIF('7月'!CZ9:DA9,"六本木ー夜勤")+COUNTIF('7月'!DE9:DF9,"六本木ー夜勤")+COUNTIF('7月'!DJ9:DK9,"六本木ー夜勤")+COUNTIF('7月'!DO9:DP9,"六本木ー夜勤")+COUNTIF('7月'!DT9:DU9,"六本木ー夜勤")+COUNTIF('7月'!DY9:DZ9,"六本木ー夜勤")+COUNTIF('7月'!ED9:EE9,"六本木ー夜勤")+COUNTIF('7月'!EI9:EJ9,"六本木ー夜勤")+COUNTIF('7月'!EN9:EO9,"六本木ー夜勤")+COUNTIF('7月'!ES9:ET9,"六本木ー夜勤")</f>
        <v>0</v>
      </c>
      <c r="K233" s="76">
        <f t="shared" si="76"/>
        <v>0</v>
      </c>
      <c r="L233" s="76">
        <f>COUNTIF('7月'!D9:E9,L$226)+COUNTIF('7月'!I9:J9,L$226)+COUNTIF('7月'!N9:O9,L$226)+COUNTIF('7月'!S9:T9,L$226)+COUNTIF('7月'!X9:Y9,L$226)+COUNTIF('7月'!AC9:AD9,L$226)+COUNTIF('7月'!AH9:AI9,L$226)+COUNTIF('7月'!AM9:AN9,L$226)+COUNTIF('7月'!AR9:AS9,L$226)+COUNTIF('7月'!AW9:AX9,L$226)+COUNTIF('7月'!BB9:BC9,L$226)+COUNTIF('7月'!BG9:BH9,L$226)+COUNTIF('7月'!BL9:BM9,L$226)+COUNTIF('7月'!BQ9:BR9,L$226)+COUNTIF('7月'!BV9:BW9,L$226)+COUNTIF('7月'!CA9:CB9,L$226)+COUNTIF('7月'!CF9:CG9,L$226)+COUNTIF('7月'!CK9:CL9,L$226)+COUNTIF('7月'!CP9:CQ9,L$226)+COUNTIF('7月'!CU9:CV9,L$226)+COUNTIF('7月'!CZ9:DA9,L$226)+COUNTIF('7月'!DE9:DF9,L$226)+COUNTIF('7月'!DJ9:DK9,L$226)+COUNTIF('7月'!DO9:DP9,L$226)+COUNTIF('7月'!DT9:DU9,L$226)+COUNTIF('7月'!DY9:DZ9,L$226)+COUNTIF('7月'!ED9:EE9,L$226)+COUNTIF('7月'!EI9:EJ9,L$226)+COUNTIF('7月'!EN9:EO9,L$226)+COUNTIF('7月'!ES9:ET9,L$226)</f>
        <v>0</v>
      </c>
      <c r="M233" s="76">
        <f t="shared" si="77"/>
        <v>0</v>
      </c>
      <c r="N233" s="76">
        <f>COUNTIF('7月'!D9:E9,N$226)+COUNTIF('7月'!I9:J9,N$226)+COUNTIF('7月'!N9:O9,N$226)+COUNTIF('7月'!S9:T9,N$226)+COUNTIF('7月'!X9:Y9,N$226)+COUNTIF('7月'!AC9:AD9,N$226)+COUNTIF('7月'!AH9:AI9,N$226)+COUNTIF('7月'!AM9:AN9,N$226)+COUNTIF('7月'!AR9:AS9,N$226)+COUNTIF('7月'!AW9:AX9,N$226)+COUNTIF('7月'!BB9:BC9,N$226)+COUNTIF('7月'!BG9:BH9,N$226)+COUNTIF('7月'!BL9:BM9,N$226)+COUNTIF('7月'!BQ9:BR9,N$226)+COUNTIF('7月'!BV9:BW9,N$226)+COUNTIF('7月'!CA9:CB9,N$226)+COUNTIF('7月'!CF9:CG9,N$226)+COUNTIF('7月'!CK9:CL9,N$226)+COUNTIF('7月'!CP9:CQ9,N$226)+COUNTIF('7月'!CU9:CV9,N$226)+COUNTIF('7月'!CZ9:DA9,N$226)+COUNTIF('7月'!DE9:DF9,N$226)+COUNTIF('7月'!DJ9:DK9,N$226)+COUNTIF('7月'!DO9:DP9,N$226)+COUNTIF('7月'!DT9:DU9,N$226)+COUNTIF('7月'!DY9:DZ9,N$226)+COUNTIF('7月'!ED9:EE9,N$226)+COUNTIF('7月'!EI9:EJ9,N$226)+COUNTIF('7月'!EN9:EO9,N$226)+COUNTIF('7月'!ES9:ET9,N$226)+COUNTIF('7月'!D9:E9,"三軒茶屋－夜勤")+COUNTIF('7月'!I9:J9,"三軒茶屋－夜勤")+COUNTIF('7月'!N9:O9,"三軒茶屋－夜勤")+COUNTIF('7月'!S9:T9,"三軒茶屋－夜勤")+COUNTIF('7月'!X9:Y9,"三軒茶屋－夜勤")+COUNTIF('7月'!AC9:AD9,"三軒茶屋－夜勤")+COUNTIF('7月'!AH9:AI9,"三軒茶屋－夜勤")+COUNTIF('7月'!AM9:AN9,"三軒茶屋－夜勤")+COUNTIF('7月'!AR9:AS9,"三軒茶屋－夜勤")+COUNTIF('7月'!AW9:AX9,"三軒茶屋－夜勤")+COUNTIF('7月'!BB9:BC9,"三軒茶屋－夜勤")+COUNTIF('7月'!BG9:BH9,"三軒茶屋－夜勤")+COUNTIF('7月'!BL9:BM9,"三軒茶屋－夜勤")+COUNTIF('7月'!BQ9:BR9,"三軒茶屋－夜勤")+COUNTIF('7月'!BV9:BW9,"三軒茶屋－夜勤")+COUNTIF('7月'!CA9:CB9,"三軒茶屋－夜勤")+COUNTIF('7月'!CF9:CG9,"三軒茶屋－夜勤")+COUNTIF('7月'!CK9:CL9,"三軒茶屋－夜勤")+COUNTIF('7月'!CP9:CQ9,"三軒茶屋－夜勤")+COUNTIF('7月'!CU9:CV9,"三軒茶屋－夜勤")+COUNTIF('7月'!CZ9:DA9,"三軒茶屋－夜勤")+COUNTIF('7月'!DE9:DF9,"三軒茶屋－夜勤")+COUNTIF('7月'!DJ9:DK9,"三軒茶屋－夜勤")+COUNTIF('7月'!DO9:DP9,"三軒茶屋－夜勤")+COUNTIF('7月'!DT9:DU9,"三軒茶屋－夜勤")+COUNTIF('7月'!DY9:DZ9,"三軒茶屋－夜勤")+COUNTIF('7月'!ED9:EE9,"三軒茶屋－夜勤")+COUNTIF('7月'!EI9:EJ9,"三軒茶屋－夜勤")+COUNTIF('7月'!EN9:EO9,"三軒茶屋－夜勤")+COUNTIF('7月'!ES9:ET9,"三軒茶屋－夜勤")</f>
        <v>0</v>
      </c>
      <c r="O233" s="76">
        <f t="shared" si="78"/>
        <v>0</v>
      </c>
      <c r="P233" s="76">
        <f>COUNTIF('7月'!D9:E9,P$226)+COUNTIF('7月'!I9:J9,P$226)+COUNTIF('7月'!N9:O9,P$226)+COUNTIF('7月'!S9:T9,P$226)+COUNTIF('7月'!X9:Y9,P$226)+COUNTIF('7月'!AC9:AD9,P$226)+COUNTIF('7月'!AH9:AI9,P$226)+COUNTIF('7月'!AM9:AN9,P$226)+COUNTIF('7月'!AR9:AS9,P$226)+COUNTIF('7月'!AW9:AX9,P$226)+COUNTIF('7月'!BB9:BC9,P$226)+COUNTIF('7月'!BG9:BH9,P$226)+COUNTIF('7月'!BL9:BM9,P$226)+COUNTIF('7月'!BQ9:BR9,P$226)+COUNTIF('7月'!BV9:BW9,P$226)+COUNTIF('7月'!CA9:CB9,P$226)+COUNTIF('7月'!CF9:CG9,P$226)+COUNTIF('7月'!CK9:CL9,P$226)+COUNTIF('7月'!CP9:CQ9,P$226)+COUNTIF('7月'!CU9:CV9,P$226)+COUNTIF('7月'!CZ9:DA9,P$226)+COUNTIF('7月'!DE9:DF9,P$226)+COUNTIF('7月'!DJ9:DK9,P$226)+COUNTIF('7月'!DO9:DP9,P$226)+COUNTIF('7月'!DT9:DU9,P$226)+COUNTIF('7月'!DY9:DZ9,P$226)+COUNTIF('7月'!ED9:EE9,P$226)+COUNTIF('7月'!EI9:EJ9,P$226)+COUNTIF('7月'!EN9:EO9,P$226)+COUNTIF('7月'!ES9:ET9,P$226)+COUNTIF('7月'!D9:E9,"荻窪ー夜勤")+COUNTIF('7月'!I9:J9,"荻窪ー夜勤")+COUNTIF('7月'!N9:O9,"荻窪ー夜勤")+COUNTIF('7月'!S9:T9,"荻窪ー夜勤")+COUNTIF('7月'!X9:Y9,"荻窪ー夜勤")+COUNTIF('7月'!AC9:AD9,"荻窪ー夜勤")+COUNTIF('7月'!AH9:AI9,"荻窪ー夜勤")+COUNTIF('7月'!AM9:AN9,"荻窪ー夜勤")+COUNTIF('7月'!AR9:AS9,"荻窪ー夜勤")+COUNTIF('7月'!AW9:AX9,"荻窪ー夜勤")+COUNTIF('7月'!BB9:BC9,"荻窪ー夜勤")+COUNTIF('7月'!BG9:BH9,"荻窪ー夜勤")+COUNTIF('7月'!BL9:BM9,"荻窪ー夜勤")+COUNTIF('7月'!BQ9:BR9,"荻窪ー夜勤")+COUNTIF('7月'!BV9:BW9,"荻窪ー夜勤")+COUNTIF('7月'!CA9:CB9,"荻窪ー夜勤")+COUNTIF('7月'!CF9:CG9,"荻窪ー夜勤")+COUNTIF('7月'!CK9:CL9,"荻窪ー夜勤")+COUNTIF('7月'!CP9:CQ9,"荻窪ー夜勤")+COUNTIF('7月'!CU9:CV9,"荻窪ー夜勤")+COUNTIF('7月'!CZ9:DA9,"荻窪ー夜勤")+COUNTIF('7月'!DE9:DF9,"荻窪ー夜勤")+COUNTIF('7月'!DJ9:DK9,"荻窪ー夜勤")+COUNTIF('7月'!DO9:DP9,"荻窪ー夜勤")+COUNTIF('7月'!DT9:DU9,"荻窪ー夜勤")+COUNTIF('7月'!DY9:DZ9,"荻窪ー夜勤")+COUNTIF('7月'!ED9:EE9,"荻窪ー夜勤")+COUNTIF('7月'!EI9:EJ9,"荻窪ー夜勤")+COUNTIF('7月'!EN9:EO9,"荻窪ー夜勤")+COUNTIF('7月'!ES9:ET9,"荻窪ー夜勤")</f>
        <v>0</v>
      </c>
      <c r="Q233" s="76">
        <f t="shared" si="79"/>
        <v>0</v>
      </c>
      <c r="R233" s="76">
        <f>COUNTIF('7月'!D9:E9,R$226)+COUNTIF('7月'!I9:J9,R$226)+COUNTIF('7月'!N9:O9,R$226)+COUNTIF('7月'!S9:T9,R$226)+COUNTIF('7月'!X9:Y9,R$226)+COUNTIF('7月'!AC9:AD9,R$226)+COUNTIF('7月'!AH9:AI9,R$226)+COUNTIF('7月'!AM9:AN9,R$226)+COUNTIF('7月'!AR9:AS9,R$226)+COUNTIF('7月'!AW9:AX9,R$226)+COUNTIF('7月'!BB9:BC9,R$226)+COUNTIF('7月'!BG9:BH9,R$226)+COUNTIF('7月'!BL9:BM9,R$226)+COUNTIF('7月'!BQ9:BR9,R$226)+COUNTIF('7月'!BV9:BW9,R$226)+COUNTIF('7月'!CA9:CB9,R$226)+COUNTIF('7月'!CF9:CG9,R$226)+COUNTIF('7月'!CK9:CL9,R$226)+COUNTIF('7月'!CP9:CQ9,R$226)+COUNTIF('7月'!CU9:CV9,R$226)+COUNTIF('7月'!CZ9:DA9,R$226)+COUNTIF('7月'!DE9:DF9,R$226)+COUNTIF('7月'!DJ9:DK9,R$226)+COUNTIF('7月'!DO9:DP9,R$226)+COUNTIF('7月'!DT9:DU9,R$226)+COUNTIF('7月'!DY9:DZ9,R$226)+COUNTIF('7月'!ED9:EE9,R$226)+COUNTIF('7月'!EI9:EJ9,R$226)+COUNTIF('7月'!EN9:EO9,R$226)+COUNTIF('7月'!ES9:ET9,R$226)</f>
        <v>0</v>
      </c>
      <c r="S233" s="76">
        <f t="shared" si="80"/>
        <v>0</v>
      </c>
      <c r="T233" s="76">
        <f>COUNTIF('7月'!D9:E9,T$226)+COUNTIF('7月'!I9:J9,T$226)+COUNTIF('7月'!N9:O9,T$226)+COUNTIF('7月'!S9:T9,T$226)+COUNTIF('7月'!X9:Y9,T$226)+COUNTIF('7月'!AC9:AD9,T$226)+COUNTIF('7月'!AH9:AI9,T$226)+COUNTIF('7月'!AM9:AN9,T$226)+COUNTIF('7月'!AR9:AS9,T$226)+COUNTIF('7月'!AW9:AX9,T$226)+COUNTIF('7月'!BB9:BC9,T$226)+COUNTIF('7月'!BG9:BH9,T$226)+COUNTIF('7月'!BL9:BM9,T$226)+COUNTIF('7月'!BQ9:BR9,T$226)+COUNTIF('7月'!BV9:BW9,T$226)+COUNTIF('7月'!CA9:CB9,T$226)+COUNTIF('7月'!CF9:CG9,T$226)+COUNTIF('7月'!CK9:CL9,T$226)+COUNTIF('7月'!CP9:CQ9,T$226)+COUNTIF('7月'!CU9:CV9,T$226)+COUNTIF('7月'!CZ9:DA9,T$226)+COUNTIF('7月'!DE9:DF9,T$226)+COUNTIF('7月'!DJ9:DK9,T$226)+COUNTIF('7月'!DO9:DP9,T$226)+COUNTIF('7月'!DT9:DU9,T$226)+COUNTIF('7月'!DY9:DZ9,T$226)+COUNTIF('7月'!ED9:EE9,T$226)+COUNTIF('7月'!EI9:EJ9,T$226)+COUNTIF('7月'!EN9:EO9,T$226)+COUNTIF('7月'!ES9:ET9,T$226)</f>
        <v>0</v>
      </c>
      <c r="U233" s="76">
        <f t="shared" si="81"/>
        <v>0</v>
      </c>
      <c r="V233" s="76">
        <f>COUNTIF('7月'!D9:E9,V$226)+COUNTIF('7月'!I9:J9,V$226)+COUNTIF('7月'!N9:O9,V$226)+COUNTIF('7月'!S9:T9,V$226)+COUNTIF('7月'!X9:Y9,V$226)+COUNTIF('7月'!AC9:AD9,V$226)+COUNTIF('7月'!AH9:AI9,V$226)+COUNTIF('7月'!AM9:AN9,V$226)+COUNTIF('7月'!AR9:AS9,V$226)+COUNTIF('7月'!AW9:AX9,V$226)+COUNTIF('7月'!BB9:BC9,V$226)+COUNTIF('7月'!BG9:BH9,V$226)+COUNTIF('7月'!BL9:BM9,V$226)+COUNTIF('7月'!BQ9:BR9,V$226)+COUNTIF('7月'!BV9:BW9,V$226)+COUNTIF('7月'!CA9:CB9,V$226)+COUNTIF('7月'!CF9:CG9,V$226)+COUNTIF('7月'!CK9:CL9,V$226)+COUNTIF('7月'!CP9:CQ9,V$226)+COUNTIF('7月'!CU9:CV9,V$226)+COUNTIF('7月'!CZ9:DA9,V$226)+COUNTIF('7月'!DE9:DF9,V$226)+COUNTIF('7月'!DJ9:DK9,V$226)+COUNTIF('7月'!DO9:DP9,V$226)+COUNTIF('7月'!DT9:DU9,V$226)+COUNTIF('7月'!DY9:DZ9,V$226)+COUNTIF('7月'!ED9:EE9,V$226)+COUNTIF('7月'!EI9:EJ9,V$226)+COUNTIF('7月'!EN9:EO9,V$226)+COUNTIF('7月'!ES9:ET9,V$226)</f>
        <v>0</v>
      </c>
      <c r="W233" s="76">
        <f t="shared" si="82"/>
        <v>0</v>
      </c>
      <c r="X233" s="76">
        <f>COUNTIF('7月'!D9:E9,X$226)+COUNTIF('7月'!I9:J9,X$226)+COUNTIF('7月'!N9:O9,X$226)+COUNTIF('7月'!S9:T9,X$226)+COUNTIF('7月'!X9:Y9,X$226)+COUNTIF('7月'!AC9:AD9,X$226)+COUNTIF('7月'!AH9:AI9,X$226)+COUNTIF('7月'!AM9:AN9,X$226)+COUNTIF('7月'!AR9:AS9,X$226)+COUNTIF('7月'!AW9:AX9,X$226)+COUNTIF('7月'!BB9:BC9,X$226)+COUNTIF('7月'!BG9:BH9,X$226)+COUNTIF('7月'!BL9:BM9,X$226)+COUNTIF('7月'!BQ9:BR9,X$226)+COUNTIF('7月'!BV9:BW9,X$226)+COUNTIF('7月'!CA9:CB9,X$226)+COUNTIF('7月'!CF9:CG9,X$226)+COUNTIF('7月'!CK9:CL9,X$226)+COUNTIF('7月'!CP9:CQ9,X$226)+COUNTIF('7月'!CU9:CV9,X$226)+COUNTIF('7月'!CZ9:DA9,X$226)+COUNTIF('7月'!DE9:DF9,X$226)+COUNTIF('7月'!DJ9:DK9,X$226)+COUNTIF('7月'!DO9:DP9,X$226)+COUNTIF('7月'!DT9:DU9,X$226)+COUNTIF('7月'!DY9:DZ9,X$226)+COUNTIF('7月'!ED9:EE9,X$226)+COUNTIF('7月'!EI9:EJ9,X$226)+COUNTIF('7月'!EN9:EO9,X$226)+COUNTIF('7月'!ES9:ET9,X$226)</f>
        <v>0</v>
      </c>
      <c r="Y233" s="76">
        <f t="shared" si="83"/>
        <v>0</v>
      </c>
    </row>
    <row r="234" spans="1:25" ht="18" customHeight="1">
      <c r="A234" s="76">
        <v>7</v>
      </c>
      <c r="B234" s="76">
        <f>COUNTIF('7月'!D10:E10,B$226)+COUNTIF('7月'!I10:J10,B$226)+COUNTIF('7月'!N10:O10,B$226)+COUNTIF('7月'!S10:T10,B$226)+COUNTIF('7月'!X10:Y10,B$226)+COUNTIF('7月'!AC10:AD10,B$226)+COUNTIF('7月'!AH10:AI10,B$226)+COUNTIF('7月'!AM10:AN10,B$226)+COUNTIF('7月'!AR10:AS10,B$226)+COUNTIF('7月'!AW10:AX10,B$226)+COUNTIF('7月'!BB10:BC10,B$226)+COUNTIF('7月'!BG10:BH10,B$226)+COUNTIF('7月'!BL10:BM10,B$226)+COUNTIF('7月'!BQ10:BR10,B$226)+COUNTIF('7月'!BV10:BW10,B$226)+COUNTIF('7月'!CA10:CB10,B$226)+COUNTIF('7月'!CF10:CG10,B$226)+COUNTIF('7月'!CK10:CL10,B$226)+COUNTIF('7月'!CP10:CQ10,B$226)+COUNTIF('7月'!CU10:CV10,B$226)+COUNTIF('7月'!CZ10:DA10,B$226)+COUNTIF('7月'!DE10:DF10,B$226)+COUNTIF('7月'!DJ10:DK10,B$226)+COUNTIF('7月'!DO10:DP10,B$226)+COUNTIF('7月'!DT10:DU10,B$226)+COUNTIF('7月'!DY10:DZ10,B$226)+COUNTIF('7月'!ED10:EE10,B$226)+COUNTIF('7月'!EI10:EJ10,B$226)+COUNTIF('7月'!EN10:EO10,B$226)+COUNTIF('7月'!ES10:ET10,B$226)</f>
        <v>0</v>
      </c>
      <c r="C234" s="76">
        <f t="shared" si="72"/>
        <v>0</v>
      </c>
      <c r="D234" s="76">
        <f>COUNTIF('7月'!D10:E10,D$226)+COUNTIF('7月'!I10:J10,D$226)+COUNTIF('7月'!N10:O10,D$226)+COUNTIF('7月'!S10:T10,D$226)+COUNTIF('7月'!X10:Y10,D$226)+COUNTIF('7月'!AC10:AD10,D$226)+COUNTIF('7月'!AH10:AI10,D$226)+COUNTIF('7月'!AM10:AN10,D$226)+COUNTIF('7月'!AR10:AS10,D$226)+COUNTIF('7月'!AW10:AX10,D$226)+COUNTIF('7月'!BB10:BC10,D$226)+COUNTIF('7月'!BG10:BH10,D$226)+COUNTIF('7月'!BL10:BM10,D$226)+COUNTIF('7月'!BQ10:BR10,D$226)+COUNTIF('7月'!BV10:BW10,D$226)+COUNTIF('7月'!CA10:CB10,D$226)+COUNTIF('7月'!CF10:CG10,D$226)+COUNTIF('7月'!CK10:CL10,D$226)+COUNTIF('7月'!CP10:CQ10,D$226)+COUNTIF('7月'!CU10:CV10,D$226)+COUNTIF('7月'!CZ10:DA10,D$226)+COUNTIF('7月'!DE10:DF10,D$226)+COUNTIF('7月'!DJ10:DK10,D$226)+COUNTIF('7月'!DO10:DP10,D$226)+COUNTIF('7月'!DT10:DU10,D$226)+COUNTIF('7月'!DY10:DZ10,D$226)+COUNTIF('7月'!ED10:EE10,D$226)+COUNTIF('7月'!EI10:EJ10,D$226)+COUNTIF('7月'!EN10:EO10,D$226)+COUNTIF('7月'!ES10:ET10,D$226)</f>
        <v>0</v>
      </c>
      <c r="E234" s="76">
        <f t="shared" si="73"/>
        <v>0</v>
      </c>
      <c r="F234" s="76">
        <f>COUNTIF('7月'!D10:E10,F$226)+COUNTIF('7月'!I10:J10,F$226)+COUNTIF('7月'!N10:O10,F$226)+COUNTIF('7月'!S10:T10,F$226)+COUNTIF('7月'!X10:Y10,F$226)+COUNTIF('7月'!AC10:AD10,F$226)+COUNTIF('7月'!AH10:AI10,F$226)+COUNTIF('7月'!AM10:AN10,F$226)+COUNTIF('7月'!AR10:AS10,F$226)+COUNTIF('7月'!AW10:AX10,F$226)+COUNTIF('7月'!BB10:BC10,F$226)+COUNTIF('7月'!BG10:BH10,F$226)+COUNTIF('7月'!BL10:BM10,F$226)+COUNTIF('7月'!BQ10:BR10,F$226)+COUNTIF('7月'!BV10:BW10,F$226)+COUNTIF('7月'!CA10:CB10,F$226)+COUNTIF('7月'!CF10:CG10,F$226)+COUNTIF('7月'!CK10:CL10,F$226)+COUNTIF('7月'!CP10:CQ10,F$226)+COUNTIF('7月'!CU10:CV10,F$226)+COUNTIF('7月'!CZ10:DA10,F$226)+COUNTIF('7月'!DE10:DF10,F$226)+COUNTIF('7月'!DJ10:DK10,F$226)+COUNTIF('7月'!DO10:DP10,F$226)+COUNTIF('7月'!DT10:DU10,F$226)+COUNTIF('7月'!DY10:DZ10,F$226)+COUNTIF('7月'!ED10:EE10,F$226)+COUNTIF('7月'!EI10:EJ10,F$226)+COUNTIF('7月'!EN10:EO10,F$226)+COUNTIF('7月'!ES10:ET10,F$226)</f>
        <v>0</v>
      </c>
      <c r="G234" s="76">
        <f t="shared" si="74"/>
        <v>0</v>
      </c>
      <c r="H234" s="76">
        <f>COUNTIF('7月'!D10:E10,H$226)+COUNTIF('7月'!I10:J10,H$226)+COUNTIF('7月'!N10:O10,H$226)+COUNTIF('7月'!S10:T10,H$226)+COUNTIF('7月'!X10:Y10,H$226)+COUNTIF('7月'!AC10:AD10,H$226)+COUNTIF('7月'!AH10:AI10,H$226)+COUNTIF('7月'!AM10:AN10,H$226)+COUNTIF('7月'!AR10:AS10,H$226)+COUNTIF('7月'!AW10:AX10,H$226)+COUNTIF('7月'!BB10:BC10,H$226)+COUNTIF('7月'!BG10:BH10,H$226)+COUNTIF('7月'!BL10:BM10,H$226)+COUNTIF('7月'!BQ10:BR10,H$226)+COUNTIF('7月'!BV10:BW10,H$226)+COUNTIF('7月'!CA10:CB10,H$226)+COUNTIF('7月'!CF10:CG10,H$226)+COUNTIF('7月'!CK10:CL10,H$226)+COUNTIF('7月'!CP10:CQ10,H$226)+COUNTIF('7月'!CU10:CV10,H$226)+COUNTIF('7月'!CZ10:DA10,H$226)+COUNTIF('7月'!DE10:DF10,H$226)+COUNTIF('7月'!DJ10:DK10,H$226)+COUNTIF('7月'!DO10:DP10,H$226)+COUNTIF('7月'!DT10:DU10,H$226)+COUNTIF('7月'!DY10:DZ10,H$226)+COUNTIF('7月'!ED10:EE10,H$226)+COUNTIF('7月'!EI10:EJ10,H$226)+COUNTIF('7月'!EN10:EO10,H$226)+COUNTIF('7月'!ES10:ET10,H$226)+COUNTIF('7月'!D10:E10,"渋谷-夜勤")+COUNTIF('7月'!I10:J10,"渋谷-夜勤")+COUNTIF('7月'!N10:O10,"渋谷-夜勤")+COUNTIF('7月'!S10:T10,"渋谷-夜勤")+COUNTIF('7月'!X10:Y10,"渋谷-夜勤")+COUNTIF('7月'!AC10:AD10,"渋谷-夜勤")+COUNTIF('7月'!AH10:AI10,"渋谷-夜勤")+COUNTIF('7月'!AM10:AN10,"渋谷-夜勤")+COUNTIF('7月'!AR10:AS10,"渋谷-夜勤")+COUNTIF('7月'!AW10:AX10,"渋谷-夜勤")+COUNTIF('7月'!BB10:BC10,"渋谷-夜勤")+COUNTIF('7月'!BG10:BH10,"渋谷-夜勤")+COUNTIF('7月'!BL10:BM10,"渋谷-夜勤")+COUNTIF('7月'!BQ10:BR10,"渋谷-夜勤")+COUNTIF('7月'!BV10:BW10,"渋谷-夜勤")+COUNTIF('7月'!CA10:CB10,"渋谷-夜勤")+COUNTIF('7月'!CF10:CG10,"渋谷-夜勤")+COUNTIF('7月'!CK10:CL10,"渋谷-夜勤")+COUNTIF('7月'!CP10:CQ10,"渋谷-夜勤")+COUNTIF('7月'!CU10:CV10,"渋谷-夜勤")+COUNTIF('7月'!CZ10:DA10,"渋谷-夜勤")+COUNTIF('7月'!DE10:DF10,"渋谷-夜勤")+COUNTIF('7月'!DJ10:DK10,"渋谷-夜勤")+COUNTIF('7月'!DO10:DP10,"渋谷-夜勤")+COUNTIF('7月'!DT10:DU10,"渋谷-夜勤")+COUNTIF('7月'!DY10:DZ10,"渋谷-夜勤")+COUNTIF('7月'!ED10:EE10,"渋谷-夜勤")+COUNTIF('7月'!EI10:EJ10,"渋谷-夜勤")+COUNTIF('7月'!EN10:EO10,"渋谷-夜勤")+COUNTIF('7月'!ES10:ET10,"渋谷-夜勤")</f>
        <v>0</v>
      </c>
      <c r="I234" s="76">
        <f t="shared" si="75"/>
        <v>0</v>
      </c>
      <c r="J234" s="76">
        <f>COUNTIF('7月'!D10:E10,J$226)+COUNTIF('7月'!I10:J10,J$226)+COUNTIF('7月'!N10:O10,J$226)+COUNTIF('7月'!S10:T10,J$226)+COUNTIF('7月'!X10:Y10,J$226)+COUNTIF('7月'!AC10:AD10,J$226)+COUNTIF('7月'!AH10:AI10,J$226)+COUNTIF('7月'!AM10:AN10,J$226)+COUNTIF('7月'!AR10:AS10,J$226)+COUNTIF('7月'!AW10:AX10,J$226)+COUNTIF('7月'!BB10:BC10,J$226)+COUNTIF('7月'!BG10:BH10,J$226)+COUNTIF('7月'!BL10:BM10,J$226)+COUNTIF('7月'!BQ10:BR10,J$226)+COUNTIF('7月'!BV10:BW10,J$226)+COUNTIF('7月'!CA10:CB10,J$226)+COUNTIF('7月'!CF10:CG10,J$226)+COUNTIF('7月'!CK10:CL10,J$226)+COUNTIF('7月'!CP10:CQ10,J$226)+COUNTIF('7月'!CU10:CV10,J$226)+COUNTIF('7月'!CZ10:DA10,J$226)+COUNTIF('7月'!DE10:DF10,J$226)+COUNTIF('7月'!DJ10:DK10,J$226)+COUNTIF('7月'!DO10:DP10,J$226)+COUNTIF('7月'!DT10:DU10,J$226)+COUNTIF('7月'!DY10:DZ10,J$226)+COUNTIF('7月'!ED10:EE10,J$226)+COUNTIF('7月'!EI10:EJ10,J$226)+COUNTIF('7月'!EN10:EO10,J$226)+COUNTIF('7月'!ES10:ET10,J$226)+COUNTIF('7月'!D10:E10,"六本木-夜勤")+COUNTIF('7月'!I10:J10,"六本木-夜勤")+COUNTIF('7月'!N10:O10,"六本木-夜勤")+COUNTIF('7月'!S10:T10,"六本木-夜勤")+COUNTIF('7月'!X10:Y10,"六本木-夜勤")+COUNTIF('7月'!AC10:AD10,"六本木-夜勤")+COUNTIF('7月'!AH10:AI10,"六本木-夜勤")+COUNTIF('7月'!AM10:AN10,"六本木-夜勤")+COUNTIF('7月'!AR10:AS10,"六本木-夜勤")+COUNTIF('7月'!AW10:AX10,"六本木-夜勤")+COUNTIF('7月'!BB10:BC10,"六本木-夜勤")+COUNTIF('7月'!BG10:BH10,"六本木-夜勤")+COUNTIF('7月'!BL10:BM10,"六本木-夜勤")+COUNTIF('7月'!BQ10:BR10,"六本木-夜勤")+COUNTIF('7月'!BV10:BW10,"六本木-夜勤")+COUNTIF('7月'!CA10:CB10,"六本木-夜勤")+COUNTIF('7月'!CF10:CG10,"六本木-夜勤")+COUNTIF('7月'!CK10:CL10,"六本木-夜勤")+COUNTIF('7月'!CP10:CQ10,"六本木-夜勤")+COUNTIF('7月'!CU10:CV10,"六本木-夜勤")+COUNTIF('7月'!CZ10:DA10,"六本木-夜勤")+COUNTIF('7月'!DE10:DF10,"六本木-夜勤")+COUNTIF('7月'!DJ10:DK10,"六本木-夜勤")+COUNTIF('7月'!DO10:DP10,"六本木-夜勤")+COUNTIF('7月'!DT10:DU10,"六本木-夜勤")+COUNTIF('7月'!DY10:DZ10,"六本木-夜勤")+COUNTIF('7月'!ED10:EE10,"六本木-夜勤")+COUNTIF('7月'!EI10:EJ10,"六本木-夜勤")+COUNTIF('7月'!EN10:EO10,"六本木-夜勤")+COUNTIF('7月'!ES10:ET10,"六本木-夜勤")+COUNTIF('7月'!D10:E10,"六本木ー夜勤")+COUNTIF('7月'!I10:J10,"六本木ー夜勤")+COUNTIF('7月'!N10:O10,"六本木ー夜勤")+COUNTIF('7月'!S10:T10,"六本木ー夜勤")+COUNTIF('7月'!X10:Y10,"六本木ー夜勤")+COUNTIF('7月'!AC10:AD10,"六本木ー夜勤")+COUNTIF('7月'!AH10:AI10,"六本木ー夜勤")+COUNTIF('7月'!AM10:AN10,"六本木ー夜勤")+COUNTIF('7月'!AR10:AS10,"六本木ー夜勤")+COUNTIF('7月'!AW10:AX10,"六本木ー夜勤")+COUNTIF('7月'!BB10:BC10,"六本木ー夜勤")+COUNTIF('7月'!BG10:BH10,"六本木ー夜勤")+COUNTIF('7月'!BL10:BM10,"六本木ー夜勤")+COUNTIF('7月'!BQ10:BR10,"六本木ー夜勤")+COUNTIF('7月'!BV10:BW10,"六本木ー夜勤")+COUNTIF('7月'!CA10:CB10,"六本木ー夜勤")+COUNTIF('7月'!CF10:CG10,"六本木ー夜勤")+COUNTIF('7月'!CK10:CL10,"六本木ー夜勤")+COUNTIF('7月'!CP10:CQ10,"六本木ー夜勤")+COUNTIF('7月'!CU10:CV10,"六本木ー夜勤")+COUNTIF('7月'!CZ10:DA10,"六本木ー夜勤")+COUNTIF('7月'!DE10:DF10,"六本木ー夜勤")+COUNTIF('7月'!DJ10:DK10,"六本木ー夜勤")+COUNTIF('7月'!DO10:DP10,"六本木ー夜勤")+COUNTIF('7月'!DT10:DU10,"六本木ー夜勤")+COUNTIF('7月'!DY10:DZ10,"六本木ー夜勤")+COUNTIF('7月'!ED10:EE10,"六本木ー夜勤")+COUNTIF('7月'!EI10:EJ10,"六本木ー夜勤")+COUNTIF('7月'!EN10:EO10,"六本木ー夜勤")+COUNTIF('7月'!ES10:ET10,"六本木ー夜勤")</f>
        <v>0</v>
      </c>
      <c r="K234" s="76">
        <f t="shared" si="76"/>
        <v>0</v>
      </c>
      <c r="L234" s="76">
        <f>COUNTIF('7月'!D10:E10,L$226)+COUNTIF('7月'!I10:J10,L$226)+COUNTIF('7月'!N10:O10,L$226)+COUNTIF('7月'!S10:T10,L$226)+COUNTIF('7月'!X10:Y10,L$226)+COUNTIF('7月'!AC10:AD10,L$226)+COUNTIF('7月'!AH10:AI10,L$226)+COUNTIF('7月'!AM10:AN10,L$226)+COUNTIF('7月'!AR10:AS10,L$226)+COUNTIF('7月'!AW10:AX10,L$226)+COUNTIF('7月'!BB10:BC10,L$226)+COUNTIF('7月'!BG10:BH10,L$226)+COUNTIF('7月'!BL10:BM10,L$226)+COUNTIF('7月'!BQ10:BR10,L$226)+COUNTIF('7月'!BV10:BW10,L$226)+COUNTIF('7月'!CA10:CB10,L$226)+COUNTIF('7月'!CF10:CG10,L$226)+COUNTIF('7月'!CK10:CL10,L$226)+COUNTIF('7月'!CP10:CQ10,L$226)+COUNTIF('7月'!CU10:CV10,L$226)+COUNTIF('7月'!CZ10:DA10,L$226)+COUNTIF('7月'!DE10:DF10,L$226)+COUNTIF('7月'!DJ10:DK10,L$226)+COUNTIF('7月'!DO10:DP10,L$226)+COUNTIF('7月'!DT10:DU10,L$226)+COUNTIF('7月'!DY10:DZ10,L$226)+COUNTIF('7月'!ED10:EE10,L$226)+COUNTIF('7月'!EI10:EJ10,L$226)+COUNTIF('7月'!EN10:EO10,L$226)+COUNTIF('7月'!ES10:ET10,L$226)</f>
        <v>0</v>
      </c>
      <c r="M234" s="76">
        <f t="shared" si="77"/>
        <v>0</v>
      </c>
      <c r="N234" s="76">
        <f>COUNTIF('7月'!D10:E10,N$226)+COUNTIF('7月'!I10:J10,N$226)+COUNTIF('7月'!N10:O10,N$226)+COUNTIF('7月'!S10:T10,N$226)+COUNTIF('7月'!X10:Y10,N$226)+COUNTIF('7月'!AC10:AD10,N$226)+COUNTIF('7月'!AH10:AI10,N$226)+COUNTIF('7月'!AM10:AN10,N$226)+COUNTIF('7月'!AR10:AS10,N$226)+COUNTIF('7月'!AW10:AX10,N$226)+COUNTIF('7月'!BB10:BC10,N$226)+COUNTIF('7月'!BG10:BH10,N$226)+COUNTIF('7月'!BL10:BM10,N$226)+COUNTIF('7月'!BQ10:BR10,N$226)+COUNTIF('7月'!BV10:BW10,N$226)+COUNTIF('7月'!CA10:CB10,N$226)+COUNTIF('7月'!CF10:CG10,N$226)+COUNTIF('7月'!CK10:CL10,N$226)+COUNTIF('7月'!CP10:CQ10,N$226)+COUNTIF('7月'!CU10:CV10,N$226)+COUNTIF('7月'!CZ10:DA10,N$226)+COUNTIF('7月'!DE10:DF10,N$226)+COUNTIF('7月'!DJ10:DK10,N$226)+COUNTIF('7月'!DO10:DP10,N$226)+COUNTIF('7月'!DT10:DU10,N$226)+COUNTIF('7月'!DY10:DZ10,N$226)+COUNTIF('7月'!ED10:EE10,N$226)+COUNTIF('7月'!EI10:EJ10,N$226)+COUNTIF('7月'!EN10:EO10,N$226)+COUNTIF('7月'!ES10:ET10,N$226)+COUNTIF('7月'!D10:E10,"三軒茶屋－夜勤")+COUNTIF('7月'!I10:J10,"三軒茶屋－夜勤")+COUNTIF('7月'!N10:O10,"三軒茶屋－夜勤")+COUNTIF('7月'!S10:T10,"三軒茶屋－夜勤")+COUNTIF('7月'!X10:Y10,"三軒茶屋－夜勤")+COUNTIF('7月'!AC10:AD10,"三軒茶屋－夜勤")+COUNTIF('7月'!AH10:AI10,"三軒茶屋－夜勤")+COUNTIF('7月'!AM10:AN10,"三軒茶屋－夜勤")+COUNTIF('7月'!AR10:AS10,"三軒茶屋－夜勤")+COUNTIF('7月'!AW10:AX10,"三軒茶屋－夜勤")+COUNTIF('7月'!BB10:BC10,"三軒茶屋－夜勤")+COUNTIF('7月'!BG10:BH10,"三軒茶屋－夜勤")+COUNTIF('7月'!BL10:BM10,"三軒茶屋－夜勤")+COUNTIF('7月'!BQ10:BR10,"三軒茶屋－夜勤")+COUNTIF('7月'!BV10:BW10,"三軒茶屋－夜勤")+COUNTIF('7月'!CA10:CB10,"三軒茶屋－夜勤")+COUNTIF('7月'!CF10:CG10,"三軒茶屋－夜勤")+COUNTIF('7月'!CK10:CL10,"三軒茶屋－夜勤")+COUNTIF('7月'!CP10:CQ10,"三軒茶屋－夜勤")+COUNTIF('7月'!CU10:CV10,"三軒茶屋－夜勤")+COUNTIF('7月'!CZ10:DA10,"三軒茶屋－夜勤")+COUNTIF('7月'!DE10:DF10,"三軒茶屋－夜勤")+COUNTIF('7月'!DJ10:DK10,"三軒茶屋－夜勤")+COUNTIF('7月'!DO10:DP10,"三軒茶屋－夜勤")+COUNTIF('7月'!DT10:DU10,"三軒茶屋－夜勤")+COUNTIF('7月'!DY10:DZ10,"三軒茶屋－夜勤")+COUNTIF('7月'!ED10:EE10,"三軒茶屋－夜勤")+COUNTIF('7月'!EI10:EJ10,"三軒茶屋－夜勤")+COUNTIF('7月'!EN10:EO10,"三軒茶屋－夜勤")+COUNTIF('7月'!ES10:ET10,"三軒茶屋－夜勤")</f>
        <v>0</v>
      </c>
      <c r="O234" s="76">
        <f t="shared" si="78"/>
        <v>0</v>
      </c>
      <c r="P234" s="76">
        <f>COUNTIF('7月'!D10:E10,P$226)+COUNTIF('7月'!I10:J10,P$226)+COUNTIF('7月'!N10:O10,P$226)+COUNTIF('7月'!S10:T10,P$226)+COUNTIF('7月'!X10:Y10,P$226)+COUNTIF('7月'!AC10:AD10,P$226)+COUNTIF('7月'!AH10:AI10,P$226)+COUNTIF('7月'!AM10:AN10,P$226)+COUNTIF('7月'!AR10:AS10,P$226)+COUNTIF('7月'!AW10:AX10,P$226)+COUNTIF('7月'!BB10:BC10,P$226)+COUNTIF('7月'!BG10:BH10,P$226)+COUNTIF('7月'!BL10:BM10,P$226)+COUNTIF('7月'!BQ10:BR10,P$226)+COUNTIF('7月'!BV10:BW10,P$226)+COUNTIF('7月'!CA10:CB10,P$226)+COUNTIF('7月'!CF10:CG10,P$226)+COUNTIF('7月'!CK10:CL10,P$226)+COUNTIF('7月'!CP10:CQ10,P$226)+COUNTIF('7月'!CU10:CV10,P$226)+COUNTIF('7月'!CZ10:DA10,P$226)+COUNTIF('7月'!DE10:DF10,P$226)+COUNTIF('7月'!DJ10:DK10,P$226)+COUNTIF('7月'!DO10:DP10,P$226)+COUNTIF('7月'!DT10:DU10,P$226)+COUNTIF('7月'!DY10:DZ10,P$226)+COUNTIF('7月'!ED10:EE10,P$226)+COUNTIF('7月'!EI10:EJ10,P$226)+COUNTIF('7月'!EN10:EO10,P$226)+COUNTIF('7月'!ES10:ET10,P$226)+COUNTIF('7月'!D10:E10,"荻窪ー夜勤")+COUNTIF('7月'!I10:J10,"荻窪ー夜勤")+COUNTIF('7月'!N10:O10,"荻窪ー夜勤")+COUNTIF('7月'!S10:T10,"荻窪ー夜勤")+COUNTIF('7月'!X10:Y10,"荻窪ー夜勤")+COUNTIF('7月'!AC10:AD10,"荻窪ー夜勤")+COUNTIF('7月'!AH10:AI10,"荻窪ー夜勤")+COUNTIF('7月'!AM10:AN10,"荻窪ー夜勤")+COUNTIF('7月'!AR10:AS10,"荻窪ー夜勤")+COUNTIF('7月'!AW10:AX10,"荻窪ー夜勤")+COUNTIF('7月'!BB10:BC10,"荻窪ー夜勤")+COUNTIF('7月'!BG10:BH10,"荻窪ー夜勤")+COUNTIF('7月'!BL10:BM10,"荻窪ー夜勤")+COUNTIF('7月'!BQ10:BR10,"荻窪ー夜勤")+COUNTIF('7月'!BV10:BW10,"荻窪ー夜勤")+COUNTIF('7月'!CA10:CB10,"荻窪ー夜勤")+COUNTIF('7月'!CF10:CG10,"荻窪ー夜勤")+COUNTIF('7月'!CK10:CL10,"荻窪ー夜勤")+COUNTIF('7月'!CP10:CQ10,"荻窪ー夜勤")+COUNTIF('7月'!CU10:CV10,"荻窪ー夜勤")+COUNTIF('7月'!CZ10:DA10,"荻窪ー夜勤")+COUNTIF('7月'!DE10:DF10,"荻窪ー夜勤")+COUNTIF('7月'!DJ10:DK10,"荻窪ー夜勤")+COUNTIF('7月'!DO10:DP10,"荻窪ー夜勤")+COUNTIF('7月'!DT10:DU10,"荻窪ー夜勤")+COUNTIF('7月'!DY10:DZ10,"荻窪ー夜勤")+COUNTIF('7月'!ED10:EE10,"荻窪ー夜勤")+COUNTIF('7月'!EI10:EJ10,"荻窪ー夜勤")+COUNTIF('7月'!EN10:EO10,"荻窪ー夜勤")+COUNTIF('7月'!ES10:ET10,"荻窪ー夜勤")</f>
        <v>0</v>
      </c>
      <c r="Q234" s="76">
        <f t="shared" si="79"/>
        <v>0</v>
      </c>
      <c r="R234" s="76">
        <f>COUNTIF('7月'!D10:E10,R$226)+COUNTIF('7月'!I10:J10,R$226)+COUNTIF('7月'!N10:O10,R$226)+COUNTIF('7月'!S10:T10,R$226)+COUNTIF('7月'!X10:Y10,R$226)+COUNTIF('7月'!AC10:AD10,R$226)+COUNTIF('7月'!AH10:AI10,R$226)+COUNTIF('7月'!AM10:AN10,R$226)+COUNTIF('7月'!AR10:AS10,R$226)+COUNTIF('7月'!AW10:AX10,R$226)+COUNTIF('7月'!BB10:BC10,R$226)+COUNTIF('7月'!BG10:BH10,R$226)+COUNTIF('7月'!BL10:BM10,R$226)+COUNTIF('7月'!BQ10:BR10,R$226)+COUNTIF('7月'!BV10:BW10,R$226)+COUNTIF('7月'!CA10:CB10,R$226)+COUNTIF('7月'!CF10:CG10,R$226)+COUNTIF('7月'!CK10:CL10,R$226)+COUNTIF('7月'!CP10:CQ10,R$226)+COUNTIF('7月'!CU10:CV10,R$226)+COUNTIF('7月'!CZ10:DA10,R$226)+COUNTIF('7月'!DE10:DF10,R$226)+COUNTIF('7月'!DJ10:DK10,R$226)+COUNTIF('7月'!DO10:DP10,R$226)+COUNTIF('7月'!DT10:DU10,R$226)+COUNTIF('7月'!DY10:DZ10,R$226)+COUNTIF('7月'!ED10:EE10,R$226)+COUNTIF('7月'!EI10:EJ10,R$226)+COUNTIF('7月'!EN10:EO10,R$226)+COUNTIF('7月'!ES10:ET10,R$226)</f>
        <v>0</v>
      </c>
      <c r="S234" s="76">
        <f t="shared" si="80"/>
        <v>0</v>
      </c>
      <c r="T234" s="76">
        <f>COUNTIF('7月'!D10:E10,T$226)+COUNTIF('7月'!I10:J10,T$226)+COUNTIF('7月'!N10:O10,T$226)+COUNTIF('7月'!S10:T10,T$226)+COUNTIF('7月'!X10:Y10,T$226)+COUNTIF('7月'!AC10:AD10,T$226)+COUNTIF('7月'!AH10:AI10,T$226)+COUNTIF('7月'!AM10:AN10,T$226)+COUNTIF('7月'!AR10:AS10,T$226)+COUNTIF('7月'!AW10:AX10,T$226)+COUNTIF('7月'!BB10:BC10,T$226)+COUNTIF('7月'!BG10:BH10,T$226)+COUNTIF('7月'!BL10:BM10,T$226)+COUNTIF('7月'!BQ10:BR10,T$226)+COUNTIF('7月'!BV10:BW10,T$226)+COUNTIF('7月'!CA10:CB10,T$226)+COUNTIF('7月'!CF10:CG10,T$226)+COUNTIF('7月'!CK10:CL10,T$226)+COUNTIF('7月'!CP10:CQ10,T$226)+COUNTIF('7月'!CU10:CV10,T$226)+COUNTIF('7月'!CZ10:DA10,T$226)+COUNTIF('7月'!DE10:DF10,T$226)+COUNTIF('7月'!DJ10:DK10,T$226)+COUNTIF('7月'!DO10:DP10,T$226)+COUNTIF('7月'!DT10:DU10,T$226)+COUNTIF('7月'!DY10:DZ10,T$226)+COUNTIF('7月'!ED10:EE10,T$226)+COUNTIF('7月'!EI10:EJ10,T$226)+COUNTIF('7月'!EN10:EO10,T$226)+COUNTIF('7月'!ES10:ET10,T$226)</f>
        <v>0</v>
      </c>
      <c r="U234" s="76">
        <f t="shared" si="81"/>
        <v>0</v>
      </c>
      <c r="V234" s="76">
        <f>COUNTIF('7月'!D10:E10,V$226)+COUNTIF('7月'!I10:J10,V$226)+COUNTIF('7月'!N10:O10,V$226)+COUNTIF('7月'!S10:T10,V$226)+COUNTIF('7月'!X10:Y10,V$226)+COUNTIF('7月'!AC10:AD10,V$226)+COUNTIF('7月'!AH10:AI10,V$226)+COUNTIF('7月'!AM10:AN10,V$226)+COUNTIF('7月'!AR10:AS10,V$226)+COUNTIF('7月'!AW10:AX10,V$226)+COUNTIF('7月'!BB10:BC10,V$226)+COUNTIF('7月'!BG10:BH10,V$226)+COUNTIF('7月'!BL10:BM10,V$226)+COUNTIF('7月'!BQ10:BR10,V$226)+COUNTIF('7月'!BV10:BW10,V$226)+COUNTIF('7月'!CA10:CB10,V$226)+COUNTIF('7月'!CF10:CG10,V$226)+COUNTIF('7月'!CK10:CL10,V$226)+COUNTIF('7月'!CP10:CQ10,V$226)+COUNTIF('7月'!CU10:CV10,V$226)+COUNTIF('7月'!CZ10:DA10,V$226)+COUNTIF('7月'!DE10:DF10,V$226)+COUNTIF('7月'!DJ10:DK10,V$226)+COUNTIF('7月'!DO10:DP10,V$226)+COUNTIF('7月'!DT10:DU10,V$226)+COUNTIF('7月'!DY10:DZ10,V$226)+COUNTIF('7月'!ED10:EE10,V$226)+COUNTIF('7月'!EI10:EJ10,V$226)+COUNTIF('7月'!EN10:EO10,V$226)+COUNTIF('7月'!ES10:ET10,V$226)</f>
        <v>0</v>
      </c>
      <c r="W234" s="76">
        <f t="shared" si="82"/>
        <v>0</v>
      </c>
      <c r="X234" s="76">
        <f>COUNTIF('7月'!D10:E10,X$226)+COUNTIF('7月'!I10:J10,X$226)+COUNTIF('7月'!N10:O10,X$226)+COUNTIF('7月'!S10:T10,X$226)+COUNTIF('7月'!X10:Y10,X$226)+COUNTIF('7月'!AC10:AD10,X$226)+COUNTIF('7月'!AH10:AI10,X$226)+COUNTIF('7月'!AM10:AN10,X$226)+COUNTIF('7月'!AR10:AS10,X$226)+COUNTIF('7月'!AW10:AX10,X$226)+COUNTIF('7月'!BB10:BC10,X$226)+COUNTIF('7月'!BG10:BH10,X$226)+COUNTIF('7月'!BL10:BM10,X$226)+COUNTIF('7月'!BQ10:BR10,X$226)+COUNTIF('7月'!BV10:BW10,X$226)+COUNTIF('7月'!CA10:CB10,X$226)+COUNTIF('7月'!CF10:CG10,X$226)+COUNTIF('7月'!CK10:CL10,X$226)+COUNTIF('7月'!CP10:CQ10,X$226)+COUNTIF('7月'!CU10:CV10,X$226)+COUNTIF('7月'!CZ10:DA10,X$226)+COUNTIF('7月'!DE10:DF10,X$226)+COUNTIF('7月'!DJ10:DK10,X$226)+COUNTIF('7月'!DO10:DP10,X$226)+COUNTIF('7月'!DT10:DU10,X$226)+COUNTIF('7月'!DY10:DZ10,X$226)+COUNTIF('7月'!ED10:EE10,X$226)+COUNTIF('7月'!EI10:EJ10,X$226)+COUNTIF('7月'!EN10:EO10,X$226)+COUNTIF('7月'!ES10:ET10,X$226)</f>
        <v>0</v>
      </c>
      <c r="Y234" s="76">
        <f t="shared" si="83"/>
        <v>0</v>
      </c>
    </row>
    <row r="235" spans="1:25" ht="18" customHeight="1">
      <c r="A235" s="76">
        <v>8</v>
      </c>
      <c r="B235" s="76">
        <f>COUNTIF('7月'!D11:E11,B$226)+COUNTIF('7月'!I11:J11,B$226)+COUNTIF('7月'!N11:O11,B$226)+COUNTIF('7月'!S11:T11,B$226)+COUNTIF('7月'!X11:Y11,B$226)+COUNTIF('7月'!AC11:AD11,B$226)+COUNTIF('7月'!AH11:AI11,B$226)+COUNTIF('7月'!AM11:AN11,B$226)+COUNTIF('7月'!AR11:AS11,B$226)+COUNTIF('7月'!AW11:AX11,B$226)+COUNTIF('7月'!BB11:BC11,B$226)+COUNTIF('7月'!BG11:BH11,B$226)+COUNTIF('7月'!BL11:BM11,B$226)+COUNTIF('7月'!BQ11:BR11,B$226)+COUNTIF('7月'!BV11:BW11,B$226)+COUNTIF('7月'!CA11:CB11,B$226)+COUNTIF('7月'!CF11:CG11,B$226)+COUNTIF('7月'!CK11:CL11,B$226)+COUNTIF('7月'!CP11:CQ11,B$226)+COUNTIF('7月'!CU11:CV11,B$226)+COUNTIF('7月'!CZ11:DA11,B$226)+COUNTIF('7月'!DE11:DF11,B$226)+COUNTIF('7月'!DJ11:DK11,B$226)+COUNTIF('7月'!DO11:DP11,B$226)+COUNTIF('7月'!DT11:DU11,B$226)+COUNTIF('7月'!DY11:DZ11,B$226)+COUNTIF('7月'!ED11:EE11,B$226)+COUNTIF('7月'!EI11:EJ11,B$226)+COUNTIF('7月'!EN11:EO11,B$226)+COUNTIF('7月'!ES11:ET11,B$226)</f>
        <v>0</v>
      </c>
      <c r="C235" s="76">
        <f t="shared" si="72"/>
        <v>0</v>
      </c>
      <c r="D235" s="76">
        <f>COUNTIF('7月'!D11:E11,D$226)+COUNTIF('7月'!I11:J11,D$226)+COUNTIF('7月'!N11:O11,D$226)+COUNTIF('7月'!S11:T11,D$226)+COUNTIF('7月'!X11:Y11,D$226)+COUNTIF('7月'!AC11:AD11,D$226)+COUNTIF('7月'!AH11:AI11,D$226)+COUNTIF('7月'!AM11:AN11,D$226)+COUNTIF('7月'!AR11:AS11,D$226)+COUNTIF('7月'!AW11:AX11,D$226)+COUNTIF('7月'!BB11:BC11,D$226)+COUNTIF('7月'!BG11:BH11,D$226)+COUNTIF('7月'!BL11:BM11,D$226)+COUNTIF('7月'!BQ11:BR11,D$226)+COUNTIF('7月'!BV11:BW11,D$226)+COUNTIF('7月'!CA11:CB11,D$226)+COUNTIF('7月'!CF11:CG11,D$226)+COUNTIF('7月'!CK11:CL11,D$226)+COUNTIF('7月'!CP11:CQ11,D$226)+COUNTIF('7月'!CU11:CV11,D$226)+COUNTIF('7月'!CZ11:DA11,D$226)+COUNTIF('7月'!DE11:DF11,D$226)+COUNTIF('7月'!DJ11:DK11,D$226)+COUNTIF('7月'!DO11:DP11,D$226)+COUNTIF('7月'!DT11:DU11,D$226)+COUNTIF('7月'!DY11:DZ11,D$226)+COUNTIF('7月'!ED11:EE11,D$226)+COUNTIF('7月'!EI11:EJ11,D$226)+COUNTIF('7月'!EN11:EO11,D$226)+COUNTIF('7月'!ES11:ET11,D$226)</f>
        <v>0</v>
      </c>
      <c r="E235" s="76">
        <f t="shared" si="73"/>
        <v>0</v>
      </c>
      <c r="F235" s="76">
        <f>COUNTIF('7月'!D11:E11,F$226)+COUNTIF('7月'!I11:J11,F$226)+COUNTIF('7月'!N11:O11,F$226)+COUNTIF('7月'!S11:T11,F$226)+COUNTIF('7月'!X11:Y11,F$226)+COUNTIF('7月'!AC11:AD11,F$226)+COUNTIF('7月'!AH11:AI11,F$226)+COUNTIF('7月'!AM11:AN11,F$226)+COUNTIF('7月'!AR11:AS11,F$226)+COUNTIF('7月'!AW11:AX11,F$226)+COUNTIF('7月'!BB11:BC11,F$226)+COUNTIF('7月'!BG11:BH11,F$226)+COUNTIF('7月'!BL11:BM11,F$226)+COUNTIF('7月'!BQ11:BR11,F$226)+COUNTIF('7月'!BV11:BW11,F$226)+COUNTIF('7月'!CA11:CB11,F$226)+COUNTIF('7月'!CF11:CG11,F$226)+COUNTIF('7月'!CK11:CL11,F$226)+COUNTIF('7月'!CP11:CQ11,F$226)+COUNTIF('7月'!CU11:CV11,F$226)+COUNTIF('7月'!CZ11:DA11,F$226)+COUNTIF('7月'!DE11:DF11,F$226)+COUNTIF('7月'!DJ11:DK11,F$226)+COUNTIF('7月'!DO11:DP11,F$226)+COUNTIF('7月'!DT11:DU11,F$226)+COUNTIF('7月'!DY11:DZ11,F$226)+COUNTIF('7月'!ED11:EE11,F$226)+COUNTIF('7月'!EI11:EJ11,F$226)+COUNTIF('7月'!EN11:EO11,F$226)+COUNTIF('7月'!ES11:ET11,F$226)</f>
        <v>0</v>
      </c>
      <c r="G235" s="76">
        <f t="shared" si="74"/>
        <v>0</v>
      </c>
      <c r="H235" s="76">
        <f>COUNTIF('7月'!D11:E11,H$226)+COUNTIF('7月'!I11:J11,H$226)+COUNTIF('7月'!N11:O11,H$226)+COUNTIF('7月'!S11:T11,H$226)+COUNTIF('7月'!X11:Y11,H$226)+COUNTIF('7月'!AC11:AD11,H$226)+COUNTIF('7月'!AH11:AI11,H$226)+COUNTIF('7月'!AM11:AN11,H$226)+COUNTIF('7月'!AR11:AS11,H$226)+COUNTIF('7月'!AW11:AX11,H$226)+COUNTIF('7月'!BB11:BC11,H$226)+COUNTIF('7月'!BG11:BH11,H$226)+COUNTIF('7月'!BL11:BM11,H$226)+COUNTIF('7月'!BQ11:BR11,H$226)+COUNTIF('7月'!BV11:BW11,H$226)+COUNTIF('7月'!CA11:CB11,H$226)+COUNTIF('7月'!CF11:CG11,H$226)+COUNTIF('7月'!CK11:CL11,H$226)+COUNTIF('7月'!CP11:CQ11,H$226)+COUNTIF('7月'!CU11:CV11,H$226)+COUNTIF('7月'!CZ11:DA11,H$226)+COUNTIF('7月'!DE11:DF11,H$226)+COUNTIF('7月'!DJ11:DK11,H$226)+COUNTIF('7月'!DO11:DP11,H$226)+COUNTIF('7月'!DT11:DU11,H$226)+COUNTIF('7月'!DY11:DZ11,H$226)+COUNTIF('7月'!ED11:EE11,H$226)+COUNTIF('7月'!EI11:EJ11,H$226)+COUNTIF('7月'!EN11:EO11,H$226)+COUNTIF('7月'!ES11:ET11,H$226)+COUNTIF('7月'!D11:E11,"渋谷-夜勤")+COUNTIF('7月'!I11:J11,"渋谷-夜勤")+COUNTIF('7月'!N11:O11,"渋谷-夜勤")+COUNTIF('7月'!S11:T11,"渋谷-夜勤")+COUNTIF('7月'!X11:Y11,"渋谷-夜勤")+COUNTIF('7月'!AC11:AD11,"渋谷-夜勤")+COUNTIF('7月'!AH11:AI11,"渋谷-夜勤")+COUNTIF('7月'!AM11:AN11,"渋谷-夜勤")+COUNTIF('7月'!AR11:AS11,"渋谷-夜勤")+COUNTIF('7月'!AW11:AX11,"渋谷-夜勤")+COUNTIF('7月'!BB11:BC11,"渋谷-夜勤")+COUNTIF('7月'!BG11:BH11,"渋谷-夜勤")+COUNTIF('7月'!BL11:BM11,"渋谷-夜勤")+COUNTIF('7月'!BQ11:BR11,"渋谷-夜勤")+COUNTIF('7月'!BV11:BW11,"渋谷-夜勤")+COUNTIF('7月'!CA11:CB11,"渋谷-夜勤")+COUNTIF('7月'!CF11:CG11,"渋谷-夜勤")+COUNTIF('7月'!CK11:CL11,"渋谷-夜勤")+COUNTIF('7月'!CP11:CQ11,"渋谷-夜勤")+COUNTIF('7月'!CU11:CV11,"渋谷-夜勤")+COUNTIF('7月'!CZ11:DA11,"渋谷-夜勤")+COUNTIF('7月'!DE11:DF11,"渋谷-夜勤")+COUNTIF('7月'!DJ11:DK11,"渋谷-夜勤")+COUNTIF('7月'!DO11:DP11,"渋谷-夜勤")+COUNTIF('7月'!DT11:DU11,"渋谷-夜勤")+COUNTIF('7月'!DY11:DZ11,"渋谷-夜勤")+COUNTIF('7月'!ED11:EE11,"渋谷-夜勤")+COUNTIF('7月'!EI11:EJ11,"渋谷-夜勤")+COUNTIF('7月'!EN11:EO11,"渋谷-夜勤")+COUNTIF('7月'!ES11:ET11,"渋谷-夜勤")</f>
        <v>0</v>
      </c>
      <c r="I235" s="76">
        <f t="shared" si="75"/>
        <v>0</v>
      </c>
      <c r="J235" s="76">
        <f>COUNTIF('7月'!D11:E11,J$226)+COUNTIF('7月'!I11:J11,J$226)+COUNTIF('7月'!N11:O11,J$226)+COUNTIF('7月'!S11:T11,J$226)+COUNTIF('7月'!X11:Y11,J$226)+COUNTIF('7月'!AC11:AD11,J$226)+COUNTIF('7月'!AH11:AI11,J$226)+COUNTIF('7月'!AM11:AN11,J$226)+COUNTIF('7月'!AR11:AS11,J$226)+COUNTIF('7月'!AW11:AX11,J$226)+COUNTIF('7月'!BB11:BC11,J$226)+COUNTIF('7月'!BG11:BH11,J$226)+COUNTIF('7月'!BL11:BM11,J$226)+COUNTIF('7月'!BQ11:BR11,J$226)+COUNTIF('7月'!BV11:BW11,J$226)+COUNTIF('7月'!CA11:CB11,J$226)+COUNTIF('7月'!CF11:CG11,J$226)+COUNTIF('7月'!CK11:CL11,J$226)+COUNTIF('7月'!CP11:CQ11,J$226)+COUNTIF('7月'!CU11:CV11,J$226)+COUNTIF('7月'!CZ11:DA11,J$226)+COUNTIF('7月'!DE11:DF11,J$226)+COUNTIF('7月'!DJ11:DK11,J$226)+COUNTIF('7月'!DO11:DP11,J$226)+COUNTIF('7月'!DT11:DU11,J$226)+COUNTIF('7月'!DY11:DZ11,J$226)+COUNTIF('7月'!ED11:EE11,J$226)+COUNTIF('7月'!EI11:EJ11,J$226)+COUNTIF('7月'!EN11:EO11,J$226)+COUNTIF('7月'!ES11:ET11,J$226)+COUNTIF('7月'!D11:E11,"六本木-夜勤")+COUNTIF('7月'!I11:J11,"六本木-夜勤")+COUNTIF('7月'!N11:O11,"六本木-夜勤")+COUNTIF('7月'!S11:T11,"六本木-夜勤")+COUNTIF('7月'!X11:Y11,"六本木-夜勤")+COUNTIF('7月'!AC11:AD11,"六本木-夜勤")+COUNTIF('7月'!AH11:AI11,"六本木-夜勤")+COUNTIF('7月'!AM11:AN11,"六本木-夜勤")+COUNTIF('7月'!AR11:AS11,"六本木-夜勤")+COUNTIF('7月'!AW11:AX11,"六本木-夜勤")+COUNTIF('7月'!BB11:BC11,"六本木-夜勤")+COUNTIF('7月'!BG11:BH11,"六本木-夜勤")+COUNTIF('7月'!BL11:BM11,"六本木-夜勤")+COUNTIF('7月'!BQ11:BR11,"六本木-夜勤")+COUNTIF('7月'!BV11:BW11,"六本木-夜勤")+COUNTIF('7月'!CA11:CB11,"六本木-夜勤")+COUNTIF('7月'!CF11:CG11,"六本木-夜勤")+COUNTIF('7月'!CK11:CL11,"六本木-夜勤")+COUNTIF('7月'!CP11:CQ11,"六本木-夜勤")+COUNTIF('7月'!CU11:CV11,"六本木-夜勤")+COUNTIF('7月'!CZ11:DA11,"六本木-夜勤")+COUNTIF('7月'!DE11:DF11,"六本木-夜勤")+COUNTIF('7月'!DJ11:DK11,"六本木-夜勤")+COUNTIF('7月'!DO11:DP11,"六本木-夜勤")+COUNTIF('7月'!DT11:DU11,"六本木-夜勤")+COUNTIF('7月'!DY11:DZ11,"六本木-夜勤")+COUNTIF('7月'!ED11:EE11,"六本木-夜勤")+COUNTIF('7月'!EI11:EJ11,"六本木-夜勤")+COUNTIF('7月'!EN11:EO11,"六本木-夜勤")+COUNTIF('7月'!ES11:ET11,"六本木-夜勤")+COUNTIF('7月'!D11:E11,"六本木ー夜勤")+COUNTIF('7月'!I11:J11,"六本木ー夜勤")+COUNTIF('7月'!N11:O11,"六本木ー夜勤")+COUNTIF('7月'!S11:T11,"六本木ー夜勤")+COUNTIF('7月'!X11:Y11,"六本木ー夜勤")+COUNTIF('7月'!AC11:AD11,"六本木ー夜勤")+COUNTIF('7月'!AH11:AI11,"六本木ー夜勤")+COUNTIF('7月'!AM11:AN11,"六本木ー夜勤")+COUNTIF('7月'!AR11:AS11,"六本木ー夜勤")+COUNTIF('7月'!AW11:AX11,"六本木ー夜勤")+COUNTIF('7月'!BB11:BC11,"六本木ー夜勤")+COUNTIF('7月'!BG11:BH11,"六本木ー夜勤")+COUNTIF('7月'!BL11:BM11,"六本木ー夜勤")+COUNTIF('7月'!BQ11:BR11,"六本木ー夜勤")+COUNTIF('7月'!BV11:BW11,"六本木ー夜勤")+COUNTIF('7月'!CA11:CB11,"六本木ー夜勤")+COUNTIF('7月'!CF11:CG11,"六本木ー夜勤")+COUNTIF('7月'!CK11:CL11,"六本木ー夜勤")+COUNTIF('7月'!CP11:CQ11,"六本木ー夜勤")+COUNTIF('7月'!CU11:CV11,"六本木ー夜勤")+COUNTIF('7月'!CZ11:DA11,"六本木ー夜勤")+COUNTIF('7月'!DE11:DF11,"六本木ー夜勤")+COUNTIF('7月'!DJ11:DK11,"六本木ー夜勤")+COUNTIF('7月'!DO11:DP11,"六本木ー夜勤")+COUNTIF('7月'!DT11:DU11,"六本木ー夜勤")+COUNTIF('7月'!DY11:DZ11,"六本木ー夜勤")+COUNTIF('7月'!ED11:EE11,"六本木ー夜勤")+COUNTIF('7月'!EI11:EJ11,"六本木ー夜勤")+COUNTIF('7月'!EN11:EO11,"六本木ー夜勤")+COUNTIF('7月'!ES11:ET11,"六本木ー夜勤")</f>
        <v>0</v>
      </c>
      <c r="K235" s="76">
        <f t="shared" si="76"/>
        <v>0</v>
      </c>
      <c r="L235" s="76">
        <f>COUNTIF('7月'!D11:E11,L$226)+COUNTIF('7月'!I11:J11,L$226)+COUNTIF('7月'!N11:O11,L$226)+COUNTIF('7月'!S11:T11,L$226)+COUNTIF('7月'!X11:Y11,L$226)+COUNTIF('7月'!AC11:AD11,L$226)+COUNTIF('7月'!AH11:AI11,L$226)+COUNTIF('7月'!AM11:AN11,L$226)+COUNTIF('7月'!AR11:AS11,L$226)+COUNTIF('7月'!AW11:AX11,L$226)+COUNTIF('7月'!BB11:BC11,L$226)+COUNTIF('7月'!BG11:BH11,L$226)+COUNTIF('7月'!BL11:BM11,L$226)+COUNTIF('7月'!BQ11:BR11,L$226)+COUNTIF('7月'!BV11:BW11,L$226)+COUNTIF('7月'!CA11:CB11,L$226)+COUNTIF('7月'!CF11:CG11,L$226)+COUNTIF('7月'!CK11:CL11,L$226)+COUNTIF('7月'!CP11:CQ11,L$226)+COUNTIF('7月'!CU11:CV11,L$226)+COUNTIF('7月'!CZ11:DA11,L$226)+COUNTIF('7月'!DE11:DF11,L$226)+COUNTIF('7月'!DJ11:DK11,L$226)+COUNTIF('7月'!DO11:DP11,L$226)+COUNTIF('7月'!DT11:DU11,L$226)+COUNTIF('7月'!DY11:DZ11,L$226)+COUNTIF('7月'!ED11:EE11,L$226)+COUNTIF('7月'!EI11:EJ11,L$226)+COUNTIF('7月'!EN11:EO11,L$226)+COUNTIF('7月'!ES11:ET11,L$226)</f>
        <v>0</v>
      </c>
      <c r="M235" s="76">
        <f t="shared" si="77"/>
        <v>0</v>
      </c>
      <c r="N235" s="76">
        <f>COUNTIF('7月'!D11:E11,N$226)+COUNTIF('7月'!I11:J11,N$226)+COUNTIF('7月'!N11:O11,N$226)+COUNTIF('7月'!S11:T11,N$226)+COUNTIF('7月'!X11:Y11,N$226)+COUNTIF('7月'!AC11:AD11,N$226)+COUNTIF('7月'!AH11:AI11,N$226)+COUNTIF('7月'!AM11:AN11,N$226)+COUNTIF('7月'!AR11:AS11,N$226)+COUNTIF('7月'!AW11:AX11,N$226)+COUNTIF('7月'!BB11:BC11,N$226)+COUNTIF('7月'!BG11:BH11,N$226)+COUNTIF('7月'!BL11:BM11,N$226)+COUNTIF('7月'!BQ11:BR11,N$226)+COUNTIF('7月'!BV11:BW11,N$226)+COUNTIF('7月'!CA11:CB11,N$226)+COUNTIF('7月'!CF11:CG11,N$226)+COUNTIF('7月'!CK11:CL11,N$226)+COUNTIF('7月'!CP11:CQ11,N$226)+COUNTIF('7月'!CU11:CV11,N$226)+COUNTIF('7月'!CZ11:DA11,N$226)+COUNTIF('7月'!DE11:DF11,N$226)+COUNTIF('7月'!DJ11:DK11,N$226)+COUNTIF('7月'!DO11:DP11,N$226)+COUNTIF('7月'!DT11:DU11,N$226)+COUNTIF('7月'!DY11:DZ11,N$226)+COUNTIF('7月'!ED11:EE11,N$226)+COUNTIF('7月'!EI11:EJ11,N$226)+COUNTIF('7月'!EN11:EO11,N$226)+COUNTIF('7月'!ES11:ET11,N$226)+COUNTIF('7月'!D11:E11,"三軒茶屋－夜勤")+COUNTIF('7月'!I11:J11,"三軒茶屋－夜勤")+COUNTIF('7月'!N11:O11,"三軒茶屋－夜勤")+COUNTIF('7月'!S11:T11,"三軒茶屋－夜勤")+COUNTIF('7月'!X11:Y11,"三軒茶屋－夜勤")+COUNTIF('7月'!AC11:AD11,"三軒茶屋－夜勤")+COUNTIF('7月'!AH11:AI11,"三軒茶屋－夜勤")+COUNTIF('7月'!AM11:AN11,"三軒茶屋－夜勤")+COUNTIF('7月'!AR11:AS11,"三軒茶屋－夜勤")+COUNTIF('7月'!AW11:AX11,"三軒茶屋－夜勤")+COUNTIF('7月'!BB11:BC11,"三軒茶屋－夜勤")+COUNTIF('7月'!BG11:BH11,"三軒茶屋－夜勤")+COUNTIF('7月'!BL11:BM11,"三軒茶屋－夜勤")+COUNTIF('7月'!BQ11:BR11,"三軒茶屋－夜勤")+COUNTIF('7月'!BV11:BW11,"三軒茶屋－夜勤")+COUNTIF('7月'!CA11:CB11,"三軒茶屋－夜勤")+COUNTIF('7月'!CF11:CG11,"三軒茶屋－夜勤")+COUNTIF('7月'!CK11:CL11,"三軒茶屋－夜勤")+COUNTIF('7月'!CP11:CQ11,"三軒茶屋－夜勤")+COUNTIF('7月'!CU11:CV11,"三軒茶屋－夜勤")+COUNTIF('7月'!CZ11:DA11,"三軒茶屋－夜勤")+COUNTIF('7月'!DE11:DF11,"三軒茶屋－夜勤")+COUNTIF('7月'!DJ11:DK11,"三軒茶屋－夜勤")+COUNTIF('7月'!DO11:DP11,"三軒茶屋－夜勤")+COUNTIF('7月'!DT11:DU11,"三軒茶屋－夜勤")+COUNTIF('7月'!DY11:DZ11,"三軒茶屋－夜勤")+COUNTIF('7月'!ED11:EE11,"三軒茶屋－夜勤")+COUNTIF('7月'!EI11:EJ11,"三軒茶屋－夜勤")+COUNTIF('7月'!EN11:EO11,"三軒茶屋－夜勤")+COUNTIF('7月'!ES11:ET11,"三軒茶屋－夜勤")</f>
        <v>0</v>
      </c>
      <c r="O235" s="76">
        <f t="shared" si="78"/>
        <v>0</v>
      </c>
      <c r="P235" s="76">
        <f>COUNTIF('7月'!D11:E11,P$226)+COUNTIF('7月'!I11:J11,P$226)+COUNTIF('7月'!N11:O11,P$226)+COUNTIF('7月'!S11:T11,P$226)+COUNTIF('7月'!X11:Y11,P$226)+COUNTIF('7月'!AC11:AD11,P$226)+COUNTIF('7月'!AH11:AI11,P$226)+COUNTIF('7月'!AM11:AN11,P$226)+COUNTIF('7月'!AR11:AS11,P$226)+COUNTIF('7月'!AW11:AX11,P$226)+COUNTIF('7月'!BB11:BC11,P$226)+COUNTIF('7月'!BG11:BH11,P$226)+COUNTIF('7月'!BL11:BM11,P$226)+COUNTIF('7月'!BQ11:BR11,P$226)+COUNTIF('7月'!BV11:BW11,P$226)+COUNTIF('7月'!CA11:CB11,P$226)+COUNTIF('7月'!CF11:CG11,P$226)+COUNTIF('7月'!CK11:CL11,P$226)+COUNTIF('7月'!CP11:CQ11,P$226)+COUNTIF('7月'!CU11:CV11,P$226)+COUNTIF('7月'!CZ11:DA11,P$226)+COUNTIF('7月'!DE11:DF11,P$226)+COUNTIF('7月'!DJ11:DK11,P$226)+COUNTIF('7月'!DO11:DP11,P$226)+COUNTIF('7月'!DT11:DU11,P$226)+COUNTIF('7月'!DY11:DZ11,P$226)+COUNTIF('7月'!ED11:EE11,P$226)+COUNTIF('7月'!EI11:EJ11,P$226)+COUNTIF('7月'!EN11:EO11,P$226)+COUNTIF('7月'!ES11:ET11,P$226)+COUNTIF('7月'!D11:E11,"荻窪ー夜勤")+COUNTIF('7月'!I11:J11,"荻窪ー夜勤")+COUNTIF('7月'!N11:O11,"荻窪ー夜勤")+COUNTIF('7月'!S11:T11,"荻窪ー夜勤")+COUNTIF('7月'!X11:Y11,"荻窪ー夜勤")+COUNTIF('7月'!AC11:AD11,"荻窪ー夜勤")+COUNTIF('7月'!AH11:AI11,"荻窪ー夜勤")+COUNTIF('7月'!AM11:AN11,"荻窪ー夜勤")+COUNTIF('7月'!AR11:AS11,"荻窪ー夜勤")+COUNTIF('7月'!AW11:AX11,"荻窪ー夜勤")+COUNTIF('7月'!BB11:BC11,"荻窪ー夜勤")+COUNTIF('7月'!BG11:BH11,"荻窪ー夜勤")+COUNTIF('7月'!BL11:BM11,"荻窪ー夜勤")+COUNTIF('7月'!BQ11:BR11,"荻窪ー夜勤")+COUNTIF('7月'!BV11:BW11,"荻窪ー夜勤")+COUNTIF('7月'!CA11:CB11,"荻窪ー夜勤")+COUNTIF('7月'!CF11:CG11,"荻窪ー夜勤")+COUNTIF('7月'!CK11:CL11,"荻窪ー夜勤")+COUNTIF('7月'!CP11:CQ11,"荻窪ー夜勤")+COUNTIF('7月'!CU11:CV11,"荻窪ー夜勤")+COUNTIF('7月'!CZ11:DA11,"荻窪ー夜勤")+COUNTIF('7月'!DE11:DF11,"荻窪ー夜勤")+COUNTIF('7月'!DJ11:DK11,"荻窪ー夜勤")+COUNTIF('7月'!DO11:DP11,"荻窪ー夜勤")+COUNTIF('7月'!DT11:DU11,"荻窪ー夜勤")+COUNTIF('7月'!DY11:DZ11,"荻窪ー夜勤")+COUNTIF('7月'!ED11:EE11,"荻窪ー夜勤")+COUNTIF('7月'!EI11:EJ11,"荻窪ー夜勤")+COUNTIF('7月'!EN11:EO11,"荻窪ー夜勤")+COUNTIF('7月'!ES11:ET11,"荻窪ー夜勤")</f>
        <v>0</v>
      </c>
      <c r="Q235" s="76">
        <f t="shared" si="79"/>
        <v>0</v>
      </c>
      <c r="R235" s="76">
        <f>COUNTIF('7月'!D11:E11,R$226)+COUNTIF('7月'!I11:J11,R$226)+COUNTIF('7月'!N11:O11,R$226)+COUNTIF('7月'!S11:T11,R$226)+COUNTIF('7月'!X11:Y11,R$226)+COUNTIF('7月'!AC11:AD11,R$226)+COUNTIF('7月'!AH11:AI11,R$226)+COUNTIF('7月'!AM11:AN11,R$226)+COUNTIF('7月'!AR11:AS11,R$226)+COUNTIF('7月'!AW11:AX11,R$226)+COUNTIF('7月'!BB11:BC11,R$226)+COUNTIF('7月'!BG11:BH11,R$226)+COUNTIF('7月'!BL11:BM11,R$226)+COUNTIF('7月'!BQ11:BR11,R$226)+COUNTIF('7月'!BV11:BW11,R$226)+COUNTIF('7月'!CA11:CB11,R$226)+COUNTIF('7月'!CF11:CG11,R$226)+COUNTIF('7月'!CK11:CL11,R$226)+COUNTIF('7月'!CP11:CQ11,R$226)+COUNTIF('7月'!CU11:CV11,R$226)+COUNTIF('7月'!CZ11:DA11,R$226)+COUNTIF('7月'!DE11:DF11,R$226)+COUNTIF('7月'!DJ11:DK11,R$226)+COUNTIF('7月'!DO11:DP11,R$226)+COUNTIF('7月'!DT11:DU11,R$226)+COUNTIF('7月'!DY11:DZ11,R$226)+COUNTIF('7月'!ED11:EE11,R$226)+COUNTIF('7月'!EI11:EJ11,R$226)+COUNTIF('7月'!EN11:EO11,R$226)+COUNTIF('7月'!ES11:ET11,R$226)</f>
        <v>0</v>
      </c>
      <c r="S235" s="76">
        <f t="shared" si="80"/>
        <v>0</v>
      </c>
      <c r="T235" s="76">
        <f>COUNTIF('7月'!D11:E11,T$226)+COUNTIF('7月'!I11:J11,T$226)+COUNTIF('7月'!N11:O11,T$226)+COUNTIF('7月'!S11:T11,T$226)+COUNTIF('7月'!X11:Y11,T$226)+COUNTIF('7月'!AC11:AD11,T$226)+COUNTIF('7月'!AH11:AI11,T$226)+COUNTIF('7月'!AM11:AN11,T$226)+COUNTIF('7月'!AR11:AS11,T$226)+COUNTIF('7月'!AW11:AX11,T$226)+COUNTIF('7月'!BB11:BC11,T$226)+COUNTIF('7月'!BG11:BH11,T$226)+COUNTIF('7月'!BL11:BM11,T$226)+COUNTIF('7月'!BQ11:BR11,T$226)+COUNTIF('7月'!BV11:BW11,T$226)+COUNTIF('7月'!CA11:CB11,T$226)+COUNTIF('7月'!CF11:CG11,T$226)+COUNTIF('7月'!CK11:CL11,T$226)+COUNTIF('7月'!CP11:CQ11,T$226)+COUNTIF('7月'!CU11:CV11,T$226)+COUNTIF('7月'!CZ11:DA11,T$226)+COUNTIF('7月'!DE11:DF11,T$226)+COUNTIF('7月'!DJ11:DK11,T$226)+COUNTIF('7月'!DO11:DP11,T$226)+COUNTIF('7月'!DT11:DU11,T$226)+COUNTIF('7月'!DY11:DZ11,T$226)+COUNTIF('7月'!ED11:EE11,T$226)+COUNTIF('7月'!EI11:EJ11,T$226)+COUNTIF('7月'!EN11:EO11,T$226)+COUNTIF('7月'!ES11:ET11,T$226)</f>
        <v>0</v>
      </c>
      <c r="U235" s="76">
        <f t="shared" si="81"/>
        <v>0</v>
      </c>
      <c r="V235" s="76">
        <f>COUNTIF('7月'!D11:E11,V$226)+COUNTIF('7月'!I11:J11,V$226)+COUNTIF('7月'!N11:O11,V$226)+COUNTIF('7月'!S11:T11,V$226)+COUNTIF('7月'!X11:Y11,V$226)+COUNTIF('7月'!AC11:AD11,V$226)+COUNTIF('7月'!AH11:AI11,V$226)+COUNTIF('7月'!AM11:AN11,V$226)+COUNTIF('7月'!AR11:AS11,V$226)+COUNTIF('7月'!AW11:AX11,V$226)+COUNTIF('7月'!BB11:BC11,V$226)+COUNTIF('7月'!BG11:BH11,V$226)+COUNTIF('7月'!BL11:BM11,V$226)+COUNTIF('7月'!BQ11:BR11,V$226)+COUNTIF('7月'!BV11:BW11,V$226)+COUNTIF('7月'!CA11:CB11,V$226)+COUNTIF('7月'!CF11:CG11,V$226)+COUNTIF('7月'!CK11:CL11,V$226)+COUNTIF('7月'!CP11:CQ11,V$226)+COUNTIF('7月'!CU11:CV11,V$226)+COUNTIF('7月'!CZ11:DA11,V$226)+COUNTIF('7月'!DE11:DF11,V$226)+COUNTIF('7月'!DJ11:DK11,V$226)+COUNTIF('7月'!DO11:DP11,V$226)+COUNTIF('7月'!DT11:DU11,V$226)+COUNTIF('7月'!DY11:DZ11,V$226)+COUNTIF('7月'!ED11:EE11,V$226)+COUNTIF('7月'!EI11:EJ11,V$226)+COUNTIF('7月'!EN11:EO11,V$226)+COUNTIF('7月'!ES11:ET11,V$226)</f>
        <v>0</v>
      </c>
      <c r="W235" s="76">
        <f t="shared" si="82"/>
        <v>0</v>
      </c>
      <c r="X235" s="76">
        <f>COUNTIF('7月'!D11:E11,X$226)+COUNTIF('7月'!I11:J11,X$226)+COUNTIF('7月'!N11:O11,X$226)+COUNTIF('7月'!S11:T11,X$226)+COUNTIF('7月'!X11:Y11,X$226)+COUNTIF('7月'!AC11:AD11,X$226)+COUNTIF('7月'!AH11:AI11,X$226)+COUNTIF('7月'!AM11:AN11,X$226)+COUNTIF('7月'!AR11:AS11,X$226)+COUNTIF('7月'!AW11:AX11,X$226)+COUNTIF('7月'!BB11:BC11,X$226)+COUNTIF('7月'!BG11:BH11,X$226)+COUNTIF('7月'!BL11:BM11,X$226)+COUNTIF('7月'!BQ11:BR11,X$226)+COUNTIF('7月'!BV11:BW11,X$226)+COUNTIF('7月'!CA11:CB11,X$226)+COUNTIF('7月'!CF11:CG11,X$226)+COUNTIF('7月'!CK11:CL11,X$226)+COUNTIF('7月'!CP11:CQ11,X$226)+COUNTIF('7月'!CU11:CV11,X$226)+COUNTIF('7月'!CZ11:DA11,X$226)+COUNTIF('7月'!DE11:DF11,X$226)+COUNTIF('7月'!DJ11:DK11,X$226)+COUNTIF('7月'!DO11:DP11,X$226)+COUNTIF('7月'!DT11:DU11,X$226)+COUNTIF('7月'!DY11:DZ11,X$226)+COUNTIF('7月'!ED11:EE11,X$226)+COUNTIF('7月'!EI11:EJ11,X$226)+COUNTIF('7月'!EN11:EO11,X$226)+COUNTIF('7月'!ES11:ET11,X$226)</f>
        <v>0</v>
      </c>
      <c r="Y235" s="76">
        <f t="shared" si="83"/>
        <v>0</v>
      </c>
    </row>
    <row r="236" spans="1:25" ht="18" customHeight="1">
      <c r="A236" s="76">
        <v>9</v>
      </c>
      <c r="B236" s="76">
        <f>COUNTIF('7月'!D12:E12,B$226)+COUNTIF('7月'!I12:J12,B$226)+COUNTIF('7月'!N12:O12,B$226)+COUNTIF('7月'!S12:T12,B$226)+COUNTIF('7月'!X12:Y12,B$226)+COUNTIF('7月'!AC12:AD12,B$226)+COUNTIF('7月'!AH12:AI12,B$226)+COUNTIF('7月'!AM12:AN12,B$226)+COUNTIF('7月'!AR12:AS12,B$226)+COUNTIF('7月'!AW12:AX12,B$226)+COUNTIF('7月'!BB12:BC12,B$226)+COUNTIF('7月'!BG12:BH12,B$226)+COUNTIF('7月'!BL12:BM12,B$226)+COUNTIF('7月'!BQ12:BR12,B$226)+COUNTIF('7月'!BV12:BW12,B$226)+COUNTIF('7月'!CA12:CB12,B$226)+COUNTIF('7月'!CF12:CG12,B$226)+COUNTIF('7月'!CK12:CL12,B$226)+COUNTIF('7月'!CP12:CQ12,B$226)+COUNTIF('7月'!CU12:CV12,B$226)+COUNTIF('7月'!CZ12:DA12,B$226)+COUNTIF('7月'!DE12:DF12,B$226)+COUNTIF('7月'!DJ12:DK12,B$226)+COUNTIF('7月'!DO12:DP12,B$226)+COUNTIF('7月'!DT12:DU12,B$226)+COUNTIF('7月'!DY12:DZ12,B$226)+COUNTIF('7月'!ED12:EE12,B$226)+COUNTIF('7月'!EI12:EJ12,B$226)+COUNTIF('7月'!EN12:EO12,B$226)+COUNTIF('7月'!ES12:ET12,B$226)</f>
        <v>0</v>
      </c>
      <c r="C236" s="76">
        <f t="shared" si="72"/>
        <v>0</v>
      </c>
      <c r="D236" s="76">
        <f>COUNTIF('7月'!D12:E12,D$226)+COUNTIF('7月'!I12:J12,D$226)+COUNTIF('7月'!N12:O12,D$226)+COUNTIF('7月'!S12:T12,D$226)+COUNTIF('7月'!X12:Y12,D$226)+COUNTIF('7月'!AC12:AD12,D$226)+COUNTIF('7月'!AH12:AI12,D$226)+COUNTIF('7月'!AM12:AN12,D$226)+COUNTIF('7月'!AR12:AS12,D$226)+COUNTIF('7月'!AW12:AX12,D$226)+COUNTIF('7月'!BB12:BC12,D$226)+COUNTIF('7月'!BG12:BH12,D$226)+COUNTIF('7月'!BL12:BM12,D$226)+COUNTIF('7月'!BQ12:BR12,D$226)+COUNTIF('7月'!BV12:BW12,D$226)+COUNTIF('7月'!CA12:CB12,D$226)+COUNTIF('7月'!CF12:CG12,D$226)+COUNTIF('7月'!CK12:CL12,D$226)+COUNTIF('7月'!CP12:CQ12,D$226)+COUNTIF('7月'!CU12:CV12,D$226)+COUNTIF('7月'!CZ12:DA12,D$226)+COUNTIF('7月'!DE12:DF12,D$226)+COUNTIF('7月'!DJ12:DK12,D$226)+COUNTIF('7月'!DO12:DP12,D$226)+COUNTIF('7月'!DT12:DU12,D$226)+COUNTIF('7月'!DY12:DZ12,D$226)+COUNTIF('7月'!ED12:EE12,D$226)+COUNTIF('7月'!EI12:EJ12,D$226)+COUNTIF('7月'!EN12:EO12,D$226)+COUNTIF('7月'!ES12:ET12,D$226)</f>
        <v>0</v>
      </c>
      <c r="E236" s="76">
        <f t="shared" si="73"/>
        <v>0</v>
      </c>
      <c r="F236" s="76">
        <f>COUNTIF('7月'!D12:E12,F$226)+COUNTIF('7月'!I12:J12,F$226)+COUNTIF('7月'!N12:O12,F$226)+COUNTIF('7月'!S12:T12,F$226)+COUNTIF('7月'!X12:Y12,F$226)+COUNTIF('7月'!AC12:AD12,F$226)+COUNTIF('7月'!AH12:AI12,F$226)+COUNTIF('7月'!AM12:AN12,F$226)+COUNTIF('7月'!AR12:AS12,F$226)+COUNTIF('7月'!AW12:AX12,F$226)+COUNTIF('7月'!BB12:BC12,F$226)+COUNTIF('7月'!BG12:BH12,F$226)+COUNTIF('7月'!BL12:BM12,F$226)+COUNTIF('7月'!BQ12:BR12,F$226)+COUNTIF('7月'!BV12:BW12,F$226)+COUNTIF('7月'!CA12:CB12,F$226)+COUNTIF('7月'!CF12:CG12,F$226)+COUNTIF('7月'!CK12:CL12,F$226)+COUNTIF('7月'!CP12:CQ12,F$226)+COUNTIF('7月'!CU12:CV12,F$226)+COUNTIF('7月'!CZ12:DA12,F$226)+COUNTIF('7月'!DE12:DF12,F$226)+COUNTIF('7月'!DJ12:DK12,F$226)+COUNTIF('7月'!DO12:DP12,F$226)+COUNTIF('7月'!DT12:DU12,F$226)+COUNTIF('7月'!DY12:DZ12,F$226)+COUNTIF('7月'!ED12:EE12,F$226)+COUNTIF('7月'!EI12:EJ12,F$226)+COUNTIF('7月'!EN12:EO12,F$226)+COUNTIF('7月'!ES12:ET12,F$226)</f>
        <v>0</v>
      </c>
      <c r="G236" s="76">
        <f t="shared" si="74"/>
        <v>0</v>
      </c>
      <c r="H236" s="76">
        <f>COUNTIF('7月'!D12:E12,H$226)+COUNTIF('7月'!I12:J12,H$226)+COUNTIF('7月'!N12:O12,H$226)+COUNTIF('7月'!S12:T12,H$226)+COUNTIF('7月'!X12:Y12,H$226)+COUNTIF('7月'!AC12:AD12,H$226)+COUNTIF('7月'!AH12:AI12,H$226)+COUNTIF('7月'!AM12:AN12,H$226)+COUNTIF('7月'!AR12:AS12,H$226)+COUNTIF('7月'!AW12:AX12,H$226)+COUNTIF('7月'!BB12:BC12,H$226)+COUNTIF('7月'!BG12:BH12,H$226)+COUNTIF('7月'!BL12:BM12,H$226)+COUNTIF('7月'!BQ12:BR12,H$226)+COUNTIF('7月'!BV12:BW12,H$226)+COUNTIF('7月'!CA12:CB12,H$226)+COUNTIF('7月'!CF12:CG12,H$226)+COUNTIF('7月'!CK12:CL12,H$226)+COUNTIF('7月'!CP12:CQ12,H$226)+COUNTIF('7月'!CU12:CV12,H$226)+COUNTIF('7月'!CZ12:DA12,H$226)+COUNTIF('7月'!DE12:DF12,H$226)+COUNTIF('7月'!DJ12:DK12,H$226)+COUNTIF('7月'!DO12:DP12,H$226)+COUNTIF('7月'!DT12:DU12,H$226)+COUNTIF('7月'!DY12:DZ12,H$226)+COUNTIF('7月'!ED12:EE12,H$226)+COUNTIF('7月'!EI12:EJ12,H$226)+COUNTIF('7月'!EN12:EO12,H$226)+COUNTIF('7月'!ES12:ET12,H$226)+COUNTIF('7月'!D12:E12,"渋谷-夜勤")+COUNTIF('7月'!I12:J12,"渋谷-夜勤")+COUNTIF('7月'!N12:O12,"渋谷-夜勤")+COUNTIF('7月'!S12:T12,"渋谷-夜勤")+COUNTIF('7月'!X12:Y12,"渋谷-夜勤")+COUNTIF('7月'!AC12:AD12,"渋谷-夜勤")+COUNTIF('7月'!AH12:AI12,"渋谷-夜勤")+COUNTIF('7月'!AM12:AN12,"渋谷-夜勤")+COUNTIF('7月'!AR12:AS12,"渋谷-夜勤")+COUNTIF('7月'!AW12:AX12,"渋谷-夜勤")+COUNTIF('7月'!BB12:BC12,"渋谷-夜勤")+COUNTIF('7月'!BG12:BH12,"渋谷-夜勤")+COUNTIF('7月'!BL12:BM12,"渋谷-夜勤")+COUNTIF('7月'!BQ12:BR12,"渋谷-夜勤")+COUNTIF('7月'!BV12:BW12,"渋谷-夜勤")+COUNTIF('7月'!CA12:CB12,"渋谷-夜勤")+COUNTIF('7月'!CF12:CG12,"渋谷-夜勤")+COUNTIF('7月'!CK12:CL12,"渋谷-夜勤")+COUNTIF('7月'!CP12:CQ12,"渋谷-夜勤")+COUNTIF('7月'!CU12:CV12,"渋谷-夜勤")+COUNTIF('7月'!CZ12:DA12,"渋谷-夜勤")+COUNTIF('7月'!DE12:DF12,"渋谷-夜勤")+COUNTIF('7月'!DJ12:DK12,"渋谷-夜勤")+COUNTIF('7月'!DO12:DP12,"渋谷-夜勤")+COUNTIF('7月'!DT12:DU12,"渋谷-夜勤")+COUNTIF('7月'!DY12:DZ12,"渋谷-夜勤")+COUNTIF('7月'!ED12:EE12,"渋谷-夜勤")+COUNTIF('7月'!EI12:EJ12,"渋谷-夜勤")+COUNTIF('7月'!EN12:EO12,"渋谷-夜勤")+COUNTIF('7月'!ES12:ET12,"渋谷-夜勤")</f>
        <v>0</v>
      </c>
      <c r="I236" s="76">
        <f t="shared" si="75"/>
        <v>0</v>
      </c>
      <c r="J236" s="76">
        <f>COUNTIF('7月'!D12:E12,J$226)+COUNTIF('7月'!I12:J12,J$226)+COUNTIF('7月'!N12:O12,J$226)+COUNTIF('7月'!S12:T12,J$226)+COUNTIF('7月'!X12:Y12,J$226)+COUNTIF('7月'!AC12:AD12,J$226)+COUNTIF('7月'!AH12:AI12,J$226)+COUNTIF('7月'!AM12:AN12,J$226)+COUNTIF('7月'!AR12:AS12,J$226)+COUNTIF('7月'!AW12:AX12,J$226)+COUNTIF('7月'!BB12:BC12,J$226)+COUNTIF('7月'!BG12:BH12,J$226)+COUNTIF('7月'!BL12:BM12,J$226)+COUNTIF('7月'!BQ12:BR12,J$226)+COUNTIF('7月'!BV12:BW12,J$226)+COUNTIF('7月'!CA12:CB12,J$226)+COUNTIF('7月'!CF12:CG12,J$226)+COUNTIF('7月'!CK12:CL12,J$226)+COUNTIF('7月'!CP12:CQ12,J$226)+COUNTIF('7月'!CU12:CV12,J$226)+COUNTIF('7月'!CZ12:DA12,J$226)+COUNTIF('7月'!DE12:DF12,J$226)+COUNTIF('7月'!DJ12:DK12,J$226)+COUNTIF('7月'!DO12:DP12,J$226)+COUNTIF('7月'!DT12:DU12,J$226)+COUNTIF('7月'!DY12:DZ12,J$226)+COUNTIF('7月'!ED12:EE12,J$226)+COUNTIF('7月'!EI12:EJ12,J$226)+COUNTIF('7月'!EN12:EO12,J$226)+COUNTIF('7月'!ES12:ET12,J$226)+COUNTIF('7月'!D12:E12,"六本木-夜勤")+COUNTIF('7月'!I12:J12,"六本木-夜勤")+COUNTIF('7月'!N12:O12,"六本木-夜勤")+COUNTIF('7月'!S12:T12,"六本木-夜勤")+COUNTIF('7月'!X12:Y12,"六本木-夜勤")+COUNTIF('7月'!AC12:AD12,"六本木-夜勤")+COUNTIF('7月'!AH12:AI12,"六本木-夜勤")+COUNTIF('7月'!AM12:AN12,"六本木-夜勤")+COUNTIF('7月'!AR12:AS12,"六本木-夜勤")+COUNTIF('7月'!AW12:AX12,"六本木-夜勤")+COUNTIF('7月'!BB12:BC12,"六本木-夜勤")+COUNTIF('7月'!BG12:BH12,"六本木-夜勤")+COUNTIF('7月'!BL12:BM12,"六本木-夜勤")+COUNTIF('7月'!BQ12:BR12,"六本木-夜勤")+COUNTIF('7月'!BV12:BW12,"六本木-夜勤")+COUNTIF('7月'!CA12:CB12,"六本木-夜勤")+COUNTIF('7月'!CF12:CG12,"六本木-夜勤")+COUNTIF('7月'!CK12:CL12,"六本木-夜勤")+COUNTIF('7月'!CP12:CQ12,"六本木-夜勤")+COUNTIF('7月'!CU12:CV12,"六本木-夜勤")+COUNTIF('7月'!CZ12:DA12,"六本木-夜勤")+COUNTIF('7月'!DE12:DF12,"六本木-夜勤")+COUNTIF('7月'!DJ12:DK12,"六本木-夜勤")+COUNTIF('7月'!DO12:DP12,"六本木-夜勤")+COUNTIF('7月'!DT12:DU12,"六本木-夜勤")+COUNTIF('7月'!DY12:DZ12,"六本木-夜勤")+COUNTIF('7月'!ED12:EE12,"六本木-夜勤")+COUNTIF('7月'!EI12:EJ12,"六本木-夜勤")+COUNTIF('7月'!EN12:EO12,"六本木-夜勤")+COUNTIF('7月'!ES12:ET12,"六本木-夜勤")+COUNTIF('7月'!D12:E12,"六本木ー夜勤")+COUNTIF('7月'!I12:J12,"六本木ー夜勤")+COUNTIF('7月'!N12:O12,"六本木ー夜勤")+COUNTIF('7月'!S12:T12,"六本木ー夜勤")+COUNTIF('7月'!X12:Y12,"六本木ー夜勤")+COUNTIF('7月'!AC12:AD12,"六本木ー夜勤")+COUNTIF('7月'!AH12:AI12,"六本木ー夜勤")+COUNTIF('7月'!AM12:AN12,"六本木ー夜勤")+COUNTIF('7月'!AR12:AS12,"六本木ー夜勤")+COUNTIF('7月'!AW12:AX12,"六本木ー夜勤")+COUNTIF('7月'!BB12:BC12,"六本木ー夜勤")+COUNTIF('7月'!BG12:BH12,"六本木ー夜勤")+COUNTIF('7月'!BL12:BM12,"六本木ー夜勤")+COUNTIF('7月'!BQ12:BR12,"六本木ー夜勤")+COUNTIF('7月'!BV12:BW12,"六本木ー夜勤")+COUNTIF('7月'!CA12:CB12,"六本木ー夜勤")+COUNTIF('7月'!CF12:CG12,"六本木ー夜勤")+COUNTIF('7月'!CK12:CL12,"六本木ー夜勤")+COUNTIF('7月'!CP12:CQ12,"六本木ー夜勤")+COUNTIF('7月'!CU12:CV12,"六本木ー夜勤")+COUNTIF('7月'!CZ12:DA12,"六本木ー夜勤")+COUNTIF('7月'!DE12:DF12,"六本木ー夜勤")+COUNTIF('7月'!DJ12:DK12,"六本木ー夜勤")+COUNTIF('7月'!DO12:DP12,"六本木ー夜勤")+COUNTIF('7月'!DT12:DU12,"六本木ー夜勤")+COUNTIF('7月'!DY12:DZ12,"六本木ー夜勤")+COUNTIF('7月'!ED12:EE12,"六本木ー夜勤")+COUNTIF('7月'!EI12:EJ12,"六本木ー夜勤")+COUNTIF('7月'!EN12:EO12,"六本木ー夜勤")+COUNTIF('7月'!ES12:ET12,"六本木ー夜勤")</f>
        <v>0</v>
      </c>
      <c r="K236" s="76">
        <f t="shared" si="76"/>
        <v>0</v>
      </c>
      <c r="L236" s="76">
        <f>COUNTIF('7月'!D12:E12,L$226)+COUNTIF('7月'!I12:J12,L$226)+COUNTIF('7月'!N12:O12,L$226)+COUNTIF('7月'!S12:T12,L$226)+COUNTIF('7月'!X12:Y12,L$226)+COUNTIF('7月'!AC12:AD12,L$226)+COUNTIF('7月'!AH12:AI12,L$226)+COUNTIF('7月'!AM12:AN12,L$226)+COUNTIF('7月'!AR12:AS12,L$226)+COUNTIF('7月'!AW12:AX12,L$226)+COUNTIF('7月'!BB12:BC12,L$226)+COUNTIF('7月'!BG12:BH12,L$226)+COUNTIF('7月'!BL12:BM12,L$226)+COUNTIF('7月'!BQ12:BR12,L$226)+COUNTIF('7月'!BV12:BW12,L$226)+COUNTIF('7月'!CA12:CB12,L$226)+COUNTIF('7月'!CF12:CG12,L$226)+COUNTIF('7月'!CK12:CL12,L$226)+COUNTIF('7月'!CP12:CQ12,L$226)+COUNTIF('7月'!CU12:CV12,L$226)+COUNTIF('7月'!CZ12:DA12,L$226)+COUNTIF('7月'!DE12:DF12,L$226)+COUNTIF('7月'!DJ12:DK12,L$226)+COUNTIF('7月'!DO12:DP12,L$226)+COUNTIF('7月'!DT12:DU12,L$226)+COUNTIF('7月'!DY12:DZ12,L$226)+COUNTIF('7月'!ED12:EE12,L$226)+COUNTIF('7月'!EI12:EJ12,L$226)+COUNTIF('7月'!EN12:EO12,L$226)+COUNTIF('7月'!ES12:ET12,L$226)</f>
        <v>0</v>
      </c>
      <c r="M236" s="76">
        <f t="shared" si="77"/>
        <v>0</v>
      </c>
      <c r="N236" s="76">
        <f>COUNTIF('7月'!D12:E12,N$226)+COUNTIF('7月'!I12:J12,N$226)+COUNTIF('7月'!N12:O12,N$226)+COUNTIF('7月'!S12:T12,N$226)+COUNTIF('7月'!X12:Y12,N$226)+COUNTIF('7月'!AC12:AD12,N$226)+COUNTIF('7月'!AH12:AI12,N$226)+COUNTIF('7月'!AM12:AN12,N$226)+COUNTIF('7月'!AR12:AS12,N$226)+COUNTIF('7月'!AW12:AX12,N$226)+COUNTIF('7月'!BB12:BC12,N$226)+COUNTIF('7月'!BG12:BH12,N$226)+COUNTIF('7月'!BL12:BM12,N$226)+COUNTIF('7月'!BQ12:BR12,N$226)+COUNTIF('7月'!BV12:BW12,N$226)+COUNTIF('7月'!CA12:CB12,N$226)+COUNTIF('7月'!CF12:CG12,N$226)+COUNTIF('7月'!CK12:CL12,N$226)+COUNTIF('7月'!CP12:CQ12,N$226)+COUNTIF('7月'!CU12:CV12,N$226)+COUNTIF('7月'!CZ12:DA12,N$226)+COUNTIF('7月'!DE12:DF12,N$226)+COUNTIF('7月'!DJ12:DK12,N$226)+COUNTIF('7月'!DO12:DP12,N$226)+COUNTIF('7月'!DT12:DU12,N$226)+COUNTIF('7月'!DY12:DZ12,N$226)+COUNTIF('7月'!ED12:EE12,N$226)+COUNTIF('7月'!EI12:EJ12,N$226)+COUNTIF('7月'!EN12:EO12,N$226)+COUNTIF('7月'!ES12:ET12,N$226)+COUNTIF('7月'!D12:E12,"三軒茶屋－夜勤")+COUNTIF('7月'!I12:J12,"三軒茶屋－夜勤")+COUNTIF('7月'!N12:O12,"三軒茶屋－夜勤")+COUNTIF('7月'!S12:T12,"三軒茶屋－夜勤")+COUNTIF('7月'!X12:Y12,"三軒茶屋－夜勤")+COUNTIF('7月'!AC12:AD12,"三軒茶屋－夜勤")+COUNTIF('7月'!AH12:AI12,"三軒茶屋－夜勤")+COUNTIF('7月'!AM12:AN12,"三軒茶屋－夜勤")+COUNTIF('7月'!AR12:AS12,"三軒茶屋－夜勤")+COUNTIF('7月'!AW12:AX12,"三軒茶屋－夜勤")+COUNTIF('7月'!BB12:BC12,"三軒茶屋－夜勤")+COUNTIF('7月'!BG12:BH12,"三軒茶屋－夜勤")+COUNTIF('7月'!BL12:BM12,"三軒茶屋－夜勤")+COUNTIF('7月'!BQ12:BR12,"三軒茶屋－夜勤")+COUNTIF('7月'!BV12:BW12,"三軒茶屋－夜勤")+COUNTIF('7月'!CA12:CB12,"三軒茶屋－夜勤")+COUNTIF('7月'!CF12:CG12,"三軒茶屋－夜勤")+COUNTIF('7月'!CK12:CL12,"三軒茶屋－夜勤")+COUNTIF('7月'!CP12:CQ12,"三軒茶屋－夜勤")+COUNTIF('7月'!CU12:CV12,"三軒茶屋－夜勤")+COUNTIF('7月'!CZ12:DA12,"三軒茶屋－夜勤")+COUNTIF('7月'!DE12:DF12,"三軒茶屋－夜勤")+COUNTIF('7月'!DJ12:DK12,"三軒茶屋－夜勤")+COUNTIF('7月'!DO12:DP12,"三軒茶屋－夜勤")+COUNTIF('7月'!DT12:DU12,"三軒茶屋－夜勤")+COUNTIF('7月'!DY12:DZ12,"三軒茶屋－夜勤")+COUNTIF('7月'!ED12:EE12,"三軒茶屋－夜勤")+COUNTIF('7月'!EI12:EJ12,"三軒茶屋－夜勤")+COUNTIF('7月'!EN12:EO12,"三軒茶屋－夜勤")+COUNTIF('7月'!ES12:ET12,"三軒茶屋－夜勤")</f>
        <v>0</v>
      </c>
      <c r="O236" s="76">
        <f t="shared" si="78"/>
        <v>0</v>
      </c>
      <c r="P236" s="76">
        <f>COUNTIF('7月'!D12:E12,P$226)+COUNTIF('7月'!I12:J12,P$226)+COUNTIF('7月'!N12:O12,P$226)+COUNTIF('7月'!S12:T12,P$226)+COUNTIF('7月'!X12:Y12,P$226)+COUNTIF('7月'!AC12:AD12,P$226)+COUNTIF('7月'!AH12:AI12,P$226)+COUNTIF('7月'!AM12:AN12,P$226)+COUNTIF('7月'!AR12:AS12,P$226)+COUNTIF('7月'!AW12:AX12,P$226)+COUNTIF('7月'!BB12:BC12,P$226)+COUNTIF('7月'!BG12:BH12,P$226)+COUNTIF('7月'!BL12:BM12,P$226)+COUNTIF('7月'!BQ12:BR12,P$226)+COUNTIF('7月'!BV12:BW12,P$226)+COUNTIF('7月'!CA12:CB12,P$226)+COUNTIF('7月'!CF12:CG12,P$226)+COUNTIF('7月'!CK12:CL12,P$226)+COUNTIF('7月'!CP12:CQ12,P$226)+COUNTIF('7月'!CU12:CV12,P$226)+COUNTIF('7月'!CZ12:DA12,P$226)+COUNTIF('7月'!DE12:DF12,P$226)+COUNTIF('7月'!DJ12:DK12,P$226)+COUNTIF('7月'!DO12:DP12,P$226)+COUNTIF('7月'!DT12:DU12,P$226)+COUNTIF('7月'!DY12:DZ12,P$226)+COUNTIF('7月'!ED12:EE12,P$226)+COUNTIF('7月'!EI12:EJ12,P$226)+COUNTIF('7月'!EN12:EO12,P$226)+COUNTIF('7月'!ES12:ET12,P$226)+COUNTIF('7月'!D12:E12,"荻窪ー夜勤")+COUNTIF('7月'!I12:J12,"荻窪ー夜勤")+COUNTIF('7月'!N12:O12,"荻窪ー夜勤")+COUNTIF('7月'!S12:T12,"荻窪ー夜勤")+COUNTIF('7月'!X12:Y12,"荻窪ー夜勤")+COUNTIF('7月'!AC12:AD12,"荻窪ー夜勤")+COUNTIF('7月'!AH12:AI12,"荻窪ー夜勤")+COUNTIF('7月'!AM12:AN12,"荻窪ー夜勤")+COUNTIF('7月'!AR12:AS12,"荻窪ー夜勤")+COUNTIF('7月'!AW12:AX12,"荻窪ー夜勤")+COUNTIF('7月'!BB12:BC12,"荻窪ー夜勤")+COUNTIF('7月'!BG12:BH12,"荻窪ー夜勤")+COUNTIF('7月'!BL12:BM12,"荻窪ー夜勤")+COUNTIF('7月'!BQ12:BR12,"荻窪ー夜勤")+COUNTIF('7月'!BV12:BW12,"荻窪ー夜勤")+COUNTIF('7月'!CA12:CB12,"荻窪ー夜勤")+COUNTIF('7月'!CF12:CG12,"荻窪ー夜勤")+COUNTIF('7月'!CK12:CL12,"荻窪ー夜勤")+COUNTIF('7月'!CP12:CQ12,"荻窪ー夜勤")+COUNTIF('7月'!CU12:CV12,"荻窪ー夜勤")+COUNTIF('7月'!CZ12:DA12,"荻窪ー夜勤")+COUNTIF('7月'!DE12:DF12,"荻窪ー夜勤")+COUNTIF('7月'!DJ12:DK12,"荻窪ー夜勤")+COUNTIF('7月'!DO12:DP12,"荻窪ー夜勤")+COUNTIF('7月'!DT12:DU12,"荻窪ー夜勤")+COUNTIF('7月'!DY12:DZ12,"荻窪ー夜勤")+COUNTIF('7月'!ED12:EE12,"荻窪ー夜勤")+COUNTIF('7月'!EI12:EJ12,"荻窪ー夜勤")+COUNTIF('7月'!EN12:EO12,"荻窪ー夜勤")+COUNTIF('7月'!ES12:ET12,"荻窪ー夜勤")</f>
        <v>0</v>
      </c>
      <c r="Q236" s="76">
        <f t="shared" si="79"/>
        <v>0</v>
      </c>
      <c r="R236" s="76">
        <f>COUNTIF('7月'!D12:E12,R$226)+COUNTIF('7月'!I12:J12,R$226)+COUNTIF('7月'!N12:O12,R$226)+COUNTIF('7月'!S12:T12,R$226)+COUNTIF('7月'!X12:Y12,R$226)+COUNTIF('7月'!AC12:AD12,R$226)+COUNTIF('7月'!AH12:AI12,R$226)+COUNTIF('7月'!AM12:AN12,R$226)+COUNTIF('7月'!AR12:AS12,R$226)+COUNTIF('7月'!AW12:AX12,R$226)+COUNTIF('7月'!BB12:BC12,R$226)+COUNTIF('7月'!BG12:BH12,R$226)+COUNTIF('7月'!BL12:BM12,R$226)+COUNTIF('7月'!BQ12:BR12,R$226)+COUNTIF('7月'!BV12:BW12,R$226)+COUNTIF('7月'!CA12:CB12,R$226)+COUNTIF('7月'!CF12:CG12,R$226)+COUNTIF('7月'!CK12:CL12,R$226)+COUNTIF('7月'!CP12:CQ12,R$226)+COUNTIF('7月'!CU12:CV12,R$226)+COUNTIF('7月'!CZ12:DA12,R$226)+COUNTIF('7月'!DE12:DF12,R$226)+COUNTIF('7月'!DJ12:DK12,R$226)+COUNTIF('7月'!DO12:DP12,R$226)+COUNTIF('7月'!DT12:DU12,R$226)+COUNTIF('7月'!DY12:DZ12,R$226)+COUNTIF('7月'!ED12:EE12,R$226)+COUNTIF('7月'!EI12:EJ12,R$226)+COUNTIF('7月'!EN12:EO12,R$226)+COUNTIF('7月'!ES12:ET12,R$226)</f>
        <v>0</v>
      </c>
      <c r="S236" s="76">
        <f t="shared" si="80"/>
        <v>0</v>
      </c>
      <c r="T236" s="76">
        <f>COUNTIF('7月'!D12:E12,T$226)+COUNTIF('7月'!I12:J12,T$226)+COUNTIF('7月'!N12:O12,T$226)+COUNTIF('7月'!S12:T12,T$226)+COUNTIF('7月'!X12:Y12,T$226)+COUNTIF('7月'!AC12:AD12,T$226)+COUNTIF('7月'!AH12:AI12,T$226)+COUNTIF('7月'!AM12:AN12,T$226)+COUNTIF('7月'!AR12:AS12,T$226)+COUNTIF('7月'!AW12:AX12,T$226)+COUNTIF('7月'!BB12:BC12,T$226)+COUNTIF('7月'!BG12:BH12,T$226)+COUNTIF('7月'!BL12:BM12,T$226)+COUNTIF('7月'!BQ12:BR12,T$226)+COUNTIF('7月'!BV12:BW12,T$226)+COUNTIF('7月'!CA12:CB12,T$226)+COUNTIF('7月'!CF12:CG12,T$226)+COUNTIF('7月'!CK12:CL12,T$226)+COUNTIF('7月'!CP12:CQ12,T$226)+COUNTIF('7月'!CU12:CV12,T$226)+COUNTIF('7月'!CZ12:DA12,T$226)+COUNTIF('7月'!DE12:DF12,T$226)+COUNTIF('7月'!DJ12:DK12,T$226)+COUNTIF('7月'!DO12:DP12,T$226)+COUNTIF('7月'!DT12:DU12,T$226)+COUNTIF('7月'!DY12:DZ12,T$226)+COUNTIF('7月'!ED12:EE12,T$226)+COUNTIF('7月'!EI12:EJ12,T$226)+COUNTIF('7月'!EN12:EO12,T$226)+COUNTIF('7月'!ES12:ET12,T$226)</f>
        <v>0</v>
      </c>
      <c r="U236" s="76">
        <f t="shared" si="81"/>
        <v>0</v>
      </c>
      <c r="V236" s="76">
        <f>COUNTIF('7月'!D12:E12,V$226)+COUNTIF('7月'!I12:J12,V$226)+COUNTIF('7月'!N12:O12,V$226)+COUNTIF('7月'!S12:T12,V$226)+COUNTIF('7月'!X12:Y12,V$226)+COUNTIF('7月'!AC12:AD12,V$226)+COUNTIF('7月'!AH12:AI12,V$226)+COUNTIF('7月'!AM12:AN12,V$226)+COUNTIF('7月'!AR12:AS12,V$226)+COUNTIF('7月'!AW12:AX12,V$226)+COUNTIF('7月'!BB12:BC12,V$226)+COUNTIF('7月'!BG12:BH12,V$226)+COUNTIF('7月'!BL12:BM12,V$226)+COUNTIF('7月'!BQ12:BR12,V$226)+COUNTIF('7月'!BV12:BW12,V$226)+COUNTIF('7月'!CA12:CB12,V$226)+COUNTIF('7月'!CF12:CG12,V$226)+COUNTIF('7月'!CK12:CL12,V$226)+COUNTIF('7月'!CP12:CQ12,V$226)+COUNTIF('7月'!CU12:CV12,V$226)+COUNTIF('7月'!CZ12:DA12,V$226)+COUNTIF('7月'!DE12:DF12,V$226)+COUNTIF('7月'!DJ12:DK12,V$226)+COUNTIF('7月'!DO12:DP12,V$226)+COUNTIF('7月'!DT12:DU12,V$226)+COUNTIF('7月'!DY12:DZ12,V$226)+COUNTIF('7月'!ED12:EE12,V$226)+COUNTIF('7月'!EI12:EJ12,V$226)+COUNTIF('7月'!EN12:EO12,V$226)+COUNTIF('7月'!ES12:ET12,V$226)</f>
        <v>0</v>
      </c>
      <c r="W236" s="76">
        <f t="shared" si="82"/>
        <v>0</v>
      </c>
      <c r="X236" s="76">
        <f>COUNTIF('7月'!D12:E12,X$226)+COUNTIF('7月'!I12:J12,X$226)+COUNTIF('7月'!N12:O12,X$226)+COUNTIF('7月'!S12:T12,X$226)+COUNTIF('7月'!X12:Y12,X$226)+COUNTIF('7月'!AC12:AD12,X$226)+COUNTIF('7月'!AH12:AI12,X$226)+COUNTIF('7月'!AM12:AN12,X$226)+COUNTIF('7月'!AR12:AS12,X$226)+COUNTIF('7月'!AW12:AX12,X$226)+COUNTIF('7月'!BB12:BC12,X$226)+COUNTIF('7月'!BG12:BH12,X$226)+COUNTIF('7月'!BL12:BM12,X$226)+COUNTIF('7月'!BQ12:BR12,X$226)+COUNTIF('7月'!BV12:BW12,X$226)+COUNTIF('7月'!CA12:CB12,X$226)+COUNTIF('7月'!CF12:CG12,X$226)+COUNTIF('7月'!CK12:CL12,X$226)+COUNTIF('7月'!CP12:CQ12,X$226)+COUNTIF('7月'!CU12:CV12,X$226)+COUNTIF('7月'!CZ12:DA12,X$226)+COUNTIF('7月'!DE12:DF12,X$226)+COUNTIF('7月'!DJ12:DK12,X$226)+COUNTIF('7月'!DO12:DP12,X$226)+COUNTIF('7月'!DT12:DU12,X$226)+COUNTIF('7月'!DY12:DZ12,X$226)+COUNTIF('7月'!ED12:EE12,X$226)+COUNTIF('7月'!EI12:EJ12,X$226)+COUNTIF('7月'!EN12:EO12,X$226)+COUNTIF('7月'!ES12:ET12,X$226)</f>
        <v>0</v>
      </c>
      <c r="Y236" s="76">
        <f t="shared" si="83"/>
        <v>0</v>
      </c>
    </row>
    <row r="237" spans="1:25" ht="18" customHeight="1">
      <c r="A237" s="76">
        <v>10</v>
      </c>
      <c r="B237" s="76">
        <f>COUNTIF('7月'!D13:E13,B$226)+COUNTIF('7月'!I13:J13,B$226)+COUNTIF('7月'!N13:O13,B$226)+COUNTIF('7月'!S13:T13,B$226)+COUNTIF('7月'!X13:Y13,B$226)+COUNTIF('7月'!AC13:AD13,B$226)+COUNTIF('7月'!AH13:AI13,B$226)+COUNTIF('7月'!AM13:AN13,B$226)+COUNTIF('7月'!AR13:AS13,B$226)+COUNTIF('7月'!AW13:AX13,B$226)+COUNTIF('7月'!BB13:BC13,B$226)+COUNTIF('7月'!BG13:BH13,B$226)+COUNTIF('7月'!BL13:BM13,B$226)+COUNTIF('7月'!BQ13:BR13,B$226)+COUNTIF('7月'!BV13:BW13,B$226)+COUNTIF('7月'!CA13:CB13,B$226)+COUNTIF('7月'!CF13:CG13,B$226)+COUNTIF('7月'!CK13:CL13,B$226)+COUNTIF('7月'!CP13:CQ13,B$226)+COUNTIF('7月'!CU13:CV13,B$226)+COUNTIF('7月'!CZ13:DA13,B$226)+COUNTIF('7月'!DE13:DF13,B$226)+COUNTIF('7月'!DJ13:DK13,B$226)+COUNTIF('7月'!DO13:DP13,B$226)+COUNTIF('7月'!DT13:DU13,B$226)+COUNTIF('7月'!DY13:DZ13,B$226)+COUNTIF('7月'!ED13:EE13,B$226)+COUNTIF('7月'!EI13:EJ13,B$226)+COUNTIF('7月'!EN13:EO13,B$226)+COUNTIF('7月'!ES13:ET13,B$226)</f>
        <v>0</v>
      </c>
      <c r="C237" s="76">
        <f t="shared" si="72"/>
        <v>0</v>
      </c>
      <c r="D237" s="76">
        <f>COUNTIF('7月'!D13:E13,D$226)+COUNTIF('7月'!I13:J13,D$226)+COUNTIF('7月'!N13:O13,D$226)+COUNTIF('7月'!S13:T13,D$226)+COUNTIF('7月'!X13:Y13,D$226)+COUNTIF('7月'!AC13:AD13,D$226)+COUNTIF('7月'!AH13:AI13,D$226)+COUNTIF('7月'!AM13:AN13,D$226)+COUNTIF('7月'!AR13:AS13,D$226)+COUNTIF('7月'!AW13:AX13,D$226)+COUNTIF('7月'!BB13:BC13,D$226)+COUNTIF('7月'!BG13:BH13,D$226)+COUNTIF('7月'!BL13:BM13,D$226)+COUNTIF('7月'!BQ13:BR13,D$226)+COUNTIF('7月'!BV13:BW13,D$226)+COUNTIF('7月'!CA13:CB13,D$226)+COUNTIF('7月'!CF13:CG13,D$226)+COUNTIF('7月'!CK13:CL13,D$226)+COUNTIF('7月'!CP13:CQ13,D$226)+COUNTIF('7月'!CU13:CV13,D$226)+COUNTIF('7月'!CZ13:DA13,D$226)+COUNTIF('7月'!DE13:DF13,D$226)+COUNTIF('7月'!DJ13:DK13,D$226)+COUNTIF('7月'!DO13:DP13,D$226)+COUNTIF('7月'!DT13:DU13,D$226)+COUNTIF('7月'!DY13:DZ13,D$226)+COUNTIF('7月'!ED13:EE13,D$226)+COUNTIF('7月'!EI13:EJ13,D$226)+COUNTIF('7月'!EN13:EO13,D$226)+COUNTIF('7月'!ES13:ET13,D$226)</f>
        <v>0</v>
      </c>
      <c r="E237" s="76">
        <f t="shared" si="73"/>
        <v>0</v>
      </c>
      <c r="F237" s="76">
        <f>COUNTIF('7月'!D13:E13,F$226)+COUNTIF('7月'!I13:J13,F$226)+COUNTIF('7月'!N13:O13,F$226)+COUNTIF('7月'!S13:T13,F$226)+COUNTIF('7月'!X13:Y13,F$226)+COUNTIF('7月'!AC13:AD13,F$226)+COUNTIF('7月'!AH13:AI13,F$226)+COUNTIF('7月'!AM13:AN13,F$226)+COUNTIF('7月'!AR13:AS13,F$226)+COUNTIF('7月'!AW13:AX13,F$226)+COUNTIF('7月'!BB13:BC13,F$226)+COUNTIF('7月'!BG13:BH13,F$226)+COUNTIF('7月'!BL13:BM13,F$226)+COUNTIF('7月'!BQ13:BR13,F$226)+COUNTIF('7月'!BV13:BW13,F$226)+COUNTIF('7月'!CA13:CB13,F$226)+COUNTIF('7月'!CF13:CG13,F$226)+COUNTIF('7月'!CK13:CL13,F$226)+COUNTIF('7月'!CP13:CQ13,F$226)+COUNTIF('7月'!CU13:CV13,F$226)+COUNTIF('7月'!CZ13:DA13,F$226)+COUNTIF('7月'!DE13:DF13,F$226)+COUNTIF('7月'!DJ13:DK13,F$226)+COUNTIF('7月'!DO13:DP13,F$226)+COUNTIF('7月'!DT13:DU13,F$226)+COUNTIF('7月'!DY13:DZ13,F$226)+COUNTIF('7月'!ED13:EE13,F$226)+COUNTIF('7月'!EI13:EJ13,F$226)+COUNTIF('7月'!EN13:EO13,F$226)+COUNTIF('7月'!ES13:ET13,F$226)</f>
        <v>0</v>
      </c>
      <c r="G237" s="76">
        <f t="shared" si="74"/>
        <v>0</v>
      </c>
      <c r="H237" s="76">
        <f>COUNTIF('7月'!D13:E13,H$226)+COUNTIF('7月'!I13:J13,H$226)+COUNTIF('7月'!N13:O13,H$226)+COUNTIF('7月'!S13:T13,H$226)+COUNTIF('7月'!X13:Y13,H$226)+COUNTIF('7月'!AC13:AD13,H$226)+COUNTIF('7月'!AH13:AI13,H$226)+COUNTIF('7月'!AM13:AN13,H$226)+COUNTIF('7月'!AR13:AS13,H$226)+COUNTIF('7月'!AW13:AX13,H$226)+COUNTIF('7月'!BB13:BC13,H$226)+COUNTIF('7月'!BG13:BH13,H$226)+COUNTIF('7月'!BL13:BM13,H$226)+COUNTIF('7月'!BQ13:BR13,H$226)+COUNTIF('7月'!BV13:BW13,H$226)+COUNTIF('7月'!CA13:CB13,H$226)+COUNTIF('7月'!CF13:CG13,H$226)+COUNTIF('7月'!CK13:CL13,H$226)+COUNTIF('7月'!CP13:CQ13,H$226)+COUNTIF('7月'!CU13:CV13,H$226)+COUNTIF('7月'!CZ13:DA13,H$226)+COUNTIF('7月'!DE13:DF13,H$226)+COUNTIF('7月'!DJ13:DK13,H$226)+COUNTIF('7月'!DO13:DP13,H$226)+COUNTIF('7月'!DT13:DU13,H$226)+COUNTIF('7月'!DY13:DZ13,H$226)+COUNTIF('7月'!ED13:EE13,H$226)+COUNTIF('7月'!EI13:EJ13,H$226)+COUNTIF('7月'!EN13:EO13,H$226)+COUNTIF('7月'!ES13:ET13,H$226)+COUNTIF('7月'!D13:E13,"渋谷-夜勤")+COUNTIF('7月'!I13:J13,"渋谷-夜勤")+COUNTIF('7月'!N13:O13,"渋谷-夜勤")+COUNTIF('7月'!S13:T13,"渋谷-夜勤")+COUNTIF('7月'!X13:Y13,"渋谷-夜勤")+COUNTIF('7月'!AC13:AD13,"渋谷-夜勤")+COUNTIF('7月'!AH13:AI13,"渋谷-夜勤")+COUNTIF('7月'!AM13:AN13,"渋谷-夜勤")+COUNTIF('7月'!AR13:AS13,"渋谷-夜勤")+COUNTIF('7月'!AW13:AX13,"渋谷-夜勤")+COUNTIF('7月'!BB13:BC13,"渋谷-夜勤")+COUNTIF('7月'!BG13:BH13,"渋谷-夜勤")+COUNTIF('7月'!BL13:BM13,"渋谷-夜勤")+COUNTIF('7月'!BQ13:BR13,"渋谷-夜勤")+COUNTIF('7月'!BV13:BW13,"渋谷-夜勤")+COUNTIF('7月'!CA13:CB13,"渋谷-夜勤")+COUNTIF('7月'!CF13:CG13,"渋谷-夜勤")+COUNTIF('7月'!CK13:CL13,"渋谷-夜勤")+COUNTIF('7月'!CP13:CQ13,"渋谷-夜勤")+COUNTIF('7月'!CU13:CV13,"渋谷-夜勤")+COUNTIF('7月'!CZ13:DA13,"渋谷-夜勤")+COUNTIF('7月'!DE13:DF13,"渋谷-夜勤")+COUNTIF('7月'!DJ13:DK13,"渋谷-夜勤")+COUNTIF('7月'!DO13:DP13,"渋谷-夜勤")+COUNTIF('7月'!DT13:DU13,"渋谷-夜勤")+COUNTIF('7月'!DY13:DZ13,"渋谷-夜勤")+COUNTIF('7月'!ED13:EE13,"渋谷-夜勤")+COUNTIF('7月'!EI13:EJ13,"渋谷-夜勤")+COUNTIF('7月'!EN13:EO13,"渋谷-夜勤")+COUNTIF('7月'!ES13:ET13,"渋谷-夜勤")</f>
        <v>0</v>
      </c>
      <c r="I237" s="76">
        <f t="shared" si="75"/>
        <v>0</v>
      </c>
      <c r="J237" s="76">
        <f>COUNTIF('7月'!D13:E13,J$226)+COUNTIF('7月'!I13:J13,J$226)+COUNTIF('7月'!N13:O13,J$226)+COUNTIF('7月'!S13:T13,J$226)+COUNTIF('7月'!X13:Y13,J$226)+COUNTIF('7月'!AC13:AD13,J$226)+COUNTIF('7月'!AH13:AI13,J$226)+COUNTIF('7月'!AM13:AN13,J$226)+COUNTIF('7月'!AR13:AS13,J$226)+COUNTIF('7月'!AW13:AX13,J$226)+COUNTIF('7月'!BB13:BC13,J$226)+COUNTIF('7月'!BG13:BH13,J$226)+COUNTIF('7月'!BL13:BM13,J$226)+COUNTIF('7月'!BQ13:BR13,J$226)+COUNTIF('7月'!BV13:BW13,J$226)+COUNTIF('7月'!CA13:CB13,J$226)+COUNTIF('7月'!CF13:CG13,J$226)+COUNTIF('7月'!CK13:CL13,J$226)+COUNTIF('7月'!CP13:CQ13,J$226)+COUNTIF('7月'!CU13:CV13,J$226)+COUNTIF('7月'!CZ13:DA13,J$226)+COUNTIF('7月'!DE13:DF13,J$226)+COUNTIF('7月'!DJ13:DK13,J$226)+COUNTIF('7月'!DO13:DP13,J$226)+COUNTIF('7月'!DT13:DU13,J$226)+COUNTIF('7月'!DY13:DZ13,J$226)+COUNTIF('7月'!ED13:EE13,J$226)+COUNTIF('7月'!EI13:EJ13,J$226)+COUNTIF('7月'!EN13:EO13,J$226)+COUNTIF('7月'!ES13:ET13,J$226)+COUNTIF('7月'!D13:E13,"六本木-夜勤")+COUNTIF('7月'!I13:J13,"六本木-夜勤")+COUNTIF('7月'!N13:O13,"六本木-夜勤")+COUNTIF('7月'!S13:T13,"六本木-夜勤")+COUNTIF('7月'!X13:Y13,"六本木-夜勤")+COUNTIF('7月'!AC13:AD13,"六本木-夜勤")+COUNTIF('7月'!AH13:AI13,"六本木-夜勤")+COUNTIF('7月'!AM13:AN13,"六本木-夜勤")+COUNTIF('7月'!AR13:AS13,"六本木-夜勤")+COUNTIF('7月'!AW13:AX13,"六本木-夜勤")+COUNTIF('7月'!BB13:BC13,"六本木-夜勤")+COUNTIF('7月'!BG13:BH13,"六本木-夜勤")+COUNTIF('7月'!BL13:BM13,"六本木-夜勤")+COUNTIF('7月'!BQ13:BR13,"六本木-夜勤")+COUNTIF('7月'!BV13:BW13,"六本木-夜勤")+COUNTIF('7月'!CA13:CB13,"六本木-夜勤")+COUNTIF('7月'!CF13:CG13,"六本木-夜勤")+COUNTIF('7月'!CK13:CL13,"六本木-夜勤")+COUNTIF('7月'!CP13:CQ13,"六本木-夜勤")+COUNTIF('7月'!CU13:CV13,"六本木-夜勤")+COUNTIF('7月'!CZ13:DA13,"六本木-夜勤")+COUNTIF('7月'!DE13:DF13,"六本木-夜勤")+COUNTIF('7月'!DJ13:DK13,"六本木-夜勤")+COUNTIF('7月'!DO13:DP13,"六本木-夜勤")+COUNTIF('7月'!DT13:DU13,"六本木-夜勤")+COUNTIF('7月'!DY13:DZ13,"六本木-夜勤")+COUNTIF('7月'!ED13:EE13,"六本木-夜勤")+COUNTIF('7月'!EI13:EJ13,"六本木-夜勤")+COUNTIF('7月'!EN13:EO13,"六本木-夜勤")+COUNTIF('7月'!ES13:ET13,"六本木-夜勤")+COUNTIF('7月'!D13:E13,"六本木ー夜勤")+COUNTIF('7月'!I13:J13,"六本木ー夜勤")+COUNTIF('7月'!N13:O13,"六本木ー夜勤")+COUNTIF('7月'!S13:T13,"六本木ー夜勤")+COUNTIF('7月'!X13:Y13,"六本木ー夜勤")+COUNTIF('7月'!AC13:AD13,"六本木ー夜勤")+COUNTIF('7月'!AH13:AI13,"六本木ー夜勤")+COUNTIF('7月'!AM13:AN13,"六本木ー夜勤")+COUNTIF('7月'!AR13:AS13,"六本木ー夜勤")+COUNTIF('7月'!AW13:AX13,"六本木ー夜勤")+COUNTIF('7月'!BB13:BC13,"六本木ー夜勤")+COUNTIF('7月'!BG13:BH13,"六本木ー夜勤")+COUNTIF('7月'!BL13:BM13,"六本木ー夜勤")+COUNTIF('7月'!BQ13:BR13,"六本木ー夜勤")+COUNTIF('7月'!BV13:BW13,"六本木ー夜勤")+COUNTIF('7月'!CA13:CB13,"六本木ー夜勤")+COUNTIF('7月'!CF13:CG13,"六本木ー夜勤")+COUNTIF('7月'!CK13:CL13,"六本木ー夜勤")+COUNTIF('7月'!CP13:CQ13,"六本木ー夜勤")+COUNTIF('7月'!CU13:CV13,"六本木ー夜勤")+COUNTIF('7月'!CZ13:DA13,"六本木ー夜勤")+COUNTIF('7月'!DE13:DF13,"六本木ー夜勤")+COUNTIF('7月'!DJ13:DK13,"六本木ー夜勤")+COUNTIF('7月'!DO13:DP13,"六本木ー夜勤")+COUNTIF('7月'!DT13:DU13,"六本木ー夜勤")+COUNTIF('7月'!DY13:DZ13,"六本木ー夜勤")+COUNTIF('7月'!ED13:EE13,"六本木ー夜勤")+COUNTIF('7月'!EI13:EJ13,"六本木ー夜勤")+COUNTIF('7月'!EN13:EO13,"六本木ー夜勤")+COUNTIF('7月'!ES13:ET13,"六本木ー夜勤")</f>
        <v>0</v>
      </c>
      <c r="K237" s="76">
        <f t="shared" si="76"/>
        <v>0</v>
      </c>
      <c r="L237" s="76">
        <f>COUNTIF('7月'!D13:E13,L$226)+COUNTIF('7月'!I13:J13,L$226)+COUNTIF('7月'!N13:O13,L$226)+COUNTIF('7月'!S13:T13,L$226)+COUNTIF('7月'!X13:Y13,L$226)+COUNTIF('7月'!AC13:AD13,L$226)+COUNTIF('7月'!AH13:AI13,L$226)+COUNTIF('7月'!AM13:AN13,L$226)+COUNTIF('7月'!AR13:AS13,L$226)+COUNTIF('7月'!AW13:AX13,L$226)+COUNTIF('7月'!BB13:BC13,L$226)+COUNTIF('7月'!BG13:BH13,L$226)+COUNTIF('7月'!BL13:BM13,L$226)+COUNTIF('7月'!BQ13:BR13,L$226)+COUNTIF('7月'!BV13:BW13,L$226)+COUNTIF('7月'!CA13:CB13,L$226)+COUNTIF('7月'!CF13:CG13,L$226)+COUNTIF('7月'!CK13:CL13,L$226)+COUNTIF('7月'!CP13:CQ13,L$226)+COUNTIF('7月'!CU13:CV13,L$226)+COUNTIF('7月'!CZ13:DA13,L$226)+COUNTIF('7月'!DE13:DF13,L$226)+COUNTIF('7月'!DJ13:DK13,L$226)+COUNTIF('7月'!DO13:DP13,L$226)+COUNTIF('7月'!DT13:DU13,L$226)+COUNTIF('7月'!DY13:DZ13,L$226)+COUNTIF('7月'!ED13:EE13,L$226)+COUNTIF('7月'!EI13:EJ13,L$226)+COUNTIF('7月'!EN13:EO13,L$226)+COUNTIF('7月'!ES13:ET13,L$226)</f>
        <v>0</v>
      </c>
      <c r="M237" s="76">
        <f t="shared" si="77"/>
        <v>0</v>
      </c>
      <c r="N237" s="76">
        <f>COUNTIF('7月'!D13:E13,N$226)+COUNTIF('7月'!I13:J13,N$226)+COUNTIF('7月'!N13:O13,N$226)+COUNTIF('7月'!S13:T13,N$226)+COUNTIF('7月'!X13:Y13,N$226)+COUNTIF('7月'!AC13:AD13,N$226)+COUNTIF('7月'!AH13:AI13,N$226)+COUNTIF('7月'!AM13:AN13,N$226)+COUNTIF('7月'!AR13:AS13,N$226)+COUNTIF('7月'!AW13:AX13,N$226)+COUNTIF('7月'!BB13:BC13,N$226)+COUNTIF('7月'!BG13:BH13,N$226)+COUNTIF('7月'!BL13:BM13,N$226)+COUNTIF('7月'!BQ13:BR13,N$226)+COUNTIF('7月'!BV13:BW13,N$226)+COUNTIF('7月'!CA13:CB13,N$226)+COUNTIF('7月'!CF13:CG13,N$226)+COUNTIF('7月'!CK13:CL13,N$226)+COUNTIF('7月'!CP13:CQ13,N$226)+COUNTIF('7月'!CU13:CV13,N$226)+COUNTIF('7月'!CZ13:DA13,N$226)+COUNTIF('7月'!DE13:DF13,N$226)+COUNTIF('7月'!DJ13:DK13,N$226)+COUNTIF('7月'!DO13:DP13,N$226)+COUNTIF('7月'!DT13:DU13,N$226)+COUNTIF('7月'!DY13:DZ13,N$226)+COUNTIF('7月'!ED13:EE13,N$226)+COUNTIF('7月'!EI13:EJ13,N$226)+COUNTIF('7月'!EN13:EO13,N$226)+COUNTIF('7月'!ES13:ET13,N$226)+COUNTIF('7月'!D13:E13,"三軒茶屋－夜勤")+COUNTIF('7月'!I13:J13,"三軒茶屋－夜勤")+COUNTIF('7月'!N13:O13,"三軒茶屋－夜勤")+COUNTIF('7月'!S13:T13,"三軒茶屋－夜勤")+COUNTIF('7月'!X13:Y13,"三軒茶屋－夜勤")+COUNTIF('7月'!AC13:AD13,"三軒茶屋－夜勤")+COUNTIF('7月'!AH13:AI13,"三軒茶屋－夜勤")+COUNTIF('7月'!AM13:AN13,"三軒茶屋－夜勤")+COUNTIF('7月'!AR13:AS13,"三軒茶屋－夜勤")+COUNTIF('7月'!AW13:AX13,"三軒茶屋－夜勤")+COUNTIF('7月'!BB13:BC13,"三軒茶屋－夜勤")+COUNTIF('7月'!BG13:BH13,"三軒茶屋－夜勤")+COUNTIF('7月'!BL13:BM13,"三軒茶屋－夜勤")+COUNTIF('7月'!BQ13:BR13,"三軒茶屋－夜勤")+COUNTIF('7月'!BV13:BW13,"三軒茶屋－夜勤")+COUNTIF('7月'!CA13:CB13,"三軒茶屋－夜勤")+COUNTIF('7月'!CF13:CG13,"三軒茶屋－夜勤")+COUNTIF('7月'!CK13:CL13,"三軒茶屋－夜勤")+COUNTIF('7月'!CP13:CQ13,"三軒茶屋－夜勤")+COUNTIF('7月'!CU13:CV13,"三軒茶屋－夜勤")+COUNTIF('7月'!CZ13:DA13,"三軒茶屋－夜勤")+COUNTIF('7月'!DE13:DF13,"三軒茶屋－夜勤")+COUNTIF('7月'!DJ13:DK13,"三軒茶屋－夜勤")+COUNTIF('7月'!DO13:DP13,"三軒茶屋－夜勤")+COUNTIF('7月'!DT13:DU13,"三軒茶屋－夜勤")+COUNTIF('7月'!DY13:DZ13,"三軒茶屋－夜勤")+COUNTIF('7月'!ED13:EE13,"三軒茶屋－夜勤")+COUNTIF('7月'!EI13:EJ13,"三軒茶屋－夜勤")+COUNTIF('7月'!EN13:EO13,"三軒茶屋－夜勤")+COUNTIF('7月'!ES13:ET13,"三軒茶屋－夜勤")</f>
        <v>0</v>
      </c>
      <c r="O237" s="76">
        <f t="shared" si="78"/>
        <v>0</v>
      </c>
      <c r="P237" s="76">
        <f>COUNTIF('7月'!D13:E13,P$226)+COUNTIF('7月'!I13:J13,P$226)+COUNTIF('7月'!N13:O13,P$226)+COUNTIF('7月'!S13:T13,P$226)+COUNTIF('7月'!X13:Y13,P$226)+COUNTIF('7月'!AC13:AD13,P$226)+COUNTIF('7月'!AH13:AI13,P$226)+COUNTIF('7月'!AM13:AN13,P$226)+COUNTIF('7月'!AR13:AS13,P$226)+COUNTIF('7月'!AW13:AX13,P$226)+COUNTIF('7月'!BB13:BC13,P$226)+COUNTIF('7月'!BG13:BH13,P$226)+COUNTIF('7月'!BL13:BM13,P$226)+COUNTIF('7月'!BQ13:BR13,P$226)+COUNTIF('7月'!BV13:BW13,P$226)+COUNTIF('7月'!CA13:CB13,P$226)+COUNTIF('7月'!CF13:CG13,P$226)+COUNTIF('7月'!CK13:CL13,P$226)+COUNTIF('7月'!CP13:CQ13,P$226)+COUNTIF('7月'!CU13:CV13,P$226)+COUNTIF('7月'!CZ13:DA13,P$226)+COUNTIF('7月'!DE13:DF13,P$226)+COUNTIF('7月'!DJ13:DK13,P$226)+COUNTIF('7月'!DO13:DP13,P$226)+COUNTIF('7月'!DT13:DU13,P$226)+COUNTIF('7月'!DY13:DZ13,P$226)+COUNTIF('7月'!ED13:EE13,P$226)+COUNTIF('7月'!EI13:EJ13,P$226)+COUNTIF('7月'!EN13:EO13,P$226)+COUNTIF('7月'!ES13:ET13,P$226)+COUNTIF('7月'!D13:E13,"荻窪ー夜勤")+COUNTIF('7月'!I13:J13,"荻窪ー夜勤")+COUNTIF('7月'!N13:O13,"荻窪ー夜勤")+COUNTIF('7月'!S13:T13,"荻窪ー夜勤")+COUNTIF('7月'!X13:Y13,"荻窪ー夜勤")+COUNTIF('7月'!AC13:AD13,"荻窪ー夜勤")+COUNTIF('7月'!AH13:AI13,"荻窪ー夜勤")+COUNTIF('7月'!AM13:AN13,"荻窪ー夜勤")+COUNTIF('7月'!AR13:AS13,"荻窪ー夜勤")+COUNTIF('7月'!AW13:AX13,"荻窪ー夜勤")+COUNTIF('7月'!BB13:BC13,"荻窪ー夜勤")+COUNTIF('7月'!BG13:BH13,"荻窪ー夜勤")+COUNTIF('7月'!BL13:BM13,"荻窪ー夜勤")+COUNTIF('7月'!BQ13:BR13,"荻窪ー夜勤")+COUNTIF('7月'!BV13:BW13,"荻窪ー夜勤")+COUNTIF('7月'!CA13:CB13,"荻窪ー夜勤")+COUNTIF('7月'!CF13:CG13,"荻窪ー夜勤")+COUNTIF('7月'!CK13:CL13,"荻窪ー夜勤")+COUNTIF('7月'!CP13:CQ13,"荻窪ー夜勤")+COUNTIF('7月'!CU13:CV13,"荻窪ー夜勤")+COUNTIF('7月'!CZ13:DA13,"荻窪ー夜勤")+COUNTIF('7月'!DE13:DF13,"荻窪ー夜勤")+COUNTIF('7月'!DJ13:DK13,"荻窪ー夜勤")+COUNTIF('7月'!DO13:DP13,"荻窪ー夜勤")+COUNTIF('7月'!DT13:DU13,"荻窪ー夜勤")+COUNTIF('7月'!DY13:DZ13,"荻窪ー夜勤")+COUNTIF('7月'!ED13:EE13,"荻窪ー夜勤")+COUNTIF('7月'!EI13:EJ13,"荻窪ー夜勤")+COUNTIF('7月'!EN13:EO13,"荻窪ー夜勤")+COUNTIF('7月'!ES13:ET13,"荻窪ー夜勤")</f>
        <v>0</v>
      </c>
      <c r="Q237" s="76">
        <f t="shared" si="79"/>
        <v>0</v>
      </c>
      <c r="R237" s="76">
        <f>COUNTIF('7月'!D13:E13,R$226)+COUNTIF('7月'!I13:J13,R$226)+COUNTIF('7月'!N13:O13,R$226)+COUNTIF('7月'!S13:T13,R$226)+COUNTIF('7月'!X13:Y13,R$226)+COUNTIF('7月'!AC13:AD13,R$226)+COUNTIF('7月'!AH13:AI13,R$226)+COUNTIF('7月'!AM13:AN13,R$226)+COUNTIF('7月'!AR13:AS13,R$226)+COUNTIF('7月'!AW13:AX13,R$226)+COUNTIF('7月'!BB13:BC13,R$226)+COUNTIF('7月'!BG13:BH13,R$226)+COUNTIF('7月'!BL13:BM13,R$226)+COUNTIF('7月'!BQ13:BR13,R$226)+COUNTIF('7月'!BV13:BW13,R$226)+COUNTIF('7月'!CA13:CB13,R$226)+COUNTIF('7月'!CF13:CG13,R$226)+COUNTIF('7月'!CK13:CL13,R$226)+COUNTIF('7月'!CP13:CQ13,R$226)+COUNTIF('7月'!CU13:CV13,R$226)+COUNTIF('7月'!CZ13:DA13,R$226)+COUNTIF('7月'!DE13:DF13,R$226)+COUNTIF('7月'!DJ13:DK13,R$226)+COUNTIF('7月'!DO13:DP13,R$226)+COUNTIF('7月'!DT13:DU13,R$226)+COUNTIF('7月'!DY13:DZ13,R$226)+COUNTIF('7月'!ED13:EE13,R$226)+COUNTIF('7月'!EI13:EJ13,R$226)+COUNTIF('7月'!EN13:EO13,R$226)+COUNTIF('7月'!ES13:ET13,R$226)</f>
        <v>0</v>
      </c>
      <c r="S237" s="76">
        <f t="shared" si="80"/>
        <v>0</v>
      </c>
      <c r="T237" s="76">
        <f>COUNTIF('7月'!D13:E13,T$226)+COUNTIF('7月'!I13:J13,T$226)+COUNTIF('7月'!N13:O13,T$226)+COUNTIF('7月'!S13:T13,T$226)+COUNTIF('7月'!X13:Y13,T$226)+COUNTIF('7月'!AC13:AD13,T$226)+COUNTIF('7月'!AH13:AI13,T$226)+COUNTIF('7月'!AM13:AN13,T$226)+COUNTIF('7月'!AR13:AS13,T$226)+COUNTIF('7月'!AW13:AX13,T$226)+COUNTIF('7月'!BB13:BC13,T$226)+COUNTIF('7月'!BG13:BH13,T$226)+COUNTIF('7月'!BL13:BM13,T$226)+COUNTIF('7月'!BQ13:BR13,T$226)+COUNTIF('7月'!BV13:BW13,T$226)+COUNTIF('7月'!CA13:CB13,T$226)+COUNTIF('7月'!CF13:CG13,T$226)+COUNTIF('7月'!CK13:CL13,T$226)+COUNTIF('7月'!CP13:CQ13,T$226)+COUNTIF('7月'!CU13:CV13,T$226)+COUNTIF('7月'!CZ13:DA13,T$226)+COUNTIF('7月'!DE13:DF13,T$226)+COUNTIF('7月'!DJ13:DK13,T$226)+COUNTIF('7月'!DO13:DP13,T$226)+COUNTIF('7月'!DT13:DU13,T$226)+COUNTIF('7月'!DY13:DZ13,T$226)+COUNTIF('7月'!ED13:EE13,T$226)+COUNTIF('7月'!EI13:EJ13,T$226)+COUNTIF('7月'!EN13:EO13,T$226)+COUNTIF('7月'!ES13:ET13,T$226)</f>
        <v>0</v>
      </c>
      <c r="U237" s="76">
        <f t="shared" si="81"/>
        <v>0</v>
      </c>
      <c r="V237" s="76">
        <f>COUNTIF('7月'!D13:E13,V$226)+COUNTIF('7月'!I13:J13,V$226)+COUNTIF('7月'!N13:O13,V$226)+COUNTIF('7月'!S13:T13,V$226)+COUNTIF('7月'!X13:Y13,V$226)+COUNTIF('7月'!AC13:AD13,V$226)+COUNTIF('7月'!AH13:AI13,V$226)+COUNTIF('7月'!AM13:AN13,V$226)+COUNTIF('7月'!AR13:AS13,V$226)+COUNTIF('7月'!AW13:AX13,V$226)+COUNTIF('7月'!BB13:BC13,V$226)+COUNTIF('7月'!BG13:BH13,V$226)+COUNTIF('7月'!BL13:BM13,V$226)+COUNTIF('7月'!BQ13:BR13,V$226)+COUNTIF('7月'!BV13:BW13,V$226)+COUNTIF('7月'!CA13:CB13,V$226)+COUNTIF('7月'!CF13:CG13,V$226)+COUNTIF('7月'!CK13:CL13,V$226)+COUNTIF('7月'!CP13:CQ13,V$226)+COUNTIF('7月'!CU13:CV13,V$226)+COUNTIF('7月'!CZ13:DA13,V$226)+COUNTIF('7月'!DE13:DF13,V$226)+COUNTIF('7月'!DJ13:DK13,V$226)+COUNTIF('7月'!DO13:DP13,V$226)+COUNTIF('7月'!DT13:DU13,V$226)+COUNTIF('7月'!DY13:DZ13,V$226)+COUNTIF('7月'!ED13:EE13,V$226)+COUNTIF('7月'!EI13:EJ13,V$226)+COUNTIF('7月'!EN13:EO13,V$226)+COUNTIF('7月'!ES13:ET13,V$226)</f>
        <v>0</v>
      </c>
      <c r="W237" s="76">
        <f t="shared" si="82"/>
        <v>0</v>
      </c>
      <c r="X237" s="76">
        <f>COUNTIF('7月'!D13:E13,X$226)+COUNTIF('7月'!I13:J13,X$226)+COUNTIF('7月'!N13:O13,X$226)+COUNTIF('7月'!S13:T13,X$226)+COUNTIF('7月'!X13:Y13,X$226)+COUNTIF('7月'!AC13:AD13,X$226)+COUNTIF('7月'!AH13:AI13,X$226)+COUNTIF('7月'!AM13:AN13,X$226)+COUNTIF('7月'!AR13:AS13,X$226)+COUNTIF('7月'!AW13:AX13,X$226)+COUNTIF('7月'!BB13:BC13,X$226)+COUNTIF('7月'!BG13:BH13,X$226)+COUNTIF('7月'!BL13:BM13,X$226)+COUNTIF('7月'!BQ13:BR13,X$226)+COUNTIF('7月'!BV13:BW13,X$226)+COUNTIF('7月'!CA13:CB13,X$226)+COUNTIF('7月'!CF13:CG13,X$226)+COUNTIF('7月'!CK13:CL13,X$226)+COUNTIF('7月'!CP13:CQ13,X$226)+COUNTIF('7月'!CU13:CV13,X$226)+COUNTIF('7月'!CZ13:DA13,X$226)+COUNTIF('7月'!DE13:DF13,X$226)+COUNTIF('7月'!DJ13:DK13,X$226)+COUNTIF('7月'!DO13:DP13,X$226)+COUNTIF('7月'!DT13:DU13,X$226)+COUNTIF('7月'!DY13:DZ13,X$226)+COUNTIF('7月'!ED13:EE13,X$226)+COUNTIF('7月'!EI13:EJ13,X$226)+COUNTIF('7月'!EN13:EO13,X$226)+COUNTIF('7月'!ES13:ET13,X$226)</f>
        <v>0</v>
      </c>
      <c r="Y237" s="76">
        <f t="shared" si="83"/>
        <v>0</v>
      </c>
    </row>
    <row r="238" spans="1:25" ht="18" customHeight="1">
      <c r="A238" s="76">
        <v>11</v>
      </c>
      <c r="B238" s="76">
        <f>COUNTIF('7月'!D14:E14,B$226)+COUNTIF('7月'!I14:J14,B$226)+COUNTIF('7月'!N14:O14,B$226)+COUNTIF('7月'!S14:T14,B$226)+COUNTIF('7月'!X14:Y14,B$226)+COUNTIF('7月'!AC14:AD14,B$226)+COUNTIF('7月'!AH14:AI14,B$226)+COUNTIF('7月'!AM14:AN14,B$226)+COUNTIF('7月'!AR14:AS14,B$226)+COUNTIF('7月'!AW14:AX14,B$226)+COUNTIF('7月'!BB14:BC14,B$226)+COUNTIF('7月'!BG14:BH14,B$226)+COUNTIF('7月'!BL14:BM14,B$226)+COUNTIF('7月'!BQ14:BR14,B$226)+COUNTIF('7月'!BV14:BW14,B$226)+COUNTIF('7月'!CA14:CB14,B$226)+COUNTIF('7月'!CF14:CG14,B$226)+COUNTIF('7月'!CK14:CL14,B$226)+COUNTIF('7月'!CP14:CQ14,B$226)+COUNTIF('7月'!CU14:CV14,B$226)+COUNTIF('7月'!CZ14:DA14,B$226)+COUNTIF('7月'!DE14:DF14,B$226)+COUNTIF('7月'!DJ14:DK14,B$226)+COUNTIF('7月'!DO14:DP14,B$226)+COUNTIF('7月'!DT14:DU14,B$226)+COUNTIF('7月'!DY14:DZ14,B$226)+COUNTIF('7月'!ED14:EE14,B$226)+COUNTIF('7月'!EI14:EJ14,B$226)+COUNTIF('7月'!EN14:EO14,B$226)+COUNTIF('7月'!ES14:ET14,B$226)</f>
        <v>0</v>
      </c>
      <c r="C238" s="76">
        <f t="shared" si="72"/>
        <v>0</v>
      </c>
      <c r="D238" s="76">
        <f>COUNTIF('7月'!D14:E14,D$226)+COUNTIF('7月'!I14:J14,D$226)+COUNTIF('7月'!N14:O14,D$226)+COUNTIF('7月'!S14:T14,D$226)+COUNTIF('7月'!X14:Y14,D$226)+COUNTIF('7月'!AC14:AD14,D$226)+COUNTIF('7月'!AH14:AI14,D$226)+COUNTIF('7月'!AM14:AN14,D$226)+COUNTIF('7月'!AR14:AS14,D$226)+COUNTIF('7月'!AW14:AX14,D$226)+COUNTIF('7月'!BB14:BC14,D$226)+COUNTIF('7月'!BG14:BH14,D$226)+COUNTIF('7月'!BL14:BM14,D$226)+COUNTIF('7月'!BQ14:BR14,D$226)+COUNTIF('7月'!BV14:BW14,D$226)+COUNTIF('7月'!CA14:CB14,D$226)+COUNTIF('7月'!CF14:CG14,D$226)+COUNTIF('7月'!CK14:CL14,D$226)+COUNTIF('7月'!CP14:CQ14,D$226)+COUNTIF('7月'!CU14:CV14,D$226)+COUNTIF('7月'!CZ14:DA14,D$226)+COUNTIF('7月'!DE14:DF14,D$226)+COUNTIF('7月'!DJ14:DK14,D$226)+COUNTIF('7月'!DO14:DP14,D$226)+COUNTIF('7月'!DT14:DU14,D$226)+COUNTIF('7月'!DY14:DZ14,D$226)+COUNTIF('7月'!ED14:EE14,D$226)+COUNTIF('7月'!EI14:EJ14,D$226)+COUNTIF('7月'!EN14:EO14,D$226)+COUNTIF('7月'!ES14:ET14,D$226)</f>
        <v>0</v>
      </c>
      <c r="E238" s="76">
        <f t="shared" si="73"/>
        <v>0</v>
      </c>
      <c r="F238" s="76">
        <f>COUNTIF('7月'!D14:E14,F$226)+COUNTIF('7月'!I14:J14,F$226)+COUNTIF('7月'!N14:O14,F$226)+COUNTIF('7月'!S14:T14,F$226)+COUNTIF('7月'!X14:Y14,F$226)+COUNTIF('7月'!AC14:AD14,F$226)+COUNTIF('7月'!AH14:AI14,F$226)+COUNTIF('7月'!AM14:AN14,F$226)+COUNTIF('7月'!AR14:AS14,F$226)+COUNTIF('7月'!AW14:AX14,F$226)+COUNTIF('7月'!BB14:BC14,F$226)+COUNTIF('7月'!BG14:BH14,F$226)+COUNTIF('7月'!BL14:BM14,F$226)+COUNTIF('7月'!BQ14:BR14,F$226)+COUNTIF('7月'!BV14:BW14,F$226)+COUNTIF('7月'!CA14:CB14,F$226)+COUNTIF('7月'!CF14:CG14,F$226)+COUNTIF('7月'!CK14:CL14,F$226)+COUNTIF('7月'!CP14:CQ14,F$226)+COUNTIF('7月'!CU14:CV14,F$226)+COUNTIF('7月'!CZ14:DA14,F$226)+COUNTIF('7月'!DE14:DF14,F$226)+COUNTIF('7月'!DJ14:DK14,F$226)+COUNTIF('7月'!DO14:DP14,F$226)+COUNTIF('7月'!DT14:DU14,F$226)+COUNTIF('7月'!DY14:DZ14,F$226)+COUNTIF('7月'!ED14:EE14,F$226)+COUNTIF('7月'!EI14:EJ14,F$226)+COUNTIF('7月'!EN14:EO14,F$226)+COUNTIF('7月'!ES14:ET14,F$226)</f>
        <v>0</v>
      </c>
      <c r="G238" s="76">
        <f t="shared" si="74"/>
        <v>0</v>
      </c>
      <c r="H238" s="76">
        <f>COUNTIF('7月'!D14:E14,H$226)+COUNTIF('7月'!I14:J14,H$226)+COUNTIF('7月'!N14:O14,H$226)+COUNTIF('7月'!S14:T14,H$226)+COUNTIF('7月'!X14:Y14,H$226)+COUNTIF('7月'!AC14:AD14,H$226)+COUNTIF('7月'!AH14:AI14,H$226)+COUNTIF('7月'!AM14:AN14,H$226)+COUNTIF('7月'!AR14:AS14,H$226)+COUNTIF('7月'!AW14:AX14,H$226)+COUNTIF('7月'!BB14:BC14,H$226)+COUNTIF('7月'!BG14:BH14,H$226)+COUNTIF('7月'!BL14:BM14,H$226)+COUNTIF('7月'!BQ14:BR14,H$226)+COUNTIF('7月'!BV14:BW14,H$226)+COUNTIF('7月'!CA14:CB14,H$226)+COUNTIF('7月'!CF14:CG14,H$226)+COUNTIF('7月'!CK14:CL14,H$226)+COUNTIF('7月'!CP14:CQ14,H$226)+COUNTIF('7月'!CU14:CV14,H$226)+COUNTIF('7月'!CZ14:DA14,H$226)+COUNTIF('7月'!DE14:DF14,H$226)+COUNTIF('7月'!DJ14:DK14,H$226)+COUNTIF('7月'!DO14:DP14,H$226)+COUNTIF('7月'!DT14:DU14,H$226)+COUNTIF('7月'!DY14:DZ14,H$226)+COUNTIF('7月'!ED14:EE14,H$226)+COUNTIF('7月'!EI14:EJ14,H$226)+COUNTIF('7月'!EN14:EO14,H$226)+COUNTIF('7月'!ES14:ET14,H$226)+COUNTIF('7月'!D14:E14,"渋谷-夜勤")+COUNTIF('7月'!I14:J14,"渋谷-夜勤")+COUNTIF('7月'!N14:O14,"渋谷-夜勤")+COUNTIF('7月'!S14:T14,"渋谷-夜勤")+COUNTIF('7月'!X14:Y14,"渋谷-夜勤")+COUNTIF('7月'!AC14:AD14,"渋谷-夜勤")+COUNTIF('7月'!AH14:AI14,"渋谷-夜勤")+COUNTIF('7月'!AM14:AN14,"渋谷-夜勤")+COUNTIF('7月'!AR14:AS14,"渋谷-夜勤")+COUNTIF('7月'!AW14:AX14,"渋谷-夜勤")+COUNTIF('7月'!BB14:BC14,"渋谷-夜勤")+COUNTIF('7月'!BG14:BH14,"渋谷-夜勤")+COUNTIF('7月'!BL14:BM14,"渋谷-夜勤")+COUNTIF('7月'!BQ14:BR14,"渋谷-夜勤")+COUNTIF('7月'!BV14:BW14,"渋谷-夜勤")+COUNTIF('7月'!CA14:CB14,"渋谷-夜勤")+COUNTIF('7月'!CF14:CG14,"渋谷-夜勤")+COUNTIF('7月'!CK14:CL14,"渋谷-夜勤")+COUNTIF('7月'!CP14:CQ14,"渋谷-夜勤")+COUNTIF('7月'!CU14:CV14,"渋谷-夜勤")+COUNTIF('7月'!CZ14:DA14,"渋谷-夜勤")+COUNTIF('7月'!DE14:DF14,"渋谷-夜勤")+COUNTIF('7月'!DJ14:DK14,"渋谷-夜勤")+COUNTIF('7月'!DO14:DP14,"渋谷-夜勤")+COUNTIF('7月'!DT14:DU14,"渋谷-夜勤")+COUNTIF('7月'!DY14:DZ14,"渋谷-夜勤")+COUNTIF('7月'!ED14:EE14,"渋谷-夜勤")+COUNTIF('7月'!EI14:EJ14,"渋谷-夜勤")+COUNTIF('7月'!EN14:EO14,"渋谷-夜勤")+COUNTIF('7月'!ES14:ET14,"渋谷-夜勤")</f>
        <v>0</v>
      </c>
      <c r="I238" s="76">
        <f t="shared" si="75"/>
        <v>0</v>
      </c>
      <c r="J238" s="76">
        <f>COUNTIF('7月'!D14:E14,J$226)+COUNTIF('7月'!I14:J14,J$226)+COUNTIF('7月'!N14:O14,J$226)+COUNTIF('7月'!S14:T14,J$226)+COUNTIF('7月'!X14:Y14,J$226)+COUNTIF('7月'!AC14:AD14,J$226)+COUNTIF('7月'!AH14:AI14,J$226)+COUNTIF('7月'!AM14:AN14,J$226)+COUNTIF('7月'!AR14:AS14,J$226)+COUNTIF('7月'!AW14:AX14,J$226)+COUNTIF('7月'!BB14:BC14,J$226)+COUNTIF('7月'!BG14:BH14,J$226)+COUNTIF('7月'!BL14:BM14,J$226)+COUNTIF('7月'!BQ14:BR14,J$226)+COUNTIF('7月'!BV14:BW14,J$226)+COUNTIF('7月'!CA14:CB14,J$226)+COUNTIF('7月'!CF14:CG14,J$226)+COUNTIF('7月'!CK14:CL14,J$226)+COUNTIF('7月'!CP14:CQ14,J$226)+COUNTIF('7月'!CU14:CV14,J$226)+COUNTIF('7月'!CZ14:DA14,J$226)+COUNTIF('7月'!DE14:DF14,J$226)+COUNTIF('7月'!DJ14:DK14,J$226)+COUNTIF('7月'!DO14:DP14,J$226)+COUNTIF('7月'!DT14:DU14,J$226)+COUNTIF('7月'!DY14:DZ14,J$226)+COUNTIF('7月'!ED14:EE14,J$226)+COUNTIF('7月'!EI14:EJ14,J$226)+COUNTIF('7月'!EN14:EO14,J$226)+COUNTIF('7月'!ES14:ET14,J$226)+COUNTIF('7月'!D14:E14,"六本木-夜勤")+COUNTIF('7月'!I14:J14,"六本木-夜勤")+COUNTIF('7月'!N14:O14,"六本木-夜勤")+COUNTIF('7月'!S14:T14,"六本木-夜勤")+COUNTIF('7月'!X14:Y14,"六本木-夜勤")+COUNTIF('7月'!AC14:AD14,"六本木-夜勤")+COUNTIF('7月'!AH14:AI14,"六本木-夜勤")+COUNTIF('7月'!AM14:AN14,"六本木-夜勤")+COUNTIF('7月'!AR14:AS14,"六本木-夜勤")+COUNTIF('7月'!AW14:AX14,"六本木-夜勤")+COUNTIF('7月'!BB14:BC14,"六本木-夜勤")+COUNTIF('7月'!BG14:BH14,"六本木-夜勤")+COUNTIF('7月'!BL14:BM14,"六本木-夜勤")+COUNTIF('7月'!BQ14:BR14,"六本木-夜勤")+COUNTIF('7月'!BV14:BW14,"六本木-夜勤")+COUNTIF('7月'!CA14:CB14,"六本木-夜勤")+COUNTIF('7月'!CF14:CG14,"六本木-夜勤")+COUNTIF('7月'!CK14:CL14,"六本木-夜勤")+COUNTIF('7月'!CP14:CQ14,"六本木-夜勤")+COUNTIF('7月'!CU14:CV14,"六本木-夜勤")+COUNTIF('7月'!CZ14:DA14,"六本木-夜勤")+COUNTIF('7月'!DE14:DF14,"六本木-夜勤")+COUNTIF('7月'!DJ14:DK14,"六本木-夜勤")+COUNTIF('7月'!DO14:DP14,"六本木-夜勤")+COUNTIF('7月'!DT14:DU14,"六本木-夜勤")+COUNTIF('7月'!DY14:DZ14,"六本木-夜勤")+COUNTIF('7月'!ED14:EE14,"六本木-夜勤")+COUNTIF('7月'!EI14:EJ14,"六本木-夜勤")+COUNTIF('7月'!EN14:EO14,"六本木-夜勤")+COUNTIF('7月'!ES14:ET14,"六本木-夜勤")+COUNTIF('7月'!D14:E14,"六本木ー夜勤")+COUNTIF('7月'!I14:J14,"六本木ー夜勤")+COUNTIF('7月'!N14:O14,"六本木ー夜勤")+COUNTIF('7月'!S14:T14,"六本木ー夜勤")+COUNTIF('7月'!X14:Y14,"六本木ー夜勤")+COUNTIF('7月'!AC14:AD14,"六本木ー夜勤")+COUNTIF('7月'!AH14:AI14,"六本木ー夜勤")+COUNTIF('7月'!AM14:AN14,"六本木ー夜勤")+COUNTIF('7月'!AR14:AS14,"六本木ー夜勤")+COUNTIF('7月'!AW14:AX14,"六本木ー夜勤")+COUNTIF('7月'!BB14:BC14,"六本木ー夜勤")+COUNTIF('7月'!BG14:BH14,"六本木ー夜勤")+COUNTIF('7月'!BL14:BM14,"六本木ー夜勤")+COUNTIF('7月'!BQ14:BR14,"六本木ー夜勤")+COUNTIF('7月'!BV14:BW14,"六本木ー夜勤")+COUNTIF('7月'!CA14:CB14,"六本木ー夜勤")+COUNTIF('7月'!CF14:CG14,"六本木ー夜勤")+COUNTIF('7月'!CK14:CL14,"六本木ー夜勤")+COUNTIF('7月'!CP14:CQ14,"六本木ー夜勤")+COUNTIF('7月'!CU14:CV14,"六本木ー夜勤")+COUNTIF('7月'!CZ14:DA14,"六本木ー夜勤")+COUNTIF('7月'!DE14:DF14,"六本木ー夜勤")+COUNTIF('7月'!DJ14:DK14,"六本木ー夜勤")+COUNTIF('7月'!DO14:DP14,"六本木ー夜勤")+COUNTIF('7月'!DT14:DU14,"六本木ー夜勤")+COUNTIF('7月'!DY14:DZ14,"六本木ー夜勤")+COUNTIF('7月'!ED14:EE14,"六本木ー夜勤")+COUNTIF('7月'!EI14:EJ14,"六本木ー夜勤")+COUNTIF('7月'!EN14:EO14,"六本木ー夜勤")+COUNTIF('7月'!ES14:ET14,"六本木ー夜勤")</f>
        <v>0</v>
      </c>
      <c r="K238" s="76">
        <f t="shared" si="76"/>
        <v>0</v>
      </c>
      <c r="L238" s="76">
        <f>COUNTIF('7月'!D14:E14,L$226)+COUNTIF('7月'!I14:J14,L$226)+COUNTIF('7月'!N14:O14,L$226)+COUNTIF('7月'!S14:T14,L$226)+COUNTIF('7月'!X14:Y14,L$226)+COUNTIF('7月'!AC14:AD14,L$226)+COUNTIF('7月'!AH14:AI14,L$226)+COUNTIF('7月'!AM14:AN14,L$226)+COUNTIF('7月'!AR14:AS14,L$226)+COUNTIF('7月'!AW14:AX14,L$226)+COUNTIF('7月'!BB14:BC14,L$226)+COUNTIF('7月'!BG14:BH14,L$226)+COUNTIF('7月'!BL14:BM14,L$226)+COUNTIF('7月'!BQ14:BR14,L$226)+COUNTIF('7月'!BV14:BW14,L$226)+COUNTIF('7月'!CA14:CB14,L$226)+COUNTIF('7月'!CF14:CG14,L$226)+COUNTIF('7月'!CK14:CL14,L$226)+COUNTIF('7月'!CP14:CQ14,L$226)+COUNTIF('7月'!CU14:CV14,L$226)+COUNTIF('7月'!CZ14:DA14,L$226)+COUNTIF('7月'!DE14:DF14,L$226)+COUNTIF('7月'!DJ14:DK14,L$226)+COUNTIF('7月'!DO14:DP14,L$226)+COUNTIF('7月'!DT14:DU14,L$226)+COUNTIF('7月'!DY14:DZ14,L$226)+COUNTIF('7月'!ED14:EE14,L$226)+COUNTIF('7月'!EI14:EJ14,L$226)+COUNTIF('7月'!EN14:EO14,L$226)+COUNTIF('7月'!ES14:ET14,L$226)</f>
        <v>0</v>
      </c>
      <c r="M238" s="76">
        <f t="shared" si="77"/>
        <v>0</v>
      </c>
      <c r="N238" s="76">
        <f>COUNTIF('7月'!D14:E14,N$226)+COUNTIF('7月'!I14:J14,N$226)+COUNTIF('7月'!N14:O14,N$226)+COUNTIF('7月'!S14:T14,N$226)+COUNTIF('7月'!X14:Y14,N$226)+COUNTIF('7月'!AC14:AD14,N$226)+COUNTIF('7月'!AH14:AI14,N$226)+COUNTIF('7月'!AM14:AN14,N$226)+COUNTIF('7月'!AR14:AS14,N$226)+COUNTIF('7月'!AW14:AX14,N$226)+COUNTIF('7月'!BB14:BC14,N$226)+COUNTIF('7月'!BG14:BH14,N$226)+COUNTIF('7月'!BL14:BM14,N$226)+COUNTIF('7月'!BQ14:BR14,N$226)+COUNTIF('7月'!BV14:BW14,N$226)+COUNTIF('7月'!CA14:CB14,N$226)+COUNTIF('7月'!CF14:CG14,N$226)+COUNTIF('7月'!CK14:CL14,N$226)+COUNTIF('7月'!CP14:CQ14,N$226)+COUNTIF('7月'!CU14:CV14,N$226)+COUNTIF('7月'!CZ14:DA14,N$226)+COUNTIF('7月'!DE14:DF14,N$226)+COUNTIF('7月'!DJ14:DK14,N$226)+COUNTIF('7月'!DO14:DP14,N$226)+COUNTIF('7月'!DT14:DU14,N$226)+COUNTIF('7月'!DY14:DZ14,N$226)+COUNTIF('7月'!ED14:EE14,N$226)+COUNTIF('7月'!EI14:EJ14,N$226)+COUNTIF('7月'!EN14:EO14,N$226)+COUNTIF('7月'!ES14:ET14,N$226)+COUNTIF('7月'!D14:E14,"三軒茶屋－夜勤")+COUNTIF('7月'!I14:J14,"三軒茶屋－夜勤")+COUNTIF('7月'!N14:O14,"三軒茶屋－夜勤")+COUNTIF('7月'!S14:T14,"三軒茶屋－夜勤")+COUNTIF('7月'!X14:Y14,"三軒茶屋－夜勤")+COUNTIF('7月'!AC14:AD14,"三軒茶屋－夜勤")+COUNTIF('7月'!AH14:AI14,"三軒茶屋－夜勤")+COUNTIF('7月'!AM14:AN14,"三軒茶屋－夜勤")+COUNTIF('7月'!AR14:AS14,"三軒茶屋－夜勤")+COUNTIF('7月'!AW14:AX14,"三軒茶屋－夜勤")+COUNTIF('7月'!BB14:BC14,"三軒茶屋－夜勤")+COUNTIF('7月'!BG14:BH14,"三軒茶屋－夜勤")+COUNTIF('7月'!BL14:BM14,"三軒茶屋－夜勤")+COUNTIF('7月'!BQ14:BR14,"三軒茶屋－夜勤")+COUNTIF('7月'!BV14:BW14,"三軒茶屋－夜勤")+COUNTIF('7月'!CA14:CB14,"三軒茶屋－夜勤")+COUNTIF('7月'!CF14:CG14,"三軒茶屋－夜勤")+COUNTIF('7月'!CK14:CL14,"三軒茶屋－夜勤")+COUNTIF('7月'!CP14:CQ14,"三軒茶屋－夜勤")+COUNTIF('7月'!CU14:CV14,"三軒茶屋－夜勤")+COUNTIF('7月'!CZ14:DA14,"三軒茶屋－夜勤")+COUNTIF('7月'!DE14:DF14,"三軒茶屋－夜勤")+COUNTIF('7月'!DJ14:DK14,"三軒茶屋－夜勤")+COUNTIF('7月'!DO14:DP14,"三軒茶屋－夜勤")+COUNTIF('7月'!DT14:DU14,"三軒茶屋－夜勤")+COUNTIF('7月'!DY14:DZ14,"三軒茶屋－夜勤")+COUNTIF('7月'!ED14:EE14,"三軒茶屋－夜勤")+COUNTIF('7月'!EI14:EJ14,"三軒茶屋－夜勤")+COUNTIF('7月'!EN14:EO14,"三軒茶屋－夜勤")+COUNTIF('7月'!ES14:ET14,"三軒茶屋－夜勤")</f>
        <v>0</v>
      </c>
      <c r="O238" s="76">
        <f t="shared" si="78"/>
        <v>0</v>
      </c>
      <c r="P238" s="76">
        <f>COUNTIF('7月'!D14:E14,P$226)+COUNTIF('7月'!I14:J14,P$226)+COUNTIF('7月'!N14:O14,P$226)+COUNTIF('7月'!S14:T14,P$226)+COUNTIF('7月'!X14:Y14,P$226)+COUNTIF('7月'!AC14:AD14,P$226)+COUNTIF('7月'!AH14:AI14,P$226)+COUNTIF('7月'!AM14:AN14,P$226)+COUNTIF('7月'!AR14:AS14,P$226)+COUNTIF('7月'!AW14:AX14,P$226)+COUNTIF('7月'!BB14:BC14,P$226)+COUNTIF('7月'!BG14:BH14,P$226)+COUNTIF('7月'!BL14:BM14,P$226)+COUNTIF('7月'!BQ14:BR14,P$226)+COUNTIF('7月'!BV14:BW14,P$226)+COUNTIF('7月'!CA14:CB14,P$226)+COUNTIF('7月'!CF14:CG14,P$226)+COUNTIF('7月'!CK14:CL14,P$226)+COUNTIF('7月'!CP14:CQ14,P$226)+COUNTIF('7月'!CU14:CV14,P$226)+COUNTIF('7月'!CZ14:DA14,P$226)+COUNTIF('7月'!DE14:DF14,P$226)+COUNTIF('7月'!DJ14:DK14,P$226)+COUNTIF('7月'!DO14:DP14,P$226)+COUNTIF('7月'!DT14:DU14,P$226)+COUNTIF('7月'!DY14:DZ14,P$226)+COUNTIF('7月'!ED14:EE14,P$226)+COUNTIF('7月'!EI14:EJ14,P$226)+COUNTIF('7月'!EN14:EO14,P$226)+COUNTIF('7月'!ES14:ET14,P$226)+COUNTIF('7月'!D14:E14,"荻窪ー夜勤")+COUNTIF('7月'!I14:J14,"荻窪ー夜勤")+COUNTIF('7月'!N14:O14,"荻窪ー夜勤")+COUNTIF('7月'!S14:T14,"荻窪ー夜勤")+COUNTIF('7月'!X14:Y14,"荻窪ー夜勤")+COUNTIF('7月'!AC14:AD14,"荻窪ー夜勤")+COUNTIF('7月'!AH14:AI14,"荻窪ー夜勤")+COUNTIF('7月'!AM14:AN14,"荻窪ー夜勤")+COUNTIF('7月'!AR14:AS14,"荻窪ー夜勤")+COUNTIF('7月'!AW14:AX14,"荻窪ー夜勤")+COUNTIF('7月'!BB14:BC14,"荻窪ー夜勤")+COUNTIF('7月'!BG14:BH14,"荻窪ー夜勤")+COUNTIF('7月'!BL14:BM14,"荻窪ー夜勤")+COUNTIF('7月'!BQ14:BR14,"荻窪ー夜勤")+COUNTIF('7月'!BV14:BW14,"荻窪ー夜勤")+COUNTIF('7月'!CA14:CB14,"荻窪ー夜勤")+COUNTIF('7月'!CF14:CG14,"荻窪ー夜勤")+COUNTIF('7月'!CK14:CL14,"荻窪ー夜勤")+COUNTIF('7月'!CP14:CQ14,"荻窪ー夜勤")+COUNTIF('7月'!CU14:CV14,"荻窪ー夜勤")+COUNTIF('7月'!CZ14:DA14,"荻窪ー夜勤")+COUNTIF('7月'!DE14:DF14,"荻窪ー夜勤")+COUNTIF('7月'!DJ14:DK14,"荻窪ー夜勤")+COUNTIF('7月'!DO14:DP14,"荻窪ー夜勤")+COUNTIF('7月'!DT14:DU14,"荻窪ー夜勤")+COUNTIF('7月'!DY14:DZ14,"荻窪ー夜勤")+COUNTIF('7月'!ED14:EE14,"荻窪ー夜勤")+COUNTIF('7月'!EI14:EJ14,"荻窪ー夜勤")+COUNTIF('7月'!EN14:EO14,"荻窪ー夜勤")+COUNTIF('7月'!ES14:ET14,"荻窪ー夜勤")</f>
        <v>0</v>
      </c>
      <c r="Q238" s="76">
        <f t="shared" si="79"/>
        <v>0</v>
      </c>
      <c r="R238" s="76">
        <f>COUNTIF('7月'!D14:E14,R$226)+COUNTIF('7月'!I14:J14,R$226)+COUNTIF('7月'!N14:O14,R$226)+COUNTIF('7月'!S14:T14,R$226)+COUNTIF('7月'!X14:Y14,R$226)+COUNTIF('7月'!AC14:AD14,R$226)+COUNTIF('7月'!AH14:AI14,R$226)+COUNTIF('7月'!AM14:AN14,R$226)+COUNTIF('7月'!AR14:AS14,R$226)+COUNTIF('7月'!AW14:AX14,R$226)+COUNTIF('7月'!BB14:BC14,R$226)+COUNTIF('7月'!BG14:BH14,R$226)+COUNTIF('7月'!BL14:BM14,R$226)+COUNTIF('7月'!BQ14:BR14,R$226)+COUNTIF('7月'!BV14:BW14,R$226)+COUNTIF('7月'!CA14:CB14,R$226)+COUNTIF('7月'!CF14:CG14,R$226)+COUNTIF('7月'!CK14:CL14,R$226)+COUNTIF('7月'!CP14:CQ14,R$226)+COUNTIF('7月'!CU14:CV14,R$226)+COUNTIF('7月'!CZ14:DA14,R$226)+COUNTIF('7月'!DE14:DF14,R$226)+COUNTIF('7月'!DJ14:DK14,R$226)+COUNTIF('7月'!DO14:DP14,R$226)+COUNTIF('7月'!DT14:DU14,R$226)+COUNTIF('7月'!DY14:DZ14,R$226)+COUNTIF('7月'!ED14:EE14,R$226)+COUNTIF('7月'!EI14:EJ14,R$226)+COUNTIF('7月'!EN14:EO14,R$226)+COUNTIF('7月'!ES14:ET14,R$226)</f>
        <v>0</v>
      </c>
      <c r="S238" s="76">
        <f t="shared" si="80"/>
        <v>0</v>
      </c>
      <c r="T238" s="76">
        <f>COUNTIF('7月'!D14:E14,T$226)+COUNTIF('7月'!I14:J14,T$226)+COUNTIF('7月'!N14:O14,T$226)+COUNTIF('7月'!S14:T14,T$226)+COUNTIF('7月'!X14:Y14,T$226)+COUNTIF('7月'!AC14:AD14,T$226)+COUNTIF('7月'!AH14:AI14,T$226)+COUNTIF('7月'!AM14:AN14,T$226)+COUNTIF('7月'!AR14:AS14,T$226)+COUNTIF('7月'!AW14:AX14,T$226)+COUNTIF('7月'!BB14:BC14,T$226)+COUNTIF('7月'!BG14:BH14,T$226)+COUNTIF('7月'!BL14:BM14,T$226)+COUNTIF('7月'!BQ14:BR14,T$226)+COUNTIF('7月'!BV14:BW14,T$226)+COUNTIF('7月'!CA14:CB14,T$226)+COUNTIF('7月'!CF14:CG14,T$226)+COUNTIF('7月'!CK14:CL14,T$226)+COUNTIF('7月'!CP14:CQ14,T$226)+COUNTIF('7月'!CU14:CV14,T$226)+COUNTIF('7月'!CZ14:DA14,T$226)+COUNTIF('7月'!DE14:DF14,T$226)+COUNTIF('7月'!DJ14:DK14,T$226)+COUNTIF('7月'!DO14:DP14,T$226)+COUNTIF('7月'!DT14:DU14,T$226)+COUNTIF('7月'!DY14:DZ14,T$226)+COUNTIF('7月'!ED14:EE14,T$226)+COUNTIF('7月'!EI14:EJ14,T$226)+COUNTIF('7月'!EN14:EO14,T$226)+COUNTIF('7月'!ES14:ET14,T$226)</f>
        <v>0</v>
      </c>
      <c r="U238" s="76">
        <f t="shared" si="81"/>
        <v>0</v>
      </c>
      <c r="V238" s="76">
        <f>COUNTIF('7月'!D14:E14,V$226)+COUNTIF('7月'!I14:J14,V$226)+COUNTIF('7月'!N14:O14,V$226)+COUNTIF('7月'!S14:T14,V$226)+COUNTIF('7月'!X14:Y14,V$226)+COUNTIF('7月'!AC14:AD14,V$226)+COUNTIF('7月'!AH14:AI14,V$226)+COUNTIF('7月'!AM14:AN14,V$226)+COUNTIF('7月'!AR14:AS14,V$226)+COUNTIF('7月'!AW14:AX14,V$226)+COUNTIF('7月'!BB14:BC14,V$226)+COUNTIF('7月'!BG14:BH14,V$226)+COUNTIF('7月'!BL14:BM14,V$226)+COUNTIF('7月'!BQ14:BR14,V$226)+COUNTIF('7月'!BV14:BW14,V$226)+COUNTIF('7月'!CA14:CB14,V$226)+COUNTIF('7月'!CF14:CG14,V$226)+COUNTIF('7月'!CK14:CL14,V$226)+COUNTIF('7月'!CP14:CQ14,V$226)+COUNTIF('7月'!CU14:CV14,V$226)+COUNTIF('7月'!CZ14:DA14,V$226)+COUNTIF('7月'!DE14:DF14,V$226)+COUNTIF('7月'!DJ14:DK14,V$226)+COUNTIF('7月'!DO14:DP14,V$226)+COUNTIF('7月'!DT14:DU14,V$226)+COUNTIF('7月'!DY14:DZ14,V$226)+COUNTIF('7月'!ED14:EE14,V$226)+COUNTIF('7月'!EI14:EJ14,V$226)+COUNTIF('7月'!EN14:EO14,V$226)+COUNTIF('7月'!ES14:ET14,V$226)</f>
        <v>0</v>
      </c>
      <c r="W238" s="76">
        <f t="shared" si="82"/>
        <v>0</v>
      </c>
      <c r="X238" s="76">
        <f>COUNTIF('7月'!D14:E14,X$226)+COUNTIF('7月'!I14:J14,X$226)+COUNTIF('7月'!N14:O14,X$226)+COUNTIF('7月'!S14:T14,X$226)+COUNTIF('7月'!X14:Y14,X$226)+COUNTIF('7月'!AC14:AD14,X$226)+COUNTIF('7月'!AH14:AI14,X$226)+COUNTIF('7月'!AM14:AN14,X$226)+COUNTIF('7月'!AR14:AS14,X$226)+COUNTIF('7月'!AW14:AX14,X$226)+COUNTIF('7月'!BB14:BC14,X$226)+COUNTIF('7月'!BG14:BH14,X$226)+COUNTIF('7月'!BL14:BM14,X$226)+COUNTIF('7月'!BQ14:BR14,X$226)+COUNTIF('7月'!BV14:BW14,X$226)+COUNTIF('7月'!CA14:CB14,X$226)+COUNTIF('7月'!CF14:CG14,X$226)+COUNTIF('7月'!CK14:CL14,X$226)+COUNTIF('7月'!CP14:CQ14,X$226)+COUNTIF('7月'!CU14:CV14,X$226)+COUNTIF('7月'!CZ14:DA14,X$226)+COUNTIF('7月'!DE14:DF14,X$226)+COUNTIF('7月'!DJ14:DK14,X$226)+COUNTIF('7月'!DO14:DP14,X$226)+COUNTIF('7月'!DT14:DU14,X$226)+COUNTIF('7月'!DY14:DZ14,X$226)+COUNTIF('7月'!ED14:EE14,X$226)+COUNTIF('7月'!EI14:EJ14,X$226)+COUNTIF('7月'!EN14:EO14,X$226)+COUNTIF('7月'!ES14:ET14,X$226)</f>
        <v>0</v>
      </c>
      <c r="Y238" s="76">
        <f t="shared" si="83"/>
        <v>0</v>
      </c>
    </row>
    <row r="239" spans="1:25" ht="18" customHeight="1">
      <c r="A239" s="76">
        <v>12</v>
      </c>
      <c r="B239" s="76">
        <f>COUNTIF('7月'!D15:E15,B$226)+COUNTIF('7月'!I15:J15,B$226)+COUNTIF('7月'!N15:O15,B$226)+COUNTIF('7月'!S15:T15,B$226)+COUNTIF('7月'!X15:Y15,B$226)+COUNTIF('7月'!AC15:AD15,B$226)+COUNTIF('7月'!AH15:AI15,B$226)+COUNTIF('7月'!AM15:AN15,B$226)+COUNTIF('7月'!AR15:AS15,B$226)+COUNTIF('7月'!AW15:AX15,B$226)+COUNTIF('7月'!BB15:BC15,B$226)+COUNTIF('7月'!BG15:BH15,B$226)+COUNTIF('7月'!BL15:BM15,B$226)+COUNTIF('7月'!BQ15:BR15,B$226)+COUNTIF('7月'!BV15:BW15,B$226)+COUNTIF('7月'!CA15:CB15,B$226)+COUNTIF('7月'!CF15:CG15,B$226)+COUNTIF('7月'!CK15:CL15,B$226)+COUNTIF('7月'!CP15:CQ15,B$226)+COUNTIF('7月'!CU15:CV15,B$226)+COUNTIF('7月'!CZ15:DA15,B$226)+COUNTIF('7月'!DE15:DF15,B$226)+COUNTIF('7月'!DJ15:DK15,B$226)+COUNTIF('7月'!DO15:DP15,B$226)+COUNTIF('7月'!DT15:DU15,B$226)+COUNTIF('7月'!DY15:DZ15,B$226)+COUNTIF('7月'!ED15:EE15,B$226)+COUNTIF('7月'!EI15:EJ15,B$226)+COUNTIF('7月'!EN15:EO15,B$226)+COUNTIF('7月'!ES15:ET15,B$226)</f>
        <v>0</v>
      </c>
      <c r="C239" s="76">
        <f t="shared" si="72"/>
        <v>0</v>
      </c>
      <c r="D239" s="76">
        <f>COUNTIF('7月'!D15:E15,D$226)+COUNTIF('7月'!I15:J15,D$226)+COUNTIF('7月'!N15:O15,D$226)+COUNTIF('7月'!S15:T15,D$226)+COUNTIF('7月'!X15:Y15,D$226)+COUNTIF('7月'!AC15:AD15,D$226)+COUNTIF('7月'!AH15:AI15,D$226)+COUNTIF('7月'!AM15:AN15,D$226)+COUNTIF('7月'!AR15:AS15,D$226)+COUNTIF('7月'!AW15:AX15,D$226)+COUNTIF('7月'!BB15:BC15,D$226)+COUNTIF('7月'!BG15:BH15,D$226)+COUNTIF('7月'!BL15:BM15,D$226)+COUNTIF('7月'!BQ15:BR15,D$226)+COUNTIF('7月'!BV15:BW15,D$226)+COUNTIF('7月'!CA15:CB15,D$226)+COUNTIF('7月'!CF15:CG15,D$226)+COUNTIF('7月'!CK15:CL15,D$226)+COUNTIF('7月'!CP15:CQ15,D$226)+COUNTIF('7月'!CU15:CV15,D$226)+COUNTIF('7月'!CZ15:DA15,D$226)+COUNTIF('7月'!DE15:DF15,D$226)+COUNTIF('7月'!DJ15:DK15,D$226)+COUNTIF('7月'!DO15:DP15,D$226)+COUNTIF('7月'!DT15:DU15,D$226)+COUNTIF('7月'!DY15:DZ15,D$226)+COUNTIF('7月'!ED15:EE15,D$226)+COUNTIF('7月'!EI15:EJ15,D$226)+COUNTIF('7月'!EN15:EO15,D$226)+COUNTIF('7月'!ES15:ET15,D$226)</f>
        <v>0</v>
      </c>
      <c r="E239" s="76">
        <f t="shared" si="73"/>
        <v>0</v>
      </c>
      <c r="F239" s="76">
        <f>COUNTIF('7月'!D15:E15,F$226)+COUNTIF('7月'!I15:J15,F$226)+COUNTIF('7月'!N15:O15,F$226)+COUNTIF('7月'!S15:T15,F$226)+COUNTIF('7月'!X15:Y15,F$226)+COUNTIF('7月'!AC15:AD15,F$226)+COUNTIF('7月'!AH15:AI15,F$226)+COUNTIF('7月'!AM15:AN15,F$226)+COUNTIF('7月'!AR15:AS15,F$226)+COUNTIF('7月'!AW15:AX15,F$226)+COUNTIF('7月'!BB15:BC15,F$226)+COUNTIF('7月'!BG15:BH15,F$226)+COUNTIF('7月'!BL15:BM15,F$226)+COUNTIF('7月'!BQ15:BR15,F$226)+COUNTIF('7月'!BV15:BW15,F$226)+COUNTIF('7月'!CA15:CB15,F$226)+COUNTIF('7月'!CF15:CG15,F$226)+COUNTIF('7月'!CK15:CL15,F$226)+COUNTIF('7月'!CP15:CQ15,F$226)+COUNTIF('7月'!CU15:CV15,F$226)+COUNTIF('7月'!CZ15:DA15,F$226)+COUNTIF('7月'!DE15:DF15,F$226)+COUNTIF('7月'!DJ15:DK15,F$226)+COUNTIF('7月'!DO15:DP15,F$226)+COUNTIF('7月'!DT15:DU15,F$226)+COUNTIF('7月'!DY15:DZ15,F$226)+COUNTIF('7月'!ED15:EE15,F$226)+COUNTIF('7月'!EI15:EJ15,F$226)+COUNTIF('7月'!EN15:EO15,F$226)+COUNTIF('7月'!ES15:ET15,F$226)</f>
        <v>0</v>
      </c>
      <c r="G239" s="76">
        <f t="shared" si="74"/>
        <v>0</v>
      </c>
      <c r="H239" s="76">
        <f>COUNTIF('7月'!D15:E15,H$226)+COUNTIF('7月'!I15:J15,H$226)+COUNTIF('7月'!N15:O15,H$226)+COUNTIF('7月'!S15:T15,H$226)+COUNTIF('7月'!X15:Y15,H$226)+COUNTIF('7月'!AC15:AD15,H$226)+COUNTIF('7月'!AH15:AI15,H$226)+COUNTIF('7月'!AM15:AN15,H$226)+COUNTIF('7月'!AR15:AS15,H$226)+COUNTIF('7月'!AW15:AX15,H$226)+COUNTIF('7月'!BB15:BC15,H$226)+COUNTIF('7月'!BG15:BH15,H$226)+COUNTIF('7月'!BL15:BM15,H$226)+COUNTIF('7月'!BQ15:BR15,H$226)+COUNTIF('7月'!BV15:BW15,H$226)+COUNTIF('7月'!CA15:CB15,H$226)+COUNTIF('7月'!CF15:CG15,H$226)+COUNTIF('7月'!CK15:CL15,H$226)+COUNTIF('7月'!CP15:CQ15,H$226)+COUNTIF('7月'!CU15:CV15,H$226)+COUNTIF('7月'!CZ15:DA15,H$226)+COUNTIF('7月'!DE15:DF15,H$226)+COUNTIF('7月'!DJ15:DK15,H$226)+COUNTIF('7月'!DO15:DP15,H$226)+COUNTIF('7月'!DT15:DU15,H$226)+COUNTIF('7月'!DY15:DZ15,H$226)+COUNTIF('7月'!ED15:EE15,H$226)+COUNTIF('7月'!EI15:EJ15,H$226)+COUNTIF('7月'!EN15:EO15,H$226)+COUNTIF('7月'!ES15:ET15,H$226)+COUNTIF('7月'!D15:E15,"渋谷-夜勤")+COUNTIF('7月'!I15:J15,"渋谷-夜勤")+COUNTIF('7月'!N15:O15,"渋谷-夜勤")+COUNTIF('7月'!S15:T15,"渋谷-夜勤")+COUNTIF('7月'!X15:Y15,"渋谷-夜勤")+COUNTIF('7月'!AC15:AD15,"渋谷-夜勤")+COUNTIF('7月'!AH15:AI15,"渋谷-夜勤")+COUNTIF('7月'!AM15:AN15,"渋谷-夜勤")+COUNTIF('7月'!AR15:AS15,"渋谷-夜勤")+COUNTIF('7月'!AW15:AX15,"渋谷-夜勤")+COUNTIF('7月'!BB15:BC15,"渋谷-夜勤")+COUNTIF('7月'!BG15:BH15,"渋谷-夜勤")+COUNTIF('7月'!BL15:BM15,"渋谷-夜勤")+COUNTIF('7月'!BQ15:BR15,"渋谷-夜勤")+COUNTIF('7月'!BV15:BW15,"渋谷-夜勤")+COUNTIF('7月'!CA15:CB15,"渋谷-夜勤")+COUNTIF('7月'!CF15:CG15,"渋谷-夜勤")+COUNTIF('7月'!CK15:CL15,"渋谷-夜勤")+COUNTIF('7月'!CP15:CQ15,"渋谷-夜勤")+COUNTIF('7月'!CU15:CV15,"渋谷-夜勤")+COUNTIF('7月'!CZ15:DA15,"渋谷-夜勤")+COUNTIF('7月'!DE15:DF15,"渋谷-夜勤")+COUNTIF('7月'!DJ15:DK15,"渋谷-夜勤")+COUNTIF('7月'!DO15:DP15,"渋谷-夜勤")+COUNTIF('7月'!DT15:DU15,"渋谷-夜勤")+COUNTIF('7月'!DY15:DZ15,"渋谷-夜勤")+COUNTIF('7月'!ED15:EE15,"渋谷-夜勤")+COUNTIF('7月'!EI15:EJ15,"渋谷-夜勤")+COUNTIF('7月'!EN15:EO15,"渋谷-夜勤")+COUNTIF('7月'!ES15:ET15,"渋谷-夜勤")</f>
        <v>0</v>
      </c>
      <c r="I239" s="76">
        <f t="shared" si="75"/>
        <v>0</v>
      </c>
      <c r="J239" s="76">
        <f>COUNTIF('7月'!D15:E15,J$226)+COUNTIF('7月'!I15:J15,J$226)+COUNTIF('7月'!N15:O15,J$226)+COUNTIF('7月'!S15:T15,J$226)+COUNTIF('7月'!X15:Y15,J$226)+COUNTIF('7月'!AC15:AD15,J$226)+COUNTIF('7月'!AH15:AI15,J$226)+COUNTIF('7月'!AM15:AN15,J$226)+COUNTIF('7月'!AR15:AS15,J$226)+COUNTIF('7月'!AW15:AX15,J$226)+COUNTIF('7月'!BB15:BC15,J$226)+COUNTIF('7月'!BG15:BH15,J$226)+COUNTIF('7月'!BL15:BM15,J$226)+COUNTIF('7月'!BQ15:BR15,J$226)+COUNTIF('7月'!BV15:BW15,J$226)+COUNTIF('7月'!CA15:CB15,J$226)+COUNTIF('7月'!CF15:CG15,J$226)+COUNTIF('7月'!CK15:CL15,J$226)+COUNTIF('7月'!CP15:CQ15,J$226)+COUNTIF('7月'!CU15:CV15,J$226)+COUNTIF('7月'!CZ15:DA15,J$226)+COUNTIF('7月'!DE15:DF15,J$226)+COUNTIF('7月'!DJ15:DK15,J$226)+COUNTIF('7月'!DO15:DP15,J$226)+COUNTIF('7月'!DT15:DU15,J$226)+COUNTIF('7月'!DY15:DZ15,J$226)+COUNTIF('7月'!ED15:EE15,J$226)+COUNTIF('7月'!EI15:EJ15,J$226)+COUNTIF('7月'!EN15:EO15,J$226)+COUNTIF('7月'!ES15:ET15,J$226)+COUNTIF('7月'!D15:E15,"六本木-夜勤")+COUNTIF('7月'!I15:J15,"六本木-夜勤")+COUNTIF('7月'!N15:O15,"六本木-夜勤")+COUNTIF('7月'!S15:T15,"六本木-夜勤")+COUNTIF('7月'!X15:Y15,"六本木-夜勤")+COUNTIF('7月'!AC15:AD15,"六本木-夜勤")+COUNTIF('7月'!AH15:AI15,"六本木-夜勤")+COUNTIF('7月'!AM15:AN15,"六本木-夜勤")+COUNTIF('7月'!AR15:AS15,"六本木-夜勤")+COUNTIF('7月'!AW15:AX15,"六本木-夜勤")+COUNTIF('7月'!BB15:BC15,"六本木-夜勤")+COUNTIF('7月'!BG15:BH15,"六本木-夜勤")+COUNTIF('7月'!BL15:BM15,"六本木-夜勤")+COUNTIF('7月'!BQ15:BR15,"六本木-夜勤")+COUNTIF('7月'!BV15:BW15,"六本木-夜勤")+COUNTIF('7月'!CA15:CB15,"六本木-夜勤")+COUNTIF('7月'!CF15:CG15,"六本木-夜勤")+COUNTIF('7月'!CK15:CL15,"六本木-夜勤")+COUNTIF('7月'!CP15:CQ15,"六本木-夜勤")+COUNTIF('7月'!CU15:CV15,"六本木-夜勤")+COUNTIF('7月'!CZ15:DA15,"六本木-夜勤")+COUNTIF('7月'!DE15:DF15,"六本木-夜勤")+COUNTIF('7月'!DJ15:DK15,"六本木-夜勤")+COUNTIF('7月'!DO15:DP15,"六本木-夜勤")+COUNTIF('7月'!DT15:DU15,"六本木-夜勤")+COUNTIF('7月'!DY15:DZ15,"六本木-夜勤")+COUNTIF('7月'!ED15:EE15,"六本木-夜勤")+COUNTIF('7月'!EI15:EJ15,"六本木-夜勤")+COUNTIF('7月'!EN15:EO15,"六本木-夜勤")+COUNTIF('7月'!ES15:ET15,"六本木-夜勤")+COUNTIF('7月'!D15:E15,"六本木ー夜勤")+COUNTIF('7月'!I15:J15,"六本木ー夜勤")+COUNTIF('7月'!N15:O15,"六本木ー夜勤")+COUNTIF('7月'!S15:T15,"六本木ー夜勤")+COUNTIF('7月'!X15:Y15,"六本木ー夜勤")+COUNTIF('7月'!AC15:AD15,"六本木ー夜勤")+COUNTIF('7月'!AH15:AI15,"六本木ー夜勤")+COUNTIF('7月'!AM15:AN15,"六本木ー夜勤")+COUNTIF('7月'!AR15:AS15,"六本木ー夜勤")+COUNTIF('7月'!AW15:AX15,"六本木ー夜勤")+COUNTIF('7月'!BB15:BC15,"六本木ー夜勤")+COUNTIF('7月'!BG15:BH15,"六本木ー夜勤")+COUNTIF('7月'!BL15:BM15,"六本木ー夜勤")+COUNTIF('7月'!BQ15:BR15,"六本木ー夜勤")+COUNTIF('7月'!BV15:BW15,"六本木ー夜勤")+COUNTIF('7月'!CA15:CB15,"六本木ー夜勤")+COUNTIF('7月'!CF15:CG15,"六本木ー夜勤")+COUNTIF('7月'!CK15:CL15,"六本木ー夜勤")+COUNTIF('7月'!CP15:CQ15,"六本木ー夜勤")+COUNTIF('7月'!CU15:CV15,"六本木ー夜勤")+COUNTIF('7月'!CZ15:DA15,"六本木ー夜勤")+COUNTIF('7月'!DE15:DF15,"六本木ー夜勤")+COUNTIF('7月'!DJ15:DK15,"六本木ー夜勤")+COUNTIF('7月'!DO15:DP15,"六本木ー夜勤")+COUNTIF('7月'!DT15:DU15,"六本木ー夜勤")+COUNTIF('7月'!DY15:DZ15,"六本木ー夜勤")+COUNTIF('7月'!ED15:EE15,"六本木ー夜勤")+COUNTIF('7月'!EI15:EJ15,"六本木ー夜勤")+COUNTIF('7月'!EN15:EO15,"六本木ー夜勤")+COUNTIF('7月'!ES15:ET15,"六本木ー夜勤")</f>
        <v>0</v>
      </c>
      <c r="K239" s="76">
        <f t="shared" si="76"/>
        <v>0</v>
      </c>
      <c r="L239" s="76">
        <f>COUNTIF('7月'!D15:E15,L$226)+COUNTIF('7月'!I15:J15,L$226)+COUNTIF('7月'!N15:O15,L$226)+COUNTIF('7月'!S15:T15,L$226)+COUNTIF('7月'!X15:Y15,L$226)+COUNTIF('7月'!AC15:AD15,L$226)+COUNTIF('7月'!AH15:AI15,L$226)+COUNTIF('7月'!AM15:AN15,L$226)+COUNTIF('7月'!AR15:AS15,L$226)+COUNTIF('7月'!AW15:AX15,L$226)+COUNTIF('7月'!BB15:BC15,L$226)+COUNTIF('7月'!BG15:BH15,L$226)+COUNTIF('7月'!BL15:BM15,L$226)+COUNTIF('7月'!BQ15:BR15,L$226)+COUNTIF('7月'!BV15:BW15,L$226)+COUNTIF('7月'!CA15:CB15,L$226)+COUNTIF('7月'!CF15:CG15,L$226)+COUNTIF('7月'!CK15:CL15,L$226)+COUNTIF('7月'!CP15:CQ15,L$226)+COUNTIF('7月'!CU15:CV15,L$226)+COUNTIF('7月'!CZ15:DA15,L$226)+COUNTIF('7月'!DE15:DF15,L$226)+COUNTIF('7月'!DJ15:DK15,L$226)+COUNTIF('7月'!DO15:DP15,L$226)+COUNTIF('7月'!DT15:DU15,L$226)+COUNTIF('7月'!DY15:DZ15,L$226)+COUNTIF('7月'!ED15:EE15,L$226)+COUNTIF('7月'!EI15:EJ15,L$226)+COUNTIF('7月'!EN15:EO15,L$226)+COUNTIF('7月'!ES15:ET15,L$226)</f>
        <v>0</v>
      </c>
      <c r="M239" s="76">
        <f t="shared" si="77"/>
        <v>0</v>
      </c>
      <c r="N239" s="76">
        <f>COUNTIF('7月'!D15:E15,N$226)+COUNTIF('7月'!I15:J15,N$226)+COUNTIF('7月'!N15:O15,N$226)+COUNTIF('7月'!S15:T15,N$226)+COUNTIF('7月'!X15:Y15,N$226)+COUNTIF('7月'!AC15:AD15,N$226)+COUNTIF('7月'!AH15:AI15,N$226)+COUNTIF('7月'!AM15:AN15,N$226)+COUNTIF('7月'!AR15:AS15,N$226)+COUNTIF('7月'!AW15:AX15,N$226)+COUNTIF('7月'!BB15:BC15,N$226)+COUNTIF('7月'!BG15:BH15,N$226)+COUNTIF('7月'!BL15:BM15,N$226)+COUNTIF('7月'!BQ15:BR15,N$226)+COUNTIF('7月'!BV15:BW15,N$226)+COUNTIF('7月'!CA15:CB15,N$226)+COUNTIF('7月'!CF15:CG15,N$226)+COUNTIF('7月'!CK15:CL15,N$226)+COUNTIF('7月'!CP15:CQ15,N$226)+COUNTIF('7月'!CU15:CV15,N$226)+COUNTIF('7月'!CZ15:DA15,N$226)+COUNTIF('7月'!DE15:DF15,N$226)+COUNTIF('7月'!DJ15:DK15,N$226)+COUNTIF('7月'!DO15:DP15,N$226)+COUNTIF('7月'!DT15:DU15,N$226)+COUNTIF('7月'!DY15:DZ15,N$226)+COUNTIF('7月'!ED15:EE15,N$226)+COUNTIF('7月'!EI15:EJ15,N$226)+COUNTIF('7月'!EN15:EO15,N$226)+COUNTIF('7月'!ES15:ET15,N$226)+COUNTIF('7月'!D15:E15,"三軒茶屋－夜勤")+COUNTIF('7月'!I15:J15,"三軒茶屋－夜勤")+COUNTIF('7月'!N15:O15,"三軒茶屋－夜勤")+COUNTIF('7月'!S15:T15,"三軒茶屋－夜勤")+COUNTIF('7月'!X15:Y15,"三軒茶屋－夜勤")+COUNTIF('7月'!AC15:AD15,"三軒茶屋－夜勤")+COUNTIF('7月'!AH15:AI15,"三軒茶屋－夜勤")+COUNTIF('7月'!AM15:AN15,"三軒茶屋－夜勤")+COUNTIF('7月'!AR15:AS15,"三軒茶屋－夜勤")+COUNTIF('7月'!AW15:AX15,"三軒茶屋－夜勤")+COUNTIF('7月'!BB15:BC15,"三軒茶屋－夜勤")+COUNTIF('7月'!BG15:BH15,"三軒茶屋－夜勤")+COUNTIF('7月'!BL15:BM15,"三軒茶屋－夜勤")+COUNTIF('7月'!BQ15:BR15,"三軒茶屋－夜勤")+COUNTIF('7月'!BV15:BW15,"三軒茶屋－夜勤")+COUNTIF('7月'!CA15:CB15,"三軒茶屋－夜勤")+COUNTIF('7月'!CF15:CG15,"三軒茶屋－夜勤")+COUNTIF('7月'!CK15:CL15,"三軒茶屋－夜勤")+COUNTIF('7月'!CP15:CQ15,"三軒茶屋－夜勤")+COUNTIF('7月'!CU15:CV15,"三軒茶屋－夜勤")+COUNTIF('7月'!CZ15:DA15,"三軒茶屋－夜勤")+COUNTIF('7月'!DE15:DF15,"三軒茶屋－夜勤")+COUNTIF('7月'!DJ15:DK15,"三軒茶屋－夜勤")+COUNTIF('7月'!DO15:DP15,"三軒茶屋－夜勤")+COUNTIF('7月'!DT15:DU15,"三軒茶屋－夜勤")+COUNTIF('7月'!DY15:DZ15,"三軒茶屋－夜勤")+COUNTIF('7月'!ED15:EE15,"三軒茶屋－夜勤")+COUNTIF('7月'!EI15:EJ15,"三軒茶屋－夜勤")+COUNTIF('7月'!EN15:EO15,"三軒茶屋－夜勤")+COUNTIF('7月'!ES15:ET15,"三軒茶屋－夜勤")</f>
        <v>0</v>
      </c>
      <c r="O239" s="76">
        <f t="shared" si="78"/>
        <v>0</v>
      </c>
      <c r="P239" s="76">
        <f>COUNTIF('7月'!D15:E15,P$226)+COUNTIF('7月'!I15:J15,P$226)+COUNTIF('7月'!N15:O15,P$226)+COUNTIF('7月'!S15:T15,P$226)+COUNTIF('7月'!X15:Y15,P$226)+COUNTIF('7月'!AC15:AD15,P$226)+COUNTIF('7月'!AH15:AI15,P$226)+COUNTIF('7月'!AM15:AN15,P$226)+COUNTIF('7月'!AR15:AS15,P$226)+COUNTIF('7月'!AW15:AX15,P$226)+COUNTIF('7月'!BB15:BC15,P$226)+COUNTIF('7月'!BG15:BH15,P$226)+COUNTIF('7月'!BL15:BM15,P$226)+COUNTIF('7月'!BQ15:BR15,P$226)+COUNTIF('7月'!BV15:BW15,P$226)+COUNTIF('7月'!CA15:CB15,P$226)+COUNTIF('7月'!CF15:CG15,P$226)+COUNTIF('7月'!CK15:CL15,P$226)+COUNTIF('7月'!CP15:CQ15,P$226)+COUNTIF('7月'!CU15:CV15,P$226)+COUNTIF('7月'!CZ15:DA15,P$226)+COUNTIF('7月'!DE15:DF15,P$226)+COUNTIF('7月'!DJ15:DK15,P$226)+COUNTIF('7月'!DO15:DP15,P$226)+COUNTIF('7月'!DT15:DU15,P$226)+COUNTIF('7月'!DY15:DZ15,P$226)+COUNTIF('7月'!ED15:EE15,P$226)+COUNTIF('7月'!EI15:EJ15,P$226)+COUNTIF('7月'!EN15:EO15,P$226)+COUNTIF('7月'!ES15:ET15,P$226)+COUNTIF('7月'!D15:E15,"荻窪ー夜勤")+COUNTIF('7月'!I15:J15,"荻窪ー夜勤")+COUNTIF('7月'!N15:O15,"荻窪ー夜勤")+COUNTIF('7月'!S15:T15,"荻窪ー夜勤")+COUNTIF('7月'!X15:Y15,"荻窪ー夜勤")+COUNTIF('7月'!AC15:AD15,"荻窪ー夜勤")+COUNTIF('7月'!AH15:AI15,"荻窪ー夜勤")+COUNTIF('7月'!AM15:AN15,"荻窪ー夜勤")+COUNTIF('7月'!AR15:AS15,"荻窪ー夜勤")+COUNTIF('7月'!AW15:AX15,"荻窪ー夜勤")+COUNTIF('7月'!BB15:BC15,"荻窪ー夜勤")+COUNTIF('7月'!BG15:BH15,"荻窪ー夜勤")+COUNTIF('7月'!BL15:BM15,"荻窪ー夜勤")+COUNTIF('7月'!BQ15:BR15,"荻窪ー夜勤")+COUNTIF('7月'!BV15:BW15,"荻窪ー夜勤")+COUNTIF('7月'!CA15:CB15,"荻窪ー夜勤")+COUNTIF('7月'!CF15:CG15,"荻窪ー夜勤")+COUNTIF('7月'!CK15:CL15,"荻窪ー夜勤")+COUNTIF('7月'!CP15:CQ15,"荻窪ー夜勤")+COUNTIF('7月'!CU15:CV15,"荻窪ー夜勤")+COUNTIF('7月'!CZ15:DA15,"荻窪ー夜勤")+COUNTIF('7月'!DE15:DF15,"荻窪ー夜勤")+COUNTIF('7月'!DJ15:DK15,"荻窪ー夜勤")+COUNTIF('7月'!DO15:DP15,"荻窪ー夜勤")+COUNTIF('7月'!DT15:DU15,"荻窪ー夜勤")+COUNTIF('7月'!DY15:DZ15,"荻窪ー夜勤")+COUNTIF('7月'!ED15:EE15,"荻窪ー夜勤")+COUNTIF('7月'!EI15:EJ15,"荻窪ー夜勤")+COUNTIF('7月'!EN15:EO15,"荻窪ー夜勤")+COUNTIF('7月'!ES15:ET15,"荻窪ー夜勤")</f>
        <v>0</v>
      </c>
      <c r="Q239" s="76">
        <f t="shared" si="79"/>
        <v>0</v>
      </c>
      <c r="R239" s="76">
        <f>COUNTIF('7月'!D15:E15,R$226)+COUNTIF('7月'!I15:J15,R$226)+COUNTIF('7月'!N15:O15,R$226)+COUNTIF('7月'!S15:T15,R$226)+COUNTIF('7月'!X15:Y15,R$226)+COUNTIF('7月'!AC15:AD15,R$226)+COUNTIF('7月'!AH15:AI15,R$226)+COUNTIF('7月'!AM15:AN15,R$226)+COUNTIF('7月'!AR15:AS15,R$226)+COUNTIF('7月'!AW15:AX15,R$226)+COUNTIF('7月'!BB15:BC15,R$226)+COUNTIF('7月'!BG15:BH15,R$226)+COUNTIF('7月'!BL15:BM15,R$226)+COUNTIF('7月'!BQ15:BR15,R$226)+COUNTIF('7月'!BV15:BW15,R$226)+COUNTIF('7月'!CA15:CB15,R$226)+COUNTIF('7月'!CF15:CG15,R$226)+COUNTIF('7月'!CK15:CL15,R$226)+COUNTIF('7月'!CP15:CQ15,R$226)+COUNTIF('7月'!CU15:CV15,R$226)+COUNTIF('7月'!CZ15:DA15,R$226)+COUNTIF('7月'!DE15:DF15,R$226)+COUNTIF('7月'!DJ15:DK15,R$226)+COUNTIF('7月'!DO15:DP15,R$226)+COUNTIF('7月'!DT15:DU15,R$226)+COUNTIF('7月'!DY15:DZ15,R$226)+COUNTIF('7月'!ED15:EE15,R$226)+COUNTIF('7月'!EI15:EJ15,R$226)+COUNTIF('7月'!EN15:EO15,R$226)+COUNTIF('7月'!ES15:ET15,R$226)</f>
        <v>0</v>
      </c>
      <c r="S239" s="76">
        <f t="shared" si="80"/>
        <v>0</v>
      </c>
      <c r="T239" s="76">
        <f>COUNTIF('7月'!D15:E15,T$226)+COUNTIF('7月'!I15:J15,T$226)+COUNTIF('7月'!N15:O15,T$226)+COUNTIF('7月'!S15:T15,T$226)+COUNTIF('7月'!X15:Y15,T$226)+COUNTIF('7月'!AC15:AD15,T$226)+COUNTIF('7月'!AH15:AI15,T$226)+COUNTIF('7月'!AM15:AN15,T$226)+COUNTIF('7月'!AR15:AS15,T$226)+COUNTIF('7月'!AW15:AX15,T$226)+COUNTIF('7月'!BB15:BC15,T$226)+COUNTIF('7月'!BG15:BH15,T$226)+COUNTIF('7月'!BL15:BM15,T$226)+COUNTIF('7月'!BQ15:BR15,T$226)+COUNTIF('7月'!BV15:BW15,T$226)+COUNTIF('7月'!CA15:CB15,T$226)+COUNTIF('7月'!CF15:CG15,T$226)+COUNTIF('7月'!CK15:CL15,T$226)+COUNTIF('7月'!CP15:CQ15,T$226)+COUNTIF('7月'!CU15:CV15,T$226)+COUNTIF('7月'!CZ15:DA15,T$226)+COUNTIF('7月'!DE15:DF15,T$226)+COUNTIF('7月'!DJ15:DK15,T$226)+COUNTIF('7月'!DO15:DP15,T$226)+COUNTIF('7月'!DT15:DU15,T$226)+COUNTIF('7月'!DY15:DZ15,T$226)+COUNTIF('7月'!ED15:EE15,T$226)+COUNTIF('7月'!EI15:EJ15,T$226)+COUNTIF('7月'!EN15:EO15,T$226)+COUNTIF('7月'!ES15:ET15,T$226)</f>
        <v>0</v>
      </c>
      <c r="U239" s="76">
        <f t="shared" si="81"/>
        <v>0</v>
      </c>
      <c r="V239" s="76">
        <f>COUNTIF('7月'!D15:E15,V$226)+COUNTIF('7月'!I15:J15,V$226)+COUNTIF('7月'!N15:O15,V$226)+COUNTIF('7月'!S15:T15,V$226)+COUNTIF('7月'!X15:Y15,V$226)+COUNTIF('7月'!AC15:AD15,V$226)+COUNTIF('7月'!AH15:AI15,V$226)+COUNTIF('7月'!AM15:AN15,V$226)+COUNTIF('7月'!AR15:AS15,V$226)+COUNTIF('7月'!AW15:AX15,V$226)+COUNTIF('7月'!BB15:BC15,V$226)+COUNTIF('7月'!BG15:BH15,V$226)+COUNTIF('7月'!BL15:BM15,V$226)+COUNTIF('7月'!BQ15:BR15,V$226)+COUNTIF('7月'!BV15:BW15,V$226)+COUNTIF('7月'!CA15:CB15,V$226)+COUNTIF('7月'!CF15:CG15,V$226)+COUNTIF('7月'!CK15:CL15,V$226)+COUNTIF('7月'!CP15:CQ15,V$226)+COUNTIF('7月'!CU15:CV15,V$226)+COUNTIF('7月'!CZ15:DA15,V$226)+COUNTIF('7月'!DE15:DF15,V$226)+COUNTIF('7月'!DJ15:DK15,V$226)+COUNTIF('7月'!DO15:DP15,V$226)+COUNTIF('7月'!DT15:DU15,V$226)+COUNTIF('7月'!DY15:DZ15,V$226)+COUNTIF('7月'!ED15:EE15,V$226)+COUNTIF('7月'!EI15:EJ15,V$226)+COUNTIF('7月'!EN15:EO15,V$226)+COUNTIF('7月'!ES15:ET15,V$226)</f>
        <v>0</v>
      </c>
      <c r="W239" s="76">
        <f t="shared" si="82"/>
        <v>0</v>
      </c>
      <c r="X239" s="76">
        <f>COUNTIF('7月'!D15:E15,X$226)+COUNTIF('7月'!I15:J15,X$226)+COUNTIF('7月'!N15:O15,X$226)+COUNTIF('7月'!S15:T15,X$226)+COUNTIF('7月'!X15:Y15,X$226)+COUNTIF('7月'!AC15:AD15,X$226)+COUNTIF('7月'!AH15:AI15,X$226)+COUNTIF('7月'!AM15:AN15,X$226)+COUNTIF('7月'!AR15:AS15,X$226)+COUNTIF('7月'!AW15:AX15,X$226)+COUNTIF('7月'!BB15:BC15,X$226)+COUNTIF('7月'!BG15:BH15,X$226)+COUNTIF('7月'!BL15:BM15,X$226)+COUNTIF('7月'!BQ15:BR15,X$226)+COUNTIF('7月'!BV15:BW15,X$226)+COUNTIF('7月'!CA15:CB15,X$226)+COUNTIF('7月'!CF15:CG15,X$226)+COUNTIF('7月'!CK15:CL15,X$226)+COUNTIF('7月'!CP15:CQ15,X$226)+COUNTIF('7月'!CU15:CV15,X$226)+COUNTIF('7月'!CZ15:DA15,X$226)+COUNTIF('7月'!DE15:DF15,X$226)+COUNTIF('7月'!DJ15:DK15,X$226)+COUNTIF('7月'!DO15:DP15,X$226)+COUNTIF('7月'!DT15:DU15,X$226)+COUNTIF('7月'!DY15:DZ15,X$226)+COUNTIF('7月'!ED15:EE15,X$226)+COUNTIF('7月'!EI15:EJ15,X$226)+COUNTIF('7月'!EN15:EO15,X$226)+COUNTIF('7月'!ES15:ET15,X$226)</f>
        <v>0</v>
      </c>
      <c r="Y239" s="76">
        <f t="shared" si="83"/>
        <v>0</v>
      </c>
    </row>
    <row r="240" spans="1:25" ht="18" customHeight="1">
      <c r="A240" s="76">
        <v>13</v>
      </c>
      <c r="B240" s="76">
        <f>COUNTIF('7月'!D16:E16,B$226)+COUNTIF('7月'!I16:J16,B$226)+COUNTIF('7月'!N16:O16,B$226)+COUNTIF('7月'!S16:T16,B$226)+COUNTIF('7月'!X16:Y16,B$226)+COUNTIF('7月'!AC16:AD16,B$226)+COUNTIF('7月'!AH16:AI16,B$226)+COUNTIF('7月'!AM16:AN16,B$226)+COUNTIF('7月'!AR16:AS16,B$226)+COUNTIF('7月'!AW16:AX16,B$226)+COUNTIF('7月'!BB16:BC16,B$226)+COUNTIF('7月'!BG16:BH16,B$226)+COUNTIF('7月'!BL16:BM16,B$226)+COUNTIF('7月'!BQ16:BR16,B$226)+COUNTIF('7月'!BV16:BW16,B$226)+COUNTIF('7月'!CA16:CB16,B$226)+COUNTIF('7月'!CF16:CG16,B$226)+COUNTIF('7月'!CK16:CL16,B$226)+COUNTIF('7月'!CP16:CQ16,B$226)+COUNTIF('7月'!CU16:CV16,B$226)+COUNTIF('7月'!CZ16:DA16,B$226)+COUNTIF('7月'!DE16:DF16,B$226)+COUNTIF('7月'!DJ16:DK16,B$226)+COUNTIF('7月'!DO16:DP16,B$226)+COUNTIF('7月'!DT16:DU16,B$226)+COUNTIF('7月'!DY16:DZ16,B$226)+COUNTIF('7月'!ED16:EE16,B$226)+COUNTIF('7月'!EI16:EJ16,B$226)+COUNTIF('7月'!EN16:EO16,B$226)+COUNTIF('7月'!ES16:ET16,B$226)</f>
        <v>0</v>
      </c>
      <c r="C240" s="76">
        <f t="shared" si="72"/>
        <v>0</v>
      </c>
      <c r="D240" s="76">
        <f>COUNTIF('7月'!D16:E16,D$226)+COUNTIF('7月'!I16:J16,D$226)+COUNTIF('7月'!N16:O16,D$226)+COUNTIF('7月'!S16:T16,D$226)+COUNTIF('7月'!X16:Y16,D$226)+COUNTIF('7月'!AC16:AD16,D$226)+COUNTIF('7月'!AH16:AI16,D$226)+COUNTIF('7月'!AM16:AN16,D$226)+COUNTIF('7月'!AR16:AS16,D$226)+COUNTIF('7月'!AW16:AX16,D$226)+COUNTIF('7月'!BB16:BC16,D$226)+COUNTIF('7月'!BG16:BH16,D$226)+COUNTIF('7月'!BL16:BM16,D$226)+COUNTIF('7月'!BQ16:BR16,D$226)+COUNTIF('7月'!BV16:BW16,D$226)+COUNTIF('7月'!CA16:CB16,D$226)+COUNTIF('7月'!CF16:CG16,D$226)+COUNTIF('7月'!CK16:CL16,D$226)+COUNTIF('7月'!CP16:CQ16,D$226)+COUNTIF('7月'!CU16:CV16,D$226)+COUNTIF('7月'!CZ16:DA16,D$226)+COUNTIF('7月'!DE16:DF16,D$226)+COUNTIF('7月'!DJ16:DK16,D$226)+COUNTIF('7月'!DO16:DP16,D$226)+COUNTIF('7月'!DT16:DU16,D$226)+COUNTIF('7月'!DY16:DZ16,D$226)+COUNTIF('7月'!ED16:EE16,D$226)+COUNTIF('7月'!EI16:EJ16,D$226)+COUNTIF('7月'!EN16:EO16,D$226)+COUNTIF('7月'!ES16:ET16,D$226)</f>
        <v>0</v>
      </c>
      <c r="E240" s="76">
        <f t="shared" si="73"/>
        <v>0</v>
      </c>
      <c r="F240" s="76">
        <f>COUNTIF('7月'!D16:E16,F$226)+COUNTIF('7月'!I16:J16,F$226)+COUNTIF('7月'!N16:O16,F$226)+COUNTIF('7月'!S16:T16,F$226)+COUNTIF('7月'!X16:Y16,F$226)+COUNTIF('7月'!AC16:AD16,F$226)+COUNTIF('7月'!AH16:AI16,F$226)+COUNTIF('7月'!AM16:AN16,F$226)+COUNTIF('7月'!AR16:AS16,F$226)+COUNTIF('7月'!AW16:AX16,F$226)+COUNTIF('7月'!BB16:BC16,F$226)+COUNTIF('7月'!BG16:BH16,F$226)+COUNTIF('7月'!BL16:BM16,F$226)+COUNTIF('7月'!BQ16:BR16,F$226)+COUNTIF('7月'!BV16:BW16,F$226)+COUNTIF('7月'!CA16:CB16,F$226)+COUNTIF('7月'!CF16:CG16,F$226)+COUNTIF('7月'!CK16:CL16,F$226)+COUNTIF('7月'!CP16:CQ16,F$226)+COUNTIF('7月'!CU16:CV16,F$226)+COUNTIF('7月'!CZ16:DA16,F$226)+COUNTIF('7月'!DE16:DF16,F$226)+COUNTIF('7月'!DJ16:DK16,F$226)+COUNTIF('7月'!DO16:DP16,F$226)+COUNTIF('7月'!DT16:DU16,F$226)+COUNTIF('7月'!DY16:DZ16,F$226)+COUNTIF('7月'!ED16:EE16,F$226)+COUNTIF('7月'!EI16:EJ16,F$226)+COUNTIF('7月'!EN16:EO16,F$226)+COUNTIF('7月'!ES16:ET16,F$226)</f>
        <v>0</v>
      </c>
      <c r="G240" s="76">
        <f t="shared" si="74"/>
        <v>0</v>
      </c>
      <c r="H240" s="76">
        <f>COUNTIF('7月'!D16:E16,H$226)+COUNTIF('7月'!I16:J16,H$226)+COUNTIF('7月'!N16:O16,H$226)+COUNTIF('7月'!S16:T16,H$226)+COUNTIF('7月'!X16:Y16,H$226)+COUNTIF('7月'!AC16:AD16,H$226)+COUNTIF('7月'!AH16:AI16,H$226)+COUNTIF('7月'!AM16:AN16,H$226)+COUNTIF('7月'!AR16:AS16,H$226)+COUNTIF('7月'!AW16:AX16,H$226)+COUNTIF('7月'!BB16:BC16,H$226)+COUNTIF('7月'!BG16:BH16,H$226)+COUNTIF('7月'!BL16:BM16,H$226)+COUNTIF('7月'!BQ16:BR16,H$226)+COUNTIF('7月'!BV16:BW16,H$226)+COUNTIF('7月'!CA16:CB16,H$226)+COUNTIF('7月'!CF16:CG16,H$226)+COUNTIF('7月'!CK16:CL16,H$226)+COUNTIF('7月'!CP16:CQ16,H$226)+COUNTIF('7月'!CU16:CV16,H$226)+COUNTIF('7月'!CZ16:DA16,H$226)+COUNTIF('7月'!DE16:DF16,H$226)+COUNTIF('7月'!DJ16:DK16,H$226)+COUNTIF('7月'!DO16:DP16,H$226)+COUNTIF('7月'!DT16:DU16,H$226)+COUNTIF('7月'!DY16:DZ16,H$226)+COUNTIF('7月'!ED16:EE16,H$226)+COUNTIF('7月'!EI16:EJ16,H$226)+COUNTIF('7月'!EN16:EO16,H$226)+COUNTIF('7月'!ES16:ET16,H$226)+COUNTIF('7月'!D16:E16,"渋谷-夜勤")+COUNTIF('7月'!I16:J16,"渋谷-夜勤")+COUNTIF('7月'!N16:O16,"渋谷-夜勤")+COUNTIF('7月'!S16:T16,"渋谷-夜勤")+COUNTIF('7月'!X16:Y16,"渋谷-夜勤")+COUNTIF('7月'!AC16:AD16,"渋谷-夜勤")+COUNTIF('7月'!AH16:AI16,"渋谷-夜勤")+COUNTIF('7月'!AM16:AN16,"渋谷-夜勤")+COUNTIF('7月'!AR16:AS16,"渋谷-夜勤")+COUNTIF('7月'!AW16:AX16,"渋谷-夜勤")+COUNTIF('7月'!BB16:BC16,"渋谷-夜勤")+COUNTIF('7月'!BG16:BH16,"渋谷-夜勤")+COUNTIF('7月'!BL16:BM16,"渋谷-夜勤")+COUNTIF('7月'!BQ16:BR16,"渋谷-夜勤")+COUNTIF('7月'!BV16:BW16,"渋谷-夜勤")+COUNTIF('7月'!CA16:CB16,"渋谷-夜勤")+COUNTIF('7月'!CF16:CG16,"渋谷-夜勤")+COUNTIF('7月'!CK16:CL16,"渋谷-夜勤")+COUNTIF('7月'!CP16:CQ16,"渋谷-夜勤")+COUNTIF('7月'!CU16:CV16,"渋谷-夜勤")+COUNTIF('7月'!CZ16:DA16,"渋谷-夜勤")+COUNTIF('7月'!DE16:DF16,"渋谷-夜勤")+COUNTIF('7月'!DJ16:DK16,"渋谷-夜勤")+COUNTIF('7月'!DO16:DP16,"渋谷-夜勤")+COUNTIF('7月'!DT16:DU16,"渋谷-夜勤")+COUNTIF('7月'!DY16:DZ16,"渋谷-夜勤")+COUNTIF('7月'!ED16:EE16,"渋谷-夜勤")+COUNTIF('7月'!EI16:EJ16,"渋谷-夜勤")+COUNTIF('7月'!EN16:EO16,"渋谷-夜勤")+COUNTIF('7月'!ES16:ET16,"渋谷-夜勤")</f>
        <v>0</v>
      </c>
      <c r="I240" s="76">
        <f t="shared" si="75"/>
        <v>0</v>
      </c>
      <c r="J240" s="76">
        <f>COUNTIF('7月'!D16:E16,J$226)+COUNTIF('7月'!I16:J16,J$226)+COUNTIF('7月'!N16:O16,J$226)+COUNTIF('7月'!S16:T16,J$226)+COUNTIF('7月'!X16:Y16,J$226)+COUNTIF('7月'!AC16:AD16,J$226)+COUNTIF('7月'!AH16:AI16,J$226)+COUNTIF('7月'!AM16:AN16,J$226)+COUNTIF('7月'!AR16:AS16,J$226)+COUNTIF('7月'!AW16:AX16,J$226)+COUNTIF('7月'!BB16:BC16,J$226)+COUNTIF('7月'!BG16:BH16,J$226)+COUNTIF('7月'!BL16:BM16,J$226)+COUNTIF('7月'!BQ16:BR16,J$226)+COUNTIF('7月'!BV16:BW16,J$226)+COUNTIF('7月'!CA16:CB16,J$226)+COUNTIF('7月'!CF16:CG16,J$226)+COUNTIF('7月'!CK16:CL16,J$226)+COUNTIF('7月'!CP16:CQ16,J$226)+COUNTIF('7月'!CU16:CV16,J$226)+COUNTIF('7月'!CZ16:DA16,J$226)+COUNTIF('7月'!DE16:DF16,J$226)+COUNTIF('7月'!DJ16:DK16,J$226)+COUNTIF('7月'!DO16:DP16,J$226)+COUNTIF('7月'!DT16:DU16,J$226)+COUNTIF('7月'!DY16:DZ16,J$226)+COUNTIF('7月'!ED16:EE16,J$226)+COUNTIF('7月'!EI16:EJ16,J$226)+COUNTIF('7月'!EN16:EO16,J$226)+COUNTIF('7月'!ES16:ET16,J$226)+COUNTIF('7月'!D16:E16,"六本木-夜勤")+COUNTIF('7月'!I16:J16,"六本木-夜勤")+COUNTIF('7月'!N16:O16,"六本木-夜勤")+COUNTIF('7月'!S16:T16,"六本木-夜勤")+COUNTIF('7月'!X16:Y16,"六本木-夜勤")+COUNTIF('7月'!AC16:AD16,"六本木-夜勤")+COUNTIF('7月'!AH16:AI16,"六本木-夜勤")+COUNTIF('7月'!AM16:AN16,"六本木-夜勤")+COUNTIF('7月'!AR16:AS16,"六本木-夜勤")+COUNTIF('7月'!AW16:AX16,"六本木-夜勤")+COUNTIF('7月'!BB16:BC16,"六本木-夜勤")+COUNTIF('7月'!BG16:BH16,"六本木-夜勤")+COUNTIF('7月'!BL16:BM16,"六本木-夜勤")+COUNTIF('7月'!BQ16:BR16,"六本木-夜勤")+COUNTIF('7月'!BV16:BW16,"六本木-夜勤")+COUNTIF('7月'!CA16:CB16,"六本木-夜勤")+COUNTIF('7月'!CF16:CG16,"六本木-夜勤")+COUNTIF('7月'!CK16:CL16,"六本木-夜勤")+COUNTIF('7月'!CP16:CQ16,"六本木-夜勤")+COUNTIF('7月'!CU16:CV16,"六本木-夜勤")+COUNTIF('7月'!CZ16:DA16,"六本木-夜勤")+COUNTIF('7月'!DE16:DF16,"六本木-夜勤")+COUNTIF('7月'!DJ16:DK16,"六本木-夜勤")+COUNTIF('7月'!DO16:DP16,"六本木-夜勤")+COUNTIF('7月'!DT16:DU16,"六本木-夜勤")+COUNTIF('7月'!DY16:DZ16,"六本木-夜勤")+COUNTIF('7月'!ED16:EE16,"六本木-夜勤")+COUNTIF('7月'!EI16:EJ16,"六本木-夜勤")+COUNTIF('7月'!EN16:EO16,"六本木-夜勤")+COUNTIF('7月'!ES16:ET16,"六本木-夜勤")+COUNTIF('7月'!D16:E16,"六本木ー夜勤")+COUNTIF('7月'!I16:J16,"六本木ー夜勤")+COUNTIF('7月'!N16:O16,"六本木ー夜勤")+COUNTIF('7月'!S16:T16,"六本木ー夜勤")+COUNTIF('7月'!X16:Y16,"六本木ー夜勤")+COUNTIF('7月'!AC16:AD16,"六本木ー夜勤")+COUNTIF('7月'!AH16:AI16,"六本木ー夜勤")+COUNTIF('7月'!AM16:AN16,"六本木ー夜勤")+COUNTIF('7月'!AR16:AS16,"六本木ー夜勤")+COUNTIF('7月'!AW16:AX16,"六本木ー夜勤")+COUNTIF('7月'!BB16:BC16,"六本木ー夜勤")+COUNTIF('7月'!BG16:BH16,"六本木ー夜勤")+COUNTIF('7月'!BL16:BM16,"六本木ー夜勤")+COUNTIF('7月'!BQ16:BR16,"六本木ー夜勤")+COUNTIF('7月'!BV16:BW16,"六本木ー夜勤")+COUNTIF('7月'!CA16:CB16,"六本木ー夜勤")+COUNTIF('7月'!CF16:CG16,"六本木ー夜勤")+COUNTIF('7月'!CK16:CL16,"六本木ー夜勤")+COUNTIF('7月'!CP16:CQ16,"六本木ー夜勤")+COUNTIF('7月'!CU16:CV16,"六本木ー夜勤")+COUNTIF('7月'!CZ16:DA16,"六本木ー夜勤")+COUNTIF('7月'!DE16:DF16,"六本木ー夜勤")+COUNTIF('7月'!DJ16:DK16,"六本木ー夜勤")+COUNTIF('7月'!DO16:DP16,"六本木ー夜勤")+COUNTIF('7月'!DT16:DU16,"六本木ー夜勤")+COUNTIF('7月'!DY16:DZ16,"六本木ー夜勤")+COUNTIF('7月'!ED16:EE16,"六本木ー夜勤")+COUNTIF('7月'!EI16:EJ16,"六本木ー夜勤")+COUNTIF('7月'!EN16:EO16,"六本木ー夜勤")+COUNTIF('7月'!ES16:ET16,"六本木ー夜勤")</f>
        <v>0</v>
      </c>
      <c r="K240" s="76">
        <f t="shared" si="76"/>
        <v>0</v>
      </c>
      <c r="L240" s="76">
        <f>COUNTIF('7月'!D16:E16,L$226)+COUNTIF('7月'!I16:J16,L$226)+COUNTIF('7月'!N16:O16,L$226)+COUNTIF('7月'!S16:T16,L$226)+COUNTIF('7月'!X16:Y16,L$226)+COUNTIF('7月'!AC16:AD16,L$226)+COUNTIF('7月'!AH16:AI16,L$226)+COUNTIF('7月'!AM16:AN16,L$226)+COUNTIF('7月'!AR16:AS16,L$226)+COUNTIF('7月'!AW16:AX16,L$226)+COUNTIF('7月'!BB16:BC16,L$226)+COUNTIF('7月'!BG16:BH16,L$226)+COUNTIF('7月'!BL16:BM16,L$226)+COUNTIF('7月'!BQ16:BR16,L$226)+COUNTIF('7月'!BV16:BW16,L$226)+COUNTIF('7月'!CA16:CB16,L$226)+COUNTIF('7月'!CF16:CG16,L$226)+COUNTIF('7月'!CK16:CL16,L$226)+COUNTIF('7月'!CP16:CQ16,L$226)+COUNTIF('7月'!CU16:CV16,L$226)+COUNTIF('7月'!CZ16:DA16,L$226)+COUNTIF('7月'!DE16:DF16,L$226)+COUNTIF('7月'!DJ16:DK16,L$226)+COUNTIF('7月'!DO16:DP16,L$226)+COUNTIF('7月'!DT16:DU16,L$226)+COUNTIF('7月'!DY16:DZ16,L$226)+COUNTIF('7月'!ED16:EE16,L$226)+COUNTIF('7月'!EI16:EJ16,L$226)+COUNTIF('7月'!EN16:EO16,L$226)+COUNTIF('7月'!ES16:ET16,L$226)</f>
        <v>0</v>
      </c>
      <c r="M240" s="76">
        <f t="shared" si="77"/>
        <v>0</v>
      </c>
      <c r="N240" s="76">
        <f>COUNTIF('7月'!D16:E16,N$226)+COUNTIF('7月'!I16:J16,N$226)+COUNTIF('7月'!N16:O16,N$226)+COUNTIF('7月'!S16:T16,N$226)+COUNTIF('7月'!X16:Y16,N$226)+COUNTIF('7月'!AC16:AD16,N$226)+COUNTIF('7月'!AH16:AI16,N$226)+COUNTIF('7月'!AM16:AN16,N$226)+COUNTIF('7月'!AR16:AS16,N$226)+COUNTIF('7月'!AW16:AX16,N$226)+COUNTIF('7月'!BB16:BC16,N$226)+COUNTIF('7月'!BG16:BH16,N$226)+COUNTIF('7月'!BL16:BM16,N$226)+COUNTIF('7月'!BQ16:BR16,N$226)+COUNTIF('7月'!BV16:BW16,N$226)+COUNTIF('7月'!CA16:CB16,N$226)+COUNTIF('7月'!CF16:CG16,N$226)+COUNTIF('7月'!CK16:CL16,N$226)+COUNTIF('7月'!CP16:CQ16,N$226)+COUNTIF('7月'!CU16:CV16,N$226)+COUNTIF('7月'!CZ16:DA16,N$226)+COUNTIF('7月'!DE16:DF16,N$226)+COUNTIF('7月'!DJ16:DK16,N$226)+COUNTIF('7月'!DO16:DP16,N$226)+COUNTIF('7月'!DT16:DU16,N$226)+COUNTIF('7月'!DY16:DZ16,N$226)+COUNTIF('7月'!ED16:EE16,N$226)+COUNTIF('7月'!EI16:EJ16,N$226)+COUNTIF('7月'!EN16:EO16,N$226)+COUNTIF('7月'!ES16:ET16,N$226)+COUNTIF('7月'!D16:E16,"三軒茶屋－夜勤")+COUNTIF('7月'!I16:J16,"三軒茶屋－夜勤")+COUNTIF('7月'!N16:O16,"三軒茶屋－夜勤")+COUNTIF('7月'!S16:T16,"三軒茶屋－夜勤")+COUNTIF('7月'!X16:Y16,"三軒茶屋－夜勤")+COUNTIF('7月'!AC16:AD16,"三軒茶屋－夜勤")+COUNTIF('7月'!AH16:AI16,"三軒茶屋－夜勤")+COUNTIF('7月'!AM16:AN16,"三軒茶屋－夜勤")+COUNTIF('7月'!AR16:AS16,"三軒茶屋－夜勤")+COUNTIF('7月'!AW16:AX16,"三軒茶屋－夜勤")+COUNTIF('7月'!BB16:BC16,"三軒茶屋－夜勤")+COUNTIF('7月'!BG16:BH16,"三軒茶屋－夜勤")+COUNTIF('7月'!BL16:BM16,"三軒茶屋－夜勤")+COUNTIF('7月'!BQ16:BR16,"三軒茶屋－夜勤")+COUNTIF('7月'!BV16:BW16,"三軒茶屋－夜勤")+COUNTIF('7月'!CA16:CB16,"三軒茶屋－夜勤")+COUNTIF('7月'!CF16:CG16,"三軒茶屋－夜勤")+COUNTIF('7月'!CK16:CL16,"三軒茶屋－夜勤")+COUNTIF('7月'!CP16:CQ16,"三軒茶屋－夜勤")+COUNTIF('7月'!CU16:CV16,"三軒茶屋－夜勤")+COUNTIF('7月'!CZ16:DA16,"三軒茶屋－夜勤")+COUNTIF('7月'!DE16:DF16,"三軒茶屋－夜勤")+COUNTIF('7月'!DJ16:DK16,"三軒茶屋－夜勤")+COUNTIF('7月'!DO16:DP16,"三軒茶屋－夜勤")+COUNTIF('7月'!DT16:DU16,"三軒茶屋－夜勤")+COUNTIF('7月'!DY16:DZ16,"三軒茶屋－夜勤")+COUNTIF('7月'!ED16:EE16,"三軒茶屋－夜勤")+COUNTIF('7月'!EI16:EJ16,"三軒茶屋－夜勤")+COUNTIF('7月'!EN16:EO16,"三軒茶屋－夜勤")+COUNTIF('7月'!ES16:ET16,"三軒茶屋－夜勤")</f>
        <v>0</v>
      </c>
      <c r="O240" s="76">
        <f t="shared" si="78"/>
        <v>0</v>
      </c>
      <c r="P240" s="76">
        <f>COUNTIF('7月'!D16:E16,P$226)+COUNTIF('7月'!I16:J16,P$226)+COUNTIF('7月'!N16:O16,P$226)+COUNTIF('7月'!S16:T16,P$226)+COUNTIF('7月'!X16:Y16,P$226)+COUNTIF('7月'!AC16:AD16,P$226)+COUNTIF('7月'!AH16:AI16,P$226)+COUNTIF('7月'!AM16:AN16,P$226)+COUNTIF('7月'!AR16:AS16,P$226)+COUNTIF('7月'!AW16:AX16,P$226)+COUNTIF('7月'!BB16:BC16,P$226)+COUNTIF('7月'!BG16:BH16,P$226)+COUNTIF('7月'!BL16:BM16,P$226)+COUNTIF('7月'!BQ16:BR16,P$226)+COUNTIF('7月'!BV16:BW16,P$226)+COUNTIF('7月'!CA16:CB16,P$226)+COUNTIF('7月'!CF16:CG16,P$226)+COUNTIF('7月'!CK16:CL16,P$226)+COUNTIF('7月'!CP16:CQ16,P$226)+COUNTIF('7月'!CU16:CV16,P$226)+COUNTIF('7月'!CZ16:DA16,P$226)+COUNTIF('7月'!DE16:DF16,P$226)+COUNTIF('7月'!DJ16:DK16,P$226)+COUNTIF('7月'!DO16:DP16,P$226)+COUNTIF('7月'!DT16:DU16,P$226)+COUNTIF('7月'!DY16:DZ16,P$226)+COUNTIF('7月'!ED16:EE16,P$226)+COUNTIF('7月'!EI16:EJ16,P$226)+COUNTIF('7月'!EN16:EO16,P$226)+COUNTIF('7月'!ES16:ET16,P$226)+COUNTIF('7月'!D16:E16,"荻窪ー夜勤")+COUNTIF('7月'!I16:J16,"荻窪ー夜勤")+COUNTIF('7月'!N16:O16,"荻窪ー夜勤")+COUNTIF('7月'!S16:T16,"荻窪ー夜勤")+COUNTIF('7月'!X16:Y16,"荻窪ー夜勤")+COUNTIF('7月'!AC16:AD16,"荻窪ー夜勤")+COUNTIF('7月'!AH16:AI16,"荻窪ー夜勤")+COUNTIF('7月'!AM16:AN16,"荻窪ー夜勤")+COUNTIF('7月'!AR16:AS16,"荻窪ー夜勤")+COUNTIF('7月'!AW16:AX16,"荻窪ー夜勤")+COUNTIF('7月'!BB16:BC16,"荻窪ー夜勤")+COUNTIF('7月'!BG16:BH16,"荻窪ー夜勤")+COUNTIF('7月'!BL16:BM16,"荻窪ー夜勤")+COUNTIF('7月'!BQ16:BR16,"荻窪ー夜勤")+COUNTIF('7月'!BV16:BW16,"荻窪ー夜勤")+COUNTIF('7月'!CA16:CB16,"荻窪ー夜勤")+COUNTIF('7月'!CF16:CG16,"荻窪ー夜勤")+COUNTIF('7月'!CK16:CL16,"荻窪ー夜勤")+COUNTIF('7月'!CP16:CQ16,"荻窪ー夜勤")+COUNTIF('7月'!CU16:CV16,"荻窪ー夜勤")+COUNTIF('7月'!CZ16:DA16,"荻窪ー夜勤")+COUNTIF('7月'!DE16:DF16,"荻窪ー夜勤")+COUNTIF('7月'!DJ16:DK16,"荻窪ー夜勤")+COUNTIF('7月'!DO16:DP16,"荻窪ー夜勤")+COUNTIF('7月'!DT16:DU16,"荻窪ー夜勤")+COUNTIF('7月'!DY16:DZ16,"荻窪ー夜勤")+COUNTIF('7月'!ED16:EE16,"荻窪ー夜勤")+COUNTIF('7月'!EI16:EJ16,"荻窪ー夜勤")+COUNTIF('7月'!EN16:EO16,"荻窪ー夜勤")+COUNTIF('7月'!ES16:ET16,"荻窪ー夜勤")</f>
        <v>0</v>
      </c>
      <c r="Q240" s="76">
        <f t="shared" si="79"/>
        <v>0</v>
      </c>
      <c r="R240" s="76">
        <f>COUNTIF('7月'!D16:E16,R$226)+COUNTIF('7月'!I16:J16,R$226)+COUNTIF('7月'!N16:O16,R$226)+COUNTIF('7月'!S16:T16,R$226)+COUNTIF('7月'!X16:Y16,R$226)+COUNTIF('7月'!AC16:AD16,R$226)+COUNTIF('7月'!AH16:AI16,R$226)+COUNTIF('7月'!AM16:AN16,R$226)+COUNTIF('7月'!AR16:AS16,R$226)+COUNTIF('7月'!AW16:AX16,R$226)+COUNTIF('7月'!BB16:BC16,R$226)+COUNTIF('7月'!BG16:BH16,R$226)+COUNTIF('7月'!BL16:BM16,R$226)+COUNTIF('7月'!BQ16:BR16,R$226)+COUNTIF('7月'!BV16:BW16,R$226)+COUNTIF('7月'!CA16:CB16,R$226)+COUNTIF('7月'!CF16:CG16,R$226)+COUNTIF('7月'!CK16:CL16,R$226)+COUNTIF('7月'!CP16:CQ16,R$226)+COUNTIF('7月'!CU16:CV16,R$226)+COUNTIF('7月'!CZ16:DA16,R$226)+COUNTIF('7月'!DE16:DF16,R$226)+COUNTIF('7月'!DJ16:DK16,R$226)+COUNTIF('7月'!DO16:DP16,R$226)+COUNTIF('7月'!DT16:DU16,R$226)+COUNTIF('7月'!DY16:DZ16,R$226)+COUNTIF('7月'!ED16:EE16,R$226)+COUNTIF('7月'!EI16:EJ16,R$226)+COUNTIF('7月'!EN16:EO16,R$226)+COUNTIF('7月'!ES16:ET16,R$226)</f>
        <v>0</v>
      </c>
      <c r="S240" s="76">
        <f t="shared" si="80"/>
        <v>0</v>
      </c>
      <c r="T240" s="76">
        <f>COUNTIF('7月'!D16:E16,T$226)+COUNTIF('7月'!I16:J16,T$226)+COUNTIF('7月'!N16:O16,T$226)+COUNTIF('7月'!S16:T16,T$226)+COUNTIF('7月'!X16:Y16,T$226)+COUNTIF('7月'!AC16:AD16,T$226)+COUNTIF('7月'!AH16:AI16,T$226)+COUNTIF('7月'!AM16:AN16,T$226)+COUNTIF('7月'!AR16:AS16,T$226)+COUNTIF('7月'!AW16:AX16,T$226)+COUNTIF('7月'!BB16:BC16,T$226)+COUNTIF('7月'!BG16:BH16,T$226)+COUNTIF('7月'!BL16:BM16,T$226)+COUNTIF('7月'!BQ16:BR16,T$226)+COUNTIF('7月'!BV16:BW16,T$226)+COUNTIF('7月'!CA16:CB16,T$226)+COUNTIF('7月'!CF16:CG16,T$226)+COUNTIF('7月'!CK16:CL16,T$226)+COUNTIF('7月'!CP16:CQ16,T$226)+COUNTIF('7月'!CU16:CV16,T$226)+COUNTIF('7月'!CZ16:DA16,T$226)+COUNTIF('7月'!DE16:DF16,T$226)+COUNTIF('7月'!DJ16:DK16,T$226)+COUNTIF('7月'!DO16:DP16,T$226)+COUNTIF('7月'!DT16:DU16,T$226)+COUNTIF('7月'!DY16:DZ16,T$226)+COUNTIF('7月'!ED16:EE16,T$226)+COUNTIF('7月'!EI16:EJ16,T$226)+COUNTIF('7月'!EN16:EO16,T$226)+COUNTIF('7月'!ES16:ET16,T$226)</f>
        <v>0</v>
      </c>
      <c r="U240" s="76">
        <f t="shared" si="81"/>
        <v>0</v>
      </c>
      <c r="V240" s="76">
        <f>COUNTIF('7月'!D16:E16,V$226)+COUNTIF('7月'!I16:J16,V$226)+COUNTIF('7月'!N16:O16,V$226)+COUNTIF('7月'!S16:T16,V$226)+COUNTIF('7月'!X16:Y16,V$226)+COUNTIF('7月'!AC16:AD16,V$226)+COUNTIF('7月'!AH16:AI16,V$226)+COUNTIF('7月'!AM16:AN16,V$226)+COUNTIF('7月'!AR16:AS16,V$226)+COUNTIF('7月'!AW16:AX16,V$226)+COUNTIF('7月'!BB16:BC16,V$226)+COUNTIF('7月'!BG16:BH16,V$226)+COUNTIF('7月'!BL16:BM16,V$226)+COUNTIF('7月'!BQ16:BR16,V$226)+COUNTIF('7月'!BV16:BW16,V$226)+COUNTIF('7月'!CA16:CB16,V$226)+COUNTIF('7月'!CF16:CG16,V$226)+COUNTIF('7月'!CK16:CL16,V$226)+COUNTIF('7月'!CP16:CQ16,V$226)+COUNTIF('7月'!CU16:CV16,V$226)+COUNTIF('7月'!CZ16:DA16,V$226)+COUNTIF('7月'!DE16:DF16,V$226)+COUNTIF('7月'!DJ16:DK16,V$226)+COUNTIF('7月'!DO16:DP16,V$226)+COUNTIF('7月'!DT16:DU16,V$226)+COUNTIF('7月'!DY16:DZ16,V$226)+COUNTIF('7月'!ED16:EE16,V$226)+COUNTIF('7月'!EI16:EJ16,V$226)+COUNTIF('7月'!EN16:EO16,V$226)+COUNTIF('7月'!ES16:ET16,V$226)</f>
        <v>0</v>
      </c>
      <c r="W240" s="76">
        <f t="shared" si="82"/>
        <v>0</v>
      </c>
      <c r="X240" s="76">
        <f>COUNTIF('7月'!D16:E16,X$226)+COUNTIF('7月'!I16:J16,X$226)+COUNTIF('7月'!N16:O16,X$226)+COUNTIF('7月'!S16:T16,X$226)+COUNTIF('7月'!X16:Y16,X$226)+COUNTIF('7月'!AC16:AD16,X$226)+COUNTIF('7月'!AH16:AI16,X$226)+COUNTIF('7月'!AM16:AN16,X$226)+COUNTIF('7月'!AR16:AS16,X$226)+COUNTIF('7月'!AW16:AX16,X$226)+COUNTIF('7月'!BB16:BC16,X$226)+COUNTIF('7月'!BG16:BH16,X$226)+COUNTIF('7月'!BL16:BM16,X$226)+COUNTIF('7月'!BQ16:BR16,X$226)+COUNTIF('7月'!BV16:BW16,X$226)+COUNTIF('7月'!CA16:CB16,X$226)+COUNTIF('7月'!CF16:CG16,X$226)+COUNTIF('7月'!CK16:CL16,X$226)+COUNTIF('7月'!CP16:CQ16,X$226)+COUNTIF('7月'!CU16:CV16,X$226)+COUNTIF('7月'!CZ16:DA16,X$226)+COUNTIF('7月'!DE16:DF16,X$226)+COUNTIF('7月'!DJ16:DK16,X$226)+COUNTIF('7月'!DO16:DP16,X$226)+COUNTIF('7月'!DT16:DU16,X$226)+COUNTIF('7月'!DY16:DZ16,X$226)+COUNTIF('7月'!ED16:EE16,X$226)+COUNTIF('7月'!EI16:EJ16,X$226)+COUNTIF('7月'!EN16:EO16,X$226)+COUNTIF('7月'!ES16:ET16,X$226)</f>
        <v>0</v>
      </c>
      <c r="Y240" s="76">
        <f t="shared" si="83"/>
        <v>0</v>
      </c>
    </row>
    <row r="241" spans="1:25" ht="18" customHeight="1">
      <c r="A241" s="76">
        <v>14</v>
      </c>
      <c r="B241" s="76">
        <f>COUNTIF('7月'!D17:E17,B$226)+COUNTIF('7月'!I17:J17,B$226)+COUNTIF('7月'!N17:O17,B$226)+COUNTIF('7月'!S17:T17,B$226)+COUNTIF('7月'!X17:Y17,B$226)+COUNTIF('7月'!AC17:AD17,B$226)+COUNTIF('7月'!AH17:AI17,B$226)+COUNTIF('7月'!AM17:AN17,B$226)+COUNTIF('7月'!AR17:AS17,B$226)+COUNTIF('7月'!AW17:AX17,B$226)+COUNTIF('7月'!BB17:BC17,B$226)+COUNTIF('7月'!BG17:BH17,B$226)+COUNTIF('7月'!BL17:BM17,B$226)+COUNTIF('7月'!BQ17:BR17,B$226)+COUNTIF('7月'!BV17:BW17,B$226)+COUNTIF('7月'!CA17:CB17,B$226)+COUNTIF('7月'!CF17:CG17,B$226)+COUNTIF('7月'!CK17:CL17,B$226)+COUNTIF('7月'!CP17:CQ17,B$226)+COUNTIF('7月'!CU17:CV17,B$226)+COUNTIF('7月'!CZ17:DA17,B$226)+COUNTIF('7月'!DE17:DF17,B$226)+COUNTIF('7月'!DJ17:DK17,B$226)+COUNTIF('7月'!DO17:DP17,B$226)+COUNTIF('7月'!DT17:DU17,B$226)+COUNTIF('7月'!DY17:DZ17,B$226)+COUNTIF('7月'!ED17:EE17,B$226)+COUNTIF('7月'!EI17:EJ17,B$226)+COUNTIF('7月'!EN17:EO17,B$226)+COUNTIF('7月'!ES17:ET17,B$226)</f>
        <v>0</v>
      </c>
      <c r="C241" s="76">
        <f t="shared" si="72"/>
        <v>0</v>
      </c>
      <c r="D241" s="76">
        <f>COUNTIF('7月'!D17:E17,D$226)+COUNTIF('7月'!I17:J17,D$226)+COUNTIF('7月'!N17:O17,D$226)+COUNTIF('7月'!S17:T17,D$226)+COUNTIF('7月'!X17:Y17,D$226)+COUNTIF('7月'!AC17:AD17,D$226)+COUNTIF('7月'!AH17:AI17,D$226)+COUNTIF('7月'!AM17:AN17,D$226)+COUNTIF('7月'!AR17:AS17,D$226)+COUNTIF('7月'!AW17:AX17,D$226)+COUNTIF('7月'!BB17:BC17,D$226)+COUNTIF('7月'!BG17:BH17,D$226)+COUNTIF('7月'!BL17:BM17,D$226)+COUNTIF('7月'!BQ17:BR17,D$226)+COUNTIF('7月'!BV17:BW17,D$226)+COUNTIF('7月'!CA17:CB17,D$226)+COUNTIF('7月'!CF17:CG17,D$226)+COUNTIF('7月'!CK17:CL17,D$226)+COUNTIF('7月'!CP17:CQ17,D$226)+COUNTIF('7月'!CU17:CV17,D$226)+COUNTIF('7月'!CZ17:DA17,D$226)+COUNTIF('7月'!DE17:DF17,D$226)+COUNTIF('7月'!DJ17:DK17,D$226)+COUNTIF('7月'!DO17:DP17,D$226)+COUNTIF('7月'!DT17:DU17,D$226)+COUNTIF('7月'!DY17:DZ17,D$226)+COUNTIF('7月'!ED17:EE17,D$226)+COUNTIF('7月'!EI17:EJ17,D$226)+COUNTIF('7月'!EN17:EO17,D$226)+COUNTIF('7月'!ES17:ET17,D$226)</f>
        <v>0</v>
      </c>
      <c r="E241" s="76">
        <f t="shared" si="73"/>
        <v>0</v>
      </c>
      <c r="F241" s="76">
        <f>COUNTIF('7月'!D17:E17,F$226)+COUNTIF('7月'!I17:J17,F$226)+COUNTIF('7月'!N17:O17,F$226)+COUNTIF('7月'!S17:T17,F$226)+COUNTIF('7月'!X17:Y17,F$226)+COUNTIF('7月'!AC17:AD17,F$226)+COUNTIF('7月'!AH17:AI17,F$226)+COUNTIF('7月'!AM17:AN17,F$226)+COUNTIF('7月'!AR17:AS17,F$226)+COUNTIF('7月'!AW17:AX17,F$226)+COUNTIF('7月'!BB17:BC17,F$226)+COUNTIF('7月'!BG17:BH17,F$226)+COUNTIF('7月'!BL17:BM17,F$226)+COUNTIF('7月'!BQ17:BR17,F$226)+COUNTIF('7月'!BV17:BW17,F$226)+COUNTIF('7月'!CA17:CB17,F$226)+COUNTIF('7月'!CF17:CG17,F$226)+COUNTIF('7月'!CK17:CL17,F$226)+COUNTIF('7月'!CP17:CQ17,F$226)+COUNTIF('7月'!CU17:CV17,F$226)+COUNTIF('7月'!CZ17:DA17,F$226)+COUNTIF('7月'!DE17:DF17,F$226)+COUNTIF('7月'!DJ17:DK17,F$226)+COUNTIF('7月'!DO17:DP17,F$226)+COUNTIF('7月'!DT17:DU17,F$226)+COUNTIF('7月'!DY17:DZ17,F$226)+COUNTIF('7月'!ED17:EE17,F$226)+COUNTIF('7月'!EI17:EJ17,F$226)+COUNTIF('7月'!EN17:EO17,F$226)+COUNTIF('7月'!ES17:ET17,F$226)</f>
        <v>0</v>
      </c>
      <c r="G241" s="76">
        <f t="shared" si="74"/>
        <v>0</v>
      </c>
      <c r="H241" s="76">
        <f>COUNTIF('7月'!D17:E17,H$226)+COUNTIF('7月'!I17:J17,H$226)+COUNTIF('7月'!N17:O17,H$226)+COUNTIF('7月'!S17:T17,H$226)+COUNTIF('7月'!X17:Y17,H$226)+COUNTIF('7月'!AC17:AD17,H$226)+COUNTIF('7月'!AH17:AI17,H$226)+COUNTIF('7月'!AM17:AN17,H$226)+COUNTIF('7月'!AR17:AS17,H$226)+COUNTIF('7月'!AW17:AX17,H$226)+COUNTIF('7月'!BB17:BC17,H$226)+COUNTIF('7月'!BG17:BH17,H$226)+COUNTIF('7月'!BL17:BM17,H$226)+COUNTIF('7月'!BQ17:BR17,H$226)+COUNTIF('7月'!BV17:BW17,H$226)+COUNTIF('7月'!CA17:CB17,H$226)+COUNTIF('7月'!CF17:CG17,H$226)+COUNTIF('7月'!CK17:CL17,H$226)+COUNTIF('7月'!CP17:CQ17,H$226)+COUNTIF('7月'!CU17:CV17,H$226)+COUNTIF('7月'!CZ17:DA17,H$226)+COUNTIF('7月'!DE17:DF17,H$226)+COUNTIF('7月'!DJ17:DK17,H$226)+COUNTIF('7月'!DO17:DP17,H$226)+COUNTIF('7月'!DT17:DU17,H$226)+COUNTIF('7月'!DY17:DZ17,H$226)+COUNTIF('7月'!ED17:EE17,H$226)+COUNTIF('7月'!EI17:EJ17,H$226)+COUNTIF('7月'!EN17:EO17,H$226)+COUNTIF('7月'!ES17:ET17,H$226)+COUNTIF('7月'!D17:E17,"渋谷-夜勤")+COUNTIF('7月'!I17:J17,"渋谷-夜勤")+COUNTIF('7月'!N17:O17,"渋谷-夜勤")+COUNTIF('7月'!S17:T17,"渋谷-夜勤")+COUNTIF('7月'!X17:Y17,"渋谷-夜勤")+COUNTIF('7月'!AC17:AD17,"渋谷-夜勤")+COUNTIF('7月'!AH17:AI17,"渋谷-夜勤")+COUNTIF('7月'!AM17:AN17,"渋谷-夜勤")+COUNTIF('7月'!AR17:AS17,"渋谷-夜勤")+COUNTIF('7月'!AW17:AX17,"渋谷-夜勤")+COUNTIF('7月'!BB17:BC17,"渋谷-夜勤")+COUNTIF('7月'!BG17:BH17,"渋谷-夜勤")+COUNTIF('7月'!BL17:BM17,"渋谷-夜勤")+COUNTIF('7月'!BQ17:BR17,"渋谷-夜勤")+COUNTIF('7月'!BV17:BW17,"渋谷-夜勤")+COUNTIF('7月'!CA17:CB17,"渋谷-夜勤")+COUNTIF('7月'!CF17:CG17,"渋谷-夜勤")+COUNTIF('7月'!CK17:CL17,"渋谷-夜勤")+COUNTIF('7月'!CP17:CQ17,"渋谷-夜勤")+COUNTIF('7月'!CU17:CV17,"渋谷-夜勤")+COUNTIF('7月'!CZ17:DA17,"渋谷-夜勤")+COUNTIF('7月'!DE17:DF17,"渋谷-夜勤")+COUNTIF('7月'!DJ17:DK17,"渋谷-夜勤")+COUNTIF('7月'!DO17:DP17,"渋谷-夜勤")+COUNTIF('7月'!DT17:DU17,"渋谷-夜勤")+COUNTIF('7月'!DY17:DZ17,"渋谷-夜勤")+COUNTIF('7月'!ED17:EE17,"渋谷-夜勤")+COUNTIF('7月'!EI17:EJ17,"渋谷-夜勤")+COUNTIF('7月'!EN17:EO17,"渋谷-夜勤")+COUNTIF('7月'!ES17:ET17,"渋谷-夜勤")</f>
        <v>0</v>
      </c>
      <c r="I241" s="76">
        <f t="shared" si="75"/>
        <v>0</v>
      </c>
      <c r="J241" s="76">
        <f>COUNTIF('7月'!D17:E17,J$226)+COUNTIF('7月'!I17:J17,J$226)+COUNTIF('7月'!N17:O17,J$226)+COUNTIF('7月'!S17:T17,J$226)+COUNTIF('7月'!X17:Y17,J$226)+COUNTIF('7月'!AC17:AD17,J$226)+COUNTIF('7月'!AH17:AI17,J$226)+COUNTIF('7月'!AM17:AN17,J$226)+COUNTIF('7月'!AR17:AS17,J$226)+COUNTIF('7月'!AW17:AX17,J$226)+COUNTIF('7月'!BB17:BC17,J$226)+COUNTIF('7月'!BG17:BH17,J$226)+COUNTIF('7月'!BL17:BM17,J$226)+COUNTIF('7月'!BQ17:BR17,J$226)+COUNTIF('7月'!BV17:BW17,J$226)+COUNTIF('7月'!CA17:CB17,J$226)+COUNTIF('7月'!CF17:CG17,J$226)+COUNTIF('7月'!CK17:CL17,J$226)+COUNTIF('7月'!CP17:CQ17,J$226)+COUNTIF('7月'!CU17:CV17,J$226)+COUNTIF('7月'!CZ17:DA17,J$226)+COUNTIF('7月'!DE17:DF17,J$226)+COUNTIF('7月'!DJ17:DK17,J$226)+COUNTIF('7月'!DO17:DP17,J$226)+COUNTIF('7月'!DT17:DU17,J$226)+COUNTIF('7月'!DY17:DZ17,J$226)+COUNTIF('7月'!ED17:EE17,J$226)+COUNTIF('7月'!EI17:EJ17,J$226)+COUNTIF('7月'!EN17:EO17,J$226)+COUNTIF('7月'!ES17:ET17,J$226)+COUNTIF('7月'!D17:E17,"六本木-夜勤")+COUNTIF('7月'!I17:J17,"六本木-夜勤")+COUNTIF('7月'!N17:O17,"六本木-夜勤")+COUNTIF('7月'!S17:T17,"六本木-夜勤")+COUNTIF('7月'!X17:Y17,"六本木-夜勤")+COUNTIF('7月'!AC17:AD17,"六本木-夜勤")+COUNTIF('7月'!AH17:AI17,"六本木-夜勤")+COUNTIF('7月'!AM17:AN17,"六本木-夜勤")+COUNTIF('7月'!AR17:AS17,"六本木-夜勤")+COUNTIF('7月'!AW17:AX17,"六本木-夜勤")+COUNTIF('7月'!BB17:BC17,"六本木-夜勤")+COUNTIF('7月'!BG17:BH17,"六本木-夜勤")+COUNTIF('7月'!BL17:BM17,"六本木-夜勤")+COUNTIF('7月'!BQ17:BR17,"六本木-夜勤")+COUNTIF('7月'!BV17:BW17,"六本木-夜勤")+COUNTIF('7月'!CA17:CB17,"六本木-夜勤")+COUNTIF('7月'!CF17:CG17,"六本木-夜勤")+COUNTIF('7月'!CK17:CL17,"六本木-夜勤")+COUNTIF('7月'!CP17:CQ17,"六本木-夜勤")+COUNTIF('7月'!CU17:CV17,"六本木-夜勤")+COUNTIF('7月'!CZ17:DA17,"六本木-夜勤")+COUNTIF('7月'!DE17:DF17,"六本木-夜勤")+COUNTIF('7月'!DJ17:DK17,"六本木-夜勤")+COUNTIF('7月'!DO17:DP17,"六本木-夜勤")+COUNTIF('7月'!DT17:DU17,"六本木-夜勤")+COUNTIF('7月'!DY17:DZ17,"六本木-夜勤")+COUNTIF('7月'!ED17:EE17,"六本木-夜勤")+COUNTIF('7月'!EI17:EJ17,"六本木-夜勤")+COUNTIF('7月'!EN17:EO17,"六本木-夜勤")+COUNTIF('7月'!ES17:ET17,"六本木-夜勤")+COUNTIF('7月'!D17:E17,"六本木ー夜勤")+COUNTIF('7月'!I17:J17,"六本木ー夜勤")+COUNTIF('7月'!N17:O17,"六本木ー夜勤")+COUNTIF('7月'!S17:T17,"六本木ー夜勤")+COUNTIF('7月'!X17:Y17,"六本木ー夜勤")+COUNTIF('7月'!AC17:AD17,"六本木ー夜勤")+COUNTIF('7月'!AH17:AI17,"六本木ー夜勤")+COUNTIF('7月'!AM17:AN17,"六本木ー夜勤")+COUNTIF('7月'!AR17:AS17,"六本木ー夜勤")+COUNTIF('7月'!AW17:AX17,"六本木ー夜勤")+COUNTIF('7月'!BB17:BC17,"六本木ー夜勤")+COUNTIF('7月'!BG17:BH17,"六本木ー夜勤")+COUNTIF('7月'!BL17:BM17,"六本木ー夜勤")+COUNTIF('7月'!BQ17:BR17,"六本木ー夜勤")+COUNTIF('7月'!BV17:BW17,"六本木ー夜勤")+COUNTIF('7月'!CA17:CB17,"六本木ー夜勤")+COUNTIF('7月'!CF17:CG17,"六本木ー夜勤")+COUNTIF('7月'!CK17:CL17,"六本木ー夜勤")+COUNTIF('7月'!CP17:CQ17,"六本木ー夜勤")+COUNTIF('7月'!CU17:CV17,"六本木ー夜勤")+COUNTIF('7月'!CZ17:DA17,"六本木ー夜勤")+COUNTIF('7月'!DE17:DF17,"六本木ー夜勤")+COUNTIF('7月'!DJ17:DK17,"六本木ー夜勤")+COUNTIF('7月'!DO17:DP17,"六本木ー夜勤")+COUNTIF('7月'!DT17:DU17,"六本木ー夜勤")+COUNTIF('7月'!DY17:DZ17,"六本木ー夜勤")+COUNTIF('7月'!ED17:EE17,"六本木ー夜勤")+COUNTIF('7月'!EI17:EJ17,"六本木ー夜勤")+COUNTIF('7月'!EN17:EO17,"六本木ー夜勤")+COUNTIF('7月'!ES17:ET17,"六本木ー夜勤")</f>
        <v>0</v>
      </c>
      <c r="K241" s="76">
        <f t="shared" si="76"/>
        <v>0</v>
      </c>
      <c r="L241" s="76">
        <f>COUNTIF('7月'!D17:E17,L$226)+COUNTIF('7月'!I17:J17,L$226)+COUNTIF('7月'!N17:O17,L$226)+COUNTIF('7月'!S17:T17,L$226)+COUNTIF('7月'!X17:Y17,L$226)+COUNTIF('7月'!AC17:AD17,L$226)+COUNTIF('7月'!AH17:AI17,L$226)+COUNTIF('7月'!AM17:AN17,L$226)+COUNTIF('7月'!AR17:AS17,L$226)+COUNTIF('7月'!AW17:AX17,L$226)+COUNTIF('7月'!BB17:BC17,L$226)+COUNTIF('7月'!BG17:BH17,L$226)+COUNTIF('7月'!BL17:BM17,L$226)+COUNTIF('7月'!BQ17:BR17,L$226)+COUNTIF('7月'!BV17:BW17,L$226)+COUNTIF('7月'!CA17:CB17,L$226)+COUNTIF('7月'!CF17:CG17,L$226)+COUNTIF('7月'!CK17:CL17,L$226)+COUNTIF('7月'!CP17:CQ17,L$226)+COUNTIF('7月'!CU17:CV17,L$226)+COUNTIF('7月'!CZ17:DA17,L$226)+COUNTIF('7月'!DE17:DF17,L$226)+COUNTIF('7月'!DJ17:DK17,L$226)+COUNTIF('7月'!DO17:DP17,L$226)+COUNTIF('7月'!DT17:DU17,L$226)+COUNTIF('7月'!DY17:DZ17,L$226)+COUNTIF('7月'!ED17:EE17,L$226)+COUNTIF('7月'!EI17:EJ17,L$226)+COUNTIF('7月'!EN17:EO17,L$226)+COUNTIF('7月'!ES17:ET17,L$226)</f>
        <v>0</v>
      </c>
      <c r="M241" s="76">
        <f t="shared" si="77"/>
        <v>0</v>
      </c>
      <c r="N241" s="76">
        <f>COUNTIF('7月'!D17:E17,N$226)+COUNTIF('7月'!I17:J17,N$226)+COUNTIF('7月'!N17:O17,N$226)+COUNTIF('7月'!S17:T17,N$226)+COUNTIF('7月'!X17:Y17,N$226)+COUNTIF('7月'!AC17:AD17,N$226)+COUNTIF('7月'!AH17:AI17,N$226)+COUNTIF('7月'!AM17:AN17,N$226)+COUNTIF('7月'!AR17:AS17,N$226)+COUNTIF('7月'!AW17:AX17,N$226)+COUNTIF('7月'!BB17:BC17,N$226)+COUNTIF('7月'!BG17:BH17,N$226)+COUNTIF('7月'!BL17:BM17,N$226)+COUNTIF('7月'!BQ17:BR17,N$226)+COUNTIF('7月'!BV17:BW17,N$226)+COUNTIF('7月'!CA17:CB17,N$226)+COUNTIF('7月'!CF17:CG17,N$226)+COUNTIF('7月'!CK17:CL17,N$226)+COUNTIF('7月'!CP17:CQ17,N$226)+COUNTIF('7月'!CU17:CV17,N$226)+COUNTIF('7月'!CZ17:DA17,N$226)+COUNTIF('7月'!DE17:DF17,N$226)+COUNTIF('7月'!DJ17:DK17,N$226)+COUNTIF('7月'!DO17:DP17,N$226)+COUNTIF('7月'!DT17:DU17,N$226)+COUNTIF('7月'!DY17:DZ17,N$226)+COUNTIF('7月'!ED17:EE17,N$226)+COUNTIF('7月'!EI17:EJ17,N$226)+COUNTIF('7月'!EN17:EO17,N$226)+COUNTIF('7月'!ES17:ET17,N$226)+COUNTIF('7月'!D17:E17,"三軒茶屋－夜勤")+COUNTIF('7月'!I17:J17,"三軒茶屋－夜勤")+COUNTIF('7月'!N17:O17,"三軒茶屋－夜勤")+COUNTIF('7月'!S17:T17,"三軒茶屋－夜勤")+COUNTIF('7月'!X17:Y17,"三軒茶屋－夜勤")+COUNTIF('7月'!AC17:AD17,"三軒茶屋－夜勤")+COUNTIF('7月'!AH17:AI17,"三軒茶屋－夜勤")+COUNTIF('7月'!AM17:AN17,"三軒茶屋－夜勤")+COUNTIF('7月'!AR17:AS17,"三軒茶屋－夜勤")+COUNTIF('7月'!AW17:AX17,"三軒茶屋－夜勤")+COUNTIF('7月'!BB17:BC17,"三軒茶屋－夜勤")+COUNTIF('7月'!BG17:BH17,"三軒茶屋－夜勤")+COUNTIF('7月'!BL17:BM17,"三軒茶屋－夜勤")+COUNTIF('7月'!BQ17:BR17,"三軒茶屋－夜勤")+COUNTIF('7月'!BV17:BW17,"三軒茶屋－夜勤")+COUNTIF('7月'!CA17:CB17,"三軒茶屋－夜勤")+COUNTIF('7月'!CF17:CG17,"三軒茶屋－夜勤")+COUNTIF('7月'!CK17:CL17,"三軒茶屋－夜勤")+COUNTIF('7月'!CP17:CQ17,"三軒茶屋－夜勤")+COUNTIF('7月'!CU17:CV17,"三軒茶屋－夜勤")+COUNTIF('7月'!CZ17:DA17,"三軒茶屋－夜勤")+COUNTIF('7月'!DE17:DF17,"三軒茶屋－夜勤")+COUNTIF('7月'!DJ17:DK17,"三軒茶屋－夜勤")+COUNTIF('7月'!DO17:DP17,"三軒茶屋－夜勤")+COUNTIF('7月'!DT17:DU17,"三軒茶屋－夜勤")+COUNTIF('7月'!DY17:DZ17,"三軒茶屋－夜勤")+COUNTIF('7月'!ED17:EE17,"三軒茶屋－夜勤")+COUNTIF('7月'!EI17:EJ17,"三軒茶屋－夜勤")+COUNTIF('7月'!EN17:EO17,"三軒茶屋－夜勤")+COUNTIF('7月'!ES17:ET17,"三軒茶屋－夜勤")</f>
        <v>0</v>
      </c>
      <c r="O241" s="76">
        <f t="shared" si="78"/>
        <v>0</v>
      </c>
      <c r="P241" s="76">
        <f>COUNTIF('7月'!D17:E17,P$226)+COUNTIF('7月'!I17:J17,P$226)+COUNTIF('7月'!N17:O17,P$226)+COUNTIF('7月'!S17:T17,P$226)+COUNTIF('7月'!X17:Y17,P$226)+COUNTIF('7月'!AC17:AD17,P$226)+COUNTIF('7月'!AH17:AI17,P$226)+COUNTIF('7月'!AM17:AN17,P$226)+COUNTIF('7月'!AR17:AS17,P$226)+COUNTIF('7月'!AW17:AX17,P$226)+COUNTIF('7月'!BB17:BC17,P$226)+COUNTIF('7月'!BG17:BH17,P$226)+COUNTIF('7月'!BL17:BM17,P$226)+COUNTIF('7月'!BQ17:BR17,P$226)+COUNTIF('7月'!BV17:BW17,P$226)+COUNTIF('7月'!CA17:CB17,P$226)+COUNTIF('7月'!CF17:CG17,P$226)+COUNTIF('7月'!CK17:CL17,P$226)+COUNTIF('7月'!CP17:CQ17,P$226)+COUNTIF('7月'!CU17:CV17,P$226)+COUNTIF('7月'!CZ17:DA17,P$226)+COUNTIF('7月'!DE17:DF17,P$226)+COUNTIF('7月'!DJ17:DK17,P$226)+COUNTIF('7月'!DO17:DP17,P$226)+COUNTIF('7月'!DT17:DU17,P$226)+COUNTIF('7月'!DY17:DZ17,P$226)+COUNTIF('7月'!ED17:EE17,P$226)+COUNTIF('7月'!EI17:EJ17,P$226)+COUNTIF('7月'!EN17:EO17,P$226)+COUNTIF('7月'!ES17:ET17,P$226)+COUNTIF('7月'!D17:E17,"荻窪ー夜勤")+COUNTIF('7月'!I17:J17,"荻窪ー夜勤")+COUNTIF('7月'!N17:O17,"荻窪ー夜勤")+COUNTIF('7月'!S17:T17,"荻窪ー夜勤")+COUNTIF('7月'!X17:Y17,"荻窪ー夜勤")+COUNTIF('7月'!AC17:AD17,"荻窪ー夜勤")+COUNTIF('7月'!AH17:AI17,"荻窪ー夜勤")+COUNTIF('7月'!AM17:AN17,"荻窪ー夜勤")+COUNTIF('7月'!AR17:AS17,"荻窪ー夜勤")+COUNTIF('7月'!AW17:AX17,"荻窪ー夜勤")+COUNTIF('7月'!BB17:BC17,"荻窪ー夜勤")+COUNTIF('7月'!BG17:BH17,"荻窪ー夜勤")+COUNTIF('7月'!BL17:BM17,"荻窪ー夜勤")+COUNTIF('7月'!BQ17:BR17,"荻窪ー夜勤")+COUNTIF('7月'!BV17:BW17,"荻窪ー夜勤")+COUNTIF('7月'!CA17:CB17,"荻窪ー夜勤")+COUNTIF('7月'!CF17:CG17,"荻窪ー夜勤")+COUNTIF('7月'!CK17:CL17,"荻窪ー夜勤")+COUNTIF('7月'!CP17:CQ17,"荻窪ー夜勤")+COUNTIF('7月'!CU17:CV17,"荻窪ー夜勤")+COUNTIF('7月'!CZ17:DA17,"荻窪ー夜勤")+COUNTIF('7月'!DE17:DF17,"荻窪ー夜勤")+COUNTIF('7月'!DJ17:DK17,"荻窪ー夜勤")+COUNTIF('7月'!DO17:DP17,"荻窪ー夜勤")+COUNTIF('7月'!DT17:DU17,"荻窪ー夜勤")+COUNTIF('7月'!DY17:DZ17,"荻窪ー夜勤")+COUNTIF('7月'!ED17:EE17,"荻窪ー夜勤")+COUNTIF('7月'!EI17:EJ17,"荻窪ー夜勤")+COUNTIF('7月'!EN17:EO17,"荻窪ー夜勤")+COUNTIF('7月'!ES17:ET17,"荻窪ー夜勤")</f>
        <v>0</v>
      </c>
      <c r="Q241" s="76">
        <f t="shared" si="79"/>
        <v>0</v>
      </c>
      <c r="R241" s="76">
        <f>COUNTIF('7月'!D17:E17,R$226)+COUNTIF('7月'!I17:J17,R$226)+COUNTIF('7月'!N17:O17,R$226)+COUNTIF('7月'!S17:T17,R$226)+COUNTIF('7月'!X17:Y17,R$226)+COUNTIF('7月'!AC17:AD17,R$226)+COUNTIF('7月'!AH17:AI17,R$226)+COUNTIF('7月'!AM17:AN17,R$226)+COUNTIF('7月'!AR17:AS17,R$226)+COUNTIF('7月'!AW17:AX17,R$226)+COUNTIF('7月'!BB17:BC17,R$226)+COUNTIF('7月'!BG17:BH17,R$226)+COUNTIF('7月'!BL17:BM17,R$226)+COUNTIF('7月'!BQ17:BR17,R$226)+COUNTIF('7月'!BV17:BW17,R$226)+COUNTIF('7月'!CA17:CB17,R$226)+COUNTIF('7月'!CF17:CG17,R$226)+COUNTIF('7月'!CK17:CL17,R$226)+COUNTIF('7月'!CP17:CQ17,R$226)+COUNTIF('7月'!CU17:CV17,R$226)+COUNTIF('7月'!CZ17:DA17,R$226)+COUNTIF('7月'!DE17:DF17,R$226)+COUNTIF('7月'!DJ17:DK17,R$226)+COUNTIF('7月'!DO17:DP17,R$226)+COUNTIF('7月'!DT17:DU17,R$226)+COUNTIF('7月'!DY17:DZ17,R$226)+COUNTIF('7月'!ED17:EE17,R$226)+COUNTIF('7月'!EI17:EJ17,R$226)+COUNTIF('7月'!EN17:EO17,R$226)+COUNTIF('7月'!ES17:ET17,R$226)</f>
        <v>0</v>
      </c>
      <c r="S241" s="76">
        <f t="shared" si="80"/>
        <v>0</v>
      </c>
      <c r="T241" s="76">
        <f>COUNTIF('7月'!D17:E17,T$226)+COUNTIF('7月'!I17:J17,T$226)+COUNTIF('7月'!N17:O17,T$226)+COUNTIF('7月'!S17:T17,T$226)+COUNTIF('7月'!X17:Y17,T$226)+COUNTIF('7月'!AC17:AD17,T$226)+COUNTIF('7月'!AH17:AI17,T$226)+COUNTIF('7月'!AM17:AN17,T$226)+COUNTIF('7月'!AR17:AS17,T$226)+COUNTIF('7月'!AW17:AX17,T$226)+COUNTIF('7月'!BB17:BC17,T$226)+COUNTIF('7月'!BG17:BH17,T$226)+COUNTIF('7月'!BL17:BM17,T$226)+COUNTIF('7月'!BQ17:BR17,T$226)+COUNTIF('7月'!BV17:BW17,T$226)+COUNTIF('7月'!CA17:CB17,T$226)+COUNTIF('7月'!CF17:CG17,T$226)+COUNTIF('7月'!CK17:CL17,T$226)+COUNTIF('7月'!CP17:CQ17,T$226)+COUNTIF('7月'!CU17:CV17,T$226)+COUNTIF('7月'!CZ17:DA17,T$226)+COUNTIF('7月'!DE17:DF17,T$226)+COUNTIF('7月'!DJ17:DK17,T$226)+COUNTIF('7月'!DO17:DP17,T$226)+COUNTIF('7月'!DT17:DU17,T$226)+COUNTIF('7月'!DY17:DZ17,T$226)+COUNTIF('7月'!ED17:EE17,T$226)+COUNTIF('7月'!EI17:EJ17,T$226)+COUNTIF('7月'!EN17:EO17,T$226)+COUNTIF('7月'!ES17:ET17,T$226)</f>
        <v>0</v>
      </c>
      <c r="U241" s="76">
        <f t="shared" si="81"/>
        <v>0</v>
      </c>
      <c r="V241" s="76">
        <f>COUNTIF('7月'!D17:E17,V$226)+COUNTIF('7月'!I17:J17,V$226)+COUNTIF('7月'!N17:O17,V$226)+COUNTIF('7月'!S17:T17,V$226)+COUNTIF('7月'!X17:Y17,V$226)+COUNTIF('7月'!AC17:AD17,V$226)+COUNTIF('7月'!AH17:AI17,V$226)+COUNTIF('7月'!AM17:AN17,V$226)+COUNTIF('7月'!AR17:AS17,V$226)+COUNTIF('7月'!AW17:AX17,V$226)+COUNTIF('7月'!BB17:BC17,V$226)+COUNTIF('7月'!BG17:BH17,V$226)+COUNTIF('7月'!BL17:BM17,V$226)+COUNTIF('7月'!BQ17:BR17,V$226)+COUNTIF('7月'!BV17:BW17,V$226)+COUNTIF('7月'!CA17:CB17,V$226)+COUNTIF('7月'!CF17:CG17,V$226)+COUNTIF('7月'!CK17:CL17,V$226)+COUNTIF('7月'!CP17:CQ17,V$226)+COUNTIF('7月'!CU17:CV17,V$226)+COUNTIF('7月'!CZ17:DA17,V$226)+COUNTIF('7月'!DE17:DF17,V$226)+COUNTIF('7月'!DJ17:DK17,V$226)+COUNTIF('7月'!DO17:DP17,V$226)+COUNTIF('7月'!DT17:DU17,V$226)+COUNTIF('7月'!DY17:DZ17,V$226)+COUNTIF('7月'!ED17:EE17,V$226)+COUNTIF('7月'!EI17:EJ17,V$226)+COUNTIF('7月'!EN17:EO17,V$226)+COUNTIF('7月'!ES17:ET17,V$226)</f>
        <v>0</v>
      </c>
      <c r="W241" s="76">
        <f t="shared" si="82"/>
        <v>0</v>
      </c>
      <c r="X241" s="76">
        <f>COUNTIF('7月'!D17:E17,X$226)+COUNTIF('7月'!I17:J17,X$226)+COUNTIF('7月'!N17:O17,X$226)+COUNTIF('7月'!S17:T17,X$226)+COUNTIF('7月'!X17:Y17,X$226)+COUNTIF('7月'!AC17:AD17,X$226)+COUNTIF('7月'!AH17:AI17,X$226)+COUNTIF('7月'!AM17:AN17,X$226)+COUNTIF('7月'!AR17:AS17,X$226)+COUNTIF('7月'!AW17:AX17,X$226)+COUNTIF('7月'!BB17:BC17,X$226)+COUNTIF('7月'!BG17:BH17,X$226)+COUNTIF('7月'!BL17:BM17,X$226)+COUNTIF('7月'!BQ17:BR17,X$226)+COUNTIF('7月'!BV17:BW17,X$226)+COUNTIF('7月'!CA17:CB17,X$226)+COUNTIF('7月'!CF17:CG17,X$226)+COUNTIF('7月'!CK17:CL17,X$226)+COUNTIF('7月'!CP17:CQ17,X$226)+COUNTIF('7月'!CU17:CV17,X$226)+COUNTIF('7月'!CZ17:DA17,X$226)+COUNTIF('7月'!DE17:DF17,X$226)+COUNTIF('7月'!DJ17:DK17,X$226)+COUNTIF('7月'!DO17:DP17,X$226)+COUNTIF('7月'!DT17:DU17,X$226)+COUNTIF('7月'!DY17:DZ17,X$226)+COUNTIF('7月'!ED17:EE17,X$226)+COUNTIF('7月'!EI17:EJ17,X$226)+COUNTIF('7月'!EN17:EO17,X$226)+COUNTIF('7月'!ES17:ET17,X$226)</f>
        <v>0</v>
      </c>
      <c r="Y241" s="76">
        <f t="shared" si="83"/>
        <v>0</v>
      </c>
    </row>
    <row r="242" spans="1:25" ht="18" customHeight="1">
      <c r="A242" s="76">
        <v>15</v>
      </c>
      <c r="B242" s="76">
        <f>COUNTIF('7月'!D18:E18,B$226)+COUNTIF('7月'!I18:J18,B$226)+COUNTIF('7月'!N18:O18,B$226)+COUNTIF('7月'!S18:T18,B$226)+COUNTIF('7月'!X18:Y18,B$226)+COUNTIF('7月'!AC18:AD18,B$226)+COUNTIF('7月'!AH18:AI18,B$226)+COUNTIF('7月'!AM18:AN18,B$226)+COUNTIF('7月'!AR18:AS18,B$226)+COUNTIF('7月'!AW18:AX18,B$226)+COUNTIF('7月'!BB18:BC18,B$226)+COUNTIF('7月'!BG18:BH18,B$226)+COUNTIF('7月'!BL18:BM18,B$226)+COUNTIF('7月'!BQ18:BR18,B$226)+COUNTIF('7月'!BV18:BW18,B$226)+COUNTIF('7月'!CA18:CB18,B$226)+COUNTIF('7月'!CF18:CG18,B$226)+COUNTIF('7月'!CK18:CL18,B$226)+COUNTIF('7月'!CP18:CQ18,B$226)+COUNTIF('7月'!CU18:CV18,B$226)+COUNTIF('7月'!CZ18:DA18,B$226)+COUNTIF('7月'!DE18:DF18,B$226)+COUNTIF('7月'!DJ18:DK18,B$226)+COUNTIF('7月'!DO18:DP18,B$226)+COUNTIF('7月'!DT18:DU18,B$226)+COUNTIF('7月'!DY18:DZ18,B$226)+COUNTIF('7月'!ED18:EE18,B$226)+COUNTIF('7月'!EI18:EJ18,B$226)+COUNTIF('7月'!EN18:EO18,B$226)+COUNTIF('7月'!ES18:ET18,B$226)</f>
        <v>0</v>
      </c>
      <c r="C242" s="76">
        <f t="shared" si="72"/>
        <v>0</v>
      </c>
      <c r="D242" s="76">
        <f>COUNTIF('7月'!D18:E18,D$226)+COUNTIF('7月'!I18:J18,D$226)+COUNTIF('7月'!N18:O18,D$226)+COUNTIF('7月'!S18:T18,D$226)+COUNTIF('7月'!X18:Y18,D$226)+COUNTIF('7月'!AC18:AD18,D$226)+COUNTIF('7月'!AH18:AI18,D$226)+COUNTIF('7月'!AM18:AN18,D$226)+COUNTIF('7月'!AR18:AS18,D$226)+COUNTIF('7月'!AW18:AX18,D$226)+COUNTIF('7月'!BB18:BC18,D$226)+COUNTIF('7月'!BG18:BH18,D$226)+COUNTIF('7月'!BL18:BM18,D$226)+COUNTIF('7月'!BQ18:BR18,D$226)+COUNTIF('7月'!BV18:BW18,D$226)+COUNTIF('7月'!CA18:CB18,D$226)+COUNTIF('7月'!CF18:CG18,D$226)+COUNTIF('7月'!CK18:CL18,D$226)+COUNTIF('7月'!CP18:CQ18,D$226)+COUNTIF('7月'!CU18:CV18,D$226)+COUNTIF('7月'!CZ18:DA18,D$226)+COUNTIF('7月'!DE18:DF18,D$226)+COUNTIF('7月'!DJ18:DK18,D$226)+COUNTIF('7月'!DO18:DP18,D$226)+COUNTIF('7月'!DT18:DU18,D$226)+COUNTIF('7月'!DY18:DZ18,D$226)+COUNTIF('7月'!ED18:EE18,D$226)+COUNTIF('7月'!EI18:EJ18,D$226)+COUNTIF('7月'!EN18:EO18,D$226)+COUNTIF('7月'!ES18:ET18,D$226)</f>
        <v>0</v>
      </c>
      <c r="E242" s="76">
        <f t="shared" si="73"/>
        <v>0</v>
      </c>
      <c r="F242" s="76">
        <f>COUNTIF('7月'!D18:E18,F$226)+COUNTIF('7月'!I18:J18,F$226)+COUNTIF('7月'!N18:O18,F$226)+COUNTIF('7月'!S18:T18,F$226)+COUNTIF('7月'!X18:Y18,F$226)+COUNTIF('7月'!AC18:AD18,F$226)+COUNTIF('7月'!AH18:AI18,F$226)+COUNTIF('7月'!AM18:AN18,F$226)+COUNTIF('7月'!AR18:AS18,F$226)+COUNTIF('7月'!AW18:AX18,F$226)+COUNTIF('7月'!BB18:BC18,F$226)+COUNTIF('7月'!BG18:BH18,F$226)+COUNTIF('7月'!BL18:BM18,F$226)+COUNTIF('7月'!BQ18:BR18,F$226)+COUNTIF('7月'!BV18:BW18,F$226)+COUNTIF('7月'!CA18:CB18,F$226)+COUNTIF('7月'!CF18:CG18,F$226)+COUNTIF('7月'!CK18:CL18,F$226)+COUNTIF('7月'!CP18:CQ18,F$226)+COUNTIF('7月'!CU18:CV18,F$226)+COUNTIF('7月'!CZ18:DA18,F$226)+COUNTIF('7月'!DE18:DF18,F$226)+COUNTIF('7月'!DJ18:DK18,F$226)+COUNTIF('7月'!DO18:DP18,F$226)+COUNTIF('7月'!DT18:DU18,F$226)+COUNTIF('7月'!DY18:DZ18,F$226)+COUNTIF('7月'!ED18:EE18,F$226)+COUNTIF('7月'!EI18:EJ18,F$226)+COUNTIF('7月'!EN18:EO18,F$226)+COUNTIF('7月'!ES18:ET18,F$226)</f>
        <v>0</v>
      </c>
      <c r="G242" s="76">
        <f t="shared" si="74"/>
        <v>0</v>
      </c>
      <c r="H242" s="76">
        <f>COUNTIF('7月'!D18:E18,H$226)+COUNTIF('7月'!I18:J18,H$226)+COUNTIF('7月'!N18:O18,H$226)+COUNTIF('7月'!S18:T18,H$226)+COUNTIF('7月'!X18:Y18,H$226)+COUNTIF('7月'!AC18:AD18,H$226)+COUNTIF('7月'!AH18:AI18,H$226)+COUNTIF('7月'!AM18:AN18,H$226)+COUNTIF('7月'!AR18:AS18,H$226)+COUNTIF('7月'!AW18:AX18,H$226)+COUNTIF('7月'!BB18:BC18,H$226)+COUNTIF('7月'!BG18:BH18,H$226)+COUNTIF('7月'!BL18:BM18,H$226)+COUNTIF('7月'!BQ18:BR18,H$226)+COUNTIF('7月'!BV18:BW18,H$226)+COUNTIF('7月'!CA18:CB18,H$226)+COUNTIF('7月'!CF18:CG18,H$226)+COUNTIF('7月'!CK18:CL18,H$226)+COUNTIF('7月'!CP18:CQ18,H$226)+COUNTIF('7月'!CU18:CV18,H$226)+COUNTIF('7月'!CZ18:DA18,H$226)+COUNTIF('7月'!DE18:DF18,H$226)+COUNTIF('7月'!DJ18:DK18,H$226)+COUNTIF('7月'!DO18:DP18,H$226)+COUNTIF('7月'!DT18:DU18,H$226)+COUNTIF('7月'!DY18:DZ18,H$226)+COUNTIF('7月'!ED18:EE18,H$226)+COUNTIF('7月'!EI18:EJ18,H$226)+COUNTIF('7月'!EN18:EO18,H$226)+COUNTIF('7月'!ES18:ET18,H$226)+COUNTIF('7月'!D18:E18,"渋谷-夜勤")+COUNTIF('7月'!I18:J18,"渋谷-夜勤")+COUNTIF('7月'!N18:O18,"渋谷-夜勤")+COUNTIF('7月'!S18:T18,"渋谷-夜勤")+COUNTIF('7月'!X18:Y18,"渋谷-夜勤")+COUNTIF('7月'!AC18:AD18,"渋谷-夜勤")+COUNTIF('7月'!AH18:AI18,"渋谷-夜勤")+COUNTIF('7月'!AM18:AN18,"渋谷-夜勤")+COUNTIF('7月'!AR18:AS18,"渋谷-夜勤")+COUNTIF('7月'!AW18:AX18,"渋谷-夜勤")+COUNTIF('7月'!BB18:BC18,"渋谷-夜勤")+COUNTIF('7月'!BG18:BH18,"渋谷-夜勤")+COUNTIF('7月'!BL18:BM18,"渋谷-夜勤")+COUNTIF('7月'!BQ18:BR18,"渋谷-夜勤")+COUNTIF('7月'!BV18:BW18,"渋谷-夜勤")+COUNTIF('7月'!CA18:CB18,"渋谷-夜勤")+COUNTIF('7月'!CF18:CG18,"渋谷-夜勤")+COUNTIF('7月'!CK18:CL18,"渋谷-夜勤")+COUNTIF('7月'!CP18:CQ18,"渋谷-夜勤")+COUNTIF('7月'!CU18:CV18,"渋谷-夜勤")+COUNTIF('7月'!CZ18:DA18,"渋谷-夜勤")+COUNTIF('7月'!DE18:DF18,"渋谷-夜勤")+COUNTIF('7月'!DJ18:DK18,"渋谷-夜勤")+COUNTIF('7月'!DO18:DP18,"渋谷-夜勤")+COUNTIF('7月'!DT18:DU18,"渋谷-夜勤")+COUNTIF('7月'!DY18:DZ18,"渋谷-夜勤")+COUNTIF('7月'!ED18:EE18,"渋谷-夜勤")+COUNTIF('7月'!EI18:EJ18,"渋谷-夜勤")+COUNTIF('7月'!EN18:EO18,"渋谷-夜勤")+COUNTIF('7月'!ES18:ET18,"渋谷-夜勤")</f>
        <v>0</v>
      </c>
      <c r="I242" s="76">
        <f t="shared" si="75"/>
        <v>0</v>
      </c>
      <c r="J242" s="76">
        <f>COUNTIF('7月'!D18:E18,J$226)+COUNTIF('7月'!I18:J18,J$226)+COUNTIF('7月'!N18:O18,J$226)+COUNTIF('7月'!S18:T18,J$226)+COUNTIF('7月'!X18:Y18,J$226)+COUNTIF('7月'!AC18:AD18,J$226)+COUNTIF('7月'!AH18:AI18,J$226)+COUNTIF('7月'!AM18:AN18,J$226)+COUNTIF('7月'!AR18:AS18,J$226)+COUNTIF('7月'!AW18:AX18,J$226)+COUNTIF('7月'!BB18:BC18,J$226)+COUNTIF('7月'!BG18:BH18,J$226)+COUNTIF('7月'!BL18:BM18,J$226)+COUNTIF('7月'!BQ18:BR18,J$226)+COUNTIF('7月'!BV18:BW18,J$226)+COUNTIF('7月'!CA18:CB18,J$226)+COUNTIF('7月'!CF18:CG18,J$226)+COUNTIF('7月'!CK18:CL18,J$226)+COUNTIF('7月'!CP18:CQ18,J$226)+COUNTIF('7月'!CU18:CV18,J$226)+COUNTIF('7月'!CZ18:DA18,J$226)+COUNTIF('7月'!DE18:DF18,J$226)+COUNTIF('7月'!DJ18:DK18,J$226)+COUNTIF('7月'!DO18:DP18,J$226)+COUNTIF('7月'!DT18:DU18,J$226)+COUNTIF('7月'!DY18:DZ18,J$226)+COUNTIF('7月'!ED18:EE18,J$226)+COUNTIF('7月'!EI18:EJ18,J$226)+COUNTIF('7月'!EN18:EO18,J$226)+COUNTIF('7月'!ES18:ET18,J$226)+COUNTIF('7月'!D18:E18,"六本木-夜勤")+COUNTIF('7月'!I18:J18,"六本木-夜勤")+COUNTIF('7月'!N18:O18,"六本木-夜勤")+COUNTIF('7月'!S18:T18,"六本木-夜勤")+COUNTIF('7月'!X18:Y18,"六本木-夜勤")+COUNTIF('7月'!AC18:AD18,"六本木-夜勤")+COUNTIF('7月'!AH18:AI18,"六本木-夜勤")+COUNTIF('7月'!AM18:AN18,"六本木-夜勤")+COUNTIF('7月'!AR18:AS18,"六本木-夜勤")+COUNTIF('7月'!AW18:AX18,"六本木-夜勤")+COUNTIF('7月'!BB18:BC18,"六本木-夜勤")+COUNTIF('7月'!BG18:BH18,"六本木-夜勤")+COUNTIF('7月'!BL18:BM18,"六本木-夜勤")+COUNTIF('7月'!BQ18:BR18,"六本木-夜勤")+COUNTIF('7月'!BV18:BW18,"六本木-夜勤")+COUNTIF('7月'!CA18:CB18,"六本木-夜勤")+COUNTIF('7月'!CF18:CG18,"六本木-夜勤")+COUNTIF('7月'!CK18:CL18,"六本木-夜勤")+COUNTIF('7月'!CP18:CQ18,"六本木-夜勤")+COUNTIF('7月'!CU18:CV18,"六本木-夜勤")+COUNTIF('7月'!CZ18:DA18,"六本木-夜勤")+COUNTIF('7月'!DE18:DF18,"六本木-夜勤")+COUNTIF('7月'!DJ18:DK18,"六本木-夜勤")+COUNTIF('7月'!DO18:DP18,"六本木-夜勤")+COUNTIF('7月'!DT18:DU18,"六本木-夜勤")+COUNTIF('7月'!DY18:DZ18,"六本木-夜勤")+COUNTIF('7月'!ED18:EE18,"六本木-夜勤")+COUNTIF('7月'!EI18:EJ18,"六本木-夜勤")+COUNTIF('7月'!EN18:EO18,"六本木-夜勤")+COUNTIF('7月'!ES18:ET18,"六本木-夜勤")+COUNTIF('7月'!D18:E18,"六本木ー夜勤")+COUNTIF('7月'!I18:J18,"六本木ー夜勤")+COUNTIF('7月'!N18:O18,"六本木ー夜勤")+COUNTIF('7月'!S18:T18,"六本木ー夜勤")+COUNTIF('7月'!X18:Y18,"六本木ー夜勤")+COUNTIF('7月'!AC18:AD18,"六本木ー夜勤")+COUNTIF('7月'!AH18:AI18,"六本木ー夜勤")+COUNTIF('7月'!AM18:AN18,"六本木ー夜勤")+COUNTIF('7月'!AR18:AS18,"六本木ー夜勤")+COUNTIF('7月'!AW18:AX18,"六本木ー夜勤")+COUNTIF('7月'!BB18:BC18,"六本木ー夜勤")+COUNTIF('7月'!BG18:BH18,"六本木ー夜勤")+COUNTIF('7月'!BL18:BM18,"六本木ー夜勤")+COUNTIF('7月'!BQ18:BR18,"六本木ー夜勤")+COUNTIF('7月'!BV18:BW18,"六本木ー夜勤")+COUNTIF('7月'!CA18:CB18,"六本木ー夜勤")+COUNTIF('7月'!CF18:CG18,"六本木ー夜勤")+COUNTIF('7月'!CK18:CL18,"六本木ー夜勤")+COUNTIF('7月'!CP18:CQ18,"六本木ー夜勤")+COUNTIF('7月'!CU18:CV18,"六本木ー夜勤")+COUNTIF('7月'!CZ18:DA18,"六本木ー夜勤")+COUNTIF('7月'!DE18:DF18,"六本木ー夜勤")+COUNTIF('7月'!DJ18:DK18,"六本木ー夜勤")+COUNTIF('7月'!DO18:DP18,"六本木ー夜勤")+COUNTIF('7月'!DT18:DU18,"六本木ー夜勤")+COUNTIF('7月'!DY18:DZ18,"六本木ー夜勤")+COUNTIF('7月'!ED18:EE18,"六本木ー夜勤")+COUNTIF('7月'!EI18:EJ18,"六本木ー夜勤")+COUNTIF('7月'!EN18:EO18,"六本木ー夜勤")+COUNTIF('7月'!ES18:ET18,"六本木ー夜勤")</f>
        <v>0</v>
      </c>
      <c r="K242" s="76">
        <f t="shared" si="76"/>
        <v>0</v>
      </c>
      <c r="L242" s="76">
        <f>COUNTIF('7月'!D18:E18,L$226)+COUNTIF('7月'!I18:J18,L$226)+COUNTIF('7月'!N18:O18,L$226)+COUNTIF('7月'!S18:T18,L$226)+COUNTIF('7月'!X18:Y18,L$226)+COUNTIF('7月'!AC18:AD18,L$226)+COUNTIF('7月'!AH18:AI18,L$226)+COUNTIF('7月'!AM18:AN18,L$226)+COUNTIF('7月'!AR18:AS18,L$226)+COUNTIF('7月'!AW18:AX18,L$226)+COUNTIF('7月'!BB18:BC18,L$226)+COUNTIF('7月'!BG18:BH18,L$226)+COUNTIF('7月'!BL18:BM18,L$226)+COUNTIF('7月'!BQ18:BR18,L$226)+COUNTIF('7月'!BV18:BW18,L$226)+COUNTIF('7月'!CA18:CB18,L$226)+COUNTIF('7月'!CF18:CG18,L$226)+COUNTIF('7月'!CK18:CL18,L$226)+COUNTIF('7月'!CP18:CQ18,L$226)+COUNTIF('7月'!CU18:CV18,L$226)+COUNTIF('7月'!CZ18:DA18,L$226)+COUNTIF('7月'!DE18:DF18,L$226)+COUNTIF('7月'!DJ18:DK18,L$226)+COUNTIF('7月'!DO18:DP18,L$226)+COUNTIF('7月'!DT18:DU18,L$226)+COUNTIF('7月'!DY18:DZ18,L$226)+COUNTIF('7月'!ED18:EE18,L$226)+COUNTIF('7月'!EI18:EJ18,L$226)+COUNTIF('7月'!EN18:EO18,L$226)+COUNTIF('7月'!ES18:ET18,L$226)</f>
        <v>0</v>
      </c>
      <c r="M242" s="76">
        <f t="shared" si="77"/>
        <v>0</v>
      </c>
      <c r="N242" s="76">
        <f>COUNTIF('7月'!D18:E18,N$226)+COUNTIF('7月'!I18:J18,N$226)+COUNTIF('7月'!N18:O18,N$226)+COUNTIF('7月'!S18:T18,N$226)+COUNTIF('7月'!X18:Y18,N$226)+COUNTIF('7月'!AC18:AD18,N$226)+COUNTIF('7月'!AH18:AI18,N$226)+COUNTIF('7月'!AM18:AN18,N$226)+COUNTIF('7月'!AR18:AS18,N$226)+COUNTIF('7月'!AW18:AX18,N$226)+COUNTIF('7月'!BB18:BC18,N$226)+COUNTIF('7月'!BG18:BH18,N$226)+COUNTIF('7月'!BL18:BM18,N$226)+COUNTIF('7月'!BQ18:BR18,N$226)+COUNTIF('7月'!BV18:BW18,N$226)+COUNTIF('7月'!CA18:CB18,N$226)+COUNTIF('7月'!CF18:CG18,N$226)+COUNTIF('7月'!CK18:CL18,N$226)+COUNTIF('7月'!CP18:CQ18,N$226)+COUNTIF('7月'!CU18:CV18,N$226)+COUNTIF('7月'!CZ18:DA18,N$226)+COUNTIF('7月'!DE18:DF18,N$226)+COUNTIF('7月'!DJ18:DK18,N$226)+COUNTIF('7月'!DO18:DP18,N$226)+COUNTIF('7月'!DT18:DU18,N$226)+COUNTIF('7月'!DY18:DZ18,N$226)+COUNTIF('7月'!ED18:EE18,N$226)+COUNTIF('7月'!EI18:EJ18,N$226)+COUNTIF('7月'!EN18:EO18,N$226)+COUNTIF('7月'!ES18:ET18,N$226)+COUNTIF('7月'!D18:E18,"三軒茶屋－夜勤")+COUNTIF('7月'!I18:J18,"三軒茶屋－夜勤")+COUNTIF('7月'!N18:O18,"三軒茶屋－夜勤")+COUNTIF('7月'!S18:T18,"三軒茶屋－夜勤")+COUNTIF('7月'!X18:Y18,"三軒茶屋－夜勤")+COUNTIF('7月'!AC18:AD18,"三軒茶屋－夜勤")+COUNTIF('7月'!AH18:AI18,"三軒茶屋－夜勤")+COUNTIF('7月'!AM18:AN18,"三軒茶屋－夜勤")+COUNTIF('7月'!AR18:AS18,"三軒茶屋－夜勤")+COUNTIF('7月'!AW18:AX18,"三軒茶屋－夜勤")+COUNTIF('7月'!BB18:BC18,"三軒茶屋－夜勤")+COUNTIF('7月'!BG18:BH18,"三軒茶屋－夜勤")+COUNTIF('7月'!BL18:BM18,"三軒茶屋－夜勤")+COUNTIF('7月'!BQ18:BR18,"三軒茶屋－夜勤")+COUNTIF('7月'!BV18:BW18,"三軒茶屋－夜勤")+COUNTIF('7月'!CA18:CB18,"三軒茶屋－夜勤")+COUNTIF('7月'!CF18:CG18,"三軒茶屋－夜勤")+COUNTIF('7月'!CK18:CL18,"三軒茶屋－夜勤")+COUNTIF('7月'!CP18:CQ18,"三軒茶屋－夜勤")+COUNTIF('7月'!CU18:CV18,"三軒茶屋－夜勤")+COUNTIF('7月'!CZ18:DA18,"三軒茶屋－夜勤")+COUNTIF('7月'!DE18:DF18,"三軒茶屋－夜勤")+COUNTIF('7月'!DJ18:DK18,"三軒茶屋－夜勤")+COUNTIF('7月'!DO18:DP18,"三軒茶屋－夜勤")+COUNTIF('7月'!DT18:DU18,"三軒茶屋－夜勤")+COUNTIF('7月'!DY18:DZ18,"三軒茶屋－夜勤")+COUNTIF('7月'!ED18:EE18,"三軒茶屋－夜勤")+COUNTIF('7月'!EI18:EJ18,"三軒茶屋－夜勤")+COUNTIF('7月'!EN18:EO18,"三軒茶屋－夜勤")+COUNTIF('7月'!ES18:ET18,"三軒茶屋－夜勤")</f>
        <v>0</v>
      </c>
      <c r="O242" s="76">
        <f t="shared" si="78"/>
        <v>0</v>
      </c>
      <c r="P242" s="76">
        <f>COUNTIF('7月'!D18:E18,P$226)+COUNTIF('7月'!I18:J18,P$226)+COUNTIF('7月'!N18:O18,P$226)+COUNTIF('7月'!S18:T18,P$226)+COUNTIF('7月'!X18:Y18,P$226)+COUNTIF('7月'!AC18:AD18,P$226)+COUNTIF('7月'!AH18:AI18,P$226)+COUNTIF('7月'!AM18:AN18,P$226)+COUNTIF('7月'!AR18:AS18,P$226)+COUNTIF('7月'!AW18:AX18,P$226)+COUNTIF('7月'!BB18:BC18,P$226)+COUNTIF('7月'!BG18:BH18,P$226)+COUNTIF('7月'!BL18:BM18,P$226)+COUNTIF('7月'!BQ18:BR18,P$226)+COUNTIF('7月'!BV18:BW18,P$226)+COUNTIF('7月'!CA18:CB18,P$226)+COUNTIF('7月'!CF18:CG18,P$226)+COUNTIF('7月'!CK18:CL18,P$226)+COUNTIF('7月'!CP18:CQ18,P$226)+COUNTIF('7月'!CU18:CV18,P$226)+COUNTIF('7月'!CZ18:DA18,P$226)+COUNTIF('7月'!DE18:DF18,P$226)+COUNTIF('7月'!DJ18:DK18,P$226)+COUNTIF('7月'!DO18:DP18,P$226)+COUNTIF('7月'!DT18:DU18,P$226)+COUNTIF('7月'!DY18:DZ18,P$226)+COUNTIF('7月'!ED18:EE18,P$226)+COUNTIF('7月'!EI18:EJ18,P$226)+COUNTIF('7月'!EN18:EO18,P$226)+COUNTIF('7月'!ES18:ET18,P$226)+COUNTIF('7月'!D18:E18,"荻窪ー夜勤")+COUNTIF('7月'!I18:J18,"荻窪ー夜勤")+COUNTIF('7月'!N18:O18,"荻窪ー夜勤")+COUNTIF('7月'!S18:T18,"荻窪ー夜勤")+COUNTIF('7月'!X18:Y18,"荻窪ー夜勤")+COUNTIF('7月'!AC18:AD18,"荻窪ー夜勤")+COUNTIF('7月'!AH18:AI18,"荻窪ー夜勤")+COUNTIF('7月'!AM18:AN18,"荻窪ー夜勤")+COUNTIF('7月'!AR18:AS18,"荻窪ー夜勤")+COUNTIF('7月'!AW18:AX18,"荻窪ー夜勤")+COUNTIF('7月'!BB18:BC18,"荻窪ー夜勤")+COUNTIF('7月'!BG18:BH18,"荻窪ー夜勤")+COUNTIF('7月'!BL18:BM18,"荻窪ー夜勤")+COUNTIF('7月'!BQ18:BR18,"荻窪ー夜勤")+COUNTIF('7月'!BV18:BW18,"荻窪ー夜勤")+COUNTIF('7月'!CA18:CB18,"荻窪ー夜勤")+COUNTIF('7月'!CF18:CG18,"荻窪ー夜勤")+COUNTIF('7月'!CK18:CL18,"荻窪ー夜勤")+COUNTIF('7月'!CP18:CQ18,"荻窪ー夜勤")+COUNTIF('7月'!CU18:CV18,"荻窪ー夜勤")+COUNTIF('7月'!CZ18:DA18,"荻窪ー夜勤")+COUNTIF('7月'!DE18:DF18,"荻窪ー夜勤")+COUNTIF('7月'!DJ18:DK18,"荻窪ー夜勤")+COUNTIF('7月'!DO18:DP18,"荻窪ー夜勤")+COUNTIF('7月'!DT18:DU18,"荻窪ー夜勤")+COUNTIF('7月'!DY18:DZ18,"荻窪ー夜勤")+COUNTIF('7月'!ED18:EE18,"荻窪ー夜勤")+COUNTIF('7月'!EI18:EJ18,"荻窪ー夜勤")+COUNTIF('7月'!EN18:EO18,"荻窪ー夜勤")+COUNTIF('7月'!ES18:ET18,"荻窪ー夜勤")</f>
        <v>0</v>
      </c>
      <c r="Q242" s="76">
        <f t="shared" si="79"/>
        <v>0</v>
      </c>
      <c r="R242" s="76">
        <f>COUNTIF('7月'!D18:E18,R$226)+COUNTIF('7月'!I18:J18,R$226)+COUNTIF('7月'!N18:O18,R$226)+COUNTIF('7月'!S18:T18,R$226)+COUNTIF('7月'!X18:Y18,R$226)+COUNTIF('7月'!AC18:AD18,R$226)+COUNTIF('7月'!AH18:AI18,R$226)+COUNTIF('7月'!AM18:AN18,R$226)+COUNTIF('7月'!AR18:AS18,R$226)+COUNTIF('7月'!AW18:AX18,R$226)+COUNTIF('7月'!BB18:BC18,R$226)+COUNTIF('7月'!BG18:BH18,R$226)+COUNTIF('7月'!BL18:BM18,R$226)+COUNTIF('7月'!BQ18:BR18,R$226)+COUNTIF('7月'!BV18:BW18,R$226)+COUNTIF('7月'!CA18:CB18,R$226)+COUNTIF('7月'!CF18:CG18,R$226)+COUNTIF('7月'!CK18:CL18,R$226)+COUNTIF('7月'!CP18:CQ18,R$226)+COUNTIF('7月'!CU18:CV18,R$226)+COUNTIF('7月'!CZ18:DA18,R$226)+COUNTIF('7月'!DE18:DF18,R$226)+COUNTIF('7月'!DJ18:DK18,R$226)+COUNTIF('7月'!DO18:DP18,R$226)+COUNTIF('7月'!DT18:DU18,R$226)+COUNTIF('7月'!DY18:DZ18,R$226)+COUNTIF('7月'!ED18:EE18,R$226)+COUNTIF('7月'!EI18:EJ18,R$226)+COUNTIF('7月'!EN18:EO18,R$226)+COUNTIF('7月'!ES18:ET18,R$226)</f>
        <v>0</v>
      </c>
      <c r="S242" s="76">
        <f t="shared" si="80"/>
        <v>0</v>
      </c>
      <c r="T242" s="76">
        <f>COUNTIF('7月'!D18:E18,T$226)+COUNTIF('7月'!I18:J18,T$226)+COUNTIF('7月'!N18:O18,T$226)+COUNTIF('7月'!S18:T18,T$226)+COUNTIF('7月'!X18:Y18,T$226)+COUNTIF('7月'!AC18:AD18,T$226)+COUNTIF('7月'!AH18:AI18,T$226)+COUNTIF('7月'!AM18:AN18,T$226)+COUNTIF('7月'!AR18:AS18,T$226)+COUNTIF('7月'!AW18:AX18,T$226)+COUNTIF('7月'!BB18:BC18,T$226)+COUNTIF('7月'!BG18:BH18,T$226)+COUNTIF('7月'!BL18:BM18,T$226)+COUNTIF('7月'!BQ18:BR18,T$226)+COUNTIF('7月'!BV18:BW18,T$226)+COUNTIF('7月'!CA18:CB18,T$226)+COUNTIF('7月'!CF18:CG18,T$226)+COUNTIF('7月'!CK18:CL18,T$226)+COUNTIF('7月'!CP18:CQ18,T$226)+COUNTIF('7月'!CU18:CV18,T$226)+COUNTIF('7月'!CZ18:DA18,T$226)+COUNTIF('7月'!DE18:DF18,T$226)+COUNTIF('7月'!DJ18:DK18,T$226)+COUNTIF('7月'!DO18:DP18,T$226)+COUNTIF('7月'!DT18:DU18,T$226)+COUNTIF('7月'!DY18:DZ18,T$226)+COUNTIF('7月'!ED18:EE18,T$226)+COUNTIF('7月'!EI18:EJ18,T$226)+COUNTIF('7月'!EN18:EO18,T$226)+COUNTIF('7月'!ES18:ET18,T$226)</f>
        <v>0</v>
      </c>
      <c r="U242" s="76">
        <f t="shared" si="81"/>
        <v>0</v>
      </c>
      <c r="V242" s="76">
        <f>COUNTIF('7月'!D18:E18,V$226)+COUNTIF('7月'!I18:J18,V$226)+COUNTIF('7月'!N18:O18,V$226)+COUNTIF('7月'!S18:T18,V$226)+COUNTIF('7月'!X18:Y18,V$226)+COUNTIF('7月'!AC18:AD18,V$226)+COUNTIF('7月'!AH18:AI18,V$226)+COUNTIF('7月'!AM18:AN18,V$226)+COUNTIF('7月'!AR18:AS18,V$226)+COUNTIF('7月'!AW18:AX18,V$226)+COUNTIF('7月'!BB18:BC18,V$226)+COUNTIF('7月'!BG18:BH18,V$226)+COUNTIF('7月'!BL18:BM18,V$226)+COUNTIF('7月'!BQ18:BR18,V$226)+COUNTIF('7月'!BV18:BW18,V$226)+COUNTIF('7月'!CA18:CB18,V$226)+COUNTIF('7月'!CF18:CG18,V$226)+COUNTIF('7月'!CK18:CL18,V$226)+COUNTIF('7月'!CP18:CQ18,V$226)+COUNTIF('7月'!CU18:CV18,V$226)+COUNTIF('7月'!CZ18:DA18,V$226)+COUNTIF('7月'!DE18:DF18,V$226)+COUNTIF('7月'!DJ18:DK18,V$226)+COUNTIF('7月'!DO18:DP18,V$226)+COUNTIF('7月'!DT18:DU18,V$226)+COUNTIF('7月'!DY18:DZ18,V$226)+COUNTIF('7月'!ED18:EE18,V$226)+COUNTIF('7月'!EI18:EJ18,V$226)+COUNTIF('7月'!EN18:EO18,V$226)+COUNTIF('7月'!ES18:ET18,V$226)</f>
        <v>0</v>
      </c>
      <c r="W242" s="76">
        <f t="shared" si="82"/>
        <v>0</v>
      </c>
      <c r="X242" s="76">
        <f>COUNTIF('7月'!D18:E18,X$226)+COUNTIF('7月'!I18:J18,X$226)+COUNTIF('7月'!N18:O18,X$226)+COUNTIF('7月'!S18:T18,X$226)+COUNTIF('7月'!X18:Y18,X$226)+COUNTIF('7月'!AC18:AD18,X$226)+COUNTIF('7月'!AH18:AI18,X$226)+COUNTIF('7月'!AM18:AN18,X$226)+COUNTIF('7月'!AR18:AS18,X$226)+COUNTIF('7月'!AW18:AX18,X$226)+COUNTIF('7月'!BB18:BC18,X$226)+COUNTIF('7月'!BG18:BH18,X$226)+COUNTIF('7月'!BL18:BM18,X$226)+COUNTIF('7月'!BQ18:BR18,X$226)+COUNTIF('7月'!BV18:BW18,X$226)+COUNTIF('7月'!CA18:CB18,X$226)+COUNTIF('7月'!CF18:CG18,X$226)+COUNTIF('7月'!CK18:CL18,X$226)+COUNTIF('7月'!CP18:CQ18,X$226)+COUNTIF('7月'!CU18:CV18,X$226)+COUNTIF('7月'!CZ18:DA18,X$226)+COUNTIF('7月'!DE18:DF18,X$226)+COUNTIF('7月'!DJ18:DK18,X$226)+COUNTIF('7月'!DO18:DP18,X$226)+COUNTIF('7月'!DT18:DU18,X$226)+COUNTIF('7月'!DY18:DZ18,X$226)+COUNTIF('7月'!ED18:EE18,X$226)+COUNTIF('7月'!EI18:EJ18,X$226)+COUNTIF('7月'!EN18:EO18,X$226)+COUNTIF('7月'!ES18:ET18,X$226)</f>
        <v>0</v>
      </c>
      <c r="Y242" s="76">
        <f t="shared" si="83"/>
        <v>0</v>
      </c>
    </row>
    <row r="243" spans="1:25" ht="18" customHeight="1">
      <c r="A243" s="76">
        <v>16</v>
      </c>
      <c r="B243" s="76">
        <f>COUNTIF('7月'!D19:E19,B$226)+COUNTIF('7月'!I19:J19,B$226)+COUNTIF('7月'!N19:O19,B$226)+COUNTIF('7月'!S19:T19,B$226)+COUNTIF('7月'!X19:Y19,B$226)+COUNTIF('7月'!AC19:AD19,B$226)+COUNTIF('7月'!AH19:AI19,B$226)+COUNTIF('7月'!AM19:AN19,B$226)+COUNTIF('7月'!AR19:AS19,B$226)+COUNTIF('7月'!AW19:AX19,B$226)+COUNTIF('7月'!BB19:BC19,B$226)+COUNTIF('7月'!BG19:BH19,B$226)+COUNTIF('7月'!BL19:BM19,B$226)+COUNTIF('7月'!BQ19:BR19,B$226)+COUNTIF('7月'!BV19:BW19,B$226)+COUNTIF('7月'!CA19:CB19,B$226)+COUNTIF('7月'!CF19:CG19,B$226)+COUNTIF('7月'!CK19:CL19,B$226)+COUNTIF('7月'!CP19:CQ19,B$226)+COUNTIF('7月'!CU19:CV19,B$226)+COUNTIF('7月'!CZ19:DA19,B$226)+COUNTIF('7月'!DE19:DF19,B$226)+COUNTIF('7月'!DJ19:DK19,B$226)+COUNTIF('7月'!DO19:DP19,B$226)+COUNTIF('7月'!DT19:DU19,B$226)+COUNTIF('7月'!DY19:DZ19,B$226)+COUNTIF('7月'!ED19:EE19,B$226)+COUNTIF('7月'!EI19:EJ19,B$226)+COUNTIF('7月'!EN19:EO19,B$226)+COUNTIF('7月'!ES19:ET19,B$226)</f>
        <v>0</v>
      </c>
      <c r="C243" s="76">
        <f t="shared" si="72"/>
        <v>0</v>
      </c>
      <c r="D243" s="76">
        <f>COUNTIF('7月'!D19:E19,D$226)+COUNTIF('7月'!I19:J19,D$226)+COUNTIF('7月'!N19:O19,D$226)+COUNTIF('7月'!S19:T19,D$226)+COUNTIF('7月'!X19:Y19,D$226)+COUNTIF('7月'!AC19:AD19,D$226)+COUNTIF('7月'!AH19:AI19,D$226)+COUNTIF('7月'!AM19:AN19,D$226)+COUNTIF('7月'!AR19:AS19,D$226)+COUNTIF('7月'!AW19:AX19,D$226)+COUNTIF('7月'!BB19:BC19,D$226)+COUNTIF('7月'!BG19:BH19,D$226)+COUNTIF('7月'!BL19:BM19,D$226)+COUNTIF('7月'!BQ19:BR19,D$226)+COUNTIF('7月'!BV19:BW19,D$226)+COUNTIF('7月'!CA19:CB19,D$226)+COUNTIF('7月'!CF19:CG19,D$226)+COUNTIF('7月'!CK19:CL19,D$226)+COUNTIF('7月'!CP19:CQ19,D$226)+COUNTIF('7月'!CU19:CV19,D$226)+COUNTIF('7月'!CZ19:DA19,D$226)+COUNTIF('7月'!DE19:DF19,D$226)+COUNTIF('7月'!DJ19:DK19,D$226)+COUNTIF('7月'!DO19:DP19,D$226)+COUNTIF('7月'!DT19:DU19,D$226)+COUNTIF('7月'!DY19:DZ19,D$226)+COUNTIF('7月'!ED19:EE19,D$226)+COUNTIF('7月'!EI19:EJ19,D$226)+COUNTIF('7月'!EN19:EO19,D$226)+COUNTIF('7月'!ES19:ET19,D$226)</f>
        <v>0</v>
      </c>
      <c r="E243" s="76">
        <f t="shared" si="73"/>
        <v>0</v>
      </c>
      <c r="F243" s="76">
        <f>COUNTIF('7月'!D19:E19,F$226)+COUNTIF('7月'!I19:J19,F$226)+COUNTIF('7月'!N19:O19,F$226)+COUNTIF('7月'!S19:T19,F$226)+COUNTIF('7月'!X19:Y19,F$226)+COUNTIF('7月'!AC19:AD19,F$226)+COUNTIF('7月'!AH19:AI19,F$226)+COUNTIF('7月'!AM19:AN19,F$226)+COUNTIF('7月'!AR19:AS19,F$226)+COUNTIF('7月'!AW19:AX19,F$226)+COUNTIF('7月'!BB19:BC19,F$226)+COUNTIF('7月'!BG19:BH19,F$226)+COUNTIF('7月'!BL19:BM19,F$226)+COUNTIF('7月'!BQ19:BR19,F$226)+COUNTIF('7月'!BV19:BW19,F$226)+COUNTIF('7月'!CA19:CB19,F$226)+COUNTIF('7月'!CF19:CG19,F$226)+COUNTIF('7月'!CK19:CL19,F$226)+COUNTIF('7月'!CP19:CQ19,F$226)+COUNTIF('7月'!CU19:CV19,F$226)+COUNTIF('7月'!CZ19:DA19,F$226)+COUNTIF('7月'!DE19:DF19,F$226)+COUNTIF('7月'!DJ19:DK19,F$226)+COUNTIF('7月'!DO19:DP19,F$226)+COUNTIF('7月'!DT19:DU19,F$226)+COUNTIF('7月'!DY19:DZ19,F$226)+COUNTIF('7月'!ED19:EE19,F$226)+COUNTIF('7月'!EI19:EJ19,F$226)+COUNTIF('7月'!EN19:EO19,F$226)+COUNTIF('7月'!ES19:ET19,F$226)</f>
        <v>0</v>
      </c>
      <c r="G243" s="76">
        <f t="shared" si="74"/>
        <v>0</v>
      </c>
      <c r="H243" s="76">
        <f>COUNTIF('7月'!D19:E19,H$226)+COUNTIF('7月'!I19:J19,H$226)+COUNTIF('7月'!N19:O19,H$226)+COUNTIF('7月'!S19:T19,H$226)+COUNTIF('7月'!X19:Y19,H$226)+COUNTIF('7月'!AC19:AD19,H$226)+COUNTIF('7月'!AH19:AI19,H$226)+COUNTIF('7月'!AM19:AN19,H$226)+COUNTIF('7月'!AR19:AS19,H$226)+COUNTIF('7月'!AW19:AX19,H$226)+COUNTIF('7月'!BB19:BC19,H$226)+COUNTIF('7月'!BG19:BH19,H$226)+COUNTIF('7月'!BL19:BM19,H$226)+COUNTIF('7月'!BQ19:BR19,H$226)+COUNTIF('7月'!BV19:BW19,H$226)+COUNTIF('7月'!CA19:CB19,H$226)+COUNTIF('7月'!CF19:CG19,H$226)+COUNTIF('7月'!CK19:CL19,H$226)+COUNTIF('7月'!CP19:CQ19,H$226)+COUNTIF('7月'!CU19:CV19,H$226)+COUNTIF('7月'!CZ19:DA19,H$226)+COUNTIF('7月'!DE19:DF19,H$226)+COUNTIF('7月'!DJ19:DK19,H$226)+COUNTIF('7月'!DO19:DP19,H$226)+COUNTIF('7月'!DT19:DU19,H$226)+COUNTIF('7月'!DY19:DZ19,H$226)+COUNTIF('7月'!ED19:EE19,H$226)+COUNTIF('7月'!EI19:EJ19,H$226)+COUNTIF('7月'!EN19:EO19,H$226)+COUNTIF('7月'!ES19:ET19,H$226)+COUNTIF('7月'!D19:E19,"渋谷-夜勤")+COUNTIF('7月'!I19:J19,"渋谷-夜勤")+COUNTIF('7月'!N19:O19,"渋谷-夜勤")+COUNTIF('7月'!S19:T19,"渋谷-夜勤")+COUNTIF('7月'!X19:Y19,"渋谷-夜勤")+COUNTIF('7月'!AC19:AD19,"渋谷-夜勤")+COUNTIF('7月'!AH19:AI19,"渋谷-夜勤")+COUNTIF('7月'!AM19:AN19,"渋谷-夜勤")+COUNTIF('7月'!AR19:AS19,"渋谷-夜勤")+COUNTIF('7月'!AW19:AX19,"渋谷-夜勤")+COUNTIF('7月'!BB19:BC19,"渋谷-夜勤")+COUNTIF('7月'!BG19:BH19,"渋谷-夜勤")+COUNTIF('7月'!BL19:BM19,"渋谷-夜勤")+COUNTIF('7月'!BQ19:BR19,"渋谷-夜勤")+COUNTIF('7月'!BV19:BW19,"渋谷-夜勤")+COUNTIF('7月'!CA19:CB19,"渋谷-夜勤")+COUNTIF('7月'!CF19:CG19,"渋谷-夜勤")+COUNTIF('7月'!CK19:CL19,"渋谷-夜勤")+COUNTIF('7月'!CP19:CQ19,"渋谷-夜勤")+COUNTIF('7月'!CU19:CV19,"渋谷-夜勤")+COUNTIF('7月'!CZ19:DA19,"渋谷-夜勤")+COUNTIF('7月'!DE19:DF19,"渋谷-夜勤")+COUNTIF('7月'!DJ19:DK19,"渋谷-夜勤")+COUNTIF('7月'!DO19:DP19,"渋谷-夜勤")+COUNTIF('7月'!DT19:DU19,"渋谷-夜勤")+COUNTIF('7月'!DY19:DZ19,"渋谷-夜勤")+COUNTIF('7月'!ED19:EE19,"渋谷-夜勤")+COUNTIF('7月'!EI19:EJ19,"渋谷-夜勤")+COUNTIF('7月'!EN19:EO19,"渋谷-夜勤")+COUNTIF('7月'!ES19:ET19,"渋谷-夜勤")</f>
        <v>0</v>
      </c>
      <c r="I243" s="76">
        <f t="shared" si="75"/>
        <v>0</v>
      </c>
      <c r="J243" s="76">
        <f>COUNTIF('7月'!D19:E19,J$226)+COUNTIF('7月'!I19:J19,J$226)+COUNTIF('7月'!N19:O19,J$226)+COUNTIF('7月'!S19:T19,J$226)+COUNTIF('7月'!X19:Y19,J$226)+COUNTIF('7月'!AC19:AD19,J$226)+COUNTIF('7月'!AH19:AI19,J$226)+COUNTIF('7月'!AM19:AN19,J$226)+COUNTIF('7月'!AR19:AS19,J$226)+COUNTIF('7月'!AW19:AX19,J$226)+COUNTIF('7月'!BB19:BC19,J$226)+COUNTIF('7月'!BG19:BH19,J$226)+COUNTIF('7月'!BL19:BM19,J$226)+COUNTIF('7月'!BQ19:BR19,J$226)+COUNTIF('7月'!BV19:BW19,J$226)+COUNTIF('7月'!CA19:CB19,J$226)+COUNTIF('7月'!CF19:CG19,J$226)+COUNTIF('7月'!CK19:CL19,J$226)+COUNTIF('7月'!CP19:CQ19,J$226)+COUNTIF('7月'!CU19:CV19,J$226)+COUNTIF('7月'!CZ19:DA19,J$226)+COUNTIF('7月'!DE19:DF19,J$226)+COUNTIF('7月'!DJ19:DK19,J$226)+COUNTIF('7月'!DO19:DP19,J$226)+COUNTIF('7月'!DT19:DU19,J$226)+COUNTIF('7月'!DY19:DZ19,J$226)+COUNTIF('7月'!ED19:EE19,J$226)+COUNTIF('7月'!EI19:EJ19,J$226)+COUNTIF('7月'!EN19:EO19,J$226)+COUNTIF('7月'!ES19:ET19,J$226)+COUNTIF('7月'!D19:E19,"六本木-夜勤")+COUNTIF('7月'!I19:J19,"六本木-夜勤")+COUNTIF('7月'!N19:O19,"六本木-夜勤")+COUNTIF('7月'!S19:T19,"六本木-夜勤")+COUNTIF('7月'!X19:Y19,"六本木-夜勤")+COUNTIF('7月'!AC19:AD19,"六本木-夜勤")+COUNTIF('7月'!AH19:AI19,"六本木-夜勤")+COUNTIF('7月'!AM19:AN19,"六本木-夜勤")+COUNTIF('7月'!AR19:AS19,"六本木-夜勤")+COUNTIF('7月'!AW19:AX19,"六本木-夜勤")+COUNTIF('7月'!BB19:BC19,"六本木-夜勤")+COUNTIF('7月'!BG19:BH19,"六本木-夜勤")+COUNTIF('7月'!BL19:BM19,"六本木-夜勤")+COUNTIF('7月'!BQ19:BR19,"六本木-夜勤")+COUNTIF('7月'!BV19:BW19,"六本木-夜勤")+COUNTIF('7月'!CA19:CB19,"六本木-夜勤")+COUNTIF('7月'!CF19:CG19,"六本木-夜勤")+COUNTIF('7月'!CK19:CL19,"六本木-夜勤")+COUNTIF('7月'!CP19:CQ19,"六本木-夜勤")+COUNTIF('7月'!CU19:CV19,"六本木-夜勤")+COUNTIF('7月'!CZ19:DA19,"六本木-夜勤")+COUNTIF('7月'!DE19:DF19,"六本木-夜勤")+COUNTIF('7月'!DJ19:DK19,"六本木-夜勤")+COUNTIF('7月'!DO19:DP19,"六本木-夜勤")+COUNTIF('7月'!DT19:DU19,"六本木-夜勤")+COUNTIF('7月'!DY19:DZ19,"六本木-夜勤")+COUNTIF('7月'!ED19:EE19,"六本木-夜勤")+COUNTIF('7月'!EI19:EJ19,"六本木-夜勤")+COUNTIF('7月'!EN19:EO19,"六本木-夜勤")+COUNTIF('7月'!ES19:ET19,"六本木-夜勤")+COUNTIF('7月'!D19:E19,"六本木ー夜勤")+COUNTIF('7月'!I19:J19,"六本木ー夜勤")+COUNTIF('7月'!N19:O19,"六本木ー夜勤")+COUNTIF('7月'!S19:T19,"六本木ー夜勤")+COUNTIF('7月'!X19:Y19,"六本木ー夜勤")+COUNTIF('7月'!AC19:AD19,"六本木ー夜勤")+COUNTIF('7月'!AH19:AI19,"六本木ー夜勤")+COUNTIF('7月'!AM19:AN19,"六本木ー夜勤")+COUNTIF('7月'!AR19:AS19,"六本木ー夜勤")+COUNTIF('7月'!AW19:AX19,"六本木ー夜勤")+COUNTIF('7月'!BB19:BC19,"六本木ー夜勤")+COUNTIF('7月'!BG19:BH19,"六本木ー夜勤")+COUNTIF('7月'!BL19:BM19,"六本木ー夜勤")+COUNTIF('7月'!BQ19:BR19,"六本木ー夜勤")+COUNTIF('7月'!BV19:BW19,"六本木ー夜勤")+COUNTIF('7月'!CA19:CB19,"六本木ー夜勤")+COUNTIF('7月'!CF19:CG19,"六本木ー夜勤")+COUNTIF('7月'!CK19:CL19,"六本木ー夜勤")+COUNTIF('7月'!CP19:CQ19,"六本木ー夜勤")+COUNTIF('7月'!CU19:CV19,"六本木ー夜勤")+COUNTIF('7月'!CZ19:DA19,"六本木ー夜勤")+COUNTIF('7月'!DE19:DF19,"六本木ー夜勤")+COUNTIF('7月'!DJ19:DK19,"六本木ー夜勤")+COUNTIF('7月'!DO19:DP19,"六本木ー夜勤")+COUNTIF('7月'!DT19:DU19,"六本木ー夜勤")+COUNTIF('7月'!DY19:DZ19,"六本木ー夜勤")+COUNTIF('7月'!ED19:EE19,"六本木ー夜勤")+COUNTIF('7月'!EI19:EJ19,"六本木ー夜勤")+COUNTIF('7月'!EN19:EO19,"六本木ー夜勤")+COUNTIF('7月'!ES19:ET19,"六本木ー夜勤")</f>
        <v>0</v>
      </c>
      <c r="K243" s="76">
        <f t="shared" si="76"/>
        <v>0</v>
      </c>
      <c r="L243" s="76">
        <f>COUNTIF('7月'!D19:E19,L$226)+COUNTIF('7月'!I19:J19,L$226)+COUNTIF('7月'!N19:O19,L$226)+COUNTIF('7月'!S19:T19,L$226)+COUNTIF('7月'!X19:Y19,L$226)+COUNTIF('7月'!AC19:AD19,L$226)+COUNTIF('7月'!AH19:AI19,L$226)+COUNTIF('7月'!AM19:AN19,L$226)+COUNTIF('7月'!AR19:AS19,L$226)+COUNTIF('7月'!AW19:AX19,L$226)+COUNTIF('7月'!BB19:BC19,L$226)+COUNTIF('7月'!BG19:BH19,L$226)+COUNTIF('7月'!BL19:BM19,L$226)+COUNTIF('7月'!BQ19:BR19,L$226)+COUNTIF('7月'!BV19:BW19,L$226)+COUNTIF('7月'!CA19:CB19,L$226)+COUNTIF('7月'!CF19:CG19,L$226)+COUNTIF('7月'!CK19:CL19,L$226)+COUNTIF('7月'!CP19:CQ19,L$226)+COUNTIF('7月'!CU19:CV19,L$226)+COUNTIF('7月'!CZ19:DA19,L$226)+COUNTIF('7月'!DE19:DF19,L$226)+COUNTIF('7月'!DJ19:DK19,L$226)+COUNTIF('7月'!DO19:DP19,L$226)+COUNTIF('7月'!DT19:DU19,L$226)+COUNTIF('7月'!DY19:DZ19,L$226)+COUNTIF('7月'!ED19:EE19,L$226)+COUNTIF('7月'!EI19:EJ19,L$226)+COUNTIF('7月'!EN19:EO19,L$226)+COUNTIF('7月'!ES19:ET19,L$226)</f>
        <v>0</v>
      </c>
      <c r="M243" s="76">
        <f t="shared" si="77"/>
        <v>0</v>
      </c>
      <c r="N243" s="76">
        <f>COUNTIF('7月'!D19:E19,N$226)+COUNTIF('7月'!I19:J19,N$226)+COUNTIF('7月'!N19:O19,N$226)+COUNTIF('7月'!S19:T19,N$226)+COUNTIF('7月'!X19:Y19,N$226)+COUNTIF('7月'!AC19:AD19,N$226)+COUNTIF('7月'!AH19:AI19,N$226)+COUNTIF('7月'!AM19:AN19,N$226)+COUNTIF('7月'!AR19:AS19,N$226)+COUNTIF('7月'!AW19:AX19,N$226)+COUNTIF('7月'!BB19:BC19,N$226)+COUNTIF('7月'!BG19:BH19,N$226)+COUNTIF('7月'!BL19:BM19,N$226)+COUNTIF('7月'!BQ19:BR19,N$226)+COUNTIF('7月'!BV19:BW19,N$226)+COUNTIF('7月'!CA19:CB19,N$226)+COUNTIF('7月'!CF19:CG19,N$226)+COUNTIF('7月'!CK19:CL19,N$226)+COUNTIF('7月'!CP19:CQ19,N$226)+COUNTIF('7月'!CU19:CV19,N$226)+COUNTIF('7月'!CZ19:DA19,N$226)+COUNTIF('7月'!DE19:DF19,N$226)+COUNTIF('7月'!DJ19:DK19,N$226)+COUNTIF('7月'!DO19:DP19,N$226)+COUNTIF('7月'!DT19:DU19,N$226)+COUNTIF('7月'!DY19:DZ19,N$226)+COUNTIF('7月'!ED19:EE19,N$226)+COUNTIF('7月'!EI19:EJ19,N$226)+COUNTIF('7月'!EN19:EO19,N$226)+COUNTIF('7月'!ES19:ET19,N$226)+COUNTIF('7月'!D19:E19,"三軒茶屋－夜勤")+COUNTIF('7月'!I19:J19,"三軒茶屋－夜勤")+COUNTIF('7月'!N19:O19,"三軒茶屋－夜勤")+COUNTIF('7月'!S19:T19,"三軒茶屋－夜勤")+COUNTIF('7月'!X19:Y19,"三軒茶屋－夜勤")+COUNTIF('7月'!AC19:AD19,"三軒茶屋－夜勤")+COUNTIF('7月'!AH19:AI19,"三軒茶屋－夜勤")+COUNTIF('7月'!AM19:AN19,"三軒茶屋－夜勤")+COUNTIF('7月'!AR19:AS19,"三軒茶屋－夜勤")+COUNTIF('7月'!AW19:AX19,"三軒茶屋－夜勤")+COUNTIF('7月'!BB19:BC19,"三軒茶屋－夜勤")+COUNTIF('7月'!BG19:BH19,"三軒茶屋－夜勤")+COUNTIF('7月'!BL19:BM19,"三軒茶屋－夜勤")+COUNTIF('7月'!BQ19:BR19,"三軒茶屋－夜勤")+COUNTIF('7月'!BV19:BW19,"三軒茶屋－夜勤")+COUNTIF('7月'!CA19:CB19,"三軒茶屋－夜勤")+COUNTIF('7月'!CF19:CG19,"三軒茶屋－夜勤")+COUNTIF('7月'!CK19:CL19,"三軒茶屋－夜勤")+COUNTIF('7月'!CP19:CQ19,"三軒茶屋－夜勤")+COUNTIF('7月'!CU19:CV19,"三軒茶屋－夜勤")+COUNTIF('7月'!CZ19:DA19,"三軒茶屋－夜勤")+COUNTIF('7月'!DE19:DF19,"三軒茶屋－夜勤")+COUNTIF('7月'!DJ19:DK19,"三軒茶屋－夜勤")+COUNTIF('7月'!DO19:DP19,"三軒茶屋－夜勤")+COUNTIF('7月'!DT19:DU19,"三軒茶屋－夜勤")+COUNTIF('7月'!DY19:DZ19,"三軒茶屋－夜勤")+COUNTIF('7月'!ED19:EE19,"三軒茶屋－夜勤")+COUNTIF('7月'!EI19:EJ19,"三軒茶屋－夜勤")+COUNTIF('7月'!EN19:EO19,"三軒茶屋－夜勤")+COUNTIF('7月'!ES19:ET19,"三軒茶屋－夜勤")</f>
        <v>0</v>
      </c>
      <c r="O243" s="76">
        <f t="shared" si="78"/>
        <v>0</v>
      </c>
      <c r="P243" s="76">
        <f>COUNTIF('7月'!D19:E19,P$226)+COUNTIF('7月'!I19:J19,P$226)+COUNTIF('7月'!N19:O19,P$226)+COUNTIF('7月'!S19:T19,P$226)+COUNTIF('7月'!X19:Y19,P$226)+COUNTIF('7月'!AC19:AD19,P$226)+COUNTIF('7月'!AH19:AI19,P$226)+COUNTIF('7月'!AM19:AN19,P$226)+COUNTIF('7月'!AR19:AS19,P$226)+COUNTIF('7月'!AW19:AX19,P$226)+COUNTIF('7月'!BB19:BC19,P$226)+COUNTIF('7月'!BG19:BH19,P$226)+COUNTIF('7月'!BL19:BM19,P$226)+COUNTIF('7月'!BQ19:BR19,P$226)+COUNTIF('7月'!BV19:BW19,P$226)+COUNTIF('7月'!CA19:CB19,P$226)+COUNTIF('7月'!CF19:CG19,P$226)+COUNTIF('7月'!CK19:CL19,P$226)+COUNTIF('7月'!CP19:CQ19,P$226)+COUNTIF('7月'!CU19:CV19,P$226)+COUNTIF('7月'!CZ19:DA19,P$226)+COUNTIF('7月'!DE19:DF19,P$226)+COUNTIF('7月'!DJ19:DK19,P$226)+COUNTIF('7月'!DO19:DP19,P$226)+COUNTIF('7月'!DT19:DU19,P$226)+COUNTIF('7月'!DY19:DZ19,P$226)+COUNTIF('7月'!ED19:EE19,P$226)+COUNTIF('7月'!EI19:EJ19,P$226)+COUNTIF('7月'!EN19:EO19,P$226)+COUNTIF('7月'!ES19:ET19,P$226)+COUNTIF('7月'!D19:E19,"荻窪ー夜勤")+COUNTIF('7月'!I19:J19,"荻窪ー夜勤")+COUNTIF('7月'!N19:O19,"荻窪ー夜勤")+COUNTIF('7月'!S19:T19,"荻窪ー夜勤")+COUNTIF('7月'!X19:Y19,"荻窪ー夜勤")+COUNTIF('7月'!AC19:AD19,"荻窪ー夜勤")+COUNTIF('7月'!AH19:AI19,"荻窪ー夜勤")+COUNTIF('7月'!AM19:AN19,"荻窪ー夜勤")+COUNTIF('7月'!AR19:AS19,"荻窪ー夜勤")+COUNTIF('7月'!AW19:AX19,"荻窪ー夜勤")+COUNTIF('7月'!BB19:BC19,"荻窪ー夜勤")+COUNTIF('7月'!BG19:BH19,"荻窪ー夜勤")+COUNTIF('7月'!BL19:BM19,"荻窪ー夜勤")+COUNTIF('7月'!BQ19:BR19,"荻窪ー夜勤")+COUNTIF('7月'!BV19:BW19,"荻窪ー夜勤")+COUNTIF('7月'!CA19:CB19,"荻窪ー夜勤")+COUNTIF('7月'!CF19:CG19,"荻窪ー夜勤")+COUNTIF('7月'!CK19:CL19,"荻窪ー夜勤")+COUNTIF('7月'!CP19:CQ19,"荻窪ー夜勤")+COUNTIF('7月'!CU19:CV19,"荻窪ー夜勤")+COUNTIF('7月'!CZ19:DA19,"荻窪ー夜勤")+COUNTIF('7月'!DE19:DF19,"荻窪ー夜勤")+COUNTIF('7月'!DJ19:DK19,"荻窪ー夜勤")+COUNTIF('7月'!DO19:DP19,"荻窪ー夜勤")+COUNTIF('7月'!DT19:DU19,"荻窪ー夜勤")+COUNTIF('7月'!DY19:DZ19,"荻窪ー夜勤")+COUNTIF('7月'!ED19:EE19,"荻窪ー夜勤")+COUNTIF('7月'!EI19:EJ19,"荻窪ー夜勤")+COUNTIF('7月'!EN19:EO19,"荻窪ー夜勤")+COUNTIF('7月'!ES19:ET19,"荻窪ー夜勤")</f>
        <v>0</v>
      </c>
      <c r="Q243" s="76">
        <f t="shared" si="79"/>
        <v>0</v>
      </c>
      <c r="R243" s="76">
        <f>COUNTIF('7月'!D19:E19,R$226)+COUNTIF('7月'!I19:J19,R$226)+COUNTIF('7月'!N19:O19,R$226)+COUNTIF('7月'!S19:T19,R$226)+COUNTIF('7月'!X19:Y19,R$226)+COUNTIF('7月'!AC19:AD19,R$226)+COUNTIF('7月'!AH19:AI19,R$226)+COUNTIF('7月'!AM19:AN19,R$226)+COUNTIF('7月'!AR19:AS19,R$226)+COUNTIF('7月'!AW19:AX19,R$226)+COUNTIF('7月'!BB19:BC19,R$226)+COUNTIF('7月'!BG19:BH19,R$226)+COUNTIF('7月'!BL19:BM19,R$226)+COUNTIF('7月'!BQ19:BR19,R$226)+COUNTIF('7月'!BV19:BW19,R$226)+COUNTIF('7月'!CA19:CB19,R$226)+COUNTIF('7月'!CF19:CG19,R$226)+COUNTIF('7月'!CK19:CL19,R$226)+COUNTIF('7月'!CP19:CQ19,R$226)+COUNTIF('7月'!CU19:CV19,R$226)+COUNTIF('7月'!CZ19:DA19,R$226)+COUNTIF('7月'!DE19:DF19,R$226)+COUNTIF('7月'!DJ19:DK19,R$226)+COUNTIF('7月'!DO19:DP19,R$226)+COUNTIF('7月'!DT19:DU19,R$226)+COUNTIF('7月'!DY19:DZ19,R$226)+COUNTIF('7月'!ED19:EE19,R$226)+COUNTIF('7月'!EI19:EJ19,R$226)+COUNTIF('7月'!EN19:EO19,R$226)+COUNTIF('7月'!ES19:ET19,R$226)</f>
        <v>0</v>
      </c>
      <c r="S243" s="76">
        <f t="shared" si="80"/>
        <v>0</v>
      </c>
      <c r="T243" s="76">
        <f>COUNTIF('7月'!D19:E19,T$226)+COUNTIF('7月'!I19:J19,T$226)+COUNTIF('7月'!N19:O19,T$226)+COUNTIF('7月'!S19:T19,T$226)+COUNTIF('7月'!X19:Y19,T$226)+COUNTIF('7月'!AC19:AD19,T$226)+COUNTIF('7月'!AH19:AI19,T$226)+COUNTIF('7月'!AM19:AN19,T$226)+COUNTIF('7月'!AR19:AS19,T$226)+COUNTIF('7月'!AW19:AX19,T$226)+COUNTIF('7月'!BB19:BC19,T$226)+COUNTIF('7月'!BG19:BH19,T$226)+COUNTIF('7月'!BL19:BM19,T$226)+COUNTIF('7月'!BQ19:BR19,T$226)+COUNTIF('7月'!BV19:BW19,T$226)+COUNTIF('7月'!CA19:CB19,T$226)+COUNTIF('7月'!CF19:CG19,T$226)+COUNTIF('7月'!CK19:CL19,T$226)+COUNTIF('7月'!CP19:CQ19,T$226)+COUNTIF('7月'!CU19:CV19,T$226)+COUNTIF('7月'!CZ19:DA19,T$226)+COUNTIF('7月'!DE19:DF19,T$226)+COUNTIF('7月'!DJ19:DK19,T$226)+COUNTIF('7月'!DO19:DP19,T$226)+COUNTIF('7月'!DT19:DU19,T$226)+COUNTIF('7月'!DY19:DZ19,T$226)+COUNTIF('7月'!ED19:EE19,T$226)+COUNTIF('7月'!EI19:EJ19,T$226)+COUNTIF('7月'!EN19:EO19,T$226)+COUNTIF('7月'!ES19:ET19,T$226)</f>
        <v>0</v>
      </c>
      <c r="U243" s="76">
        <f t="shared" si="81"/>
        <v>0</v>
      </c>
      <c r="V243" s="76">
        <f>COUNTIF('7月'!D19:E19,V$226)+COUNTIF('7月'!I19:J19,V$226)+COUNTIF('7月'!N19:O19,V$226)+COUNTIF('7月'!S19:T19,V$226)+COUNTIF('7月'!X19:Y19,V$226)+COUNTIF('7月'!AC19:AD19,V$226)+COUNTIF('7月'!AH19:AI19,V$226)+COUNTIF('7月'!AM19:AN19,V$226)+COUNTIF('7月'!AR19:AS19,V$226)+COUNTIF('7月'!AW19:AX19,V$226)+COUNTIF('7月'!BB19:BC19,V$226)+COUNTIF('7月'!BG19:BH19,V$226)+COUNTIF('7月'!BL19:BM19,V$226)+COUNTIF('7月'!BQ19:BR19,V$226)+COUNTIF('7月'!BV19:BW19,V$226)+COUNTIF('7月'!CA19:CB19,V$226)+COUNTIF('7月'!CF19:CG19,V$226)+COUNTIF('7月'!CK19:CL19,V$226)+COUNTIF('7月'!CP19:CQ19,V$226)+COUNTIF('7月'!CU19:CV19,V$226)+COUNTIF('7月'!CZ19:DA19,V$226)+COUNTIF('7月'!DE19:DF19,V$226)+COUNTIF('7月'!DJ19:DK19,V$226)+COUNTIF('7月'!DO19:DP19,V$226)+COUNTIF('7月'!DT19:DU19,V$226)+COUNTIF('7月'!DY19:DZ19,V$226)+COUNTIF('7月'!ED19:EE19,V$226)+COUNTIF('7月'!EI19:EJ19,V$226)+COUNTIF('7月'!EN19:EO19,V$226)+COUNTIF('7月'!ES19:ET19,V$226)</f>
        <v>0</v>
      </c>
      <c r="W243" s="76">
        <f t="shared" si="82"/>
        <v>0</v>
      </c>
      <c r="X243" s="76">
        <f>COUNTIF('7月'!D19:E19,X$226)+COUNTIF('7月'!I19:J19,X$226)+COUNTIF('7月'!N19:O19,X$226)+COUNTIF('7月'!S19:T19,X$226)+COUNTIF('7月'!X19:Y19,X$226)+COUNTIF('7月'!AC19:AD19,X$226)+COUNTIF('7月'!AH19:AI19,X$226)+COUNTIF('7月'!AM19:AN19,X$226)+COUNTIF('7月'!AR19:AS19,X$226)+COUNTIF('7月'!AW19:AX19,X$226)+COUNTIF('7月'!BB19:BC19,X$226)+COUNTIF('7月'!BG19:BH19,X$226)+COUNTIF('7月'!BL19:BM19,X$226)+COUNTIF('7月'!BQ19:BR19,X$226)+COUNTIF('7月'!BV19:BW19,X$226)+COUNTIF('7月'!CA19:CB19,X$226)+COUNTIF('7月'!CF19:CG19,X$226)+COUNTIF('7月'!CK19:CL19,X$226)+COUNTIF('7月'!CP19:CQ19,X$226)+COUNTIF('7月'!CU19:CV19,X$226)+COUNTIF('7月'!CZ19:DA19,X$226)+COUNTIF('7月'!DE19:DF19,X$226)+COUNTIF('7月'!DJ19:DK19,X$226)+COUNTIF('7月'!DO19:DP19,X$226)+COUNTIF('7月'!DT19:DU19,X$226)+COUNTIF('7月'!DY19:DZ19,X$226)+COUNTIF('7月'!ED19:EE19,X$226)+COUNTIF('7月'!EI19:EJ19,X$226)+COUNTIF('7月'!EN19:EO19,X$226)+COUNTIF('7月'!ES19:ET19,X$226)</f>
        <v>0</v>
      </c>
      <c r="Y243" s="76">
        <f t="shared" si="83"/>
        <v>0</v>
      </c>
    </row>
    <row r="244" spans="1:25" ht="18" customHeight="1">
      <c r="A244" s="76">
        <v>17</v>
      </c>
      <c r="B244" s="76">
        <f>COUNTIF('7月'!D20:E20,B$226)+COUNTIF('7月'!I20:J20,B$226)+COUNTIF('7月'!N20:O20,B$226)+COUNTIF('7月'!S20:T20,B$226)+COUNTIF('7月'!X20:Y20,B$226)+COUNTIF('7月'!AC20:AD20,B$226)+COUNTIF('7月'!AH20:AI20,B$226)+COUNTIF('7月'!AM20:AN20,B$226)+COUNTIF('7月'!AR20:AS20,B$226)+COUNTIF('7月'!AW20:AX20,B$226)+COUNTIF('7月'!BB20:BC20,B$226)+COUNTIF('7月'!BG20:BH20,B$226)+COUNTIF('7月'!BL20:BM20,B$226)+COUNTIF('7月'!BQ20:BR20,B$226)+COUNTIF('7月'!BV20:BW20,B$226)+COUNTIF('7月'!CA20:CB20,B$226)+COUNTIF('7月'!CF20:CG20,B$226)+COUNTIF('7月'!CK20:CL20,B$226)+COUNTIF('7月'!CP20:CQ20,B$226)+COUNTIF('7月'!CU20:CV20,B$226)+COUNTIF('7月'!CZ20:DA20,B$226)+COUNTIF('7月'!DE20:DF20,B$226)+COUNTIF('7月'!DJ20:DK20,B$226)+COUNTIF('7月'!DO20:DP20,B$226)+COUNTIF('7月'!DT20:DU20,B$226)+COUNTIF('7月'!DY20:DZ20,B$226)+COUNTIF('7月'!ED20:EE20,B$226)+COUNTIF('7月'!EI20:EJ20,B$226)+COUNTIF('7月'!EN20:EO20,B$226)+COUNTIF('7月'!ES20:ET20,B$226)</f>
        <v>0</v>
      </c>
      <c r="C244" s="76">
        <f t="shared" si="72"/>
        <v>0</v>
      </c>
      <c r="D244" s="76">
        <f>COUNTIF('7月'!D20:E20,D$226)+COUNTIF('7月'!I20:J20,D$226)+COUNTIF('7月'!N20:O20,D$226)+COUNTIF('7月'!S20:T20,D$226)+COUNTIF('7月'!X20:Y20,D$226)+COUNTIF('7月'!AC20:AD20,D$226)+COUNTIF('7月'!AH20:AI20,D$226)+COUNTIF('7月'!AM20:AN20,D$226)+COUNTIF('7月'!AR20:AS20,D$226)+COUNTIF('7月'!AW20:AX20,D$226)+COUNTIF('7月'!BB20:BC20,D$226)+COUNTIF('7月'!BG20:BH20,D$226)+COUNTIF('7月'!BL20:BM20,D$226)+COUNTIF('7月'!BQ20:BR20,D$226)+COUNTIF('7月'!BV20:BW20,D$226)+COUNTIF('7月'!CA20:CB20,D$226)+COUNTIF('7月'!CF20:CG20,D$226)+COUNTIF('7月'!CK20:CL20,D$226)+COUNTIF('7月'!CP20:CQ20,D$226)+COUNTIF('7月'!CU20:CV20,D$226)+COUNTIF('7月'!CZ20:DA20,D$226)+COUNTIF('7月'!DE20:DF20,D$226)+COUNTIF('7月'!DJ20:DK20,D$226)+COUNTIF('7月'!DO20:DP20,D$226)+COUNTIF('7月'!DT20:DU20,D$226)+COUNTIF('7月'!DY20:DZ20,D$226)+COUNTIF('7月'!ED20:EE20,D$226)+COUNTIF('7月'!EI20:EJ20,D$226)+COUNTIF('7月'!EN20:EO20,D$226)+COUNTIF('7月'!ES20:ET20,D$226)</f>
        <v>0</v>
      </c>
      <c r="E244" s="76">
        <f t="shared" si="73"/>
        <v>0</v>
      </c>
      <c r="F244" s="76">
        <f>COUNTIF('7月'!D20:E20,F$226)+COUNTIF('7月'!I20:J20,F$226)+COUNTIF('7月'!N20:O20,F$226)+COUNTIF('7月'!S20:T20,F$226)+COUNTIF('7月'!X20:Y20,F$226)+COUNTIF('7月'!AC20:AD20,F$226)+COUNTIF('7月'!AH20:AI20,F$226)+COUNTIF('7月'!AM20:AN20,F$226)+COUNTIF('7月'!AR20:AS20,F$226)+COUNTIF('7月'!AW20:AX20,F$226)+COUNTIF('7月'!BB20:BC20,F$226)+COUNTIF('7月'!BG20:BH20,F$226)+COUNTIF('7月'!BL20:BM20,F$226)+COUNTIF('7月'!BQ20:BR20,F$226)+COUNTIF('7月'!BV20:BW20,F$226)+COUNTIF('7月'!CA20:CB20,F$226)+COUNTIF('7月'!CF20:CG20,F$226)+COUNTIF('7月'!CK20:CL20,F$226)+COUNTIF('7月'!CP20:CQ20,F$226)+COUNTIF('7月'!CU20:CV20,F$226)+COUNTIF('7月'!CZ20:DA20,F$226)+COUNTIF('7月'!DE20:DF20,F$226)+COUNTIF('7月'!DJ20:DK20,F$226)+COUNTIF('7月'!DO20:DP20,F$226)+COUNTIF('7月'!DT20:DU20,F$226)+COUNTIF('7月'!DY20:DZ20,F$226)+COUNTIF('7月'!ED20:EE20,F$226)+COUNTIF('7月'!EI20:EJ20,F$226)+COUNTIF('7月'!EN20:EO20,F$226)+COUNTIF('7月'!ES20:ET20,F$226)</f>
        <v>0</v>
      </c>
      <c r="G244" s="76">
        <f t="shared" si="74"/>
        <v>0</v>
      </c>
      <c r="H244" s="76">
        <f>COUNTIF('7月'!D20:E20,H$226)+COUNTIF('7月'!I20:J20,H$226)+COUNTIF('7月'!N20:O20,H$226)+COUNTIF('7月'!S20:T20,H$226)+COUNTIF('7月'!X20:Y20,H$226)+COUNTIF('7月'!AC20:AD20,H$226)+COUNTIF('7月'!AH20:AI20,H$226)+COUNTIF('7月'!AM20:AN20,H$226)+COUNTIF('7月'!AR20:AS20,H$226)+COUNTIF('7月'!AW20:AX20,H$226)+COUNTIF('7月'!BB20:BC20,H$226)+COUNTIF('7月'!BG20:BH20,H$226)+COUNTIF('7月'!BL20:BM20,H$226)+COUNTIF('7月'!BQ20:BR20,H$226)+COUNTIF('7月'!BV20:BW20,H$226)+COUNTIF('7月'!CA20:CB20,H$226)+COUNTIF('7月'!CF20:CG20,H$226)+COUNTIF('7月'!CK20:CL20,H$226)+COUNTIF('7月'!CP20:CQ20,H$226)+COUNTIF('7月'!CU20:CV20,H$226)+COUNTIF('7月'!CZ20:DA20,H$226)+COUNTIF('7月'!DE20:DF20,H$226)+COUNTIF('7月'!DJ20:DK20,H$226)+COUNTIF('7月'!DO20:DP20,H$226)+COUNTIF('7月'!DT20:DU20,H$226)+COUNTIF('7月'!DY20:DZ20,H$226)+COUNTIF('7月'!ED20:EE20,H$226)+COUNTIF('7月'!EI20:EJ20,H$226)+COUNTIF('7月'!EN20:EO20,H$226)+COUNTIF('7月'!ES20:ET20,H$226)+COUNTIF('7月'!D20:E20,"渋谷-夜勤")+COUNTIF('7月'!I20:J20,"渋谷-夜勤")+COUNTIF('7月'!N20:O20,"渋谷-夜勤")+COUNTIF('7月'!S20:T20,"渋谷-夜勤")+COUNTIF('7月'!X20:Y20,"渋谷-夜勤")+COUNTIF('7月'!AC20:AD20,"渋谷-夜勤")+COUNTIF('7月'!AH20:AI20,"渋谷-夜勤")+COUNTIF('7月'!AM20:AN20,"渋谷-夜勤")+COUNTIF('7月'!AR20:AS20,"渋谷-夜勤")+COUNTIF('7月'!AW20:AX20,"渋谷-夜勤")+COUNTIF('7月'!BB20:BC20,"渋谷-夜勤")+COUNTIF('7月'!BG20:BH20,"渋谷-夜勤")+COUNTIF('7月'!BL20:BM20,"渋谷-夜勤")+COUNTIF('7月'!BQ20:BR20,"渋谷-夜勤")+COUNTIF('7月'!BV20:BW20,"渋谷-夜勤")+COUNTIF('7月'!CA20:CB20,"渋谷-夜勤")+COUNTIF('7月'!CF20:CG20,"渋谷-夜勤")+COUNTIF('7月'!CK20:CL20,"渋谷-夜勤")+COUNTIF('7月'!CP20:CQ20,"渋谷-夜勤")+COUNTIF('7月'!CU20:CV20,"渋谷-夜勤")+COUNTIF('7月'!CZ20:DA20,"渋谷-夜勤")+COUNTIF('7月'!DE20:DF20,"渋谷-夜勤")+COUNTIF('7月'!DJ20:DK20,"渋谷-夜勤")+COUNTIF('7月'!DO20:DP20,"渋谷-夜勤")+COUNTIF('7月'!DT20:DU20,"渋谷-夜勤")+COUNTIF('7月'!DY20:DZ20,"渋谷-夜勤")+COUNTIF('7月'!ED20:EE20,"渋谷-夜勤")+COUNTIF('7月'!EI20:EJ20,"渋谷-夜勤")+COUNTIF('7月'!EN20:EO20,"渋谷-夜勤")+COUNTIF('7月'!ES20:ET20,"渋谷-夜勤")</f>
        <v>0</v>
      </c>
      <c r="I244" s="76">
        <f t="shared" si="75"/>
        <v>0</v>
      </c>
      <c r="J244" s="76">
        <f>COUNTIF('7月'!D20:E20,J$226)+COUNTIF('7月'!I20:J20,J$226)+COUNTIF('7月'!N20:O20,J$226)+COUNTIF('7月'!S20:T20,J$226)+COUNTIF('7月'!X20:Y20,J$226)+COUNTIF('7月'!AC20:AD20,J$226)+COUNTIF('7月'!AH20:AI20,J$226)+COUNTIF('7月'!AM20:AN20,J$226)+COUNTIF('7月'!AR20:AS20,J$226)+COUNTIF('7月'!AW20:AX20,J$226)+COUNTIF('7月'!BB20:BC20,J$226)+COUNTIF('7月'!BG20:BH20,J$226)+COUNTIF('7月'!BL20:BM20,J$226)+COUNTIF('7月'!BQ20:BR20,J$226)+COUNTIF('7月'!BV20:BW20,J$226)+COUNTIF('7月'!CA20:CB20,J$226)+COUNTIF('7月'!CF20:CG20,J$226)+COUNTIF('7月'!CK20:CL20,J$226)+COUNTIF('7月'!CP20:CQ20,J$226)+COUNTIF('7月'!CU20:CV20,J$226)+COUNTIF('7月'!CZ20:DA20,J$226)+COUNTIF('7月'!DE20:DF20,J$226)+COUNTIF('7月'!DJ20:DK20,J$226)+COUNTIF('7月'!DO20:DP20,J$226)+COUNTIF('7月'!DT20:DU20,J$226)+COUNTIF('7月'!DY20:DZ20,J$226)+COUNTIF('7月'!ED20:EE20,J$226)+COUNTIF('7月'!EI20:EJ20,J$226)+COUNTIF('7月'!EN20:EO20,J$226)+COUNTIF('7月'!ES20:ET20,J$226)+COUNTIF('7月'!D20:E20,"六本木-夜勤")+COUNTIF('7月'!I20:J20,"六本木-夜勤")+COUNTIF('7月'!N20:O20,"六本木-夜勤")+COUNTIF('7月'!S20:T20,"六本木-夜勤")+COUNTIF('7月'!X20:Y20,"六本木-夜勤")+COUNTIF('7月'!AC20:AD20,"六本木-夜勤")+COUNTIF('7月'!AH20:AI20,"六本木-夜勤")+COUNTIF('7月'!AM20:AN20,"六本木-夜勤")+COUNTIF('7月'!AR20:AS20,"六本木-夜勤")+COUNTIF('7月'!AW20:AX20,"六本木-夜勤")+COUNTIF('7月'!BB20:BC20,"六本木-夜勤")+COUNTIF('7月'!BG20:BH20,"六本木-夜勤")+COUNTIF('7月'!BL20:BM20,"六本木-夜勤")+COUNTIF('7月'!BQ20:BR20,"六本木-夜勤")+COUNTIF('7月'!BV20:BW20,"六本木-夜勤")+COUNTIF('7月'!CA20:CB20,"六本木-夜勤")+COUNTIF('7月'!CF20:CG20,"六本木-夜勤")+COUNTIF('7月'!CK20:CL20,"六本木-夜勤")+COUNTIF('7月'!CP20:CQ20,"六本木-夜勤")+COUNTIF('7月'!CU20:CV20,"六本木-夜勤")+COUNTIF('7月'!CZ20:DA20,"六本木-夜勤")+COUNTIF('7月'!DE20:DF20,"六本木-夜勤")+COUNTIF('7月'!DJ20:DK20,"六本木-夜勤")+COUNTIF('7月'!DO20:DP20,"六本木-夜勤")+COUNTIF('7月'!DT20:DU20,"六本木-夜勤")+COUNTIF('7月'!DY20:DZ20,"六本木-夜勤")+COUNTIF('7月'!ED20:EE20,"六本木-夜勤")+COUNTIF('7月'!EI20:EJ20,"六本木-夜勤")+COUNTIF('7月'!EN20:EO20,"六本木-夜勤")+COUNTIF('7月'!ES20:ET20,"六本木-夜勤")+COUNTIF('7月'!D20:E20,"六本木ー夜勤")+COUNTIF('7月'!I20:J20,"六本木ー夜勤")+COUNTIF('7月'!N20:O20,"六本木ー夜勤")+COUNTIF('7月'!S20:T20,"六本木ー夜勤")+COUNTIF('7月'!X20:Y20,"六本木ー夜勤")+COUNTIF('7月'!AC20:AD20,"六本木ー夜勤")+COUNTIF('7月'!AH20:AI20,"六本木ー夜勤")+COUNTIF('7月'!AM20:AN20,"六本木ー夜勤")+COUNTIF('7月'!AR20:AS20,"六本木ー夜勤")+COUNTIF('7月'!AW20:AX20,"六本木ー夜勤")+COUNTIF('7月'!BB20:BC20,"六本木ー夜勤")+COUNTIF('7月'!BG20:BH20,"六本木ー夜勤")+COUNTIF('7月'!BL20:BM20,"六本木ー夜勤")+COUNTIF('7月'!BQ20:BR20,"六本木ー夜勤")+COUNTIF('7月'!BV20:BW20,"六本木ー夜勤")+COUNTIF('7月'!CA20:CB20,"六本木ー夜勤")+COUNTIF('7月'!CF20:CG20,"六本木ー夜勤")+COUNTIF('7月'!CK20:CL20,"六本木ー夜勤")+COUNTIF('7月'!CP20:CQ20,"六本木ー夜勤")+COUNTIF('7月'!CU20:CV20,"六本木ー夜勤")+COUNTIF('7月'!CZ20:DA20,"六本木ー夜勤")+COUNTIF('7月'!DE20:DF20,"六本木ー夜勤")+COUNTIF('7月'!DJ20:DK20,"六本木ー夜勤")+COUNTIF('7月'!DO20:DP20,"六本木ー夜勤")+COUNTIF('7月'!DT20:DU20,"六本木ー夜勤")+COUNTIF('7月'!DY20:DZ20,"六本木ー夜勤")+COUNTIF('7月'!ED20:EE20,"六本木ー夜勤")+COUNTIF('7月'!EI20:EJ20,"六本木ー夜勤")+COUNTIF('7月'!EN20:EO20,"六本木ー夜勤")+COUNTIF('7月'!ES20:ET20,"六本木ー夜勤")</f>
        <v>0</v>
      </c>
      <c r="K244" s="76">
        <f t="shared" si="76"/>
        <v>0</v>
      </c>
      <c r="L244" s="76">
        <f>COUNTIF('7月'!D20:E20,L$226)+COUNTIF('7月'!I20:J20,L$226)+COUNTIF('7月'!N20:O20,L$226)+COUNTIF('7月'!S20:T20,L$226)+COUNTIF('7月'!X20:Y20,L$226)+COUNTIF('7月'!AC20:AD20,L$226)+COUNTIF('7月'!AH20:AI20,L$226)+COUNTIF('7月'!AM20:AN20,L$226)+COUNTIF('7月'!AR20:AS20,L$226)+COUNTIF('7月'!AW20:AX20,L$226)+COUNTIF('7月'!BB20:BC20,L$226)+COUNTIF('7月'!BG20:BH20,L$226)+COUNTIF('7月'!BL20:BM20,L$226)+COUNTIF('7月'!BQ20:BR20,L$226)+COUNTIF('7月'!BV20:BW20,L$226)+COUNTIF('7月'!CA20:CB20,L$226)+COUNTIF('7月'!CF20:CG20,L$226)+COUNTIF('7月'!CK20:CL20,L$226)+COUNTIF('7月'!CP20:CQ20,L$226)+COUNTIF('7月'!CU20:CV20,L$226)+COUNTIF('7月'!CZ20:DA20,L$226)+COUNTIF('7月'!DE20:DF20,L$226)+COUNTIF('7月'!DJ20:DK20,L$226)+COUNTIF('7月'!DO20:DP20,L$226)+COUNTIF('7月'!DT20:DU20,L$226)+COUNTIF('7月'!DY20:DZ20,L$226)+COUNTIF('7月'!ED20:EE20,L$226)+COUNTIF('7月'!EI20:EJ20,L$226)+COUNTIF('7月'!EN20:EO20,L$226)+COUNTIF('7月'!ES20:ET20,L$226)</f>
        <v>0</v>
      </c>
      <c r="M244" s="76">
        <f t="shared" si="77"/>
        <v>0</v>
      </c>
      <c r="N244" s="76">
        <f>COUNTIF('7月'!D20:E20,N$226)+COUNTIF('7月'!I20:J20,N$226)+COUNTIF('7月'!N20:O20,N$226)+COUNTIF('7月'!S20:T20,N$226)+COUNTIF('7月'!X20:Y20,N$226)+COUNTIF('7月'!AC20:AD20,N$226)+COUNTIF('7月'!AH20:AI20,N$226)+COUNTIF('7月'!AM20:AN20,N$226)+COUNTIF('7月'!AR20:AS20,N$226)+COUNTIF('7月'!AW20:AX20,N$226)+COUNTIF('7月'!BB20:BC20,N$226)+COUNTIF('7月'!BG20:BH20,N$226)+COUNTIF('7月'!BL20:BM20,N$226)+COUNTIF('7月'!BQ20:BR20,N$226)+COUNTIF('7月'!BV20:BW20,N$226)+COUNTIF('7月'!CA20:CB20,N$226)+COUNTIF('7月'!CF20:CG20,N$226)+COUNTIF('7月'!CK20:CL20,N$226)+COUNTIF('7月'!CP20:CQ20,N$226)+COUNTIF('7月'!CU20:CV20,N$226)+COUNTIF('7月'!CZ20:DA20,N$226)+COUNTIF('7月'!DE20:DF20,N$226)+COUNTIF('7月'!DJ20:DK20,N$226)+COUNTIF('7月'!DO20:DP20,N$226)+COUNTIF('7月'!DT20:DU20,N$226)+COUNTIF('7月'!DY20:DZ20,N$226)+COUNTIF('7月'!ED20:EE20,N$226)+COUNTIF('7月'!EI20:EJ20,N$226)+COUNTIF('7月'!EN20:EO20,N$226)+COUNTIF('7月'!ES20:ET20,N$226)+COUNTIF('7月'!D20:E20,"三軒茶屋－夜勤")+COUNTIF('7月'!I20:J20,"三軒茶屋－夜勤")+COUNTIF('7月'!N20:O20,"三軒茶屋－夜勤")+COUNTIF('7月'!S20:T20,"三軒茶屋－夜勤")+COUNTIF('7月'!X20:Y20,"三軒茶屋－夜勤")+COUNTIF('7月'!AC20:AD20,"三軒茶屋－夜勤")+COUNTIF('7月'!AH20:AI20,"三軒茶屋－夜勤")+COUNTIF('7月'!AM20:AN20,"三軒茶屋－夜勤")+COUNTIF('7月'!AR20:AS20,"三軒茶屋－夜勤")+COUNTIF('7月'!AW20:AX20,"三軒茶屋－夜勤")+COUNTIF('7月'!BB20:BC20,"三軒茶屋－夜勤")+COUNTIF('7月'!BG20:BH20,"三軒茶屋－夜勤")+COUNTIF('7月'!BL20:BM20,"三軒茶屋－夜勤")+COUNTIF('7月'!BQ20:BR20,"三軒茶屋－夜勤")+COUNTIF('7月'!BV20:BW20,"三軒茶屋－夜勤")+COUNTIF('7月'!CA20:CB20,"三軒茶屋－夜勤")+COUNTIF('7月'!CF20:CG20,"三軒茶屋－夜勤")+COUNTIF('7月'!CK20:CL20,"三軒茶屋－夜勤")+COUNTIF('7月'!CP20:CQ20,"三軒茶屋－夜勤")+COUNTIF('7月'!CU20:CV20,"三軒茶屋－夜勤")+COUNTIF('7月'!CZ20:DA20,"三軒茶屋－夜勤")+COUNTIF('7月'!DE20:DF20,"三軒茶屋－夜勤")+COUNTIF('7月'!DJ20:DK20,"三軒茶屋－夜勤")+COUNTIF('7月'!DO20:DP20,"三軒茶屋－夜勤")+COUNTIF('7月'!DT20:DU20,"三軒茶屋－夜勤")+COUNTIF('7月'!DY20:DZ20,"三軒茶屋－夜勤")+COUNTIF('7月'!ED20:EE20,"三軒茶屋－夜勤")+COUNTIF('7月'!EI20:EJ20,"三軒茶屋－夜勤")+COUNTIF('7月'!EN20:EO20,"三軒茶屋－夜勤")+COUNTIF('7月'!ES20:ET20,"三軒茶屋－夜勤")</f>
        <v>0</v>
      </c>
      <c r="O244" s="76">
        <f t="shared" si="78"/>
        <v>0</v>
      </c>
      <c r="P244" s="76">
        <f>COUNTIF('7月'!D20:E20,P$226)+COUNTIF('7月'!I20:J20,P$226)+COUNTIF('7月'!N20:O20,P$226)+COUNTIF('7月'!S20:T20,P$226)+COUNTIF('7月'!X20:Y20,P$226)+COUNTIF('7月'!AC20:AD20,P$226)+COUNTIF('7月'!AH20:AI20,P$226)+COUNTIF('7月'!AM20:AN20,P$226)+COUNTIF('7月'!AR20:AS20,P$226)+COUNTIF('7月'!AW20:AX20,P$226)+COUNTIF('7月'!BB20:BC20,P$226)+COUNTIF('7月'!BG20:BH20,P$226)+COUNTIF('7月'!BL20:BM20,P$226)+COUNTIF('7月'!BQ20:BR20,P$226)+COUNTIF('7月'!BV20:BW20,P$226)+COUNTIF('7月'!CA20:CB20,P$226)+COUNTIF('7月'!CF20:CG20,P$226)+COUNTIF('7月'!CK20:CL20,P$226)+COUNTIF('7月'!CP20:CQ20,P$226)+COUNTIF('7月'!CU20:CV20,P$226)+COUNTIF('7月'!CZ20:DA20,P$226)+COUNTIF('7月'!DE20:DF20,P$226)+COUNTIF('7月'!DJ20:DK20,P$226)+COUNTIF('7月'!DO20:DP20,P$226)+COUNTIF('7月'!DT20:DU20,P$226)+COUNTIF('7月'!DY20:DZ20,P$226)+COUNTIF('7月'!ED20:EE20,P$226)+COUNTIF('7月'!EI20:EJ20,P$226)+COUNTIF('7月'!EN20:EO20,P$226)+COUNTIF('7月'!ES20:ET20,P$226)+COUNTIF('7月'!D20:E20,"荻窪ー夜勤")+COUNTIF('7月'!I20:J20,"荻窪ー夜勤")+COUNTIF('7月'!N20:O20,"荻窪ー夜勤")+COUNTIF('7月'!S20:T20,"荻窪ー夜勤")+COUNTIF('7月'!X20:Y20,"荻窪ー夜勤")+COUNTIF('7月'!AC20:AD20,"荻窪ー夜勤")+COUNTIF('7月'!AH20:AI20,"荻窪ー夜勤")+COUNTIF('7月'!AM20:AN20,"荻窪ー夜勤")+COUNTIF('7月'!AR20:AS20,"荻窪ー夜勤")+COUNTIF('7月'!AW20:AX20,"荻窪ー夜勤")+COUNTIF('7月'!BB20:BC20,"荻窪ー夜勤")+COUNTIF('7月'!BG20:BH20,"荻窪ー夜勤")+COUNTIF('7月'!BL20:BM20,"荻窪ー夜勤")+COUNTIF('7月'!BQ20:BR20,"荻窪ー夜勤")+COUNTIF('7月'!BV20:BW20,"荻窪ー夜勤")+COUNTIF('7月'!CA20:CB20,"荻窪ー夜勤")+COUNTIF('7月'!CF20:CG20,"荻窪ー夜勤")+COUNTIF('7月'!CK20:CL20,"荻窪ー夜勤")+COUNTIF('7月'!CP20:CQ20,"荻窪ー夜勤")+COUNTIF('7月'!CU20:CV20,"荻窪ー夜勤")+COUNTIF('7月'!CZ20:DA20,"荻窪ー夜勤")+COUNTIF('7月'!DE20:DF20,"荻窪ー夜勤")+COUNTIF('7月'!DJ20:DK20,"荻窪ー夜勤")+COUNTIF('7月'!DO20:DP20,"荻窪ー夜勤")+COUNTIF('7月'!DT20:DU20,"荻窪ー夜勤")+COUNTIF('7月'!DY20:DZ20,"荻窪ー夜勤")+COUNTIF('7月'!ED20:EE20,"荻窪ー夜勤")+COUNTIF('7月'!EI20:EJ20,"荻窪ー夜勤")+COUNTIF('7月'!EN20:EO20,"荻窪ー夜勤")+COUNTIF('7月'!ES20:ET20,"荻窪ー夜勤")</f>
        <v>0</v>
      </c>
      <c r="Q244" s="76">
        <f t="shared" si="79"/>
        <v>0</v>
      </c>
      <c r="R244" s="76">
        <f>COUNTIF('7月'!D20:E20,R$226)+COUNTIF('7月'!I20:J20,R$226)+COUNTIF('7月'!N20:O20,R$226)+COUNTIF('7月'!S20:T20,R$226)+COUNTIF('7月'!X20:Y20,R$226)+COUNTIF('7月'!AC20:AD20,R$226)+COUNTIF('7月'!AH20:AI20,R$226)+COUNTIF('7月'!AM20:AN20,R$226)+COUNTIF('7月'!AR20:AS20,R$226)+COUNTIF('7月'!AW20:AX20,R$226)+COUNTIF('7月'!BB20:BC20,R$226)+COUNTIF('7月'!BG20:BH20,R$226)+COUNTIF('7月'!BL20:BM20,R$226)+COUNTIF('7月'!BQ20:BR20,R$226)+COUNTIF('7月'!BV20:BW20,R$226)+COUNTIF('7月'!CA20:CB20,R$226)+COUNTIF('7月'!CF20:CG20,R$226)+COUNTIF('7月'!CK20:CL20,R$226)+COUNTIF('7月'!CP20:CQ20,R$226)+COUNTIF('7月'!CU20:CV20,R$226)+COUNTIF('7月'!CZ20:DA20,R$226)+COUNTIF('7月'!DE20:DF20,R$226)+COUNTIF('7月'!DJ20:DK20,R$226)+COUNTIF('7月'!DO20:DP20,R$226)+COUNTIF('7月'!DT20:DU20,R$226)+COUNTIF('7月'!DY20:DZ20,R$226)+COUNTIF('7月'!ED20:EE20,R$226)+COUNTIF('7月'!EI20:EJ20,R$226)+COUNTIF('7月'!EN20:EO20,R$226)+COUNTIF('7月'!ES20:ET20,R$226)</f>
        <v>0</v>
      </c>
      <c r="S244" s="76">
        <f t="shared" si="80"/>
        <v>0</v>
      </c>
      <c r="T244" s="76">
        <f>COUNTIF('7月'!D20:E20,T$226)+COUNTIF('7月'!I20:J20,T$226)+COUNTIF('7月'!N20:O20,T$226)+COUNTIF('7月'!S20:T20,T$226)+COUNTIF('7月'!X20:Y20,T$226)+COUNTIF('7月'!AC20:AD20,T$226)+COUNTIF('7月'!AH20:AI20,T$226)+COUNTIF('7月'!AM20:AN20,T$226)+COUNTIF('7月'!AR20:AS20,T$226)+COUNTIF('7月'!AW20:AX20,T$226)+COUNTIF('7月'!BB20:BC20,T$226)+COUNTIF('7月'!BG20:BH20,T$226)+COUNTIF('7月'!BL20:BM20,T$226)+COUNTIF('7月'!BQ20:BR20,T$226)+COUNTIF('7月'!BV20:BW20,T$226)+COUNTIF('7月'!CA20:CB20,T$226)+COUNTIF('7月'!CF20:CG20,T$226)+COUNTIF('7月'!CK20:CL20,T$226)+COUNTIF('7月'!CP20:CQ20,T$226)+COUNTIF('7月'!CU20:CV20,T$226)+COUNTIF('7月'!CZ20:DA20,T$226)+COUNTIF('7月'!DE20:DF20,T$226)+COUNTIF('7月'!DJ20:DK20,T$226)+COUNTIF('7月'!DO20:DP20,T$226)+COUNTIF('7月'!DT20:DU20,T$226)+COUNTIF('7月'!DY20:DZ20,T$226)+COUNTIF('7月'!ED20:EE20,T$226)+COUNTIF('7月'!EI20:EJ20,T$226)+COUNTIF('7月'!EN20:EO20,T$226)+COUNTIF('7月'!ES20:ET20,T$226)</f>
        <v>0</v>
      </c>
      <c r="U244" s="76">
        <f t="shared" si="81"/>
        <v>0</v>
      </c>
      <c r="V244" s="76">
        <f>COUNTIF('7月'!D20:E20,V$226)+COUNTIF('7月'!I20:J20,V$226)+COUNTIF('7月'!N20:O20,V$226)+COUNTIF('7月'!S20:T20,V$226)+COUNTIF('7月'!X20:Y20,V$226)+COUNTIF('7月'!AC20:AD20,V$226)+COUNTIF('7月'!AH20:AI20,V$226)+COUNTIF('7月'!AM20:AN20,V$226)+COUNTIF('7月'!AR20:AS20,V$226)+COUNTIF('7月'!AW20:AX20,V$226)+COUNTIF('7月'!BB20:BC20,V$226)+COUNTIF('7月'!BG20:BH20,V$226)+COUNTIF('7月'!BL20:BM20,V$226)+COUNTIF('7月'!BQ20:BR20,V$226)+COUNTIF('7月'!BV20:BW20,V$226)+COUNTIF('7月'!CA20:CB20,V$226)+COUNTIF('7月'!CF20:CG20,V$226)+COUNTIF('7月'!CK20:CL20,V$226)+COUNTIF('7月'!CP20:CQ20,V$226)+COUNTIF('7月'!CU20:CV20,V$226)+COUNTIF('7月'!CZ20:DA20,V$226)+COUNTIF('7月'!DE20:DF20,V$226)+COUNTIF('7月'!DJ20:DK20,V$226)+COUNTIF('7月'!DO20:DP20,V$226)+COUNTIF('7月'!DT20:DU20,V$226)+COUNTIF('7月'!DY20:DZ20,V$226)+COUNTIF('7月'!ED20:EE20,V$226)+COUNTIF('7月'!EI20:EJ20,V$226)+COUNTIF('7月'!EN20:EO20,V$226)+COUNTIF('7月'!ES20:ET20,V$226)</f>
        <v>0</v>
      </c>
      <c r="W244" s="76">
        <f t="shared" si="82"/>
        <v>0</v>
      </c>
      <c r="X244" s="76">
        <f>COUNTIF('7月'!D20:E20,X$226)+COUNTIF('7月'!I20:J20,X$226)+COUNTIF('7月'!N20:O20,X$226)+COUNTIF('7月'!S20:T20,X$226)+COUNTIF('7月'!X20:Y20,X$226)+COUNTIF('7月'!AC20:AD20,X$226)+COUNTIF('7月'!AH20:AI20,X$226)+COUNTIF('7月'!AM20:AN20,X$226)+COUNTIF('7月'!AR20:AS20,X$226)+COUNTIF('7月'!AW20:AX20,X$226)+COUNTIF('7月'!BB20:BC20,X$226)+COUNTIF('7月'!BG20:BH20,X$226)+COUNTIF('7月'!BL20:BM20,X$226)+COUNTIF('7月'!BQ20:BR20,X$226)+COUNTIF('7月'!BV20:BW20,X$226)+COUNTIF('7月'!CA20:CB20,X$226)+COUNTIF('7月'!CF20:CG20,X$226)+COUNTIF('7月'!CK20:CL20,X$226)+COUNTIF('7月'!CP20:CQ20,X$226)+COUNTIF('7月'!CU20:CV20,X$226)+COUNTIF('7月'!CZ20:DA20,X$226)+COUNTIF('7月'!DE20:DF20,X$226)+COUNTIF('7月'!DJ20:DK20,X$226)+COUNTIF('7月'!DO20:DP20,X$226)+COUNTIF('7月'!DT20:DU20,X$226)+COUNTIF('7月'!DY20:DZ20,X$226)+COUNTIF('7月'!ED20:EE20,X$226)+COUNTIF('7月'!EI20:EJ20,X$226)+COUNTIF('7月'!EN20:EO20,X$226)+COUNTIF('7月'!ES20:ET20,X$226)</f>
        <v>0</v>
      </c>
      <c r="Y244" s="76">
        <f t="shared" si="83"/>
        <v>0</v>
      </c>
    </row>
    <row r="245" spans="1:25" ht="18" customHeight="1">
      <c r="A245" s="76">
        <v>18</v>
      </c>
      <c r="B245" s="76">
        <f>COUNTIF('7月'!D21:E21,B$226)+COUNTIF('7月'!I21:J21,B$226)+COUNTIF('7月'!N21:O21,B$226)+COUNTIF('7月'!S21:T21,B$226)+COUNTIF('7月'!X21:Y21,B$226)+COUNTIF('7月'!AC21:AD21,B$226)+COUNTIF('7月'!AH21:AI21,B$226)+COUNTIF('7月'!AM21:AN21,B$226)+COUNTIF('7月'!AR21:AS21,B$226)+COUNTIF('7月'!AW21:AX21,B$226)+COUNTIF('7月'!BB21:BC21,B$226)+COUNTIF('7月'!BG21:BH21,B$226)+COUNTIF('7月'!BL21:BM21,B$226)+COUNTIF('7月'!BQ21:BR21,B$226)+COUNTIF('7月'!BV21:BW21,B$226)+COUNTIF('7月'!CA21:CB21,B$226)+COUNTIF('7月'!CF21:CG21,B$226)+COUNTIF('7月'!CK21:CL21,B$226)+COUNTIF('7月'!CP21:CQ21,B$226)+COUNTIF('7月'!CU21:CV21,B$226)+COUNTIF('7月'!CZ21:DA21,B$226)+COUNTIF('7月'!DE21:DF21,B$226)+COUNTIF('7月'!DJ21:DK21,B$226)+COUNTIF('7月'!DO21:DP21,B$226)+COUNTIF('7月'!DT21:DU21,B$226)+COUNTIF('7月'!DY21:DZ21,B$226)+COUNTIF('7月'!ED21:EE21,B$226)+COUNTIF('7月'!EI21:EJ21,B$226)+COUNTIF('7月'!EN21:EO21,B$226)+COUNTIF('7月'!ES21:ET21,B$226)</f>
        <v>0</v>
      </c>
      <c r="C245" s="76">
        <f t="shared" si="72"/>
        <v>0</v>
      </c>
      <c r="D245" s="76">
        <f>COUNTIF('7月'!D21:E21,D$226)+COUNTIF('7月'!I21:J21,D$226)+COUNTIF('7月'!N21:O21,D$226)+COUNTIF('7月'!S21:T21,D$226)+COUNTIF('7月'!X21:Y21,D$226)+COUNTIF('7月'!AC21:AD21,D$226)+COUNTIF('7月'!AH21:AI21,D$226)+COUNTIF('7月'!AM21:AN21,D$226)+COUNTIF('7月'!AR21:AS21,D$226)+COUNTIF('7月'!AW21:AX21,D$226)+COUNTIF('7月'!BB21:BC21,D$226)+COUNTIF('7月'!BG21:BH21,D$226)+COUNTIF('7月'!BL21:BM21,D$226)+COUNTIF('7月'!BQ21:BR21,D$226)+COUNTIF('7月'!BV21:BW21,D$226)+COUNTIF('7月'!CA21:CB21,D$226)+COUNTIF('7月'!CF21:CG21,D$226)+COUNTIF('7月'!CK21:CL21,D$226)+COUNTIF('7月'!CP21:CQ21,D$226)+COUNTIF('7月'!CU21:CV21,D$226)+COUNTIF('7月'!CZ21:DA21,D$226)+COUNTIF('7月'!DE21:DF21,D$226)+COUNTIF('7月'!DJ21:DK21,D$226)+COUNTIF('7月'!DO21:DP21,D$226)+COUNTIF('7月'!DT21:DU21,D$226)+COUNTIF('7月'!DY21:DZ21,D$226)+COUNTIF('7月'!ED21:EE21,D$226)+COUNTIF('7月'!EI21:EJ21,D$226)+COUNTIF('7月'!EN21:EO21,D$226)+COUNTIF('7月'!ES21:ET21,D$226)</f>
        <v>0</v>
      </c>
      <c r="E245" s="76">
        <f t="shared" si="73"/>
        <v>0</v>
      </c>
      <c r="F245" s="76">
        <f>COUNTIF('7月'!D21:E21,F$226)+COUNTIF('7月'!I21:J21,F$226)+COUNTIF('7月'!N21:O21,F$226)+COUNTIF('7月'!S21:T21,F$226)+COUNTIF('7月'!X21:Y21,F$226)+COUNTIF('7月'!AC21:AD21,F$226)+COUNTIF('7月'!AH21:AI21,F$226)+COUNTIF('7月'!AM21:AN21,F$226)+COUNTIF('7月'!AR21:AS21,F$226)+COUNTIF('7月'!AW21:AX21,F$226)+COUNTIF('7月'!BB21:BC21,F$226)+COUNTIF('7月'!BG21:BH21,F$226)+COUNTIF('7月'!BL21:BM21,F$226)+COUNTIF('7月'!BQ21:BR21,F$226)+COUNTIF('7月'!BV21:BW21,F$226)+COUNTIF('7月'!CA21:CB21,F$226)+COUNTIF('7月'!CF21:CG21,F$226)+COUNTIF('7月'!CK21:CL21,F$226)+COUNTIF('7月'!CP21:CQ21,F$226)+COUNTIF('7月'!CU21:CV21,F$226)+COUNTIF('7月'!CZ21:DA21,F$226)+COUNTIF('7月'!DE21:DF21,F$226)+COUNTIF('7月'!DJ21:DK21,F$226)+COUNTIF('7月'!DO21:DP21,F$226)+COUNTIF('7月'!DT21:DU21,F$226)+COUNTIF('7月'!DY21:DZ21,F$226)+COUNTIF('7月'!ED21:EE21,F$226)+COUNTIF('7月'!EI21:EJ21,F$226)+COUNTIF('7月'!EN21:EO21,F$226)+COUNTIF('7月'!ES21:ET21,F$226)</f>
        <v>0</v>
      </c>
      <c r="G245" s="76">
        <f t="shared" si="74"/>
        <v>0</v>
      </c>
      <c r="H245" s="76">
        <f>COUNTIF('7月'!D21:E21,H$226)+COUNTIF('7月'!I21:J21,H$226)+COUNTIF('7月'!N21:O21,H$226)+COUNTIF('7月'!S21:T21,H$226)+COUNTIF('7月'!X21:Y21,H$226)+COUNTIF('7月'!AC21:AD21,H$226)+COUNTIF('7月'!AH21:AI21,H$226)+COUNTIF('7月'!AM21:AN21,H$226)+COUNTIF('7月'!AR21:AS21,H$226)+COUNTIF('7月'!AW21:AX21,H$226)+COUNTIF('7月'!BB21:BC21,H$226)+COUNTIF('7月'!BG21:BH21,H$226)+COUNTIF('7月'!BL21:BM21,H$226)+COUNTIF('7月'!BQ21:BR21,H$226)+COUNTIF('7月'!BV21:BW21,H$226)+COUNTIF('7月'!CA21:CB21,H$226)+COUNTIF('7月'!CF21:CG21,H$226)+COUNTIF('7月'!CK21:CL21,H$226)+COUNTIF('7月'!CP21:CQ21,H$226)+COUNTIF('7月'!CU21:CV21,H$226)+COUNTIF('7月'!CZ21:DA21,H$226)+COUNTIF('7月'!DE21:DF21,H$226)+COUNTIF('7月'!DJ21:DK21,H$226)+COUNTIF('7月'!DO21:DP21,H$226)+COUNTIF('7月'!DT21:DU21,H$226)+COUNTIF('7月'!DY21:DZ21,H$226)+COUNTIF('7月'!ED21:EE21,H$226)+COUNTIF('7月'!EI21:EJ21,H$226)+COUNTIF('7月'!EN21:EO21,H$226)+COUNTIF('7月'!ES21:ET21,H$226)+COUNTIF('7月'!D21:E21,"渋谷-夜勤")+COUNTIF('7月'!I21:J21,"渋谷-夜勤")+COUNTIF('7月'!N21:O21,"渋谷-夜勤")+COUNTIF('7月'!S21:T21,"渋谷-夜勤")+COUNTIF('7月'!X21:Y21,"渋谷-夜勤")+COUNTIF('7月'!AC21:AD21,"渋谷-夜勤")+COUNTIF('7月'!AH21:AI21,"渋谷-夜勤")+COUNTIF('7月'!AM21:AN21,"渋谷-夜勤")+COUNTIF('7月'!AR21:AS21,"渋谷-夜勤")+COUNTIF('7月'!AW21:AX21,"渋谷-夜勤")+COUNTIF('7月'!BB21:BC21,"渋谷-夜勤")+COUNTIF('7月'!BG21:BH21,"渋谷-夜勤")+COUNTIF('7月'!BL21:BM21,"渋谷-夜勤")+COUNTIF('7月'!BQ21:BR21,"渋谷-夜勤")+COUNTIF('7月'!BV21:BW21,"渋谷-夜勤")+COUNTIF('7月'!CA21:CB21,"渋谷-夜勤")+COUNTIF('7月'!CF21:CG21,"渋谷-夜勤")+COUNTIF('7月'!CK21:CL21,"渋谷-夜勤")+COUNTIF('7月'!CP21:CQ21,"渋谷-夜勤")+COUNTIF('7月'!CU21:CV21,"渋谷-夜勤")+COUNTIF('7月'!CZ21:DA21,"渋谷-夜勤")+COUNTIF('7月'!DE21:DF21,"渋谷-夜勤")+COUNTIF('7月'!DJ21:DK21,"渋谷-夜勤")+COUNTIF('7月'!DO21:DP21,"渋谷-夜勤")+COUNTIF('7月'!DT21:DU21,"渋谷-夜勤")+COUNTIF('7月'!DY21:DZ21,"渋谷-夜勤")+COUNTIF('7月'!ED21:EE21,"渋谷-夜勤")+COUNTIF('7月'!EI21:EJ21,"渋谷-夜勤")+COUNTIF('7月'!EN21:EO21,"渋谷-夜勤")+COUNTIF('7月'!ES21:ET21,"渋谷-夜勤")</f>
        <v>0</v>
      </c>
      <c r="I245" s="76">
        <f t="shared" si="75"/>
        <v>0</v>
      </c>
      <c r="J245" s="76">
        <f>COUNTIF('7月'!D21:E21,J$226)+COUNTIF('7月'!I21:J21,J$226)+COUNTIF('7月'!N21:O21,J$226)+COUNTIF('7月'!S21:T21,J$226)+COUNTIF('7月'!X21:Y21,J$226)+COUNTIF('7月'!AC21:AD21,J$226)+COUNTIF('7月'!AH21:AI21,J$226)+COUNTIF('7月'!AM21:AN21,J$226)+COUNTIF('7月'!AR21:AS21,J$226)+COUNTIF('7月'!AW21:AX21,J$226)+COUNTIF('7月'!BB21:BC21,J$226)+COUNTIF('7月'!BG21:BH21,J$226)+COUNTIF('7月'!BL21:BM21,J$226)+COUNTIF('7月'!BQ21:BR21,J$226)+COUNTIF('7月'!BV21:BW21,J$226)+COUNTIF('7月'!CA21:CB21,J$226)+COUNTIF('7月'!CF21:CG21,J$226)+COUNTIF('7月'!CK21:CL21,J$226)+COUNTIF('7月'!CP21:CQ21,J$226)+COUNTIF('7月'!CU21:CV21,J$226)+COUNTIF('7月'!CZ21:DA21,J$226)+COUNTIF('7月'!DE21:DF21,J$226)+COUNTIF('7月'!DJ21:DK21,J$226)+COUNTIF('7月'!DO21:DP21,J$226)+COUNTIF('7月'!DT21:DU21,J$226)+COUNTIF('7月'!DY21:DZ21,J$226)+COUNTIF('7月'!ED21:EE21,J$226)+COUNTIF('7月'!EI21:EJ21,J$226)+COUNTIF('7月'!EN21:EO21,J$226)+COUNTIF('7月'!ES21:ET21,J$226)+COUNTIF('7月'!D21:E21,"六本木-夜勤")+COUNTIF('7月'!I21:J21,"六本木-夜勤")+COUNTIF('7月'!N21:O21,"六本木-夜勤")+COUNTIF('7月'!S21:T21,"六本木-夜勤")+COUNTIF('7月'!X21:Y21,"六本木-夜勤")+COUNTIF('7月'!AC21:AD21,"六本木-夜勤")+COUNTIF('7月'!AH21:AI21,"六本木-夜勤")+COUNTIF('7月'!AM21:AN21,"六本木-夜勤")+COUNTIF('7月'!AR21:AS21,"六本木-夜勤")+COUNTIF('7月'!AW21:AX21,"六本木-夜勤")+COUNTIF('7月'!BB21:BC21,"六本木-夜勤")+COUNTIF('7月'!BG21:BH21,"六本木-夜勤")+COUNTIF('7月'!BL21:BM21,"六本木-夜勤")+COUNTIF('7月'!BQ21:BR21,"六本木-夜勤")+COUNTIF('7月'!BV21:BW21,"六本木-夜勤")+COUNTIF('7月'!CA21:CB21,"六本木-夜勤")+COUNTIF('7月'!CF21:CG21,"六本木-夜勤")+COUNTIF('7月'!CK21:CL21,"六本木-夜勤")+COUNTIF('7月'!CP21:CQ21,"六本木-夜勤")+COUNTIF('7月'!CU21:CV21,"六本木-夜勤")+COUNTIF('7月'!CZ21:DA21,"六本木-夜勤")+COUNTIF('7月'!DE21:DF21,"六本木-夜勤")+COUNTIF('7月'!DJ21:DK21,"六本木-夜勤")+COUNTIF('7月'!DO21:DP21,"六本木-夜勤")+COUNTIF('7月'!DT21:DU21,"六本木-夜勤")+COUNTIF('7月'!DY21:DZ21,"六本木-夜勤")+COUNTIF('7月'!ED21:EE21,"六本木-夜勤")+COUNTIF('7月'!EI21:EJ21,"六本木-夜勤")+COUNTIF('7月'!EN21:EO21,"六本木-夜勤")+COUNTIF('7月'!ES21:ET21,"六本木-夜勤")+COUNTIF('7月'!D21:E21,"六本木ー夜勤")+COUNTIF('7月'!I21:J21,"六本木ー夜勤")+COUNTIF('7月'!N21:O21,"六本木ー夜勤")+COUNTIF('7月'!S21:T21,"六本木ー夜勤")+COUNTIF('7月'!X21:Y21,"六本木ー夜勤")+COUNTIF('7月'!AC21:AD21,"六本木ー夜勤")+COUNTIF('7月'!AH21:AI21,"六本木ー夜勤")+COUNTIF('7月'!AM21:AN21,"六本木ー夜勤")+COUNTIF('7月'!AR21:AS21,"六本木ー夜勤")+COUNTIF('7月'!AW21:AX21,"六本木ー夜勤")+COUNTIF('7月'!BB21:BC21,"六本木ー夜勤")+COUNTIF('7月'!BG21:BH21,"六本木ー夜勤")+COUNTIF('7月'!BL21:BM21,"六本木ー夜勤")+COUNTIF('7月'!BQ21:BR21,"六本木ー夜勤")+COUNTIF('7月'!BV21:BW21,"六本木ー夜勤")+COUNTIF('7月'!CA21:CB21,"六本木ー夜勤")+COUNTIF('7月'!CF21:CG21,"六本木ー夜勤")+COUNTIF('7月'!CK21:CL21,"六本木ー夜勤")+COUNTIF('7月'!CP21:CQ21,"六本木ー夜勤")+COUNTIF('7月'!CU21:CV21,"六本木ー夜勤")+COUNTIF('7月'!CZ21:DA21,"六本木ー夜勤")+COUNTIF('7月'!DE21:DF21,"六本木ー夜勤")+COUNTIF('7月'!DJ21:DK21,"六本木ー夜勤")+COUNTIF('7月'!DO21:DP21,"六本木ー夜勤")+COUNTIF('7月'!DT21:DU21,"六本木ー夜勤")+COUNTIF('7月'!DY21:DZ21,"六本木ー夜勤")+COUNTIF('7月'!ED21:EE21,"六本木ー夜勤")+COUNTIF('7月'!EI21:EJ21,"六本木ー夜勤")+COUNTIF('7月'!EN21:EO21,"六本木ー夜勤")+COUNTIF('7月'!ES21:ET21,"六本木ー夜勤")</f>
        <v>0</v>
      </c>
      <c r="K245" s="76">
        <f t="shared" si="76"/>
        <v>0</v>
      </c>
      <c r="L245" s="76">
        <f>COUNTIF('7月'!D21:E21,L$226)+COUNTIF('7月'!I21:J21,L$226)+COUNTIF('7月'!N21:O21,L$226)+COUNTIF('7月'!S21:T21,L$226)+COUNTIF('7月'!X21:Y21,L$226)+COUNTIF('7月'!AC21:AD21,L$226)+COUNTIF('7月'!AH21:AI21,L$226)+COUNTIF('7月'!AM21:AN21,L$226)+COUNTIF('7月'!AR21:AS21,L$226)+COUNTIF('7月'!AW21:AX21,L$226)+COUNTIF('7月'!BB21:BC21,L$226)+COUNTIF('7月'!BG21:BH21,L$226)+COUNTIF('7月'!BL21:BM21,L$226)+COUNTIF('7月'!BQ21:BR21,L$226)+COUNTIF('7月'!BV21:BW21,L$226)+COUNTIF('7月'!CA21:CB21,L$226)+COUNTIF('7月'!CF21:CG21,L$226)+COUNTIF('7月'!CK21:CL21,L$226)+COUNTIF('7月'!CP21:CQ21,L$226)+COUNTIF('7月'!CU21:CV21,L$226)+COUNTIF('7月'!CZ21:DA21,L$226)+COUNTIF('7月'!DE21:DF21,L$226)+COUNTIF('7月'!DJ21:DK21,L$226)+COUNTIF('7月'!DO21:DP21,L$226)+COUNTIF('7月'!DT21:DU21,L$226)+COUNTIF('7月'!DY21:DZ21,L$226)+COUNTIF('7月'!ED21:EE21,L$226)+COUNTIF('7月'!EI21:EJ21,L$226)+COUNTIF('7月'!EN21:EO21,L$226)+COUNTIF('7月'!ES21:ET21,L$226)</f>
        <v>0</v>
      </c>
      <c r="M245" s="76">
        <f t="shared" si="77"/>
        <v>0</v>
      </c>
      <c r="N245" s="76">
        <f>COUNTIF('7月'!D21:E21,N$226)+COUNTIF('7月'!I21:J21,N$226)+COUNTIF('7月'!N21:O21,N$226)+COUNTIF('7月'!S21:T21,N$226)+COUNTIF('7月'!X21:Y21,N$226)+COUNTIF('7月'!AC21:AD21,N$226)+COUNTIF('7月'!AH21:AI21,N$226)+COUNTIF('7月'!AM21:AN21,N$226)+COUNTIF('7月'!AR21:AS21,N$226)+COUNTIF('7月'!AW21:AX21,N$226)+COUNTIF('7月'!BB21:BC21,N$226)+COUNTIF('7月'!BG21:BH21,N$226)+COUNTIF('7月'!BL21:BM21,N$226)+COUNTIF('7月'!BQ21:BR21,N$226)+COUNTIF('7月'!BV21:BW21,N$226)+COUNTIF('7月'!CA21:CB21,N$226)+COUNTIF('7月'!CF21:CG21,N$226)+COUNTIF('7月'!CK21:CL21,N$226)+COUNTIF('7月'!CP21:CQ21,N$226)+COUNTIF('7月'!CU21:CV21,N$226)+COUNTIF('7月'!CZ21:DA21,N$226)+COUNTIF('7月'!DE21:DF21,N$226)+COUNTIF('7月'!DJ21:DK21,N$226)+COUNTIF('7月'!DO21:DP21,N$226)+COUNTIF('7月'!DT21:DU21,N$226)+COUNTIF('7月'!DY21:DZ21,N$226)+COUNTIF('7月'!ED21:EE21,N$226)+COUNTIF('7月'!EI21:EJ21,N$226)+COUNTIF('7月'!EN21:EO21,N$226)+COUNTIF('7月'!ES21:ET21,N$226)+COUNTIF('7月'!D21:E21,"三軒茶屋－夜勤")+COUNTIF('7月'!I21:J21,"三軒茶屋－夜勤")+COUNTIF('7月'!N21:O21,"三軒茶屋－夜勤")+COUNTIF('7月'!S21:T21,"三軒茶屋－夜勤")+COUNTIF('7月'!X21:Y21,"三軒茶屋－夜勤")+COUNTIF('7月'!AC21:AD21,"三軒茶屋－夜勤")+COUNTIF('7月'!AH21:AI21,"三軒茶屋－夜勤")+COUNTIF('7月'!AM21:AN21,"三軒茶屋－夜勤")+COUNTIF('7月'!AR21:AS21,"三軒茶屋－夜勤")+COUNTIF('7月'!AW21:AX21,"三軒茶屋－夜勤")+COUNTIF('7月'!BB21:BC21,"三軒茶屋－夜勤")+COUNTIF('7月'!BG21:BH21,"三軒茶屋－夜勤")+COUNTIF('7月'!BL21:BM21,"三軒茶屋－夜勤")+COUNTIF('7月'!BQ21:BR21,"三軒茶屋－夜勤")+COUNTIF('7月'!BV21:BW21,"三軒茶屋－夜勤")+COUNTIF('7月'!CA21:CB21,"三軒茶屋－夜勤")+COUNTIF('7月'!CF21:CG21,"三軒茶屋－夜勤")+COUNTIF('7月'!CK21:CL21,"三軒茶屋－夜勤")+COUNTIF('7月'!CP21:CQ21,"三軒茶屋－夜勤")+COUNTIF('7月'!CU21:CV21,"三軒茶屋－夜勤")+COUNTIF('7月'!CZ21:DA21,"三軒茶屋－夜勤")+COUNTIF('7月'!DE21:DF21,"三軒茶屋－夜勤")+COUNTIF('7月'!DJ21:DK21,"三軒茶屋－夜勤")+COUNTIF('7月'!DO21:DP21,"三軒茶屋－夜勤")+COUNTIF('7月'!DT21:DU21,"三軒茶屋－夜勤")+COUNTIF('7月'!DY21:DZ21,"三軒茶屋－夜勤")+COUNTIF('7月'!ED21:EE21,"三軒茶屋－夜勤")+COUNTIF('7月'!EI21:EJ21,"三軒茶屋－夜勤")+COUNTIF('7月'!EN21:EO21,"三軒茶屋－夜勤")+COUNTIF('7月'!ES21:ET21,"三軒茶屋－夜勤")</f>
        <v>0</v>
      </c>
      <c r="O245" s="76">
        <f t="shared" si="78"/>
        <v>0</v>
      </c>
      <c r="P245" s="76">
        <f>COUNTIF('7月'!D21:E21,P$226)+COUNTIF('7月'!I21:J21,P$226)+COUNTIF('7月'!N21:O21,P$226)+COUNTIF('7月'!S21:T21,P$226)+COUNTIF('7月'!X21:Y21,P$226)+COUNTIF('7月'!AC21:AD21,P$226)+COUNTIF('7月'!AH21:AI21,P$226)+COUNTIF('7月'!AM21:AN21,P$226)+COUNTIF('7月'!AR21:AS21,P$226)+COUNTIF('7月'!AW21:AX21,P$226)+COUNTIF('7月'!BB21:BC21,P$226)+COUNTIF('7月'!BG21:BH21,P$226)+COUNTIF('7月'!BL21:BM21,P$226)+COUNTIF('7月'!BQ21:BR21,P$226)+COUNTIF('7月'!BV21:BW21,P$226)+COUNTIF('7月'!CA21:CB21,P$226)+COUNTIF('7月'!CF21:CG21,P$226)+COUNTIF('7月'!CK21:CL21,P$226)+COUNTIF('7月'!CP21:CQ21,P$226)+COUNTIF('7月'!CU21:CV21,P$226)+COUNTIF('7月'!CZ21:DA21,P$226)+COUNTIF('7月'!DE21:DF21,P$226)+COUNTIF('7月'!DJ21:DK21,P$226)+COUNTIF('7月'!DO21:DP21,P$226)+COUNTIF('7月'!DT21:DU21,P$226)+COUNTIF('7月'!DY21:DZ21,P$226)+COUNTIF('7月'!ED21:EE21,P$226)+COUNTIF('7月'!EI21:EJ21,P$226)+COUNTIF('7月'!EN21:EO21,P$226)+COUNTIF('7月'!ES21:ET21,P$226)+COUNTIF('7月'!D21:E21,"荻窪ー夜勤")+COUNTIF('7月'!I21:J21,"荻窪ー夜勤")+COUNTIF('7月'!N21:O21,"荻窪ー夜勤")+COUNTIF('7月'!S21:T21,"荻窪ー夜勤")+COUNTIF('7月'!X21:Y21,"荻窪ー夜勤")+COUNTIF('7月'!AC21:AD21,"荻窪ー夜勤")+COUNTIF('7月'!AH21:AI21,"荻窪ー夜勤")+COUNTIF('7月'!AM21:AN21,"荻窪ー夜勤")+COUNTIF('7月'!AR21:AS21,"荻窪ー夜勤")+COUNTIF('7月'!AW21:AX21,"荻窪ー夜勤")+COUNTIF('7月'!BB21:BC21,"荻窪ー夜勤")+COUNTIF('7月'!BG21:BH21,"荻窪ー夜勤")+COUNTIF('7月'!BL21:BM21,"荻窪ー夜勤")+COUNTIF('7月'!BQ21:BR21,"荻窪ー夜勤")+COUNTIF('7月'!BV21:BW21,"荻窪ー夜勤")+COUNTIF('7月'!CA21:CB21,"荻窪ー夜勤")+COUNTIF('7月'!CF21:CG21,"荻窪ー夜勤")+COUNTIF('7月'!CK21:CL21,"荻窪ー夜勤")+COUNTIF('7月'!CP21:CQ21,"荻窪ー夜勤")+COUNTIF('7月'!CU21:CV21,"荻窪ー夜勤")+COUNTIF('7月'!CZ21:DA21,"荻窪ー夜勤")+COUNTIF('7月'!DE21:DF21,"荻窪ー夜勤")+COUNTIF('7月'!DJ21:DK21,"荻窪ー夜勤")+COUNTIF('7月'!DO21:DP21,"荻窪ー夜勤")+COUNTIF('7月'!DT21:DU21,"荻窪ー夜勤")+COUNTIF('7月'!DY21:DZ21,"荻窪ー夜勤")+COUNTIF('7月'!ED21:EE21,"荻窪ー夜勤")+COUNTIF('7月'!EI21:EJ21,"荻窪ー夜勤")+COUNTIF('7月'!EN21:EO21,"荻窪ー夜勤")+COUNTIF('7月'!ES21:ET21,"荻窪ー夜勤")</f>
        <v>0</v>
      </c>
      <c r="Q245" s="76">
        <f t="shared" si="79"/>
        <v>0</v>
      </c>
      <c r="R245" s="76">
        <f>COUNTIF('7月'!D21:E21,R$226)+COUNTIF('7月'!I21:J21,R$226)+COUNTIF('7月'!N21:O21,R$226)+COUNTIF('7月'!S21:T21,R$226)+COUNTIF('7月'!X21:Y21,R$226)+COUNTIF('7月'!AC21:AD21,R$226)+COUNTIF('7月'!AH21:AI21,R$226)+COUNTIF('7月'!AM21:AN21,R$226)+COUNTIF('7月'!AR21:AS21,R$226)+COUNTIF('7月'!AW21:AX21,R$226)+COUNTIF('7月'!BB21:BC21,R$226)+COUNTIF('7月'!BG21:BH21,R$226)+COUNTIF('7月'!BL21:BM21,R$226)+COUNTIF('7月'!BQ21:BR21,R$226)+COUNTIF('7月'!BV21:BW21,R$226)+COUNTIF('7月'!CA21:CB21,R$226)+COUNTIF('7月'!CF21:CG21,R$226)+COUNTIF('7月'!CK21:CL21,R$226)+COUNTIF('7月'!CP21:CQ21,R$226)+COUNTIF('7月'!CU21:CV21,R$226)+COUNTIF('7月'!CZ21:DA21,R$226)+COUNTIF('7月'!DE21:DF21,R$226)+COUNTIF('7月'!DJ21:DK21,R$226)+COUNTIF('7月'!DO21:DP21,R$226)+COUNTIF('7月'!DT21:DU21,R$226)+COUNTIF('7月'!DY21:DZ21,R$226)+COUNTIF('7月'!ED21:EE21,R$226)+COUNTIF('7月'!EI21:EJ21,R$226)+COUNTIF('7月'!EN21:EO21,R$226)+COUNTIF('7月'!ES21:ET21,R$226)</f>
        <v>0</v>
      </c>
      <c r="S245" s="76">
        <f t="shared" si="80"/>
        <v>0</v>
      </c>
      <c r="T245" s="76">
        <f>COUNTIF('7月'!D21:E21,T$226)+COUNTIF('7月'!I21:J21,T$226)+COUNTIF('7月'!N21:O21,T$226)+COUNTIF('7月'!S21:T21,T$226)+COUNTIF('7月'!X21:Y21,T$226)+COUNTIF('7月'!AC21:AD21,T$226)+COUNTIF('7月'!AH21:AI21,T$226)+COUNTIF('7月'!AM21:AN21,T$226)+COUNTIF('7月'!AR21:AS21,T$226)+COUNTIF('7月'!AW21:AX21,T$226)+COUNTIF('7月'!BB21:BC21,T$226)+COUNTIF('7月'!BG21:BH21,T$226)+COUNTIF('7月'!BL21:BM21,T$226)+COUNTIF('7月'!BQ21:BR21,T$226)+COUNTIF('7月'!BV21:BW21,T$226)+COUNTIF('7月'!CA21:CB21,T$226)+COUNTIF('7月'!CF21:CG21,T$226)+COUNTIF('7月'!CK21:CL21,T$226)+COUNTIF('7月'!CP21:CQ21,T$226)+COUNTIF('7月'!CU21:CV21,T$226)+COUNTIF('7月'!CZ21:DA21,T$226)+COUNTIF('7月'!DE21:DF21,T$226)+COUNTIF('7月'!DJ21:DK21,T$226)+COUNTIF('7月'!DO21:DP21,T$226)+COUNTIF('7月'!DT21:DU21,T$226)+COUNTIF('7月'!DY21:DZ21,T$226)+COUNTIF('7月'!ED21:EE21,T$226)+COUNTIF('7月'!EI21:EJ21,T$226)+COUNTIF('7月'!EN21:EO21,T$226)+COUNTIF('7月'!ES21:ET21,T$226)</f>
        <v>0</v>
      </c>
      <c r="U245" s="76">
        <f t="shared" si="81"/>
        <v>0</v>
      </c>
      <c r="V245" s="76">
        <f>COUNTIF('7月'!D21:E21,V$226)+COUNTIF('7月'!I21:J21,V$226)+COUNTIF('7月'!N21:O21,V$226)+COUNTIF('7月'!S21:T21,V$226)+COUNTIF('7月'!X21:Y21,V$226)+COUNTIF('7月'!AC21:AD21,V$226)+COUNTIF('7月'!AH21:AI21,V$226)+COUNTIF('7月'!AM21:AN21,V$226)+COUNTIF('7月'!AR21:AS21,V$226)+COUNTIF('7月'!AW21:AX21,V$226)+COUNTIF('7月'!BB21:BC21,V$226)+COUNTIF('7月'!BG21:BH21,V$226)+COUNTIF('7月'!BL21:BM21,V$226)+COUNTIF('7月'!BQ21:BR21,V$226)+COUNTIF('7月'!BV21:BW21,V$226)+COUNTIF('7月'!CA21:CB21,V$226)+COUNTIF('7月'!CF21:CG21,V$226)+COUNTIF('7月'!CK21:CL21,V$226)+COUNTIF('7月'!CP21:CQ21,V$226)+COUNTIF('7月'!CU21:CV21,V$226)+COUNTIF('7月'!CZ21:DA21,V$226)+COUNTIF('7月'!DE21:DF21,V$226)+COUNTIF('7月'!DJ21:DK21,V$226)+COUNTIF('7月'!DO21:DP21,V$226)+COUNTIF('7月'!DT21:DU21,V$226)+COUNTIF('7月'!DY21:DZ21,V$226)+COUNTIF('7月'!ED21:EE21,V$226)+COUNTIF('7月'!EI21:EJ21,V$226)+COUNTIF('7月'!EN21:EO21,V$226)+COUNTIF('7月'!ES21:ET21,V$226)</f>
        <v>0</v>
      </c>
      <c r="W245" s="76">
        <f t="shared" si="82"/>
        <v>0</v>
      </c>
      <c r="X245" s="76">
        <f>COUNTIF('7月'!D21:E21,X$226)+COUNTIF('7月'!I21:J21,X$226)+COUNTIF('7月'!N21:O21,X$226)+COUNTIF('7月'!S21:T21,X$226)+COUNTIF('7月'!X21:Y21,X$226)+COUNTIF('7月'!AC21:AD21,X$226)+COUNTIF('7月'!AH21:AI21,X$226)+COUNTIF('7月'!AM21:AN21,X$226)+COUNTIF('7月'!AR21:AS21,X$226)+COUNTIF('7月'!AW21:AX21,X$226)+COUNTIF('7月'!BB21:BC21,X$226)+COUNTIF('7月'!BG21:BH21,X$226)+COUNTIF('7月'!BL21:BM21,X$226)+COUNTIF('7月'!BQ21:BR21,X$226)+COUNTIF('7月'!BV21:BW21,X$226)+COUNTIF('7月'!CA21:CB21,X$226)+COUNTIF('7月'!CF21:CG21,X$226)+COUNTIF('7月'!CK21:CL21,X$226)+COUNTIF('7月'!CP21:CQ21,X$226)+COUNTIF('7月'!CU21:CV21,X$226)+COUNTIF('7月'!CZ21:DA21,X$226)+COUNTIF('7月'!DE21:DF21,X$226)+COUNTIF('7月'!DJ21:DK21,X$226)+COUNTIF('7月'!DO21:DP21,X$226)+COUNTIF('7月'!DT21:DU21,X$226)+COUNTIF('7月'!DY21:DZ21,X$226)+COUNTIF('7月'!ED21:EE21,X$226)+COUNTIF('7月'!EI21:EJ21,X$226)+COUNTIF('7月'!EN21:EO21,X$226)+COUNTIF('7月'!ES21:ET21,X$226)</f>
        <v>0</v>
      </c>
      <c r="Y245" s="76">
        <f t="shared" si="83"/>
        <v>0</v>
      </c>
    </row>
    <row r="246" spans="1:25" ht="18" customHeight="1">
      <c r="A246" s="76">
        <v>19</v>
      </c>
      <c r="B246" s="76">
        <f>COUNTIF('7月'!D22:E22,B$226)+COUNTIF('7月'!I22:J22,B$226)+COUNTIF('7月'!N22:O22,B$226)+COUNTIF('7月'!S22:T22,B$226)+COUNTIF('7月'!X22:Y22,B$226)+COUNTIF('7月'!AC22:AD22,B$226)+COUNTIF('7月'!AH22:AI22,B$226)+COUNTIF('7月'!AM22:AN22,B$226)+COUNTIF('7月'!AR22:AS22,B$226)+COUNTIF('7月'!AW22:AX22,B$226)+COUNTIF('7月'!BB22:BC22,B$226)+COUNTIF('7月'!BG22:BH22,B$226)+COUNTIF('7月'!BL22:BM22,B$226)+COUNTIF('7月'!BQ22:BR22,B$226)+COUNTIF('7月'!BV22:BW22,B$226)+COUNTIF('7月'!CA22:CB22,B$226)+COUNTIF('7月'!CF22:CG22,B$226)+COUNTIF('7月'!CK22:CL22,B$226)+COUNTIF('7月'!CP22:CQ22,B$226)+COUNTIF('7月'!CU22:CV22,B$226)+COUNTIF('7月'!CZ22:DA22,B$226)+COUNTIF('7月'!DE22:DF22,B$226)+COUNTIF('7月'!DJ22:DK22,B$226)+COUNTIF('7月'!DO22:DP22,B$226)+COUNTIF('7月'!DT22:DU22,B$226)+COUNTIF('7月'!DY22:DZ22,B$226)+COUNTIF('7月'!ED22:EE22,B$226)+COUNTIF('7月'!EI22:EJ22,B$226)+COUNTIF('7月'!EN22:EO22,B$226)+COUNTIF('7月'!ES22:ET22,B$226)</f>
        <v>0</v>
      </c>
      <c r="C246" s="76">
        <f t="shared" si="72"/>
        <v>0</v>
      </c>
      <c r="D246" s="76">
        <f>COUNTIF('7月'!D22:E22,D$226)+COUNTIF('7月'!I22:J22,D$226)+COUNTIF('7月'!N22:O22,D$226)+COUNTIF('7月'!S22:T22,D$226)+COUNTIF('7月'!X22:Y22,D$226)+COUNTIF('7月'!AC22:AD22,D$226)+COUNTIF('7月'!AH22:AI22,D$226)+COUNTIF('7月'!AM22:AN22,D$226)+COUNTIF('7月'!AR22:AS22,D$226)+COUNTIF('7月'!AW22:AX22,D$226)+COUNTIF('7月'!BB22:BC22,D$226)+COUNTIF('7月'!BG22:BH22,D$226)+COUNTIF('7月'!BL22:BM22,D$226)+COUNTIF('7月'!BQ22:BR22,D$226)+COUNTIF('7月'!BV22:BW22,D$226)+COUNTIF('7月'!CA22:CB22,D$226)+COUNTIF('7月'!CF22:CG22,D$226)+COUNTIF('7月'!CK22:CL22,D$226)+COUNTIF('7月'!CP22:CQ22,D$226)+COUNTIF('7月'!CU22:CV22,D$226)+COUNTIF('7月'!CZ22:DA22,D$226)+COUNTIF('7月'!DE22:DF22,D$226)+COUNTIF('7月'!DJ22:DK22,D$226)+COUNTIF('7月'!DO22:DP22,D$226)+COUNTIF('7月'!DT22:DU22,D$226)+COUNTIF('7月'!DY22:DZ22,D$226)+COUNTIF('7月'!ED22:EE22,D$226)+COUNTIF('7月'!EI22:EJ22,D$226)+COUNTIF('7月'!EN22:EO22,D$226)+COUNTIF('7月'!ES22:ET22,D$226)</f>
        <v>0</v>
      </c>
      <c r="E246" s="76">
        <f t="shared" si="73"/>
        <v>0</v>
      </c>
      <c r="F246" s="76">
        <f>COUNTIF('7月'!D22:E22,F$226)+COUNTIF('7月'!I22:J22,F$226)+COUNTIF('7月'!N22:O22,F$226)+COUNTIF('7月'!S22:T22,F$226)+COUNTIF('7月'!X22:Y22,F$226)+COUNTIF('7月'!AC22:AD22,F$226)+COUNTIF('7月'!AH22:AI22,F$226)+COUNTIF('7月'!AM22:AN22,F$226)+COUNTIF('7月'!AR22:AS22,F$226)+COUNTIF('7月'!AW22:AX22,F$226)+COUNTIF('7月'!BB22:BC22,F$226)+COUNTIF('7月'!BG22:BH22,F$226)+COUNTIF('7月'!BL22:BM22,F$226)+COUNTIF('7月'!BQ22:BR22,F$226)+COUNTIF('7月'!BV22:BW22,F$226)+COUNTIF('7月'!CA22:CB22,F$226)+COUNTIF('7月'!CF22:CG22,F$226)+COUNTIF('7月'!CK22:CL22,F$226)+COUNTIF('7月'!CP22:CQ22,F$226)+COUNTIF('7月'!CU22:CV22,F$226)+COUNTIF('7月'!CZ22:DA22,F$226)+COUNTIF('7月'!DE22:DF22,F$226)+COUNTIF('7月'!DJ22:DK22,F$226)+COUNTIF('7月'!DO22:DP22,F$226)+COUNTIF('7月'!DT22:DU22,F$226)+COUNTIF('7月'!DY22:DZ22,F$226)+COUNTIF('7月'!ED22:EE22,F$226)+COUNTIF('7月'!EI22:EJ22,F$226)+COUNTIF('7月'!EN22:EO22,F$226)+COUNTIF('7月'!ES22:ET22,F$226)</f>
        <v>0</v>
      </c>
      <c r="G246" s="76">
        <f t="shared" si="74"/>
        <v>0</v>
      </c>
      <c r="H246" s="76">
        <f>COUNTIF('7月'!D22:E22,H$226)+COUNTIF('7月'!I22:J22,H$226)+COUNTIF('7月'!N22:O22,H$226)+COUNTIF('7月'!S22:T22,H$226)+COUNTIF('7月'!X22:Y22,H$226)+COUNTIF('7月'!AC22:AD22,H$226)+COUNTIF('7月'!AH22:AI22,H$226)+COUNTIF('7月'!AM22:AN22,H$226)+COUNTIF('7月'!AR22:AS22,H$226)+COUNTIF('7月'!AW22:AX22,H$226)+COUNTIF('7月'!BB22:BC22,H$226)+COUNTIF('7月'!BG22:BH22,H$226)+COUNTIF('7月'!BL22:BM22,H$226)+COUNTIF('7月'!BQ22:BR22,H$226)+COUNTIF('7月'!BV22:BW22,H$226)+COUNTIF('7月'!CA22:CB22,H$226)+COUNTIF('7月'!CF22:CG22,H$226)+COUNTIF('7月'!CK22:CL22,H$226)+COUNTIF('7月'!CP22:CQ22,H$226)+COUNTIF('7月'!CU22:CV22,H$226)+COUNTIF('7月'!CZ22:DA22,H$226)+COUNTIF('7月'!DE22:DF22,H$226)+COUNTIF('7月'!DJ22:DK22,H$226)+COUNTIF('7月'!DO22:DP22,H$226)+COUNTIF('7月'!DT22:DU22,H$226)+COUNTIF('7月'!DY22:DZ22,H$226)+COUNTIF('7月'!ED22:EE22,H$226)+COUNTIF('7月'!EI22:EJ22,H$226)+COUNTIF('7月'!EN22:EO22,H$226)+COUNTIF('7月'!ES22:ET22,H$226)+COUNTIF('7月'!D22:E22,"渋谷-夜勤")+COUNTIF('7月'!I22:J22,"渋谷-夜勤")+COUNTIF('7月'!N22:O22,"渋谷-夜勤")+COUNTIF('7月'!S22:T22,"渋谷-夜勤")+COUNTIF('7月'!X22:Y22,"渋谷-夜勤")+COUNTIF('7月'!AC22:AD22,"渋谷-夜勤")+COUNTIF('7月'!AH22:AI22,"渋谷-夜勤")+COUNTIF('7月'!AM22:AN22,"渋谷-夜勤")+COUNTIF('7月'!AR22:AS22,"渋谷-夜勤")+COUNTIF('7月'!AW22:AX22,"渋谷-夜勤")+COUNTIF('7月'!BB22:BC22,"渋谷-夜勤")+COUNTIF('7月'!BG22:BH22,"渋谷-夜勤")+COUNTIF('7月'!BL22:BM22,"渋谷-夜勤")+COUNTIF('7月'!BQ22:BR22,"渋谷-夜勤")+COUNTIF('7月'!BV22:BW22,"渋谷-夜勤")+COUNTIF('7月'!CA22:CB22,"渋谷-夜勤")+COUNTIF('7月'!CF22:CG22,"渋谷-夜勤")+COUNTIF('7月'!CK22:CL22,"渋谷-夜勤")+COUNTIF('7月'!CP22:CQ22,"渋谷-夜勤")+COUNTIF('7月'!CU22:CV22,"渋谷-夜勤")+COUNTIF('7月'!CZ22:DA22,"渋谷-夜勤")+COUNTIF('7月'!DE22:DF22,"渋谷-夜勤")+COUNTIF('7月'!DJ22:DK22,"渋谷-夜勤")+COUNTIF('7月'!DO22:DP22,"渋谷-夜勤")+COUNTIF('7月'!DT22:DU22,"渋谷-夜勤")+COUNTIF('7月'!DY22:DZ22,"渋谷-夜勤")+COUNTIF('7月'!ED22:EE22,"渋谷-夜勤")+COUNTIF('7月'!EI22:EJ22,"渋谷-夜勤")+COUNTIF('7月'!EN22:EO22,"渋谷-夜勤")+COUNTIF('7月'!ES22:ET22,"渋谷-夜勤")</f>
        <v>0</v>
      </c>
      <c r="I246" s="76">
        <f t="shared" si="75"/>
        <v>0</v>
      </c>
      <c r="J246" s="76">
        <f>COUNTIF('7月'!D22:E22,J$226)+COUNTIF('7月'!I22:J22,J$226)+COUNTIF('7月'!N22:O22,J$226)+COUNTIF('7月'!S22:T22,J$226)+COUNTIF('7月'!X22:Y22,J$226)+COUNTIF('7月'!AC22:AD22,J$226)+COUNTIF('7月'!AH22:AI22,J$226)+COUNTIF('7月'!AM22:AN22,J$226)+COUNTIF('7月'!AR22:AS22,J$226)+COUNTIF('7月'!AW22:AX22,J$226)+COUNTIF('7月'!BB22:BC22,J$226)+COUNTIF('7月'!BG22:BH22,J$226)+COUNTIF('7月'!BL22:BM22,J$226)+COUNTIF('7月'!BQ22:BR22,J$226)+COUNTIF('7月'!BV22:BW22,J$226)+COUNTIF('7月'!CA22:CB22,J$226)+COUNTIF('7月'!CF22:CG22,J$226)+COUNTIF('7月'!CK22:CL22,J$226)+COUNTIF('7月'!CP22:CQ22,J$226)+COUNTIF('7月'!CU22:CV22,J$226)+COUNTIF('7月'!CZ22:DA22,J$226)+COUNTIF('7月'!DE22:DF22,J$226)+COUNTIF('7月'!DJ22:DK22,J$226)+COUNTIF('7月'!DO22:DP22,J$226)+COUNTIF('7月'!DT22:DU22,J$226)+COUNTIF('7月'!DY22:DZ22,J$226)+COUNTIF('7月'!ED22:EE22,J$226)+COUNTIF('7月'!EI22:EJ22,J$226)+COUNTIF('7月'!EN22:EO22,J$226)+COUNTIF('7月'!ES22:ET22,J$226)+COUNTIF('7月'!D22:E22,"六本木-夜勤")+COUNTIF('7月'!I22:J22,"六本木-夜勤")+COUNTIF('7月'!N22:O22,"六本木-夜勤")+COUNTIF('7月'!S22:T22,"六本木-夜勤")+COUNTIF('7月'!X22:Y22,"六本木-夜勤")+COUNTIF('7月'!AC22:AD22,"六本木-夜勤")+COUNTIF('7月'!AH22:AI22,"六本木-夜勤")+COUNTIF('7月'!AM22:AN22,"六本木-夜勤")+COUNTIF('7月'!AR22:AS22,"六本木-夜勤")+COUNTIF('7月'!AW22:AX22,"六本木-夜勤")+COUNTIF('7月'!BB22:BC22,"六本木-夜勤")+COUNTIF('7月'!BG22:BH22,"六本木-夜勤")+COUNTIF('7月'!BL22:BM22,"六本木-夜勤")+COUNTIF('7月'!BQ22:BR22,"六本木-夜勤")+COUNTIF('7月'!BV22:BW22,"六本木-夜勤")+COUNTIF('7月'!CA22:CB22,"六本木-夜勤")+COUNTIF('7月'!CF22:CG22,"六本木-夜勤")+COUNTIF('7月'!CK22:CL22,"六本木-夜勤")+COUNTIF('7月'!CP22:CQ22,"六本木-夜勤")+COUNTIF('7月'!CU22:CV22,"六本木-夜勤")+COUNTIF('7月'!CZ22:DA22,"六本木-夜勤")+COUNTIF('7月'!DE22:DF22,"六本木-夜勤")+COUNTIF('7月'!DJ22:DK22,"六本木-夜勤")+COUNTIF('7月'!DO22:DP22,"六本木-夜勤")+COUNTIF('7月'!DT22:DU22,"六本木-夜勤")+COUNTIF('7月'!DY22:DZ22,"六本木-夜勤")+COUNTIF('7月'!ED22:EE22,"六本木-夜勤")+COUNTIF('7月'!EI22:EJ22,"六本木-夜勤")+COUNTIF('7月'!EN22:EO22,"六本木-夜勤")+COUNTIF('7月'!ES22:ET22,"六本木-夜勤")+COUNTIF('7月'!D22:E22,"六本木ー夜勤")+COUNTIF('7月'!I22:J22,"六本木ー夜勤")+COUNTIF('7月'!N22:O22,"六本木ー夜勤")+COUNTIF('7月'!S22:T22,"六本木ー夜勤")+COUNTIF('7月'!X22:Y22,"六本木ー夜勤")+COUNTIF('7月'!AC22:AD22,"六本木ー夜勤")+COUNTIF('7月'!AH22:AI22,"六本木ー夜勤")+COUNTIF('7月'!AM22:AN22,"六本木ー夜勤")+COUNTIF('7月'!AR22:AS22,"六本木ー夜勤")+COUNTIF('7月'!AW22:AX22,"六本木ー夜勤")+COUNTIF('7月'!BB22:BC22,"六本木ー夜勤")+COUNTIF('7月'!BG22:BH22,"六本木ー夜勤")+COUNTIF('7月'!BL22:BM22,"六本木ー夜勤")+COUNTIF('7月'!BQ22:BR22,"六本木ー夜勤")+COUNTIF('7月'!BV22:BW22,"六本木ー夜勤")+COUNTIF('7月'!CA22:CB22,"六本木ー夜勤")+COUNTIF('7月'!CF22:CG22,"六本木ー夜勤")+COUNTIF('7月'!CK22:CL22,"六本木ー夜勤")+COUNTIF('7月'!CP22:CQ22,"六本木ー夜勤")+COUNTIF('7月'!CU22:CV22,"六本木ー夜勤")+COUNTIF('7月'!CZ22:DA22,"六本木ー夜勤")+COUNTIF('7月'!DE22:DF22,"六本木ー夜勤")+COUNTIF('7月'!DJ22:DK22,"六本木ー夜勤")+COUNTIF('7月'!DO22:DP22,"六本木ー夜勤")+COUNTIF('7月'!DT22:DU22,"六本木ー夜勤")+COUNTIF('7月'!DY22:DZ22,"六本木ー夜勤")+COUNTIF('7月'!ED22:EE22,"六本木ー夜勤")+COUNTIF('7月'!EI22:EJ22,"六本木ー夜勤")+COUNTIF('7月'!EN22:EO22,"六本木ー夜勤")+COUNTIF('7月'!ES22:ET22,"六本木ー夜勤")</f>
        <v>0</v>
      </c>
      <c r="K246" s="76">
        <f t="shared" si="76"/>
        <v>0</v>
      </c>
      <c r="L246" s="76">
        <f>COUNTIF('7月'!D22:E22,L$226)+COUNTIF('7月'!I22:J22,L$226)+COUNTIF('7月'!N22:O22,L$226)+COUNTIF('7月'!S22:T22,L$226)+COUNTIF('7月'!X22:Y22,L$226)+COUNTIF('7月'!AC22:AD22,L$226)+COUNTIF('7月'!AH22:AI22,L$226)+COUNTIF('7月'!AM22:AN22,L$226)+COUNTIF('7月'!AR22:AS22,L$226)+COUNTIF('7月'!AW22:AX22,L$226)+COUNTIF('7月'!BB22:BC22,L$226)+COUNTIF('7月'!BG22:BH22,L$226)+COUNTIF('7月'!BL22:BM22,L$226)+COUNTIF('7月'!BQ22:BR22,L$226)+COUNTIF('7月'!BV22:BW22,L$226)+COUNTIF('7月'!CA22:CB22,L$226)+COUNTIF('7月'!CF22:CG22,L$226)+COUNTIF('7月'!CK22:CL22,L$226)+COUNTIF('7月'!CP22:CQ22,L$226)+COUNTIF('7月'!CU22:CV22,L$226)+COUNTIF('7月'!CZ22:DA22,L$226)+COUNTIF('7月'!DE22:DF22,L$226)+COUNTIF('7月'!DJ22:DK22,L$226)+COUNTIF('7月'!DO22:DP22,L$226)+COUNTIF('7月'!DT22:DU22,L$226)+COUNTIF('7月'!DY22:DZ22,L$226)+COUNTIF('7月'!ED22:EE22,L$226)+COUNTIF('7月'!EI22:EJ22,L$226)+COUNTIF('7月'!EN22:EO22,L$226)+COUNTIF('7月'!ES22:ET22,L$226)</f>
        <v>0</v>
      </c>
      <c r="M246" s="76">
        <f t="shared" si="77"/>
        <v>0</v>
      </c>
      <c r="N246" s="76">
        <f>COUNTIF('7月'!D22:E22,N$226)+COUNTIF('7月'!I22:J22,N$226)+COUNTIF('7月'!N22:O22,N$226)+COUNTIF('7月'!S22:T22,N$226)+COUNTIF('7月'!X22:Y22,N$226)+COUNTIF('7月'!AC22:AD22,N$226)+COUNTIF('7月'!AH22:AI22,N$226)+COUNTIF('7月'!AM22:AN22,N$226)+COUNTIF('7月'!AR22:AS22,N$226)+COUNTIF('7月'!AW22:AX22,N$226)+COUNTIF('7月'!BB22:BC22,N$226)+COUNTIF('7月'!BG22:BH22,N$226)+COUNTIF('7月'!BL22:BM22,N$226)+COUNTIF('7月'!BQ22:BR22,N$226)+COUNTIF('7月'!BV22:BW22,N$226)+COUNTIF('7月'!CA22:CB22,N$226)+COUNTIF('7月'!CF22:CG22,N$226)+COUNTIF('7月'!CK22:CL22,N$226)+COUNTIF('7月'!CP22:CQ22,N$226)+COUNTIF('7月'!CU22:CV22,N$226)+COUNTIF('7月'!CZ22:DA22,N$226)+COUNTIF('7月'!DE22:DF22,N$226)+COUNTIF('7月'!DJ22:DK22,N$226)+COUNTIF('7月'!DO22:DP22,N$226)+COUNTIF('7月'!DT22:DU22,N$226)+COUNTIF('7月'!DY22:DZ22,N$226)+COUNTIF('7月'!ED22:EE22,N$226)+COUNTIF('7月'!EI22:EJ22,N$226)+COUNTIF('7月'!EN22:EO22,N$226)+COUNTIF('7月'!ES22:ET22,N$226)+COUNTIF('7月'!D22:E22,"三軒茶屋－夜勤")+COUNTIF('7月'!I22:J22,"三軒茶屋－夜勤")+COUNTIF('7月'!N22:O22,"三軒茶屋－夜勤")+COUNTIF('7月'!S22:T22,"三軒茶屋－夜勤")+COUNTIF('7月'!X22:Y22,"三軒茶屋－夜勤")+COUNTIF('7月'!AC22:AD22,"三軒茶屋－夜勤")+COUNTIF('7月'!AH22:AI22,"三軒茶屋－夜勤")+COUNTIF('7月'!AM22:AN22,"三軒茶屋－夜勤")+COUNTIF('7月'!AR22:AS22,"三軒茶屋－夜勤")+COUNTIF('7月'!AW22:AX22,"三軒茶屋－夜勤")+COUNTIF('7月'!BB22:BC22,"三軒茶屋－夜勤")+COUNTIF('7月'!BG22:BH22,"三軒茶屋－夜勤")+COUNTIF('7月'!BL22:BM22,"三軒茶屋－夜勤")+COUNTIF('7月'!BQ22:BR22,"三軒茶屋－夜勤")+COUNTIF('7月'!BV22:BW22,"三軒茶屋－夜勤")+COUNTIF('7月'!CA22:CB22,"三軒茶屋－夜勤")+COUNTIF('7月'!CF22:CG22,"三軒茶屋－夜勤")+COUNTIF('7月'!CK22:CL22,"三軒茶屋－夜勤")+COUNTIF('7月'!CP22:CQ22,"三軒茶屋－夜勤")+COUNTIF('7月'!CU22:CV22,"三軒茶屋－夜勤")+COUNTIF('7月'!CZ22:DA22,"三軒茶屋－夜勤")+COUNTIF('7月'!DE22:DF22,"三軒茶屋－夜勤")+COUNTIF('7月'!DJ22:DK22,"三軒茶屋－夜勤")+COUNTIF('7月'!DO22:DP22,"三軒茶屋－夜勤")+COUNTIF('7月'!DT22:DU22,"三軒茶屋－夜勤")+COUNTIF('7月'!DY22:DZ22,"三軒茶屋－夜勤")+COUNTIF('7月'!ED22:EE22,"三軒茶屋－夜勤")+COUNTIF('7月'!EI22:EJ22,"三軒茶屋－夜勤")+COUNTIF('7月'!EN22:EO22,"三軒茶屋－夜勤")+COUNTIF('7月'!ES22:ET22,"三軒茶屋－夜勤")</f>
        <v>0</v>
      </c>
      <c r="O246" s="76">
        <f t="shared" si="78"/>
        <v>0</v>
      </c>
      <c r="P246" s="76">
        <f>COUNTIF('7月'!D22:E22,P$226)+COUNTIF('7月'!I22:J22,P$226)+COUNTIF('7月'!N22:O22,P$226)+COUNTIF('7月'!S22:T22,P$226)+COUNTIF('7月'!X22:Y22,P$226)+COUNTIF('7月'!AC22:AD22,P$226)+COUNTIF('7月'!AH22:AI22,P$226)+COUNTIF('7月'!AM22:AN22,P$226)+COUNTIF('7月'!AR22:AS22,P$226)+COUNTIF('7月'!AW22:AX22,P$226)+COUNTIF('7月'!BB22:BC22,P$226)+COUNTIF('7月'!BG22:BH22,P$226)+COUNTIF('7月'!BL22:BM22,P$226)+COUNTIF('7月'!BQ22:BR22,P$226)+COUNTIF('7月'!BV22:BW22,P$226)+COUNTIF('7月'!CA22:CB22,P$226)+COUNTIF('7月'!CF22:CG22,P$226)+COUNTIF('7月'!CK22:CL22,P$226)+COUNTIF('7月'!CP22:CQ22,P$226)+COUNTIF('7月'!CU22:CV22,P$226)+COUNTIF('7月'!CZ22:DA22,P$226)+COUNTIF('7月'!DE22:DF22,P$226)+COUNTIF('7月'!DJ22:DK22,P$226)+COUNTIF('7月'!DO22:DP22,P$226)+COUNTIF('7月'!DT22:DU22,P$226)+COUNTIF('7月'!DY22:DZ22,P$226)+COUNTIF('7月'!ED22:EE22,P$226)+COUNTIF('7月'!EI22:EJ22,P$226)+COUNTIF('7月'!EN22:EO22,P$226)+COUNTIF('7月'!ES22:ET22,P$226)+COUNTIF('7月'!D22:E22,"荻窪ー夜勤")+COUNTIF('7月'!I22:J22,"荻窪ー夜勤")+COUNTIF('7月'!N22:O22,"荻窪ー夜勤")+COUNTIF('7月'!S22:T22,"荻窪ー夜勤")+COUNTIF('7月'!X22:Y22,"荻窪ー夜勤")+COUNTIF('7月'!AC22:AD22,"荻窪ー夜勤")+COUNTIF('7月'!AH22:AI22,"荻窪ー夜勤")+COUNTIF('7月'!AM22:AN22,"荻窪ー夜勤")+COUNTIF('7月'!AR22:AS22,"荻窪ー夜勤")+COUNTIF('7月'!AW22:AX22,"荻窪ー夜勤")+COUNTIF('7月'!BB22:BC22,"荻窪ー夜勤")+COUNTIF('7月'!BG22:BH22,"荻窪ー夜勤")+COUNTIF('7月'!BL22:BM22,"荻窪ー夜勤")+COUNTIF('7月'!BQ22:BR22,"荻窪ー夜勤")+COUNTIF('7月'!BV22:BW22,"荻窪ー夜勤")+COUNTIF('7月'!CA22:CB22,"荻窪ー夜勤")+COUNTIF('7月'!CF22:CG22,"荻窪ー夜勤")+COUNTIF('7月'!CK22:CL22,"荻窪ー夜勤")+COUNTIF('7月'!CP22:CQ22,"荻窪ー夜勤")+COUNTIF('7月'!CU22:CV22,"荻窪ー夜勤")+COUNTIF('7月'!CZ22:DA22,"荻窪ー夜勤")+COUNTIF('7月'!DE22:DF22,"荻窪ー夜勤")+COUNTIF('7月'!DJ22:DK22,"荻窪ー夜勤")+COUNTIF('7月'!DO22:DP22,"荻窪ー夜勤")+COUNTIF('7月'!DT22:DU22,"荻窪ー夜勤")+COUNTIF('7月'!DY22:DZ22,"荻窪ー夜勤")+COUNTIF('7月'!ED22:EE22,"荻窪ー夜勤")+COUNTIF('7月'!EI22:EJ22,"荻窪ー夜勤")+COUNTIF('7月'!EN22:EO22,"荻窪ー夜勤")+COUNTIF('7月'!ES22:ET22,"荻窪ー夜勤")</f>
        <v>0</v>
      </c>
      <c r="Q246" s="76">
        <f t="shared" si="79"/>
        <v>0</v>
      </c>
      <c r="R246" s="76">
        <f>COUNTIF('7月'!D22:E22,R$226)+COUNTIF('7月'!I22:J22,R$226)+COUNTIF('7月'!N22:O22,R$226)+COUNTIF('7月'!S22:T22,R$226)+COUNTIF('7月'!X22:Y22,R$226)+COUNTIF('7月'!AC22:AD22,R$226)+COUNTIF('7月'!AH22:AI22,R$226)+COUNTIF('7月'!AM22:AN22,R$226)+COUNTIF('7月'!AR22:AS22,R$226)+COUNTIF('7月'!AW22:AX22,R$226)+COUNTIF('7月'!BB22:BC22,R$226)+COUNTIF('7月'!BG22:BH22,R$226)+COUNTIF('7月'!BL22:BM22,R$226)+COUNTIF('7月'!BQ22:BR22,R$226)+COUNTIF('7月'!BV22:BW22,R$226)+COUNTIF('7月'!CA22:CB22,R$226)+COUNTIF('7月'!CF22:CG22,R$226)+COUNTIF('7月'!CK22:CL22,R$226)+COUNTIF('7月'!CP22:CQ22,R$226)+COUNTIF('7月'!CU22:CV22,R$226)+COUNTIF('7月'!CZ22:DA22,R$226)+COUNTIF('7月'!DE22:DF22,R$226)+COUNTIF('7月'!DJ22:DK22,R$226)+COUNTIF('7月'!DO22:DP22,R$226)+COUNTIF('7月'!DT22:DU22,R$226)+COUNTIF('7月'!DY22:DZ22,R$226)+COUNTIF('7月'!ED22:EE22,R$226)+COUNTIF('7月'!EI22:EJ22,R$226)+COUNTIF('7月'!EN22:EO22,R$226)+COUNTIF('7月'!ES22:ET22,R$226)</f>
        <v>0</v>
      </c>
      <c r="S246" s="76">
        <f t="shared" si="80"/>
        <v>0</v>
      </c>
      <c r="T246" s="76">
        <f>COUNTIF('7月'!D22:E22,T$226)+COUNTIF('7月'!I22:J22,T$226)+COUNTIF('7月'!N22:O22,T$226)+COUNTIF('7月'!S22:T22,T$226)+COUNTIF('7月'!X22:Y22,T$226)+COUNTIF('7月'!AC22:AD22,T$226)+COUNTIF('7月'!AH22:AI22,T$226)+COUNTIF('7月'!AM22:AN22,T$226)+COUNTIF('7月'!AR22:AS22,T$226)+COUNTIF('7月'!AW22:AX22,T$226)+COUNTIF('7月'!BB22:BC22,T$226)+COUNTIF('7月'!BG22:BH22,T$226)+COUNTIF('7月'!BL22:BM22,T$226)+COUNTIF('7月'!BQ22:BR22,T$226)+COUNTIF('7月'!BV22:BW22,T$226)+COUNTIF('7月'!CA22:CB22,T$226)+COUNTIF('7月'!CF22:CG22,T$226)+COUNTIF('7月'!CK22:CL22,T$226)+COUNTIF('7月'!CP22:CQ22,T$226)+COUNTIF('7月'!CU22:CV22,T$226)+COUNTIF('7月'!CZ22:DA22,T$226)+COUNTIF('7月'!DE22:DF22,T$226)+COUNTIF('7月'!DJ22:DK22,T$226)+COUNTIF('7月'!DO22:DP22,T$226)+COUNTIF('7月'!DT22:DU22,T$226)+COUNTIF('7月'!DY22:DZ22,T$226)+COUNTIF('7月'!ED22:EE22,T$226)+COUNTIF('7月'!EI22:EJ22,T$226)+COUNTIF('7月'!EN22:EO22,T$226)+COUNTIF('7月'!ES22:ET22,T$226)</f>
        <v>0</v>
      </c>
      <c r="U246" s="76">
        <f t="shared" si="81"/>
        <v>0</v>
      </c>
      <c r="V246" s="76">
        <f>COUNTIF('7月'!D22:E22,V$226)+COUNTIF('7月'!I22:J22,V$226)+COUNTIF('7月'!N22:O22,V$226)+COUNTIF('7月'!S22:T22,V$226)+COUNTIF('7月'!X22:Y22,V$226)+COUNTIF('7月'!AC22:AD22,V$226)+COUNTIF('7月'!AH22:AI22,V$226)+COUNTIF('7月'!AM22:AN22,V$226)+COUNTIF('7月'!AR22:AS22,V$226)+COUNTIF('7月'!AW22:AX22,V$226)+COUNTIF('7月'!BB22:BC22,V$226)+COUNTIF('7月'!BG22:BH22,V$226)+COUNTIF('7月'!BL22:BM22,V$226)+COUNTIF('7月'!BQ22:BR22,V$226)+COUNTIF('7月'!BV22:BW22,V$226)+COUNTIF('7月'!CA22:CB22,V$226)+COUNTIF('7月'!CF22:CG22,V$226)+COUNTIF('7月'!CK22:CL22,V$226)+COUNTIF('7月'!CP22:CQ22,V$226)+COUNTIF('7月'!CU22:CV22,V$226)+COUNTIF('7月'!CZ22:DA22,V$226)+COUNTIF('7月'!DE22:DF22,V$226)+COUNTIF('7月'!DJ22:DK22,V$226)+COUNTIF('7月'!DO22:DP22,V$226)+COUNTIF('7月'!DT22:DU22,V$226)+COUNTIF('7月'!DY22:DZ22,V$226)+COUNTIF('7月'!ED22:EE22,V$226)+COUNTIF('7月'!EI22:EJ22,V$226)+COUNTIF('7月'!EN22:EO22,V$226)+COUNTIF('7月'!ES22:ET22,V$226)</f>
        <v>0</v>
      </c>
      <c r="W246" s="76">
        <f t="shared" si="82"/>
        <v>0</v>
      </c>
      <c r="X246" s="76">
        <f>COUNTIF('7月'!D22:E22,X$226)+COUNTIF('7月'!I22:J22,X$226)+COUNTIF('7月'!N22:O22,X$226)+COUNTIF('7月'!S22:T22,X$226)+COUNTIF('7月'!X22:Y22,X$226)+COUNTIF('7月'!AC22:AD22,X$226)+COUNTIF('7月'!AH22:AI22,X$226)+COUNTIF('7月'!AM22:AN22,X$226)+COUNTIF('7月'!AR22:AS22,X$226)+COUNTIF('7月'!AW22:AX22,X$226)+COUNTIF('7月'!BB22:BC22,X$226)+COUNTIF('7月'!BG22:BH22,X$226)+COUNTIF('7月'!BL22:BM22,X$226)+COUNTIF('7月'!BQ22:BR22,X$226)+COUNTIF('7月'!BV22:BW22,X$226)+COUNTIF('7月'!CA22:CB22,X$226)+COUNTIF('7月'!CF22:CG22,X$226)+COUNTIF('7月'!CK22:CL22,X$226)+COUNTIF('7月'!CP22:CQ22,X$226)+COUNTIF('7月'!CU22:CV22,X$226)+COUNTIF('7月'!CZ22:DA22,X$226)+COUNTIF('7月'!DE22:DF22,X$226)+COUNTIF('7月'!DJ22:DK22,X$226)+COUNTIF('7月'!DO22:DP22,X$226)+COUNTIF('7月'!DT22:DU22,X$226)+COUNTIF('7月'!DY22:DZ22,X$226)+COUNTIF('7月'!ED22:EE22,X$226)+COUNTIF('7月'!EI22:EJ22,X$226)+COUNTIF('7月'!EN22:EO22,X$226)+COUNTIF('7月'!ES22:ET22,X$226)</f>
        <v>0</v>
      </c>
      <c r="Y246" s="76">
        <f t="shared" si="83"/>
        <v>0</v>
      </c>
    </row>
    <row r="247" spans="1:25" ht="18" customHeight="1">
      <c r="A247" s="76">
        <v>20</v>
      </c>
      <c r="B247" s="76">
        <f>COUNTIF('7月'!D23:E23,B$226)+COUNTIF('7月'!I23:J23,B$226)+COUNTIF('7月'!N23:O23,B$226)+COUNTIF('7月'!S23:T23,B$226)+COUNTIF('7月'!X23:Y23,B$226)+COUNTIF('7月'!AC23:AD23,B$226)+COUNTIF('7月'!AH23:AI23,B$226)+COUNTIF('7月'!AM23:AN23,B$226)+COUNTIF('7月'!AR23:AS23,B$226)+COUNTIF('7月'!AW23:AX23,B$226)+COUNTIF('7月'!BB23:BC23,B$226)+COUNTIF('7月'!BG23:BH23,B$226)+COUNTIF('7月'!BL23:BM23,B$226)+COUNTIF('7月'!BQ23:BR23,B$226)+COUNTIF('7月'!BV23:BW23,B$226)+COUNTIF('7月'!CA23:CB23,B$226)+COUNTIF('7月'!CF23:CG23,B$226)+COUNTIF('7月'!CK23:CL23,B$226)+COUNTIF('7月'!CP23:CQ23,B$226)+COUNTIF('7月'!CU23:CV23,B$226)+COUNTIF('7月'!CZ23:DA23,B$226)+COUNTIF('7月'!DE23:DF23,B$226)+COUNTIF('7月'!DJ23:DK23,B$226)+COUNTIF('7月'!DO23:DP23,B$226)+COUNTIF('7月'!DT23:DU23,B$226)+COUNTIF('7月'!DY23:DZ23,B$226)+COUNTIF('7月'!ED23:EE23,B$226)+COUNTIF('7月'!EI23:EJ23,B$226)+COUNTIF('7月'!EN23:EO23,B$226)+COUNTIF('7月'!ES23:ET23,B$226)</f>
        <v>0</v>
      </c>
      <c r="C247" s="76">
        <f t="shared" si="72"/>
        <v>0</v>
      </c>
      <c r="D247" s="76">
        <f>COUNTIF('7月'!D23:E23,D$226)+COUNTIF('7月'!I23:J23,D$226)+COUNTIF('7月'!N23:O23,D$226)+COUNTIF('7月'!S23:T23,D$226)+COUNTIF('7月'!X23:Y23,D$226)+COUNTIF('7月'!AC23:AD23,D$226)+COUNTIF('7月'!AH23:AI23,D$226)+COUNTIF('7月'!AM23:AN23,D$226)+COUNTIF('7月'!AR23:AS23,D$226)+COUNTIF('7月'!AW23:AX23,D$226)+COUNTIF('7月'!BB23:BC23,D$226)+COUNTIF('7月'!BG23:BH23,D$226)+COUNTIF('7月'!BL23:BM23,D$226)+COUNTIF('7月'!BQ23:BR23,D$226)+COUNTIF('7月'!BV23:BW23,D$226)+COUNTIF('7月'!CA23:CB23,D$226)+COUNTIF('7月'!CF23:CG23,D$226)+COUNTIF('7月'!CK23:CL23,D$226)+COUNTIF('7月'!CP23:CQ23,D$226)+COUNTIF('7月'!CU23:CV23,D$226)+COUNTIF('7月'!CZ23:DA23,D$226)+COUNTIF('7月'!DE23:DF23,D$226)+COUNTIF('7月'!DJ23:DK23,D$226)+COUNTIF('7月'!DO23:DP23,D$226)+COUNTIF('7月'!DT23:DU23,D$226)+COUNTIF('7月'!DY23:DZ23,D$226)+COUNTIF('7月'!ED23:EE23,D$226)+COUNTIF('7月'!EI23:EJ23,D$226)+COUNTIF('7月'!EN23:EO23,D$226)+COUNTIF('7月'!ES23:ET23,D$226)</f>
        <v>0</v>
      </c>
      <c r="E247" s="76">
        <f t="shared" si="73"/>
        <v>0</v>
      </c>
      <c r="F247" s="76">
        <f>COUNTIF('7月'!D23:E23,F$226)+COUNTIF('7月'!I23:J23,F$226)+COUNTIF('7月'!N23:O23,F$226)+COUNTIF('7月'!S23:T23,F$226)+COUNTIF('7月'!X23:Y23,F$226)+COUNTIF('7月'!AC23:AD23,F$226)+COUNTIF('7月'!AH23:AI23,F$226)+COUNTIF('7月'!AM23:AN23,F$226)+COUNTIF('7月'!AR23:AS23,F$226)+COUNTIF('7月'!AW23:AX23,F$226)+COUNTIF('7月'!BB23:BC23,F$226)+COUNTIF('7月'!BG23:BH23,F$226)+COUNTIF('7月'!BL23:BM23,F$226)+COUNTIF('7月'!BQ23:BR23,F$226)+COUNTIF('7月'!BV23:BW23,F$226)+COUNTIF('7月'!CA23:CB23,F$226)+COUNTIF('7月'!CF23:CG23,F$226)+COUNTIF('7月'!CK23:CL23,F$226)+COUNTIF('7月'!CP23:CQ23,F$226)+COUNTIF('7月'!CU23:CV23,F$226)+COUNTIF('7月'!CZ23:DA23,F$226)+COUNTIF('7月'!DE23:DF23,F$226)+COUNTIF('7月'!DJ23:DK23,F$226)+COUNTIF('7月'!DO23:DP23,F$226)+COUNTIF('7月'!DT23:DU23,F$226)+COUNTIF('7月'!DY23:DZ23,F$226)+COUNTIF('7月'!ED23:EE23,F$226)+COUNTIF('7月'!EI23:EJ23,F$226)+COUNTIF('7月'!EN23:EO23,F$226)+COUNTIF('7月'!ES23:ET23,F$226)</f>
        <v>0</v>
      </c>
      <c r="G247" s="76">
        <f t="shared" si="74"/>
        <v>0</v>
      </c>
      <c r="H247" s="76">
        <f>COUNTIF('7月'!D23:E23,H$226)+COUNTIF('7月'!I23:J23,H$226)+COUNTIF('7月'!N23:O23,H$226)+COUNTIF('7月'!S23:T23,H$226)+COUNTIF('7月'!X23:Y23,H$226)+COUNTIF('7月'!AC23:AD23,H$226)+COUNTIF('7月'!AH23:AI23,H$226)+COUNTIF('7月'!AM23:AN23,H$226)+COUNTIF('7月'!AR23:AS23,H$226)+COUNTIF('7月'!AW23:AX23,H$226)+COUNTIF('7月'!BB23:BC23,H$226)+COUNTIF('7月'!BG23:BH23,H$226)+COUNTIF('7月'!BL23:BM23,H$226)+COUNTIF('7月'!BQ23:BR23,H$226)+COUNTIF('7月'!BV23:BW23,H$226)+COUNTIF('7月'!CA23:CB23,H$226)+COUNTIF('7月'!CF23:CG23,H$226)+COUNTIF('7月'!CK23:CL23,H$226)+COUNTIF('7月'!CP23:CQ23,H$226)+COUNTIF('7月'!CU23:CV23,H$226)+COUNTIF('7月'!CZ23:DA23,H$226)+COUNTIF('7月'!DE23:DF23,H$226)+COUNTIF('7月'!DJ23:DK23,H$226)+COUNTIF('7月'!DO23:DP23,H$226)+COUNTIF('7月'!DT23:DU23,H$226)+COUNTIF('7月'!DY23:DZ23,H$226)+COUNTIF('7月'!ED23:EE23,H$226)+COUNTIF('7月'!EI23:EJ23,H$226)+COUNTIF('7月'!EN23:EO23,H$226)+COUNTIF('7月'!ES23:ET23,H$226)+COUNTIF('7月'!D23:E23,"渋谷-夜勤")+COUNTIF('7月'!I23:J23,"渋谷-夜勤")+COUNTIF('7月'!N23:O23,"渋谷-夜勤")+COUNTIF('7月'!S23:T23,"渋谷-夜勤")+COUNTIF('7月'!X23:Y23,"渋谷-夜勤")+COUNTIF('7月'!AC23:AD23,"渋谷-夜勤")+COUNTIF('7月'!AH23:AI23,"渋谷-夜勤")+COUNTIF('7月'!AM23:AN23,"渋谷-夜勤")+COUNTIF('7月'!AR23:AS23,"渋谷-夜勤")+COUNTIF('7月'!AW23:AX23,"渋谷-夜勤")+COUNTIF('7月'!BB23:BC23,"渋谷-夜勤")+COUNTIF('7月'!BG23:BH23,"渋谷-夜勤")+COUNTIF('7月'!BL23:BM23,"渋谷-夜勤")+COUNTIF('7月'!BQ23:BR23,"渋谷-夜勤")+COUNTIF('7月'!BV23:BW23,"渋谷-夜勤")+COUNTIF('7月'!CA23:CB23,"渋谷-夜勤")+COUNTIF('7月'!CF23:CG23,"渋谷-夜勤")+COUNTIF('7月'!CK23:CL23,"渋谷-夜勤")+COUNTIF('7月'!CP23:CQ23,"渋谷-夜勤")+COUNTIF('7月'!CU23:CV23,"渋谷-夜勤")+COUNTIF('7月'!CZ23:DA23,"渋谷-夜勤")+COUNTIF('7月'!DE23:DF23,"渋谷-夜勤")+COUNTIF('7月'!DJ23:DK23,"渋谷-夜勤")+COUNTIF('7月'!DO23:DP23,"渋谷-夜勤")+COUNTIF('7月'!DT23:DU23,"渋谷-夜勤")+COUNTIF('7月'!DY23:DZ23,"渋谷-夜勤")+COUNTIF('7月'!ED23:EE23,"渋谷-夜勤")+COUNTIF('7月'!EI23:EJ23,"渋谷-夜勤")+COUNTIF('7月'!EN23:EO23,"渋谷-夜勤")+COUNTIF('7月'!ES23:ET23,"渋谷-夜勤")</f>
        <v>0</v>
      </c>
      <c r="I247" s="76">
        <f t="shared" si="75"/>
        <v>0</v>
      </c>
      <c r="J247" s="76">
        <f>COUNTIF('7月'!D23:E23,J$226)+COUNTIF('7月'!I23:J23,J$226)+COUNTIF('7月'!N23:O23,J$226)+COUNTIF('7月'!S23:T23,J$226)+COUNTIF('7月'!X23:Y23,J$226)+COUNTIF('7月'!AC23:AD23,J$226)+COUNTIF('7月'!AH23:AI23,J$226)+COUNTIF('7月'!AM23:AN23,J$226)+COUNTIF('7月'!AR23:AS23,J$226)+COUNTIF('7月'!AW23:AX23,J$226)+COUNTIF('7月'!BB23:BC23,J$226)+COUNTIF('7月'!BG23:BH23,J$226)+COUNTIF('7月'!BL23:BM23,J$226)+COUNTIF('7月'!BQ23:BR23,J$226)+COUNTIF('7月'!BV23:BW23,J$226)+COUNTIF('7月'!CA23:CB23,J$226)+COUNTIF('7月'!CF23:CG23,J$226)+COUNTIF('7月'!CK23:CL23,J$226)+COUNTIF('7月'!CP23:CQ23,J$226)+COUNTIF('7月'!CU23:CV23,J$226)+COUNTIF('7月'!CZ23:DA23,J$226)+COUNTIF('7月'!DE23:DF23,J$226)+COUNTIF('7月'!DJ23:DK23,J$226)+COUNTIF('7月'!DO23:DP23,J$226)+COUNTIF('7月'!DT23:DU23,J$226)+COUNTIF('7月'!DY23:DZ23,J$226)+COUNTIF('7月'!ED23:EE23,J$226)+COUNTIF('7月'!EI23:EJ23,J$226)+COUNTIF('7月'!EN23:EO23,J$226)+COUNTIF('7月'!ES23:ET23,J$226)+COUNTIF('7月'!D23:E23,"六本木-夜勤")+COUNTIF('7月'!I23:J23,"六本木-夜勤")+COUNTIF('7月'!N23:O23,"六本木-夜勤")+COUNTIF('7月'!S23:T23,"六本木-夜勤")+COUNTIF('7月'!X23:Y23,"六本木-夜勤")+COUNTIF('7月'!AC23:AD23,"六本木-夜勤")+COUNTIF('7月'!AH23:AI23,"六本木-夜勤")+COUNTIF('7月'!AM23:AN23,"六本木-夜勤")+COUNTIF('7月'!AR23:AS23,"六本木-夜勤")+COUNTIF('7月'!AW23:AX23,"六本木-夜勤")+COUNTIF('7月'!BB23:BC23,"六本木-夜勤")+COUNTIF('7月'!BG23:BH23,"六本木-夜勤")+COUNTIF('7月'!BL23:BM23,"六本木-夜勤")+COUNTIF('7月'!BQ23:BR23,"六本木-夜勤")+COUNTIF('7月'!BV23:BW23,"六本木-夜勤")+COUNTIF('7月'!CA23:CB23,"六本木-夜勤")+COUNTIF('7月'!CF23:CG23,"六本木-夜勤")+COUNTIF('7月'!CK23:CL23,"六本木-夜勤")+COUNTIF('7月'!CP23:CQ23,"六本木-夜勤")+COUNTIF('7月'!CU23:CV23,"六本木-夜勤")+COUNTIF('7月'!CZ23:DA23,"六本木-夜勤")+COUNTIF('7月'!DE23:DF23,"六本木-夜勤")+COUNTIF('7月'!DJ23:DK23,"六本木-夜勤")+COUNTIF('7月'!DO23:DP23,"六本木-夜勤")+COUNTIF('7月'!DT23:DU23,"六本木-夜勤")+COUNTIF('7月'!DY23:DZ23,"六本木-夜勤")+COUNTIF('7月'!ED23:EE23,"六本木-夜勤")+COUNTIF('7月'!EI23:EJ23,"六本木-夜勤")+COUNTIF('7月'!EN23:EO23,"六本木-夜勤")+COUNTIF('7月'!ES23:ET23,"六本木-夜勤")+COUNTIF('7月'!D23:E23,"六本木ー夜勤")+COUNTIF('7月'!I23:J23,"六本木ー夜勤")+COUNTIF('7月'!N23:O23,"六本木ー夜勤")+COUNTIF('7月'!S23:T23,"六本木ー夜勤")+COUNTIF('7月'!X23:Y23,"六本木ー夜勤")+COUNTIF('7月'!AC23:AD23,"六本木ー夜勤")+COUNTIF('7月'!AH23:AI23,"六本木ー夜勤")+COUNTIF('7月'!AM23:AN23,"六本木ー夜勤")+COUNTIF('7月'!AR23:AS23,"六本木ー夜勤")+COUNTIF('7月'!AW23:AX23,"六本木ー夜勤")+COUNTIF('7月'!BB23:BC23,"六本木ー夜勤")+COUNTIF('7月'!BG23:BH23,"六本木ー夜勤")+COUNTIF('7月'!BL23:BM23,"六本木ー夜勤")+COUNTIF('7月'!BQ23:BR23,"六本木ー夜勤")+COUNTIF('7月'!BV23:BW23,"六本木ー夜勤")+COUNTIF('7月'!CA23:CB23,"六本木ー夜勤")+COUNTIF('7月'!CF23:CG23,"六本木ー夜勤")+COUNTIF('7月'!CK23:CL23,"六本木ー夜勤")+COUNTIF('7月'!CP23:CQ23,"六本木ー夜勤")+COUNTIF('7月'!CU23:CV23,"六本木ー夜勤")+COUNTIF('7月'!CZ23:DA23,"六本木ー夜勤")+COUNTIF('7月'!DE23:DF23,"六本木ー夜勤")+COUNTIF('7月'!DJ23:DK23,"六本木ー夜勤")+COUNTIF('7月'!DO23:DP23,"六本木ー夜勤")+COUNTIF('7月'!DT23:DU23,"六本木ー夜勤")+COUNTIF('7月'!DY23:DZ23,"六本木ー夜勤")+COUNTIF('7月'!ED23:EE23,"六本木ー夜勤")+COUNTIF('7月'!EI23:EJ23,"六本木ー夜勤")+COUNTIF('7月'!EN23:EO23,"六本木ー夜勤")+COUNTIF('7月'!ES23:ET23,"六本木ー夜勤")</f>
        <v>0</v>
      </c>
      <c r="K247" s="76">
        <f t="shared" si="76"/>
        <v>0</v>
      </c>
      <c r="L247" s="76">
        <f>COUNTIF('7月'!D23:E23,L$226)+COUNTIF('7月'!I23:J23,L$226)+COUNTIF('7月'!N23:O23,L$226)+COUNTIF('7月'!S23:T23,L$226)+COUNTIF('7月'!X23:Y23,L$226)+COUNTIF('7月'!AC23:AD23,L$226)+COUNTIF('7月'!AH23:AI23,L$226)+COUNTIF('7月'!AM23:AN23,L$226)+COUNTIF('7月'!AR23:AS23,L$226)+COUNTIF('7月'!AW23:AX23,L$226)+COUNTIF('7月'!BB23:BC23,L$226)+COUNTIF('7月'!BG23:BH23,L$226)+COUNTIF('7月'!BL23:BM23,L$226)+COUNTIF('7月'!BQ23:BR23,L$226)+COUNTIF('7月'!BV23:BW23,L$226)+COUNTIF('7月'!CA23:CB23,L$226)+COUNTIF('7月'!CF23:CG23,L$226)+COUNTIF('7月'!CK23:CL23,L$226)+COUNTIF('7月'!CP23:CQ23,L$226)+COUNTIF('7月'!CU23:CV23,L$226)+COUNTIF('7月'!CZ23:DA23,L$226)+COUNTIF('7月'!DE23:DF23,L$226)+COUNTIF('7月'!DJ23:DK23,L$226)+COUNTIF('7月'!DO23:DP23,L$226)+COUNTIF('7月'!DT23:DU23,L$226)+COUNTIF('7月'!DY23:DZ23,L$226)+COUNTIF('7月'!ED23:EE23,L$226)+COUNTIF('7月'!EI23:EJ23,L$226)+COUNTIF('7月'!EN23:EO23,L$226)+COUNTIF('7月'!ES23:ET23,L$226)</f>
        <v>0</v>
      </c>
      <c r="M247" s="76">
        <f t="shared" si="77"/>
        <v>0</v>
      </c>
      <c r="N247" s="76">
        <f>COUNTIF('7月'!D23:E23,N$226)+COUNTIF('7月'!I23:J23,N$226)+COUNTIF('7月'!N23:O23,N$226)+COUNTIF('7月'!S23:T23,N$226)+COUNTIF('7月'!X23:Y23,N$226)+COUNTIF('7月'!AC23:AD23,N$226)+COUNTIF('7月'!AH23:AI23,N$226)+COUNTIF('7月'!AM23:AN23,N$226)+COUNTIF('7月'!AR23:AS23,N$226)+COUNTIF('7月'!AW23:AX23,N$226)+COUNTIF('7月'!BB23:BC23,N$226)+COUNTIF('7月'!BG23:BH23,N$226)+COUNTIF('7月'!BL23:BM23,N$226)+COUNTIF('7月'!BQ23:BR23,N$226)+COUNTIF('7月'!BV23:BW23,N$226)+COUNTIF('7月'!CA23:CB23,N$226)+COUNTIF('7月'!CF23:CG23,N$226)+COUNTIF('7月'!CK23:CL23,N$226)+COUNTIF('7月'!CP23:CQ23,N$226)+COUNTIF('7月'!CU23:CV23,N$226)+COUNTIF('7月'!CZ23:DA23,N$226)+COUNTIF('7月'!DE23:DF23,N$226)+COUNTIF('7月'!DJ23:DK23,N$226)+COUNTIF('7月'!DO23:DP23,N$226)+COUNTIF('7月'!DT23:DU23,N$226)+COUNTIF('7月'!DY23:DZ23,N$226)+COUNTIF('7月'!ED23:EE23,N$226)+COUNTIF('7月'!EI23:EJ23,N$226)+COUNTIF('7月'!EN23:EO23,N$226)+COUNTIF('7月'!ES23:ET23,N$226)+COUNTIF('7月'!D23:E23,"三軒茶屋－夜勤")+COUNTIF('7月'!I23:J23,"三軒茶屋－夜勤")+COUNTIF('7月'!N23:O23,"三軒茶屋－夜勤")+COUNTIF('7月'!S23:T23,"三軒茶屋－夜勤")+COUNTIF('7月'!X23:Y23,"三軒茶屋－夜勤")+COUNTIF('7月'!AC23:AD23,"三軒茶屋－夜勤")+COUNTIF('7月'!AH23:AI23,"三軒茶屋－夜勤")+COUNTIF('7月'!AM23:AN23,"三軒茶屋－夜勤")+COUNTIF('7月'!AR23:AS23,"三軒茶屋－夜勤")+COUNTIF('7月'!AW23:AX23,"三軒茶屋－夜勤")+COUNTIF('7月'!BB23:BC23,"三軒茶屋－夜勤")+COUNTIF('7月'!BG23:BH23,"三軒茶屋－夜勤")+COUNTIF('7月'!BL23:BM23,"三軒茶屋－夜勤")+COUNTIF('7月'!BQ23:BR23,"三軒茶屋－夜勤")+COUNTIF('7月'!BV23:BW23,"三軒茶屋－夜勤")+COUNTIF('7月'!CA23:CB23,"三軒茶屋－夜勤")+COUNTIF('7月'!CF23:CG23,"三軒茶屋－夜勤")+COUNTIF('7月'!CK23:CL23,"三軒茶屋－夜勤")+COUNTIF('7月'!CP23:CQ23,"三軒茶屋－夜勤")+COUNTIF('7月'!CU23:CV23,"三軒茶屋－夜勤")+COUNTIF('7月'!CZ23:DA23,"三軒茶屋－夜勤")+COUNTIF('7月'!DE23:DF23,"三軒茶屋－夜勤")+COUNTIF('7月'!DJ23:DK23,"三軒茶屋－夜勤")+COUNTIF('7月'!DO23:DP23,"三軒茶屋－夜勤")+COUNTIF('7月'!DT23:DU23,"三軒茶屋－夜勤")+COUNTIF('7月'!DY23:DZ23,"三軒茶屋－夜勤")+COUNTIF('7月'!ED23:EE23,"三軒茶屋－夜勤")+COUNTIF('7月'!EI23:EJ23,"三軒茶屋－夜勤")+COUNTIF('7月'!EN23:EO23,"三軒茶屋－夜勤")+COUNTIF('7月'!ES23:ET23,"三軒茶屋－夜勤")</f>
        <v>0</v>
      </c>
      <c r="O247" s="76">
        <f t="shared" si="78"/>
        <v>0</v>
      </c>
      <c r="P247" s="76">
        <f>COUNTIF('7月'!D23:E23,P$226)+COUNTIF('7月'!I23:J23,P$226)+COUNTIF('7月'!N23:O23,P$226)+COUNTIF('7月'!S23:T23,P$226)+COUNTIF('7月'!X23:Y23,P$226)+COUNTIF('7月'!AC23:AD23,P$226)+COUNTIF('7月'!AH23:AI23,P$226)+COUNTIF('7月'!AM23:AN23,P$226)+COUNTIF('7月'!AR23:AS23,P$226)+COUNTIF('7月'!AW23:AX23,P$226)+COUNTIF('7月'!BB23:BC23,P$226)+COUNTIF('7月'!BG23:BH23,P$226)+COUNTIF('7月'!BL23:BM23,P$226)+COUNTIF('7月'!BQ23:BR23,P$226)+COUNTIF('7月'!BV23:BW23,P$226)+COUNTIF('7月'!CA23:CB23,P$226)+COUNTIF('7月'!CF23:CG23,P$226)+COUNTIF('7月'!CK23:CL23,P$226)+COUNTIF('7月'!CP23:CQ23,P$226)+COUNTIF('7月'!CU23:CV23,P$226)+COUNTIF('7月'!CZ23:DA23,P$226)+COUNTIF('7月'!DE23:DF23,P$226)+COUNTIF('7月'!DJ23:DK23,P$226)+COUNTIF('7月'!DO23:DP23,P$226)+COUNTIF('7月'!DT23:DU23,P$226)+COUNTIF('7月'!DY23:DZ23,P$226)+COUNTIF('7月'!ED23:EE23,P$226)+COUNTIF('7月'!EI23:EJ23,P$226)+COUNTIF('7月'!EN23:EO23,P$226)+COUNTIF('7月'!ES23:ET23,P$226)+COUNTIF('7月'!D23:E23,"荻窪ー夜勤")+COUNTIF('7月'!I23:J23,"荻窪ー夜勤")+COUNTIF('7月'!N23:O23,"荻窪ー夜勤")+COUNTIF('7月'!S23:T23,"荻窪ー夜勤")+COUNTIF('7月'!X23:Y23,"荻窪ー夜勤")+COUNTIF('7月'!AC23:AD23,"荻窪ー夜勤")+COUNTIF('7月'!AH23:AI23,"荻窪ー夜勤")+COUNTIF('7月'!AM23:AN23,"荻窪ー夜勤")+COUNTIF('7月'!AR23:AS23,"荻窪ー夜勤")+COUNTIF('7月'!AW23:AX23,"荻窪ー夜勤")+COUNTIF('7月'!BB23:BC23,"荻窪ー夜勤")+COUNTIF('7月'!BG23:BH23,"荻窪ー夜勤")+COUNTIF('7月'!BL23:BM23,"荻窪ー夜勤")+COUNTIF('7月'!BQ23:BR23,"荻窪ー夜勤")+COUNTIF('7月'!BV23:BW23,"荻窪ー夜勤")+COUNTIF('7月'!CA23:CB23,"荻窪ー夜勤")+COUNTIF('7月'!CF23:CG23,"荻窪ー夜勤")+COUNTIF('7月'!CK23:CL23,"荻窪ー夜勤")+COUNTIF('7月'!CP23:CQ23,"荻窪ー夜勤")+COUNTIF('7月'!CU23:CV23,"荻窪ー夜勤")+COUNTIF('7月'!CZ23:DA23,"荻窪ー夜勤")+COUNTIF('7月'!DE23:DF23,"荻窪ー夜勤")+COUNTIF('7月'!DJ23:DK23,"荻窪ー夜勤")+COUNTIF('7月'!DO23:DP23,"荻窪ー夜勤")+COUNTIF('7月'!DT23:DU23,"荻窪ー夜勤")+COUNTIF('7月'!DY23:DZ23,"荻窪ー夜勤")+COUNTIF('7月'!ED23:EE23,"荻窪ー夜勤")+COUNTIF('7月'!EI23:EJ23,"荻窪ー夜勤")+COUNTIF('7月'!EN23:EO23,"荻窪ー夜勤")+COUNTIF('7月'!ES23:ET23,"荻窪ー夜勤")</f>
        <v>0</v>
      </c>
      <c r="Q247" s="76">
        <f t="shared" si="79"/>
        <v>0</v>
      </c>
      <c r="R247" s="76">
        <f>COUNTIF('7月'!D23:E23,R$226)+COUNTIF('7月'!I23:J23,R$226)+COUNTIF('7月'!N23:O23,R$226)+COUNTIF('7月'!S23:T23,R$226)+COUNTIF('7月'!X23:Y23,R$226)+COUNTIF('7月'!AC23:AD23,R$226)+COUNTIF('7月'!AH23:AI23,R$226)+COUNTIF('7月'!AM23:AN23,R$226)+COUNTIF('7月'!AR23:AS23,R$226)+COUNTIF('7月'!AW23:AX23,R$226)+COUNTIF('7月'!BB23:BC23,R$226)+COUNTIF('7月'!BG23:BH23,R$226)+COUNTIF('7月'!BL23:BM23,R$226)+COUNTIF('7月'!BQ23:BR23,R$226)+COUNTIF('7月'!BV23:BW23,R$226)+COUNTIF('7月'!CA23:CB23,R$226)+COUNTIF('7月'!CF23:CG23,R$226)+COUNTIF('7月'!CK23:CL23,R$226)+COUNTIF('7月'!CP23:CQ23,R$226)+COUNTIF('7月'!CU23:CV23,R$226)+COUNTIF('7月'!CZ23:DA23,R$226)+COUNTIF('7月'!DE23:DF23,R$226)+COUNTIF('7月'!DJ23:DK23,R$226)+COUNTIF('7月'!DO23:DP23,R$226)+COUNTIF('7月'!DT23:DU23,R$226)+COUNTIF('7月'!DY23:DZ23,R$226)+COUNTIF('7月'!ED23:EE23,R$226)+COUNTIF('7月'!EI23:EJ23,R$226)+COUNTIF('7月'!EN23:EO23,R$226)+COUNTIF('7月'!ES23:ET23,R$226)</f>
        <v>0</v>
      </c>
      <c r="S247" s="76">
        <f t="shared" si="80"/>
        <v>0</v>
      </c>
      <c r="T247" s="76">
        <f>COUNTIF('7月'!D23:E23,T$226)+COUNTIF('7月'!I23:J23,T$226)+COUNTIF('7月'!N23:O23,T$226)+COUNTIF('7月'!S23:T23,T$226)+COUNTIF('7月'!X23:Y23,T$226)+COUNTIF('7月'!AC23:AD23,T$226)+COUNTIF('7月'!AH23:AI23,T$226)+COUNTIF('7月'!AM23:AN23,T$226)+COUNTIF('7月'!AR23:AS23,T$226)+COUNTIF('7月'!AW23:AX23,T$226)+COUNTIF('7月'!BB23:BC23,T$226)+COUNTIF('7月'!BG23:BH23,T$226)+COUNTIF('7月'!BL23:BM23,T$226)+COUNTIF('7月'!BQ23:BR23,T$226)+COUNTIF('7月'!BV23:BW23,T$226)+COUNTIF('7月'!CA23:CB23,T$226)+COUNTIF('7月'!CF23:CG23,T$226)+COUNTIF('7月'!CK23:CL23,T$226)+COUNTIF('7月'!CP23:CQ23,T$226)+COUNTIF('7月'!CU23:CV23,T$226)+COUNTIF('7月'!CZ23:DA23,T$226)+COUNTIF('7月'!DE23:DF23,T$226)+COUNTIF('7月'!DJ23:DK23,T$226)+COUNTIF('7月'!DO23:DP23,T$226)+COUNTIF('7月'!DT23:DU23,T$226)+COUNTIF('7月'!DY23:DZ23,T$226)+COUNTIF('7月'!ED23:EE23,T$226)+COUNTIF('7月'!EI23:EJ23,T$226)+COUNTIF('7月'!EN23:EO23,T$226)+COUNTIF('7月'!ES23:ET23,T$226)</f>
        <v>0</v>
      </c>
      <c r="U247" s="76">
        <f t="shared" si="81"/>
        <v>0</v>
      </c>
      <c r="V247" s="76">
        <f>COUNTIF('7月'!D23:E23,V$226)+COUNTIF('7月'!I23:J23,V$226)+COUNTIF('7月'!N23:O23,V$226)+COUNTIF('7月'!S23:T23,V$226)+COUNTIF('7月'!X23:Y23,V$226)+COUNTIF('7月'!AC23:AD23,V$226)+COUNTIF('7月'!AH23:AI23,V$226)+COUNTIF('7月'!AM23:AN23,V$226)+COUNTIF('7月'!AR23:AS23,V$226)+COUNTIF('7月'!AW23:AX23,V$226)+COUNTIF('7月'!BB23:BC23,V$226)+COUNTIF('7月'!BG23:BH23,V$226)+COUNTIF('7月'!BL23:BM23,V$226)+COUNTIF('7月'!BQ23:BR23,V$226)+COUNTIF('7月'!BV23:BW23,V$226)+COUNTIF('7月'!CA23:CB23,V$226)+COUNTIF('7月'!CF23:CG23,V$226)+COUNTIF('7月'!CK23:CL23,V$226)+COUNTIF('7月'!CP23:CQ23,V$226)+COUNTIF('7月'!CU23:CV23,V$226)+COUNTIF('7月'!CZ23:DA23,V$226)+COUNTIF('7月'!DE23:DF23,V$226)+COUNTIF('7月'!DJ23:DK23,V$226)+COUNTIF('7月'!DO23:DP23,V$226)+COUNTIF('7月'!DT23:DU23,V$226)+COUNTIF('7月'!DY23:DZ23,V$226)+COUNTIF('7月'!ED23:EE23,V$226)+COUNTIF('7月'!EI23:EJ23,V$226)+COUNTIF('7月'!EN23:EO23,V$226)+COUNTIF('7月'!ES23:ET23,V$226)</f>
        <v>0</v>
      </c>
      <c r="W247" s="76">
        <f t="shared" si="82"/>
        <v>0</v>
      </c>
      <c r="X247" s="76">
        <f>COUNTIF('7月'!D23:E23,X$226)+COUNTIF('7月'!I23:J23,X$226)+COUNTIF('7月'!N23:O23,X$226)+COUNTIF('7月'!S23:T23,X$226)+COUNTIF('7月'!X23:Y23,X$226)+COUNTIF('7月'!AC23:AD23,X$226)+COUNTIF('7月'!AH23:AI23,X$226)+COUNTIF('7月'!AM23:AN23,X$226)+COUNTIF('7月'!AR23:AS23,X$226)+COUNTIF('7月'!AW23:AX23,X$226)+COUNTIF('7月'!BB23:BC23,X$226)+COUNTIF('7月'!BG23:BH23,X$226)+COUNTIF('7月'!BL23:BM23,X$226)+COUNTIF('7月'!BQ23:BR23,X$226)+COUNTIF('7月'!BV23:BW23,X$226)+COUNTIF('7月'!CA23:CB23,X$226)+COUNTIF('7月'!CF23:CG23,X$226)+COUNTIF('7月'!CK23:CL23,X$226)+COUNTIF('7月'!CP23:CQ23,X$226)+COUNTIF('7月'!CU23:CV23,X$226)+COUNTIF('7月'!CZ23:DA23,X$226)+COUNTIF('7月'!DE23:DF23,X$226)+COUNTIF('7月'!DJ23:DK23,X$226)+COUNTIF('7月'!DO23:DP23,X$226)+COUNTIF('7月'!DT23:DU23,X$226)+COUNTIF('7月'!DY23:DZ23,X$226)+COUNTIF('7月'!ED23:EE23,X$226)+COUNTIF('7月'!EI23:EJ23,X$226)+COUNTIF('7月'!EN23:EO23,X$226)+COUNTIF('7月'!ES23:ET23,X$226)</f>
        <v>0</v>
      </c>
      <c r="Y247" s="76">
        <f t="shared" si="83"/>
        <v>0</v>
      </c>
    </row>
    <row r="248" spans="1:25" ht="18" customHeight="1">
      <c r="A248" s="76">
        <v>21</v>
      </c>
      <c r="B248" s="76">
        <f>COUNTIF('7月'!D24:E24,B$226)+COUNTIF('7月'!I24:J24,B$226)+COUNTIF('7月'!N24:O24,B$226)+COUNTIF('7月'!S24:T24,B$226)+COUNTIF('7月'!X24:Y24,B$226)+COUNTIF('7月'!AC24:AD24,B$226)+COUNTIF('7月'!AH24:AI24,B$226)+COUNTIF('7月'!AM24:AN24,B$226)+COUNTIF('7月'!AR24:AS24,B$226)+COUNTIF('7月'!AW24:AX24,B$226)+COUNTIF('7月'!BB24:BC24,B$226)+COUNTIF('7月'!BG24:BH24,B$226)+COUNTIF('7月'!BL24:BM24,B$226)+COUNTIF('7月'!BQ24:BR24,B$226)+COUNTIF('7月'!BV24:BW24,B$226)+COUNTIF('7月'!CA24:CB24,B$226)+COUNTIF('7月'!CF24:CG24,B$226)+COUNTIF('7月'!CK24:CL24,B$226)+COUNTIF('7月'!CP24:CQ24,B$226)+COUNTIF('7月'!CU24:CV24,B$226)+COUNTIF('7月'!CZ24:DA24,B$226)+COUNTIF('7月'!DE24:DF24,B$226)+COUNTIF('7月'!DJ24:DK24,B$226)+COUNTIF('7月'!DO24:DP24,B$226)+COUNTIF('7月'!DT24:DU24,B$226)+COUNTIF('7月'!DY24:DZ24,B$226)+COUNTIF('7月'!ED24:EE24,B$226)+COUNTIF('7月'!EI24:EJ24,B$226)+COUNTIF('7月'!EN24:EO24,B$226)+COUNTIF('7月'!ES24:ET24,B$226)</f>
        <v>0</v>
      </c>
      <c r="C248" s="76">
        <f t="shared" si="72"/>
        <v>0</v>
      </c>
      <c r="D248" s="76">
        <f>COUNTIF('7月'!D24:E24,D$226)+COUNTIF('7月'!I24:J24,D$226)+COUNTIF('7月'!N24:O24,D$226)+COUNTIF('7月'!S24:T24,D$226)+COUNTIF('7月'!X24:Y24,D$226)+COUNTIF('7月'!AC24:AD24,D$226)+COUNTIF('7月'!AH24:AI24,D$226)+COUNTIF('7月'!AM24:AN24,D$226)+COUNTIF('7月'!AR24:AS24,D$226)+COUNTIF('7月'!AW24:AX24,D$226)+COUNTIF('7月'!BB24:BC24,D$226)+COUNTIF('7月'!BG24:BH24,D$226)+COUNTIF('7月'!BL24:BM24,D$226)+COUNTIF('7月'!BQ24:BR24,D$226)+COUNTIF('7月'!BV24:BW24,D$226)+COUNTIF('7月'!CA24:CB24,D$226)+COUNTIF('7月'!CF24:CG24,D$226)+COUNTIF('7月'!CK24:CL24,D$226)+COUNTIF('7月'!CP24:CQ24,D$226)+COUNTIF('7月'!CU24:CV24,D$226)+COUNTIF('7月'!CZ24:DA24,D$226)+COUNTIF('7月'!DE24:DF24,D$226)+COUNTIF('7月'!DJ24:DK24,D$226)+COUNTIF('7月'!DO24:DP24,D$226)+COUNTIF('7月'!DT24:DU24,D$226)+COUNTIF('7月'!DY24:DZ24,D$226)+COUNTIF('7月'!ED24:EE24,D$226)+COUNTIF('7月'!EI24:EJ24,D$226)+COUNTIF('7月'!EN24:EO24,D$226)+COUNTIF('7月'!ES24:ET24,D$226)</f>
        <v>0</v>
      </c>
      <c r="E248" s="76">
        <f t="shared" si="73"/>
        <v>0</v>
      </c>
      <c r="F248" s="76">
        <f>COUNTIF('7月'!D24:E24,F$226)+COUNTIF('7月'!I24:J24,F$226)+COUNTIF('7月'!N24:O24,F$226)+COUNTIF('7月'!S24:T24,F$226)+COUNTIF('7月'!X24:Y24,F$226)+COUNTIF('7月'!AC24:AD24,F$226)+COUNTIF('7月'!AH24:AI24,F$226)+COUNTIF('7月'!AM24:AN24,F$226)+COUNTIF('7月'!AR24:AS24,F$226)+COUNTIF('7月'!AW24:AX24,F$226)+COUNTIF('7月'!BB24:BC24,F$226)+COUNTIF('7月'!BG24:BH24,F$226)+COUNTIF('7月'!BL24:BM24,F$226)+COUNTIF('7月'!BQ24:BR24,F$226)+COUNTIF('7月'!BV24:BW24,F$226)+COUNTIF('7月'!CA24:CB24,F$226)+COUNTIF('7月'!CF24:CG24,F$226)+COUNTIF('7月'!CK24:CL24,F$226)+COUNTIF('7月'!CP24:CQ24,F$226)+COUNTIF('7月'!CU24:CV24,F$226)+COUNTIF('7月'!CZ24:DA24,F$226)+COUNTIF('7月'!DE24:DF24,F$226)+COUNTIF('7月'!DJ24:DK24,F$226)+COUNTIF('7月'!DO24:DP24,F$226)+COUNTIF('7月'!DT24:DU24,F$226)+COUNTIF('7月'!DY24:DZ24,F$226)+COUNTIF('7月'!ED24:EE24,F$226)+COUNTIF('7月'!EI24:EJ24,F$226)+COUNTIF('7月'!EN24:EO24,F$226)+COUNTIF('7月'!ES24:ET24,F$226)</f>
        <v>0</v>
      </c>
      <c r="G248" s="76">
        <f t="shared" si="74"/>
        <v>0</v>
      </c>
      <c r="H248" s="76">
        <f>COUNTIF('7月'!D24:E24,H$226)+COUNTIF('7月'!I24:J24,H$226)+COUNTIF('7月'!N24:O24,H$226)+COUNTIF('7月'!S24:T24,H$226)+COUNTIF('7月'!X24:Y24,H$226)+COUNTIF('7月'!AC24:AD24,H$226)+COUNTIF('7月'!AH24:AI24,H$226)+COUNTIF('7月'!AM24:AN24,H$226)+COUNTIF('7月'!AR24:AS24,H$226)+COUNTIF('7月'!AW24:AX24,H$226)+COUNTIF('7月'!BB24:BC24,H$226)+COUNTIF('7月'!BG24:BH24,H$226)+COUNTIF('7月'!BL24:BM24,H$226)+COUNTIF('7月'!BQ24:BR24,H$226)+COUNTIF('7月'!BV24:BW24,H$226)+COUNTIF('7月'!CA24:CB24,H$226)+COUNTIF('7月'!CF24:CG24,H$226)+COUNTIF('7月'!CK24:CL24,H$226)+COUNTIF('7月'!CP24:CQ24,H$226)+COUNTIF('7月'!CU24:CV24,H$226)+COUNTIF('7月'!CZ24:DA24,H$226)+COUNTIF('7月'!DE24:DF24,H$226)+COUNTIF('7月'!DJ24:DK24,H$226)+COUNTIF('7月'!DO24:DP24,H$226)+COUNTIF('7月'!DT24:DU24,H$226)+COUNTIF('7月'!DY24:DZ24,H$226)+COUNTIF('7月'!ED24:EE24,H$226)+COUNTIF('7月'!EI24:EJ24,H$226)+COUNTIF('7月'!EN24:EO24,H$226)+COUNTIF('7月'!ES24:ET24,H$226)+COUNTIF('7月'!D24:E24,"渋谷-夜勤")+COUNTIF('7月'!I24:J24,"渋谷-夜勤")+COUNTIF('7月'!N24:O24,"渋谷-夜勤")+COUNTIF('7月'!S24:T24,"渋谷-夜勤")+COUNTIF('7月'!X24:Y24,"渋谷-夜勤")+COUNTIF('7月'!AC24:AD24,"渋谷-夜勤")+COUNTIF('7月'!AH24:AI24,"渋谷-夜勤")+COUNTIF('7月'!AM24:AN24,"渋谷-夜勤")+COUNTIF('7月'!AR24:AS24,"渋谷-夜勤")+COUNTIF('7月'!AW24:AX24,"渋谷-夜勤")+COUNTIF('7月'!BB24:BC24,"渋谷-夜勤")+COUNTIF('7月'!BG24:BH24,"渋谷-夜勤")+COUNTIF('7月'!BL24:BM24,"渋谷-夜勤")+COUNTIF('7月'!BQ24:BR24,"渋谷-夜勤")+COUNTIF('7月'!BV24:BW24,"渋谷-夜勤")+COUNTIF('7月'!CA24:CB24,"渋谷-夜勤")+COUNTIF('7月'!CF24:CG24,"渋谷-夜勤")+COUNTIF('7月'!CK24:CL24,"渋谷-夜勤")+COUNTIF('7月'!CP24:CQ24,"渋谷-夜勤")+COUNTIF('7月'!CU24:CV24,"渋谷-夜勤")+COUNTIF('7月'!CZ24:DA24,"渋谷-夜勤")+COUNTIF('7月'!DE24:DF24,"渋谷-夜勤")+COUNTIF('7月'!DJ24:DK24,"渋谷-夜勤")+COUNTIF('7月'!DO24:DP24,"渋谷-夜勤")+COUNTIF('7月'!DT24:DU24,"渋谷-夜勤")+COUNTIF('7月'!DY24:DZ24,"渋谷-夜勤")+COUNTIF('7月'!ED24:EE24,"渋谷-夜勤")+COUNTIF('7月'!EI24:EJ24,"渋谷-夜勤")+COUNTIF('7月'!EN24:EO24,"渋谷-夜勤")+COUNTIF('7月'!ES24:ET24,"渋谷-夜勤")</f>
        <v>0</v>
      </c>
      <c r="I248" s="76">
        <f t="shared" si="75"/>
        <v>0</v>
      </c>
      <c r="J248" s="76">
        <f>COUNTIF('7月'!D24:E24,J$226)+COUNTIF('7月'!I24:J24,J$226)+COUNTIF('7月'!N24:O24,J$226)+COUNTIF('7月'!S24:T24,J$226)+COUNTIF('7月'!X24:Y24,J$226)+COUNTIF('7月'!AC24:AD24,J$226)+COUNTIF('7月'!AH24:AI24,J$226)+COUNTIF('7月'!AM24:AN24,J$226)+COUNTIF('7月'!AR24:AS24,J$226)+COUNTIF('7月'!AW24:AX24,J$226)+COUNTIF('7月'!BB24:BC24,J$226)+COUNTIF('7月'!BG24:BH24,J$226)+COUNTIF('7月'!BL24:BM24,J$226)+COUNTIF('7月'!BQ24:BR24,J$226)+COUNTIF('7月'!BV24:BW24,J$226)+COUNTIF('7月'!CA24:CB24,J$226)+COUNTIF('7月'!CF24:CG24,J$226)+COUNTIF('7月'!CK24:CL24,J$226)+COUNTIF('7月'!CP24:CQ24,J$226)+COUNTIF('7月'!CU24:CV24,J$226)+COUNTIF('7月'!CZ24:DA24,J$226)+COUNTIF('7月'!DE24:DF24,J$226)+COUNTIF('7月'!DJ24:DK24,J$226)+COUNTIF('7月'!DO24:DP24,J$226)+COUNTIF('7月'!DT24:DU24,J$226)+COUNTIF('7月'!DY24:DZ24,J$226)+COUNTIF('7月'!ED24:EE24,J$226)+COUNTIF('7月'!EI24:EJ24,J$226)+COUNTIF('7月'!EN24:EO24,J$226)+COUNTIF('7月'!ES24:ET24,J$226)+COUNTIF('7月'!D24:E24,"六本木-夜勤")+COUNTIF('7月'!I24:J24,"六本木-夜勤")+COUNTIF('7月'!N24:O24,"六本木-夜勤")+COUNTIF('7月'!S24:T24,"六本木-夜勤")+COUNTIF('7月'!X24:Y24,"六本木-夜勤")+COUNTIF('7月'!AC24:AD24,"六本木-夜勤")+COUNTIF('7月'!AH24:AI24,"六本木-夜勤")+COUNTIF('7月'!AM24:AN24,"六本木-夜勤")+COUNTIF('7月'!AR24:AS24,"六本木-夜勤")+COUNTIF('7月'!AW24:AX24,"六本木-夜勤")+COUNTIF('7月'!BB24:BC24,"六本木-夜勤")+COUNTIF('7月'!BG24:BH24,"六本木-夜勤")+COUNTIF('7月'!BL24:BM24,"六本木-夜勤")+COUNTIF('7月'!BQ24:BR24,"六本木-夜勤")+COUNTIF('7月'!BV24:BW24,"六本木-夜勤")+COUNTIF('7月'!CA24:CB24,"六本木-夜勤")+COUNTIF('7月'!CF24:CG24,"六本木-夜勤")+COUNTIF('7月'!CK24:CL24,"六本木-夜勤")+COUNTIF('7月'!CP24:CQ24,"六本木-夜勤")+COUNTIF('7月'!CU24:CV24,"六本木-夜勤")+COUNTIF('7月'!CZ24:DA24,"六本木-夜勤")+COUNTIF('7月'!DE24:DF24,"六本木-夜勤")+COUNTIF('7月'!DJ24:DK24,"六本木-夜勤")+COUNTIF('7月'!DO24:DP24,"六本木-夜勤")+COUNTIF('7月'!DT24:DU24,"六本木-夜勤")+COUNTIF('7月'!DY24:DZ24,"六本木-夜勤")+COUNTIF('7月'!ED24:EE24,"六本木-夜勤")+COUNTIF('7月'!EI24:EJ24,"六本木-夜勤")+COUNTIF('7月'!EN24:EO24,"六本木-夜勤")+COUNTIF('7月'!ES24:ET24,"六本木-夜勤")+COUNTIF('7月'!D24:E24,"六本木ー夜勤")+COUNTIF('7月'!I24:J24,"六本木ー夜勤")+COUNTIF('7月'!N24:O24,"六本木ー夜勤")+COUNTIF('7月'!S24:T24,"六本木ー夜勤")+COUNTIF('7月'!X24:Y24,"六本木ー夜勤")+COUNTIF('7月'!AC24:AD24,"六本木ー夜勤")+COUNTIF('7月'!AH24:AI24,"六本木ー夜勤")+COUNTIF('7月'!AM24:AN24,"六本木ー夜勤")+COUNTIF('7月'!AR24:AS24,"六本木ー夜勤")+COUNTIF('7月'!AW24:AX24,"六本木ー夜勤")+COUNTIF('7月'!BB24:BC24,"六本木ー夜勤")+COUNTIF('7月'!BG24:BH24,"六本木ー夜勤")+COUNTIF('7月'!BL24:BM24,"六本木ー夜勤")+COUNTIF('7月'!BQ24:BR24,"六本木ー夜勤")+COUNTIF('7月'!BV24:BW24,"六本木ー夜勤")+COUNTIF('7月'!CA24:CB24,"六本木ー夜勤")+COUNTIF('7月'!CF24:CG24,"六本木ー夜勤")+COUNTIF('7月'!CK24:CL24,"六本木ー夜勤")+COUNTIF('7月'!CP24:CQ24,"六本木ー夜勤")+COUNTIF('7月'!CU24:CV24,"六本木ー夜勤")+COUNTIF('7月'!CZ24:DA24,"六本木ー夜勤")+COUNTIF('7月'!DE24:DF24,"六本木ー夜勤")+COUNTIF('7月'!DJ24:DK24,"六本木ー夜勤")+COUNTIF('7月'!DO24:DP24,"六本木ー夜勤")+COUNTIF('7月'!DT24:DU24,"六本木ー夜勤")+COUNTIF('7月'!DY24:DZ24,"六本木ー夜勤")+COUNTIF('7月'!ED24:EE24,"六本木ー夜勤")+COUNTIF('7月'!EI24:EJ24,"六本木ー夜勤")+COUNTIF('7月'!EN24:EO24,"六本木ー夜勤")+COUNTIF('7月'!ES24:ET24,"六本木ー夜勤")</f>
        <v>0</v>
      </c>
      <c r="K248" s="76">
        <f t="shared" si="76"/>
        <v>0</v>
      </c>
      <c r="L248" s="76">
        <f>COUNTIF('7月'!D24:E24,L$226)+COUNTIF('7月'!I24:J24,L$226)+COUNTIF('7月'!N24:O24,L$226)+COUNTIF('7月'!S24:T24,L$226)+COUNTIF('7月'!X24:Y24,L$226)+COUNTIF('7月'!AC24:AD24,L$226)+COUNTIF('7月'!AH24:AI24,L$226)+COUNTIF('7月'!AM24:AN24,L$226)+COUNTIF('7月'!AR24:AS24,L$226)+COUNTIF('7月'!AW24:AX24,L$226)+COUNTIF('7月'!BB24:BC24,L$226)+COUNTIF('7月'!BG24:BH24,L$226)+COUNTIF('7月'!BL24:BM24,L$226)+COUNTIF('7月'!BQ24:BR24,L$226)+COUNTIF('7月'!BV24:BW24,L$226)+COUNTIF('7月'!CA24:CB24,L$226)+COUNTIF('7月'!CF24:CG24,L$226)+COUNTIF('7月'!CK24:CL24,L$226)+COUNTIF('7月'!CP24:CQ24,L$226)+COUNTIF('7月'!CU24:CV24,L$226)+COUNTIF('7月'!CZ24:DA24,L$226)+COUNTIF('7月'!DE24:DF24,L$226)+COUNTIF('7月'!DJ24:DK24,L$226)+COUNTIF('7月'!DO24:DP24,L$226)+COUNTIF('7月'!DT24:DU24,L$226)+COUNTIF('7月'!DY24:DZ24,L$226)+COUNTIF('7月'!ED24:EE24,L$226)+COUNTIF('7月'!EI24:EJ24,L$226)+COUNTIF('7月'!EN24:EO24,L$226)+COUNTIF('7月'!ES24:ET24,L$226)</f>
        <v>0</v>
      </c>
      <c r="M248" s="76">
        <f t="shared" si="77"/>
        <v>0</v>
      </c>
      <c r="N248" s="76">
        <f>COUNTIF('7月'!D24:E24,N$226)+COUNTIF('7月'!I24:J24,N$226)+COUNTIF('7月'!N24:O24,N$226)+COUNTIF('7月'!S24:T24,N$226)+COUNTIF('7月'!X24:Y24,N$226)+COUNTIF('7月'!AC24:AD24,N$226)+COUNTIF('7月'!AH24:AI24,N$226)+COUNTIF('7月'!AM24:AN24,N$226)+COUNTIF('7月'!AR24:AS24,N$226)+COUNTIF('7月'!AW24:AX24,N$226)+COUNTIF('7月'!BB24:BC24,N$226)+COUNTIF('7月'!BG24:BH24,N$226)+COUNTIF('7月'!BL24:BM24,N$226)+COUNTIF('7月'!BQ24:BR24,N$226)+COUNTIF('7月'!BV24:BW24,N$226)+COUNTIF('7月'!CA24:CB24,N$226)+COUNTIF('7月'!CF24:CG24,N$226)+COUNTIF('7月'!CK24:CL24,N$226)+COUNTIF('7月'!CP24:CQ24,N$226)+COUNTIF('7月'!CU24:CV24,N$226)+COUNTIF('7月'!CZ24:DA24,N$226)+COUNTIF('7月'!DE24:DF24,N$226)+COUNTIF('7月'!DJ24:DK24,N$226)+COUNTIF('7月'!DO24:DP24,N$226)+COUNTIF('7月'!DT24:DU24,N$226)+COUNTIF('7月'!DY24:DZ24,N$226)+COUNTIF('7月'!ED24:EE24,N$226)+COUNTIF('7月'!EI24:EJ24,N$226)+COUNTIF('7月'!EN24:EO24,N$226)+COUNTIF('7月'!ES24:ET24,N$226)+COUNTIF('7月'!D24:E24,"三軒茶屋－夜勤")+COUNTIF('7月'!I24:J24,"三軒茶屋－夜勤")+COUNTIF('7月'!N24:O24,"三軒茶屋－夜勤")+COUNTIF('7月'!S24:T24,"三軒茶屋－夜勤")+COUNTIF('7月'!X24:Y24,"三軒茶屋－夜勤")+COUNTIF('7月'!AC24:AD24,"三軒茶屋－夜勤")+COUNTIF('7月'!AH24:AI24,"三軒茶屋－夜勤")+COUNTIF('7月'!AM24:AN24,"三軒茶屋－夜勤")+COUNTIF('7月'!AR24:AS24,"三軒茶屋－夜勤")+COUNTIF('7月'!AW24:AX24,"三軒茶屋－夜勤")+COUNTIF('7月'!BB24:BC24,"三軒茶屋－夜勤")+COUNTIF('7月'!BG24:BH24,"三軒茶屋－夜勤")+COUNTIF('7月'!BL24:BM24,"三軒茶屋－夜勤")+COUNTIF('7月'!BQ24:BR24,"三軒茶屋－夜勤")+COUNTIF('7月'!BV24:BW24,"三軒茶屋－夜勤")+COUNTIF('7月'!CA24:CB24,"三軒茶屋－夜勤")+COUNTIF('7月'!CF24:CG24,"三軒茶屋－夜勤")+COUNTIF('7月'!CK24:CL24,"三軒茶屋－夜勤")+COUNTIF('7月'!CP24:CQ24,"三軒茶屋－夜勤")+COUNTIF('7月'!CU24:CV24,"三軒茶屋－夜勤")+COUNTIF('7月'!CZ24:DA24,"三軒茶屋－夜勤")+COUNTIF('7月'!DE24:DF24,"三軒茶屋－夜勤")+COUNTIF('7月'!DJ24:DK24,"三軒茶屋－夜勤")+COUNTIF('7月'!DO24:DP24,"三軒茶屋－夜勤")+COUNTIF('7月'!DT24:DU24,"三軒茶屋－夜勤")+COUNTIF('7月'!DY24:DZ24,"三軒茶屋－夜勤")+COUNTIF('7月'!ED24:EE24,"三軒茶屋－夜勤")+COUNTIF('7月'!EI24:EJ24,"三軒茶屋－夜勤")+COUNTIF('7月'!EN24:EO24,"三軒茶屋－夜勤")+COUNTIF('7月'!ES24:ET24,"三軒茶屋－夜勤")</f>
        <v>0</v>
      </c>
      <c r="O248" s="76">
        <f t="shared" si="78"/>
        <v>0</v>
      </c>
      <c r="P248" s="76">
        <f>COUNTIF('7月'!D24:E24,P$226)+COUNTIF('7月'!I24:J24,P$226)+COUNTIF('7月'!N24:O24,P$226)+COUNTIF('7月'!S24:T24,P$226)+COUNTIF('7月'!X24:Y24,P$226)+COUNTIF('7月'!AC24:AD24,P$226)+COUNTIF('7月'!AH24:AI24,P$226)+COUNTIF('7月'!AM24:AN24,P$226)+COUNTIF('7月'!AR24:AS24,P$226)+COUNTIF('7月'!AW24:AX24,P$226)+COUNTIF('7月'!BB24:BC24,P$226)+COUNTIF('7月'!BG24:BH24,P$226)+COUNTIF('7月'!BL24:BM24,P$226)+COUNTIF('7月'!BQ24:BR24,P$226)+COUNTIF('7月'!BV24:BW24,P$226)+COUNTIF('7月'!CA24:CB24,P$226)+COUNTIF('7月'!CF24:CG24,P$226)+COUNTIF('7月'!CK24:CL24,P$226)+COUNTIF('7月'!CP24:CQ24,P$226)+COUNTIF('7月'!CU24:CV24,P$226)+COUNTIF('7月'!CZ24:DA24,P$226)+COUNTIF('7月'!DE24:DF24,P$226)+COUNTIF('7月'!DJ24:DK24,P$226)+COUNTIF('7月'!DO24:DP24,P$226)+COUNTIF('7月'!DT24:DU24,P$226)+COUNTIF('7月'!DY24:DZ24,P$226)+COUNTIF('7月'!ED24:EE24,P$226)+COUNTIF('7月'!EI24:EJ24,P$226)+COUNTIF('7月'!EN24:EO24,P$226)+COUNTIF('7月'!ES24:ET24,P$226)+COUNTIF('7月'!D24:E24,"荻窪ー夜勤")+COUNTIF('7月'!I24:J24,"荻窪ー夜勤")+COUNTIF('7月'!N24:O24,"荻窪ー夜勤")+COUNTIF('7月'!S24:T24,"荻窪ー夜勤")+COUNTIF('7月'!X24:Y24,"荻窪ー夜勤")+COUNTIF('7月'!AC24:AD24,"荻窪ー夜勤")+COUNTIF('7月'!AH24:AI24,"荻窪ー夜勤")+COUNTIF('7月'!AM24:AN24,"荻窪ー夜勤")+COUNTIF('7月'!AR24:AS24,"荻窪ー夜勤")+COUNTIF('7月'!AW24:AX24,"荻窪ー夜勤")+COUNTIF('7月'!BB24:BC24,"荻窪ー夜勤")+COUNTIF('7月'!BG24:BH24,"荻窪ー夜勤")+COUNTIF('7月'!BL24:BM24,"荻窪ー夜勤")+COUNTIF('7月'!BQ24:BR24,"荻窪ー夜勤")+COUNTIF('7月'!BV24:BW24,"荻窪ー夜勤")+COUNTIF('7月'!CA24:CB24,"荻窪ー夜勤")+COUNTIF('7月'!CF24:CG24,"荻窪ー夜勤")+COUNTIF('7月'!CK24:CL24,"荻窪ー夜勤")+COUNTIF('7月'!CP24:CQ24,"荻窪ー夜勤")+COUNTIF('7月'!CU24:CV24,"荻窪ー夜勤")+COUNTIF('7月'!CZ24:DA24,"荻窪ー夜勤")+COUNTIF('7月'!DE24:DF24,"荻窪ー夜勤")+COUNTIF('7月'!DJ24:DK24,"荻窪ー夜勤")+COUNTIF('7月'!DO24:DP24,"荻窪ー夜勤")+COUNTIF('7月'!DT24:DU24,"荻窪ー夜勤")+COUNTIF('7月'!DY24:DZ24,"荻窪ー夜勤")+COUNTIF('7月'!ED24:EE24,"荻窪ー夜勤")+COUNTIF('7月'!EI24:EJ24,"荻窪ー夜勤")+COUNTIF('7月'!EN24:EO24,"荻窪ー夜勤")+COUNTIF('7月'!ES24:ET24,"荻窪ー夜勤")</f>
        <v>0</v>
      </c>
      <c r="Q248" s="76">
        <f t="shared" si="79"/>
        <v>0</v>
      </c>
      <c r="R248" s="76">
        <f>COUNTIF('7月'!D24:E24,R$226)+COUNTIF('7月'!I24:J24,R$226)+COUNTIF('7月'!N24:O24,R$226)+COUNTIF('7月'!S24:T24,R$226)+COUNTIF('7月'!X24:Y24,R$226)+COUNTIF('7月'!AC24:AD24,R$226)+COUNTIF('7月'!AH24:AI24,R$226)+COUNTIF('7月'!AM24:AN24,R$226)+COUNTIF('7月'!AR24:AS24,R$226)+COUNTIF('7月'!AW24:AX24,R$226)+COUNTIF('7月'!BB24:BC24,R$226)+COUNTIF('7月'!BG24:BH24,R$226)+COUNTIF('7月'!BL24:BM24,R$226)+COUNTIF('7月'!BQ24:BR24,R$226)+COUNTIF('7月'!BV24:BW24,R$226)+COUNTIF('7月'!CA24:CB24,R$226)+COUNTIF('7月'!CF24:CG24,R$226)+COUNTIF('7月'!CK24:CL24,R$226)+COUNTIF('7月'!CP24:CQ24,R$226)+COUNTIF('7月'!CU24:CV24,R$226)+COUNTIF('7月'!CZ24:DA24,R$226)+COUNTIF('7月'!DE24:DF24,R$226)+COUNTIF('7月'!DJ24:DK24,R$226)+COUNTIF('7月'!DO24:DP24,R$226)+COUNTIF('7月'!DT24:DU24,R$226)+COUNTIF('7月'!DY24:DZ24,R$226)+COUNTIF('7月'!ED24:EE24,R$226)+COUNTIF('7月'!EI24:EJ24,R$226)+COUNTIF('7月'!EN24:EO24,R$226)+COUNTIF('7月'!ES24:ET24,R$226)</f>
        <v>0</v>
      </c>
      <c r="S248" s="76">
        <f t="shared" si="80"/>
        <v>0</v>
      </c>
      <c r="T248" s="76">
        <f>COUNTIF('7月'!D24:E24,T$226)+COUNTIF('7月'!I24:J24,T$226)+COUNTIF('7月'!N24:O24,T$226)+COUNTIF('7月'!S24:T24,T$226)+COUNTIF('7月'!X24:Y24,T$226)+COUNTIF('7月'!AC24:AD24,T$226)+COUNTIF('7月'!AH24:AI24,T$226)+COUNTIF('7月'!AM24:AN24,T$226)+COUNTIF('7月'!AR24:AS24,T$226)+COUNTIF('7月'!AW24:AX24,T$226)+COUNTIF('7月'!BB24:BC24,T$226)+COUNTIF('7月'!BG24:BH24,T$226)+COUNTIF('7月'!BL24:BM24,T$226)+COUNTIF('7月'!BQ24:BR24,T$226)+COUNTIF('7月'!BV24:BW24,T$226)+COUNTIF('7月'!CA24:CB24,T$226)+COUNTIF('7月'!CF24:CG24,T$226)+COUNTIF('7月'!CK24:CL24,T$226)+COUNTIF('7月'!CP24:CQ24,T$226)+COUNTIF('7月'!CU24:CV24,T$226)+COUNTIF('7月'!CZ24:DA24,T$226)+COUNTIF('7月'!DE24:DF24,T$226)+COUNTIF('7月'!DJ24:DK24,T$226)+COUNTIF('7月'!DO24:DP24,T$226)+COUNTIF('7月'!DT24:DU24,T$226)+COUNTIF('7月'!DY24:DZ24,T$226)+COUNTIF('7月'!ED24:EE24,T$226)+COUNTIF('7月'!EI24:EJ24,T$226)+COUNTIF('7月'!EN24:EO24,T$226)+COUNTIF('7月'!ES24:ET24,T$226)</f>
        <v>0</v>
      </c>
      <c r="U248" s="76">
        <f t="shared" si="81"/>
        <v>0</v>
      </c>
      <c r="V248" s="76">
        <f>COUNTIF('7月'!D24:E24,V$226)+COUNTIF('7月'!I24:J24,V$226)+COUNTIF('7月'!N24:O24,V$226)+COUNTIF('7月'!S24:T24,V$226)+COUNTIF('7月'!X24:Y24,V$226)+COUNTIF('7月'!AC24:AD24,V$226)+COUNTIF('7月'!AH24:AI24,V$226)+COUNTIF('7月'!AM24:AN24,V$226)+COUNTIF('7月'!AR24:AS24,V$226)+COUNTIF('7月'!AW24:AX24,V$226)+COUNTIF('7月'!BB24:BC24,V$226)+COUNTIF('7月'!BG24:BH24,V$226)+COUNTIF('7月'!BL24:BM24,V$226)+COUNTIF('7月'!BQ24:BR24,V$226)+COUNTIF('7月'!BV24:BW24,V$226)+COUNTIF('7月'!CA24:CB24,V$226)+COUNTIF('7月'!CF24:CG24,V$226)+COUNTIF('7月'!CK24:CL24,V$226)+COUNTIF('7月'!CP24:CQ24,V$226)+COUNTIF('7月'!CU24:CV24,V$226)+COUNTIF('7月'!CZ24:DA24,V$226)+COUNTIF('7月'!DE24:DF24,V$226)+COUNTIF('7月'!DJ24:DK24,V$226)+COUNTIF('7月'!DO24:DP24,V$226)+COUNTIF('7月'!DT24:DU24,V$226)+COUNTIF('7月'!DY24:DZ24,V$226)+COUNTIF('7月'!ED24:EE24,V$226)+COUNTIF('7月'!EI24:EJ24,V$226)+COUNTIF('7月'!EN24:EO24,V$226)+COUNTIF('7月'!ES24:ET24,V$226)</f>
        <v>0</v>
      </c>
      <c r="W248" s="76">
        <f t="shared" si="82"/>
        <v>0</v>
      </c>
      <c r="X248" s="76">
        <f>COUNTIF('7月'!D24:E24,X$226)+COUNTIF('7月'!I24:J24,X$226)+COUNTIF('7月'!N24:O24,X$226)+COUNTIF('7月'!S24:T24,X$226)+COUNTIF('7月'!X24:Y24,X$226)+COUNTIF('7月'!AC24:AD24,X$226)+COUNTIF('7月'!AH24:AI24,X$226)+COUNTIF('7月'!AM24:AN24,X$226)+COUNTIF('7月'!AR24:AS24,X$226)+COUNTIF('7月'!AW24:AX24,X$226)+COUNTIF('7月'!BB24:BC24,X$226)+COUNTIF('7月'!BG24:BH24,X$226)+COUNTIF('7月'!BL24:BM24,X$226)+COUNTIF('7月'!BQ24:BR24,X$226)+COUNTIF('7月'!BV24:BW24,X$226)+COUNTIF('7月'!CA24:CB24,X$226)+COUNTIF('7月'!CF24:CG24,X$226)+COUNTIF('7月'!CK24:CL24,X$226)+COUNTIF('7月'!CP24:CQ24,X$226)+COUNTIF('7月'!CU24:CV24,X$226)+COUNTIF('7月'!CZ24:DA24,X$226)+COUNTIF('7月'!DE24:DF24,X$226)+COUNTIF('7月'!DJ24:DK24,X$226)+COUNTIF('7月'!DO24:DP24,X$226)+COUNTIF('7月'!DT24:DU24,X$226)+COUNTIF('7月'!DY24:DZ24,X$226)+COUNTIF('7月'!ED24:EE24,X$226)+COUNTIF('7月'!EI24:EJ24,X$226)+COUNTIF('7月'!EN24:EO24,X$226)+COUNTIF('7月'!ES24:ET24,X$226)</f>
        <v>0</v>
      </c>
      <c r="Y248" s="76">
        <f t="shared" si="83"/>
        <v>0</v>
      </c>
    </row>
    <row r="249" spans="1:25" ht="18" customHeight="1">
      <c r="A249" s="76">
        <v>22</v>
      </c>
      <c r="B249" s="76">
        <f>COUNTIF('7月'!D25:E25,B$226)+COUNTIF('7月'!I25:J25,B$226)+COUNTIF('7月'!N25:O25,B$226)+COUNTIF('7月'!S25:T25,B$226)+COUNTIF('7月'!X25:Y25,B$226)+COUNTIF('7月'!AC25:AD25,B$226)+COUNTIF('7月'!AH25:AI25,B$226)+COUNTIF('7月'!AM25:AN25,B$226)+COUNTIF('7月'!AR25:AS25,B$226)+COUNTIF('7月'!AW25:AX25,B$226)+COUNTIF('7月'!BB25:BC25,B$226)+COUNTIF('7月'!BG25:BH25,B$226)+COUNTIF('7月'!BL25:BM25,B$226)+COUNTIF('7月'!BQ25:BR25,B$226)+COUNTIF('7月'!BV25:BW25,B$226)+COUNTIF('7月'!CA25:CB25,B$226)+COUNTIF('7月'!CF25:CG25,B$226)+COUNTIF('7月'!CK25:CL25,B$226)+COUNTIF('7月'!CP25:CQ25,B$226)+COUNTIF('7月'!CU25:CV25,B$226)+COUNTIF('7月'!CZ25:DA25,B$226)+COUNTIF('7月'!DE25:DF25,B$226)+COUNTIF('7月'!DJ25:DK25,B$226)+COUNTIF('7月'!DO25:DP25,B$226)+COUNTIF('7月'!DT25:DU25,B$226)+COUNTIF('7月'!DY25:DZ25,B$226)+COUNTIF('7月'!ED25:EE25,B$226)+COUNTIF('7月'!EI25:EJ25,B$226)+COUNTIF('7月'!EN25:EO25,B$226)+COUNTIF('7月'!ES25:ET25,B$226)</f>
        <v>0</v>
      </c>
      <c r="C249" s="76">
        <f t="shared" si="72"/>
        <v>0</v>
      </c>
      <c r="D249" s="76">
        <f>COUNTIF('7月'!D25:E25,D$226)+COUNTIF('7月'!I25:J25,D$226)+COUNTIF('7月'!N25:O25,D$226)+COUNTIF('7月'!S25:T25,D$226)+COUNTIF('7月'!X25:Y25,D$226)+COUNTIF('7月'!AC25:AD25,D$226)+COUNTIF('7月'!AH25:AI25,D$226)+COUNTIF('7月'!AM25:AN25,D$226)+COUNTIF('7月'!AR25:AS25,D$226)+COUNTIF('7月'!AW25:AX25,D$226)+COUNTIF('7月'!BB25:BC25,D$226)+COUNTIF('7月'!BG25:BH25,D$226)+COUNTIF('7月'!BL25:BM25,D$226)+COUNTIF('7月'!BQ25:BR25,D$226)+COUNTIF('7月'!BV25:BW25,D$226)+COUNTIF('7月'!CA25:CB25,D$226)+COUNTIF('7月'!CF25:CG25,D$226)+COUNTIF('7月'!CK25:CL25,D$226)+COUNTIF('7月'!CP25:CQ25,D$226)+COUNTIF('7月'!CU25:CV25,D$226)+COUNTIF('7月'!CZ25:DA25,D$226)+COUNTIF('7月'!DE25:DF25,D$226)+COUNTIF('7月'!DJ25:DK25,D$226)+COUNTIF('7月'!DO25:DP25,D$226)+COUNTIF('7月'!DT25:DU25,D$226)+COUNTIF('7月'!DY25:DZ25,D$226)+COUNTIF('7月'!ED25:EE25,D$226)+COUNTIF('7月'!EI25:EJ25,D$226)+COUNTIF('7月'!EN25:EO25,D$226)+COUNTIF('7月'!ES25:ET25,D$226)</f>
        <v>0</v>
      </c>
      <c r="E249" s="76">
        <f t="shared" si="73"/>
        <v>0</v>
      </c>
      <c r="F249" s="76">
        <f>COUNTIF('7月'!D25:E25,F$226)+COUNTIF('7月'!I25:J25,F$226)+COUNTIF('7月'!N25:O25,F$226)+COUNTIF('7月'!S25:T25,F$226)+COUNTIF('7月'!X25:Y25,F$226)+COUNTIF('7月'!AC25:AD25,F$226)+COUNTIF('7月'!AH25:AI25,F$226)+COUNTIF('7月'!AM25:AN25,F$226)+COUNTIF('7月'!AR25:AS25,F$226)+COUNTIF('7月'!AW25:AX25,F$226)+COUNTIF('7月'!BB25:BC25,F$226)+COUNTIF('7月'!BG25:BH25,F$226)+COUNTIF('7月'!BL25:BM25,F$226)+COUNTIF('7月'!BQ25:BR25,F$226)+COUNTIF('7月'!BV25:BW25,F$226)+COUNTIF('7月'!CA25:CB25,F$226)+COUNTIF('7月'!CF25:CG25,F$226)+COUNTIF('7月'!CK25:CL25,F$226)+COUNTIF('7月'!CP25:CQ25,F$226)+COUNTIF('7月'!CU25:CV25,F$226)+COUNTIF('7月'!CZ25:DA25,F$226)+COUNTIF('7月'!DE25:DF25,F$226)+COUNTIF('7月'!DJ25:DK25,F$226)+COUNTIF('7月'!DO25:DP25,F$226)+COUNTIF('7月'!DT25:DU25,F$226)+COUNTIF('7月'!DY25:DZ25,F$226)+COUNTIF('7月'!ED25:EE25,F$226)+COUNTIF('7月'!EI25:EJ25,F$226)+COUNTIF('7月'!EN25:EO25,F$226)+COUNTIF('7月'!ES25:ET25,F$226)</f>
        <v>0</v>
      </c>
      <c r="G249" s="76">
        <f t="shared" si="74"/>
        <v>0</v>
      </c>
      <c r="H249" s="76">
        <f>COUNTIF('7月'!D25:E25,H$226)+COUNTIF('7月'!I25:J25,H$226)+COUNTIF('7月'!N25:O25,H$226)+COUNTIF('7月'!S25:T25,H$226)+COUNTIF('7月'!X25:Y25,H$226)+COUNTIF('7月'!AC25:AD25,H$226)+COUNTIF('7月'!AH25:AI25,H$226)+COUNTIF('7月'!AM25:AN25,H$226)+COUNTIF('7月'!AR25:AS25,H$226)+COUNTIF('7月'!AW25:AX25,H$226)+COUNTIF('7月'!BB25:BC25,H$226)+COUNTIF('7月'!BG25:BH25,H$226)+COUNTIF('7月'!BL25:BM25,H$226)+COUNTIF('7月'!BQ25:BR25,H$226)+COUNTIF('7月'!BV25:BW25,H$226)+COUNTIF('7月'!CA25:CB25,H$226)+COUNTIF('7月'!CF25:CG25,H$226)+COUNTIF('7月'!CK25:CL25,H$226)+COUNTIF('7月'!CP25:CQ25,H$226)+COUNTIF('7月'!CU25:CV25,H$226)+COUNTIF('7月'!CZ25:DA25,H$226)+COUNTIF('7月'!DE25:DF25,H$226)+COUNTIF('7月'!DJ25:DK25,H$226)+COUNTIF('7月'!DO25:DP25,H$226)+COUNTIF('7月'!DT25:DU25,H$226)+COUNTIF('7月'!DY25:DZ25,H$226)+COUNTIF('7月'!ED25:EE25,H$226)+COUNTIF('7月'!EI25:EJ25,H$226)+COUNTIF('7月'!EN25:EO25,H$226)+COUNTIF('7月'!ES25:ET25,H$226)+COUNTIF('7月'!D25:E25,"渋谷-夜勤")+COUNTIF('7月'!I25:J25,"渋谷-夜勤")+COUNTIF('7月'!N25:O25,"渋谷-夜勤")+COUNTIF('7月'!S25:T25,"渋谷-夜勤")+COUNTIF('7月'!X25:Y25,"渋谷-夜勤")+COUNTIF('7月'!AC25:AD25,"渋谷-夜勤")+COUNTIF('7月'!AH25:AI25,"渋谷-夜勤")+COUNTIF('7月'!AM25:AN25,"渋谷-夜勤")+COUNTIF('7月'!AR25:AS25,"渋谷-夜勤")+COUNTIF('7月'!AW25:AX25,"渋谷-夜勤")+COUNTIF('7月'!BB25:BC25,"渋谷-夜勤")+COUNTIF('7月'!BG25:BH25,"渋谷-夜勤")+COUNTIF('7月'!BL25:BM25,"渋谷-夜勤")+COUNTIF('7月'!BQ25:BR25,"渋谷-夜勤")+COUNTIF('7月'!BV25:BW25,"渋谷-夜勤")+COUNTIF('7月'!CA25:CB25,"渋谷-夜勤")+COUNTIF('7月'!CF25:CG25,"渋谷-夜勤")+COUNTIF('7月'!CK25:CL25,"渋谷-夜勤")+COUNTIF('7月'!CP25:CQ25,"渋谷-夜勤")+COUNTIF('7月'!CU25:CV25,"渋谷-夜勤")+COUNTIF('7月'!CZ25:DA25,"渋谷-夜勤")+COUNTIF('7月'!DE25:DF25,"渋谷-夜勤")+COUNTIF('7月'!DJ25:DK25,"渋谷-夜勤")+COUNTIF('7月'!DO25:DP25,"渋谷-夜勤")+COUNTIF('7月'!DT25:DU25,"渋谷-夜勤")+COUNTIF('7月'!DY25:DZ25,"渋谷-夜勤")+COUNTIF('7月'!ED25:EE25,"渋谷-夜勤")+COUNTIF('7月'!EI25:EJ25,"渋谷-夜勤")+COUNTIF('7月'!EN25:EO25,"渋谷-夜勤")+COUNTIF('7月'!ES25:ET25,"渋谷-夜勤")</f>
        <v>0</v>
      </c>
      <c r="I249" s="76">
        <f t="shared" si="75"/>
        <v>0</v>
      </c>
      <c r="J249" s="76">
        <f>COUNTIF('7月'!D25:E25,J$226)+COUNTIF('7月'!I25:J25,J$226)+COUNTIF('7月'!N25:O25,J$226)+COUNTIF('7月'!S25:T25,J$226)+COUNTIF('7月'!X25:Y25,J$226)+COUNTIF('7月'!AC25:AD25,J$226)+COUNTIF('7月'!AH25:AI25,J$226)+COUNTIF('7月'!AM25:AN25,J$226)+COUNTIF('7月'!AR25:AS25,J$226)+COUNTIF('7月'!AW25:AX25,J$226)+COUNTIF('7月'!BB25:BC25,J$226)+COUNTIF('7月'!BG25:BH25,J$226)+COUNTIF('7月'!BL25:BM25,J$226)+COUNTIF('7月'!BQ25:BR25,J$226)+COUNTIF('7月'!BV25:BW25,J$226)+COUNTIF('7月'!CA25:CB25,J$226)+COUNTIF('7月'!CF25:CG25,J$226)+COUNTIF('7月'!CK25:CL25,J$226)+COUNTIF('7月'!CP25:CQ25,J$226)+COUNTIF('7月'!CU25:CV25,J$226)+COUNTIF('7月'!CZ25:DA25,J$226)+COUNTIF('7月'!DE25:DF25,J$226)+COUNTIF('7月'!DJ25:DK25,J$226)+COUNTIF('7月'!DO25:DP25,J$226)+COUNTIF('7月'!DT25:DU25,J$226)+COUNTIF('7月'!DY25:DZ25,J$226)+COUNTIF('7月'!ED25:EE25,J$226)+COUNTIF('7月'!EI25:EJ25,J$226)+COUNTIF('7月'!EN25:EO25,J$226)+COUNTIF('7月'!ES25:ET25,J$226)+COUNTIF('7月'!D25:E25,"六本木-夜勤")+COUNTIF('7月'!I25:J25,"六本木-夜勤")+COUNTIF('7月'!N25:O25,"六本木-夜勤")+COUNTIF('7月'!S25:T25,"六本木-夜勤")+COUNTIF('7月'!X25:Y25,"六本木-夜勤")+COUNTIF('7月'!AC25:AD25,"六本木-夜勤")+COUNTIF('7月'!AH25:AI25,"六本木-夜勤")+COUNTIF('7月'!AM25:AN25,"六本木-夜勤")+COUNTIF('7月'!AR25:AS25,"六本木-夜勤")+COUNTIF('7月'!AW25:AX25,"六本木-夜勤")+COUNTIF('7月'!BB25:BC25,"六本木-夜勤")+COUNTIF('7月'!BG25:BH25,"六本木-夜勤")+COUNTIF('7月'!BL25:BM25,"六本木-夜勤")+COUNTIF('7月'!BQ25:BR25,"六本木-夜勤")+COUNTIF('7月'!BV25:BW25,"六本木-夜勤")+COUNTIF('7月'!CA25:CB25,"六本木-夜勤")+COUNTIF('7月'!CF25:CG25,"六本木-夜勤")+COUNTIF('7月'!CK25:CL25,"六本木-夜勤")+COUNTIF('7月'!CP25:CQ25,"六本木-夜勤")+COUNTIF('7月'!CU25:CV25,"六本木-夜勤")+COUNTIF('7月'!CZ25:DA25,"六本木-夜勤")+COUNTIF('7月'!DE25:DF25,"六本木-夜勤")+COUNTIF('7月'!DJ25:DK25,"六本木-夜勤")+COUNTIF('7月'!DO25:DP25,"六本木-夜勤")+COUNTIF('7月'!DT25:DU25,"六本木-夜勤")+COUNTIF('7月'!DY25:DZ25,"六本木-夜勤")+COUNTIF('7月'!ED25:EE25,"六本木-夜勤")+COUNTIF('7月'!EI25:EJ25,"六本木-夜勤")+COUNTIF('7月'!EN25:EO25,"六本木-夜勤")+COUNTIF('7月'!ES25:ET25,"六本木-夜勤")+COUNTIF('7月'!D25:E25,"六本木ー夜勤")+COUNTIF('7月'!I25:J25,"六本木ー夜勤")+COUNTIF('7月'!N25:O25,"六本木ー夜勤")+COUNTIF('7月'!S25:T25,"六本木ー夜勤")+COUNTIF('7月'!X25:Y25,"六本木ー夜勤")+COUNTIF('7月'!AC25:AD25,"六本木ー夜勤")+COUNTIF('7月'!AH25:AI25,"六本木ー夜勤")+COUNTIF('7月'!AM25:AN25,"六本木ー夜勤")+COUNTIF('7月'!AR25:AS25,"六本木ー夜勤")+COUNTIF('7月'!AW25:AX25,"六本木ー夜勤")+COUNTIF('7月'!BB25:BC25,"六本木ー夜勤")+COUNTIF('7月'!BG25:BH25,"六本木ー夜勤")+COUNTIF('7月'!BL25:BM25,"六本木ー夜勤")+COUNTIF('7月'!BQ25:BR25,"六本木ー夜勤")+COUNTIF('7月'!BV25:BW25,"六本木ー夜勤")+COUNTIF('7月'!CA25:CB25,"六本木ー夜勤")+COUNTIF('7月'!CF25:CG25,"六本木ー夜勤")+COUNTIF('7月'!CK25:CL25,"六本木ー夜勤")+COUNTIF('7月'!CP25:CQ25,"六本木ー夜勤")+COUNTIF('7月'!CU25:CV25,"六本木ー夜勤")+COUNTIF('7月'!CZ25:DA25,"六本木ー夜勤")+COUNTIF('7月'!DE25:DF25,"六本木ー夜勤")+COUNTIF('7月'!DJ25:DK25,"六本木ー夜勤")+COUNTIF('7月'!DO25:DP25,"六本木ー夜勤")+COUNTIF('7月'!DT25:DU25,"六本木ー夜勤")+COUNTIF('7月'!DY25:DZ25,"六本木ー夜勤")+COUNTIF('7月'!ED25:EE25,"六本木ー夜勤")+COUNTIF('7月'!EI25:EJ25,"六本木ー夜勤")+COUNTIF('7月'!EN25:EO25,"六本木ー夜勤")+COUNTIF('7月'!ES25:ET25,"六本木ー夜勤")</f>
        <v>0</v>
      </c>
      <c r="K249" s="76">
        <f t="shared" si="76"/>
        <v>0</v>
      </c>
      <c r="L249" s="76">
        <f>COUNTIF('7月'!D25:E25,L$226)+COUNTIF('7月'!I25:J25,L$226)+COUNTIF('7月'!N25:O25,L$226)+COUNTIF('7月'!S25:T25,L$226)+COUNTIF('7月'!X25:Y25,L$226)+COUNTIF('7月'!AC25:AD25,L$226)+COUNTIF('7月'!AH25:AI25,L$226)+COUNTIF('7月'!AM25:AN25,L$226)+COUNTIF('7月'!AR25:AS25,L$226)+COUNTIF('7月'!AW25:AX25,L$226)+COUNTIF('7月'!BB25:BC25,L$226)+COUNTIF('7月'!BG25:BH25,L$226)+COUNTIF('7月'!BL25:BM25,L$226)+COUNTIF('7月'!BQ25:BR25,L$226)+COUNTIF('7月'!BV25:BW25,L$226)+COUNTIF('7月'!CA25:CB25,L$226)+COUNTIF('7月'!CF25:CG25,L$226)+COUNTIF('7月'!CK25:CL25,L$226)+COUNTIF('7月'!CP25:CQ25,L$226)+COUNTIF('7月'!CU25:CV25,L$226)+COUNTIF('7月'!CZ25:DA25,L$226)+COUNTIF('7月'!DE25:DF25,L$226)+COUNTIF('7月'!DJ25:DK25,L$226)+COUNTIF('7月'!DO25:DP25,L$226)+COUNTIF('7月'!DT25:DU25,L$226)+COUNTIF('7月'!DY25:DZ25,L$226)+COUNTIF('7月'!ED25:EE25,L$226)+COUNTIF('7月'!EI25:EJ25,L$226)+COUNTIF('7月'!EN25:EO25,L$226)+COUNTIF('7月'!ES25:ET25,L$226)</f>
        <v>0</v>
      </c>
      <c r="M249" s="76">
        <f t="shared" si="77"/>
        <v>0</v>
      </c>
      <c r="N249" s="76">
        <f>COUNTIF('7月'!D25:E25,N$226)+COUNTIF('7月'!I25:J25,N$226)+COUNTIF('7月'!N25:O25,N$226)+COUNTIF('7月'!S25:T25,N$226)+COUNTIF('7月'!X25:Y25,N$226)+COUNTIF('7月'!AC25:AD25,N$226)+COUNTIF('7月'!AH25:AI25,N$226)+COUNTIF('7月'!AM25:AN25,N$226)+COUNTIF('7月'!AR25:AS25,N$226)+COUNTIF('7月'!AW25:AX25,N$226)+COUNTIF('7月'!BB25:BC25,N$226)+COUNTIF('7月'!BG25:BH25,N$226)+COUNTIF('7月'!BL25:BM25,N$226)+COUNTIF('7月'!BQ25:BR25,N$226)+COUNTIF('7月'!BV25:BW25,N$226)+COUNTIF('7月'!CA25:CB25,N$226)+COUNTIF('7月'!CF25:CG25,N$226)+COUNTIF('7月'!CK25:CL25,N$226)+COUNTIF('7月'!CP25:CQ25,N$226)+COUNTIF('7月'!CU25:CV25,N$226)+COUNTIF('7月'!CZ25:DA25,N$226)+COUNTIF('7月'!DE25:DF25,N$226)+COUNTIF('7月'!DJ25:DK25,N$226)+COUNTIF('7月'!DO25:DP25,N$226)+COUNTIF('7月'!DT25:DU25,N$226)+COUNTIF('7月'!DY25:DZ25,N$226)+COUNTIF('7月'!ED25:EE25,N$226)+COUNTIF('7月'!EI25:EJ25,N$226)+COUNTIF('7月'!EN25:EO25,N$226)+COUNTIF('7月'!ES25:ET25,N$226)+COUNTIF('7月'!D25:E25,"三軒茶屋－夜勤")+COUNTIF('7月'!I25:J25,"三軒茶屋－夜勤")+COUNTIF('7月'!N25:O25,"三軒茶屋－夜勤")+COUNTIF('7月'!S25:T25,"三軒茶屋－夜勤")+COUNTIF('7月'!X25:Y25,"三軒茶屋－夜勤")+COUNTIF('7月'!AC25:AD25,"三軒茶屋－夜勤")+COUNTIF('7月'!AH25:AI25,"三軒茶屋－夜勤")+COUNTIF('7月'!AM25:AN25,"三軒茶屋－夜勤")+COUNTIF('7月'!AR25:AS25,"三軒茶屋－夜勤")+COUNTIF('7月'!AW25:AX25,"三軒茶屋－夜勤")+COUNTIF('7月'!BB25:BC25,"三軒茶屋－夜勤")+COUNTIF('7月'!BG25:BH25,"三軒茶屋－夜勤")+COUNTIF('7月'!BL25:BM25,"三軒茶屋－夜勤")+COUNTIF('7月'!BQ25:BR25,"三軒茶屋－夜勤")+COUNTIF('7月'!BV25:BW25,"三軒茶屋－夜勤")+COUNTIF('7月'!CA25:CB25,"三軒茶屋－夜勤")+COUNTIF('7月'!CF25:CG25,"三軒茶屋－夜勤")+COUNTIF('7月'!CK25:CL25,"三軒茶屋－夜勤")+COUNTIF('7月'!CP25:CQ25,"三軒茶屋－夜勤")+COUNTIF('7月'!CU25:CV25,"三軒茶屋－夜勤")+COUNTIF('7月'!CZ25:DA25,"三軒茶屋－夜勤")+COUNTIF('7月'!DE25:DF25,"三軒茶屋－夜勤")+COUNTIF('7月'!DJ25:DK25,"三軒茶屋－夜勤")+COUNTIF('7月'!DO25:DP25,"三軒茶屋－夜勤")+COUNTIF('7月'!DT25:DU25,"三軒茶屋－夜勤")+COUNTIF('7月'!DY25:DZ25,"三軒茶屋－夜勤")+COUNTIF('7月'!ED25:EE25,"三軒茶屋－夜勤")+COUNTIF('7月'!EI25:EJ25,"三軒茶屋－夜勤")+COUNTIF('7月'!EN25:EO25,"三軒茶屋－夜勤")+COUNTIF('7月'!ES25:ET25,"三軒茶屋－夜勤")</f>
        <v>0</v>
      </c>
      <c r="O249" s="76">
        <f t="shared" si="78"/>
        <v>0</v>
      </c>
      <c r="P249" s="76">
        <f>COUNTIF('7月'!D25:E25,P$226)+COUNTIF('7月'!I25:J25,P$226)+COUNTIF('7月'!N25:O25,P$226)+COUNTIF('7月'!S25:T25,P$226)+COUNTIF('7月'!X25:Y25,P$226)+COUNTIF('7月'!AC25:AD25,P$226)+COUNTIF('7月'!AH25:AI25,P$226)+COUNTIF('7月'!AM25:AN25,P$226)+COUNTIF('7月'!AR25:AS25,P$226)+COUNTIF('7月'!AW25:AX25,P$226)+COUNTIF('7月'!BB25:BC25,P$226)+COUNTIF('7月'!BG25:BH25,P$226)+COUNTIF('7月'!BL25:BM25,P$226)+COUNTIF('7月'!BQ25:BR25,P$226)+COUNTIF('7月'!BV25:BW25,P$226)+COUNTIF('7月'!CA25:CB25,P$226)+COUNTIF('7月'!CF25:CG25,P$226)+COUNTIF('7月'!CK25:CL25,P$226)+COUNTIF('7月'!CP25:CQ25,P$226)+COUNTIF('7月'!CU25:CV25,P$226)+COUNTIF('7月'!CZ25:DA25,P$226)+COUNTIF('7月'!DE25:DF25,P$226)+COUNTIF('7月'!DJ25:DK25,P$226)+COUNTIF('7月'!DO25:DP25,P$226)+COUNTIF('7月'!DT25:DU25,P$226)+COUNTIF('7月'!DY25:DZ25,P$226)+COUNTIF('7月'!ED25:EE25,P$226)+COUNTIF('7月'!EI25:EJ25,P$226)+COUNTIF('7月'!EN25:EO25,P$226)+COUNTIF('7月'!ES25:ET25,P$226)+COUNTIF('7月'!D25:E25,"荻窪ー夜勤")+COUNTIF('7月'!I25:J25,"荻窪ー夜勤")+COUNTIF('7月'!N25:O25,"荻窪ー夜勤")+COUNTIF('7月'!S25:T25,"荻窪ー夜勤")+COUNTIF('7月'!X25:Y25,"荻窪ー夜勤")+COUNTIF('7月'!AC25:AD25,"荻窪ー夜勤")+COUNTIF('7月'!AH25:AI25,"荻窪ー夜勤")+COUNTIF('7月'!AM25:AN25,"荻窪ー夜勤")+COUNTIF('7月'!AR25:AS25,"荻窪ー夜勤")+COUNTIF('7月'!AW25:AX25,"荻窪ー夜勤")+COUNTIF('7月'!BB25:BC25,"荻窪ー夜勤")+COUNTIF('7月'!BG25:BH25,"荻窪ー夜勤")+COUNTIF('7月'!BL25:BM25,"荻窪ー夜勤")+COUNTIF('7月'!BQ25:BR25,"荻窪ー夜勤")+COUNTIF('7月'!BV25:BW25,"荻窪ー夜勤")+COUNTIF('7月'!CA25:CB25,"荻窪ー夜勤")+COUNTIF('7月'!CF25:CG25,"荻窪ー夜勤")+COUNTIF('7月'!CK25:CL25,"荻窪ー夜勤")+COUNTIF('7月'!CP25:CQ25,"荻窪ー夜勤")+COUNTIF('7月'!CU25:CV25,"荻窪ー夜勤")+COUNTIF('7月'!CZ25:DA25,"荻窪ー夜勤")+COUNTIF('7月'!DE25:DF25,"荻窪ー夜勤")+COUNTIF('7月'!DJ25:DK25,"荻窪ー夜勤")+COUNTIF('7月'!DO25:DP25,"荻窪ー夜勤")+COUNTIF('7月'!DT25:DU25,"荻窪ー夜勤")+COUNTIF('7月'!DY25:DZ25,"荻窪ー夜勤")+COUNTIF('7月'!ED25:EE25,"荻窪ー夜勤")+COUNTIF('7月'!EI25:EJ25,"荻窪ー夜勤")+COUNTIF('7月'!EN25:EO25,"荻窪ー夜勤")+COUNTIF('7月'!ES25:ET25,"荻窪ー夜勤")</f>
        <v>0</v>
      </c>
      <c r="Q249" s="76">
        <f t="shared" si="79"/>
        <v>0</v>
      </c>
      <c r="R249" s="76">
        <f>COUNTIF('7月'!D25:E25,R$226)+COUNTIF('7月'!I25:J25,R$226)+COUNTIF('7月'!N25:O25,R$226)+COUNTIF('7月'!S25:T25,R$226)+COUNTIF('7月'!X25:Y25,R$226)+COUNTIF('7月'!AC25:AD25,R$226)+COUNTIF('7月'!AH25:AI25,R$226)+COUNTIF('7月'!AM25:AN25,R$226)+COUNTIF('7月'!AR25:AS25,R$226)+COUNTIF('7月'!AW25:AX25,R$226)+COUNTIF('7月'!BB25:BC25,R$226)+COUNTIF('7月'!BG25:BH25,R$226)+COUNTIF('7月'!BL25:BM25,R$226)+COUNTIF('7月'!BQ25:BR25,R$226)+COUNTIF('7月'!BV25:BW25,R$226)+COUNTIF('7月'!CA25:CB25,R$226)+COUNTIF('7月'!CF25:CG25,R$226)+COUNTIF('7月'!CK25:CL25,R$226)+COUNTIF('7月'!CP25:CQ25,R$226)+COUNTIF('7月'!CU25:CV25,R$226)+COUNTIF('7月'!CZ25:DA25,R$226)+COUNTIF('7月'!DE25:DF25,R$226)+COUNTIF('7月'!DJ25:DK25,R$226)+COUNTIF('7月'!DO25:DP25,R$226)+COUNTIF('7月'!DT25:DU25,R$226)+COUNTIF('7月'!DY25:DZ25,R$226)+COUNTIF('7月'!ED25:EE25,R$226)+COUNTIF('7月'!EI25:EJ25,R$226)+COUNTIF('7月'!EN25:EO25,R$226)+COUNTIF('7月'!ES25:ET25,R$226)</f>
        <v>0</v>
      </c>
      <c r="S249" s="76">
        <f t="shared" si="80"/>
        <v>0</v>
      </c>
      <c r="T249" s="76">
        <f>COUNTIF('7月'!D25:E25,T$226)+COUNTIF('7月'!I25:J25,T$226)+COUNTIF('7月'!N25:O25,T$226)+COUNTIF('7月'!S25:T25,T$226)+COUNTIF('7月'!X25:Y25,T$226)+COUNTIF('7月'!AC25:AD25,T$226)+COUNTIF('7月'!AH25:AI25,T$226)+COUNTIF('7月'!AM25:AN25,T$226)+COUNTIF('7月'!AR25:AS25,T$226)+COUNTIF('7月'!AW25:AX25,T$226)+COUNTIF('7月'!BB25:BC25,T$226)+COUNTIF('7月'!BG25:BH25,T$226)+COUNTIF('7月'!BL25:BM25,T$226)+COUNTIF('7月'!BQ25:BR25,T$226)+COUNTIF('7月'!BV25:BW25,T$226)+COUNTIF('7月'!CA25:CB25,T$226)+COUNTIF('7月'!CF25:CG25,T$226)+COUNTIF('7月'!CK25:CL25,T$226)+COUNTIF('7月'!CP25:CQ25,T$226)+COUNTIF('7月'!CU25:CV25,T$226)+COUNTIF('7月'!CZ25:DA25,T$226)+COUNTIF('7月'!DE25:DF25,T$226)+COUNTIF('7月'!DJ25:DK25,T$226)+COUNTIF('7月'!DO25:DP25,T$226)+COUNTIF('7月'!DT25:DU25,T$226)+COUNTIF('7月'!DY25:DZ25,T$226)+COUNTIF('7月'!ED25:EE25,T$226)+COUNTIF('7月'!EI25:EJ25,T$226)+COUNTIF('7月'!EN25:EO25,T$226)+COUNTIF('7月'!ES25:ET25,T$226)</f>
        <v>0</v>
      </c>
      <c r="U249" s="76">
        <f t="shared" si="81"/>
        <v>0</v>
      </c>
      <c r="V249" s="76">
        <f>COUNTIF('7月'!D25:E25,V$226)+COUNTIF('7月'!I25:J25,V$226)+COUNTIF('7月'!N25:O25,V$226)+COUNTIF('7月'!S25:T25,V$226)+COUNTIF('7月'!X25:Y25,V$226)+COUNTIF('7月'!AC25:AD25,V$226)+COUNTIF('7月'!AH25:AI25,V$226)+COUNTIF('7月'!AM25:AN25,V$226)+COUNTIF('7月'!AR25:AS25,V$226)+COUNTIF('7月'!AW25:AX25,V$226)+COUNTIF('7月'!BB25:BC25,V$226)+COUNTIF('7月'!BG25:BH25,V$226)+COUNTIF('7月'!BL25:BM25,V$226)+COUNTIF('7月'!BQ25:BR25,V$226)+COUNTIF('7月'!BV25:BW25,V$226)+COUNTIF('7月'!CA25:CB25,V$226)+COUNTIF('7月'!CF25:CG25,V$226)+COUNTIF('7月'!CK25:CL25,V$226)+COUNTIF('7月'!CP25:CQ25,V$226)+COUNTIF('7月'!CU25:CV25,V$226)+COUNTIF('7月'!CZ25:DA25,V$226)+COUNTIF('7月'!DE25:DF25,V$226)+COUNTIF('7月'!DJ25:DK25,V$226)+COUNTIF('7月'!DO25:DP25,V$226)+COUNTIF('7月'!DT25:DU25,V$226)+COUNTIF('7月'!DY25:DZ25,V$226)+COUNTIF('7月'!ED25:EE25,V$226)+COUNTIF('7月'!EI25:EJ25,V$226)+COUNTIF('7月'!EN25:EO25,V$226)+COUNTIF('7月'!ES25:ET25,V$226)</f>
        <v>0</v>
      </c>
      <c r="W249" s="76">
        <f t="shared" si="82"/>
        <v>0</v>
      </c>
      <c r="X249" s="76">
        <f>COUNTIF('7月'!D25:E25,X$226)+COUNTIF('7月'!I25:J25,X$226)+COUNTIF('7月'!N25:O25,X$226)+COUNTIF('7月'!S25:T25,X$226)+COUNTIF('7月'!X25:Y25,X$226)+COUNTIF('7月'!AC25:AD25,X$226)+COUNTIF('7月'!AH25:AI25,X$226)+COUNTIF('7月'!AM25:AN25,X$226)+COUNTIF('7月'!AR25:AS25,X$226)+COUNTIF('7月'!AW25:AX25,X$226)+COUNTIF('7月'!BB25:BC25,X$226)+COUNTIF('7月'!BG25:BH25,X$226)+COUNTIF('7月'!BL25:BM25,X$226)+COUNTIF('7月'!BQ25:BR25,X$226)+COUNTIF('7月'!BV25:BW25,X$226)+COUNTIF('7月'!CA25:CB25,X$226)+COUNTIF('7月'!CF25:CG25,X$226)+COUNTIF('7月'!CK25:CL25,X$226)+COUNTIF('7月'!CP25:CQ25,X$226)+COUNTIF('7月'!CU25:CV25,X$226)+COUNTIF('7月'!CZ25:DA25,X$226)+COUNTIF('7月'!DE25:DF25,X$226)+COUNTIF('7月'!DJ25:DK25,X$226)+COUNTIF('7月'!DO25:DP25,X$226)+COUNTIF('7月'!DT25:DU25,X$226)+COUNTIF('7月'!DY25:DZ25,X$226)+COUNTIF('7月'!ED25:EE25,X$226)+COUNTIF('7月'!EI25:EJ25,X$226)+COUNTIF('7月'!EN25:EO25,X$226)+COUNTIF('7月'!ES25:ET25,X$226)</f>
        <v>0</v>
      </c>
      <c r="Y249" s="76">
        <f t="shared" si="83"/>
        <v>0</v>
      </c>
    </row>
    <row r="250" spans="1:25" ht="18" customHeight="1">
      <c r="A250" s="76">
        <v>23</v>
      </c>
      <c r="B250" s="76">
        <f>COUNTIF('7月'!D26:E26,B$226)+COUNTIF('7月'!I26:J26,B$226)+COUNTIF('7月'!N26:O26,B$226)+COUNTIF('7月'!S26:T26,B$226)+COUNTIF('7月'!X26:Y26,B$226)+COUNTIF('7月'!AC26:AD26,B$226)+COUNTIF('7月'!AH26:AI26,B$226)+COUNTIF('7月'!AM26:AN26,B$226)+COUNTIF('7月'!AR26:AS26,B$226)+COUNTIF('7月'!AW26:AX26,B$226)+COUNTIF('7月'!BB26:BC26,B$226)+COUNTIF('7月'!BG26:BH26,B$226)+COUNTIF('7月'!BL26:BM26,B$226)+COUNTIF('7月'!BQ26:BR26,B$226)+COUNTIF('7月'!BV26:BW26,B$226)+COUNTIF('7月'!CA26:CB26,B$226)+COUNTIF('7月'!CF26:CG26,B$226)+COUNTIF('7月'!CK26:CL26,B$226)+COUNTIF('7月'!CP26:CQ26,B$226)+COUNTIF('7月'!CU26:CV26,B$226)+COUNTIF('7月'!CZ26:DA26,B$226)+COUNTIF('7月'!DE26:DF26,B$226)+COUNTIF('7月'!DJ26:DK26,B$226)+COUNTIF('7月'!DO26:DP26,B$226)+COUNTIF('7月'!DT26:DU26,B$226)+COUNTIF('7月'!DY26:DZ26,B$226)+COUNTIF('7月'!ED26:EE26,B$226)+COUNTIF('7月'!EI26:EJ26,B$226)+COUNTIF('7月'!EN26:EO26,B$226)+COUNTIF('7月'!ES26:ET26,B$226)</f>
        <v>0</v>
      </c>
      <c r="C250" s="76">
        <f t="shared" si="72"/>
        <v>0</v>
      </c>
      <c r="D250" s="76">
        <f>COUNTIF('7月'!D26:E26,D$226)+COUNTIF('7月'!I26:J26,D$226)+COUNTIF('7月'!N26:O26,D$226)+COUNTIF('7月'!S26:T26,D$226)+COUNTIF('7月'!X26:Y26,D$226)+COUNTIF('7月'!AC26:AD26,D$226)+COUNTIF('7月'!AH26:AI26,D$226)+COUNTIF('7月'!AM26:AN26,D$226)+COUNTIF('7月'!AR26:AS26,D$226)+COUNTIF('7月'!AW26:AX26,D$226)+COUNTIF('7月'!BB26:BC26,D$226)+COUNTIF('7月'!BG26:BH26,D$226)+COUNTIF('7月'!BL26:BM26,D$226)+COUNTIF('7月'!BQ26:BR26,D$226)+COUNTIF('7月'!BV26:BW26,D$226)+COUNTIF('7月'!CA26:CB26,D$226)+COUNTIF('7月'!CF26:CG26,D$226)+COUNTIF('7月'!CK26:CL26,D$226)+COUNTIF('7月'!CP26:CQ26,D$226)+COUNTIF('7月'!CU26:CV26,D$226)+COUNTIF('7月'!CZ26:DA26,D$226)+COUNTIF('7月'!DE26:DF26,D$226)+COUNTIF('7月'!DJ26:DK26,D$226)+COUNTIF('7月'!DO26:DP26,D$226)+COUNTIF('7月'!DT26:DU26,D$226)+COUNTIF('7月'!DY26:DZ26,D$226)+COUNTIF('7月'!ED26:EE26,D$226)+COUNTIF('7月'!EI26:EJ26,D$226)+COUNTIF('7月'!EN26:EO26,D$226)+COUNTIF('7月'!ES26:ET26,D$226)</f>
        <v>0</v>
      </c>
      <c r="E250" s="76">
        <f t="shared" si="73"/>
        <v>0</v>
      </c>
      <c r="F250" s="76">
        <f>COUNTIF('7月'!D26:E26,F$226)+COUNTIF('7月'!I26:J26,F$226)+COUNTIF('7月'!N26:O26,F$226)+COUNTIF('7月'!S26:T26,F$226)+COUNTIF('7月'!X26:Y26,F$226)+COUNTIF('7月'!AC26:AD26,F$226)+COUNTIF('7月'!AH26:AI26,F$226)+COUNTIF('7月'!AM26:AN26,F$226)+COUNTIF('7月'!AR26:AS26,F$226)+COUNTIF('7月'!AW26:AX26,F$226)+COUNTIF('7月'!BB26:BC26,F$226)+COUNTIF('7月'!BG26:BH26,F$226)+COUNTIF('7月'!BL26:BM26,F$226)+COUNTIF('7月'!BQ26:BR26,F$226)+COUNTIF('7月'!BV26:BW26,F$226)+COUNTIF('7月'!CA26:CB26,F$226)+COUNTIF('7月'!CF26:CG26,F$226)+COUNTIF('7月'!CK26:CL26,F$226)+COUNTIF('7月'!CP26:CQ26,F$226)+COUNTIF('7月'!CU26:CV26,F$226)+COUNTIF('7月'!CZ26:DA26,F$226)+COUNTIF('7月'!DE26:DF26,F$226)+COUNTIF('7月'!DJ26:DK26,F$226)+COUNTIF('7月'!DO26:DP26,F$226)+COUNTIF('7月'!DT26:DU26,F$226)+COUNTIF('7月'!DY26:DZ26,F$226)+COUNTIF('7月'!ED26:EE26,F$226)+COUNTIF('7月'!EI26:EJ26,F$226)+COUNTIF('7月'!EN26:EO26,F$226)+COUNTIF('7月'!ES26:ET26,F$226)</f>
        <v>0</v>
      </c>
      <c r="G250" s="76">
        <f t="shared" si="74"/>
        <v>0</v>
      </c>
      <c r="H250" s="76">
        <f>COUNTIF('7月'!D26:E26,H$226)+COUNTIF('7月'!I26:J26,H$226)+COUNTIF('7月'!N26:O26,H$226)+COUNTIF('7月'!S26:T26,H$226)+COUNTIF('7月'!X26:Y26,H$226)+COUNTIF('7月'!AC26:AD26,H$226)+COUNTIF('7月'!AH26:AI26,H$226)+COUNTIF('7月'!AM26:AN26,H$226)+COUNTIF('7月'!AR26:AS26,H$226)+COUNTIF('7月'!AW26:AX26,H$226)+COUNTIF('7月'!BB26:BC26,H$226)+COUNTIF('7月'!BG26:BH26,H$226)+COUNTIF('7月'!BL26:BM26,H$226)+COUNTIF('7月'!BQ26:BR26,H$226)+COUNTIF('7月'!BV26:BW26,H$226)+COUNTIF('7月'!CA26:CB26,H$226)+COUNTIF('7月'!CF26:CG26,H$226)+COUNTIF('7月'!CK26:CL26,H$226)+COUNTIF('7月'!CP26:CQ26,H$226)+COUNTIF('7月'!CU26:CV26,H$226)+COUNTIF('7月'!CZ26:DA26,H$226)+COUNTIF('7月'!DE26:DF26,H$226)+COUNTIF('7月'!DJ26:DK26,H$226)+COUNTIF('7月'!DO26:DP26,H$226)+COUNTIF('7月'!DT26:DU26,H$226)+COUNTIF('7月'!DY26:DZ26,H$226)+COUNTIF('7月'!ED26:EE26,H$226)+COUNTIF('7月'!EI26:EJ26,H$226)+COUNTIF('7月'!EN26:EO26,H$226)+COUNTIF('7月'!ES26:ET26,H$226)+COUNTIF('7月'!D26:E26,"渋谷-夜勤")+COUNTIF('7月'!I26:J26,"渋谷-夜勤")+COUNTIF('7月'!N26:O26,"渋谷-夜勤")+COUNTIF('7月'!S26:T26,"渋谷-夜勤")+COUNTIF('7月'!X26:Y26,"渋谷-夜勤")+COUNTIF('7月'!AC26:AD26,"渋谷-夜勤")+COUNTIF('7月'!AH26:AI26,"渋谷-夜勤")+COUNTIF('7月'!AM26:AN26,"渋谷-夜勤")+COUNTIF('7月'!AR26:AS26,"渋谷-夜勤")+COUNTIF('7月'!AW26:AX26,"渋谷-夜勤")+COUNTIF('7月'!BB26:BC26,"渋谷-夜勤")+COUNTIF('7月'!BG26:BH26,"渋谷-夜勤")+COUNTIF('7月'!BL26:BM26,"渋谷-夜勤")+COUNTIF('7月'!BQ26:BR26,"渋谷-夜勤")+COUNTIF('7月'!BV26:BW26,"渋谷-夜勤")+COUNTIF('7月'!CA26:CB26,"渋谷-夜勤")+COUNTIF('7月'!CF26:CG26,"渋谷-夜勤")+COUNTIF('7月'!CK26:CL26,"渋谷-夜勤")+COUNTIF('7月'!CP26:CQ26,"渋谷-夜勤")+COUNTIF('7月'!CU26:CV26,"渋谷-夜勤")+COUNTIF('7月'!CZ26:DA26,"渋谷-夜勤")+COUNTIF('7月'!DE26:DF26,"渋谷-夜勤")+COUNTIF('7月'!DJ26:DK26,"渋谷-夜勤")+COUNTIF('7月'!DO26:DP26,"渋谷-夜勤")+COUNTIF('7月'!DT26:DU26,"渋谷-夜勤")+COUNTIF('7月'!DY26:DZ26,"渋谷-夜勤")+COUNTIF('7月'!ED26:EE26,"渋谷-夜勤")+COUNTIF('7月'!EI26:EJ26,"渋谷-夜勤")+COUNTIF('7月'!EN26:EO26,"渋谷-夜勤")+COUNTIF('7月'!ES26:ET26,"渋谷-夜勤")</f>
        <v>0</v>
      </c>
      <c r="I250" s="76">
        <f t="shared" si="75"/>
        <v>0</v>
      </c>
      <c r="J250" s="76">
        <f>COUNTIF('7月'!D26:E26,J$226)+COUNTIF('7月'!I26:J26,J$226)+COUNTIF('7月'!N26:O26,J$226)+COUNTIF('7月'!S26:T26,J$226)+COUNTIF('7月'!X26:Y26,J$226)+COUNTIF('7月'!AC26:AD26,J$226)+COUNTIF('7月'!AH26:AI26,J$226)+COUNTIF('7月'!AM26:AN26,J$226)+COUNTIF('7月'!AR26:AS26,J$226)+COUNTIF('7月'!AW26:AX26,J$226)+COUNTIF('7月'!BB26:BC26,J$226)+COUNTIF('7月'!BG26:BH26,J$226)+COUNTIF('7月'!BL26:BM26,J$226)+COUNTIF('7月'!BQ26:BR26,J$226)+COUNTIF('7月'!BV26:BW26,J$226)+COUNTIF('7月'!CA26:CB26,J$226)+COUNTIF('7月'!CF26:CG26,J$226)+COUNTIF('7月'!CK26:CL26,J$226)+COUNTIF('7月'!CP26:CQ26,J$226)+COUNTIF('7月'!CU26:CV26,J$226)+COUNTIF('7月'!CZ26:DA26,J$226)+COUNTIF('7月'!DE26:DF26,J$226)+COUNTIF('7月'!DJ26:DK26,J$226)+COUNTIF('7月'!DO26:DP26,J$226)+COUNTIF('7月'!DT26:DU26,J$226)+COUNTIF('7月'!DY26:DZ26,J$226)+COUNTIF('7月'!ED26:EE26,J$226)+COUNTIF('7月'!EI26:EJ26,J$226)+COUNTIF('7月'!EN26:EO26,J$226)+COUNTIF('7月'!ES26:ET26,J$226)+COUNTIF('7月'!D26:E26,"六本木-夜勤")+COUNTIF('7月'!I26:J26,"六本木-夜勤")+COUNTIF('7月'!N26:O26,"六本木-夜勤")+COUNTIF('7月'!S26:T26,"六本木-夜勤")+COUNTIF('7月'!X26:Y26,"六本木-夜勤")+COUNTIF('7月'!AC26:AD26,"六本木-夜勤")+COUNTIF('7月'!AH26:AI26,"六本木-夜勤")+COUNTIF('7月'!AM26:AN26,"六本木-夜勤")+COUNTIF('7月'!AR26:AS26,"六本木-夜勤")+COUNTIF('7月'!AW26:AX26,"六本木-夜勤")+COUNTIF('7月'!BB26:BC26,"六本木-夜勤")+COUNTIF('7月'!BG26:BH26,"六本木-夜勤")+COUNTIF('7月'!BL26:BM26,"六本木-夜勤")+COUNTIF('7月'!BQ26:BR26,"六本木-夜勤")+COUNTIF('7月'!BV26:BW26,"六本木-夜勤")+COUNTIF('7月'!CA26:CB26,"六本木-夜勤")+COUNTIF('7月'!CF26:CG26,"六本木-夜勤")+COUNTIF('7月'!CK26:CL26,"六本木-夜勤")+COUNTIF('7月'!CP26:CQ26,"六本木-夜勤")+COUNTIF('7月'!CU26:CV26,"六本木-夜勤")+COUNTIF('7月'!CZ26:DA26,"六本木-夜勤")+COUNTIF('7月'!DE26:DF26,"六本木-夜勤")+COUNTIF('7月'!DJ26:DK26,"六本木-夜勤")+COUNTIF('7月'!DO26:DP26,"六本木-夜勤")+COUNTIF('7月'!DT26:DU26,"六本木-夜勤")+COUNTIF('7月'!DY26:DZ26,"六本木-夜勤")+COUNTIF('7月'!ED26:EE26,"六本木-夜勤")+COUNTIF('7月'!EI26:EJ26,"六本木-夜勤")+COUNTIF('7月'!EN26:EO26,"六本木-夜勤")+COUNTIF('7月'!ES26:ET26,"六本木-夜勤")+COUNTIF('7月'!D26:E26,"六本木ー夜勤")+COUNTIF('7月'!I26:J26,"六本木ー夜勤")+COUNTIF('7月'!N26:O26,"六本木ー夜勤")+COUNTIF('7月'!S26:T26,"六本木ー夜勤")+COUNTIF('7月'!X26:Y26,"六本木ー夜勤")+COUNTIF('7月'!AC26:AD26,"六本木ー夜勤")+COUNTIF('7月'!AH26:AI26,"六本木ー夜勤")+COUNTIF('7月'!AM26:AN26,"六本木ー夜勤")+COUNTIF('7月'!AR26:AS26,"六本木ー夜勤")+COUNTIF('7月'!AW26:AX26,"六本木ー夜勤")+COUNTIF('7月'!BB26:BC26,"六本木ー夜勤")+COUNTIF('7月'!BG26:BH26,"六本木ー夜勤")+COUNTIF('7月'!BL26:BM26,"六本木ー夜勤")+COUNTIF('7月'!BQ26:BR26,"六本木ー夜勤")+COUNTIF('7月'!BV26:BW26,"六本木ー夜勤")+COUNTIF('7月'!CA26:CB26,"六本木ー夜勤")+COUNTIF('7月'!CF26:CG26,"六本木ー夜勤")+COUNTIF('7月'!CK26:CL26,"六本木ー夜勤")+COUNTIF('7月'!CP26:CQ26,"六本木ー夜勤")+COUNTIF('7月'!CU26:CV26,"六本木ー夜勤")+COUNTIF('7月'!CZ26:DA26,"六本木ー夜勤")+COUNTIF('7月'!DE26:DF26,"六本木ー夜勤")+COUNTIF('7月'!DJ26:DK26,"六本木ー夜勤")+COUNTIF('7月'!DO26:DP26,"六本木ー夜勤")+COUNTIF('7月'!DT26:DU26,"六本木ー夜勤")+COUNTIF('7月'!DY26:DZ26,"六本木ー夜勤")+COUNTIF('7月'!ED26:EE26,"六本木ー夜勤")+COUNTIF('7月'!EI26:EJ26,"六本木ー夜勤")+COUNTIF('7月'!EN26:EO26,"六本木ー夜勤")+COUNTIF('7月'!ES26:ET26,"六本木ー夜勤")</f>
        <v>0</v>
      </c>
      <c r="K250" s="76">
        <f t="shared" si="76"/>
        <v>0</v>
      </c>
      <c r="L250" s="76">
        <f>COUNTIF('7月'!D26:E26,L$226)+COUNTIF('7月'!I26:J26,L$226)+COUNTIF('7月'!N26:O26,L$226)+COUNTIF('7月'!S26:T26,L$226)+COUNTIF('7月'!X26:Y26,L$226)+COUNTIF('7月'!AC26:AD26,L$226)+COUNTIF('7月'!AH26:AI26,L$226)+COUNTIF('7月'!AM26:AN26,L$226)+COUNTIF('7月'!AR26:AS26,L$226)+COUNTIF('7月'!AW26:AX26,L$226)+COUNTIF('7月'!BB26:BC26,L$226)+COUNTIF('7月'!BG26:BH26,L$226)+COUNTIF('7月'!BL26:BM26,L$226)+COUNTIF('7月'!BQ26:BR26,L$226)+COUNTIF('7月'!BV26:BW26,L$226)+COUNTIF('7月'!CA26:CB26,L$226)+COUNTIF('7月'!CF26:CG26,L$226)+COUNTIF('7月'!CK26:CL26,L$226)+COUNTIF('7月'!CP26:CQ26,L$226)+COUNTIF('7月'!CU26:CV26,L$226)+COUNTIF('7月'!CZ26:DA26,L$226)+COUNTIF('7月'!DE26:DF26,L$226)+COUNTIF('7月'!DJ26:DK26,L$226)+COUNTIF('7月'!DO26:DP26,L$226)+COUNTIF('7月'!DT26:DU26,L$226)+COUNTIF('7月'!DY26:DZ26,L$226)+COUNTIF('7月'!ED26:EE26,L$226)+COUNTIF('7月'!EI26:EJ26,L$226)+COUNTIF('7月'!EN26:EO26,L$226)+COUNTIF('7月'!ES26:ET26,L$226)</f>
        <v>0</v>
      </c>
      <c r="M250" s="76">
        <f t="shared" si="77"/>
        <v>0</v>
      </c>
      <c r="N250" s="76">
        <f>COUNTIF('7月'!D26:E26,N$226)+COUNTIF('7月'!I26:J26,N$226)+COUNTIF('7月'!N26:O26,N$226)+COUNTIF('7月'!S26:T26,N$226)+COUNTIF('7月'!X26:Y26,N$226)+COUNTIF('7月'!AC26:AD26,N$226)+COUNTIF('7月'!AH26:AI26,N$226)+COUNTIF('7月'!AM26:AN26,N$226)+COUNTIF('7月'!AR26:AS26,N$226)+COUNTIF('7月'!AW26:AX26,N$226)+COUNTIF('7月'!BB26:BC26,N$226)+COUNTIF('7月'!BG26:BH26,N$226)+COUNTIF('7月'!BL26:BM26,N$226)+COUNTIF('7月'!BQ26:BR26,N$226)+COUNTIF('7月'!BV26:BW26,N$226)+COUNTIF('7月'!CA26:CB26,N$226)+COUNTIF('7月'!CF26:CG26,N$226)+COUNTIF('7月'!CK26:CL26,N$226)+COUNTIF('7月'!CP26:CQ26,N$226)+COUNTIF('7月'!CU26:CV26,N$226)+COUNTIF('7月'!CZ26:DA26,N$226)+COUNTIF('7月'!DE26:DF26,N$226)+COUNTIF('7月'!DJ26:DK26,N$226)+COUNTIF('7月'!DO26:DP26,N$226)+COUNTIF('7月'!DT26:DU26,N$226)+COUNTIF('7月'!DY26:DZ26,N$226)+COUNTIF('7月'!ED26:EE26,N$226)+COUNTIF('7月'!EI26:EJ26,N$226)+COUNTIF('7月'!EN26:EO26,N$226)+COUNTIF('7月'!ES26:ET26,N$226)+COUNTIF('7月'!D26:E26,"三軒茶屋－夜勤")+COUNTIF('7月'!I26:J26,"三軒茶屋－夜勤")+COUNTIF('7月'!N26:O26,"三軒茶屋－夜勤")+COUNTIF('7月'!S26:T26,"三軒茶屋－夜勤")+COUNTIF('7月'!X26:Y26,"三軒茶屋－夜勤")+COUNTIF('7月'!AC26:AD26,"三軒茶屋－夜勤")+COUNTIF('7月'!AH26:AI26,"三軒茶屋－夜勤")+COUNTIF('7月'!AM26:AN26,"三軒茶屋－夜勤")+COUNTIF('7月'!AR26:AS26,"三軒茶屋－夜勤")+COUNTIF('7月'!AW26:AX26,"三軒茶屋－夜勤")+COUNTIF('7月'!BB26:BC26,"三軒茶屋－夜勤")+COUNTIF('7月'!BG26:BH26,"三軒茶屋－夜勤")+COUNTIF('7月'!BL26:BM26,"三軒茶屋－夜勤")+COUNTIF('7月'!BQ26:BR26,"三軒茶屋－夜勤")+COUNTIF('7月'!BV26:BW26,"三軒茶屋－夜勤")+COUNTIF('7月'!CA26:CB26,"三軒茶屋－夜勤")+COUNTIF('7月'!CF26:CG26,"三軒茶屋－夜勤")+COUNTIF('7月'!CK26:CL26,"三軒茶屋－夜勤")+COUNTIF('7月'!CP26:CQ26,"三軒茶屋－夜勤")+COUNTIF('7月'!CU26:CV26,"三軒茶屋－夜勤")+COUNTIF('7月'!CZ26:DA26,"三軒茶屋－夜勤")+COUNTIF('7月'!DE26:DF26,"三軒茶屋－夜勤")+COUNTIF('7月'!DJ26:DK26,"三軒茶屋－夜勤")+COUNTIF('7月'!DO26:DP26,"三軒茶屋－夜勤")+COUNTIF('7月'!DT26:DU26,"三軒茶屋－夜勤")+COUNTIF('7月'!DY26:DZ26,"三軒茶屋－夜勤")+COUNTIF('7月'!ED26:EE26,"三軒茶屋－夜勤")+COUNTIF('7月'!EI26:EJ26,"三軒茶屋－夜勤")+COUNTIF('7月'!EN26:EO26,"三軒茶屋－夜勤")+COUNTIF('7月'!ES26:ET26,"三軒茶屋－夜勤")</f>
        <v>0</v>
      </c>
      <c r="O250" s="76">
        <f t="shared" si="78"/>
        <v>0</v>
      </c>
      <c r="P250" s="76">
        <f>COUNTIF('7月'!D26:E26,P$226)+COUNTIF('7月'!I26:J26,P$226)+COUNTIF('7月'!N26:O26,P$226)+COUNTIF('7月'!S26:T26,P$226)+COUNTIF('7月'!X26:Y26,P$226)+COUNTIF('7月'!AC26:AD26,P$226)+COUNTIF('7月'!AH26:AI26,P$226)+COUNTIF('7月'!AM26:AN26,P$226)+COUNTIF('7月'!AR26:AS26,P$226)+COUNTIF('7月'!AW26:AX26,P$226)+COUNTIF('7月'!BB26:BC26,P$226)+COUNTIF('7月'!BG26:BH26,P$226)+COUNTIF('7月'!BL26:BM26,P$226)+COUNTIF('7月'!BQ26:BR26,P$226)+COUNTIF('7月'!BV26:BW26,P$226)+COUNTIF('7月'!CA26:CB26,P$226)+COUNTIF('7月'!CF26:CG26,P$226)+COUNTIF('7月'!CK26:CL26,P$226)+COUNTIF('7月'!CP26:CQ26,P$226)+COUNTIF('7月'!CU26:CV26,P$226)+COUNTIF('7月'!CZ26:DA26,P$226)+COUNTIF('7月'!DE26:DF26,P$226)+COUNTIF('7月'!DJ26:DK26,P$226)+COUNTIF('7月'!DO26:DP26,P$226)+COUNTIF('7月'!DT26:DU26,P$226)+COUNTIF('7月'!DY26:DZ26,P$226)+COUNTIF('7月'!ED26:EE26,P$226)+COUNTIF('7月'!EI26:EJ26,P$226)+COUNTIF('7月'!EN26:EO26,P$226)+COUNTIF('7月'!ES26:ET26,P$226)+COUNTIF('7月'!D26:E26,"荻窪ー夜勤")+COUNTIF('7月'!I26:J26,"荻窪ー夜勤")+COUNTIF('7月'!N26:O26,"荻窪ー夜勤")+COUNTIF('7月'!S26:T26,"荻窪ー夜勤")+COUNTIF('7月'!X26:Y26,"荻窪ー夜勤")+COUNTIF('7月'!AC26:AD26,"荻窪ー夜勤")+COUNTIF('7月'!AH26:AI26,"荻窪ー夜勤")+COUNTIF('7月'!AM26:AN26,"荻窪ー夜勤")+COUNTIF('7月'!AR26:AS26,"荻窪ー夜勤")+COUNTIF('7月'!AW26:AX26,"荻窪ー夜勤")+COUNTIF('7月'!BB26:BC26,"荻窪ー夜勤")+COUNTIF('7月'!BG26:BH26,"荻窪ー夜勤")+COUNTIF('7月'!BL26:BM26,"荻窪ー夜勤")+COUNTIF('7月'!BQ26:BR26,"荻窪ー夜勤")+COUNTIF('7月'!BV26:BW26,"荻窪ー夜勤")+COUNTIF('7月'!CA26:CB26,"荻窪ー夜勤")+COUNTIF('7月'!CF26:CG26,"荻窪ー夜勤")+COUNTIF('7月'!CK26:CL26,"荻窪ー夜勤")+COUNTIF('7月'!CP26:CQ26,"荻窪ー夜勤")+COUNTIF('7月'!CU26:CV26,"荻窪ー夜勤")+COUNTIF('7月'!CZ26:DA26,"荻窪ー夜勤")+COUNTIF('7月'!DE26:DF26,"荻窪ー夜勤")+COUNTIF('7月'!DJ26:DK26,"荻窪ー夜勤")+COUNTIF('7月'!DO26:DP26,"荻窪ー夜勤")+COUNTIF('7月'!DT26:DU26,"荻窪ー夜勤")+COUNTIF('7月'!DY26:DZ26,"荻窪ー夜勤")+COUNTIF('7月'!ED26:EE26,"荻窪ー夜勤")+COUNTIF('7月'!EI26:EJ26,"荻窪ー夜勤")+COUNTIF('7月'!EN26:EO26,"荻窪ー夜勤")+COUNTIF('7月'!ES26:ET26,"荻窪ー夜勤")</f>
        <v>0</v>
      </c>
      <c r="Q250" s="76">
        <f t="shared" si="79"/>
        <v>0</v>
      </c>
      <c r="R250" s="76">
        <f>COUNTIF('7月'!D26:E26,R$226)+COUNTIF('7月'!I26:J26,R$226)+COUNTIF('7月'!N26:O26,R$226)+COUNTIF('7月'!S26:T26,R$226)+COUNTIF('7月'!X26:Y26,R$226)+COUNTIF('7月'!AC26:AD26,R$226)+COUNTIF('7月'!AH26:AI26,R$226)+COUNTIF('7月'!AM26:AN26,R$226)+COUNTIF('7月'!AR26:AS26,R$226)+COUNTIF('7月'!AW26:AX26,R$226)+COUNTIF('7月'!BB26:BC26,R$226)+COUNTIF('7月'!BG26:BH26,R$226)+COUNTIF('7月'!BL26:BM26,R$226)+COUNTIF('7月'!BQ26:BR26,R$226)+COUNTIF('7月'!BV26:BW26,R$226)+COUNTIF('7月'!CA26:CB26,R$226)+COUNTIF('7月'!CF26:CG26,R$226)+COUNTIF('7月'!CK26:CL26,R$226)+COUNTIF('7月'!CP26:CQ26,R$226)+COUNTIF('7月'!CU26:CV26,R$226)+COUNTIF('7月'!CZ26:DA26,R$226)+COUNTIF('7月'!DE26:DF26,R$226)+COUNTIF('7月'!DJ26:DK26,R$226)+COUNTIF('7月'!DO26:DP26,R$226)+COUNTIF('7月'!DT26:DU26,R$226)+COUNTIF('7月'!DY26:DZ26,R$226)+COUNTIF('7月'!ED26:EE26,R$226)+COUNTIF('7月'!EI26:EJ26,R$226)+COUNTIF('7月'!EN26:EO26,R$226)+COUNTIF('7月'!ES26:ET26,R$226)</f>
        <v>0</v>
      </c>
      <c r="S250" s="76">
        <f t="shared" si="80"/>
        <v>0</v>
      </c>
      <c r="T250" s="76">
        <f>COUNTIF('7月'!D26:E26,T$226)+COUNTIF('7月'!I26:J26,T$226)+COUNTIF('7月'!N26:O26,T$226)+COUNTIF('7月'!S26:T26,T$226)+COUNTIF('7月'!X26:Y26,T$226)+COUNTIF('7月'!AC26:AD26,T$226)+COUNTIF('7月'!AH26:AI26,T$226)+COUNTIF('7月'!AM26:AN26,T$226)+COUNTIF('7月'!AR26:AS26,T$226)+COUNTIF('7月'!AW26:AX26,T$226)+COUNTIF('7月'!BB26:BC26,T$226)+COUNTIF('7月'!BG26:BH26,T$226)+COUNTIF('7月'!BL26:BM26,T$226)+COUNTIF('7月'!BQ26:BR26,T$226)+COUNTIF('7月'!BV26:BW26,T$226)+COUNTIF('7月'!CA26:CB26,T$226)+COUNTIF('7月'!CF26:CG26,T$226)+COUNTIF('7月'!CK26:CL26,T$226)+COUNTIF('7月'!CP26:CQ26,T$226)+COUNTIF('7月'!CU26:CV26,T$226)+COUNTIF('7月'!CZ26:DA26,T$226)+COUNTIF('7月'!DE26:DF26,T$226)+COUNTIF('7月'!DJ26:DK26,T$226)+COUNTIF('7月'!DO26:DP26,T$226)+COUNTIF('7月'!DT26:DU26,T$226)+COUNTIF('7月'!DY26:DZ26,T$226)+COUNTIF('7月'!ED26:EE26,T$226)+COUNTIF('7月'!EI26:EJ26,T$226)+COUNTIF('7月'!EN26:EO26,T$226)+COUNTIF('7月'!ES26:ET26,T$226)</f>
        <v>0</v>
      </c>
      <c r="U250" s="76">
        <f t="shared" si="81"/>
        <v>0</v>
      </c>
      <c r="V250" s="76">
        <f>COUNTIF('7月'!D26:E26,V$226)+COUNTIF('7月'!I26:J26,V$226)+COUNTIF('7月'!N26:O26,V$226)+COUNTIF('7月'!S26:T26,V$226)+COUNTIF('7月'!X26:Y26,V$226)+COUNTIF('7月'!AC26:AD26,V$226)+COUNTIF('7月'!AH26:AI26,V$226)+COUNTIF('7月'!AM26:AN26,V$226)+COUNTIF('7月'!AR26:AS26,V$226)+COUNTIF('7月'!AW26:AX26,V$226)+COUNTIF('7月'!BB26:BC26,V$226)+COUNTIF('7月'!BG26:BH26,V$226)+COUNTIF('7月'!BL26:BM26,V$226)+COUNTIF('7月'!BQ26:BR26,V$226)+COUNTIF('7月'!BV26:BW26,V$226)+COUNTIF('7月'!CA26:CB26,V$226)+COUNTIF('7月'!CF26:CG26,V$226)+COUNTIF('7月'!CK26:CL26,V$226)+COUNTIF('7月'!CP26:CQ26,V$226)+COUNTIF('7月'!CU26:CV26,V$226)+COUNTIF('7月'!CZ26:DA26,V$226)+COUNTIF('7月'!DE26:DF26,V$226)+COUNTIF('7月'!DJ26:DK26,V$226)+COUNTIF('7月'!DO26:DP26,V$226)+COUNTIF('7月'!DT26:DU26,V$226)+COUNTIF('7月'!DY26:DZ26,V$226)+COUNTIF('7月'!ED26:EE26,V$226)+COUNTIF('7月'!EI26:EJ26,V$226)+COUNTIF('7月'!EN26:EO26,V$226)+COUNTIF('7月'!ES26:ET26,V$226)</f>
        <v>0</v>
      </c>
      <c r="W250" s="76">
        <f t="shared" si="82"/>
        <v>0</v>
      </c>
      <c r="X250" s="76">
        <f>COUNTIF('7月'!D26:E26,X$226)+COUNTIF('7月'!I26:J26,X$226)+COUNTIF('7月'!N26:O26,X$226)+COUNTIF('7月'!S26:T26,X$226)+COUNTIF('7月'!X26:Y26,X$226)+COUNTIF('7月'!AC26:AD26,X$226)+COUNTIF('7月'!AH26:AI26,X$226)+COUNTIF('7月'!AM26:AN26,X$226)+COUNTIF('7月'!AR26:AS26,X$226)+COUNTIF('7月'!AW26:AX26,X$226)+COUNTIF('7月'!BB26:BC26,X$226)+COUNTIF('7月'!BG26:BH26,X$226)+COUNTIF('7月'!BL26:BM26,X$226)+COUNTIF('7月'!BQ26:BR26,X$226)+COUNTIF('7月'!BV26:BW26,X$226)+COUNTIF('7月'!CA26:CB26,X$226)+COUNTIF('7月'!CF26:CG26,X$226)+COUNTIF('7月'!CK26:CL26,X$226)+COUNTIF('7月'!CP26:CQ26,X$226)+COUNTIF('7月'!CU26:CV26,X$226)+COUNTIF('7月'!CZ26:DA26,X$226)+COUNTIF('7月'!DE26:DF26,X$226)+COUNTIF('7月'!DJ26:DK26,X$226)+COUNTIF('7月'!DO26:DP26,X$226)+COUNTIF('7月'!DT26:DU26,X$226)+COUNTIF('7月'!DY26:DZ26,X$226)+COUNTIF('7月'!ED26:EE26,X$226)+COUNTIF('7月'!EI26:EJ26,X$226)+COUNTIF('7月'!EN26:EO26,X$226)+COUNTIF('7月'!ES26:ET26,X$226)</f>
        <v>0</v>
      </c>
      <c r="Y250" s="76">
        <f t="shared" si="83"/>
        <v>0</v>
      </c>
    </row>
    <row r="251" spans="1:25" ht="18" customHeight="1">
      <c r="A251" s="76">
        <v>24</v>
      </c>
      <c r="B251" s="76">
        <f>COUNTIF('7月'!D27:E27,B$226)+COUNTIF('7月'!I27:J27,B$226)+COUNTIF('7月'!N27:O27,B$226)+COUNTIF('7月'!S27:T27,B$226)+COUNTIF('7月'!X27:Y27,B$226)+COUNTIF('7月'!AC27:AD27,B$226)+COUNTIF('7月'!AH27:AI27,B$226)+COUNTIF('7月'!AM27:AN27,B$226)+COUNTIF('7月'!AR27:AS27,B$226)+COUNTIF('7月'!AW27:AX27,B$226)+COUNTIF('7月'!BB27:BC27,B$226)+COUNTIF('7月'!BG27:BH27,B$226)+COUNTIF('7月'!BL27:BM27,B$226)+COUNTIF('7月'!BQ27:BR27,B$226)+COUNTIF('7月'!BV27:BW27,B$226)+COUNTIF('7月'!CA27:CB27,B$226)+COUNTIF('7月'!CF27:CG27,B$226)+COUNTIF('7月'!CK27:CL27,B$226)+COUNTIF('7月'!CP27:CQ27,B$226)+COUNTIF('7月'!CU27:CV27,B$226)+COUNTIF('7月'!CZ27:DA27,B$226)+COUNTIF('7月'!DE27:DF27,B$226)+COUNTIF('7月'!DJ27:DK27,B$226)+COUNTIF('7月'!DO27:DP27,B$226)+COUNTIF('7月'!DT27:DU27,B$226)+COUNTIF('7月'!DY27:DZ27,B$226)+COUNTIF('7月'!ED27:EE27,B$226)+COUNTIF('7月'!EI27:EJ27,B$226)+COUNTIF('7月'!EN27:EO27,B$226)+COUNTIF('7月'!ES27:ET27,B$226)</f>
        <v>0</v>
      </c>
      <c r="C251" s="76">
        <f t="shared" si="72"/>
        <v>0</v>
      </c>
      <c r="D251" s="76">
        <f>COUNTIF('7月'!D27:E27,D$226)+COUNTIF('7月'!I27:J27,D$226)+COUNTIF('7月'!N27:O27,D$226)+COUNTIF('7月'!S27:T27,D$226)+COUNTIF('7月'!X27:Y27,D$226)+COUNTIF('7月'!AC27:AD27,D$226)+COUNTIF('7月'!AH27:AI27,D$226)+COUNTIF('7月'!AM27:AN27,D$226)+COUNTIF('7月'!AR27:AS27,D$226)+COUNTIF('7月'!AW27:AX27,D$226)+COUNTIF('7月'!BB27:BC27,D$226)+COUNTIF('7月'!BG27:BH27,D$226)+COUNTIF('7月'!BL27:BM27,D$226)+COUNTIF('7月'!BQ27:BR27,D$226)+COUNTIF('7月'!BV27:BW27,D$226)+COUNTIF('7月'!CA27:CB27,D$226)+COUNTIF('7月'!CF27:CG27,D$226)+COUNTIF('7月'!CK27:CL27,D$226)+COUNTIF('7月'!CP27:CQ27,D$226)+COUNTIF('7月'!CU27:CV27,D$226)+COUNTIF('7月'!CZ27:DA27,D$226)+COUNTIF('7月'!DE27:DF27,D$226)+COUNTIF('7月'!DJ27:DK27,D$226)+COUNTIF('7月'!DO27:DP27,D$226)+COUNTIF('7月'!DT27:DU27,D$226)+COUNTIF('7月'!DY27:DZ27,D$226)+COUNTIF('7月'!ED27:EE27,D$226)+COUNTIF('7月'!EI27:EJ27,D$226)+COUNTIF('7月'!EN27:EO27,D$226)+COUNTIF('7月'!ES27:ET27,D$226)</f>
        <v>0</v>
      </c>
      <c r="E251" s="76">
        <f t="shared" si="73"/>
        <v>0</v>
      </c>
      <c r="F251" s="76">
        <f>COUNTIF('7月'!D27:E27,F$226)+COUNTIF('7月'!I27:J27,F$226)+COUNTIF('7月'!N27:O27,F$226)+COUNTIF('7月'!S27:T27,F$226)+COUNTIF('7月'!X27:Y27,F$226)+COUNTIF('7月'!AC27:AD27,F$226)+COUNTIF('7月'!AH27:AI27,F$226)+COUNTIF('7月'!AM27:AN27,F$226)+COUNTIF('7月'!AR27:AS27,F$226)+COUNTIF('7月'!AW27:AX27,F$226)+COUNTIF('7月'!BB27:BC27,F$226)+COUNTIF('7月'!BG27:BH27,F$226)+COUNTIF('7月'!BL27:BM27,F$226)+COUNTIF('7月'!BQ27:BR27,F$226)+COUNTIF('7月'!BV27:BW27,F$226)+COUNTIF('7月'!CA27:CB27,F$226)+COUNTIF('7月'!CF27:CG27,F$226)+COUNTIF('7月'!CK27:CL27,F$226)+COUNTIF('7月'!CP27:CQ27,F$226)+COUNTIF('7月'!CU27:CV27,F$226)+COUNTIF('7月'!CZ27:DA27,F$226)+COUNTIF('7月'!DE27:DF27,F$226)+COUNTIF('7月'!DJ27:DK27,F$226)+COUNTIF('7月'!DO27:DP27,F$226)+COUNTIF('7月'!DT27:DU27,F$226)+COUNTIF('7月'!DY27:DZ27,F$226)+COUNTIF('7月'!ED27:EE27,F$226)+COUNTIF('7月'!EI27:EJ27,F$226)+COUNTIF('7月'!EN27:EO27,F$226)+COUNTIF('7月'!ES27:ET27,F$226)</f>
        <v>0</v>
      </c>
      <c r="G251" s="76">
        <f t="shared" si="74"/>
        <v>0</v>
      </c>
      <c r="H251" s="76">
        <f>COUNTIF('7月'!D27:E27,H$226)+COUNTIF('7月'!I27:J27,H$226)+COUNTIF('7月'!N27:O27,H$226)+COUNTIF('7月'!S27:T27,H$226)+COUNTIF('7月'!X27:Y27,H$226)+COUNTIF('7月'!AC27:AD27,H$226)+COUNTIF('7月'!AH27:AI27,H$226)+COUNTIF('7月'!AM27:AN27,H$226)+COUNTIF('7月'!AR27:AS27,H$226)+COUNTIF('7月'!AW27:AX27,H$226)+COUNTIF('7月'!BB27:BC27,H$226)+COUNTIF('7月'!BG27:BH27,H$226)+COUNTIF('7月'!BL27:BM27,H$226)+COUNTIF('7月'!BQ27:BR27,H$226)+COUNTIF('7月'!BV27:BW27,H$226)+COUNTIF('7月'!CA27:CB27,H$226)+COUNTIF('7月'!CF27:CG27,H$226)+COUNTIF('7月'!CK27:CL27,H$226)+COUNTIF('7月'!CP27:CQ27,H$226)+COUNTIF('7月'!CU27:CV27,H$226)+COUNTIF('7月'!CZ27:DA27,H$226)+COUNTIF('7月'!DE27:DF27,H$226)+COUNTIF('7月'!DJ27:DK27,H$226)+COUNTIF('7月'!DO27:DP27,H$226)+COUNTIF('7月'!DT27:DU27,H$226)+COUNTIF('7月'!DY27:DZ27,H$226)+COUNTIF('7月'!ED27:EE27,H$226)+COUNTIF('7月'!EI27:EJ27,H$226)+COUNTIF('7月'!EN27:EO27,H$226)+COUNTIF('7月'!ES27:ET27,H$226)+COUNTIF('7月'!D27:E27,"渋谷-夜勤")+COUNTIF('7月'!I27:J27,"渋谷-夜勤")+COUNTIF('7月'!N27:O27,"渋谷-夜勤")+COUNTIF('7月'!S27:T27,"渋谷-夜勤")+COUNTIF('7月'!X27:Y27,"渋谷-夜勤")+COUNTIF('7月'!AC27:AD27,"渋谷-夜勤")+COUNTIF('7月'!AH27:AI27,"渋谷-夜勤")+COUNTIF('7月'!AM27:AN27,"渋谷-夜勤")+COUNTIF('7月'!AR27:AS27,"渋谷-夜勤")+COUNTIF('7月'!AW27:AX27,"渋谷-夜勤")+COUNTIF('7月'!BB27:BC27,"渋谷-夜勤")+COUNTIF('7月'!BG27:BH27,"渋谷-夜勤")+COUNTIF('7月'!BL27:BM27,"渋谷-夜勤")+COUNTIF('7月'!BQ27:BR27,"渋谷-夜勤")+COUNTIF('7月'!BV27:BW27,"渋谷-夜勤")+COUNTIF('7月'!CA27:CB27,"渋谷-夜勤")+COUNTIF('7月'!CF27:CG27,"渋谷-夜勤")+COUNTIF('7月'!CK27:CL27,"渋谷-夜勤")+COUNTIF('7月'!CP27:CQ27,"渋谷-夜勤")+COUNTIF('7月'!CU27:CV27,"渋谷-夜勤")+COUNTIF('7月'!CZ27:DA27,"渋谷-夜勤")+COUNTIF('7月'!DE27:DF27,"渋谷-夜勤")+COUNTIF('7月'!DJ27:DK27,"渋谷-夜勤")+COUNTIF('7月'!DO27:DP27,"渋谷-夜勤")+COUNTIF('7月'!DT27:DU27,"渋谷-夜勤")+COUNTIF('7月'!DY27:DZ27,"渋谷-夜勤")+COUNTIF('7月'!ED27:EE27,"渋谷-夜勤")+COUNTIF('7月'!EI27:EJ27,"渋谷-夜勤")+COUNTIF('7月'!EN27:EO27,"渋谷-夜勤")+COUNTIF('7月'!ES27:ET27,"渋谷-夜勤")</f>
        <v>0</v>
      </c>
      <c r="I251" s="76">
        <f t="shared" si="75"/>
        <v>0</v>
      </c>
      <c r="J251" s="76">
        <f>COUNTIF('7月'!D27:E27,J$226)+COUNTIF('7月'!I27:J27,J$226)+COUNTIF('7月'!N27:O27,J$226)+COUNTIF('7月'!S27:T27,J$226)+COUNTIF('7月'!X27:Y27,J$226)+COUNTIF('7月'!AC27:AD27,J$226)+COUNTIF('7月'!AH27:AI27,J$226)+COUNTIF('7月'!AM27:AN27,J$226)+COUNTIF('7月'!AR27:AS27,J$226)+COUNTIF('7月'!AW27:AX27,J$226)+COUNTIF('7月'!BB27:BC27,J$226)+COUNTIF('7月'!BG27:BH27,J$226)+COUNTIF('7月'!BL27:BM27,J$226)+COUNTIF('7月'!BQ27:BR27,J$226)+COUNTIF('7月'!BV27:BW27,J$226)+COUNTIF('7月'!CA27:CB27,J$226)+COUNTIF('7月'!CF27:CG27,J$226)+COUNTIF('7月'!CK27:CL27,J$226)+COUNTIF('7月'!CP27:CQ27,J$226)+COUNTIF('7月'!CU27:CV27,J$226)+COUNTIF('7月'!CZ27:DA27,J$226)+COUNTIF('7月'!DE27:DF27,J$226)+COUNTIF('7月'!DJ27:DK27,J$226)+COUNTIF('7月'!DO27:DP27,J$226)+COUNTIF('7月'!DT27:DU27,J$226)+COUNTIF('7月'!DY27:DZ27,J$226)+COUNTIF('7月'!ED27:EE27,J$226)+COUNTIF('7月'!EI27:EJ27,J$226)+COUNTIF('7月'!EN27:EO27,J$226)+COUNTIF('7月'!ES27:ET27,J$226)+COUNTIF('7月'!D27:E27,"六本木-夜勤")+COUNTIF('7月'!I27:J27,"六本木-夜勤")+COUNTIF('7月'!N27:O27,"六本木-夜勤")+COUNTIF('7月'!S27:T27,"六本木-夜勤")+COUNTIF('7月'!X27:Y27,"六本木-夜勤")+COUNTIF('7月'!AC27:AD27,"六本木-夜勤")+COUNTIF('7月'!AH27:AI27,"六本木-夜勤")+COUNTIF('7月'!AM27:AN27,"六本木-夜勤")+COUNTIF('7月'!AR27:AS27,"六本木-夜勤")+COUNTIF('7月'!AW27:AX27,"六本木-夜勤")+COUNTIF('7月'!BB27:BC27,"六本木-夜勤")+COUNTIF('7月'!BG27:BH27,"六本木-夜勤")+COUNTIF('7月'!BL27:BM27,"六本木-夜勤")+COUNTIF('7月'!BQ27:BR27,"六本木-夜勤")+COUNTIF('7月'!BV27:BW27,"六本木-夜勤")+COUNTIF('7月'!CA27:CB27,"六本木-夜勤")+COUNTIF('7月'!CF27:CG27,"六本木-夜勤")+COUNTIF('7月'!CK27:CL27,"六本木-夜勤")+COUNTIF('7月'!CP27:CQ27,"六本木-夜勤")+COUNTIF('7月'!CU27:CV27,"六本木-夜勤")+COUNTIF('7月'!CZ27:DA27,"六本木-夜勤")+COUNTIF('7月'!DE27:DF27,"六本木-夜勤")+COUNTIF('7月'!DJ27:DK27,"六本木-夜勤")+COUNTIF('7月'!DO27:DP27,"六本木-夜勤")+COUNTIF('7月'!DT27:DU27,"六本木-夜勤")+COUNTIF('7月'!DY27:DZ27,"六本木-夜勤")+COUNTIF('7月'!ED27:EE27,"六本木-夜勤")+COUNTIF('7月'!EI27:EJ27,"六本木-夜勤")+COUNTIF('7月'!EN27:EO27,"六本木-夜勤")+COUNTIF('7月'!ES27:ET27,"六本木-夜勤")+COUNTIF('7月'!D27:E27,"六本木ー夜勤")+COUNTIF('7月'!I27:J27,"六本木ー夜勤")+COUNTIF('7月'!N27:O27,"六本木ー夜勤")+COUNTIF('7月'!S27:T27,"六本木ー夜勤")+COUNTIF('7月'!X27:Y27,"六本木ー夜勤")+COUNTIF('7月'!AC27:AD27,"六本木ー夜勤")+COUNTIF('7月'!AH27:AI27,"六本木ー夜勤")+COUNTIF('7月'!AM27:AN27,"六本木ー夜勤")+COUNTIF('7月'!AR27:AS27,"六本木ー夜勤")+COUNTIF('7月'!AW27:AX27,"六本木ー夜勤")+COUNTIF('7月'!BB27:BC27,"六本木ー夜勤")+COUNTIF('7月'!BG27:BH27,"六本木ー夜勤")+COUNTIF('7月'!BL27:BM27,"六本木ー夜勤")+COUNTIF('7月'!BQ27:BR27,"六本木ー夜勤")+COUNTIF('7月'!BV27:BW27,"六本木ー夜勤")+COUNTIF('7月'!CA27:CB27,"六本木ー夜勤")+COUNTIF('7月'!CF27:CG27,"六本木ー夜勤")+COUNTIF('7月'!CK27:CL27,"六本木ー夜勤")+COUNTIF('7月'!CP27:CQ27,"六本木ー夜勤")+COUNTIF('7月'!CU27:CV27,"六本木ー夜勤")+COUNTIF('7月'!CZ27:DA27,"六本木ー夜勤")+COUNTIF('7月'!DE27:DF27,"六本木ー夜勤")+COUNTIF('7月'!DJ27:DK27,"六本木ー夜勤")+COUNTIF('7月'!DO27:DP27,"六本木ー夜勤")+COUNTIF('7月'!DT27:DU27,"六本木ー夜勤")+COUNTIF('7月'!DY27:DZ27,"六本木ー夜勤")+COUNTIF('7月'!ED27:EE27,"六本木ー夜勤")+COUNTIF('7月'!EI27:EJ27,"六本木ー夜勤")+COUNTIF('7月'!EN27:EO27,"六本木ー夜勤")+COUNTIF('7月'!ES27:ET27,"六本木ー夜勤")</f>
        <v>0</v>
      </c>
      <c r="K251" s="76">
        <f t="shared" si="76"/>
        <v>0</v>
      </c>
      <c r="L251" s="76">
        <f>COUNTIF('7月'!D27:E27,L$226)+COUNTIF('7月'!I27:J27,L$226)+COUNTIF('7月'!N27:O27,L$226)+COUNTIF('7月'!S27:T27,L$226)+COUNTIF('7月'!X27:Y27,L$226)+COUNTIF('7月'!AC27:AD27,L$226)+COUNTIF('7月'!AH27:AI27,L$226)+COUNTIF('7月'!AM27:AN27,L$226)+COUNTIF('7月'!AR27:AS27,L$226)+COUNTIF('7月'!AW27:AX27,L$226)+COUNTIF('7月'!BB27:BC27,L$226)+COUNTIF('7月'!BG27:BH27,L$226)+COUNTIF('7月'!BL27:BM27,L$226)+COUNTIF('7月'!BQ27:BR27,L$226)+COUNTIF('7月'!BV27:BW27,L$226)+COUNTIF('7月'!CA27:CB27,L$226)+COUNTIF('7月'!CF27:CG27,L$226)+COUNTIF('7月'!CK27:CL27,L$226)+COUNTIF('7月'!CP27:CQ27,L$226)+COUNTIF('7月'!CU27:CV27,L$226)+COUNTIF('7月'!CZ27:DA27,L$226)+COUNTIF('7月'!DE27:DF27,L$226)+COUNTIF('7月'!DJ27:DK27,L$226)+COUNTIF('7月'!DO27:DP27,L$226)+COUNTIF('7月'!DT27:DU27,L$226)+COUNTIF('7月'!DY27:DZ27,L$226)+COUNTIF('7月'!ED27:EE27,L$226)+COUNTIF('7月'!EI27:EJ27,L$226)+COUNTIF('7月'!EN27:EO27,L$226)+COUNTIF('7月'!ES27:ET27,L$226)</f>
        <v>0</v>
      </c>
      <c r="M251" s="76">
        <f t="shared" si="77"/>
        <v>0</v>
      </c>
      <c r="N251" s="76">
        <f>COUNTIF('7月'!D27:E27,N$226)+COUNTIF('7月'!I27:J27,N$226)+COUNTIF('7月'!N27:O27,N$226)+COUNTIF('7月'!S27:T27,N$226)+COUNTIF('7月'!X27:Y27,N$226)+COUNTIF('7月'!AC27:AD27,N$226)+COUNTIF('7月'!AH27:AI27,N$226)+COUNTIF('7月'!AM27:AN27,N$226)+COUNTIF('7月'!AR27:AS27,N$226)+COUNTIF('7月'!AW27:AX27,N$226)+COUNTIF('7月'!BB27:BC27,N$226)+COUNTIF('7月'!BG27:BH27,N$226)+COUNTIF('7月'!BL27:BM27,N$226)+COUNTIF('7月'!BQ27:BR27,N$226)+COUNTIF('7月'!BV27:BW27,N$226)+COUNTIF('7月'!CA27:CB27,N$226)+COUNTIF('7月'!CF27:CG27,N$226)+COUNTIF('7月'!CK27:CL27,N$226)+COUNTIF('7月'!CP27:CQ27,N$226)+COUNTIF('7月'!CU27:CV27,N$226)+COUNTIF('7月'!CZ27:DA27,N$226)+COUNTIF('7月'!DE27:DF27,N$226)+COUNTIF('7月'!DJ27:DK27,N$226)+COUNTIF('7月'!DO27:DP27,N$226)+COUNTIF('7月'!DT27:DU27,N$226)+COUNTIF('7月'!DY27:DZ27,N$226)+COUNTIF('7月'!ED27:EE27,N$226)+COUNTIF('7月'!EI27:EJ27,N$226)+COUNTIF('7月'!EN27:EO27,N$226)+COUNTIF('7月'!ES27:ET27,N$226)+COUNTIF('7月'!D27:E27,"三軒茶屋－夜勤")+COUNTIF('7月'!I27:J27,"三軒茶屋－夜勤")+COUNTIF('7月'!N27:O27,"三軒茶屋－夜勤")+COUNTIF('7月'!S27:T27,"三軒茶屋－夜勤")+COUNTIF('7月'!X27:Y27,"三軒茶屋－夜勤")+COUNTIF('7月'!AC27:AD27,"三軒茶屋－夜勤")+COUNTIF('7月'!AH27:AI27,"三軒茶屋－夜勤")+COUNTIF('7月'!AM27:AN27,"三軒茶屋－夜勤")+COUNTIF('7月'!AR27:AS27,"三軒茶屋－夜勤")+COUNTIF('7月'!AW27:AX27,"三軒茶屋－夜勤")+COUNTIF('7月'!BB27:BC27,"三軒茶屋－夜勤")+COUNTIF('7月'!BG27:BH27,"三軒茶屋－夜勤")+COUNTIF('7月'!BL27:BM27,"三軒茶屋－夜勤")+COUNTIF('7月'!BQ27:BR27,"三軒茶屋－夜勤")+COUNTIF('7月'!BV27:BW27,"三軒茶屋－夜勤")+COUNTIF('7月'!CA27:CB27,"三軒茶屋－夜勤")+COUNTIF('7月'!CF27:CG27,"三軒茶屋－夜勤")+COUNTIF('7月'!CK27:CL27,"三軒茶屋－夜勤")+COUNTIF('7月'!CP27:CQ27,"三軒茶屋－夜勤")+COUNTIF('7月'!CU27:CV27,"三軒茶屋－夜勤")+COUNTIF('7月'!CZ27:DA27,"三軒茶屋－夜勤")+COUNTIF('7月'!DE27:DF27,"三軒茶屋－夜勤")+COUNTIF('7月'!DJ27:DK27,"三軒茶屋－夜勤")+COUNTIF('7月'!DO27:DP27,"三軒茶屋－夜勤")+COUNTIF('7月'!DT27:DU27,"三軒茶屋－夜勤")+COUNTIF('7月'!DY27:DZ27,"三軒茶屋－夜勤")+COUNTIF('7月'!ED27:EE27,"三軒茶屋－夜勤")+COUNTIF('7月'!EI27:EJ27,"三軒茶屋－夜勤")+COUNTIF('7月'!EN27:EO27,"三軒茶屋－夜勤")+COUNTIF('7月'!ES27:ET27,"三軒茶屋－夜勤")</f>
        <v>0</v>
      </c>
      <c r="O251" s="76">
        <f t="shared" si="78"/>
        <v>0</v>
      </c>
      <c r="P251" s="76">
        <f>COUNTIF('7月'!D27:E27,P$226)+COUNTIF('7月'!I27:J27,P$226)+COUNTIF('7月'!N27:O27,P$226)+COUNTIF('7月'!S27:T27,P$226)+COUNTIF('7月'!X27:Y27,P$226)+COUNTIF('7月'!AC27:AD27,P$226)+COUNTIF('7月'!AH27:AI27,P$226)+COUNTIF('7月'!AM27:AN27,P$226)+COUNTIF('7月'!AR27:AS27,P$226)+COUNTIF('7月'!AW27:AX27,P$226)+COUNTIF('7月'!BB27:BC27,P$226)+COUNTIF('7月'!BG27:BH27,P$226)+COUNTIF('7月'!BL27:BM27,P$226)+COUNTIF('7月'!BQ27:BR27,P$226)+COUNTIF('7月'!BV27:BW27,P$226)+COUNTIF('7月'!CA27:CB27,P$226)+COUNTIF('7月'!CF27:CG27,P$226)+COUNTIF('7月'!CK27:CL27,P$226)+COUNTIF('7月'!CP27:CQ27,P$226)+COUNTIF('7月'!CU27:CV27,P$226)+COUNTIF('7月'!CZ27:DA27,P$226)+COUNTIF('7月'!DE27:DF27,P$226)+COUNTIF('7月'!DJ27:DK27,P$226)+COUNTIF('7月'!DO27:DP27,P$226)+COUNTIF('7月'!DT27:DU27,P$226)+COUNTIF('7月'!DY27:DZ27,P$226)+COUNTIF('7月'!ED27:EE27,P$226)+COUNTIF('7月'!EI27:EJ27,P$226)+COUNTIF('7月'!EN27:EO27,P$226)+COUNTIF('7月'!ES27:ET27,P$226)+COUNTIF('7月'!D27:E27,"荻窪ー夜勤")+COUNTIF('7月'!I27:J27,"荻窪ー夜勤")+COUNTIF('7月'!N27:O27,"荻窪ー夜勤")+COUNTIF('7月'!S27:T27,"荻窪ー夜勤")+COUNTIF('7月'!X27:Y27,"荻窪ー夜勤")+COUNTIF('7月'!AC27:AD27,"荻窪ー夜勤")+COUNTIF('7月'!AH27:AI27,"荻窪ー夜勤")+COUNTIF('7月'!AM27:AN27,"荻窪ー夜勤")+COUNTIF('7月'!AR27:AS27,"荻窪ー夜勤")+COUNTIF('7月'!AW27:AX27,"荻窪ー夜勤")+COUNTIF('7月'!BB27:BC27,"荻窪ー夜勤")+COUNTIF('7月'!BG27:BH27,"荻窪ー夜勤")+COUNTIF('7月'!BL27:BM27,"荻窪ー夜勤")+COUNTIF('7月'!BQ27:BR27,"荻窪ー夜勤")+COUNTIF('7月'!BV27:BW27,"荻窪ー夜勤")+COUNTIF('7月'!CA27:CB27,"荻窪ー夜勤")+COUNTIF('7月'!CF27:CG27,"荻窪ー夜勤")+COUNTIF('7月'!CK27:CL27,"荻窪ー夜勤")+COUNTIF('7月'!CP27:CQ27,"荻窪ー夜勤")+COUNTIF('7月'!CU27:CV27,"荻窪ー夜勤")+COUNTIF('7月'!CZ27:DA27,"荻窪ー夜勤")+COUNTIF('7月'!DE27:DF27,"荻窪ー夜勤")+COUNTIF('7月'!DJ27:DK27,"荻窪ー夜勤")+COUNTIF('7月'!DO27:DP27,"荻窪ー夜勤")+COUNTIF('7月'!DT27:DU27,"荻窪ー夜勤")+COUNTIF('7月'!DY27:DZ27,"荻窪ー夜勤")+COUNTIF('7月'!ED27:EE27,"荻窪ー夜勤")+COUNTIF('7月'!EI27:EJ27,"荻窪ー夜勤")+COUNTIF('7月'!EN27:EO27,"荻窪ー夜勤")+COUNTIF('7月'!ES27:ET27,"荻窪ー夜勤")</f>
        <v>0</v>
      </c>
      <c r="Q251" s="76">
        <f t="shared" si="79"/>
        <v>0</v>
      </c>
      <c r="R251" s="76">
        <f>COUNTIF('7月'!D27:E27,R$226)+COUNTIF('7月'!I27:J27,R$226)+COUNTIF('7月'!N27:O27,R$226)+COUNTIF('7月'!S27:T27,R$226)+COUNTIF('7月'!X27:Y27,R$226)+COUNTIF('7月'!AC27:AD27,R$226)+COUNTIF('7月'!AH27:AI27,R$226)+COUNTIF('7月'!AM27:AN27,R$226)+COUNTIF('7月'!AR27:AS27,R$226)+COUNTIF('7月'!AW27:AX27,R$226)+COUNTIF('7月'!BB27:BC27,R$226)+COUNTIF('7月'!BG27:BH27,R$226)+COUNTIF('7月'!BL27:BM27,R$226)+COUNTIF('7月'!BQ27:BR27,R$226)+COUNTIF('7月'!BV27:BW27,R$226)+COUNTIF('7月'!CA27:CB27,R$226)+COUNTIF('7月'!CF27:CG27,R$226)+COUNTIF('7月'!CK27:CL27,R$226)+COUNTIF('7月'!CP27:CQ27,R$226)+COUNTIF('7月'!CU27:CV27,R$226)+COUNTIF('7月'!CZ27:DA27,R$226)+COUNTIF('7月'!DE27:DF27,R$226)+COUNTIF('7月'!DJ27:DK27,R$226)+COUNTIF('7月'!DO27:DP27,R$226)+COUNTIF('7月'!DT27:DU27,R$226)+COUNTIF('7月'!DY27:DZ27,R$226)+COUNTIF('7月'!ED27:EE27,R$226)+COUNTIF('7月'!EI27:EJ27,R$226)+COUNTIF('7月'!EN27:EO27,R$226)+COUNTIF('7月'!ES27:ET27,R$226)</f>
        <v>0</v>
      </c>
      <c r="S251" s="76">
        <f t="shared" si="80"/>
        <v>0</v>
      </c>
      <c r="T251" s="76">
        <f>COUNTIF('7月'!D27:E27,T$226)+COUNTIF('7月'!I27:J27,T$226)+COUNTIF('7月'!N27:O27,T$226)+COUNTIF('7月'!S27:T27,T$226)+COUNTIF('7月'!X27:Y27,T$226)+COUNTIF('7月'!AC27:AD27,T$226)+COUNTIF('7月'!AH27:AI27,T$226)+COUNTIF('7月'!AM27:AN27,T$226)+COUNTIF('7月'!AR27:AS27,T$226)+COUNTIF('7月'!AW27:AX27,T$226)+COUNTIF('7月'!BB27:BC27,T$226)+COUNTIF('7月'!BG27:BH27,T$226)+COUNTIF('7月'!BL27:BM27,T$226)+COUNTIF('7月'!BQ27:BR27,T$226)+COUNTIF('7月'!BV27:BW27,T$226)+COUNTIF('7月'!CA27:CB27,T$226)+COUNTIF('7月'!CF27:CG27,T$226)+COUNTIF('7月'!CK27:CL27,T$226)+COUNTIF('7月'!CP27:CQ27,T$226)+COUNTIF('7月'!CU27:CV27,T$226)+COUNTIF('7月'!CZ27:DA27,T$226)+COUNTIF('7月'!DE27:DF27,T$226)+COUNTIF('7月'!DJ27:DK27,T$226)+COUNTIF('7月'!DO27:DP27,T$226)+COUNTIF('7月'!DT27:DU27,T$226)+COUNTIF('7月'!DY27:DZ27,T$226)+COUNTIF('7月'!ED27:EE27,T$226)+COUNTIF('7月'!EI27:EJ27,T$226)+COUNTIF('7月'!EN27:EO27,T$226)+COUNTIF('7月'!ES27:ET27,T$226)</f>
        <v>0</v>
      </c>
      <c r="U251" s="76">
        <f t="shared" si="81"/>
        <v>0</v>
      </c>
      <c r="V251" s="76">
        <f>COUNTIF('7月'!D27:E27,V$226)+COUNTIF('7月'!I27:J27,V$226)+COUNTIF('7月'!N27:O27,V$226)+COUNTIF('7月'!S27:T27,V$226)+COUNTIF('7月'!X27:Y27,V$226)+COUNTIF('7月'!AC27:AD27,V$226)+COUNTIF('7月'!AH27:AI27,V$226)+COUNTIF('7月'!AM27:AN27,V$226)+COUNTIF('7月'!AR27:AS27,V$226)+COUNTIF('7月'!AW27:AX27,V$226)+COUNTIF('7月'!BB27:BC27,V$226)+COUNTIF('7月'!BG27:BH27,V$226)+COUNTIF('7月'!BL27:BM27,V$226)+COUNTIF('7月'!BQ27:BR27,V$226)+COUNTIF('7月'!BV27:BW27,V$226)+COUNTIF('7月'!CA27:CB27,V$226)+COUNTIF('7月'!CF27:CG27,V$226)+COUNTIF('7月'!CK27:CL27,V$226)+COUNTIF('7月'!CP27:CQ27,V$226)+COUNTIF('7月'!CU27:CV27,V$226)+COUNTIF('7月'!CZ27:DA27,V$226)+COUNTIF('7月'!DE27:DF27,V$226)+COUNTIF('7月'!DJ27:DK27,V$226)+COUNTIF('7月'!DO27:DP27,V$226)+COUNTIF('7月'!DT27:DU27,V$226)+COUNTIF('7月'!DY27:DZ27,V$226)+COUNTIF('7月'!ED27:EE27,V$226)+COUNTIF('7月'!EI27:EJ27,V$226)+COUNTIF('7月'!EN27:EO27,V$226)+COUNTIF('7月'!ES27:ET27,V$226)</f>
        <v>0</v>
      </c>
      <c r="W251" s="76">
        <f t="shared" si="82"/>
        <v>0</v>
      </c>
      <c r="X251" s="76">
        <f>COUNTIF('7月'!D27:E27,X$226)+COUNTIF('7月'!I27:J27,X$226)+COUNTIF('7月'!N27:O27,X$226)+COUNTIF('7月'!S27:T27,X$226)+COUNTIF('7月'!X27:Y27,X$226)+COUNTIF('7月'!AC27:AD27,X$226)+COUNTIF('7月'!AH27:AI27,X$226)+COUNTIF('7月'!AM27:AN27,X$226)+COUNTIF('7月'!AR27:AS27,X$226)+COUNTIF('7月'!AW27:AX27,X$226)+COUNTIF('7月'!BB27:BC27,X$226)+COUNTIF('7月'!BG27:BH27,X$226)+COUNTIF('7月'!BL27:BM27,X$226)+COUNTIF('7月'!BQ27:BR27,X$226)+COUNTIF('7月'!BV27:BW27,X$226)+COUNTIF('7月'!CA27:CB27,X$226)+COUNTIF('7月'!CF27:CG27,X$226)+COUNTIF('7月'!CK27:CL27,X$226)+COUNTIF('7月'!CP27:CQ27,X$226)+COUNTIF('7月'!CU27:CV27,X$226)+COUNTIF('7月'!CZ27:DA27,X$226)+COUNTIF('7月'!DE27:DF27,X$226)+COUNTIF('7月'!DJ27:DK27,X$226)+COUNTIF('7月'!DO27:DP27,X$226)+COUNTIF('7月'!DT27:DU27,X$226)+COUNTIF('7月'!DY27:DZ27,X$226)+COUNTIF('7月'!ED27:EE27,X$226)+COUNTIF('7月'!EI27:EJ27,X$226)+COUNTIF('7月'!EN27:EO27,X$226)+COUNTIF('7月'!ES27:ET27,X$226)</f>
        <v>0</v>
      </c>
      <c r="Y251" s="76">
        <f t="shared" si="83"/>
        <v>0</v>
      </c>
    </row>
    <row r="252" spans="1:25" ht="18" customHeight="1">
      <c r="A252" s="76">
        <v>25</v>
      </c>
      <c r="B252" s="76">
        <f>COUNTIF('7月'!D28:E28,B$226)+COUNTIF('7月'!I28:J28,B$226)+COUNTIF('7月'!N28:O28,B$226)+COUNTIF('7月'!S28:T28,B$226)+COUNTIF('7月'!X28:Y28,B$226)+COUNTIF('7月'!AC28:AD28,B$226)+COUNTIF('7月'!AH28:AI28,B$226)+COUNTIF('7月'!AM28:AN28,B$226)+COUNTIF('7月'!AR28:AS28,B$226)+COUNTIF('7月'!AW28:AX28,B$226)+COUNTIF('7月'!BB28:BC28,B$226)+COUNTIF('7月'!BG28:BH28,B$226)+COUNTIF('7月'!BL28:BM28,B$226)+COUNTIF('7月'!BQ28:BR28,B$226)+COUNTIF('7月'!BV28:BW28,B$226)+COUNTIF('7月'!CA28:CB28,B$226)+COUNTIF('7月'!CF28:CG28,B$226)+COUNTIF('7月'!CK28:CL28,B$226)+COUNTIF('7月'!CP28:CQ28,B$226)+COUNTIF('7月'!CU28:CV28,B$226)+COUNTIF('7月'!CZ28:DA28,B$226)+COUNTIF('7月'!DE28:DF28,B$226)+COUNTIF('7月'!DJ28:DK28,B$226)+COUNTIF('7月'!DO28:DP28,B$226)+COUNTIF('7月'!DT28:DU28,B$226)+COUNTIF('7月'!DY28:DZ28,B$226)+COUNTIF('7月'!ED28:EE28,B$226)+COUNTIF('7月'!EI28:EJ28,B$226)+COUNTIF('7月'!EN28:EO28,B$226)+COUNTIF('7月'!ES28:ET28,B$226)</f>
        <v>0</v>
      </c>
      <c r="C252" s="76">
        <f t="shared" si="72"/>
        <v>0</v>
      </c>
      <c r="D252" s="76">
        <f>COUNTIF('7月'!D28:E28,D$226)+COUNTIF('7月'!I28:J28,D$226)+COUNTIF('7月'!N28:O28,D$226)+COUNTIF('7月'!S28:T28,D$226)+COUNTIF('7月'!X28:Y28,D$226)+COUNTIF('7月'!AC28:AD28,D$226)+COUNTIF('7月'!AH28:AI28,D$226)+COUNTIF('7月'!AM28:AN28,D$226)+COUNTIF('7月'!AR28:AS28,D$226)+COUNTIF('7月'!AW28:AX28,D$226)+COUNTIF('7月'!BB28:BC28,D$226)+COUNTIF('7月'!BG28:BH28,D$226)+COUNTIF('7月'!BL28:BM28,D$226)+COUNTIF('7月'!BQ28:BR28,D$226)+COUNTIF('7月'!BV28:BW28,D$226)+COUNTIF('7月'!CA28:CB28,D$226)+COUNTIF('7月'!CF28:CG28,D$226)+COUNTIF('7月'!CK28:CL28,D$226)+COUNTIF('7月'!CP28:CQ28,D$226)+COUNTIF('7月'!CU28:CV28,D$226)+COUNTIF('7月'!CZ28:DA28,D$226)+COUNTIF('7月'!DE28:DF28,D$226)+COUNTIF('7月'!DJ28:DK28,D$226)+COUNTIF('7月'!DO28:DP28,D$226)+COUNTIF('7月'!DT28:DU28,D$226)+COUNTIF('7月'!DY28:DZ28,D$226)+COUNTIF('7月'!ED28:EE28,D$226)+COUNTIF('7月'!EI28:EJ28,D$226)+COUNTIF('7月'!EN28:EO28,D$226)+COUNTIF('7月'!ES28:ET28,D$226)</f>
        <v>0</v>
      </c>
      <c r="E252" s="76">
        <f t="shared" si="73"/>
        <v>0</v>
      </c>
      <c r="F252" s="76">
        <f>COUNTIF('7月'!D28:E28,F$226)+COUNTIF('7月'!I28:J28,F$226)+COUNTIF('7月'!N28:O28,F$226)+COUNTIF('7月'!S28:T28,F$226)+COUNTIF('7月'!X28:Y28,F$226)+COUNTIF('7月'!AC28:AD28,F$226)+COUNTIF('7月'!AH28:AI28,F$226)+COUNTIF('7月'!AM28:AN28,F$226)+COUNTIF('7月'!AR28:AS28,F$226)+COUNTIF('7月'!AW28:AX28,F$226)+COUNTIF('7月'!BB28:BC28,F$226)+COUNTIF('7月'!BG28:BH28,F$226)+COUNTIF('7月'!BL28:BM28,F$226)+COUNTIF('7月'!BQ28:BR28,F$226)+COUNTIF('7月'!BV28:BW28,F$226)+COUNTIF('7月'!CA28:CB28,F$226)+COUNTIF('7月'!CF28:CG28,F$226)+COUNTIF('7月'!CK28:CL28,F$226)+COUNTIF('7月'!CP28:CQ28,F$226)+COUNTIF('7月'!CU28:CV28,F$226)+COUNTIF('7月'!CZ28:DA28,F$226)+COUNTIF('7月'!DE28:DF28,F$226)+COUNTIF('7月'!DJ28:DK28,F$226)+COUNTIF('7月'!DO28:DP28,F$226)+COUNTIF('7月'!DT28:DU28,F$226)+COUNTIF('7月'!DY28:DZ28,F$226)+COUNTIF('7月'!ED28:EE28,F$226)+COUNTIF('7月'!EI28:EJ28,F$226)+COUNTIF('7月'!EN28:EO28,F$226)+COUNTIF('7月'!ES28:ET28,F$226)</f>
        <v>0</v>
      </c>
      <c r="G252" s="76">
        <f t="shared" si="74"/>
        <v>0</v>
      </c>
      <c r="H252" s="76">
        <f>COUNTIF('7月'!D28:E28,H$226)+COUNTIF('7月'!I28:J28,H$226)+COUNTIF('7月'!N28:O28,H$226)+COUNTIF('7月'!S28:T28,H$226)+COUNTIF('7月'!X28:Y28,H$226)+COUNTIF('7月'!AC28:AD28,H$226)+COUNTIF('7月'!AH28:AI28,H$226)+COUNTIF('7月'!AM28:AN28,H$226)+COUNTIF('7月'!AR28:AS28,H$226)+COUNTIF('7月'!AW28:AX28,H$226)+COUNTIF('7月'!BB28:BC28,H$226)+COUNTIF('7月'!BG28:BH28,H$226)+COUNTIF('7月'!BL28:BM28,H$226)+COUNTIF('7月'!BQ28:BR28,H$226)+COUNTIF('7月'!BV28:BW28,H$226)+COUNTIF('7月'!CA28:CB28,H$226)+COUNTIF('7月'!CF28:CG28,H$226)+COUNTIF('7月'!CK28:CL28,H$226)+COUNTIF('7月'!CP28:CQ28,H$226)+COUNTIF('7月'!CU28:CV28,H$226)+COUNTIF('7月'!CZ28:DA28,H$226)+COUNTIF('7月'!DE28:DF28,H$226)+COUNTIF('7月'!DJ28:DK28,H$226)+COUNTIF('7月'!DO28:DP28,H$226)+COUNTIF('7月'!DT28:DU28,H$226)+COUNTIF('7月'!DY28:DZ28,H$226)+COUNTIF('7月'!ED28:EE28,H$226)+COUNTIF('7月'!EI28:EJ28,H$226)+COUNTIF('7月'!EN28:EO28,H$226)+COUNTIF('7月'!ES28:ET28,H$226)+COUNTIF('7月'!D28:E28,"渋谷-夜勤")+COUNTIF('7月'!I28:J28,"渋谷-夜勤")+COUNTIF('7月'!N28:O28,"渋谷-夜勤")+COUNTIF('7月'!S28:T28,"渋谷-夜勤")+COUNTIF('7月'!X28:Y28,"渋谷-夜勤")+COUNTIF('7月'!AC28:AD28,"渋谷-夜勤")+COUNTIF('7月'!AH28:AI28,"渋谷-夜勤")+COUNTIF('7月'!AM28:AN28,"渋谷-夜勤")+COUNTIF('7月'!AR28:AS28,"渋谷-夜勤")+COUNTIF('7月'!AW28:AX28,"渋谷-夜勤")+COUNTIF('7月'!BB28:BC28,"渋谷-夜勤")+COUNTIF('7月'!BG28:BH28,"渋谷-夜勤")+COUNTIF('7月'!BL28:BM28,"渋谷-夜勤")+COUNTIF('7月'!BQ28:BR28,"渋谷-夜勤")+COUNTIF('7月'!BV28:BW28,"渋谷-夜勤")+COUNTIF('7月'!CA28:CB28,"渋谷-夜勤")+COUNTIF('7月'!CF28:CG28,"渋谷-夜勤")+COUNTIF('7月'!CK28:CL28,"渋谷-夜勤")+COUNTIF('7月'!CP28:CQ28,"渋谷-夜勤")+COUNTIF('7月'!CU28:CV28,"渋谷-夜勤")+COUNTIF('7月'!CZ28:DA28,"渋谷-夜勤")+COUNTIF('7月'!DE28:DF28,"渋谷-夜勤")+COUNTIF('7月'!DJ28:DK28,"渋谷-夜勤")+COUNTIF('7月'!DO28:DP28,"渋谷-夜勤")+COUNTIF('7月'!DT28:DU28,"渋谷-夜勤")+COUNTIF('7月'!DY28:DZ28,"渋谷-夜勤")+COUNTIF('7月'!ED28:EE28,"渋谷-夜勤")+COUNTIF('7月'!EI28:EJ28,"渋谷-夜勤")+COUNTIF('7月'!EN28:EO28,"渋谷-夜勤")+COUNTIF('7月'!ES28:ET28,"渋谷-夜勤")</f>
        <v>0</v>
      </c>
      <c r="I252" s="76">
        <f t="shared" si="75"/>
        <v>0</v>
      </c>
      <c r="J252" s="76">
        <f>COUNTIF('7月'!D28:E28,J$226)+COUNTIF('7月'!I28:J28,J$226)+COUNTIF('7月'!N28:O28,J$226)+COUNTIF('7月'!S28:T28,J$226)+COUNTIF('7月'!X28:Y28,J$226)+COUNTIF('7月'!AC28:AD28,J$226)+COUNTIF('7月'!AH28:AI28,J$226)+COUNTIF('7月'!AM28:AN28,J$226)+COUNTIF('7月'!AR28:AS28,J$226)+COUNTIF('7月'!AW28:AX28,J$226)+COUNTIF('7月'!BB28:BC28,J$226)+COUNTIF('7月'!BG28:BH28,J$226)+COUNTIF('7月'!BL28:BM28,J$226)+COUNTIF('7月'!BQ28:BR28,J$226)+COUNTIF('7月'!BV28:BW28,J$226)+COUNTIF('7月'!CA28:CB28,J$226)+COUNTIF('7月'!CF28:CG28,J$226)+COUNTIF('7月'!CK28:CL28,J$226)+COUNTIF('7月'!CP28:CQ28,J$226)+COUNTIF('7月'!CU28:CV28,J$226)+COUNTIF('7月'!CZ28:DA28,J$226)+COUNTIF('7月'!DE28:DF28,J$226)+COUNTIF('7月'!DJ28:DK28,J$226)+COUNTIF('7月'!DO28:DP28,J$226)+COUNTIF('7月'!DT28:DU28,J$226)+COUNTIF('7月'!DY28:DZ28,J$226)+COUNTIF('7月'!ED28:EE28,J$226)+COUNTIF('7月'!EI28:EJ28,J$226)+COUNTIF('7月'!EN28:EO28,J$226)+COUNTIF('7月'!ES28:ET28,J$226)+COUNTIF('7月'!D28:E28,"六本木-夜勤")+COUNTIF('7月'!I28:J28,"六本木-夜勤")+COUNTIF('7月'!N28:O28,"六本木-夜勤")+COUNTIF('7月'!S28:T28,"六本木-夜勤")+COUNTIF('7月'!X28:Y28,"六本木-夜勤")+COUNTIF('7月'!AC28:AD28,"六本木-夜勤")+COUNTIF('7月'!AH28:AI28,"六本木-夜勤")+COUNTIF('7月'!AM28:AN28,"六本木-夜勤")+COUNTIF('7月'!AR28:AS28,"六本木-夜勤")+COUNTIF('7月'!AW28:AX28,"六本木-夜勤")+COUNTIF('7月'!BB28:BC28,"六本木-夜勤")+COUNTIF('7月'!BG28:BH28,"六本木-夜勤")+COUNTIF('7月'!BL28:BM28,"六本木-夜勤")+COUNTIF('7月'!BQ28:BR28,"六本木-夜勤")+COUNTIF('7月'!BV28:BW28,"六本木-夜勤")+COUNTIF('7月'!CA28:CB28,"六本木-夜勤")+COUNTIF('7月'!CF28:CG28,"六本木-夜勤")+COUNTIF('7月'!CK28:CL28,"六本木-夜勤")+COUNTIF('7月'!CP28:CQ28,"六本木-夜勤")+COUNTIF('7月'!CU28:CV28,"六本木-夜勤")+COUNTIF('7月'!CZ28:DA28,"六本木-夜勤")+COUNTIF('7月'!DE28:DF28,"六本木-夜勤")+COUNTIF('7月'!DJ28:DK28,"六本木-夜勤")+COUNTIF('7月'!DO28:DP28,"六本木-夜勤")+COUNTIF('7月'!DT28:DU28,"六本木-夜勤")+COUNTIF('7月'!DY28:DZ28,"六本木-夜勤")+COUNTIF('7月'!ED28:EE28,"六本木-夜勤")+COUNTIF('7月'!EI28:EJ28,"六本木-夜勤")+COUNTIF('7月'!EN28:EO28,"六本木-夜勤")+COUNTIF('7月'!ES28:ET28,"六本木-夜勤")+COUNTIF('7月'!D28:E28,"六本木ー夜勤")+COUNTIF('7月'!I28:J28,"六本木ー夜勤")+COUNTIF('7月'!N28:O28,"六本木ー夜勤")+COUNTIF('7月'!S28:T28,"六本木ー夜勤")+COUNTIF('7月'!X28:Y28,"六本木ー夜勤")+COUNTIF('7月'!AC28:AD28,"六本木ー夜勤")+COUNTIF('7月'!AH28:AI28,"六本木ー夜勤")+COUNTIF('7月'!AM28:AN28,"六本木ー夜勤")+COUNTIF('7月'!AR28:AS28,"六本木ー夜勤")+COUNTIF('7月'!AW28:AX28,"六本木ー夜勤")+COUNTIF('7月'!BB28:BC28,"六本木ー夜勤")+COUNTIF('7月'!BG28:BH28,"六本木ー夜勤")+COUNTIF('7月'!BL28:BM28,"六本木ー夜勤")+COUNTIF('7月'!BQ28:BR28,"六本木ー夜勤")+COUNTIF('7月'!BV28:BW28,"六本木ー夜勤")+COUNTIF('7月'!CA28:CB28,"六本木ー夜勤")+COUNTIF('7月'!CF28:CG28,"六本木ー夜勤")+COUNTIF('7月'!CK28:CL28,"六本木ー夜勤")+COUNTIF('7月'!CP28:CQ28,"六本木ー夜勤")+COUNTIF('7月'!CU28:CV28,"六本木ー夜勤")+COUNTIF('7月'!CZ28:DA28,"六本木ー夜勤")+COUNTIF('7月'!DE28:DF28,"六本木ー夜勤")+COUNTIF('7月'!DJ28:DK28,"六本木ー夜勤")+COUNTIF('7月'!DO28:DP28,"六本木ー夜勤")+COUNTIF('7月'!DT28:DU28,"六本木ー夜勤")+COUNTIF('7月'!DY28:DZ28,"六本木ー夜勤")+COUNTIF('7月'!ED28:EE28,"六本木ー夜勤")+COUNTIF('7月'!EI28:EJ28,"六本木ー夜勤")+COUNTIF('7月'!EN28:EO28,"六本木ー夜勤")+COUNTIF('7月'!ES28:ET28,"六本木ー夜勤")</f>
        <v>0</v>
      </c>
      <c r="K252" s="76">
        <f t="shared" si="76"/>
        <v>0</v>
      </c>
      <c r="L252" s="76">
        <f>COUNTIF('7月'!D28:E28,L$226)+COUNTIF('7月'!I28:J28,L$226)+COUNTIF('7月'!N28:O28,L$226)+COUNTIF('7月'!S28:T28,L$226)+COUNTIF('7月'!X28:Y28,L$226)+COUNTIF('7月'!AC28:AD28,L$226)+COUNTIF('7月'!AH28:AI28,L$226)+COUNTIF('7月'!AM28:AN28,L$226)+COUNTIF('7月'!AR28:AS28,L$226)+COUNTIF('7月'!AW28:AX28,L$226)+COUNTIF('7月'!BB28:BC28,L$226)+COUNTIF('7月'!BG28:BH28,L$226)+COUNTIF('7月'!BL28:BM28,L$226)+COUNTIF('7月'!BQ28:BR28,L$226)+COUNTIF('7月'!BV28:BW28,L$226)+COUNTIF('7月'!CA28:CB28,L$226)+COUNTIF('7月'!CF28:CG28,L$226)+COUNTIF('7月'!CK28:CL28,L$226)+COUNTIF('7月'!CP28:CQ28,L$226)+COUNTIF('7月'!CU28:CV28,L$226)+COUNTIF('7月'!CZ28:DA28,L$226)+COUNTIF('7月'!DE28:DF28,L$226)+COUNTIF('7月'!DJ28:DK28,L$226)+COUNTIF('7月'!DO28:DP28,L$226)+COUNTIF('7月'!DT28:DU28,L$226)+COUNTIF('7月'!DY28:DZ28,L$226)+COUNTIF('7月'!ED28:EE28,L$226)+COUNTIF('7月'!EI28:EJ28,L$226)+COUNTIF('7月'!EN28:EO28,L$226)+COUNTIF('7月'!ES28:ET28,L$226)</f>
        <v>0</v>
      </c>
      <c r="M252" s="76">
        <f t="shared" si="77"/>
        <v>0</v>
      </c>
      <c r="N252" s="76">
        <f>COUNTIF('7月'!D28:E28,N$226)+COUNTIF('7月'!I28:J28,N$226)+COUNTIF('7月'!N28:O28,N$226)+COUNTIF('7月'!S28:T28,N$226)+COUNTIF('7月'!X28:Y28,N$226)+COUNTIF('7月'!AC28:AD28,N$226)+COUNTIF('7月'!AH28:AI28,N$226)+COUNTIF('7月'!AM28:AN28,N$226)+COUNTIF('7月'!AR28:AS28,N$226)+COUNTIF('7月'!AW28:AX28,N$226)+COUNTIF('7月'!BB28:BC28,N$226)+COUNTIF('7月'!BG28:BH28,N$226)+COUNTIF('7月'!BL28:BM28,N$226)+COUNTIF('7月'!BQ28:BR28,N$226)+COUNTIF('7月'!BV28:BW28,N$226)+COUNTIF('7月'!CA28:CB28,N$226)+COUNTIF('7月'!CF28:CG28,N$226)+COUNTIF('7月'!CK28:CL28,N$226)+COUNTIF('7月'!CP28:CQ28,N$226)+COUNTIF('7月'!CU28:CV28,N$226)+COUNTIF('7月'!CZ28:DA28,N$226)+COUNTIF('7月'!DE28:DF28,N$226)+COUNTIF('7月'!DJ28:DK28,N$226)+COUNTIF('7月'!DO28:DP28,N$226)+COUNTIF('7月'!DT28:DU28,N$226)+COUNTIF('7月'!DY28:DZ28,N$226)+COUNTIF('7月'!ED28:EE28,N$226)+COUNTIF('7月'!EI28:EJ28,N$226)+COUNTIF('7月'!EN28:EO28,N$226)+COUNTIF('7月'!ES28:ET28,N$226)+COUNTIF('7月'!D28:E28,"三軒茶屋－夜勤")+COUNTIF('7月'!I28:J28,"三軒茶屋－夜勤")+COUNTIF('7月'!N28:O28,"三軒茶屋－夜勤")+COUNTIF('7月'!S28:T28,"三軒茶屋－夜勤")+COUNTIF('7月'!X28:Y28,"三軒茶屋－夜勤")+COUNTIF('7月'!AC28:AD28,"三軒茶屋－夜勤")+COUNTIF('7月'!AH28:AI28,"三軒茶屋－夜勤")+COUNTIF('7月'!AM28:AN28,"三軒茶屋－夜勤")+COUNTIF('7月'!AR28:AS28,"三軒茶屋－夜勤")+COUNTIF('7月'!AW28:AX28,"三軒茶屋－夜勤")+COUNTIF('7月'!BB28:BC28,"三軒茶屋－夜勤")+COUNTIF('7月'!BG28:BH28,"三軒茶屋－夜勤")+COUNTIF('7月'!BL28:BM28,"三軒茶屋－夜勤")+COUNTIF('7月'!BQ28:BR28,"三軒茶屋－夜勤")+COUNTIF('7月'!BV28:BW28,"三軒茶屋－夜勤")+COUNTIF('7月'!CA28:CB28,"三軒茶屋－夜勤")+COUNTIF('7月'!CF28:CG28,"三軒茶屋－夜勤")+COUNTIF('7月'!CK28:CL28,"三軒茶屋－夜勤")+COUNTIF('7月'!CP28:CQ28,"三軒茶屋－夜勤")+COUNTIF('7月'!CU28:CV28,"三軒茶屋－夜勤")+COUNTIF('7月'!CZ28:DA28,"三軒茶屋－夜勤")+COUNTIF('7月'!DE28:DF28,"三軒茶屋－夜勤")+COUNTIF('7月'!DJ28:DK28,"三軒茶屋－夜勤")+COUNTIF('7月'!DO28:DP28,"三軒茶屋－夜勤")+COUNTIF('7月'!DT28:DU28,"三軒茶屋－夜勤")+COUNTIF('7月'!DY28:DZ28,"三軒茶屋－夜勤")+COUNTIF('7月'!ED28:EE28,"三軒茶屋－夜勤")+COUNTIF('7月'!EI28:EJ28,"三軒茶屋－夜勤")+COUNTIF('7月'!EN28:EO28,"三軒茶屋－夜勤")+COUNTIF('7月'!ES28:ET28,"三軒茶屋－夜勤")</f>
        <v>0</v>
      </c>
      <c r="O252" s="76">
        <f t="shared" si="78"/>
        <v>0</v>
      </c>
      <c r="P252" s="76">
        <f>COUNTIF('7月'!D28:E28,P$226)+COUNTIF('7月'!I28:J28,P$226)+COUNTIF('7月'!N28:O28,P$226)+COUNTIF('7月'!S28:T28,P$226)+COUNTIF('7月'!X28:Y28,P$226)+COUNTIF('7月'!AC28:AD28,P$226)+COUNTIF('7月'!AH28:AI28,P$226)+COUNTIF('7月'!AM28:AN28,P$226)+COUNTIF('7月'!AR28:AS28,P$226)+COUNTIF('7月'!AW28:AX28,P$226)+COUNTIF('7月'!BB28:BC28,P$226)+COUNTIF('7月'!BG28:BH28,P$226)+COUNTIF('7月'!BL28:BM28,P$226)+COUNTIF('7月'!BQ28:BR28,P$226)+COUNTIF('7月'!BV28:BW28,P$226)+COUNTIF('7月'!CA28:CB28,P$226)+COUNTIF('7月'!CF28:CG28,P$226)+COUNTIF('7月'!CK28:CL28,P$226)+COUNTIF('7月'!CP28:CQ28,P$226)+COUNTIF('7月'!CU28:CV28,P$226)+COUNTIF('7月'!CZ28:DA28,P$226)+COUNTIF('7月'!DE28:DF28,P$226)+COUNTIF('7月'!DJ28:DK28,P$226)+COUNTIF('7月'!DO28:DP28,P$226)+COUNTIF('7月'!DT28:DU28,P$226)+COUNTIF('7月'!DY28:DZ28,P$226)+COUNTIF('7月'!ED28:EE28,P$226)+COUNTIF('7月'!EI28:EJ28,P$226)+COUNTIF('7月'!EN28:EO28,P$226)+COUNTIF('7月'!ES28:ET28,P$226)+COUNTIF('7月'!D28:E28,"荻窪ー夜勤")+COUNTIF('7月'!I28:J28,"荻窪ー夜勤")+COUNTIF('7月'!N28:O28,"荻窪ー夜勤")+COUNTIF('7月'!S28:T28,"荻窪ー夜勤")+COUNTIF('7月'!X28:Y28,"荻窪ー夜勤")+COUNTIF('7月'!AC28:AD28,"荻窪ー夜勤")+COUNTIF('7月'!AH28:AI28,"荻窪ー夜勤")+COUNTIF('7月'!AM28:AN28,"荻窪ー夜勤")+COUNTIF('7月'!AR28:AS28,"荻窪ー夜勤")+COUNTIF('7月'!AW28:AX28,"荻窪ー夜勤")+COUNTIF('7月'!BB28:BC28,"荻窪ー夜勤")+COUNTIF('7月'!BG28:BH28,"荻窪ー夜勤")+COUNTIF('7月'!BL28:BM28,"荻窪ー夜勤")+COUNTIF('7月'!BQ28:BR28,"荻窪ー夜勤")+COUNTIF('7月'!BV28:BW28,"荻窪ー夜勤")+COUNTIF('7月'!CA28:CB28,"荻窪ー夜勤")+COUNTIF('7月'!CF28:CG28,"荻窪ー夜勤")+COUNTIF('7月'!CK28:CL28,"荻窪ー夜勤")+COUNTIF('7月'!CP28:CQ28,"荻窪ー夜勤")+COUNTIF('7月'!CU28:CV28,"荻窪ー夜勤")+COUNTIF('7月'!CZ28:DA28,"荻窪ー夜勤")+COUNTIF('7月'!DE28:DF28,"荻窪ー夜勤")+COUNTIF('7月'!DJ28:DK28,"荻窪ー夜勤")+COUNTIF('7月'!DO28:DP28,"荻窪ー夜勤")+COUNTIF('7月'!DT28:DU28,"荻窪ー夜勤")+COUNTIF('7月'!DY28:DZ28,"荻窪ー夜勤")+COUNTIF('7月'!ED28:EE28,"荻窪ー夜勤")+COUNTIF('7月'!EI28:EJ28,"荻窪ー夜勤")+COUNTIF('7月'!EN28:EO28,"荻窪ー夜勤")+COUNTIF('7月'!ES28:ET28,"荻窪ー夜勤")</f>
        <v>0</v>
      </c>
      <c r="Q252" s="76">
        <f t="shared" si="79"/>
        <v>0</v>
      </c>
      <c r="R252" s="76">
        <f>COUNTIF('7月'!D28:E28,R$226)+COUNTIF('7月'!I28:J28,R$226)+COUNTIF('7月'!N28:O28,R$226)+COUNTIF('7月'!S28:T28,R$226)+COUNTIF('7月'!X28:Y28,R$226)+COUNTIF('7月'!AC28:AD28,R$226)+COUNTIF('7月'!AH28:AI28,R$226)+COUNTIF('7月'!AM28:AN28,R$226)+COUNTIF('7月'!AR28:AS28,R$226)+COUNTIF('7月'!AW28:AX28,R$226)+COUNTIF('7月'!BB28:BC28,R$226)+COUNTIF('7月'!BG28:BH28,R$226)+COUNTIF('7月'!BL28:BM28,R$226)+COUNTIF('7月'!BQ28:BR28,R$226)+COUNTIF('7月'!BV28:BW28,R$226)+COUNTIF('7月'!CA28:CB28,R$226)+COUNTIF('7月'!CF28:CG28,R$226)+COUNTIF('7月'!CK28:CL28,R$226)+COUNTIF('7月'!CP28:CQ28,R$226)+COUNTIF('7月'!CU28:CV28,R$226)+COUNTIF('7月'!CZ28:DA28,R$226)+COUNTIF('7月'!DE28:DF28,R$226)+COUNTIF('7月'!DJ28:DK28,R$226)+COUNTIF('7月'!DO28:DP28,R$226)+COUNTIF('7月'!DT28:DU28,R$226)+COUNTIF('7月'!DY28:DZ28,R$226)+COUNTIF('7月'!ED28:EE28,R$226)+COUNTIF('7月'!EI28:EJ28,R$226)+COUNTIF('7月'!EN28:EO28,R$226)+COUNTIF('7月'!ES28:ET28,R$226)</f>
        <v>0</v>
      </c>
      <c r="S252" s="76">
        <f t="shared" si="80"/>
        <v>0</v>
      </c>
      <c r="T252" s="76">
        <f>COUNTIF('7月'!D28:E28,T$226)+COUNTIF('7月'!I28:J28,T$226)+COUNTIF('7月'!N28:O28,T$226)+COUNTIF('7月'!S28:T28,T$226)+COUNTIF('7月'!X28:Y28,T$226)+COUNTIF('7月'!AC28:AD28,T$226)+COUNTIF('7月'!AH28:AI28,T$226)+COUNTIF('7月'!AM28:AN28,T$226)+COUNTIF('7月'!AR28:AS28,T$226)+COUNTIF('7月'!AW28:AX28,T$226)+COUNTIF('7月'!BB28:BC28,T$226)+COUNTIF('7月'!BG28:BH28,T$226)+COUNTIF('7月'!BL28:BM28,T$226)+COUNTIF('7月'!BQ28:BR28,T$226)+COUNTIF('7月'!BV28:BW28,T$226)+COUNTIF('7月'!CA28:CB28,T$226)+COUNTIF('7月'!CF28:CG28,T$226)+COUNTIF('7月'!CK28:CL28,T$226)+COUNTIF('7月'!CP28:CQ28,T$226)+COUNTIF('7月'!CU28:CV28,T$226)+COUNTIF('7月'!CZ28:DA28,T$226)+COUNTIF('7月'!DE28:DF28,T$226)+COUNTIF('7月'!DJ28:DK28,T$226)+COUNTIF('7月'!DO28:DP28,T$226)+COUNTIF('7月'!DT28:DU28,T$226)+COUNTIF('7月'!DY28:DZ28,T$226)+COUNTIF('7月'!ED28:EE28,T$226)+COUNTIF('7月'!EI28:EJ28,T$226)+COUNTIF('7月'!EN28:EO28,T$226)+COUNTIF('7月'!ES28:ET28,T$226)</f>
        <v>0</v>
      </c>
      <c r="U252" s="76">
        <f t="shared" si="81"/>
        <v>0</v>
      </c>
      <c r="V252" s="76">
        <f>COUNTIF('7月'!D28:E28,V$226)+COUNTIF('7月'!I28:J28,V$226)+COUNTIF('7月'!N28:O28,V$226)+COUNTIF('7月'!S28:T28,V$226)+COUNTIF('7月'!X28:Y28,V$226)+COUNTIF('7月'!AC28:AD28,V$226)+COUNTIF('7月'!AH28:AI28,V$226)+COUNTIF('7月'!AM28:AN28,V$226)+COUNTIF('7月'!AR28:AS28,V$226)+COUNTIF('7月'!AW28:AX28,V$226)+COUNTIF('7月'!BB28:BC28,V$226)+COUNTIF('7月'!BG28:BH28,V$226)+COUNTIF('7月'!BL28:BM28,V$226)+COUNTIF('7月'!BQ28:BR28,V$226)+COUNTIF('7月'!BV28:BW28,V$226)+COUNTIF('7月'!CA28:CB28,V$226)+COUNTIF('7月'!CF28:CG28,V$226)+COUNTIF('7月'!CK28:CL28,V$226)+COUNTIF('7月'!CP28:CQ28,V$226)+COUNTIF('7月'!CU28:CV28,V$226)+COUNTIF('7月'!CZ28:DA28,V$226)+COUNTIF('7月'!DE28:DF28,V$226)+COUNTIF('7月'!DJ28:DK28,V$226)+COUNTIF('7月'!DO28:DP28,V$226)+COUNTIF('7月'!DT28:DU28,V$226)+COUNTIF('7月'!DY28:DZ28,V$226)+COUNTIF('7月'!ED28:EE28,V$226)+COUNTIF('7月'!EI28:EJ28,V$226)+COUNTIF('7月'!EN28:EO28,V$226)+COUNTIF('7月'!ES28:ET28,V$226)</f>
        <v>0</v>
      </c>
      <c r="W252" s="76">
        <f t="shared" si="82"/>
        <v>0</v>
      </c>
      <c r="X252" s="76">
        <f>COUNTIF('7月'!D28:E28,X$226)+COUNTIF('7月'!I28:J28,X$226)+COUNTIF('7月'!N28:O28,X$226)+COUNTIF('7月'!S28:T28,X$226)+COUNTIF('7月'!X28:Y28,X$226)+COUNTIF('7月'!AC28:AD28,X$226)+COUNTIF('7月'!AH28:AI28,X$226)+COUNTIF('7月'!AM28:AN28,X$226)+COUNTIF('7月'!AR28:AS28,X$226)+COUNTIF('7月'!AW28:AX28,X$226)+COUNTIF('7月'!BB28:BC28,X$226)+COUNTIF('7月'!BG28:BH28,X$226)+COUNTIF('7月'!BL28:BM28,X$226)+COUNTIF('7月'!BQ28:BR28,X$226)+COUNTIF('7月'!BV28:BW28,X$226)+COUNTIF('7月'!CA28:CB28,X$226)+COUNTIF('7月'!CF28:CG28,X$226)+COUNTIF('7月'!CK28:CL28,X$226)+COUNTIF('7月'!CP28:CQ28,X$226)+COUNTIF('7月'!CU28:CV28,X$226)+COUNTIF('7月'!CZ28:DA28,X$226)+COUNTIF('7月'!DE28:DF28,X$226)+COUNTIF('7月'!DJ28:DK28,X$226)+COUNTIF('7月'!DO28:DP28,X$226)+COUNTIF('7月'!DT28:DU28,X$226)+COUNTIF('7月'!DY28:DZ28,X$226)+COUNTIF('7月'!ED28:EE28,X$226)+COUNTIF('7月'!EI28:EJ28,X$226)+COUNTIF('7月'!EN28:EO28,X$226)+COUNTIF('7月'!ES28:ET28,X$226)</f>
        <v>0</v>
      </c>
      <c r="Y252" s="76">
        <f t="shared" si="83"/>
        <v>0</v>
      </c>
    </row>
    <row r="253" spans="1:25" ht="18" customHeight="1">
      <c r="A253" s="76">
        <v>26</v>
      </c>
      <c r="B253" s="76">
        <f>COUNTIF('7月'!D29:E29,B$226)+COUNTIF('7月'!I29:J29,B$226)+COUNTIF('7月'!N29:O29,B$226)+COUNTIF('7月'!S29:T29,B$226)+COUNTIF('7月'!X29:Y29,B$226)+COUNTIF('7月'!AC29:AD29,B$226)+COUNTIF('7月'!AH29:AI29,B$226)+COUNTIF('7月'!AM29:AN29,B$226)+COUNTIF('7月'!AR29:AS29,B$226)+COUNTIF('7月'!AW29:AX29,B$226)+COUNTIF('7月'!BB29:BC29,B$226)+COUNTIF('7月'!BG29:BH29,B$226)+COUNTIF('7月'!BL29:BM29,B$226)+COUNTIF('7月'!BQ29:BR29,B$226)+COUNTIF('7月'!BV29:BW29,B$226)+COUNTIF('7月'!CA29:CB29,B$226)+COUNTIF('7月'!CF29:CG29,B$226)+COUNTIF('7月'!CK29:CL29,B$226)+COUNTIF('7月'!CP29:CQ29,B$226)+COUNTIF('7月'!CU29:CV29,B$226)+COUNTIF('7月'!CZ29:DA29,B$226)+COUNTIF('7月'!DE29:DF29,B$226)+COUNTIF('7月'!DJ29:DK29,B$226)+COUNTIF('7月'!DO29:DP29,B$226)+COUNTIF('7月'!DT29:DU29,B$226)+COUNTIF('7月'!DY29:DZ29,B$226)+COUNTIF('7月'!ED29:EE29,B$226)+COUNTIF('7月'!EI29:EJ29,B$226)+COUNTIF('7月'!EN29:EO29,B$226)+COUNTIF('7月'!ES29:ET29,B$226)</f>
        <v>0</v>
      </c>
      <c r="C253" s="76">
        <f t="shared" si="72"/>
        <v>0</v>
      </c>
      <c r="D253" s="76">
        <f>COUNTIF('7月'!D29:E29,D$226)+COUNTIF('7月'!I29:J29,D$226)+COUNTIF('7月'!N29:O29,D$226)+COUNTIF('7月'!S29:T29,D$226)+COUNTIF('7月'!X29:Y29,D$226)+COUNTIF('7月'!AC29:AD29,D$226)+COUNTIF('7月'!AH29:AI29,D$226)+COUNTIF('7月'!AM29:AN29,D$226)+COUNTIF('7月'!AR29:AS29,D$226)+COUNTIF('7月'!AW29:AX29,D$226)+COUNTIF('7月'!BB29:BC29,D$226)+COUNTIF('7月'!BG29:BH29,D$226)+COUNTIF('7月'!BL29:BM29,D$226)+COUNTIF('7月'!BQ29:BR29,D$226)+COUNTIF('7月'!BV29:BW29,D$226)+COUNTIF('7月'!CA29:CB29,D$226)+COUNTIF('7月'!CF29:CG29,D$226)+COUNTIF('7月'!CK29:CL29,D$226)+COUNTIF('7月'!CP29:CQ29,D$226)+COUNTIF('7月'!CU29:CV29,D$226)+COUNTIF('7月'!CZ29:DA29,D$226)+COUNTIF('7月'!DE29:DF29,D$226)+COUNTIF('7月'!DJ29:DK29,D$226)+COUNTIF('7月'!DO29:DP29,D$226)+COUNTIF('7月'!DT29:DU29,D$226)+COUNTIF('7月'!DY29:DZ29,D$226)+COUNTIF('7月'!ED29:EE29,D$226)+COUNTIF('7月'!EI29:EJ29,D$226)+COUNTIF('7月'!EN29:EO29,D$226)+COUNTIF('7月'!ES29:ET29,D$226)</f>
        <v>0</v>
      </c>
      <c r="E253" s="76">
        <f t="shared" si="73"/>
        <v>0</v>
      </c>
      <c r="F253" s="76">
        <f>COUNTIF('7月'!D29:E29,F$226)+COUNTIF('7月'!I29:J29,F$226)+COUNTIF('7月'!N29:O29,F$226)+COUNTIF('7月'!S29:T29,F$226)+COUNTIF('7月'!X29:Y29,F$226)+COUNTIF('7月'!AC29:AD29,F$226)+COUNTIF('7月'!AH29:AI29,F$226)+COUNTIF('7月'!AM29:AN29,F$226)+COUNTIF('7月'!AR29:AS29,F$226)+COUNTIF('7月'!AW29:AX29,F$226)+COUNTIF('7月'!BB29:BC29,F$226)+COUNTIF('7月'!BG29:BH29,F$226)+COUNTIF('7月'!BL29:BM29,F$226)+COUNTIF('7月'!BQ29:BR29,F$226)+COUNTIF('7月'!BV29:BW29,F$226)+COUNTIF('7月'!CA29:CB29,F$226)+COUNTIF('7月'!CF29:CG29,F$226)+COUNTIF('7月'!CK29:CL29,F$226)+COUNTIF('7月'!CP29:CQ29,F$226)+COUNTIF('7月'!CU29:CV29,F$226)+COUNTIF('7月'!CZ29:DA29,F$226)+COUNTIF('7月'!DE29:DF29,F$226)+COUNTIF('7月'!DJ29:DK29,F$226)+COUNTIF('7月'!DO29:DP29,F$226)+COUNTIF('7月'!DT29:DU29,F$226)+COUNTIF('7月'!DY29:DZ29,F$226)+COUNTIF('7月'!ED29:EE29,F$226)+COUNTIF('7月'!EI29:EJ29,F$226)+COUNTIF('7月'!EN29:EO29,F$226)+COUNTIF('7月'!ES29:ET29,F$226)</f>
        <v>0</v>
      </c>
      <c r="G253" s="76">
        <f t="shared" si="74"/>
        <v>0</v>
      </c>
      <c r="H253" s="76">
        <f>COUNTIF('7月'!D29:E29,H$226)+COUNTIF('7月'!I29:J29,H$226)+COUNTIF('7月'!N29:O29,H$226)+COUNTIF('7月'!S29:T29,H$226)+COUNTIF('7月'!X29:Y29,H$226)+COUNTIF('7月'!AC29:AD29,H$226)+COUNTIF('7月'!AH29:AI29,H$226)+COUNTIF('7月'!AM29:AN29,H$226)+COUNTIF('7月'!AR29:AS29,H$226)+COUNTIF('7月'!AW29:AX29,H$226)+COUNTIF('7月'!BB29:BC29,H$226)+COUNTIF('7月'!BG29:BH29,H$226)+COUNTIF('7月'!BL29:BM29,H$226)+COUNTIF('7月'!BQ29:BR29,H$226)+COUNTIF('7月'!BV29:BW29,H$226)+COUNTIF('7月'!CA29:CB29,H$226)+COUNTIF('7月'!CF29:CG29,H$226)+COUNTIF('7月'!CK29:CL29,H$226)+COUNTIF('7月'!CP29:CQ29,H$226)+COUNTIF('7月'!CU29:CV29,H$226)+COUNTIF('7月'!CZ29:DA29,H$226)+COUNTIF('7月'!DE29:DF29,H$226)+COUNTIF('7月'!DJ29:DK29,H$226)+COUNTIF('7月'!DO29:DP29,H$226)+COUNTIF('7月'!DT29:DU29,H$226)+COUNTIF('7月'!DY29:DZ29,H$226)+COUNTIF('7月'!ED29:EE29,H$226)+COUNTIF('7月'!EI29:EJ29,H$226)+COUNTIF('7月'!EN29:EO29,H$226)+COUNTIF('7月'!ES29:ET29,H$226)+COUNTIF('7月'!D29:E29,"渋谷-夜勤")+COUNTIF('7月'!I29:J29,"渋谷-夜勤")+COUNTIF('7月'!N29:O29,"渋谷-夜勤")+COUNTIF('7月'!S29:T29,"渋谷-夜勤")+COUNTIF('7月'!X29:Y29,"渋谷-夜勤")+COUNTIF('7月'!AC29:AD29,"渋谷-夜勤")+COUNTIF('7月'!AH29:AI29,"渋谷-夜勤")+COUNTIF('7月'!AM29:AN29,"渋谷-夜勤")+COUNTIF('7月'!AR29:AS29,"渋谷-夜勤")+COUNTIF('7月'!AW29:AX29,"渋谷-夜勤")+COUNTIF('7月'!BB29:BC29,"渋谷-夜勤")+COUNTIF('7月'!BG29:BH29,"渋谷-夜勤")+COUNTIF('7月'!BL29:BM29,"渋谷-夜勤")+COUNTIF('7月'!BQ29:BR29,"渋谷-夜勤")+COUNTIF('7月'!BV29:BW29,"渋谷-夜勤")+COUNTIF('7月'!CA29:CB29,"渋谷-夜勤")+COUNTIF('7月'!CF29:CG29,"渋谷-夜勤")+COUNTIF('7月'!CK29:CL29,"渋谷-夜勤")+COUNTIF('7月'!CP29:CQ29,"渋谷-夜勤")+COUNTIF('7月'!CU29:CV29,"渋谷-夜勤")+COUNTIF('7月'!CZ29:DA29,"渋谷-夜勤")+COUNTIF('7月'!DE29:DF29,"渋谷-夜勤")+COUNTIF('7月'!DJ29:DK29,"渋谷-夜勤")+COUNTIF('7月'!DO29:DP29,"渋谷-夜勤")+COUNTIF('7月'!DT29:DU29,"渋谷-夜勤")+COUNTIF('7月'!DY29:DZ29,"渋谷-夜勤")+COUNTIF('7月'!ED29:EE29,"渋谷-夜勤")+COUNTIF('7月'!EI29:EJ29,"渋谷-夜勤")+COUNTIF('7月'!EN29:EO29,"渋谷-夜勤")+COUNTIF('7月'!ES29:ET29,"渋谷-夜勤")</f>
        <v>0</v>
      </c>
      <c r="I253" s="76">
        <f t="shared" si="75"/>
        <v>0</v>
      </c>
      <c r="J253" s="76">
        <f>COUNTIF('7月'!D29:E29,J$226)+COUNTIF('7月'!I29:J29,J$226)+COUNTIF('7月'!N29:O29,J$226)+COUNTIF('7月'!S29:T29,J$226)+COUNTIF('7月'!X29:Y29,J$226)+COUNTIF('7月'!AC29:AD29,J$226)+COUNTIF('7月'!AH29:AI29,J$226)+COUNTIF('7月'!AM29:AN29,J$226)+COUNTIF('7月'!AR29:AS29,J$226)+COUNTIF('7月'!AW29:AX29,J$226)+COUNTIF('7月'!BB29:BC29,J$226)+COUNTIF('7月'!BG29:BH29,J$226)+COUNTIF('7月'!BL29:BM29,J$226)+COUNTIF('7月'!BQ29:BR29,J$226)+COUNTIF('7月'!BV29:BW29,J$226)+COUNTIF('7月'!CA29:CB29,J$226)+COUNTIF('7月'!CF29:CG29,J$226)+COUNTIF('7月'!CK29:CL29,J$226)+COUNTIF('7月'!CP29:CQ29,J$226)+COUNTIF('7月'!CU29:CV29,J$226)+COUNTIF('7月'!CZ29:DA29,J$226)+COUNTIF('7月'!DE29:DF29,J$226)+COUNTIF('7月'!DJ29:DK29,J$226)+COUNTIF('7月'!DO29:DP29,J$226)+COUNTIF('7月'!DT29:DU29,J$226)+COUNTIF('7月'!DY29:DZ29,J$226)+COUNTIF('7月'!ED29:EE29,J$226)+COUNTIF('7月'!EI29:EJ29,J$226)+COUNTIF('7月'!EN29:EO29,J$226)+COUNTIF('7月'!ES29:ET29,J$226)+COUNTIF('7月'!D29:E29,"六本木-夜勤")+COUNTIF('7月'!I29:J29,"六本木-夜勤")+COUNTIF('7月'!N29:O29,"六本木-夜勤")+COUNTIF('7月'!S29:T29,"六本木-夜勤")+COUNTIF('7月'!X29:Y29,"六本木-夜勤")+COUNTIF('7月'!AC29:AD29,"六本木-夜勤")+COUNTIF('7月'!AH29:AI29,"六本木-夜勤")+COUNTIF('7月'!AM29:AN29,"六本木-夜勤")+COUNTIF('7月'!AR29:AS29,"六本木-夜勤")+COUNTIF('7月'!AW29:AX29,"六本木-夜勤")+COUNTIF('7月'!BB29:BC29,"六本木-夜勤")+COUNTIF('7月'!BG29:BH29,"六本木-夜勤")+COUNTIF('7月'!BL29:BM29,"六本木-夜勤")+COUNTIF('7月'!BQ29:BR29,"六本木-夜勤")+COUNTIF('7月'!BV29:BW29,"六本木-夜勤")+COUNTIF('7月'!CA29:CB29,"六本木-夜勤")+COUNTIF('7月'!CF29:CG29,"六本木-夜勤")+COUNTIF('7月'!CK29:CL29,"六本木-夜勤")+COUNTIF('7月'!CP29:CQ29,"六本木-夜勤")+COUNTIF('7月'!CU29:CV29,"六本木-夜勤")+COUNTIF('7月'!CZ29:DA29,"六本木-夜勤")+COUNTIF('7月'!DE29:DF29,"六本木-夜勤")+COUNTIF('7月'!DJ29:DK29,"六本木-夜勤")+COUNTIF('7月'!DO29:DP29,"六本木-夜勤")+COUNTIF('7月'!DT29:DU29,"六本木-夜勤")+COUNTIF('7月'!DY29:DZ29,"六本木-夜勤")+COUNTIF('7月'!ED29:EE29,"六本木-夜勤")+COUNTIF('7月'!EI29:EJ29,"六本木-夜勤")+COUNTIF('7月'!EN29:EO29,"六本木-夜勤")+COUNTIF('7月'!ES29:ET29,"六本木-夜勤")+COUNTIF('7月'!D29:E29,"六本木ー夜勤")+COUNTIF('7月'!I29:J29,"六本木ー夜勤")+COUNTIF('7月'!N29:O29,"六本木ー夜勤")+COUNTIF('7月'!S29:T29,"六本木ー夜勤")+COUNTIF('7月'!X29:Y29,"六本木ー夜勤")+COUNTIF('7月'!AC29:AD29,"六本木ー夜勤")+COUNTIF('7月'!AH29:AI29,"六本木ー夜勤")+COUNTIF('7月'!AM29:AN29,"六本木ー夜勤")+COUNTIF('7月'!AR29:AS29,"六本木ー夜勤")+COUNTIF('7月'!AW29:AX29,"六本木ー夜勤")+COUNTIF('7月'!BB29:BC29,"六本木ー夜勤")+COUNTIF('7月'!BG29:BH29,"六本木ー夜勤")+COUNTIF('7月'!BL29:BM29,"六本木ー夜勤")+COUNTIF('7月'!BQ29:BR29,"六本木ー夜勤")+COUNTIF('7月'!BV29:BW29,"六本木ー夜勤")+COUNTIF('7月'!CA29:CB29,"六本木ー夜勤")+COUNTIF('7月'!CF29:CG29,"六本木ー夜勤")+COUNTIF('7月'!CK29:CL29,"六本木ー夜勤")+COUNTIF('7月'!CP29:CQ29,"六本木ー夜勤")+COUNTIF('7月'!CU29:CV29,"六本木ー夜勤")+COUNTIF('7月'!CZ29:DA29,"六本木ー夜勤")+COUNTIF('7月'!DE29:DF29,"六本木ー夜勤")+COUNTIF('7月'!DJ29:DK29,"六本木ー夜勤")+COUNTIF('7月'!DO29:DP29,"六本木ー夜勤")+COUNTIF('7月'!DT29:DU29,"六本木ー夜勤")+COUNTIF('7月'!DY29:DZ29,"六本木ー夜勤")+COUNTIF('7月'!ED29:EE29,"六本木ー夜勤")+COUNTIF('7月'!EI29:EJ29,"六本木ー夜勤")+COUNTIF('7月'!EN29:EO29,"六本木ー夜勤")+COUNTIF('7月'!ES29:ET29,"六本木ー夜勤")</f>
        <v>0</v>
      </c>
      <c r="K253" s="76">
        <f t="shared" si="76"/>
        <v>0</v>
      </c>
      <c r="L253" s="76">
        <f>COUNTIF('7月'!D29:E29,L$226)+COUNTIF('7月'!I29:J29,L$226)+COUNTIF('7月'!N29:O29,L$226)+COUNTIF('7月'!S29:T29,L$226)+COUNTIF('7月'!X29:Y29,L$226)+COUNTIF('7月'!AC29:AD29,L$226)+COUNTIF('7月'!AH29:AI29,L$226)+COUNTIF('7月'!AM29:AN29,L$226)+COUNTIF('7月'!AR29:AS29,L$226)+COUNTIF('7月'!AW29:AX29,L$226)+COUNTIF('7月'!BB29:BC29,L$226)+COUNTIF('7月'!BG29:BH29,L$226)+COUNTIF('7月'!BL29:BM29,L$226)+COUNTIF('7月'!BQ29:BR29,L$226)+COUNTIF('7月'!BV29:BW29,L$226)+COUNTIF('7月'!CA29:CB29,L$226)+COUNTIF('7月'!CF29:CG29,L$226)+COUNTIF('7月'!CK29:CL29,L$226)+COUNTIF('7月'!CP29:CQ29,L$226)+COUNTIF('7月'!CU29:CV29,L$226)+COUNTIF('7月'!CZ29:DA29,L$226)+COUNTIF('7月'!DE29:DF29,L$226)+COUNTIF('7月'!DJ29:DK29,L$226)+COUNTIF('7月'!DO29:DP29,L$226)+COUNTIF('7月'!DT29:DU29,L$226)+COUNTIF('7月'!DY29:DZ29,L$226)+COUNTIF('7月'!ED29:EE29,L$226)+COUNTIF('7月'!EI29:EJ29,L$226)+COUNTIF('7月'!EN29:EO29,L$226)+COUNTIF('7月'!ES29:ET29,L$226)</f>
        <v>0</v>
      </c>
      <c r="M253" s="76">
        <f t="shared" si="77"/>
        <v>0</v>
      </c>
      <c r="N253" s="76">
        <f>COUNTIF('7月'!D29:E29,N$226)+COUNTIF('7月'!I29:J29,N$226)+COUNTIF('7月'!N29:O29,N$226)+COUNTIF('7月'!S29:T29,N$226)+COUNTIF('7月'!X29:Y29,N$226)+COUNTIF('7月'!AC29:AD29,N$226)+COUNTIF('7月'!AH29:AI29,N$226)+COUNTIF('7月'!AM29:AN29,N$226)+COUNTIF('7月'!AR29:AS29,N$226)+COUNTIF('7月'!AW29:AX29,N$226)+COUNTIF('7月'!BB29:BC29,N$226)+COUNTIF('7月'!BG29:BH29,N$226)+COUNTIF('7月'!BL29:BM29,N$226)+COUNTIF('7月'!BQ29:BR29,N$226)+COUNTIF('7月'!BV29:BW29,N$226)+COUNTIF('7月'!CA29:CB29,N$226)+COUNTIF('7月'!CF29:CG29,N$226)+COUNTIF('7月'!CK29:CL29,N$226)+COUNTIF('7月'!CP29:CQ29,N$226)+COUNTIF('7月'!CU29:CV29,N$226)+COUNTIF('7月'!CZ29:DA29,N$226)+COUNTIF('7月'!DE29:DF29,N$226)+COUNTIF('7月'!DJ29:DK29,N$226)+COUNTIF('7月'!DO29:DP29,N$226)+COUNTIF('7月'!DT29:DU29,N$226)+COUNTIF('7月'!DY29:DZ29,N$226)+COUNTIF('7月'!ED29:EE29,N$226)+COUNTIF('7月'!EI29:EJ29,N$226)+COUNTIF('7月'!EN29:EO29,N$226)+COUNTIF('7月'!ES29:ET29,N$226)+COUNTIF('7月'!D29:E29,"三軒茶屋－夜勤")+COUNTIF('7月'!I29:J29,"三軒茶屋－夜勤")+COUNTIF('7月'!N29:O29,"三軒茶屋－夜勤")+COUNTIF('7月'!S29:T29,"三軒茶屋－夜勤")+COUNTIF('7月'!X29:Y29,"三軒茶屋－夜勤")+COUNTIF('7月'!AC29:AD29,"三軒茶屋－夜勤")+COUNTIF('7月'!AH29:AI29,"三軒茶屋－夜勤")+COUNTIF('7月'!AM29:AN29,"三軒茶屋－夜勤")+COUNTIF('7月'!AR29:AS29,"三軒茶屋－夜勤")+COUNTIF('7月'!AW29:AX29,"三軒茶屋－夜勤")+COUNTIF('7月'!BB29:BC29,"三軒茶屋－夜勤")+COUNTIF('7月'!BG29:BH29,"三軒茶屋－夜勤")+COUNTIF('7月'!BL29:BM29,"三軒茶屋－夜勤")+COUNTIF('7月'!BQ29:BR29,"三軒茶屋－夜勤")+COUNTIF('7月'!BV29:BW29,"三軒茶屋－夜勤")+COUNTIF('7月'!CA29:CB29,"三軒茶屋－夜勤")+COUNTIF('7月'!CF29:CG29,"三軒茶屋－夜勤")+COUNTIF('7月'!CK29:CL29,"三軒茶屋－夜勤")+COUNTIF('7月'!CP29:CQ29,"三軒茶屋－夜勤")+COUNTIF('7月'!CU29:CV29,"三軒茶屋－夜勤")+COUNTIF('7月'!CZ29:DA29,"三軒茶屋－夜勤")+COUNTIF('7月'!DE29:DF29,"三軒茶屋－夜勤")+COUNTIF('7月'!DJ29:DK29,"三軒茶屋－夜勤")+COUNTIF('7月'!DO29:DP29,"三軒茶屋－夜勤")+COUNTIF('7月'!DT29:DU29,"三軒茶屋－夜勤")+COUNTIF('7月'!DY29:DZ29,"三軒茶屋－夜勤")+COUNTIF('7月'!ED29:EE29,"三軒茶屋－夜勤")+COUNTIF('7月'!EI29:EJ29,"三軒茶屋－夜勤")+COUNTIF('7月'!EN29:EO29,"三軒茶屋－夜勤")+COUNTIF('7月'!ES29:ET29,"三軒茶屋－夜勤")</f>
        <v>0</v>
      </c>
      <c r="O253" s="76">
        <f t="shared" si="78"/>
        <v>0</v>
      </c>
      <c r="P253" s="76">
        <f>COUNTIF('7月'!D29:E29,P$226)+COUNTIF('7月'!I29:J29,P$226)+COUNTIF('7月'!N29:O29,P$226)+COUNTIF('7月'!S29:T29,P$226)+COUNTIF('7月'!X29:Y29,P$226)+COUNTIF('7月'!AC29:AD29,P$226)+COUNTIF('7月'!AH29:AI29,P$226)+COUNTIF('7月'!AM29:AN29,P$226)+COUNTIF('7月'!AR29:AS29,P$226)+COUNTIF('7月'!AW29:AX29,P$226)+COUNTIF('7月'!BB29:BC29,P$226)+COUNTIF('7月'!BG29:BH29,P$226)+COUNTIF('7月'!BL29:BM29,P$226)+COUNTIF('7月'!BQ29:BR29,P$226)+COUNTIF('7月'!BV29:BW29,P$226)+COUNTIF('7月'!CA29:CB29,P$226)+COUNTIF('7月'!CF29:CG29,P$226)+COUNTIF('7月'!CK29:CL29,P$226)+COUNTIF('7月'!CP29:CQ29,P$226)+COUNTIF('7月'!CU29:CV29,P$226)+COUNTIF('7月'!CZ29:DA29,P$226)+COUNTIF('7月'!DE29:DF29,P$226)+COUNTIF('7月'!DJ29:DK29,P$226)+COUNTIF('7月'!DO29:DP29,P$226)+COUNTIF('7月'!DT29:DU29,P$226)+COUNTIF('7月'!DY29:DZ29,P$226)+COUNTIF('7月'!ED29:EE29,P$226)+COUNTIF('7月'!EI29:EJ29,P$226)+COUNTIF('7月'!EN29:EO29,P$226)+COUNTIF('7月'!ES29:ET29,P$226)+COUNTIF('7月'!D29:E29,"荻窪ー夜勤")+COUNTIF('7月'!I29:J29,"荻窪ー夜勤")+COUNTIF('7月'!N29:O29,"荻窪ー夜勤")+COUNTIF('7月'!S29:T29,"荻窪ー夜勤")+COUNTIF('7月'!X29:Y29,"荻窪ー夜勤")+COUNTIF('7月'!AC29:AD29,"荻窪ー夜勤")+COUNTIF('7月'!AH29:AI29,"荻窪ー夜勤")+COUNTIF('7月'!AM29:AN29,"荻窪ー夜勤")+COUNTIF('7月'!AR29:AS29,"荻窪ー夜勤")+COUNTIF('7月'!AW29:AX29,"荻窪ー夜勤")+COUNTIF('7月'!BB29:BC29,"荻窪ー夜勤")+COUNTIF('7月'!BG29:BH29,"荻窪ー夜勤")+COUNTIF('7月'!BL29:BM29,"荻窪ー夜勤")+COUNTIF('7月'!BQ29:BR29,"荻窪ー夜勤")+COUNTIF('7月'!BV29:BW29,"荻窪ー夜勤")+COUNTIF('7月'!CA29:CB29,"荻窪ー夜勤")+COUNTIF('7月'!CF29:CG29,"荻窪ー夜勤")+COUNTIF('7月'!CK29:CL29,"荻窪ー夜勤")+COUNTIF('7月'!CP29:CQ29,"荻窪ー夜勤")+COUNTIF('7月'!CU29:CV29,"荻窪ー夜勤")+COUNTIF('7月'!CZ29:DA29,"荻窪ー夜勤")+COUNTIF('7月'!DE29:DF29,"荻窪ー夜勤")+COUNTIF('7月'!DJ29:DK29,"荻窪ー夜勤")+COUNTIF('7月'!DO29:DP29,"荻窪ー夜勤")+COUNTIF('7月'!DT29:DU29,"荻窪ー夜勤")+COUNTIF('7月'!DY29:DZ29,"荻窪ー夜勤")+COUNTIF('7月'!ED29:EE29,"荻窪ー夜勤")+COUNTIF('7月'!EI29:EJ29,"荻窪ー夜勤")+COUNTIF('7月'!EN29:EO29,"荻窪ー夜勤")+COUNTIF('7月'!ES29:ET29,"荻窪ー夜勤")</f>
        <v>0</v>
      </c>
      <c r="Q253" s="76">
        <f t="shared" si="79"/>
        <v>0</v>
      </c>
      <c r="R253" s="76">
        <f>COUNTIF('7月'!D29:E29,R$226)+COUNTIF('7月'!I29:J29,R$226)+COUNTIF('7月'!N29:O29,R$226)+COUNTIF('7月'!S29:T29,R$226)+COUNTIF('7月'!X29:Y29,R$226)+COUNTIF('7月'!AC29:AD29,R$226)+COUNTIF('7月'!AH29:AI29,R$226)+COUNTIF('7月'!AM29:AN29,R$226)+COUNTIF('7月'!AR29:AS29,R$226)+COUNTIF('7月'!AW29:AX29,R$226)+COUNTIF('7月'!BB29:BC29,R$226)+COUNTIF('7月'!BG29:BH29,R$226)+COUNTIF('7月'!BL29:BM29,R$226)+COUNTIF('7月'!BQ29:BR29,R$226)+COUNTIF('7月'!BV29:BW29,R$226)+COUNTIF('7月'!CA29:CB29,R$226)+COUNTIF('7月'!CF29:CG29,R$226)+COUNTIF('7月'!CK29:CL29,R$226)+COUNTIF('7月'!CP29:CQ29,R$226)+COUNTIF('7月'!CU29:CV29,R$226)+COUNTIF('7月'!CZ29:DA29,R$226)+COUNTIF('7月'!DE29:DF29,R$226)+COUNTIF('7月'!DJ29:DK29,R$226)+COUNTIF('7月'!DO29:DP29,R$226)+COUNTIF('7月'!DT29:DU29,R$226)+COUNTIF('7月'!DY29:DZ29,R$226)+COUNTIF('7月'!ED29:EE29,R$226)+COUNTIF('7月'!EI29:EJ29,R$226)+COUNTIF('7月'!EN29:EO29,R$226)+COUNTIF('7月'!ES29:ET29,R$226)</f>
        <v>0</v>
      </c>
      <c r="S253" s="76">
        <f t="shared" si="80"/>
        <v>0</v>
      </c>
      <c r="T253" s="76">
        <f>COUNTIF('7月'!D29:E29,T$226)+COUNTIF('7月'!I29:J29,T$226)+COUNTIF('7月'!N29:O29,T$226)+COUNTIF('7月'!S29:T29,T$226)+COUNTIF('7月'!X29:Y29,T$226)+COUNTIF('7月'!AC29:AD29,T$226)+COUNTIF('7月'!AH29:AI29,T$226)+COUNTIF('7月'!AM29:AN29,T$226)+COUNTIF('7月'!AR29:AS29,T$226)+COUNTIF('7月'!AW29:AX29,T$226)+COUNTIF('7月'!BB29:BC29,T$226)+COUNTIF('7月'!BG29:BH29,T$226)+COUNTIF('7月'!BL29:BM29,T$226)+COUNTIF('7月'!BQ29:BR29,T$226)+COUNTIF('7月'!BV29:BW29,T$226)+COUNTIF('7月'!CA29:CB29,T$226)+COUNTIF('7月'!CF29:CG29,T$226)+COUNTIF('7月'!CK29:CL29,T$226)+COUNTIF('7月'!CP29:CQ29,T$226)+COUNTIF('7月'!CU29:CV29,T$226)+COUNTIF('7月'!CZ29:DA29,T$226)+COUNTIF('7月'!DE29:DF29,T$226)+COUNTIF('7月'!DJ29:DK29,T$226)+COUNTIF('7月'!DO29:DP29,T$226)+COUNTIF('7月'!DT29:DU29,T$226)+COUNTIF('7月'!DY29:DZ29,T$226)+COUNTIF('7月'!ED29:EE29,T$226)+COUNTIF('7月'!EI29:EJ29,T$226)+COUNTIF('7月'!EN29:EO29,T$226)+COUNTIF('7月'!ES29:ET29,T$226)</f>
        <v>0</v>
      </c>
      <c r="U253" s="76">
        <f t="shared" si="81"/>
        <v>0</v>
      </c>
      <c r="V253" s="76">
        <f>COUNTIF('7月'!D29:E29,V$226)+COUNTIF('7月'!I29:J29,V$226)+COUNTIF('7月'!N29:O29,V$226)+COUNTIF('7月'!S29:T29,V$226)+COUNTIF('7月'!X29:Y29,V$226)+COUNTIF('7月'!AC29:AD29,V$226)+COUNTIF('7月'!AH29:AI29,V$226)+COUNTIF('7月'!AM29:AN29,V$226)+COUNTIF('7月'!AR29:AS29,V$226)+COUNTIF('7月'!AW29:AX29,V$226)+COUNTIF('7月'!BB29:BC29,V$226)+COUNTIF('7月'!BG29:BH29,V$226)+COUNTIF('7月'!BL29:BM29,V$226)+COUNTIF('7月'!BQ29:BR29,V$226)+COUNTIF('7月'!BV29:BW29,V$226)+COUNTIF('7月'!CA29:CB29,V$226)+COUNTIF('7月'!CF29:CG29,V$226)+COUNTIF('7月'!CK29:CL29,V$226)+COUNTIF('7月'!CP29:CQ29,V$226)+COUNTIF('7月'!CU29:CV29,V$226)+COUNTIF('7月'!CZ29:DA29,V$226)+COUNTIF('7月'!DE29:DF29,V$226)+COUNTIF('7月'!DJ29:DK29,V$226)+COUNTIF('7月'!DO29:DP29,V$226)+COUNTIF('7月'!DT29:DU29,V$226)+COUNTIF('7月'!DY29:DZ29,V$226)+COUNTIF('7月'!ED29:EE29,V$226)+COUNTIF('7月'!EI29:EJ29,V$226)+COUNTIF('7月'!EN29:EO29,V$226)+COUNTIF('7月'!ES29:ET29,V$226)</f>
        <v>0</v>
      </c>
      <c r="W253" s="76">
        <f t="shared" si="82"/>
        <v>0</v>
      </c>
      <c r="X253" s="76">
        <f>COUNTIF('7月'!D29:E29,X$226)+COUNTIF('7月'!I29:J29,X$226)+COUNTIF('7月'!N29:O29,X$226)+COUNTIF('7月'!S29:T29,X$226)+COUNTIF('7月'!X29:Y29,X$226)+COUNTIF('7月'!AC29:AD29,X$226)+COUNTIF('7月'!AH29:AI29,X$226)+COUNTIF('7月'!AM29:AN29,X$226)+COUNTIF('7月'!AR29:AS29,X$226)+COUNTIF('7月'!AW29:AX29,X$226)+COUNTIF('7月'!BB29:BC29,X$226)+COUNTIF('7月'!BG29:BH29,X$226)+COUNTIF('7月'!BL29:BM29,X$226)+COUNTIF('7月'!BQ29:BR29,X$226)+COUNTIF('7月'!BV29:BW29,X$226)+COUNTIF('7月'!CA29:CB29,X$226)+COUNTIF('7月'!CF29:CG29,X$226)+COUNTIF('7月'!CK29:CL29,X$226)+COUNTIF('7月'!CP29:CQ29,X$226)+COUNTIF('7月'!CU29:CV29,X$226)+COUNTIF('7月'!CZ29:DA29,X$226)+COUNTIF('7月'!DE29:DF29,X$226)+COUNTIF('7月'!DJ29:DK29,X$226)+COUNTIF('7月'!DO29:DP29,X$226)+COUNTIF('7月'!DT29:DU29,X$226)+COUNTIF('7月'!DY29:DZ29,X$226)+COUNTIF('7月'!ED29:EE29,X$226)+COUNTIF('7月'!EI29:EJ29,X$226)+COUNTIF('7月'!EN29:EO29,X$226)+COUNTIF('7月'!ES29:ET29,X$226)</f>
        <v>0</v>
      </c>
      <c r="Y253" s="76">
        <f t="shared" si="83"/>
        <v>0</v>
      </c>
    </row>
    <row r="254" spans="1:25" ht="18" customHeight="1">
      <c r="A254" s="76">
        <v>27</v>
      </c>
      <c r="B254" s="76">
        <f>COUNTIF('7月'!D30:E30,B$226)+COUNTIF('7月'!I30:J30,B$226)+COUNTIF('7月'!N30:O30,B$226)+COUNTIF('7月'!S30:T30,B$226)+COUNTIF('7月'!X30:Y30,B$226)+COUNTIF('7月'!AC30:AD30,B$226)+COUNTIF('7月'!AH30:AI30,B$226)+COUNTIF('7月'!AM30:AN30,B$226)+COUNTIF('7月'!AR30:AS30,B$226)+COUNTIF('7月'!AW30:AX30,B$226)+COUNTIF('7月'!BB30:BC30,B$226)+COUNTIF('7月'!BG30:BH30,B$226)+COUNTIF('7月'!BL30:BM30,B$226)+COUNTIF('7月'!BQ30:BR30,B$226)+COUNTIF('7月'!BV30:BW30,B$226)+COUNTIF('7月'!CA30:CB30,B$226)+COUNTIF('7月'!CF30:CG30,B$226)+COUNTIF('7月'!CK30:CL30,B$226)+COUNTIF('7月'!CP30:CQ30,B$226)+COUNTIF('7月'!CU30:CV30,B$226)+COUNTIF('7月'!CZ30:DA30,B$226)+COUNTIF('7月'!DE30:DF30,B$226)+COUNTIF('7月'!DJ30:DK30,B$226)+COUNTIF('7月'!DO30:DP30,B$226)+COUNTIF('7月'!DT30:DU30,B$226)+COUNTIF('7月'!DY30:DZ30,B$226)+COUNTIF('7月'!ED30:EE30,B$226)+COUNTIF('7月'!EI30:EJ30,B$226)+COUNTIF('7月'!EN30:EO30,B$226)+COUNTIF('7月'!ES30:ET30,B$226)</f>
        <v>0</v>
      </c>
      <c r="C254" s="76">
        <f t="shared" si="72"/>
        <v>0</v>
      </c>
      <c r="D254" s="76">
        <f>COUNTIF('7月'!D30:E30,D$226)+COUNTIF('7月'!I30:J30,D$226)+COUNTIF('7月'!N30:O30,D$226)+COUNTIF('7月'!S30:T30,D$226)+COUNTIF('7月'!X30:Y30,D$226)+COUNTIF('7月'!AC30:AD30,D$226)+COUNTIF('7月'!AH30:AI30,D$226)+COUNTIF('7月'!AM30:AN30,D$226)+COUNTIF('7月'!AR30:AS30,D$226)+COUNTIF('7月'!AW30:AX30,D$226)+COUNTIF('7月'!BB30:BC30,D$226)+COUNTIF('7月'!BG30:BH30,D$226)+COUNTIF('7月'!BL30:BM30,D$226)+COUNTIF('7月'!BQ30:BR30,D$226)+COUNTIF('7月'!BV30:BW30,D$226)+COUNTIF('7月'!CA30:CB30,D$226)+COUNTIF('7月'!CF30:CG30,D$226)+COUNTIF('7月'!CK30:CL30,D$226)+COUNTIF('7月'!CP30:CQ30,D$226)+COUNTIF('7月'!CU30:CV30,D$226)+COUNTIF('7月'!CZ30:DA30,D$226)+COUNTIF('7月'!DE30:DF30,D$226)+COUNTIF('7月'!DJ30:DK30,D$226)+COUNTIF('7月'!DO30:DP30,D$226)+COUNTIF('7月'!DT30:DU30,D$226)+COUNTIF('7月'!DY30:DZ30,D$226)+COUNTIF('7月'!ED30:EE30,D$226)+COUNTIF('7月'!EI30:EJ30,D$226)+COUNTIF('7月'!EN30:EO30,D$226)+COUNTIF('7月'!ES30:ET30,D$226)</f>
        <v>0</v>
      </c>
      <c r="E254" s="76">
        <f t="shared" si="73"/>
        <v>0</v>
      </c>
      <c r="F254" s="76">
        <f>COUNTIF('7月'!D30:E30,F$226)+COUNTIF('7月'!I30:J30,F$226)+COUNTIF('7月'!N30:O30,F$226)+COUNTIF('7月'!S30:T30,F$226)+COUNTIF('7月'!X30:Y30,F$226)+COUNTIF('7月'!AC30:AD30,F$226)+COUNTIF('7月'!AH30:AI30,F$226)+COUNTIF('7月'!AM30:AN30,F$226)+COUNTIF('7月'!AR30:AS30,F$226)+COUNTIF('7月'!AW30:AX30,F$226)+COUNTIF('7月'!BB30:BC30,F$226)+COUNTIF('7月'!BG30:BH30,F$226)+COUNTIF('7月'!BL30:BM30,F$226)+COUNTIF('7月'!BQ30:BR30,F$226)+COUNTIF('7月'!BV30:BW30,F$226)+COUNTIF('7月'!CA30:CB30,F$226)+COUNTIF('7月'!CF30:CG30,F$226)+COUNTIF('7月'!CK30:CL30,F$226)+COUNTIF('7月'!CP30:CQ30,F$226)+COUNTIF('7月'!CU30:CV30,F$226)+COUNTIF('7月'!CZ30:DA30,F$226)+COUNTIF('7月'!DE30:DF30,F$226)+COUNTIF('7月'!DJ30:DK30,F$226)+COUNTIF('7月'!DO30:DP30,F$226)+COUNTIF('7月'!DT30:DU30,F$226)+COUNTIF('7月'!DY30:DZ30,F$226)+COUNTIF('7月'!ED30:EE30,F$226)+COUNTIF('7月'!EI30:EJ30,F$226)+COUNTIF('7月'!EN30:EO30,F$226)+COUNTIF('7月'!ES30:ET30,F$226)</f>
        <v>0</v>
      </c>
      <c r="G254" s="76">
        <f t="shared" si="74"/>
        <v>0</v>
      </c>
      <c r="H254" s="76">
        <f>COUNTIF('7月'!D30:E30,H$226)+COUNTIF('7月'!I30:J30,H$226)+COUNTIF('7月'!N30:O30,H$226)+COUNTIF('7月'!S30:T30,H$226)+COUNTIF('7月'!X30:Y30,H$226)+COUNTIF('7月'!AC30:AD30,H$226)+COUNTIF('7月'!AH30:AI30,H$226)+COUNTIF('7月'!AM30:AN30,H$226)+COUNTIF('7月'!AR30:AS30,H$226)+COUNTIF('7月'!AW30:AX30,H$226)+COUNTIF('7月'!BB30:BC30,H$226)+COUNTIF('7月'!BG30:BH30,H$226)+COUNTIF('7月'!BL30:BM30,H$226)+COUNTIF('7月'!BQ30:BR30,H$226)+COUNTIF('7月'!BV30:BW30,H$226)+COUNTIF('7月'!CA30:CB30,H$226)+COUNTIF('7月'!CF30:CG30,H$226)+COUNTIF('7月'!CK30:CL30,H$226)+COUNTIF('7月'!CP30:CQ30,H$226)+COUNTIF('7月'!CU30:CV30,H$226)+COUNTIF('7月'!CZ30:DA30,H$226)+COUNTIF('7月'!DE30:DF30,H$226)+COUNTIF('7月'!DJ30:DK30,H$226)+COUNTIF('7月'!DO30:DP30,H$226)+COUNTIF('7月'!DT30:DU30,H$226)+COUNTIF('7月'!DY30:DZ30,H$226)+COUNTIF('7月'!ED30:EE30,H$226)+COUNTIF('7月'!EI30:EJ30,H$226)+COUNTIF('7月'!EN30:EO30,H$226)+COUNTIF('7月'!ES30:ET30,H$226)+COUNTIF('7月'!D30:E30,"渋谷-夜勤")+COUNTIF('7月'!I30:J30,"渋谷-夜勤")+COUNTIF('7月'!N30:O30,"渋谷-夜勤")+COUNTIF('7月'!S30:T30,"渋谷-夜勤")+COUNTIF('7月'!X30:Y30,"渋谷-夜勤")+COUNTIF('7月'!AC30:AD30,"渋谷-夜勤")+COUNTIF('7月'!AH30:AI30,"渋谷-夜勤")+COUNTIF('7月'!AM30:AN30,"渋谷-夜勤")+COUNTIF('7月'!AR30:AS30,"渋谷-夜勤")+COUNTIF('7月'!AW30:AX30,"渋谷-夜勤")+COUNTIF('7月'!BB30:BC30,"渋谷-夜勤")+COUNTIF('7月'!BG30:BH30,"渋谷-夜勤")+COUNTIF('7月'!BL30:BM30,"渋谷-夜勤")+COUNTIF('7月'!BQ30:BR30,"渋谷-夜勤")+COUNTIF('7月'!BV30:BW30,"渋谷-夜勤")+COUNTIF('7月'!CA30:CB30,"渋谷-夜勤")+COUNTIF('7月'!CF30:CG30,"渋谷-夜勤")+COUNTIF('7月'!CK30:CL30,"渋谷-夜勤")+COUNTIF('7月'!CP30:CQ30,"渋谷-夜勤")+COUNTIF('7月'!CU30:CV30,"渋谷-夜勤")+COUNTIF('7月'!CZ30:DA30,"渋谷-夜勤")+COUNTIF('7月'!DE30:DF30,"渋谷-夜勤")+COUNTIF('7月'!DJ30:DK30,"渋谷-夜勤")+COUNTIF('7月'!DO30:DP30,"渋谷-夜勤")+COUNTIF('7月'!DT30:DU30,"渋谷-夜勤")+COUNTIF('7月'!DY30:DZ30,"渋谷-夜勤")+COUNTIF('7月'!ED30:EE30,"渋谷-夜勤")+COUNTIF('7月'!EI30:EJ30,"渋谷-夜勤")+COUNTIF('7月'!EN30:EO30,"渋谷-夜勤")+COUNTIF('7月'!ES30:ET30,"渋谷-夜勤")</f>
        <v>0</v>
      </c>
      <c r="I254" s="76">
        <f t="shared" si="75"/>
        <v>0</v>
      </c>
      <c r="J254" s="76">
        <f>COUNTIF('7月'!D30:E30,J$226)+COUNTIF('7月'!I30:J30,J$226)+COUNTIF('7月'!N30:O30,J$226)+COUNTIF('7月'!S30:T30,J$226)+COUNTIF('7月'!X30:Y30,J$226)+COUNTIF('7月'!AC30:AD30,J$226)+COUNTIF('7月'!AH30:AI30,J$226)+COUNTIF('7月'!AM30:AN30,J$226)+COUNTIF('7月'!AR30:AS30,J$226)+COUNTIF('7月'!AW30:AX30,J$226)+COUNTIF('7月'!BB30:BC30,J$226)+COUNTIF('7月'!BG30:BH30,J$226)+COUNTIF('7月'!BL30:BM30,J$226)+COUNTIF('7月'!BQ30:BR30,J$226)+COUNTIF('7月'!BV30:BW30,J$226)+COUNTIF('7月'!CA30:CB30,J$226)+COUNTIF('7月'!CF30:CG30,J$226)+COUNTIF('7月'!CK30:CL30,J$226)+COUNTIF('7月'!CP30:CQ30,J$226)+COUNTIF('7月'!CU30:CV30,J$226)+COUNTIF('7月'!CZ30:DA30,J$226)+COUNTIF('7月'!DE30:DF30,J$226)+COUNTIF('7月'!DJ30:DK30,J$226)+COUNTIF('7月'!DO30:DP30,J$226)+COUNTIF('7月'!DT30:DU30,J$226)+COUNTIF('7月'!DY30:DZ30,J$226)+COUNTIF('7月'!ED30:EE30,J$226)+COUNTIF('7月'!EI30:EJ30,J$226)+COUNTIF('7月'!EN30:EO30,J$226)+COUNTIF('7月'!ES30:ET30,J$226)+COUNTIF('7月'!D30:E30,"六本木-夜勤")+COUNTIF('7月'!I30:J30,"六本木-夜勤")+COUNTIF('7月'!N30:O30,"六本木-夜勤")+COUNTIF('7月'!S30:T30,"六本木-夜勤")+COUNTIF('7月'!X30:Y30,"六本木-夜勤")+COUNTIF('7月'!AC30:AD30,"六本木-夜勤")+COUNTIF('7月'!AH30:AI30,"六本木-夜勤")+COUNTIF('7月'!AM30:AN30,"六本木-夜勤")+COUNTIF('7月'!AR30:AS30,"六本木-夜勤")+COUNTIF('7月'!AW30:AX30,"六本木-夜勤")+COUNTIF('7月'!BB30:BC30,"六本木-夜勤")+COUNTIF('7月'!BG30:BH30,"六本木-夜勤")+COUNTIF('7月'!BL30:BM30,"六本木-夜勤")+COUNTIF('7月'!BQ30:BR30,"六本木-夜勤")+COUNTIF('7月'!BV30:BW30,"六本木-夜勤")+COUNTIF('7月'!CA30:CB30,"六本木-夜勤")+COUNTIF('7月'!CF30:CG30,"六本木-夜勤")+COUNTIF('7月'!CK30:CL30,"六本木-夜勤")+COUNTIF('7月'!CP30:CQ30,"六本木-夜勤")+COUNTIF('7月'!CU30:CV30,"六本木-夜勤")+COUNTIF('7月'!CZ30:DA30,"六本木-夜勤")+COUNTIF('7月'!DE30:DF30,"六本木-夜勤")+COUNTIF('7月'!DJ30:DK30,"六本木-夜勤")+COUNTIF('7月'!DO30:DP30,"六本木-夜勤")+COUNTIF('7月'!DT30:DU30,"六本木-夜勤")+COUNTIF('7月'!DY30:DZ30,"六本木-夜勤")+COUNTIF('7月'!ED30:EE30,"六本木-夜勤")+COUNTIF('7月'!EI30:EJ30,"六本木-夜勤")+COUNTIF('7月'!EN30:EO30,"六本木-夜勤")+COUNTIF('7月'!ES30:ET30,"六本木-夜勤")+COUNTIF('7月'!D30:E30,"六本木ー夜勤")+COUNTIF('7月'!I30:J30,"六本木ー夜勤")+COUNTIF('7月'!N30:O30,"六本木ー夜勤")+COUNTIF('7月'!S30:T30,"六本木ー夜勤")+COUNTIF('7月'!X30:Y30,"六本木ー夜勤")+COUNTIF('7月'!AC30:AD30,"六本木ー夜勤")+COUNTIF('7月'!AH30:AI30,"六本木ー夜勤")+COUNTIF('7月'!AM30:AN30,"六本木ー夜勤")+COUNTIF('7月'!AR30:AS30,"六本木ー夜勤")+COUNTIF('7月'!AW30:AX30,"六本木ー夜勤")+COUNTIF('7月'!BB30:BC30,"六本木ー夜勤")+COUNTIF('7月'!BG30:BH30,"六本木ー夜勤")+COUNTIF('7月'!BL30:BM30,"六本木ー夜勤")+COUNTIF('7月'!BQ30:BR30,"六本木ー夜勤")+COUNTIF('7月'!BV30:BW30,"六本木ー夜勤")+COUNTIF('7月'!CA30:CB30,"六本木ー夜勤")+COUNTIF('7月'!CF30:CG30,"六本木ー夜勤")+COUNTIF('7月'!CK30:CL30,"六本木ー夜勤")+COUNTIF('7月'!CP30:CQ30,"六本木ー夜勤")+COUNTIF('7月'!CU30:CV30,"六本木ー夜勤")+COUNTIF('7月'!CZ30:DA30,"六本木ー夜勤")+COUNTIF('7月'!DE30:DF30,"六本木ー夜勤")+COUNTIF('7月'!DJ30:DK30,"六本木ー夜勤")+COUNTIF('7月'!DO30:DP30,"六本木ー夜勤")+COUNTIF('7月'!DT30:DU30,"六本木ー夜勤")+COUNTIF('7月'!DY30:DZ30,"六本木ー夜勤")+COUNTIF('7月'!ED30:EE30,"六本木ー夜勤")+COUNTIF('7月'!EI30:EJ30,"六本木ー夜勤")+COUNTIF('7月'!EN30:EO30,"六本木ー夜勤")+COUNTIF('7月'!ES30:ET30,"六本木ー夜勤")</f>
        <v>0</v>
      </c>
      <c r="K254" s="76">
        <f t="shared" si="76"/>
        <v>0</v>
      </c>
      <c r="L254" s="76">
        <f>COUNTIF('7月'!D30:E30,L$226)+COUNTIF('7月'!I30:J30,L$226)+COUNTIF('7月'!N30:O30,L$226)+COUNTIF('7月'!S30:T30,L$226)+COUNTIF('7月'!X30:Y30,L$226)+COUNTIF('7月'!AC30:AD30,L$226)+COUNTIF('7月'!AH30:AI30,L$226)+COUNTIF('7月'!AM30:AN30,L$226)+COUNTIF('7月'!AR30:AS30,L$226)+COUNTIF('7月'!AW30:AX30,L$226)+COUNTIF('7月'!BB30:BC30,L$226)+COUNTIF('7月'!BG30:BH30,L$226)+COUNTIF('7月'!BL30:BM30,L$226)+COUNTIF('7月'!BQ30:BR30,L$226)+COUNTIF('7月'!BV30:BW30,L$226)+COUNTIF('7月'!CA30:CB30,L$226)+COUNTIF('7月'!CF30:CG30,L$226)+COUNTIF('7月'!CK30:CL30,L$226)+COUNTIF('7月'!CP30:CQ30,L$226)+COUNTIF('7月'!CU30:CV30,L$226)+COUNTIF('7月'!CZ30:DA30,L$226)+COUNTIF('7月'!DE30:DF30,L$226)+COUNTIF('7月'!DJ30:DK30,L$226)+COUNTIF('7月'!DO30:DP30,L$226)+COUNTIF('7月'!DT30:DU30,L$226)+COUNTIF('7月'!DY30:DZ30,L$226)+COUNTIF('7月'!ED30:EE30,L$226)+COUNTIF('7月'!EI30:EJ30,L$226)+COUNTIF('7月'!EN30:EO30,L$226)+COUNTIF('7月'!ES30:ET30,L$226)</f>
        <v>0</v>
      </c>
      <c r="M254" s="76">
        <f t="shared" si="77"/>
        <v>0</v>
      </c>
      <c r="N254" s="76">
        <f>COUNTIF('7月'!D30:E30,N$226)+COUNTIF('7月'!I30:J30,N$226)+COUNTIF('7月'!N30:O30,N$226)+COUNTIF('7月'!S30:T30,N$226)+COUNTIF('7月'!X30:Y30,N$226)+COUNTIF('7月'!AC30:AD30,N$226)+COUNTIF('7月'!AH30:AI30,N$226)+COUNTIF('7月'!AM30:AN30,N$226)+COUNTIF('7月'!AR30:AS30,N$226)+COUNTIF('7月'!AW30:AX30,N$226)+COUNTIF('7月'!BB30:BC30,N$226)+COUNTIF('7月'!BG30:BH30,N$226)+COUNTIF('7月'!BL30:BM30,N$226)+COUNTIF('7月'!BQ30:BR30,N$226)+COUNTIF('7月'!BV30:BW30,N$226)+COUNTIF('7月'!CA30:CB30,N$226)+COUNTIF('7月'!CF30:CG30,N$226)+COUNTIF('7月'!CK30:CL30,N$226)+COUNTIF('7月'!CP30:CQ30,N$226)+COUNTIF('7月'!CU30:CV30,N$226)+COUNTIF('7月'!CZ30:DA30,N$226)+COUNTIF('7月'!DE30:DF30,N$226)+COUNTIF('7月'!DJ30:DK30,N$226)+COUNTIF('7月'!DO30:DP30,N$226)+COUNTIF('7月'!DT30:DU30,N$226)+COUNTIF('7月'!DY30:DZ30,N$226)+COUNTIF('7月'!ED30:EE30,N$226)+COUNTIF('7月'!EI30:EJ30,N$226)+COUNTIF('7月'!EN30:EO30,N$226)+COUNTIF('7月'!ES30:ET30,N$226)+COUNTIF('7月'!D30:E30,"三軒茶屋－夜勤")+COUNTIF('7月'!I30:J30,"三軒茶屋－夜勤")+COUNTIF('7月'!N30:O30,"三軒茶屋－夜勤")+COUNTIF('7月'!S30:T30,"三軒茶屋－夜勤")+COUNTIF('7月'!X30:Y30,"三軒茶屋－夜勤")+COUNTIF('7月'!AC30:AD30,"三軒茶屋－夜勤")+COUNTIF('7月'!AH30:AI30,"三軒茶屋－夜勤")+COUNTIF('7月'!AM30:AN30,"三軒茶屋－夜勤")+COUNTIF('7月'!AR30:AS30,"三軒茶屋－夜勤")+COUNTIF('7月'!AW30:AX30,"三軒茶屋－夜勤")+COUNTIF('7月'!BB30:BC30,"三軒茶屋－夜勤")+COUNTIF('7月'!BG30:BH30,"三軒茶屋－夜勤")+COUNTIF('7月'!BL30:BM30,"三軒茶屋－夜勤")+COUNTIF('7月'!BQ30:BR30,"三軒茶屋－夜勤")+COUNTIF('7月'!BV30:BW30,"三軒茶屋－夜勤")+COUNTIF('7月'!CA30:CB30,"三軒茶屋－夜勤")+COUNTIF('7月'!CF30:CG30,"三軒茶屋－夜勤")+COUNTIF('7月'!CK30:CL30,"三軒茶屋－夜勤")+COUNTIF('7月'!CP30:CQ30,"三軒茶屋－夜勤")+COUNTIF('7月'!CU30:CV30,"三軒茶屋－夜勤")+COUNTIF('7月'!CZ30:DA30,"三軒茶屋－夜勤")+COUNTIF('7月'!DE30:DF30,"三軒茶屋－夜勤")+COUNTIF('7月'!DJ30:DK30,"三軒茶屋－夜勤")+COUNTIF('7月'!DO30:DP30,"三軒茶屋－夜勤")+COUNTIF('7月'!DT30:DU30,"三軒茶屋－夜勤")+COUNTIF('7月'!DY30:DZ30,"三軒茶屋－夜勤")+COUNTIF('7月'!ED30:EE30,"三軒茶屋－夜勤")+COUNTIF('7月'!EI30:EJ30,"三軒茶屋－夜勤")+COUNTIF('7月'!EN30:EO30,"三軒茶屋－夜勤")+COUNTIF('7月'!ES30:ET30,"三軒茶屋－夜勤")</f>
        <v>0</v>
      </c>
      <c r="O254" s="76">
        <f t="shared" si="78"/>
        <v>0</v>
      </c>
      <c r="P254" s="76">
        <f>COUNTIF('7月'!D30:E30,P$226)+COUNTIF('7月'!I30:J30,P$226)+COUNTIF('7月'!N30:O30,P$226)+COUNTIF('7月'!S30:T30,P$226)+COUNTIF('7月'!X30:Y30,P$226)+COUNTIF('7月'!AC30:AD30,P$226)+COUNTIF('7月'!AH30:AI30,P$226)+COUNTIF('7月'!AM30:AN30,P$226)+COUNTIF('7月'!AR30:AS30,P$226)+COUNTIF('7月'!AW30:AX30,P$226)+COUNTIF('7月'!BB30:BC30,P$226)+COUNTIF('7月'!BG30:BH30,P$226)+COUNTIF('7月'!BL30:BM30,P$226)+COUNTIF('7月'!BQ30:BR30,P$226)+COUNTIF('7月'!BV30:BW30,P$226)+COUNTIF('7月'!CA30:CB30,P$226)+COUNTIF('7月'!CF30:CG30,P$226)+COUNTIF('7月'!CK30:CL30,P$226)+COUNTIF('7月'!CP30:CQ30,P$226)+COUNTIF('7月'!CU30:CV30,P$226)+COUNTIF('7月'!CZ30:DA30,P$226)+COUNTIF('7月'!DE30:DF30,P$226)+COUNTIF('7月'!DJ30:DK30,P$226)+COUNTIF('7月'!DO30:DP30,P$226)+COUNTIF('7月'!DT30:DU30,P$226)+COUNTIF('7月'!DY30:DZ30,P$226)+COUNTIF('7月'!ED30:EE30,P$226)+COUNTIF('7月'!EI30:EJ30,P$226)+COUNTIF('7月'!EN30:EO30,P$226)+COUNTIF('7月'!ES30:ET30,P$226)+COUNTIF('7月'!D30:E30,"荻窪ー夜勤")+COUNTIF('7月'!I30:J30,"荻窪ー夜勤")+COUNTIF('7月'!N30:O30,"荻窪ー夜勤")+COUNTIF('7月'!S30:T30,"荻窪ー夜勤")+COUNTIF('7月'!X30:Y30,"荻窪ー夜勤")+COUNTIF('7月'!AC30:AD30,"荻窪ー夜勤")+COUNTIF('7月'!AH30:AI30,"荻窪ー夜勤")+COUNTIF('7月'!AM30:AN30,"荻窪ー夜勤")+COUNTIF('7月'!AR30:AS30,"荻窪ー夜勤")+COUNTIF('7月'!AW30:AX30,"荻窪ー夜勤")+COUNTIF('7月'!BB30:BC30,"荻窪ー夜勤")+COUNTIF('7月'!BG30:BH30,"荻窪ー夜勤")+COUNTIF('7月'!BL30:BM30,"荻窪ー夜勤")+COUNTIF('7月'!BQ30:BR30,"荻窪ー夜勤")+COUNTIF('7月'!BV30:BW30,"荻窪ー夜勤")+COUNTIF('7月'!CA30:CB30,"荻窪ー夜勤")+COUNTIF('7月'!CF30:CG30,"荻窪ー夜勤")+COUNTIF('7月'!CK30:CL30,"荻窪ー夜勤")+COUNTIF('7月'!CP30:CQ30,"荻窪ー夜勤")+COUNTIF('7月'!CU30:CV30,"荻窪ー夜勤")+COUNTIF('7月'!CZ30:DA30,"荻窪ー夜勤")+COUNTIF('7月'!DE30:DF30,"荻窪ー夜勤")+COUNTIF('7月'!DJ30:DK30,"荻窪ー夜勤")+COUNTIF('7月'!DO30:DP30,"荻窪ー夜勤")+COUNTIF('7月'!DT30:DU30,"荻窪ー夜勤")+COUNTIF('7月'!DY30:DZ30,"荻窪ー夜勤")+COUNTIF('7月'!ED30:EE30,"荻窪ー夜勤")+COUNTIF('7月'!EI30:EJ30,"荻窪ー夜勤")+COUNTIF('7月'!EN30:EO30,"荻窪ー夜勤")+COUNTIF('7月'!ES30:ET30,"荻窪ー夜勤")</f>
        <v>0</v>
      </c>
      <c r="Q254" s="76">
        <f t="shared" si="79"/>
        <v>0</v>
      </c>
      <c r="R254" s="76">
        <f>COUNTIF('7月'!D30:E30,R$226)+COUNTIF('7月'!I30:J30,R$226)+COUNTIF('7月'!N30:O30,R$226)+COUNTIF('7月'!S30:T30,R$226)+COUNTIF('7月'!X30:Y30,R$226)+COUNTIF('7月'!AC30:AD30,R$226)+COUNTIF('7月'!AH30:AI30,R$226)+COUNTIF('7月'!AM30:AN30,R$226)+COUNTIF('7月'!AR30:AS30,R$226)+COUNTIF('7月'!AW30:AX30,R$226)+COUNTIF('7月'!BB30:BC30,R$226)+COUNTIF('7月'!BG30:BH30,R$226)+COUNTIF('7月'!BL30:BM30,R$226)+COUNTIF('7月'!BQ30:BR30,R$226)+COUNTIF('7月'!BV30:BW30,R$226)+COUNTIF('7月'!CA30:CB30,R$226)+COUNTIF('7月'!CF30:CG30,R$226)+COUNTIF('7月'!CK30:CL30,R$226)+COUNTIF('7月'!CP30:CQ30,R$226)+COUNTIF('7月'!CU30:CV30,R$226)+COUNTIF('7月'!CZ30:DA30,R$226)+COUNTIF('7月'!DE30:DF30,R$226)+COUNTIF('7月'!DJ30:DK30,R$226)+COUNTIF('7月'!DO30:DP30,R$226)+COUNTIF('7月'!DT30:DU30,R$226)+COUNTIF('7月'!DY30:DZ30,R$226)+COUNTIF('7月'!ED30:EE30,R$226)+COUNTIF('7月'!EI30:EJ30,R$226)+COUNTIF('7月'!EN30:EO30,R$226)+COUNTIF('7月'!ES30:ET30,R$226)</f>
        <v>0</v>
      </c>
      <c r="S254" s="76">
        <f t="shared" si="80"/>
        <v>0</v>
      </c>
      <c r="T254" s="76">
        <f>COUNTIF('7月'!D30:E30,T$226)+COUNTIF('7月'!I30:J30,T$226)+COUNTIF('7月'!N30:O30,T$226)+COUNTIF('7月'!S30:T30,T$226)+COUNTIF('7月'!X30:Y30,T$226)+COUNTIF('7月'!AC30:AD30,T$226)+COUNTIF('7月'!AH30:AI30,T$226)+COUNTIF('7月'!AM30:AN30,T$226)+COUNTIF('7月'!AR30:AS30,T$226)+COUNTIF('7月'!AW30:AX30,T$226)+COUNTIF('7月'!BB30:BC30,T$226)+COUNTIF('7月'!BG30:BH30,T$226)+COUNTIF('7月'!BL30:BM30,T$226)+COUNTIF('7月'!BQ30:BR30,T$226)+COUNTIF('7月'!BV30:BW30,T$226)+COUNTIF('7月'!CA30:CB30,T$226)+COUNTIF('7月'!CF30:CG30,T$226)+COUNTIF('7月'!CK30:CL30,T$226)+COUNTIF('7月'!CP30:CQ30,T$226)+COUNTIF('7月'!CU30:CV30,T$226)+COUNTIF('7月'!CZ30:DA30,T$226)+COUNTIF('7月'!DE30:DF30,T$226)+COUNTIF('7月'!DJ30:DK30,T$226)+COUNTIF('7月'!DO30:DP30,T$226)+COUNTIF('7月'!DT30:DU30,T$226)+COUNTIF('7月'!DY30:DZ30,T$226)+COUNTIF('7月'!ED30:EE30,T$226)+COUNTIF('7月'!EI30:EJ30,T$226)+COUNTIF('7月'!EN30:EO30,T$226)+COUNTIF('7月'!ES30:ET30,T$226)</f>
        <v>0</v>
      </c>
      <c r="U254" s="76">
        <f t="shared" si="81"/>
        <v>0</v>
      </c>
      <c r="V254" s="76">
        <f>COUNTIF('7月'!D30:E30,V$226)+COUNTIF('7月'!I30:J30,V$226)+COUNTIF('7月'!N30:O30,V$226)+COUNTIF('7月'!S30:T30,V$226)+COUNTIF('7月'!X30:Y30,V$226)+COUNTIF('7月'!AC30:AD30,V$226)+COUNTIF('7月'!AH30:AI30,V$226)+COUNTIF('7月'!AM30:AN30,V$226)+COUNTIF('7月'!AR30:AS30,V$226)+COUNTIF('7月'!AW30:AX30,V$226)+COUNTIF('7月'!BB30:BC30,V$226)+COUNTIF('7月'!BG30:BH30,V$226)+COUNTIF('7月'!BL30:BM30,V$226)+COUNTIF('7月'!BQ30:BR30,V$226)+COUNTIF('7月'!BV30:BW30,V$226)+COUNTIF('7月'!CA30:CB30,V$226)+COUNTIF('7月'!CF30:CG30,V$226)+COUNTIF('7月'!CK30:CL30,V$226)+COUNTIF('7月'!CP30:CQ30,V$226)+COUNTIF('7月'!CU30:CV30,V$226)+COUNTIF('7月'!CZ30:DA30,V$226)+COUNTIF('7月'!DE30:DF30,V$226)+COUNTIF('7月'!DJ30:DK30,V$226)+COUNTIF('7月'!DO30:DP30,V$226)+COUNTIF('7月'!DT30:DU30,V$226)+COUNTIF('7月'!DY30:DZ30,V$226)+COUNTIF('7月'!ED30:EE30,V$226)+COUNTIF('7月'!EI30:EJ30,V$226)+COUNTIF('7月'!EN30:EO30,V$226)+COUNTIF('7月'!ES30:ET30,V$226)</f>
        <v>0</v>
      </c>
      <c r="W254" s="76">
        <f t="shared" si="82"/>
        <v>0</v>
      </c>
      <c r="X254" s="76">
        <f>COUNTIF('7月'!D30:E30,X$226)+COUNTIF('7月'!I30:J30,X$226)+COUNTIF('7月'!N30:O30,X$226)+COUNTIF('7月'!S30:T30,X$226)+COUNTIF('7月'!X30:Y30,X$226)+COUNTIF('7月'!AC30:AD30,X$226)+COUNTIF('7月'!AH30:AI30,X$226)+COUNTIF('7月'!AM30:AN30,X$226)+COUNTIF('7月'!AR30:AS30,X$226)+COUNTIF('7月'!AW30:AX30,X$226)+COUNTIF('7月'!BB30:BC30,X$226)+COUNTIF('7月'!BG30:BH30,X$226)+COUNTIF('7月'!BL30:BM30,X$226)+COUNTIF('7月'!BQ30:BR30,X$226)+COUNTIF('7月'!BV30:BW30,X$226)+COUNTIF('7月'!CA30:CB30,X$226)+COUNTIF('7月'!CF30:CG30,X$226)+COUNTIF('7月'!CK30:CL30,X$226)+COUNTIF('7月'!CP30:CQ30,X$226)+COUNTIF('7月'!CU30:CV30,X$226)+COUNTIF('7月'!CZ30:DA30,X$226)+COUNTIF('7月'!DE30:DF30,X$226)+COUNTIF('7月'!DJ30:DK30,X$226)+COUNTIF('7月'!DO30:DP30,X$226)+COUNTIF('7月'!DT30:DU30,X$226)+COUNTIF('7月'!DY30:DZ30,X$226)+COUNTIF('7月'!ED30:EE30,X$226)+COUNTIF('7月'!EI30:EJ30,X$226)+COUNTIF('7月'!EN30:EO30,X$226)+COUNTIF('7月'!ES30:ET30,X$226)</f>
        <v>0</v>
      </c>
      <c r="Y254" s="76">
        <f t="shared" si="83"/>
        <v>0</v>
      </c>
    </row>
    <row r="255" spans="1:25" ht="18" customHeight="1">
      <c r="A255" s="76">
        <v>28</v>
      </c>
      <c r="B255" s="76">
        <f>COUNTIF('7月'!D31:E31,B$226)+COUNTIF('7月'!I31:J31,B$226)+COUNTIF('7月'!N31:O31,B$226)+COUNTIF('7月'!S31:T31,B$226)+COUNTIF('7月'!X31:Y31,B$226)+COUNTIF('7月'!AC31:AD31,B$226)+COUNTIF('7月'!AH31:AI31,B$226)+COUNTIF('7月'!AM31:AN31,B$226)+COUNTIF('7月'!AR31:AS31,B$226)+COUNTIF('7月'!AW31:AX31,B$226)+COUNTIF('7月'!BB31:BC31,B$226)+COUNTIF('7月'!BG31:BH31,B$226)+COUNTIF('7月'!BL31:BM31,B$226)+COUNTIF('7月'!BQ31:BR31,B$226)+COUNTIF('7月'!BV31:BW31,B$226)+COUNTIF('7月'!CA31:CB31,B$226)+COUNTIF('7月'!CF31:CG31,B$226)+COUNTIF('7月'!CK31:CL31,B$226)+COUNTIF('7月'!CP31:CQ31,B$226)+COUNTIF('7月'!CU31:CV31,B$226)+COUNTIF('7月'!CZ31:DA31,B$226)+COUNTIF('7月'!DE31:DF31,B$226)+COUNTIF('7月'!DJ31:DK31,B$226)+COUNTIF('7月'!DO31:DP31,B$226)+COUNTIF('7月'!DT31:DU31,B$226)+COUNTIF('7月'!DY31:DZ31,B$226)+COUNTIF('7月'!ED31:EE31,B$226)+COUNTIF('7月'!EI31:EJ31,B$226)+COUNTIF('7月'!EN31:EO31,B$226)+COUNTIF('7月'!ES31:ET31,B$226)</f>
        <v>0</v>
      </c>
      <c r="C255" s="76">
        <f t="shared" si="72"/>
        <v>0</v>
      </c>
      <c r="D255" s="76">
        <f>COUNTIF('7月'!D31:E31,D$226)+COUNTIF('7月'!I31:J31,D$226)+COUNTIF('7月'!N31:O31,D$226)+COUNTIF('7月'!S31:T31,D$226)+COUNTIF('7月'!X31:Y31,D$226)+COUNTIF('7月'!AC31:AD31,D$226)+COUNTIF('7月'!AH31:AI31,D$226)+COUNTIF('7月'!AM31:AN31,D$226)+COUNTIF('7月'!AR31:AS31,D$226)+COUNTIF('7月'!AW31:AX31,D$226)+COUNTIF('7月'!BB31:BC31,D$226)+COUNTIF('7月'!BG31:BH31,D$226)+COUNTIF('7月'!BL31:BM31,D$226)+COUNTIF('7月'!BQ31:BR31,D$226)+COUNTIF('7月'!BV31:BW31,D$226)+COUNTIF('7月'!CA31:CB31,D$226)+COUNTIF('7月'!CF31:CG31,D$226)+COUNTIF('7月'!CK31:CL31,D$226)+COUNTIF('7月'!CP31:CQ31,D$226)+COUNTIF('7月'!CU31:CV31,D$226)+COUNTIF('7月'!CZ31:DA31,D$226)+COUNTIF('7月'!DE31:DF31,D$226)+COUNTIF('7月'!DJ31:DK31,D$226)+COUNTIF('7月'!DO31:DP31,D$226)+COUNTIF('7月'!DT31:DU31,D$226)+COUNTIF('7月'!DY31:DZ31,D$226)+COUNTIF('7月'!ED31:EE31,D$226)+COUNTIF('7月'!EI31:EJ31,D$226)+COUNTIF('7月'!EN31:EO31,D$226)+COUNTIF('7月'!ES31:ET31,D$226)</f>
        <v>0</v>
      </c>
      <c r="E255" s="76">
        <f t="shared" si="73"/>
        <v>0</v>
      </c>
      <c r="F255" s="76">
        <f>COUNTIF('7月'!D31:E31,F$226)+COUNTIF('7月'!I31:J31,F$226)+COUNTIF('7月'!N31:O31,F$226)+COUNTIF('7月'!S31:T31,F$226)+COUNTIF('7月'!X31:Y31,F$226)+COUNTIF('7月'!AC31:AD31,F$226)+COUNTIF('7月'!AH31:AI31,F$226)+COUNTIF('7月'!AM31:AN31,F$226)+COUNTIF('7月'!AR31:AS31,F$226)+COUNTIF('7月'!AW31:AX31,F$226)+COUNTIF('7月'!BB31:BC31,F$226)+COUNTIF('7月'!BG31:BH31,F$226)+COUNTIF('7月'!BL31:BM31,F$226)+COUNTIF('7月'!BQ31:BR31,F$226)+COUNTIF('7月'!BV31:BW31,F$226)+COUNTIF('7月'!CA31:CB31,F$226)+COUNTIF('7月'!CF31:CG31,F$226)+COUNTIF('7月'!CK31:CL31,F$226)+COUNTIF('7月'!CP31:CQ31,F$226)+COUNTIF('7月'!CU31:CV31,F$226)+COUNTIF('7月'!CZ31:DA31,F$226)+COUNTIF('7月'!DE31:DF31,F$226)+COUNTIF('7月'!DJ31:DK31,F$226)+COUNTIF('7月'!DO31:DP31,F$226)+COUNTIF('7月'!DT31:DU31,F$226)+COUNTIF('7月'!DY31:DZ31,F$226)+COUNTIF('7月'!ED31:EE31,F$226)+COUNTIF('7月'!EI31:EJ31,F$226)+COUNTIF('7月'!EN31:EO31,F$226)+COUNTIF('7月'!ES31:ET31,F$226)</f>
        <v>0</v>
      </c>
      <c r="G255" s="76">
        <f t="shared" si="74"/>
        <v>0</v>
      </c>
      <c r="H255" s="76">
        <f>COUNTIF('7月'!D31:E31,H$226)+COUNTIF('7月'!I31:J31,H$226)+COUNTIF('7月'!N31:O31,H$226)+COUNTIF('7月'!S31:T31,H$226)+COUNTIF('7月'!X31:Y31,H$226)+COUNTIF('7月'!AC31:AD31,H$226)+COUNTIF('7月'!AH31:AI31,H$226)+COUNTIF('7月'!AM31:AN31,H$226)+COUNTIF('7月'!AR31:AS31,H$226)+COUNTIF('7月'!AW31:AX31,H$226)+COUNTIF('7月'!BB31:BC31,H$226)+COUNTIF('7月'!BG31:BH31,H$226)+COUNTIF('7月'!BL31:BM31,H$226)+COUNTIF('7月'!BQ31:BR31,H$226)+COUNTIF('7月'!BV31:BW31,H$226)+COUNTIF('7月'!CA31:CB31,H$226)+COUNTIF('7月'!CF31:CG31,H$226)+COUNTIF('7月'!CK31:CL31,H$226)+COUNTIF('7月'!CP31:CQ31,H$226)+COUNTIF('7月'!CU31:CV31,H$226)+COUNTIF('7月'!CZ31:DA31,H$226)+COUNTIF('7月'!DE31:DF31,H$226)+COUNTIF('7月'!DJ31:DK31,H$226)+COUNTIF('7月'!DO31:DP31,H$226)+COUNTIF('7月'!DT31:DU31,H$226)+COUNTIF('7月'!DY31:DZ31,H$226)+COUNTIF('7月'!ED31:EE31,H$226)+COUNTIF('7月'!EI31:EJ31,H$226)+COUNTIF('7月'!EN31:EO31,H$226)+COUNTIF('7月'!ES31:ET31,H$226)+COUNTIF('7月'!D31:E31,"渋谷-夜勤")+COUNTIF('7月'!I31:J31,"渋谷-夜勤")+COUNTIF('7月'!N31:O31,"渋谷-夜勤")+COUNTIF('7月'!S31:T31,"渋谷-夜勤")+COUNTIF('7月'!X31:Y31,"渋谷-夜勤")+COUNTIF('7月'!AC31:AD31,"渋谷-夜勤")+COUNTIF('7月'!AH31:AI31,"渋谷-夜勤")+COUNTIF('7月'!AM31:AN31,"渋谷-夜勤")+COUNTIF('7月'!AR31:AS31,"渋谷-夜勤")+COUNTIF('7月'!AW31:AX31,"渋谷-夜勤")+COUNTIF('7月'!BB31:BC31,"渋谷-夜勤")+COUNTIF('7月'!BG31:BH31,"渋谷-夜勤")+COUNTIF('7月'!BL31:BM31,"渋谷-夜勤")+COUNTIF('7月'!BQ31:BR31,"渋谷-夜勤")+COUNTIF('7月'!BV31:BW31,"渋谷-夜勤")+COUNTIF('7月'!CA31:CB31,"渋谷-夜勤")+COUNTIF('7月'!CF31:CG31,"渋谷-夜勤")+COUNTIF('7月'!CK31:CL31,"渋谷-夜勤")+COUNTIF('7月'!CP31:CQ31,"渋谷-夜勤")+COUNTIF('7月'!CU31:CV31,"渋谷-夜勤")+COUNTIF('7月'!CZ31:DA31,"渋谷-夜勤")+COUNTIF('7月'!DE31:DF31,"渋谷-夜勤")+COUNTIF('7月'!DJ31:DK31,"渋谷-夜勤")+COUNTIF('7月'!DO31:DP31,"渋谷-夜勤")+COUNTIF('7月'!DT31:DU31,"渋谷-夜勤")+COUNTIF('7月'!DY31:DZ31,"渋谷-夜勤")+COUNTIF('7月'!ED31:EE31,"渋谷-夜勤")+COUNTIF('7月'!EI31:EJ31,"渋谷-夜勤")+COUNTIF('7月'!EN31:EO31,"渋谷-夜勤")+COUNTIF('7月'!ES31:ET31,"渋谷-夜勤")</f>
        <v>0</v>
      </c>
      <c r="I255" s="76">
        <f t="shared" si="75"/>
        <v>0</v>
      </c>
      <c r="J255" s="76">
        <f>COUNTIF('7月'!D31:E31,J$226)+COUNTIF('7月'!I31:J31,J$226)+COUNTIF('7月'!N31:O31,J$226)+COUNTIF('7月'!S31:T31,J$226)+COUNTIF('7月'!X31:Y31,J$226)+COUNTIF('7月'!AC31:AD31,J$226)+COUNTIF('7月'!AH31:AI31,J$226)+COUNTIF('7月'!AM31:AN31,J$226)+COUNTIF('7月'!AR31:AS31,J$226)+COUNTIF('7月'!AW31:AX31,J$226)+COUNTIF('7月'!BB31:BC31,J$226)+COUNTIF('7月'!BG31:BH31,J$226)+COUNTIF('7月'!BL31:BM31,J$226)+COUNTIF('7月'!BQ31:BR31,J$226)+COUNTIF('7月'!BV31:BW31,J$226)+COUNTIF('7月'!CA31:CB31,J$226)+COUNTIF('7月'!CF31:CG31,J$226)+COUNTIF('7月'!CK31:CL31,J$226)+COUNTIF('7月'!CP31:CQ31,J$226)+COUNTIF('7月'!CU31:CV31,J$226)+COUNTIF('7月'!CZ31:DA31,J$226)+COUNTIF('7月'!DE31:DF31,J$226)+COUNTIF('7月'!DJ31:DK31,J$226)+COUNTIF('7月'!DO31:DP31,J$226)+COUNTIF('7月'!DT31:DU31,J$226)+COUNTIF('7月'!DY31:DZ31,J$226)+COUNTIF('7月'!ED31:EE31,J$226)+COUNTIF('7月'!EI31:EJ31,J$226)+COUNTIF('7月'!EN31:EO31,J$226)+COUNTIF('7月'!ES31:ET31,J$226)+COUNTIF('7月'!D31:E31,"六本木-夜勤")+COUNTIF('7月'!I31:J31,"六本木-夜勤")+COUNTIF('7月'!N31:O31,"六本木-夜勤")+COUNTIF('7月'!S31:T31,"六本木-夜勤")+COUNTIF('7月'!X31:Y31,"六本木-夜勤")+COUNTIF('7月'!AC31:AD31,"六本木-夜勤")+COUNTIF('7月'!AH31:AI31,"六本木-夜勤")+COUNTIF('7月'!AM31:AN31,"六本木-夜勤")+COUNTIF('7月'!AR31:AS31,"六本木-夜勤")+COUNTIF('7月'!AW31:AX31,"六本木-夜勤")+COUNTIF('7月'!BB31:BC31,"六本木-夜勤")+COUNTIF('7月'!BG31:BH31,"六本木-夜勤")+COUNTIF('7月'!BL31:BM31,"六本木-夜勤")+COUNTIF('7月'!BQ31:BR31,"六本木-夜勤")+COUNTIF('7月'!BV31:BW31,"六本木-夜勤")+COUNTIF('7月'!CA31:CB31,"六本木-夜勤")+COUNTIF('7月'!CF31:CG31,"六本木-夜勤")+COUNTIF('7月'!CK31:CL31,"六本木-夜勤")+COUNTIF('7月'!CP31:CQ31,"六本木-夜勤")+COUNTIF('7月'!CU31:CV31,"六本木-夜勤")+COUNTIF('7月'!CZ31:DA31,"六本木-夜勤")+COUNTIF('7月'!DE31:DF31,"六本木-夜勤")+COUNTIF('7月'!DJ31:DK31,"六本木-夜勤")+COUNTIF('7月'!DO31:DP31,"六本木-夜勤")+COUNTIF('7月'!DT31:DU31,"六本木-夜勤")+COUNTIF('7月'!DY31:DZ31,"六本木-夜勤")+COUNTIF('7月'!ED31:EE31,"六本木-夜勤")+COUNTIF('7月'!EI31:EJ31,"六本木-夜勤")+COUNTIF('7月'!EN31:EO31,"六本木-夜勤")+COUNTIF('7月'!ES31:ET31,"六本木-夜勤")+COUNTIF('7月'!D31:E31,"六本木ー夜勤")+COUNTIF('7月'!I31:J31,"六本木ー夜勤")+COUNTIF('7月'!N31:O31,"六本木ー夜勤")+COUNTIF('7月'!S31:T31,"六本木ー夜勤")+COUNTIF('7月'!X31:Y31,"六本木ー夜勤")+COUNTIF('7月'!AC31:AD31,"六本木ー夜勤")+COUNTIF('7月'!AH31:AI31,"六本木ー夜勤")+COUNTIF('7月'!AM31:AN31,"六本木ー夜勤")+COUNTIF('7月'!AR31:AS31,"六本木ー夜勤")+COUNTIF('7月'!AW31:AX31,"六本木ー夜勤")+COUNTIF('7月'!BB31:BC31,"六本木ー夜勤")+COUNTIF('7月'!BG31:BH31,"六本木ー夜勤")+COUNTIF('7月'!BL31:BM31,"六本木ー夜勤")+COUNTIF('7月'!BQ31:BR31,"六本木ー夜勤")+COUNTIF('7月'!BV31:BW31,"六本木ー夜勤")+COUNTIF('7月'!CA31:CB31,"六本木ー夜勤")+COUNTIF('7月'!CF31:CG31,"六本木ー夜勤")+COUNTIF('7月'!CK31:CL31,"六本木ー夜勤")+COUNTIF('7月'!CP31:CQ31,"六本木ー夜勤")+COUNTIF('7月'!CU31:CV31,"六本木ー夜勤")+COUNTIF('7月'!CZ31:DA31,"六本木ー夜勤")+COUNTIF('7月'!DE31:DF31,"六本木ー夜勤")+COUNTIF('7月'!DJ31:DK31,"六本木ー夜勤")+COUNTIF('7月'!DO31:DP31,"六本木ー夜勤")+COUNTIF('7月'!DT31:DU31,"六本木ー夜勤")+COUNTIF('7月'!DY31:DZ31,"六本木ー夜勤")+COUNTIF('7月'!ED31:EE31,"六本木ー夜勤")+COUNTIF('7月'!EI31:EJ31,"六本木ー夜勤")+COUNTIF('7月'!EN31:EO31,"六本木ー夜勤")+COUNTIF('7月'!ES31:ET31,"六本木ー夜勤")</f>
        <v>0</v>
      </c>
      <c r="K255" s="76">
        <f t="shared" si="76"/>
        <v>0</v>
      </c>
      <c r="L255" s="76">
        <f>COUNTIF('7月'!D31:E31,L$226)+COUNTIF('7月'!I31:J31,L$226)+COUNTIF('7月'!N31:O31,L$226)+COUNTIF('7月'!S31:T31,L$226)+COUNTIF('7月'!X31:Y31,L$226)+COUNTIF('7月'!AC31:AD31,L$226)+COUNTIF('7月'!AH31:AI31,L$226)+COUNTIF('7月'!AM31:AN31,L$226)+COUNTIF('7月'!AR31:AS31,L$226)+COUNTIF('7月'!AW31:AX31,L$226)+COUNTIF('7月'!BB31:BC31,L$226)+COUNTIF('7月'!BG31:BH31,L$226)+COUNTIF('7月'!BL31:BM31,L$226)+COUNTIF('7月'!BQ31:BR31,L$226)+COUNTIF('7月'!BV31:BW31,L$226)+COUNTIF('7月'!CA31:CB31,L$226)+COUNTIF('7月'!CF31:CG31,L$226)+COUNTIF('7月'!CK31:CL31,L$226)+COUNTIF('7月'!CP31:CQ31,L$226)+COUNTIF('7月'!CU31:CV31,L$226)+COUNTIF('7月'!CZ31:DA31,L$226)+COUNTIF('7月'!DE31:DF31,L$226)+COUNTIF('7月'!DJ31:DK31,L$226)+COUNTIF('7月'!DO31:DP31,L$226)+COUNTIF('7月'!DT31:DU31,L$226)+COUNTIF('7月'!DY31:DZ31,L$226)+COUNTIF('7月'!ED31:EE31,L$226)+COUNTIF('7月'!EI31:EJ31,L$226)+COUNTIF('7月'!EN31:EO31,L$226)+COUNTIF('7月'!ES31:ET31,L$226)</f>
        <v>0</v>
      </c>
      <c r="M255" s="76">
        <f t="shared" si="77"/>
        <v>0</v>
      </c>
      <c r="N255" s="76">
        <f>COUNTIF('7月'!D31:E31,N$226)+COUNTIF('7月'!I31:J31,N$226)+COUNTIF('7月'!N31:O31,N$226)+COUNTIF('7月'!S31:T31,N$226)+COUNTIF('7月'!X31:Y31,N$226)+COUNTIF('7月'!AC31:AD31,N$226)+COUNTIF('7月'!AH31:AI31,N$226)+COUNTIF('7月'!AM31:AN31,N$226)+COUNTIF('7月'!AR31:AS31,N$226)+COUNTIF('7月'!AW31:AX31,N$226)+COUNTIF('7月'!BB31:BC31,N$226)+COUNTIF('7月'!BG31:BH31,N$226)+COUNTIF('7月'!BL31:BM31,N$226)+COUNTIF('7月'!BQ31:BR31,N$226)+COUNTIF('7月'!BV31:BW31,N$226)+COUNTIF('7月'!CA31:CB31,N$226)+COUNTIF('7月'!CF31:CG31,N$226)+COUNTIF('7月'!CK31:CL31,N$226)+COUNTIF('7月'!CP31:CQ31,N$226)+COUNTIF('7月'!CU31:CV31,N$226)+COUNTIF('7月'!CZ31:DA31,N$226)+COUNTIF('7月'!DE31:DF31,N$226)+COUNTIF('7月'!DJ31:DK31,N$226)+COUNTIF('7月'!DO31:DP31,N$226)+COUNTIF('7月'!DT31:DU31,N$226)+COUNTIF('7月'!DY31:DZ31,N$226)+COUNTIF('7月'!ED31:EE31,N$226)+COUNTIF('7月'!EI31:EJ31,N$226)+COUNTIF('7月'!EN31:EO31,N$226)+COUNTIF('7月'!ES31:ET31,N$226)+COUNTIF('7月'!D31:E31,"三軒茶屋－夜勤")+COUNTIF('7月'!I31:J31,"三軒茶屋－夜勤")+COUNTIF('7月'!N31:O31,"三軒茶屋－夜勤")+COUNTIF('7月'!S31:T31,"三軒茶屋－夜勤")+COUNTIF('7月'!X31:Y31,"三軒茶屋－夜勤")+COUNTIF('7月'!AC31:AD31,"三軒茶屋－夜勤")+COUNTIF('7月'!AH31:AI31,"三軒茶屋－夜勤")+COUNTIF('7月'!AM31:AN31,"三軒茶屋－夜勤")+COUNTIF('7月'!AR31:AS31,"三軒茶屋－夜勤")+COUNTIF('7月'!AW31:AX31,"三軒茶屋－夜勤")+COUNTIF('7月'!BB31:BC31,"三軒茶屋－夜勤")+COUNTIF('7月'!BG31:BH31,"三軒茶屋－夜勤")+COUNTIF('7月'!BL31:BM31,"三軒茶屋－夜勤")+COUNTIF('7月'!BQ31:BR31,"三軒茶屋－夜勤")+COUNTIF('7月'!BV31:BW31,"三軒茶屋－夜勤")+COUNTIF('7月'!CA31:CB31,"三軒茶屋－夜勤")+COUNTIF('7月'!CF31:CG31,"三軒茶屋－夜勤")+COUNTIF('7月'!CK31:CL31,"三軒茶屋－夜勤")+COUNTIF('7月'!CP31:CQ31,"三軒茶屋－夜勤")+COUNTIF('7月'!CU31:CV31,"三軒茶屋－夜勤")+COUNTIF('7月'!CZ31:DA31,"三軒茶屋－夜勤")+COUNTIF('7月'!DE31:DF31,"三軒茶屋－夜勤")+COUNTIF('7月'!DJ31:DK31,"三軒茶屋－夜勤")+COUNTIF('7月'!DO31:DP31,"三軒茶屋－夜勤")+COUNTIF('7月'!DT31:DU31,"三軒茶屋－夜勤")+COUNTIF('7月'!DY31:DZ31,"三軒茶屋－夜勤")+COUNTIF('7月'!ED31:EE31,"三軒茶屋－夜勤")+COUNTIF('7月'!EI31:EJ31,"三軒茶屋－夜勤")+COUNTIF('7月'!EN31:EO31,"三軒茶屋－夜勤")+COUNTIF('7月'!ES31:ET31,"三軒茶屋－夜勤")</f>
        <v>0</v>
      </c>
      <c r="O255" s="76">
        <f t="shared" si="78"/>
        <v>0</v>
      </c>
      <c r="P255" s="76">
        <f>COUNTIF('7月'!D31:E31,P$226)+COUNTIF('7月'!I31:J31,P$226)+COUNTIF('7月'!N31:O31,P$226)+COUNTIF('7月'!S31:T31,P$226)+COUNTIF('7月'!X31:Y31,P$226)+COUNTIF('7月'!AC31:AD31,P$226)+COUNTIF('7月'!AH31:AI31,P$226)+COUNTIF('7月'!AM31:AN31,P$226)+COUNTIF('7月'!AR31:AS31,P$226)+COUNTIF('7月'!AW31:AX31,P$226)+COUNTIF('7月'!BB31:BC31,P$226)+COUNTIF('7月'!BG31:BH31,P$226)+COUNTIF('7月'!BL31:BM31,P$226)+COUNTIF('7月'!BQ31:BR31,P$226)+COUNTIF('7月'!BV31:BW31,P$226)+COUNTIF('7月'!CA31:CB31,P$226)+COUNTIF('7月'!CF31:CG31,P$226)+COUNTIF('7月'!CK31:CL31,P$226)+COUNTIF('7月'!CP31:CQ31,P$226)+COUNTIF('7月'!CU31:CV31,P$226)+COUNTIF('7月'!CZ31:DA31,P$226)+COUNTIF('7月'!DE31:DF31,P$226)+COUNTIF('7月'!DJ31:DK31,P$226)+COUNTIF('7月'!DO31:DP31,P$226)+COUNTIF('7月'!DT31:DU31,P$226)+COUNTIF('7月'!DY31:DZ31,P$226)+COUNTIF('7月'!ED31:EE31,P$226)+COUNTIF('7月'!EI31:EJ31,P$226)+COUNTIF('7月'!EN31:EO31,P$226)+COUNTIF('7月'!ES31:ET31,P$226)+COUNTIF('7月'!D31:E31,"荻窪ー夜勤")+COUNTIF('7月'!I31:J31,"荻窪ー夜勤")+COUNTIF('7月'!N31:O31,"荻窪ー夜勤")+COUNTIF('7月'!S31:T31,"荻窪ー夜勤")+COUNTIF('7月'!X31:Y31,"荻窪ー夜勤")+COUNTIF('7月'!AC31:AD31,"荻窪ー夜勤")+COUNTIF('7月'!AH31:AI31,"荻窪ー夜勤")+COUNTIF('7月'!AM31:AN31,"荻窪ー夜勤")+COUNTIF('7月'!AR31:AS31,"荻窪ー夜勤")+COUNTIF('7月'!AW31:AX31,"荻窪ー夜勤")+COUNTIF('7月'!BB31:BC31,"荻窪ー夜勤")+COUNTIF('7月'!BG31:BH31,"荻窪ー夜勤")+COUNTIF('7月'!BL31:BM31,"荻窪ー夜勤")+COUNTIF('7月'!BQ31:BR31,"荻窪ー夜勤")+COUNTIF('7月'!BV31:BW31,"荻窪ー夜勤")+COUNTIF('7月'!CA31:CB31,"荻窪ー夜勤")+COUNTIF('7月'!CF31:CG31,"荻窪ー夜勤")+COUNTIF('7月'!CK31:CL31,"荻窪ー夜勤")+COUNTIF('7月'!CP31:CQ31,"荻窪ー夜勤")+COUNTIF('7月'!CU31:CV31,"荻窪ー夜勤")+COUNTIF('7月'!CZ31:DA31,"荻窪ー夜勤")+COUNTIF('7月'!DE31:DF31,"荻窪ー夜勤")+COUNTIF('7月'!DJ31:DK31,"荻窪ー夜勤")+COUNTIF('7月'!DO31:DP31,"荻窪ー夜勤")+COUNTIF('7月'!DT31:DU31,"荻窪ー夜勤")+COUNTIF('7月'!DY31:DZ31,"荻窪ー夜勤")+COUNTIF('7月'!ED31:EE31,"荻窪ー夜勤")+COUNTIF('7月'!EI31:EJ31,"荻窪ー夜勤")+COUNTIF('7月'!EN31:EO31,"荻窪ー夜勤")+COUNTIF('7月'!ES31:ET31,"荻窪ー夜勤")</f>
        <v>0</v>
      </c>
      <c r="Q255" s="76">
        <f t="shared" si="79"/>
        <v>0</v>
      </c>
      <c r="R255" s="76">
        <f>COUNTIF('7月'!D31:E31,R$226)+COUNTIF('7月'!I31:J31,R$226)+COUNTIF('7月'!N31:O31,R$226)+COUNTIF('7月'!S31:T31,R$226)+COUNTIF('7月'!X31:Y31,R$226)+COUNTIF('7月'!AC31:AD31,R$226)+COUNTIF('7月'!AH31:AI31,R$226)+COUNTIF('7月'!AM31:AN31,R$226)+COUNTIF('7月'!AR31:AS31,R$226)+COUNTIF('7月'!AW31:AX31,R$226)+COUNTIF('7月'!BB31:BC31,R$226)+COUNTIF('7月'!BG31:BH31,R$226)+COUNTIF('7月'!BL31:BM31,R$226)+COUNTIF('7月'!BQ31:BR31,R$226)+COUNTIF('7月'!BV31:BW31,R$226)+COUNTIF('7月'!CA31:CB31,R$226)+COUNTIF('7月'!CF31:CG31,R$226)+COUNTIF('7月'!CK31:CL31,R$226)+COUNTIF('7月'!CP31:CQ31,R$226)+COUNTIF('7月'!CU31:CV31,R$226)+COUNTIF('7月'!CZ31:DA31,R$226)+COUNTIF('7月'!DE31:DF31,R$226)+COUNTIF('7月'!DJ31:DK31,R$226)+COUNTIF('7月'!DO31:DP31,R$226)+COUNTIF('7月'!DT31:DU31,R$226)+COUNTIF('7月'!DY31:DZ31,R$226)+COUNTIF('7月'!ED31:EE31,R$226)+COUNTIF('7月'!EI31:EJ31,R$226)+COUNTIF('7月'!EN31:EO31,R$226)+COUNTIF('7月'!ES31:ET31,R$226)</f>
        <v>0</v>
      </c>
      <c r="S255" s="76">
        <f t="shared" si="80"/>
        <v>0</v>
      </c>
      <c r="T255" s="76">
        <f>COUNTIF('7月'!D31:E31,T$226)+COUNTIF('7月'!I31:J31,T$226)+COUNTIF('7月'!N31:O31,T$226)+COUNTIF('7月'!S31:T31,T$226)+COUNTIF('7月'!X31:Y31,T$226)+COUNTIF('7月'!AC31:AD31,T$226)+COUNTIF('7月'!AH31:AI31,T$226)+COUNTIF('7月'!AM31:AN31,T$226)+COUNTIF('7月'!AR31:AS31,T$226)+COUNTIF('7月'!AW31:AX31,T$226)+COUNTIF('7月'!BB31:BC31,T$226)+COUNTIF('7月'!BG31:BH31,T$226)+COUNTIF('7月'!BL31:BM31,T$226)+COUNTIF('7月'!BQ31:BR31,T$226)+COUNTIF('7月'!BV31:BW31,T$226)+COUNTIF('7月'!CA31:CB31,T$226)+COUNTIF('7月'!CF31:CG31,T$226)+COUNTIF('7月'!CK31:CL31,T$226)+COUNTIF('7月'!CP31:CQ31,T$226)+COUNTIF('7月'!CU31:CV31,T$226)+COUNTIF('7月'!CZ31:DA31,T$226)+COUNTIF('7月'!DE31:DF31,T$226)+COUNTIF('7月'!DJ31:DK31,T$226)+COUNTIF('7月'!DO31:DP31,T$226)+COUNTIF('7月'!DT31:DU31,T$226)+COUNTIF('7月'!DY31:DZ31,T$226)+COUNTIF('7月'!ED31:EE31,T$226)+COUNTIF('7月'!EI31:EJ31,T$226)+COUNTIF('7月'!EN31:EO31,T$226)+COUNTIF('7月'!ES31:ET31,T$226)</f>
        <v>0</v>
      </c>
      <c r="U255" s="76">
        <f t="shared" si="81"/>
        <v>0</v>
      </c>
      <c r="V255" s="76">
        <f>COUNTIF('7月'!D31:E31,V$226)+COUNTIF('7月'!I31:J31,V$226)+COUNTIF('7月'!N31:O31,V$226)+COUNTIF('7月'!S31:T31,V$226)+COUNTIF('7月'!X31:Y31,V$226)+COUNTIF('7月'!AC31:AD31,V$226)+COUNTIF('7月'!AH31:AI31,V$226)+COUNTIF('7月'!AM31:AN31,V$226)+COUNTIF('7月'!AR31:AS31,V$226)+COUNTIF('7月'!AW31:AX31,V$226)+COUNTIF('7月'!BB31:BC31,V$226)+COUNTIF('7月'!BG31:BH31,V$226)+COUNTIF('7月'!BL31:BM31,V$226)+COUNTIF('7月'!BQ31:BR31,V$226)+COUNTIF('7月'!BV31:BW31,V$226)+COUNTIF('7月'!CA31:CB31,V$226)+COUNTIF('7月'!CF31:CG31,V$226)+COUNTIF('7月'!CK31:CL31,V$226)+COUNTIF('7月'!CP31:CQ31,V$226)+COUNTIF('7月'!CU31:CV31,V$226)+COUNTIF('7月'!CZ31:DA31,V$226)+COUNTIF('7月'!DE31:DF31,V$226)+COUNTIF('7月'!DJ31:DK31,V$226)+COUNTIF('7月'!DO31:DP31,V$226)+COUNTIF('7月'!DT31:DU31,V$226)+COUNTIF('7月'!DY31:DZ31,V$226)+COUNTIF('7月'!ED31:EE31,V$226)+COUNTIF('7月'!EI31:EJ31,V$226)+COUNTIF('7月'!EN31:EO31,V$226)+COUNTIF('7月'!ES31:ET31,V$226)</f>
        <v>0</v>
      </c>
      <c r="W255" s="76">
        <f t="shared" si="82"/>
        <v>0</v>
      </c>
      <c r="X255" s="76">
        <f>COUNTIF('7月'!D31:E31,X$226)+COUNTIF('7月'!I31:J31,X$226)+COUNTIF('7月'!N31:O31,X$226)+COUNTIF('7月'!S31:T31,X$226)+COUNTIF('7月'!X31:Y31,X$226)+COUNTIF('7月'!AC31:AD31,X$226)+COUNTIF('7月'!AH31:AI31,X$226)+COUNTIF('7月'!AM31:AN31,X$226)+COUNTIF('7月'!AR31:AS31,X$226)+COUNTIF('7月'!AW31:AX31,X$226)+COUNTIF('7月'!BB31:BC31,X$226)+COUNTIF('7月'!BG31:BH31,X$226)+COUNTIF('7月'!BL31:BM31,X$226)+COUNTIF('7月'!BQ31:BR31,X$226)+COUNTIF('7月'!BV31:BW31,X$226)+COUNTIF('7月'!CA31:CB31,X$226)+COUNTIF('7月'!CF31:CG31,X$226)+COUNTIF('7月'!CK31:CL31,X$226)+COUNTIF('7月'!CP31:CQ31,X$226)+COUNTIF('7月'!CU31:CV31,X$226)+COUNTIF('7月'!CZ31:DA31,X$226)+COUNTIF('7月'!DE31:DF31,X$226)+COUNTIF('7月'!DJ31:DK31,X$226)+COUNTIF('7月'!DO31:DP31,X$226)+COUNTIF('7月'!DT31:DU31,X$226)+COUNTIF('7月'!DY31:DZ31,X$226)+COUNTIF('7月'!ED31:EE31,X$226)+COUNTIF('7月'!EI31:EJ31,X$226)+COUNTIF('7月'!EN31:EO31,X$226)+COUNTIF('7月'!ES31:ET31,X$226)</f>
        <v>0</v>
      </c>
      <c r="Y255" s="76">
        <f t="shared" si="83"/>
        <v>0</v>
      </c>
    </row>
    <row r="256" spans="1:25" ht="18" customHeight="1">
      <c r="A256" s="76">
        <v>29</v>
      </c>
      <c r="B256" s="76">
        <f>COUNTIF('7月'!D32:E32,B$226)+COUNTIF('7月'!I32:J32,B$226)+COUNTIF('7月'!N32:O32,B$226)+COUNTIF('7月'!S32:T32,B$226)+COUNTIF('7月'!X32:Y32,B$226)+COUNTIF('7月'!AC32:AD32,B$226)+COUNTIF('7月'!AH32:AI32,B$226)+COUNTIF('7月'!AM32:AN32,B$226)+COUNTIF('7月'!AR32:AS32,B$226)+COUNTIF('7月'!AW32:AX32,B$226)+COUNTIF('7月'!BB32:BC32,B$226)+COUNTIF('7月'!BG32:BH32,B$226)+COUNTIF('7月'!BL32:BM32,B$226)+COUNTIF('7月'!BQ32:BR32,B$226)+COUNTIF('7月'!BV32:BW32,B$226)+COUNTIF('7月'!CA32:CB32,B$226)+COUNTIF('7月'!CF32:CG32,B$226)+COUNTIF('7月'!CK32:CL32,B$226)+COUNTIF('7月'!CP32:CQ32,B$226)+COUNTIF('7月'!CU32:CV32,B$226)+COUNTIF('7月'!CZ32:DA32,B$226)+COUNTIF('7月'!DE32:DF32,B$226)+COUNTIF('7月'!DJ32:DK32,B$226)+COUNTIF('7月'!DO32:DP32,B$226)+COUNTIF('7月'!DT32:DU32,B$226)+COUNTIF('7月'!DY32:DZ32,B$226)+COUNTIF('7月'!ED32:EE32,B$226)+COUNTIF('7月'!EI32:EJ32,B$226)+COUNTIF('7月'!EN32:EO32,B$226)+COUNTIF('7月'!ES32:ET32,B$226)</f>
        <v>0</v>
      </c>
      <c r="C256" s="76">
        <f t="shared" si="72"/>
        <v>0</v>
      </c>
      <c r="D256" s="76">
        <f>COUNTIF('7月'!D32:E32,D$226)+COUNTIF('7月'!I32:J32,D$226)+COUNTIF('7月'!N32:O32,D$226)+COUNTIF('7月'!S32:T32,D$226)+COUNTIF('7月'!X32:Y32,D$226)+COUNTIF('7月'!AC32:AD32,D$226)+COUNTIF('7月'!AH32:AI32,D$226)+COUNTIF('7月'!AM32:AN32,D$226)+COUNTIF('7月'!AR32:AS32,D$226)+COUNTIF('7月'!AW32:AX32,D$226)+COUNTIF('7月'!BB32:BC32,D$226)+COUNTIF('7月'!BG32:BH32,D$226)+COUNTIF('7月'!BL32:BM32,D$226)+COUNTIF('7月'!BQ32:BR32,D$226)+COUNTIF('7月'!BV32:BW32,D$226)+COUNTIF('7月'!CA32:CB32,D$226)+COUNTIF('7月'!CF32:CG32,D$226)+COUNTIF('7月'!CK32:CL32,D$226)+COUNTIF('7月'!CP32:CQ32,D$226)+COUNTIF('7月'!CU32:CV32,D$226)+COUNTIF('7月'!CZ32:DA32,D$226)+COUNTIF('7月'!DE32:DF32,D$226)+COUNTIF('7月'!DJ32:DK32,D$226)+COUNTIF('7月'!DO32:DP32,D$226)+COUNTIF('7月'!DT32:DU32,D$226)+COUNTIF('7月'!DY32:DZ32,D$226)+COUNTIF('7月'!ED32:EE32,D$226)+COUNTIF('7月'!EI32:EJ32,D$226)+COUNTIF('7月'!EN32:EO32,D$226)+COUNTIF('7月'!ES32:ET32,D$226)</f>
        <v>0</v>
      </c>
      <c r="E256" s="76">
        <f t="shared" si="73"/>
        <v>0</v>
      </c>
      <c r="F256" s="76">
        <f>COUNTIF('7月'!D32:E32,F$226)+COUNTIF('7月'!I32:J32,F$226)+COUNTIF('7月'!N32:O32,F$226)+COUNTIF('7月'!S32:T32,F$226)+COUNTIF('7月'!X32:Y32,F$226)+COUNTIF('7月'!AC32:AD32,F$226)+COUNTIF('7月'!AH32:AI32,F$226)+COUNTIF('7月'!AM32:AN32,F$226)+COUNTIF('7月'!AR32:AS32,F$226)+COUNTIF('7月'!AW32:AX32,F$226)+COUNTIF('7月'!BB32:BC32,F$226)+COUNTIF('7月'!BG32:BH32,F$226)+COUNTIF('7月'!BL32:BM32,F$226)+COUNTIF('7月'!BQ32:BR32,F$226)+COUNTIF('7月'!BV32:BW32,F$226)+COUNTIF('7月'!CA32:CB32,F$226)+COUNTIF('7月'!CF32:CG32,F$226)+COUNTIF('7月'!CK32:CL32,F$226)+COUNTIF('7月'!CP32:CQ32,F$226)+COUNTIF('7月'!CU32:CV32,F$226)+COUNTIF('7月'!CZ32:DA32,F$226)+COUNTIF('7月'!DE32:DF32,F$226)+COUNTIF('7月'!DJ32:DK32,F$226)+COUNTIF('7月'!DO32:DP32,F$226)+COUNTIF('7月'!DT32:DU32,F$226)+COUNTIF('7月'!DY32:DZ32,F$226)+COUNTIF('7月'!ED32:EE32,F$226)+COUNTIF('7月'!EI32:EJ32,F$226)+COUNTIF('7月'!EN32:EO32,F$226)+COUNTIF('7月'!ES32:ET32,F$226)</f>
        <v>0</v>
      </c>
      <c r="G256" s="76">
        <f t="shared" si="74"/>
        <v>0</v>
      </c>
      <c r="H256" s="76">
        <f>COUNTIF('7月'!D32:E32,H$226)+COUNTIF('7月'!I32:J32,H$226)+COUNTIF('7月'!N32:O32,H$226)+COUNTIF('7月'!S32:T32,H$226)+COUNTIF('7月'!X32:Y32,H$226)+COUNTIF('7月'!AC32:AD32,H$226)+COUNTIF('7月'!AH32:AI32,H$226)+COUNTIF('7月'!AM32:AN32,H$226)+COUNTIF('7月'!AR32:AS32,H$226)+COUNTIF('7月'!AW32:AX32,H$226)+COUNTIF('7月'!BB32:BC32,H$226)+COUNTIF('7月'!BG32:BH32,H$226)+COUNTIF('7月'!BL32:BM32,H$226)+COUNTIF('7月'!BQ32:BR32,H$226)+COUNTIF('7月'!BV32:BW32,H$226)+COUNTIF('7月'!CA32:CB32,H$226)+COUNTIF('7月'!CF32:CG32,H$226)+COUNTIF('7月'!CK32:CL32,H$226)+COUNTIF('7月'!CP32:CQ32,H$226)+COUNTIF('7月'!CU32:CV32,H$226)+COUNTIF('7月'!CZ32:DA32,H$226)+COUNTIF('7月'!DE32:DF32,H$226)+COUNTIF('7月'!DJ32:DK32,H$226)+COUNTIF('7月'!DO32:DP32,H$226)+COUNTIF('7月'!DT32:DU32,H$226)+COUNTIF('7月'!DY32:DZ32,H$226)+COUNTIF('7月'!ED32:EE32,H$226)+COUNTIF('7月'!EI32:EJ32,H$226)+COUNTIF('7月'!EN32:EO32,H$226)+COUNTIF('7月'!ES32:ET32,H$226)+COUNTIF('7月'!D32:E32,"渋谷-夜勤")+COUNTIF('7月'!I32:J32,"渋谷-夜勤")+COUNTIF('7月'!N32:O32,"渋谷-夜勤")+COUNTIF('7月'!S32:T32,"渋谷-夜勤")+COUNTIF('7月'!X32:Y32,"渋谷-夜勤")+COUNTIF('7月'!AC32:AD32,"渋谷-夜勤")+COUNTIF('7月'!AH32:AI32,"渋谷-夜勤")+COUNTIF('7月'!AM32:AN32,"渋谷-夜勤")+COUNTIF('7月'!AR32:AS32,"渋谷-夜勤")+COUNTIF('7月'!AW32:AX32,"渋谷-夜勤")+COUNTIF('7月'!BB32:BC32,"渋谷-夜勤")+COUNTIF('7月'!BG32:BH32,"渋谷-夜勤")+COUNTIF('7月'!BL32:BM32,"渋谷-夜勤")+COUNTIF('7月'!BQ32:BR32,"渋谷-夜勤")+COUNTIF('7月'!BV32:BW32,"渋谷-夜勤")+COUNTIF('7月'!CA32:CB32,"渋谷-夜勤")+COUNTIF('7月'!CF32:CG32,"渋谷-夜勤")+COUNTIF('7月'!CK32:CL32,"渋谷-夜勤")+COUNTIF('7月'!CP32:CQ32,"渋谷-夜勤")+COUNTIF('7月'!CU32:CV32,"渋谷-夜勤")+COUNTIF('7月'!CZ32:DA32,"渋谷-夜勤")+COUNTIF('7月'!DE32:DF32,"渋谷-夜勤")+COUNTIF('7月'!DJ32:DK32,"渋谷-夜勤")+COUNTIF('7月'!DO32:DP32,"渋谷-夜勤")+COUNTIF('7月'!DT32:DU32,"渋谷-夜勤")+COUNTIF('7月'!DY32:DZ32,"渋谷-夜勤")+COUNTIF('7月'!ED32:EE32,"渋谷-夜勤")+COUNTIF('7月'!EI32:EJ32,"渋谷-夜勤")+COUNTIF('7月'!EN32:EO32,"渋谷-夜勤")+COUNTIF('7月'!ES32:ET32,"渋谷-夜勤")</f>
        <v>0</v>
      </c>
      <c r="I256" s="76">
        <f t="shared" si="75"/>
        <v>0</v>
      </c>
      <c r="J256" s="76">
        <f>COUNTIF('7月'!D32:E32,J$226)+COUNTIF('7月'!I32:J32,J$226)+COUNTIF('7月'!N32:O32,J$226)+COUNTIF('7月'!S32:T32,J$226)+COUNTIF('7月'!X32:Y32,J$226)+COUNTIF('7月'!AC32:AD32,J$226)+COUNTIF('7月'!AH32:AI32,J$226)+COUNTIF('7月'!AM32:AN32,J$226)+COUNTIF('7月'!AR32:AS32,J$226)+COUNTIF('7月'!AW32:AX32,J$226)+COUNTIF('7月'!BB32:BC32,J$226)+COUNTIF('7月'!BG32:BH32,J$226)+COUNTIF('7月'!BL32:BM32,J$226)+COUNTIF('7月'!BQ32:BR32,J$226)+COUNTIF('7月'!BV32:BW32,J$226)+COUNTIF('7月'!CA32:CB32,J$226)+COUNTIF('7月'!CF32:CG32,J$226)+COUNTIF('7月'!CK32:CL32,J$226)+COUNTIF('7月'!CP32:CQ32,J$226)+COUNTIF('7月'!CU32:CV32,J$226)+COUNTIF('7月'!CZ32:DA32,J$226)+COUNTIF('7月'!DE32:DF32,J$226)+COUNTIF('7月'!DJ32:DK32,J$226)+COUNTIF('7月'!DO32:DP32,J$226)+COUNTIF('7月'!DT32:DU32,J$226)+COUNTIF('7月'!DY32:DZ32,J$226)+COUNTIF('7月'!ED32:EE32,J$226)+COUNTIF('7月'!EI32:EJ32,J$226)+COUNTIF('7月'!EN32:EO32,J$226)+COUNTIF('7月'!ES32:ET32,J$226)+COUNTIF('7月'!D32:E32,"六本木-夜勤")+COUNTIF('7月'!I32:J32,"六本木-夜勤")+COUNTIF('7月'!N32:O32,"六本木-夜勤")+COUNTIF('7月'!S32:T32,"六本木-夜勤")+COUNTIF('7月'!X32:Y32,"六本木-夜勤")+COUNTIF('7月'!AC32:AD32,"六本木-夜勤")+COUNTIF('7月'!AH32:AI32,"六本木-夜勤")+COUNTIF('7月'!AM32:AN32,"六本木-夜勤")+COUNTIF('7月'!AR32:AS32,"六本木-夜勤")+COUNTIF('7月'!AW32:AX32,"六本木-夜勤")+COUNTIF('7月'!BB32:BC32,"六本木-夜勤")+COUNTIF('7月'!BG32:BH32,"六本木-夜勤")+COUNTIF('7月'!BL32:BM32,"六本木-夜勤")+COUNTIF('7月'!BQ32:BR32,"六本木-夜勤")+COUNTIF('7月'!BV32:BW32,"六本木-夜勤")+COUNTIF('7月'!CA32:CB32,"六本木-夜勤")+COUNTIF('7月'!CF32:CG32,"六本木-夜勤")+COUNTIF('7月'!CK32:CL32,"六本木-夜勤")+COUNTIF('7月'!CP32:CQ32,"六本木-夜勤")+COUNTIF('7月'!CU32:CV32,"六本木-夜勤")+COUNTIF('7月'!CZ32:DA32,"六本木-夜勤")+COUNTIF('7月'!DE32:DF32,"六本木-夜勤")+COUNTIF('7月'!DJ32:DK32,"六本木-夜勤")+COUNTIF('7月'!DO32:DP32,"六本木-夜勤")+COUNTIF('7月'!DT32:DU32,"六本木-夜勤")+COUNTIF('7月'!DY32:DZ32,"六本木-夜勤")+COUNTIF('7月'!ED32:EE32,"六本木-夜勤")+COUNTIF('7月'!EI32:EJ32,"六本木-夜勤")+COUNTIF('7月'!EN32:EO32,"六本木-夜勤")+COUNTIF('7月'!ES32:ET32,"六本木-夜勤")+COUNTIF('7月'!D32:E32,"六本木ー夜勤")+COUNTIF('7月'!I32:J32,"六本木ー夜勤")+COUNTIF('7月'!N32:O32,"六本木ー夜勤")+COUNTIF('7月'!S32:T32,"六本木ー夜勤")+COUNTIF('7月'!X32:Y32,"六本木ー夜勤")+COUNTIF('7月'!AC32:AD32,"六本木ー夜勤")+COUNTIF('7月'!AH32:AI32,"六本木ー夜勤")+COUNTIF('7月'!AM32:AN32,"六本木ー夜勤")+COUNTIF('7月'!AR32:AS32,"六本木ー夜勤")+COUNTIF('7月'!AW32:AX32,"六本木ー夜勤")+COUNTIF('7月'!BB32:BC32,"六本木ー夜勤")+COUNTIF('7月'!BG32:BH32,"六本木ー夜勤")+COUNTIF('7月'!BL32:BM32,"六本木ー夜勤")+COUNTIF('7月'!BQ32:BR32,"六本木ー夜勤")+COUNTIF('7月'!BV32:BW32,"六本木ー夜勤")+COUNTIF('7月'!CA32:CB32,"六本木ー夜勤")+COUNTIF('7月'!CF32:CG32,"六本木ー夜勤")+COUNTIF('7月'!CK32:CL32,"六本木ー夜勤")+COUNTIF('7月'!CP32:CQ32,"六本木ー夜勤")+COUNTIF('7月'!CU32:CV32,"六本木ー夜勤")+COUNTIF('7月'!CZ32:DA32,"六本木ー夜勤")+COUNTIF('7月'!DE32:DF32,"六本木ー夜勤")+COUNTIF('7月'!DJ32:DK32,"六本木ー夜勤")+COUNTIF('7月'!DO32:DP32,"六本木ー夜勤")+COUNTIF('7月'!DT32:DU32,"六本木ー夜勤")+COUNTIF('7月'!DY32:DZ32,"六本木ー夜勤")+COUNTIF('7月'!ED32:EE32,"六本木ー夜勤")+COUNTIF('7月'!EI32:EJ32,"六本木ー夜勤")+COUNTIF('7月'!EN32:EO32,"六本木ー夜勤")+COUNTIF('7月'!ES32:ET32,"六本木ー夜勤")</f>
        <v>0</v>
      </c>
      <c r="K256" s="76">
        <f t="shared" si="76"/>
        <v>0</v>
      </c>
      <c r="L256" s="76">
        <f>COUNTIF('7月'!D32:E32,L$226)+COUNTIF('7月'!I32:J32,L$226)+COUNTIF('7月'!N32:O32,L$226)+COUNTIF('7月'!S32:T32,L$226)+COUNTIF('7月'!X32:Y32,L$226)+COUNTIF('7月'!AC32:AD32,L$226)+COUNTIF('7月'!AH32:AI32,L$226)+COUNTIF('7月'!AM32:AN32,L$226)+COUNTIF('7月'!AR32:AS32,L$226)+COUNTIF('7月'!AW32:AX32,L$226)+COUNTIF('7月'!BB32:BC32,L$226)+COUNTIF('7月'!BG32:BH32,L$226)+COUNTIF('7月'!BL32:BM32,L$226)+COUNTIF('7月'!BQ32:BR32,L$226)+COUNTIF('7月'!BV32:BW32,L$226)+COUNTIF('7月'!CA32:CB32,L$226)+COUNTIF('7月'!CF32:CG32,L$226)+COUNTIF('7月'!CK32:CL32,L$226)+COUNTIF('7月'!CP32:CQ32,L$226)+COUNTIF('7月'!CU32:CV32,L$226)+COUNTIF('7月'!CZ32:DA32,L$226)+COUNTIF('7月'!DE32:DF32,L$226)+COUNTIF('7月'!DJ32:DK32,L$226)+COUNTIF('7月'!DO32:DP32,L$226)+COUNTIF('7月'!DT32:DU32,L$226)+COUNTIF('7月'!DY32:DZ32,L$226)+COUNTIF('7月'!ED32:EE32,L$226)+COUNTIF('7月'!EI32:EJ32,L$226)+COUNTIF('7月'!EN32:EO32,L$226)+COUNTIF('7月'!ES32:ET32,L$226)</f>
        <v>0</v>
      </c>
      <c r="M256" s="76">
        <f t="shared" si="77"/>
        <v>0</v>
      </c>
      <c r="N256" s="76">
        <f>COUNTIF('7月'!D32:E32,N$226)+COUNTIF('7月'!I32:J32,N$226)+COUNTIF('7月'!N32:O32,N$226)+COUNTIF('7月'!S32:T32,N$226)+COUNTIF('7月'!X32:Y32,N$226)+COUNTIF('7月'!AC32:AD32,N$226)+COUNTIF('7月'!AH32:AI32,N$226)+COUNTIF('7月'!AM32:AN32,N$226)+COUNTIF('7月'!AR32:AS32,N$226)+COUNTIF('7月'!AW32:AX32,N$226)+COUNTIF('7月'!BB32:BC32,N$226)+COUNTIF('7月'!BG32:BH32,N$226)+COUNTIF('7月'!BL32:BM32,N$226)+COUNTIF('7月'!BQ32:BR32,N$226)+COUNTIF('7月'!BV32:BW32,N$226)+COUNTIF('7月'!CA32:CB32,N$226)+COUNTIF('7月'!CF32:CG32,N$226)+COUNTIF('7月'!CK32:CL32,N$226)+COUNTIF('7月'!CP32:CQ32,N$226)+COUNTIF('7月'!CU32:CV32,N$226)+COUNTIF('7月'!CZ32:DA32,N$226)+COUNTIF('7月'!DE32:DF32,N$226)+COUNTIF('7月'!DJ32:DK32,N$226)+COUNTIF('7月'!DO32:DP32,N$226)+COUNTIF('7月'!DT32:DU32,N$226)+COUNTIF('7月'!DY32:DZ32,N$226)+COUNTIF('7月'!ED32:EE32,N$226)+COUNTIF('7月'!EI32:EJ32,N$226)+COUNTIF('7月'!EN32:EO32,N$226)+COUNTIF('7月'!ES32:ET32,N$226)+COUNTIF('7月'!D32:E32,"三軒茶屋－夜勤")+COUNTIF('7月'!I32:J32,"三軒茶屋－夜勤")+COUNTIF('7月'!N32:O32,"三軒茶屋－夜勤")+COUNTIF('7月'!S32:T32,"三軒茶屋－夜勤")+COUNTIF('7月'!X32:Y32,"三軒茶屋－夜勤")+COUNTIF('7月'!AC32:AD32,"三軒茶屋－夜勤")+COUNTIF('7月'!AH32:AI32,"三軒茶屋－夜勤")+COUNTIF('7月'!AM32:AN32,"三軒茶屋－夜勤")+COUNTIF('7月'!AR32:AS32,"三軒茶屋－夜勤")+COUNTIF('7月'!AW32:AX32,"三軒茶屋－夜勤")+COUNTIF('7月'!BB32:BC32,"三軒茶屋－夜勤")+COUNTIF('7月'!BG32:BH32,"三軒茶屋－夜勤")+COUNTIF('7月'!BL32:BM32,"三軒茶屋－夜勤")+COUNTIF('7月'!BQ32:BR32,"三軒茶屋－夜勤")+COUNTIF('7月'!BV32:BW32,"三軒茶屋－夜勤")+COUNTIF('7月'!CA32:CB32,"三軒茶屋－夜勤")+COUNTIF('7月'!CF32:CG32,"三軒茶屋－夜勤")+COUNTIF('7月'!CK32:CL32,"三軒茶屋－夜勤")+COUNTIF('7月'!CP32:CQ32,"三軒茶屋－夜勤")+COUNTIF('7月'!CU32:CV32,"三軒茶屋－夜勤")+COUNTIF('7月'!CZ32:DA32,"三軒茶屋－夜勤")+COUNTIF('7月'!DE32:DF32,"三軒茶屋－夜勤")+COUNTIF('7月'!DJ32:DK32,"三軒茶屋－夜勤")+COUNTIF('7月'!DO32:DP32,"三軒茶屋－夜勤")+COUNTIF('7月'!DT32:DU32,"三軒茶屋－夜勤")+COUNTIF('7月'!DY32:DZ32,"三軒茶屋－夜勤")+COUNTIF('7月'!ED32:EE32,"三軒茶屋－夜勤")+COUNTIF('7月'!EI32:EJ32,"三軒茶屋－夜勤")+COUNTIF('7月'!EN32:EO32,"三軒茶屋－夜勤")+COUNTIF('7月'!ES32:ET32,"三軒茶屋－夜勤")</f>
        <v>0</v>
      </c>
      <c r="O256" s="76">
        <f t="shared" si="78"/>
        <v>0</v>
      </c>
      <c r="P256" s="76">
        <f>COUNTIF('7月'!D32:E32,P$226)+COUNTIF('7月'!I32:J32,P$226)+COUNTIF('7月'!N32:O32,P$226)+COUNTIF('7月'!S32:T32,P$226)+COUNTIF('7月'!X32:Y32,P$226)+COUNTIF('7月'!AC32:AD32,P$226)+COUNTIF('7月'!AH32:AI32,P$226)+COUNTIF('7月'!AM32:AN32,P$226)+COUNTIF('7月'!AR32:AS32,P$226)+COUNTIF('7月'!AW32:AX32,P$226)+COUNTIF('7月'!BB32:BC32,P$226)+COUNTIF('7月'!BG32:BH32,P$226)+COUNTIF('7月'!BL32:BM32,P$226)+COUNTIF('7月'!BQ32:BR32,P$226)+COUNTIF('7月'!BV32:BW32,P$226)+COUNTIF('7月'!CA32:CB32,P$226)+COUNTIF('7月'!CF32:CG32,P$226)+COUNTIF('7月'!CK32:CL32,P$226)+COUNTIF('7月'!CP32:CQ32,P$226)+COUNTIF('7月'!CU32:CV32,P$226)+COUNTIF('7月'!CZ32:DA32,P$226)+COUNTIF('7月'!DE32:DF32,P$226)+COUNTIF('7月'!DJ32:DK32,P$226)+COUNTIF('7月'!DO32:DP32,P$226)+COUNTIF('7月'!DT32:DU32,P$226)+COUNTIF('7月'!DY32:DZ32,P$226)+COUNTIF('7月'!ED32:EE32,P$226)+COUNTIF('7月'!EI32:EJ32,P$226)+COUNTIF('7月'!EN32:EO32,P$226)+COUNTIF('7月'!ES32:ET32,P$226)+COUNTIF('7月'!D32:E32,"荻窪ー夜勤")+COUNTIF('7月'!I32:J32,"荻窪ー夜勤")+COUNTIF('7月'!N32:O32,"荻窪ー夜勤")+COUNTIF('7月'!S32:T32,"荻窪ー夜勤")+COUNTIF('7月'!X32:Y32,"荻窪ー夜勤")+COUNTIF('7月'!AC32:AD32,"荻窪ー夜勤")+COUNTIF('7月'!AH32:AI32,"荻窪ー夜勤")+COUNTIF('7月'!AM32:AN32,"荻窪ー夜勤")+COUNTIF('7月'!AR32:AS32,"荻窪ー夜勤")+COUNTIF('7月'!AW32:AX32,"荻窪ー夜勤")+COUNTIF('7月'!BB32:BC32,"荻窪ー夜勤")+COUNTIF('7月'!BG32:BH32,"荻窪ー夜勤")+COUNTIF('7月'!BL32:BM32,"荻窪ー夜勤")+COUNTIF('7月'!BQ32:BR32,"荻窪ー夜勤")+COUNTIF('7月'!BV32:BW32,"荻窪ー夜勤")+COUNTIF('7月'!CA32:CB32,"荻窪ー夜勤")+COUNTIF('7月'!CF32:CG32,"荻窪ー夜勤")+COUNTIF('7月'!CK32:CL32,"荻窪ー夜勤")+COUNTIF('7月'!CP32:CQ32,"荻窪ー夜勤")+COUNTIF('7月'!CU32:CV32,"荻窪ー夜勤")+COUNTIF('7月'!CZ32:DA32,"荻窪ー夜勤")+COUNTIF('7月'!DE32:DF32,"荻窪ー夜勤")+COUNTIF('7月'!DJ32:DK32,"荻窪ー夜勤")+COUNTIF('7月'!DO32:DP32,"荻窪ー夜勤")+COUNTIF('7月'!DT32:DU32,"荻窪ー夜勤")+COUNTIF('7月'!DY32:DZ32,"荻窪ー夜勤")+COUNTIF('7月'!ED32:EE32,"荻窪ー夜勤")+COUNTIF('7月'!EI32:EJ32,"荻窪ー夜勤")+COUNTIF('7月'!EN32:EO32,"荻窪ー夜勤")+COUNTIF('7月'!ES32:ET32,"荻窪ー夜勤")</f>
        <v>0</v>
      </c>
      <c r="Q256" s="76">
        <f t="shared" si="79"/>
        <v>0</v>
      </c>
      <c r="R256" s="76">
        <f>COUNTIF('7月'!D32:E32,R$226)+COUNTIF('7月'!I32:J32,R$226)+COUNTIF('7月'!N32:O32,R$226)+COUNTIF('7月'!S32:T32,R$226)+COUNTIF('7月'!X32:Y32,R$226)+COUNTIF('7月'!AC32:AD32,R$226)+COUNTIF('7月'!AH32:AI32,R$226)+COUNTIF('7月'!AM32:AN32,R$226)+COUNTIF('7月'!AR32:AS32,R$226)+COUNTIF('7月'!AW32:AX32,R$226)+COUNTIF('7月'!BB32:BC32,R$226)+COUNTIF('7月'!BG32:BH32,R$226)+COUNTIF('7月'!BL32:BM32,R$226)+COUNTIF('7月'!BQ32:BR32,R$226)+COUNTIF('7月'!BV32:BW32,R$226)+COUNTIF('7月'!CA32:CB32,R$226)+COUNTIF('7月'!CF32:CG32,R$226)+COUNTIF('7月'!CK32:CL32,R$226)+COUNTIF('7月'!CP32:CQ32,R$226)+COUNTIF('7月'!CU32:CV32,R$226)+COUNTIF('7月'!CZ32:DA32,R$226)+COUNTIF('7月'!DE32:DF32,R$226)+COUNTIF('7月'!DJ32:DK32,R$226)+COUNTIF('7月'!DO32:DP32,R$226)+COUNTIF('7月'!DT32:DU32,R$226)+COUNTIF('7月'!DY32:DZ32,R$226)+COUNTIF('7月'!ED32:EE32,R$226)+COUNTIF('7月'!EI32:EJ32,R$226)+COUNTIF('7月'!EN32:EO32,R$226)+COUNTIF('7月'!ES32:ET32,R$226)</f>
        <v>0</v>
      </c>
      <c r="S256" s="76">
        <f t="shared" si="80"/>
        <v>0</v>
      </c>
      <c r="T256" s="76">
        <f>COUNTIF('7月'!D32:E32,T$226)+COUNTIF('7月'!I32:J32,T$226)+COUNTIF('7月'!N32:O32,T$226)+COUNTIF('7月'!S32:T32,T$226)+COUNTIF('7月'!X32:Y32,T$226)+COUNTIF('7月'!AC32:AD32,T$226)+COUNTIF('7月'!AH32:AI32,T$226)+COUNTIF('7月'!AM32:AN32,T$226)+COUNTIF('7月'!AR32:AS32,T$226)+COUNTIF('7月'!AW32:AX32,T$226)+COUNTIF('7月'!BB32:BC32,T$226)+COUNTIF('7月'!BG32:BH32,T$226)+COUNTIF('7月'!BL32:BM32,T$226)+COUNTIF('7月'!BQ32:BR32,T$226)+COUNTIF('7月'!BV32:BW32,T$226)+COUNTIF('7月'!CA32:CB32,T$226)+COUNTIF('7月'!CF32:CG32,T$226)+COUNTIF('7月'!CK32:CL32,T$226)+COUNTIF('7月'!CP32:CQ32,T$226)+COUNTIF('7月'!CU32:CV32,T$226)+COUNTIF('7月'!CZ32:DA32,T$226)+COUNTIF('7月'!DE32:DF32,T$226)+COUNTIF('7月'!DJ32:DK32,T$226)+COUNTIF('7月'!DO32:DP32,T$226)+COUNTIF('7月'!DT32:DU32,T$226)+COUNTIF('7月'!DY32:DZ32,T$226)+COUNTIF('7月'!ED32:EE32,T$226)+COUNTIF('7月'!EI32:EJ32,T$226)+COUNTIF('7月'!EN32:EO32,T$226)+COUNTIF('7月'!ES32:ET32,T$226)</f>
        <v>0</v>
      </c>
      <c r="U256" s="76">
        <f t="shared" si="81"/>
        <v>0</v>
      </c>
      <c r="V256" s="76">
        <f>COUNTIF('7月'!D32:E32,V$226)+COUNTIF('7月'!I32:J32,V$226)+COUNTIF('7月'!N32:O32,V$226)+COUNTIF('7月'!S32:T32,V$226)+COUNTIF('7月'!X32:Y32,V$226)+COUNTIF('7月'!AC32:AD32,V$226)+COUNTIF('7月'!AH32:AI32,V$226)+COUNTIF('7月'!AM32:AN32,V$226)+COUNTIF('7月'!AR32:AS32,V$226)+COUNTIF('7月'!AW32:AX32,V$226)+COUNTIF('7月'!BB32:BC32,V$226)+COUNTIF('7月'!BG32:BH32,V$226)+COUNTIF('7月'!BL32:BM32,V$226)+COUNTIF('7月'!BQ32:BR32,V$226)+COUNTIF('7月'!BV32:BW32,V$226)+COUNTIF('7月'!CA32:CB32,V$226)+COUNTIF('7月'!CF32:CG32,V$226)+COUNTIF('7月'!CK32:CL32,V$226)+COUNTIF('7月'!CP32:CQ32,V$226)+COUNTIF('7月'!CU32:CV32,V$226)+COUNTIF('7月'!CZ32:DA32,V$226)+COUNTIF('7月'!DE32:DF32,V$226)+COUNTIF('7月'!DJ32:DK32,V$226)+COUNTIF('7月'!DO32:DP32,V$226)+COUNTIF('7月'!DT32:DU32,V$226)+COUNTIF('7月'!DY32:DZ32,V$226)+COUNTIF('7月'!ED32:EE32,V$226)+COUNTIF('7月'!EI32:EJ32,V$226)+COUNTIF('7月'!EN32:EO32,V$226)+COUNTIF('7月'!ES32:ET32,V$226)</f>
        <v>0</v>
      </c>
      <c r="W256" s="76">
        <f t="shared" si="82"/>
        <v>0</v>
      </c>
      <c r="X256" s="76">
        <f>COUNTIF('7月'!D32:E32,X$226)+COUNTIF('7月'!I32:J32,X$226)+COUNTIF('7月'!N32:O32,X$226)+COUNTIF('7月'!S32:T32,X$226)+COUNTIF('7月'!X32:Y32,X$226)+COUNTIF('7月'!AC32:AD32,X$226)+COUNTIF('7月'!AH32:AI32,X$226)+COUNTIF('7月'!AM32:AN32,X$226)+COUNTIF('7月'!AR32:AS32,X$226)+COUNTIF('7月'!AW32:AX32,X$226)+COUNTIF('7月'!BB32:BC32,X$226)+COUNTIF('7月'!BG32:BH32,X$226)+COUNTIF('7月'!BL32:BM32,X$226)+COUNTIF('7月'!BQ32:BR32,X$226)+COUNTIF('7月'!BV32:BW32,X$226)+COUNTIF('7月'!CA32:CB32,X$226)+COUNTIF('7月'!CF32:CG32,X$226)+COUNTIF('7月'!CK32:CL32,X$226)+COUNTIF('7月'!CP32:CQ32,X$226)+COUNTIF('7月'!CU32:CV32,X$226)+COUNTIF('7月'!CZ32:DA32,X$226)+COUNTIF('7月'!DE32:DF32,X$226)+COUNTIF('7月'!DJ32:DK32,X$226)+COUNTIF('7月'!DO32:DP32,X$226)+COUNTIF('7月'!DT32:DU32,X$226)+COUNTIF('7月'!DY32:DZ32,X$226)+COUNTIF('7月'!ED32:EE32,X$226)+COUNTIF('7月'!EI32:EJ32,X$226)+COUNTIF('7月'!EN32:EO32,X$226)+COUNTIF('7月'!ES32:ET32,X$226)</f>
        <v>0</v>
      </c>
      <c r="Y256" s="76">
        <f t="shared" si="83"/>
        <v>0</v>
      </c>
    </row>
    <row r="257" spans="1:25" ht="18" customHeight="1">
      <c r="A257" s="76">
        <v>30</v>
      </c>
      <c r="B257" s="76">
        <f>COUNTIF('7月'!D33:E33,B$226)+COUNTIF('7月'!I33:J33,B$226)+COUNTIF('7月'!N33:O33,B$226)+COUNTIF('7月'!S33:T33,B$226)+COUNTIF('7月'!X33:Y33,B$226)+COUNTIF('7月'!AC33:AD33,B$226)+COUNTIF('7月'!AH33:AI33,B$226)+COUNTIF('7月'!AM33:AN33,B$226)+COUNTIF('7月'!AR33:AS33,B$226)+COUNTIF('7月'!AW33:AX33,B$226)+COUNTIF('7月'!BB33:BC33,B$226)+COUNTIF('7月'!BG33:BH33,B$226)+COUNTIF('7月'!BL33:BM33,B$226)+COUNTIF('7月'!BQ33:BR33,B$226)+COUNTIF('7月'!BV33:BW33,B$226)+COUNTIF('7月'!CA33:CB33,B$226)+COUNTIF('7月'!CF33:CG33,B$226)+COUNTIF('7月'!CK33:CL33,B$226)+COUNTIF('7月'!CP33:CQ33,B$226)+COUNTIF('7月'!CU33:CV33,B$226)+COUNTIF('7月'!CZ33:DA33,B$226)+COUNTIF('7月'!DE33:DF33,B$226)+COUNTIF('7月'!DJ33:DK33,B$226)+COUNTIF('7月'!DO33:DP33,B$226)+COUNTIF('7月'!DT33:DU33,B$226)+COUNTIF('7月'!DY33:DZ33,B$226)+COUNTIF('7月'!ED33:EE33,B$226)+COUNTIF('7月'!EI33:EJ33,B$226)+COUNTIF('7月'!EN33:EO33,B$226)+COUNTIF('7月'!ES33:ET33,B$226)</f>
        <v>0</v>
      </c>
      <c r="C257" s="76">
        <f t="shared" si="72"/>
        <v>0</v>
      </c>
      <c r="D257" s="76">
        <f>COUNTIF('7月'!D33:E33,D$226)+COUNTIF('7月'!I33:J33,D$226)+COUNTIF('7月'!N33:O33,D$226)+COUNTIF('7月'!S33:T33,D$226)+COUNTIF('7月'!X33:Y33,D$226)+COUNTIF('7月'!AC33:AD33,D$226)+COUNTIF('7月'!AH33:AI33,D$226)+COUNTIF('7月'!AM33:AN33,D$226)+COUNTIF('7月'!AR33:AS33,D$226)+COUNTIF('7月'!AW33:AX33,D$226)+COUNTIF('7月'!BB33:BC33,D$226)+COUNTIF('7月'!BG33:BH33,D$226)+COUNTIF('7月'!BL33:BM33,D$226)+COUNTIF('7月'!BQ33:BR33,D$226)+COUNTIF('7月'!BV33:BW33,D$226)+COUNTIF('7月'!CA33:CB33,D$226)+COUNTIF('7月'!CF33:CG33,D$226)+COUNTIF('7月'!CK33:CL33,D$226)+COUNTIF('7月'!CP33:CQ33,D$226)+COUNTIF('7月'!CU33:CV33,D$226)+COUNTIF('7月'!CZ33:DA33,D$226)+COUNTIF('7月'!DE33:DF33,D$226)+COUNTIF('7月'!DJ33:DK33,D$226)+COUNTIF('7月'!DO33:DP33,D$226)+COUNTIF('7月'!DT33:DU33,D$226)+COUNTIF('7月'!DY33:DZ33,D$226)+COUNTIF('7月'!ED33:EE33,D$226)+COUNTIF('7月'!EI33:EJ33,D$226)+COUNTIF('7月'!EN33:EO33,D$226)+COUNTIF('7月'!ES33:ET33,D$226)</f>
        <v>0</v>
      </c>
      <c r="E257" s="76">
        <f t="shared" si="73"/>
        <v>0</v>
      </c>
      <c r="F257" s="76">
        <f>COUNTIF('7月'!D33:E33,F$226)+COUNTIF('7月'!I33:J33,F$226)+COUNTIF('7月'!N33:O33,F$226)+COUNTIF('7月'!S33:T33,F$226)+COUNTIF('7月'!X33:Y33,F$226)+COUNTIF('7月'!AC33:AD33,F$226)+COUNTIF('7月'!AH33:AI33,F$226)+COUNTIF('7月'!AM33:AN33,F$226)+COUNTIF('7月'!AR33:AS33,F$226)+COUNTIF('7月'!AW33:AX33,F$226)+COUNTIF('7月'!BB33:BC33,F$226)+COUNTIF('7月'!BG33:BH33,F$226)+COUNTIF('7月'!BL33:BM33,F$226)+COUNTIF('7月'!BQ33:BR33,F$226)+COUNTIF('7月'!BV33:BW33,F$226)+COUNTIF('7月'!CA33:CB33,F$226)+COUNTIF('7月'!CF33:CG33,F$226)+COUNTIF('7月'!CK33:CL33,F$226)+COUNTIF('7月'!CP33:CQ33,F$226)+COUNTIF('7月'!CU33:CV33,F$226)+COUNTIF('7月'!CZ33:DA33,F$226)+COUNTIF('7月'!DE33:DF33,F$226)+COUNTIF('7月'!DJ33:DK33,F$226)+COUNTIF('7月'!DO33:DP33,F$226)+COUNTIF('7月'!DT33:DU33,F$226)+COUNTIF('7月'!DY33:DZ33,F$226)+COUNTIF('7月'!ED33:EE33,F$226)+COUNTIF('7月'!EI33:EJ33,F$226)+COUNTIF('7月'!EN33:EO33,F$226)+COUNTIF('7月'!ES33:ET33,F$226)</f>
        <v>0</v>
      </c>
      <c r="G257" s="76">
        <f t="shared" si="74"/>
        <v>0</v>
      </c>
      <c r="H257" s="76">
        <f>COUNTIF('7月'!D33:E33,H$226)+COUNTIF('7月'!I33:J33,H$226)+COUNTIF('7月'!N33:O33,H$226)+COUNTIF('7月'!S33:T33,H$226)+COUNTIF('7月'!X33:Y33,H$226)+COUNTIF('7月'!AC33:AD33,H$226)+COUNTIF('7月'!AH33:AI33,H$226)+COUNTIF('7月'!AM33:AN33,H$226)+COUNTIF('7月'!AR33:AS33,H$226)+COUNTIF('7月'!AW33:AX33,H$226)+COUNTIF('7月'!BB33:BC33,H$226)+COUNTIF('7月'!BG33:BH33,H$226)+COUNTIF('7月'!BL33:BM33,H$226)+COUNTIF('7月'!BQ33:BR33,H$226)+COUNTIF('7月'!BV33:BW33,H$226)+COUNTIF('7月'!CA33:CB33,H$226)+COUNTIF('7月'!CF33:CG33,H$226)+COUNTIF('7月'!CK33:CL33,H$226)+COUNTIF('7月'!CP33:CQ33,H$226)+COUNTIF('7月'!CU33:CV33,H$226)+COUNTIF('7月'!CZ33:DA33,H$226)+COUNTIF('7月'!DE33:DF33,H$226)+COUNTIF('7月'!DJ33:DK33,H$226)+COUNTIF('7月'!DO33:DP33,H$226)+COUNTIF('7月'!DT33:DU33,H$226)+COUNTIF('7月'!DY33:DZ33,H$226)+COUNTIF('7月'!ED33:EE33,H$226)+COUNTIF('7月'!EI33:EJ33,H$226)+COUNTIF('7月'!EN33:EO33,H$226)+COUNTIF('7月'!ES33:ET33,H$226)+COUNTIF('7月'!D33:E33,"渋谷-夜勤")+COUNTIF('7月'!I33:J33,"渋谷-夜勤")+COUNTIF('7月'!N33:O33,"渋谷-夜勤")+COUNTIF('7月'!S33:T33,"渋谷-夜勤")+COUNTIF('7月'!X33:Y33,"渋谷-夜勤")+COUNTIF('7月'!AC33:AD33,"渋谷-夜勤")+COUNTIF('7月'!AH33:AI33,"渋谷-夜勤")+COUNTIF('7月'!AM33:AN33,"渋谷-夜勤")+COUNTIF('7月'!AR33:AS33,"渋谷-夜勤")+COUNTIF('7月'!AW33:AX33,"渋谷-夜勤")+COUNTIF('7月'!BB33:BC33,"渋谷-夜勤")+COUNTIF('7月'!BG33:BH33,"渋谷-夜勤")+COUNTIF('7月'!BL33:BM33,"渋谷-夜勤")+COUNTIF('7月'!BQ33:BR33,"渋谷-夜勤")+COUNTIF('7月'!BV33:BW33,"渋谷-夜勤")+COUNTIF('7月'!CA33:CB33,"渋谷-夜勤")+COUNTIF('7月'!CF33:CG33,"渋谷-夜勤")+COUNTIF('7月'!CK33:CL33,"渋谷-夜勤")+COUNTIF('7月'!CP33:CQ33,"渋谷-夜勤")+COUNTIF('7月'!CU33:CV33,"渋谷-夜勤")+COUNTIF('7月'!CZ33:DA33,"渋谷-夜勤")+COUNTIF('7月'!DE33:DF33,"渋谷-夜勤")+COUNTIF('7月'!DJ33:DK33,"渋谷-夜勤")+COUNTIF('7月'!DO33:DP33,"渋谷-夜勤")+COUNTIF('7月'!DT33:DU33,"渋谷-夜勤")+COUNTIF('7月'!DY33:DZ33,"渋谷-夜勤")+COUNTIF('7月'!ED33:EE33,"渋谷-夜勤")+COUNTIF('7月'!EI33:EJ33,"渋谷-夜勤")+COUNTIF('7月'!EN33:EO33,"渋谷-夜勤")+COUNTIF('7月'!ES33:ET33,"渋谷-夜勤")</f>
        <v>0</v>
      </c>
      <c r="I257" s="76">
        <f t="shared" si="75"/>
        <v>0</v>
      </c>
      <c r="J257" s="76">
        <f>COUNTIF('7月'!D33:E33,J$226)+COUNTIF('7月'!I33:J33,J$226)+COUNTIF('7月'!N33:O33,J$226)+COUNTIF('7月'!S33:T33,J$226)+COUNTIF('7月'!X33:Y33,J$226)+COUNTIF('7月'!AC33:AD33,J$226)+COUNTIF('7月'!AH33:AI33,J$226)+COUNTIF('7月'!AM33:AN33,J$226)+COUNTIF('7月'!AR33:AS33,J$226)+COUNTIF('7月'!AW33:AX33,J$226)+COUNTIF('7月'!BB33:BC33,J$226)+COUNTIF('7月'!BG33:BH33,J$226)+COUNTIF('7月'!BL33:BM33,J$226)+COUNTIF('7月'!BQ33:BR33,J$226)+COUNTIF('7月'!BV33:BW33,J$226)+COUNTIF('7月'!CA33:CB33,J$226)+COUNTIF('7月'!CF33:CG33,J$226)+COUNTIF('7月'!CK33:CL33,J$226)+COUNTIF('7月'!CP33:CQ33,J$226)+COUNTIF('7月'!CU33:CV33,J$226)+COUNTIF('7月'!CZ33:DA33,J$226)+COUNTIF('7月'!DE33:DF33,J$226)+COUNTIF('7月'!DJ33:DK33,J$226)+COUNTIF('7月'!DO33:DP33,J$226)+COUNTIF('7月'!DT33:DU33,J$226)+COUNTIF('7月'!DY33:DZ33,J$226)+COUNTIF('7月'!ED33:EE33,J$226)+COUNTIF('7月'!EI33:EJ33,J$226)+COUNTIF('7月'!EN33:EO33,J$226)+COUNTIF('7月'!ES33:ET33,J$226)+COUNTIF('7月'!D33:E33,"六本木-夜勤")+COUNTIF('7月'!I33:J33,"六本木-夜勤")+COUNTIF('7月'!N33:O33,"六本木-夜勤")+COUNTIF('7月'!S33:T33,"六本木-夜勤")+COUNTIF('7月'!X33:Y33,"六本木-夜勤")+COUNTIF('7月'!AC33:AD33,"六本木-夜勤")+COUNTIF('7月'!AH33:AI33,"六本木-夜勤")+COUNTIF('7月'!AM33:AN33,"六本木-夜勤")+COUNTIF('7月'!AR33:AS33,"六本木-夜勤")+COUNTIF('7月'!AW33:AX33,"六本木-夜勤")+COUNTIF('7月'!BB33:BC33,"六本木-夜勤")+COUNTIF('7月'!BG33:BH33,"六本木-夜勤")+COUNTIF('7月'!BL33:BM33,"六本木-夜勤")+COUNTIF('7月'!BQ33:BR33,"六本木-夜勤")+COUNTIF('7月'!BV33:BW33,"六本木-夜勤")+COUNTIF('7月'!CA33:CB33,"六本木-夜勤")+COUNTIF('7月'!CF33:CG33,"六本木-夜勤")+COUNTIF('7月'!CK33:CL33,"六本木-夜勤")+COUNTIF('7月'!CP33:CQ33,"六本木-夜勤")+COUNTIF('7月'!CU33:CV33,"六本木-夜勤")+COUNTIF('7月'!CZ33:DA33,"六本木-夜勤")+COUNTIF('7月'!DE33:DF33,"六本木-夜勤")+COUNTIF('7月'!DJ33:DK33,"六本木-夜勤")+COUNTIF('7月'!DO33:DP33,"六本木-夜勤")+COUNTIF('7月'!DT33:DU33,"六本木-夜勤")+COUNTIF('7月'!DY33:DZ33,"六本木-夜勤")+COUNTIF('7月'!ED33:EE33,"六本木-夜勤")+COUNTIF('7月'!EI33:EJ33,"六本木-夜勤")+COUNTIF('7月'!EN33:EO33,"六本木-夜勤")+COUNTIF('7月'!ES33:ET33,"六本木-夜勤")+COUNTIF('7月'!D33:E33,"六本木ー夜勤")+COUNTIF('7月'!I33:J33,"六本木ー夜勤")+COUNTIF('7月'!N33:O33,"六本木ー夜勤")+COUNTIF('7月'!S33:T33,"六本木ー夜勤")+COUNTIF('7月'!X33:Y33,"六本木ー夜勤")+COUNTIF('7月'!AC33:AD33,"六本木ー夜勤")+COUNTIF('7月'!AH33:AI33,"六本木ー夜勤")+COUNTIF('7月'!AM33:AN33,"六本木ー夜勤")+COUNTIF('7月'!AR33:AS33,"六本木ー夜勤")+COUNTIF('7月'!AW33:AX33,"六本木ー夜勤")+COUNTIF('7月'!BB33:BC33,"六本木ー夜勤")+COUNTIF('7月'!BG33:BH33,"六本木ー夜勤")+COUNTIF('7月'!BL33:BM33,"六本木ー夜勤")+COUNTIF('7月'!BQ33:BR33,"六本木ー夜勤")+COUNTIF('7月'!BV33:BW33,"六本木ー夜勤")+COUNTIF('7月'!CA33:CB33,"六本木ー夜勤")+COUNTIF('7月'!CF33:CG33,"六本木ー夜勤")+COUNTIF('7月'!CK33:CL33,"六本木ー夜勤")+COUNTIF('7月'!CP33:CQ33,"六本木ー夜勤")+COUNTIF('7月'!CU33:CV33,"六本木ー夜勤")+COUNTIF('7月'!CZ33:DA33,"六本木ー夜勤")+COUNTIF('7月'!DE33:DF33,"六本木ー夜勤")+COUNTIF('7月'!DJ33:DK33,"六本木ー夜勤")+COUNTIF('7月'!DO33:DP33,"六本木ー夜勤")+COUNTIF('7月'!DT33:DU33,"六本木ー夜勤")+COUNTIF('7月'!DY33:DZ33,"六本木ー夜勤")+COUNTIF('7月'!ED33:EE33,"六本木ー夜勤")+COUNTIF('7月'!EI33:EJ33,"六本木ー夜勤")+COUNTIF('7月'!EN33:EO33,"六本木ー夜勤")+COUNTIF('7月'!ES33:ET33,"六本木ー夜勤")</f>
        <v>0</v>
      </c>
      <c r="K257" s="76">
        <f t="shared" si="76"/>
        <v>0</v>
      </c>
      <c r="L257" s="76">
        <f>COUNTIF('7月'!D33:E33,L$226)+COUNTIF('7月'!I33:J33,L$226)+COUNTIF('7月'!N33:O33,L$226)+COUNTIF('7月'!S33:T33,L$226)+COUNTIF('7月'!X33:Y33,L$226)+COUNTIF('7月'!AC33:AD33,L$226)+COUNTIF('7月'!AH33:AI33,L$226)+COUNTIF('7月'!AM33:AN33,L$226)+COUNTIF('7月'!AR33:AS33,L$226)+COUNTIF('7月'!AW33:AX33,L$226)+COUNTIF('7月'!BB33:BC33,L$226)+COUNTIF('7月'!BG33:BH33,L$226)+COUNTIF('7月'!BL33:BM33,L$226)+COUNTIF('7月'!BQ33:BR33,L$226)+COUNTIF('7月'!BV33:BW33,L$226)+COUNTIF('7月'!CA33:CB33,L$226)+COUNTIF('7月'!CF33:CG33,L$226)+COUNTIF('7月'!CK33:CL33,L$226)+COUNTIF('7月'!CP33:CQ33,L$226)+COUNTIF('7月'!CU33:CV33,L$226)+COUNTIF('7月'!CZ33:DA33,L$226)+COUNTIF('7月'!DE33:DF33,L$226)+COUNTIF('7月'!DJ33:DK33,L$226)+COUNTIF('7月'!DO33:DP33,L$226)+COUNTIF('7月'!DT33:DU33,L$226)+COUNTIF('7月'!DY33:DZ33,L$226)+COUNTIF('7月'!ED33:EE33,L$226)+COUNTIF('7月'!EI33:EJ33,L$226)+COUNTIF('7月'!EN33:EO33,L$226)+COUNTIF('7月'!ES33:ET33,L$226)</f>
        <v>0</v>
      </c>
      <c r="M257" s="76">
        <f t="shared" si="77"/>
        <v>0</v>
      </c>
      <c r="N257" s="76">
        <f>COUNTIF('7月'!D33:E33,N$226)+COUNTIF('7月'!I33:J33,N$226)+COUNTIF('7月'!N33:O33,N$226)+COUNTIF('7月'!S33:T33,N$226)+COUNTIF('7月'!X33:Y33,N$226)+COUNTIF('7月'!AC33:AD33,N$226)+COUNTIF('7月'!AH33:AI33,N$226)+COUNTIF('7月'!AM33:AN33,N$226)+COUNTIF('7月'!AR33:AS33,N$226)+COUNTIF('7月'!AW33:AX33,N$226)+COUNTIF('7月'!BB33:BC33,N$226)+COUNTIF('7月'!BG33:BH33,N$226)+COUNTIF('7月'!BL33:BM33,N$226)+COUNTIF('7月'!BQ33:BR33,N$226)+COUNTIF('7月'!BV33:BW33,N$226)+COUNTIF('7月'!CA33:CB33,N$226)+COUNTIF('7月'!CF33:CG33,N$226)+COUNTIF('7月'!CK33:CL33,N$226)+COUNTIF('7月'!CP33:CQ33,N$226)+COUNTIF('7月'!CU33:CV33,N$226)+COUNTIF('7月'!CZ33:DA33,N$226)+COUNTIF('7月'!DE33:DF33,N$226)+COUNTIF('7月'!DJ33:DK33,N$226)+COUNTIF('7月'!DO33:DP33,N$226)+COUNTIF('7月'!DT33:DU33,N$226)+COUNTIF('7月'!DY33:DZ33,N$226)+COUNTIF('7月'!ED33:EE33,N$226)+COUNTIF('7月'!EI33:EJ33,N$226)+COUNTIF('7月'!EN33:EO33,N$226)+COUNTIF('7月'!ES33:ET33,N$226)+COUNTIF('7月'!D33:E33,"三軒茶屋－夜勤")+COUNTIF('7月'!I33:J33,"三軒茶屋－夜勤")+COUNTIF('7月'!N33:O33,"三軒茶屋－夜勤")+COUNTIF('7月'!S33:T33,"三軒茶屋－夜勤")+COUNTIF('7月'!X33:Y33,"三軒茶屋－夜勤")+COUNTIF('7月'!AC33:AD33,"三軒茶屋－夜勤")+COUNTIF('7月'!AH33:AI33,"三軒茶屋－夜勤")+COUNTIF('7月'!AM33:AN33,"三軒茶屋－夜勤")+COUNTIF('7月'!AR33:AS33,"三軒茶屋－夜勤")+COUNTIF('7月'!AW33:AX33,"三軒茶屋－夜勤")+COUNTIF('7月'!BB33:BC33,"三軒茶屋－夜勤")+COUNTIF('7月'!BG33:BH33,"三軒茶屋－夜勤")+COUNTIF('7月'!BL33:BM33,"三軒茶屋－夜勤")+COUNTIF('7月'!BQ33:BR33,"三軒茶屋－夜勤")+COUNTIF('7月'!BV33:BW33,"三軒茶屋－夜勤")+COUNTIF('7月'!CA33:CB33,"三軒茶屋－夜勤")+COUNTIF('7月'!CF33:CG33,"三軒茶屋－夜勤")+COUNTIF('7月'!CK33:CL33,"三軒茶屋－夜勤")+COUNTIF('7月'!CP33:CQ33,"三軒茶屋－夜勤")+COUNTIF('7月'!CU33:CV33,"三軒茶屋－夜勤")+COUNTIF('7月'!CZ33:DA33,"三軒茶屋－夜勤")+COUNTIF('7月'!DE33:DF33,"三軒茶屋－夜勤")+COUNTIF('7月'!DJ33:DK33,"三軒茶屋－夜勤")+COUNTIF('7月'!DO33:DP33,"三軒茶屋－夜勤")+COUNTIF('7月'!DT33:DU33,"三軒茶屋－夜勤")+COUNTIF('7月'!DY33:DZ33,"三軒茶屋－夜勤")+COUNTIF('7月'!ED33:EE33,"三軒茶屋－夜勤")+COUNTIF('7月'!EI33:EJ33,"三軒茶屋－夜勤")+COUNTIF('7月'!EN33:EO33,"三軒茶屋－夜勤")+COUNTIF('7月'!ES33:ET33,"三軒茶屋－夜勤")</f>
        <v>0</v>
      </c>
      <c r="O257" s="76">
        <f t="shared" si="78"/>
        <v>0</v>
      </c>
      <c r="P257" s="76">
        <f>COUNTIF('7月'!D33:E33,P$226)+COUNTIF('7月'!I33:J33,P$226)+COUNTIF('7月'!N33:O33,P$226)+COUNTIF('7月'!S33:T33,P$226)+COUNTIF('7月'!X33:Y33,P$226)+COUNTIF('7月'!AC33:AD33,P$226)+COUNTIF('7月'!AH33:AI33,P$226)+COUNTIF('7月'!AM33:AN33,P$226)+COUNTIF('7月'!AR33:AS33,P$226)+COUNTIF('7月'!AW33:AX33,P$226)+COUNTIF('7月'!BB33:BC33,P$226)+COUNTIF('7月'!BG33:BH33,P$226)+COUNTIF('7月'!BL33:BM33,P$226)+COUNTIF('7月'!BQ33:BR33,P$226)+COUNTIF('7月'!BV33:BW33,P$226)+COUNTIF('7月'!CA33:CB33,P$226)+COUNTIF('7月'!CF33:CG33,P$226)+COUNTIF('7月'!CK33:CL33,P$226)+COUNTIF('7月'!CP33:CQ33,P$226)+COUNTIF('7月'!CU33:CV33,P$226)+COUNTIF('7月'!CZ33:DA33,P$226)+COUNTIF('7月'!DE33:DF33,P$226)+COUNTIF('7月'!DJ33:DK33,P$226)+COUNTIF('7月'!DO33:DP33,P$226)+COUNTIF('7月'!DT33:DU33,P$226)+COUNTIF('7月'!DY33:DZ33,P$226)+COUNTIF('7月'!ED33:EE33,P$226)+COUNTIF('7月'!EI33:EJ33,P$226)+COUNTIF('7月'!EN33:EO33,P$226)+COUNTIF('7月'!ES33:ET33,P$226)+COUNTIF('7月'!D33:E33,"荻窪ー夜勤")+COUNTIF('7月'!I33:J33,"荻窪ー夜勤")+COUNTIF('7月'!N33:O33,"荻窪ー夜勤")+COUNTIF('7月'!S33:T33,"荻窪ー夜勤")+COUNTIF('7月'!X33:Y33,"荻窪ー夜勤")+COUNTIF('7月'!AC33:AD33,"荻窪ー夜勤")+COUNTIF('7月'!AH33:AI33,"荻窪ー夜勤")+COUNTIF('7月'!AM33:AN33,"荻窪ー夜勤")+COUNTIF('7月'!AR33:AS33,"荻窪ー夜勤")+COUNTIF('7月'!AW33:AX33,"荻窪ー夜勤")+COUNTIF('7月'!BB33:BC33,"荻窪ー夜勤")+COUNTIF('7月'!BG33:BH33,"荻窪ー夜勤")+COUNTIF('7月'!BL33:BM33,"荻窪ー夜勤")+COUNTIF('7月'!BQ33:BR33,"荻窪ー夜勤")+COUNTIF('7月'!BV33:BW33,"荻窪ー夜勤")+COUNTIF('7月'!CA33:CB33,"荻窪ー夜勤")+COUNTIF('7月'!CF33:CG33,"荻窪ー夜勤")+COUNTIF('7月'!CK33:CL33,"荻窪ー夜勤")+COUNTIF('7月'!CP33:CQ33,"荻窪ー夜勤")+COUNTIF('7月'!CU33:CV33,"荻窪ー夜勤")+COUNTIF('7月'!CZ33:DA33,"荻窪ー夜勤")+COUNTIF('7月'!DE33:DF33,"荻窪ー夜勤")+COUNTIF('7月'!DJ33:DK33,"荻窪ー夜勤")+COUNTIF('7月'!DO33:DP33,"荻窪ー夜勤")+COUNTIF('7月'!DT33:DU33,"荻窪ー夜勤")+COUNTIF('7月'!DY33:DZ33,"荻窪ー夜勤")+COUNTIF('7月'!ED33:EE33,"荻窪ー夜勤")+COUNTIF('7月'!EI33:EJ33,"荻窪ー夜勤")+COUNTIF('7月'!EN33:EO33,"荻窪ー夜勤")+COUNTIF('7月'!ES33:ET33,"荻窪ー夜勤")</f>
        <v>0</v>
      </c>
      <c r="Q257" s="76">
        <f t="shared" si="79"/>
        <v>0</v>
      </c>
      <c r="R257" s="76">
        <f>COUNTIF('7月'!D33:E33,R$226)+COUNTIF('7月'!I33:J33,R$226)+COUNTIF('7月'!N33:O33,R$226)+COUNTIF('7月'!S33:T33,R$226)+COUNTIF('7月'!X33:Y33,R$226)+COUNTIF('7月'!AC33:AD33,R$226)+COUNTIF('7月'!AH33:AI33,R$226)+COUNTIF('7月'!AM33:AN33,R$226)+COUNTIF('7月'!AR33:AS33,R$226)+COUNTIF('7月'!AW33:AX33,R$226)+COUNTIF('7月'!BB33:BC33,R$226)+COUNTIF('7月'!BG33:BH33,R$226)+COUNTIF('7月'!BL33:BM33,R$226)+COUNTIF('7月'!BQ33:BR33,R$226)+COUNTIF('7月'!BV33:BW33,R$226)+COUNTIF('7月'!CA33:CB33,R$226)+COUNTIF('7月'!CF33:CG33,R$226)+COUNTIF('7月'!CK33:CL33,R$226)+COUNTIF('7月'!CP33:CQ33,R$226)+COUNTIF('7月'!CU33:CV33,R$226)+COUNTIF('7月'!CZ33:DA33,R$226)+COUNTIF('7月'!DE33:DF33,R$226)+COUNTIF('7月'!DJ33:DK33,R$226)+COUNTIF('7月'!DO33:DP33,R$226)+COUNTIF('7月'!DT33:DU33,R$226)+COUNTIF('7月'!DY33:DZ33,R$226)+COUNTIF('7月'!ED33:EE33,R$226)+COUNTIF('7月'!EI33:EJ33,R$226)+COUNTIF('7月'!EN33:EO33,R$226)+COUNTIF('7月'!ES33:ET33,R$226)</f>
        <v>0</v>
      </c>
      <c r="S257" s="76">
        <f t="shared" si="80"/>
        <v>0</v>
      </c>
      <c r="T257" s="76">
        <f>COUNTIF('7月'!D33:E33,T$226)+COUNTIF('7月'!I33:J33,T$226)+COUNTIF('7月'!N33:O33,T$226)+COUNTIF('7月'!S33:T33,T$226)+COUNTIF('7月'!X33:Y33,T$226)+COUNTIF('7月'!AC33:AD33,T$226)+COUNTIF('7月'!AH33:AI33,T$226)+COUNTIF('7月'!AM33:AN33,T$226)+COUNTIF('7月'!AR33:AS33,T$226)+COUNTIF('7月'!AW33:AX33,T$226)+COUNTIF('7月'!BB33:BC33,T$226)+COUNTIF('7月'!BG33:BH33,T$226)+COUNTIF('7月'!BL33:BM33,T$226)+COUNTIF('7月'!BQ33:BR33,T$226)+COUNTIF('7月'!BV33:BW33,T$226)+COUNTIF('7月'!CA33:CB33,T$226)+COUNTIF('7月'!CF33:CG33,T$226)+COUNTIF('7月'!CK33:CL33,T$226)+COUNTIF('7月'!CP33:CQ33,T$226)+COUNTIF('7月'!CU33:CV33,T$226)+COUNTIF('7月'!CZ33:DA33,T$226)+COUNTIF('7月'!DE33:DF33,T$226)+COUNTIF('7月'!DJ33:DK33,T$226)+COUNTIF('7月'!DO33:DP33,T$226)+COUNTIF('7月'!DT33:DU33,T$226)+COUNTIF('7月'!DY33:DZ33,T$226)+COUNTIF('7月'!ED33:EE33,T$226)+COUNTIF('7月'!EI33:EJ33,T$226)+COUNTIF('7月'!EN33:EO33,T$226)+COUNTIF('7月'!ES33:ET33,T$226)</f>
        <v>0</v>
      </c>
      <c r="U257" s="76">
        <f t="shared" si="81"/>
        <v>0</v>
      </c>
      <c r="V257" s="76">
        <f>COUNTIF('7月'!D33:E33,V$226)+COUNTIF('7月'!I33:J33,V$226)+COUNTIF('7月'!N33:O33,V$226)+COUNTIF('7月'!S33:T33,V$226)+COUNTIF('7月'!X33:Y33,V$226)+COUNTIF('7月'!AC33:AD33,V$226)+COUNTIF('7月'!AH33:AI33,V$226)+COUNTIF('7月'!AM33:AN33,V$226)+COUNTIF('7月'!AR33:AS33,V$226)+COUNTIF('7月'!AW33:AX33,V$226)+COUNTIF('7月'!BB33:BC33,V$226)+COUNTIF('7月'!BG33:BH33,V$226)+COUNTIF('7月'!BL33:BM33,V$226)+COUNTIF('7月'!BQ33:BR33,V$226)+COUNTIF('7月'!BV33:BW33,V$226)+COUNTIF('7月'!CA33:CB33,V$226)+COUNTIF('7月'!CF33:CG33,V$226)+COUNTIF('7月'!CK33:CL33,V$226)+COUNTIF('7月'!CP33:CQ33,V$226)+COUNTIF('7月'!CU33:CV33,V$226)+COUNTIF('7月'!CZ33:DA33,V$226)+COUNTIF('7月'!DE33:DF33,V$226)+COUNTIF('7月'!DJ33:DK33,V$226)+COUNTIF('7月'!DO33:DP33,V$226)+COUNTIF('7月'!DT33:DU33,V$226)+COUNTIF('7月'!DY33:DZ33,V$226)+COUNTIF('7月'!ED33:EE33,V$226)+COUNTIF('7月'!EI33:EJ33,V$226)+COUNTIF('7月'!EN33:EO33,V$226)+COUNTIF('7月'!ES33:ET33,V$226)</f>
        <v>0</v>
      </c>
      <c r="W257" s="76">
        <f t="shared" si="82"/>
        <v>0</v>
      </c>
      <c r="X257" s="76">
        <f>COUNTIF('7月'!D33:E33,X$226)+COUNTIF('7月'!I33:J33,X$226)+COUNTIF('7月'!N33:O33,X$226)+COUNTIF('7月'!S33:T33,X$226)+COUNTIF('7月'!X33:Y33,X$226)+COUNTIF('7月'!AC33:AD33,X$226)+COUNTIF('7月'!AH33:AI33,X$226)+COUNTIF('7月'!AM33:AN33,X$226)+COUNTIF('7月'!AR33:AS33,X$226)+COUNTIF('7月'!AW33:AX33,X$226)+COUNTIF('7月'!BB33:BC33,X$226)+COUNTIF('7月'!BG33:BH33,X$226)+COUNTIF('7月'!BL33:BM33,X$226)+COUNTIF('7月'!BQ33:BR33,X$226)+COUNTIF('7月'!BV33:BW33,X$226)+COUNTIF('7月'!CA33:CB33,X$226)+COUNTIF('7月'!CF33:CG33,X$226)+COUNTIF('7月'!CK33:CL33,X$226)+COUNTIF('7月'!CP33:CQ33,X$226)+COUNTIF('7月'!CU33:CV33,X$226)+COUNTIF('7月'!CZ33:DA33,X$226)+COUNTIF('7月'!DE33:DF33,X$226)+COUNTIF('7月'!DJ33:DK33,X$226)+COUNTIF('7月'!DO33:DP33,X$226)+COUNTIF('7月'!DT33:DU33,X$226)+COUNTIF('7月'!DY33:DZ33,X$226)+COUNTIF('7月'!ED33:EE33,X$226)+COUNTIF('7月'!EI33:EJ33,X$226)+COUNTIF('7月'!EN33:EO33,X$226)+COUNTIF('7月'!ES33:ET33,X$226)</f>
        <v>0</v>
      </c>
      <c r="Y257" s="76">
        <f t="shared" si="83"/>
        <v>0</v>
      </c>
    </row>
    <row r="258" spans="1:25" ht="18" customHeight="1">
      <c r="A258" s="76">
        <v>31</v>
      </c>
      <c r="B258" s="76">
        <f>COUNTIF('7月'!D34:E34,B$226)+COUNTIF('7月'!I34:J34,B$226)+COUNTIF('7月'!N34:O34,B$226)+COUNTIF('7月'!S34:T34,B$226)+COUNTIF('7月'!X34:Y34,B$226)+COUNTIF('7月'!AC34:AD34,B$226)+COUNTIF('7月'!AH34:AI34,B$226)+COUNTIF('7月'!AM34:AN34,B$226)+COUNTIF('7月'!AR34:AS34,B$226)+COUNTIF('7月'!AW34:AX34,B$226)+COUNTIF('7月'!BB34:BC34,B$226)+COUNTIF('7月'!BG34:BH34,B$226)+COUNTIF('7月'!BL34:BM34,B$226)+COUNTIF('7月'!BQ34:BR34,B$226)+COUNTIF('7月'!BV34:BW34,B$226)+COUNTIF('7月'!CA34:CB34,B$226)+COUNTIF('7月'!CF34:CG34,B$226)+COUNTIF('7月'!CK34:CL34,B$226)+COUNTIF('7月'!CP34:CQ34,B$226)+COUNTIF('7月'!CU34:CV34,B$226)+COUNTIF('7月'!CZ34:DA34,B$226)+COUNTIF('7月'!DE34:DF34,B$226)+COUNTIF('7月'!DJ34:DK34,B$226)+COUNTIF('7月'!DO34:DP34,B$226)+COUNTIF('7月'!DT34:DU34,B$226)+COUNTIF('7月'!DY34:DZ34,B$226)+COUNTIF('7月'!ED34:EE34,B$226)+COUNTIF('7月'!EI34:EJ34,B$226)+COUNTIF('7月'!EN34:EO34,B$226)+COUNTIF('7月'!ES34:ET34,B$226)</f>
        <v>0</v>
      </c>
      <c r="C258" s="76">
        <f t="shared" si="72"/>
        <v>0</v>
      </c>
      <c r="D258" s="76">
        <f>COUNTIF('7月'!D34:E34,D$226)+COUNTIF('7月'!I34:J34,D$226)+COUNTIF('7月'!N34:O34,D$226)+COUNTIF('7月'!S34:T34,D$226)+COUNTIF('7月'!X34:Y34,D$226)+COUNTIF('7月'!AC34:AD34,D$226)+COUNTIF('7月'!AH34:AI34,D$226)+COUNTIF('7月'!AM34:AN34,D$226)+COUNTIF('7月'!AR34:AS34,D$226)+COUNTIF('7月'!AW34:AX34,D$226)+COUNTIF('7月'!BB34:BC34,D$226)+COUNTIF('7月'!BG34:BH34,D$226)+COUNTIF('7月'!BL34:BM34,D$226)+COUNTIF('7月'!BQ34:BR34,D$226)+COUNTIF('7月'!BV34:BW34,D$226)+COUNTIF('7月'!CA34:CB34,D$226)+COUNTIF('7月'!CF34:CG34,D$226)+COUNTIF('7月'!CK34:CL34,D$226)+COUNTIF('7月'!CP34:CQ34,D$226)+COUNTIF('7月'!CU34:CV34,D$226)+COUNTIF('7月'!CZ34:DA34,D$226)+COUNTIF('7月'!DE34:DF34,D$226)+COUNTIF('7月'!DJ34:DK34,D$226)+COUNTIF('7月'!DO34:DP34,D$226)+COUNTIF('7月'!DT34:DU34,D$226)+COUNTIF('7月'!DY34:DZ34,D$226)+COUNTIF('7月'!ED34:EE34,D$226)+COUNTIF('7月'!EI34:EJ34,D$226)+COUNTIF('7月'!EN34:EO34,D$226)+COUNTIF('7月'!ES34:ET34,D$226)</f>
        <v>0</v>
      </c>
      <c r="E258" s="76">
        <f t="shared" si="73"/>
        <v>0</v>
      </c>
      <c r="F258" s="76">
        <f>COUNTIF('7月'!D34:E34,F$226)+COUNTIF('7月'!I34:J34,F$226)+COUNTIF('7月'!N34:O34,F$226)+COUNTIF('7月'!S34:T34,F$226)+COUNTIF('7月'!X34:Y34,F$226)+COUNTIF('7月'!AC34:AD34,F$226)+COUNTIF('7月'!AH34:AI34,F$226)+COUNTIF('7月'!AM34:AN34,F$226)+COUNTIF('7月'!AR34:AS34,F$226)+COUNTIF('7月'!AW34:AX34,F$226)+COUNTIF('7月'!BB34:BC34,F$226)+COUNTIF('7月'!BG34:BH34,F$226)+COUNTIF('7月'!BL34:BM34,F$226)+COUNTIF('7月'!BQ34:BR34,F$226)+COUNTIF('7月'!BV34:BW34,F$226)+COUNTIF('7月'!CA34:CB34,F$226)+COUNTIF('7月'!CF34:CG34,F$226)+COUNTIF('7月'!CK34:CL34,F$226)+COUNTIF('7月'!CP34:CQ34,F$226)+COUNTIF('7月'!CU34:CV34,F$226)+COUNTIF('7月'!CZ34:DA34,F$226)+COUNTIF('7月'!DE34:DF34,F$226)+COUNTIF('7月'!DJ34:DK34,F$226)+COUNTIF('7月'!DO34:DP34,F$226)+COUNTIF('7月'!DT34:DU34,F$226)+COUNTIF('7月'!DY34:DZ34,F$226)+COUNTIF('7月'!ED34:EE34,F$226)+COUNTIF('7月'!EI34:EJ34,F$226)+COUNTIF('7月'!EN34:EO34,F$226)+COUNTIF('7月'!ES34:ET34,F$226)</f>
        <v>0</v>
      </c>
      <c r="G258" s="76">
        <f t="shared" si="74"/>
        <v>0</v>
      </c>
      <c r="H258" s="76">
        <f>COUNTIF('7月'!D34:E34,H$226)+COUNTIF('7月'!I34:J34,H$226)+COUNTIF('7月'!N34:O34,H$226)+COUNTIF('7月'!S34:T34,H$226)+COUNTIF('7月'!X34:Y34,H$226)+COUNTIF('7月'!AC34:AD34,H$226)+COUNTIF('7月'!AH34:AI34,H$226)+COUNTIF('7月'!AM34:AN34,H$226)+COUNTIF('7月'!AR34:AS34,H$226)+COUNTIF('7月'!AW34:AX34,H$226)+COUNTIF('7月'!BB34:BC34,H$226)+COUNTIF('7月'!BG34:BH34,H$226)+COUNTIF('7月'!BL34:BM34,H$226)+COUNTIF('7月'!BQ34:BR34,H$226)+COUNTIF('7月'!BV34:BW34,H$226)+COUNTIF('7月'!CA34:CB34,H$226)+COUNTIF('7月'!CF34:CG34,H$226)+COUNTIF('7月'!CK34:CL34,H$226)+COUNTIF('7月'!CP34:CQ34,H$226)+COUNTIF('7月'!CU34:CV34,H$226)+COUNTIF('7月'!CZ34:DA34,H$226)+COUNTIF('7月'!DE34:DF34,H$226)+COUNTIF('7月'!DJ34:DK34,H$226)+COUNTIF('7月'!DO34:DP34,H$226)+COUNTIF('7月'!DT34:DU34,H$226)+COUNTIF('7月'!DY34:DZ34,H$226)+COUNTIF('7月'!ED34:EE34,H$226)+COUNTIF('7月'!EI34:EJ34,H$226)+COUNTIF('7月'!EN34:EO34,H$226)+COUNTIF('7月'!ES34:ET34,H$226)+COUNTIF('7月'!D34:E34,"渋谷-夜勤")+COUNTIF('7月'!I34:J34,"渋谷-夜勤")+COUNTIF('7月'!N34:O34,"渋谷-夜勤")+COUNTIF('7月'!S34:T34,"渋谷-夜勤")+COUNTIF('7月'!X34:Y34,"渋谷-夜勤")+COUNTIF('7月'!AC34:AD34,"渋谷-夜勤")+COUNTIF('7月'!AH34:AI34,"渋谷-夜勤")+COUNTIF('7月'!AM34:AN34,"渋谷-夜勤")+COUNTIF('7月'!AR34:AS34,"渋谷-夜勤")+COUNTIF('7月'!AW34:AX34,"渋谷-夜勤")+COUNTIF('7月'!BB34:BC34,"渋谷-夜勤")+COUNTIF('7月'!BG34:BH34,"渋谷-夜勤")+COUNTIF('7月'!BL34:BM34,"渋谷-夜勤")+COUNTIF('7月'!BQ34:BR34,"渋谷-夜勤")+COUNTIF('7月'!BV34:BW34,"渋谷-夜勤")+COUNTIF('7月'!CA34:CB34,"渋谷-夜勤")+COUNTIF('7月'!CF34:CG34,"渋谷-夜勤")+COUNTIF('7月'!CK34:CL34,"渋谷-夜勤")+COUNTIF('7月'!CP34:CQ34,"渋谷-夜勤")+COUNTIF('7月'!CU34:CV34,"渋谷-夜勤")+COUNTIF('7月'!CZ34:DA34,"渋谷-夜勤")+COUNTIF('7月'!DE34:DF34,"渋谷-夜勤")+COUNTIF('7月'!DJ34:DK34,"渋谷-夜勤")+COUNTIF('7月'!DO34:DP34,"渋谷-夜勤")+COUNTIF('7月'!DT34:DU34,"渋谷-夜勤")+COUNTIF('7月'!DY34:DZ34,"渋谷-夜勤")+COUNTIF('7月'!ED34:EE34,"渋谷-夜勤")+COUNTIF('7月'!EI34:EJ34,"渋谷-夜勤")+COUNTIF('7月'!EN34:EO34,"渋谷-夜勤")+COUNTIF('7月'!ES34:ET34,"渋谷-夜勤")</f>
        <v>0</v>
      </c>
      <c r="I258" s="76">
        <f t="shared" si="75"/>
        <v>0</v>
      </c>
      <c r="J258" s="76">
        <f>COUNTIF('7月'!D34:E34,J$226)+COUNTIF('7月'!I34:J34,J$226)+COUNTIF('7月'!N34:O34,J$226)+COUNTIF('7月'!S34:T34,J$226)+COUNTIF('7月'!X34:Y34,J$226)+COUNTIF('7月'!AC34:AD34,J$226)+COUNTIF('7月'!AH34:AI34,J$226)+COUNTIF('7月'!AM34:AN34,J$226)+COUNTIF('7月'!AR34:AS34,J$226)+COUNTIF('7月'!AW34:AX34,J$226)+COUNTIF('7月'!BB34:BC34,J$226)+COUNTIF('7月'!BG34:BH34,J$226)+COUNTIF('7月'!BL34:BM34,J$226)+COUNTIF('7月'!BQ34:BR34,J$226)+COUNTIF('7月'!BV34:BW34,J$226)+COUNTIF('7月'!CA34:CB34,J$226)+COUNTIF('7月'!CF34:CG34,J$226)+COUNTIF('7月'!CK34:CL34,J$226)+COUNTIF('7月'!CP34:CQ34,J$226)+COUNTIF('7月'!CU34:CV34,J$226)+COUNTIF('7月'!CZ34:DA34,J$226)+COUNTIF('7月'!DE34:DF34,J$226)+COUNTIF('7月'!DJ34:DK34,J$226)+COUNTIF('7月'!DO34:DP34,J$226)+COUNTIF('7月'!DT34:DU34,J$226)+COUNTIF('7月'!DY34:DZ34,J$226)+COUNTIF('7月'!ED34:EE34,J$226)+COUNTIF('7月'!EI34:EJ34,J$226)+COUNTIF('7月'!EN34:EO34,J$226)+COUNTIF('7月'!ES34:ET34,J$226)+COUNTIF('7月'!D34:E34,"六本木-夜勤")+COUNTIF('7月'!I34:J34,"六本木-夜勤")+COUNTIF('7月'!N34:O34,"六本木-夜勤")+COUNTIF('7月'!S34:T34,"六本木-夜勤")+COUNTIF('7月'!X34:Y34,"六本木-夜勤")+COUNTIF('7月'!AC34:AD34,"六本木-夜勤")+COUNTIF('7月'!AH34:AI34,"六本木-夜勤")+COUNTIF('7月'!AM34:AN34,"六本木-夜勤")+COUNTIF('7月'!AR34:AS34,"六本木-夜勤")+COUNTIF('7月'!AW34:AX34,"六本木-夜勤")+COUNTIF('7月'!BB34:BC34,"六本木-夜勤")+COUNTIF('7月'!BG34:BH34,"六本木-夜勤")+COUNTIF('7月'!BL34:BM34,"六本木-夜勤")+COUNTIF('7月'!BQ34:BR34,"六本木-夜勤")+COUNTIF('7月'!BV34:BW34,"六本木-夜勤")+COUNTIF('7月'!CA34:CB34,"六本木-夜勤")+COUNTIF('7月'!CF34:CG34,"六本木-夜勤")+COUNTIF('7月'!CK34:CL34,"六本木-夜勤")+COUNTIF('7月'!CP34:CQ34,"六本木-夜勤")+COUNTIF('7月'!CU34:CV34,"六本木-夜勤")+COUNTIF('7月'!CZ34:DA34,"六本木-夜勤")+COUNTIF('7月'!DE34:DF34,"六本木-夜勤")+COUNTIF('7月'!DJ34:DK34,"六本木-夜勤")+COUNTIF('7月'!DO34:DP34,"六本木-夜勤")+COUNTIF('7月'!DT34:DU34,"六本木-夜勤")+COUNTIF('7月'!DY34:DZ34,"六本木-夜勤")+COUNTIF('7月'!ED34:EE34,"六本木-夜勤")+COUNTIF('7月'!EI34:EJ34,"六本木-夜勤")+COUNTIF('7月'!EN34:EO34,"六本木-夜勤")+COUNTIF('7月'!ES34:ET34,"六本木-夜勤")+COUNTIF('7月'!D34:E34,"六本木ー夜勤")+COUNTIF('7月'!I34:J34,"六本木ー夜勤")+COUNTIF('7月'!N34:O34,"六本木ー夜勤")+COUNTIF('7月'!S34:T34,"六本木ー夜勤")+COUNTIF('7月'!X34:Y34,"六本木ー夜勤")+COUNTIF('7月'!AC34:AD34,"六本木ー夜勤")+COUNTIF('7月'!AH34:AI34,"六本木ー夜勤")+COUNTIF('7月'!AM34:AN34,"六本木ー夜勤")+COUNTIF('7月'!AR34:AS34,"六本木ー夜勤")+COUNTIF('7月'!AW34:AX34,"六本木ー夜勤")+COUNTIF('7月'!BB34:BC34,"六本木ー夜勤")+COUNTIF('7月'!BG34:BH34,"六本木ー夜勤")+COUNTIF('7月'!BL34:BM34,"六本木ー夜勤")+COUNTIF('7月'!BQ34:BR34,"六本木ー夜勤")+COUNTIF('7月'!BV34:BW34,"六本木ー夜勤")+COUNTIF('7月'!CA34:CB34,"六本木ー夜勤")+COUNTIF('7月'!CF34:CG34,"六本木ー夜勤")+COUNTIF('7月'!CK34:CL34,"六本木ー夜勤")+COUNTIF('7月'!CP34:CQ34,"六本木ー夜勤")+COUNTIF('7月'!CU34:CV34,"六本木ー夜勤")+COUNTIF('7月'!CZ34:DA34,"六本木ー夜勤")+COUNTIF('7月'!DE34:DF34,"六本木ー夜勤")+COUNTIF('7月'!DJ34:DK34,"六本木ー夜勤")+COUNTIF('7月'!DO34:DP34,"六本木ー夜勤")+COUNTIF('7月'!DT34:DU34,"六本木ー夜勤")+COUNTIF('7月'!DY34:DZ34,"六本木ー夜勤")+COUNTIF('7月'!ED34:EE34,"六本木ー夜勤")+COUNTIF('7月'!EI34:EJ34,"六本木ー夜勤")+COUNTIF('7月'!EN34:EO34,"六本木ー夜勤")+COUNTIF('7月'!ES34:ET34,"六本木ー夜勤")</f>
        <v>0</v>
      </c>
      <c r="K258" s="76">
        <f t="shared" si="76"/>
        <v>0</v>
      </c>
      <c r="L258" s="76">
        <f>COUNTIF('7月'!D34:E34,L$226)+COUNTIF('7月'!I34:J34,L$226)+COUNTIF('7月'!N34:O34,L$226)+COUNTIF('7月'!S34:T34,L$226)+COUNTIF('7月'!X34:Y34,L$226)+COUNTIF('7月'!AC34:AD34,L$226)+COUNTIF('7月'!AH34:AI34,L$226)+COUNTIF('7月'!AM34:AN34,L$226)+COUNTIF('7月'!AR34:AS34,L$226)+COUNTIF('7月'!AW34:AX34,L$226)+COUNTIF('7月'!BB34:BC34,L$226)+COUNTIF('7月'!BG34:BH34,L$226)+COUNTIF('7月'!BL34:BM34,L$226)+COUNTIF('7月'!BQ34:BR34,L$226)+COUNTIF('7月'!BV34:BW34,L$226)+COUNTIF('7月'!CA34:CB34,L$226)+COUNTIF('7月'!CF34:CG34,L$226)+COUNTIF('7月'!CK34:CL34,L$226)+COUNTIF('7月'!CP34:CQ34,L$226)+COUNTIF('7月'!CU34:CV34,L$226)+COUNTIF('7月'!CZ34:DA34,L$226)+COUNTIF('7月'!DE34:DF34,L$226)+COUNTIF('7月'!DJ34:DK34,L$226)+COUNTIF('7月'!DO34:DP34,L$226)+COUNTIF('7月'!DT34:DU34,L$226)+COUNTIF('7月'!DY34:DZ34,L$226)+COUNTIF('7月'!ED34:EE34,L$226)+COUNTIF('7月'!EI34:EJ34,L$226)+COUNTIF('7月'!EN34:EO34,L$226)+COUNTIF('7月'!ES34:ET34,L$226)</f>
        <v>0</v>
      </c>
      <c r="M258" s="76">
        <f t="shared" si="77"/>
        <v>0</v>
      </c>
      <c r="N258" s="76">
        <f>COUNTIF('7月'!D34:E34,N$226)+COUNTIF('7月'!I34:J34,N$226)+COUNTIF('7月'!N34:O34,N$226)+COUNTIF('7月'!S34:T34,N$226)+COUNTIF('7月'!X34:Y34,N$226)+COUNTIF('7月'!AC34:AD34,N$226)+COUNTIF('7月'!AH34:AI34,N$226)+COUNTIF('7月'!AM34:AN34,N$226)+COUNTIF('7月'!AR34:AS34,N$226)+COUNTIF('7月'!AW34:AX34,N$226)+COUNTIF('7月'!BB34:BC34,N$226)+COUNTIF('7月'!BG34:BH34,N$226)+COUNTIF('7月'!BL34:BM34,N$226)+COUNTIF('7月'!BQ34:BR34,N$226)+COUNTIF('7月'!BV34:BW34,N$226)+COUNTIF('7月'!CA34:CB34,N$226)+COUNTIF('7月'!CF34:CG34,N$226)+COUNTIF('7月'!CK34:CL34,N$226)+COUNTIF('7月'!CP34:CQ34,N$226)+COUNTIF('7月'!CU34:CV34,N$226)+COUNTIF('7月'!CZ34:DA34,N$226)+COUNTIF('7月'!DE34:DF34,N$226)+COUNTIF('7月'!DJ34:DK34,N$226)+COUNTIF('7月'!DO34:DP34,N$226)+COUNTIF('7月'!DT34:DU34,N$226)+COUNTIF('7月'!DY34:DZ34,N$226)+COUNTIF('7月'!ED34:EE34,N$226)+COUNTIF('7月'!EI34:EJ34,N$226)+COUNTIF('7月'!EN34:EO34,N$226)+COUNTIF('7月'!ES34:ET34,N$226)+COUNTIF('7月'!D34:E34,"三軒茶屋－夜勤")+COUNTIF('7月'!I34:J34,"三軒茶屋－夜勤")+COUNTIF('7月'!N34:O34,"三軒茶屋－夜勤")+COUNTIF('7月'!S34:T34,"三軒茶屋－夜勤")+COUNTIF('7月'!X34:Y34,"三軒茶屋－夜勤")+COUNTIF('7月'!AC34:AD34,"三軒茶屋－夜勤")+COUNTIF('7月'!AH34:AI34,"三軒茶屋－夜勤")+COUNTIF('7月'!AM34:AN34,"三軒茶屋－夜勤")+COUNTIF('7月'!AR34:AS34,"三軒茶屋－夜勤")+COUNTIF('7月'!AW34:AX34,"三軒茶屋－夜勤")+COUNTIF('7月'!BB34:BC34,"三軒茶屋－夜勤")+COUNTIF('7月'!BG34:BH34,"三軒茶屋－夜勤")+COUNTIF('7月'!BL34:BM34,"三軒茶屋－夜勤")+COUNTIF('7月'!BQ34:BR34,"三軒茶屋－夜勤")+COUNTIF('7月'!BV34:BW34,"三軒茶屋－夜勤")+COUNTIF('7月'!CA34:CB34,"三軒茶屋－夜勤")+COUNTIF('7月'!CF34:CG34,"三軒茶屋－夜勤")+COUNTIF('7月'!CK34:CL34,"三軒茶屋－夜勤")+COUNTIF('7月'!CP34:CQ34,"三軒茶屋－夜勤")+COUNTIF('7月'!CU34:CV34,"三軒茶屋－夜勤")+COUNTIF('7月'!CZ34:DA34,"三軒茶屋－夜勤")+COUNTIF('7月'!DE34:DF34,"三軒茶屋－夜勤")+COUNTIF('7月'!DJ34:DK34,"三軒茶屋－夜勤")+COUNTIF('7月'!DO34:DP34,"三軒茶屋－夜勤")+COUNTIF('7月'!DT34:DU34,"三軒茶屋－夜勤")+COUNTIF('7月'!DY34:DZ34,"三軒茶屋－夜勤")+COUNTIF('7月'!ED34:EE34,"三軒茶屋－夜勤")+COUNTIF('7月'!EI34:EJ34,"三軒茶屋－夜勤")+COUNTIF('7月'!EN34:EO34,"三軒茶屋－夜勤")+COUNTIF('7月'!ES34:ET34,"三軒茶屋－夜勤")</f>
        <v>0</v>
      </c>
      <c r="O258" s="76">
        <f t="shared" si="78"/>
        <v>0</v>
      </c>
      <c r="P258" s="76">
        <f>COUNTIF('7月'!D34:E34,P$226)+COUNTIF('7月'!I34:J34,P$226)+COUNTIF('7月'!N34:O34,P$226)+COUNTIF('7月'!S34:T34,P$226)+COUNTIF('7月'!X34:Y34,P$226)+COUNTIF('7月'!AC34:AD34,P$226)+COUNTIF('7月'!AH34:AI34,P$226)+COUNTIF('7月'!AM34:AN34,P$226)+COUNTIF('7月'!AR34:AS34,P$226)+COUNTIF('7月'!AW34:AX34,P$226)+COUNTIF('7月'!BB34:BC34,P$226)+COUNTIF('7月'!BG34:BH34,P$226)+COUNTIF('7月'!BL34:BM34,P$226)+COUNTIF('7月'!BQ34:BR34,P$226)+COUNTIF('7月'!BV34:BW34,P$226)+COUNTIF('7月'!CA34:CB34,P$226)+COUNTIF('7月'!CF34:CG34,P$226)+COUNTIF('7月'!CK34:CL34,P$226)+COUNTIF('7月'!CP34:CQ34,P$226)+COUNTIF('7月'!CU34:CV34,P$226)+COUNTIF('7月'!CZ34:DA34,P$226)+COUNTIF('7月'!DE34:DF34,P$226)+COUNTIF('7月'!DJ34:DK34,P$226)+COUNTIF('7月'!DO34:DP34,P$226)+COUNTIF('7月'!DT34:DU34,P$226)+COUNTIF('7月'!DY34:DZ34,P$226)+COUNTIF('7月'!ED34:EE34,P$226)+COUNTIF('7月'!EI34:EJ34,P$226)+COUNTIF('7月'!EN34:EO34,P$226)+COUNTIF('7月'!ES34:ET34,P$226)+COUNTIF('7月'!D34:E34,"荻窪ー夜勤")+COUNTIF('7月'!I34:J34,"荻窪ー夜勤")+COUNTIF('7月'!N34:O34,"荻窪ー夜勤")+COUNTIF('7月'!S34:T34,"荻窪ー夜勤")+COUNTIF('7月'!X34:Y34,"荻窪ー夜勤")+COUNTIF('7月'!AC34:AD34,"荻窪ー夜勤")+COUNTIF('7月'!AH34:AI34,"荻窪ー夜勤")+COUNTIF('7月'!AM34:AN34,"荻窪ー夜勤")+COUNTIF('7月'!AR34:AS34,"荻窪ー夜勤")+COUNTIF('7月'!AW34:AX34,"荻窪ー夜勤")+COUNTIF('7月'!BB34:BC34,"荻窪ー夜勤")+COUNTIF('7月'!BG34:BH34,"荻窪ー夜勤")+COUNTIF('7月'!BL34:BM34,"荻窪ー夜勤")+COUNTIF('7月'!BQ34:BR34,"荻窪ー夜勤")+COUNTIF('7月'!BV34:BW34,"荻窪ー夜勤")+COUNTIF('7月'!CA34:CB34,"荻窪ー夜勤")+COUNTIF('7月'!CF34:CG34,"荻窪ー夜勤")+COUNTIF('7月'!CK34:CL34,"荻窪ー夜勤")+COUNTIF('7月'!CP34:CQ34,"荻窪ー夜勤")+COUNTIF('7月'!CU34:CV34,"荻窪ー夜勤")+COUNTIF('7月'!CZ34:DA34,"荻窪ー夜勤")+COUNTIF('7月'!DE34:DF34,"荻窪ー夜勤")+COUNTIF('7月'!DJ34:DK34,"荻窪ー夜勤")+COUNTIF('7月'!DO34:DP34,"荻窪ー夜勤")+COUNTIF('7月'!DT34:DU34,"荻窪ー夜勤")+COUNTIF('7月'!DY34:DZ34,"荻窪ー夜勤")+COUNTIF('7月'!ED34:EE34,"荻窪ー夜勤")+COUNTIF('7月'!EI34:EJ34,"荻窪ー夜勤")+COUNTIF('7月'!EN34:EO34,"荻窪ー夜勤")+COUNTIF('7月'!ES34:ET34,"荻窪ー夜勤")</f>
        <v>0</v>
      </c>
      <c r="Q258" s="76">
        <f t="shared" si="79"/>
        <v>0</v>
      </c>
      <c r="R258" s="76">
        <f>COUNTIF('7月'!D34:E34,R$226)+COUNTIF('7月'!I34:J34,R$226)+COUNTIF('7月'!N34:O34,R$226)+COUNTIF('7月'!S34:T34,R$226)+COUNTIF('7月'!X34:Y34,R$226)+COUNTIF('7月'!AC34:AD34,R$226)+COUNTIF('7月'!AH34:AI34,R$226)+COUNTIF('7月'!AM34:AN34,R$226)+COUNTIF('7月'!AR34:AS34,R$226)+COUNTIF('7月'!AW34:AX34,R$226)+COUNTIF('7月'!BB34:BC34,R$226)+COUNTIF('7月'!BG34:BH34,R$226)+COUNTIF('7月'!BL34:BM34,R$226)+COUNTIF('7月'!BQ34:BR34,R$226)+COUNTIF('7月'!BV34:BW34,R$226)+COUNTIF('7月'!CA34:CB34,R$226)+COUNTIF('7月'!CF34:CG34,R$226)+COUNTIF('7月'!CK34:CL34,R$226)+COUNTIF('7月'!CP34:CQ34,R$226)+COUNTIF('7月'!CU34:CV34,R$226)+COUNTIF('7月'!CZ34:DA34,R$226)+COUNTIF('7月'!DE34:DF34,R$226)+COUNTIF('7月'!DJ34:DK34,R$226)+COUNTIF('7月'!DO34:DP34,R$226)+COUNTIF('7月'!DT34:DU34,R$226)+COUNTIF('7月'!DY34:DZ34,R$226)+COUNTIF('7月'!ED34:EE34,R$226)+COUNTIF('7月'!EI34:EJ34,R$226)+COUNTIF('7月'!EN34:EO34,R$226)+COUNTIF('7月'!ES34:ET34,R$226)</f>
        <v>0</v>
      </c>
      <c r="S258" s="76">
        <f t="shared" si="80"/>
        <v>0</v>
      </c>
      <c r="T258" s="76">
        <f>COUNTIF('7月'!D34:E34,T$226)+COUNTIF('7月'!I34:J34,T$226)+COUNTIF('7月'!N34:O34,T$226)+COUNTIF('7月'!S34:T34,T$226)+COUNTIF('7月'!X34:Y34,T$226)+COUNTIF('7月'!AC34:AD34,T$226)+COUNTIF('7月'!AH34:AI34,T$226)+COUNTIF('7月'!AM34:AN34,T$226)+COUNTIF('7月'!AR34:AS34,T$226)+COUNTIF('7月'!AW34:AX34,T$226)+COUNTIF('7月'!BB34:BC34,T$226)+COUNTIF('7月'!BG34:BH34,T$226)+COUNTIF('7月'!BL34:BM34,T$226)+COUNTIF('7月'!BQ34:BR34,T$226)+COUNTIF('7月'!BV34:BW34,T$226)+COUNTIF('7月'!CA34:CB34,T$226)+COUNTIF('7月'!CF34:CG34,T$226)+COUNTIF('7月'!CK34:CL34,T$226)+COUNTIF('7月'!CP34:CQ34,T$226)+COUNTIF('7月'!CU34:CV34,T$226)+COUNTIF('7月'!CZ34:DA34,T$226)+COUNTIF('7月'!DE34:DF34,T$226)+COUNTIF('7月'!DJ34:DK34,T$226)+COUNTIF('7月'!DO34:DP34,T$226)+COUNTIF('7月'!DT34:DU34,T$226)+COUNTIF('7月'!DY34:DZ34,T$226)+COUNTIF('7月'!ED34:EE34,T$226)+COUNTIF('7月'!EI34:EJ34,T$226)+COUNTIF('7月'!EN34:EO34,T$226)+COUNTIF('7月'!ES34:ET34,T$226)</f>
        <v>0</v>
      </c>
      <c r="U258" s="76">
        <f t="shared" si="81"/>
        <v>0</v>
      </c>
      <c r="V258" s="76">
        <f>COUNTIF('7月'!D34:E34,V$226)+COUNTIF('7月'!I34:J34,V$226)+COUNTIF('7月'!N34:O34,V$226)+COUNTIF('7月'!S34:T34,V$226)+COUNTIF('7月'!X34:Y34,V$226)+COUNTIF('7月'!AC34:AD34,V$226)+COUNTIF('7月'!AH34:AI34,V$226)+COUNTIF('7月'!AM34:AN34,V$226)+COUNTIF('7月'!AR34:AS34,V$226)+COUNTIF('7月'!AW34:AX34,V$226)+COUNTIF('7月'!BB34:BC34,V$226)+COUNTIF('7月'!BG34:BH34,V$226)+COUNTIF('7月'!BL34:BM34,V$226)+COUNTIF('7月'!BQ34:BR34,V$226)+COUNTIF('7月'!BV34:BW34,V$226)+COUNTIF('7月'!CA34:CB34,V$226)+COUNTIF('7月'!CF34:CG34,V$226)+COUNTIF('7月'!CK34:CL34,V$226)+COUNTIF('7月'!CP34:CQ34,V$226)+COUNTIF('7月'!CU34:CV34,V$226)+COUNTIF('7月'!CZ34:DA34,V$226)+COUNTIF('7月'!DE34:DF34,V$226)+COUNTIF('7月'!DJ34:DK34,V$226)+COUNTIF('7月'!DO34:DP34,V$226)+COUNTIF('7月'!DT34:DU34,V$226)+COUNTIF('7月'!DY34:DZ34,V$226)+COUNTIF('7月'!ED34:EE34,V$226)+COUNTIF('7月'!EI34:EJ34,V$226)+COUNTIF('7月'!EN34:EO34,V$226)+COUNTIF('7月'!ES34:ET34,V$226)</f>
        <v>0</v>
      </c>
      <c r="W258" s="76">
        <f t="shared" si="82"/>
        <v>0</v>
      </c>
      <c r="X258" s="76">
        <f>COUNTIF('7月'!D34:E34,X$226)+COUNTIF('7月'!I34:J34,X$226)+COUNTIF('7月'!N34:O34,X$226)+COUNTIF('7月'!S34:T34,X$226)+COUNTIF('7月'!X34:Y34,X$226)+COUNTIF('7月'!AC34:AD34,X$226)+COUNTIF('7月'!AH34:AI34,X$226)+COUNTIF('7月'!AM34:AN34,X$226)+COUNTIF('7月'!AR34:AS34,X$226)+COUNTIF('7月'!AW34:AX34,X$226)+COUNTIF('7月'!BB34:BC34,X$226)+COUNTIF('7月'!BG34:BH34,X$226)+COUNTIF('7月'!BL34:BM34,X$226)+COUNTIF('7月'!BQ34:BR34,X$226)+COUNTIF('7月'!BV34:BW34,X$226)+COUNTIF('7月'!CA34:CB34,X$226)+COUNTIF('7月'!CF34:CG34,X$226)+COUNTIF('7月'!CK34:CL34,X$226)+COUNTIF('7月'!CP34:CQ34,X$226)+COUNTIF('7月'!CU34:CV34,X$226)+COUNTIF('7月'!CZ34:DA34,X$226)+COUNTIF('7月'!DE34:DF34,X$226)+COUNTIF('7月'!DJ34:DK34,X$226)+COUNTIF('7月'!DO34:DP34,X$226)+COUNTIF('7月'!DT34:DU34,X$226)+COUNTIF('7月'!DY34:DZ34,X$226)+COUNTIF('7月'!ED34:EE34,X$226)+COUNTIF('7月'!EI34:EJ34,X$226)+COUNTIF('7月'!EN34:EO34,X$226)+COUNTIF('7月'!ES34:ET34,X$226)</f>
        <v>0</v>
      </c>
      <c r="Y258" s="76">
        <f t="shared" si="83"/>
        <v>0</v>
      </c>
    </row>
    <row r="259" spans="1:25" ht="21.95" customHeight="1">
      <c r="A259" s="65" t="s">
        <v>116</v>
      </c>
      <c r="B259" s="65">
        <f>SUM(B228:B258)</f>
        <v>0</v>
      </c>
      <c r="C259" s="65"/>
      <c r="D259" s="65">
        <f>SUM(D228:D258)</f>
        <v>0</v>
      </c>
      <c r="E259" s="65"/>
      <c r="F259" s="65">
        <f>SUM(F228:F258)</f>
        <v>0</v>
      </c>
      <c r="G259" s="65"/>
      <c r="H259" s="65">
        <f>SUM(H228:H258)</f>
        <v>0</v>
      </c>
      <c r="I259" s="65"/>
      <c r="J259" s="65">
        <f>SUM(J228:J258)</f>
        <v>0</v>
      </c>
      <c r="K259" s="65"/>
      <c r="L259" s="65">
        <f>SUM(L228:L258)</f>
        <v>0</v>
      </c>
      <c r="M259" s="65"/>
      <c r="N259" s="65">
        <f>SUM(N228:N258)</f>
        <v>0</v>
      </c>
      <c r="O259" s="65"/>
      <c r="P259" s="65">
        <f>SUM(P228:P258)</f>
        <v>0</v>
      </c>
      <c r="Q259" s="65"/>
      <c r="R259" s="65">
        <f>SUM(R228:R258)</f>
        <v>0</v>
      </c>
      <c r="S259" s="65"/>
      <c r="T259" s="65">
        <f>SUM(T228:T258)</f>
        <v>0</v>
      </c>
      <c r="U259" s="65"/>
      <c r="V259" s="65">
        <f>SUM(V228:V258)</f>
        <v>0</v>
      </c>
      <c r="W259" s="65"/>
      <c r="X259" s="65">
        <f>SUM(X228:X258)</f>
        <v>0</v>
      </c>
      <c r="Y259" s="65"/>
    </row>
    <row r="260" spans="1:25" ht="21.95" customHeight="1">
      <c r="A260" s="65" t="s">
        <v>117</v>
      </c>
      <c r="B260" s="65">
        <f>SUM('7月'!H4:H34)+SUM('7月'!M4:M34)+SUM('7月'!R4:R34)+SUM('7月'!W4:W34)+SUM('7月'!AB4:AB34)+SUM('7月'!AG4:AG34)+SUM('7月'!AL4:AL34)+SUM('7月'!AQ4:AQ34)+SUM('7月'!AV4:AV34)+SUM('7月'!BA4:BA34)+SUM('7月'!BF4:BF34)+SUM('7月'!BK4:BK34)+SUM('7月'!BP4:BP34)+SUM('7月'!BU4:BU34)+SUM('7月'!BZ4:BZ34)+SUM('7月'!CE4:CE34)+SUM('7月'!CJ4:CJ34)+SUM('7月'!CO4:CO34)+SUM('7月'!CT4:CT34)+SUM('7月'!CY4:CY34)+SUM('7月'!DD4:DD34)+SUM('7月'!DI4:DI34)+SUM('7月'!DN4:DN34)+SUM('7月'!DS4:DS34)+SUM('7月'!DX4:DX34)+SUM('7月'!EC4:EC34)+SUM('7月'!EH4:EH34)+SUM('7月'!EM4:EM34)+SUM('7月'!ER4:ER34)+SUM('7月'!EW4:EW34)</f>
        <v>0</v>
      </c>
      <c r="C260" s="127" t="s">
        <v>118</v>
      </c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</row>
    <row r="261" spans="1:25" ht="9.9499999999999993" customHeight="1"/>
    <row r="262" spans="1:25" ht="21.95" customHeight="1">
      <c r="A262" s="112" t="str">
        <f>対象年度&amp;"年 8月分  30日締め"</f>
        <v>2026年 8月分  30日締め</v>
      </c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</row>
    <row r="263" spans="1:25" ht="21.95" customHeight="1">
      <c r="A263" s="60" t="s">
        <v>113</v>
      </c>
      <c r="B263" s="123" t="str">
        <f>IFERROR(現場マスタ!$C$4,"")</f>
        <v>新宿</v>
      </c>
      <c r="C263" s="123"/>
      <c r="D263" s="123" t="str">
        <f>IFERROR(現場マスタ!$C$5,"")</f>
        <v>赤坂</v>
      </c>
      <c r="E263" s="123"/>
      <c r="F263" s="123" t="str">
        <f>IFERROR(現場マスタ!$C$6,"")</f>
        <v>渋谷ヒカリエ</v>
      </c>
      <c r="G263" s="123"/>
      <c r="H263" s="123" t="str">
        <f>IFERROR(現場マスタ!$C$7,"")</f>
        <v>六本木ヒルズ</v>
      </c>
      <c r="I263" s="123"/>
      <c r="J263" s="123" t="str">
        <f>IFERROR(現場マスタ!$C$10,"")</f>
        <v>有給</v>
      </c>
      <c r="K263" s="123"/>
      <c r="L263" s="123">
        <f>IFERROR(現場マスタ!$C$12,"")</f>
        <v>0</v>
      </c>
      <c r="M263" s="123"/>
      <c r="N263" s="123">
        <f>IFERROR(現場マスタ!$C$16,"")</f>
        <v>0</v>
      </c>
      <c r="O263" s="123"/>
      <c r="P263" s="123">
        <f>IFERROR(現場マスタ!$C$17,"")</f>
        <v>0</v>
      </c>
      <c r="Q263" s="123"/>
      <c r="R263" s="123">
        <f>IFERROR(現場マスタ!$C$18,"")</f>
        <v>0</v>
      </c>
      <c r="S263" s="123"/>
      <c r="T263" s="123">
        <f>IFERROR(現場マスタ!$C$20,"")</f>
        <v>0</v>
      </c>
      <c r="U263" s="123"/>
      <c r="V263" s="123">
        <f>IFERROR(現場マスタ!$C$21,"")</f>
        <v>0</v>
      </c>
      <c r="W263" s="123"/>
      <c r="X263" s="123">
        <f>IFERROR(現場マスタ!$C$22,"")</f>
        <v>0</v>
      </c>
      <c r="Y263" s="123"/>
    </row>
    <row r="264" spans="1:25" ht="20.100000000000001" customHeight="1">
      <c r="A264" s="60" t="s">
        <v>4</v>
      </c>
      <c r="B264" s="65" t="s">
        <v>114</v>
      </c>
      <c r="C264" s="65" t="s">
        <v>115</v>
      </c>
      <c r="D264" s="65" t="s">
        <v>114</v>
      </c>
      <c r="E264" s="65" t="s">
        <v>115</v>
      </c>
      <c r="F264" s="65" t="s">
        <v>114</v>
      </c>
      <c r="G264" s="65" t="s">
        <v>115</v>
      </c>
      <c r="H264" s="65" t="s">
        <v>114</v>
      </c>
      <c r="I264" s="65" t="s">
        <v>115</v>
      </c>
      <c r="J264" s="65" t="s">
        <v>114</v>
      </c>
      <c r="K264" s="65" t="s">
        <v>115</v>
      </c>
      <c r="L264" s="65" t="s">
        <v>114</v>
      </c>
      <c r="M264" s="65" t="s">
        <v>115</v>
      </c>
      <c r="N264" s="65" t="s">
        <v>114</v>
      </c>
      <c r="O264" s="65" t="s">
        <v>115</v>
      </c>
      <c r="P264" s="65" t="s">
        <v>114</v>
      </c>
      <c r="Q264" s="65" t="s">
        <v>115</v>
      </c>
      <c r="R264" s="65" t="s">
        <v>114</v>
      </c>
      <c r="S264" s="65" t="s">
        <v>115</v>
      </c>
      <c r="T264" s="65" t="s">
        <v>114</v>
      </c>
      <c r="U264" s="65" t="s">
        <v>115</v>
      </c>
      <c r="V264" s="65" t="s">
        <v>114</v>
      </c>
      <c r="W264" s="65" t="s">
        <v>115</v>
      </c>
      <c r="X264" s="65" t="s">
        <v>114</v>
      </c>
      <c r="Y264" s="65" t="s">
        <v>115</v>
      </c>
    </row>
    <row r="265" spans="1:25" ht="18" customHeight="1">
      <c r="A265" s="76">
        <v>1</v>
      </c>
      <c r="B265" s="76">
        <f>COUNTIF('8月'!D4:E4,B$263)+COUNTIF('8月'!I4:J4,B$263)+COUNTIF('8月'!N4:O4,B$263)+COUNTIF('8月'!S4:T4,B$263)+COUNTIF('8月'!X4:Y4,B$263)+COUNTIF('8月'!AC4:AD4,B$263)+COUNTIF('8月'!AH4:AI4,B$263)+COUNTIF('8月'!AM4:AN4,B$263)+COUNTIF('8月'!AR4:AS4,B$263)+COUNTIF('8月'!AW4:AX4,B$263)+COUNTIF('8月'!BB4:BC4,B$263)+COUNTIF('8月'!BG4:BH4,B$263)+COUNTIF('8月'!BL4:BM4,B$263)+COUNTIF('8月'!BQ4:BR4,B$263)+COUNTIF('8月'!BV4:BW4,B$263)+COUNTIF('8月'!CA4:CB4,B$263)+COUNTIF('8月'!CF4:CG4,B$263)+COUNTIF('8月'!CK4:CL4,B$263)+COUNTIF('8月'!CP4:CQ4,B$263)+COUNTIF('8月'!CU4:CV4,B$263)+COUNTIF('8月'!CZ4:DA4,B$263)+COUNTIF('8月'!DE4:DF4,B$263)+COUNTIF('8月'!DJ4:DK4,B$263)+COUNTIF('8月'!DO4:DP4,B$263)+COUNTIF('8月'!DT4:DU4,B$263)+COUNTIF('8月'!DY4:DZ4,B$263)+COUNTIF('8月'!ED4:EE4,B$263)+COUNTIF('8月'!EI4:EJ4,B$263)+COUNTIF('8月'!EN4:EO4,B$263)+COUNTIF('8月'!ES4:ET4,B$263)</f>
        <v>0</v>
      </c>
      <c r="C265" s="76">
        <f>IF(B265=0,0,B265)</f>
        <v>0</v>
      </c>
      <c r="D265" s="76">
        <f>COUNTIF('8月'!D4:E4,D$263)+COUNTIF('8月'!I4:J4,D$263)+COUNTIF('8月'!N4:O4,D$263)+COUNTIF('8月'!S4:T4,D$263)+COUNTIF('8月'!X4:Y4,D$263)+COUNTIF('8月'!AC4:AD4,D$263)+COUNTIF('8月'!AH4:AI4,D$263)+COUNTIF('8月'!AM4:AN4,D$263)+COUNTIF('8月'!AR4:AS4,D$263)+COUNTIF('8月'!AW4:AX4,D$263)+COUNTIF('8月'!BB4:BC4,D$263)+COUNTIF('8月'!BG4:BH4,D$263)+COUNTIF('8月'!BL4:BM4,D$263)+COUNTIF('8月'!BQ4:BR4,D$263)+COUNTIF('8月'!BV4:BW4,D$263)+COUNTIF('8月'!CA4:CB4,D$263)+COUNTIF('8月'!CF4:CG4,D$263)+COUNTIF('8月'!CK4:CL4,D$263)+COUNTIF('8月'!CP4:CQ4,D$263)+COUNTIF('8月'!CU4:CV4,D$263)+COUNTIF('8月'!CZ4:DA4,D$263)+COUNTIF('8月'!DE4:DF4,D$263)+COUNTIF('8月'!DJ4:DK4,D$263)+COUNTIF('8月'!DO4:DP4,D$263)+COUNTIF('8月'!DT4:DU4,D$263)+COUNTIF('8月'!DY4:DZ4,D$263)+COUNTIF('8月'!ED4:EE4,D$263)+COUNTIF('8月'!EI4:EJ4,D$263)+COUNTIF('8月'!EN4:EO4,D$263)+COUNTIF('8月'!ES4:ET4,D$263)</f>
        <v>0</v>
      </c>
      <c r="E265" s="76">
        <f>IF(D265=0,0,D265)</f>
        <v>0</v>
      </c>
      <c r="F265" s="76">
        <f>COUNTIF('8月'!D4:E4,F$263)+COUNTIF('8月'!I4:J4,F$263)+COUNTIF('8月'!N4:O4,F$263)+COUNTIF('8月'!S4:T4,F$263)+COUNTIF('8月'!X4:Y4,F$263)+COUNTIF('8月'!AC4:AD4,F$263)+COUNTIF('8月'!AH4:AI4,F$263)+COUNTIF('8月'!AM4:AN4,F$263)+COUNTIF('8月'!AR4:AS4,F$263)+COUNTIF('8月'!AW4:AX4,F$263)+COUNTIF('8月'!BB4:BC4,F$263)+COUNTIF('8月'!BG4:BH4,F$263)+COUNTIF('8月'!BL4:BM4,F$263)+COUNTIF('8月'!BQ4:BR4,F$263)+COUNTIF('8月'!BV4:BW4,F$263)+COUNTIF('8月'!CA4:CB4,F$263)+COUNTIF('8月'!CF4:CG4,F$263)+COUNTIF('8月'!CK4:CL4,F$263)+COUNTIF('8月'!CP4:CQ4,F$263)+COUNTIF('8月'!CU4:CV4,F$263)+COUNTIF('8月'!CZ4:DA4,F$263)+COUNTIF('8月'!DE4:DF4,F$263)+COUNTIF('8月'!DJ4:DK4,F$263)+COUNTIF('8月'!DO4:DP4,F$263)+COUNTIF('8月'!DT4:DU4,F$263)+COUNTIF('8月'!DY4:DZ4,F$263)+COUNTIF('8月'!ED4:EE4,F$263)+COUNTIF('8月'!EI4:EJ4,F$263)+COUNTIF('8月'!EN4:EO4,F$263)+COUNTIF('8月'!ES4:ET4,F$263)</f>
        <v>0</v>
      </c>
      <c r="G265" s="76">
        <f>IF(F265=0,0,F265)</f>
        <v>0</v>
      </c>
      <c r="H265" s="76">
        <f>COUNTIF('8月'!D4:E4,H$263)+COUNTIF('8月'!I4:J4,H$263)+COUNTIF('8月'!N4:O4,H$263)+COUNTIF('8月'!S4:T4,H$263)+COUNTIF('8月'!X4:Y4,H$263)+COUNTIF('8月'!AC4:AD4,H$263)+COUNTIF('8月'!AH4:AI4,H$263)+COUNTIF('8月'!AM4:AN4,H$263)+COUNTIF('8月'!AR4:AS4,H$263)+COUNTIF('8月'!AW4:AX4,H$263)+COUNTIF('8月'!BB4:BC4,H$263)+COUNTIF('8月'!BG4:BH4,H$263)+COUNTIF('8月'!BL4:BM4,H$263)+COUNTIF('8月'!BQ4:BR4,H$263)+COUNTIF('8月'!BV4:BW4,H$263)+COUNTIF('8月'!CA4:CB4,H$263)+COUNTIF('8月'!CF4:CG4,H$263)+COUNTIF('8月'!CK4:CL4,H$263)+COUNTIF('8月'!CP4:CQ4,H$263)+COUNTIF('8月'!CU4:CV4,H$263)+COUNTIF('8月'!CZ4:DA4,H$263)+COUNTIF('8月'!DE4:DF4,H$263)+COUNTIF('8月'!DJ4:DK4,H$263)+COUNTIF('8月'!DO4:DP4,H$263)+COUNTIF('8月'!DT4:DU4,H$263)+COUNTIF('8月'!DY4:DZ4,H$263)+COUNTIF('8月'!ED4:EE4,H$263)+COUNTIF('8月'!EI4:EJ4,H$263)+COUNTIF('8月'!EN4:EO4,H$263)+COUNTIF('8月'!ES4:ET4,H$263)+COUNTIF('8月'!D4:E4,"渋谷-夜勤")+COUNTIF('8月'!I4:J4,"渋谷-夜勤")+COUNTIF('8月'!N4:O4,"渋谷-夜勤")+COUNTIF('8月'!S4:T4,"渋谷-夜勤")+COUNTIF('8月'!X4:Y4,"渋谷-夜勤")+COUNTIF('8月'!AC4:AD4,"渋谷-夜勤")+COUNTIF('8月'!AH4:AI4,"渋谷-夜勤")+COUNTIF('8月'!AM4:AN4,"渋谷-夜勤")+COUNTIF('8月'!AR4:AS4,"渋谷-夜勤")+COUNTIF('8月'!AW4:AX4,"渋谷-夜勤")+COUNTIF('8月'!BB4:BC4,"渋谷-夜勤")+COUNTIF('8月'!BG4:BH4,"渋谷-夜勤")+COUNTIF('8月'!BL4:BM4,"渋谷-夜勤")+COUNTIF('8月'!BQ4:BR4,"渋谷-夜勤")+COUNTIF('8月'!BV4:BW4,"渋谷-夜勤")+COUNTIF('8月'!CA4:CB4,"渋谷-夜勤")+COUNTIF('8月'!CF4:CG4,"渋谷-夜勤")+COUNTIF('8月'!CK4:CL4,"渋谷-夜勤")+COUNTIF('8月'!CP4:CQ4,"渋谷-夜勤")+COUNTIF('8月'!CU4:CV4,"渋谷-夜勤")+COUNTIF('8月'!CZ4:DA4,"渋谷-夜勤")+COUNTIF('8月'!DE4:DF4,"渋谷-夜勤")+COUNTIF('8月'!DJ4:DK4,"渋谷-夜勤")+COUNTIF('8月'!DO4:DP4,"渋谷-夜勤")+COUNTIF('8月'!DT4:DU4,"渋谷-夜勤")+COUNTIF('8月'!DY4:DZ4,"渋谷-夜勤")+COUNTIF('8月'!ED4:EE4,"渋谷-夜勤")+COUNTIF('8月'!EI4:EJ4,"渋谷-夜勤")+COUNTIF('8月'!EN4:EO4,"渋谷-夜勤")+COUNTIF('8月'!ES4:ET4,"渋谷-夜勤")</f>
        <v>0</v>
      </c>
      <c r="I265" s="76">
        <f>IF(H265=0,0,H265)</f>
        <v>0</v>
      </c>
      <c r="J265" s="76">
        <f>COUNTIF('8月'!D4:E4,J$263)+COUNTIF('8月'!I4:J4,J$263)+COUNTIF('8月'!N4:O4,J$263)+COUNTIF('8月'!S4:T4,J$263)+COUNTIF('8月'!X4:Y4,J$263)+COUNTIF('8月'!AC4:AD4,J$263)+COUNTIF('8月'!AH4:AI4,J$263)+COUNTIF('8月'!AM4:AN4,J$263)+COUNTIF('8月'!AR4:AS4,J$263)+COUNTIF('8月'!AW4:AX4,J$263)+COUNTIF('8月'!BB4:BC4,J$263)+COUNTIF('8月'!BG4:BH4,J$263)+COUNTIF('8月'!BL4:BM4,J$263)+COUNTIF('8月'!BQ4:BR4,J$263)+COUNTIF('8月'!BV4:BW4,J$263)+COUNTIF('8月'!CA4:CB4,J$263)+COUNTIF('8月'!CF4:CG4,J$263)+COUNTIF('8月'!CK4:CL4,J$263)+COUNTIF('8月'!CP4:CQ4,J$263)+COUNTIF('8月'!CU4:CV4,J$263)+COUNTIF('8月'!CZ4:DA4,J$263)+COUNTIF('8月'!DE4:DF4,J$263)+COUNTIF('8月'!DJ4:DK4,J$263)+COUNTIF('8月'!DO4:DP4,J$263)+COUNTIF('8月'!DT4:DU4,J$263)+COUNTIF('8月'!DY4:DZ4,J$263)+COUNTIF('8月'!ED4:EE4,J$263)+COUNTIF('8月'!EI4:EJ4,J$263)+COUNTIF('8月'!EN4:EO4,J$263)+COUNTIF('8月'!ES4:ET4,J$263)+COUNTIF('8月'!D4:E4,"六本木-夜勤")+COUNTIF('8月'!I4:J4,"六本木-夜勤")+COUNTIF('8月'!N4:O4,"六本木-夜勤")+COUNTIF('8月'!S4:T4,"六本木-夜勤")+COUNTIF('8月'!X4:Y4,"六本木-夜勤")+COUNTIF('8月'!AC4:AD4,"六本木-夜勤")+COUNTIF('8月'!AH4:AI4,"六本木-夜勤")+COUNTIF('8月'!AM4:AN4,"六本木-夜勤")+COUNTIF('8月'!AR4:AS4,"六本木-夜勤")+COUNTIF('8月'!AW4:AX4,"六本木-夜勤")+COUNTIF('8月'!BB4:BC4,"六本木-夜勤")+COUNTIF('8月'!BG4:BH4,"六本木-夜勤")+COUNTIF('8月'!BL4:BM4,"六本木-夜勤")+COUNTIF('8月'!BQ4:BR4,"六本木-夜勤")+COUNTIF('8月'!BV4:BW4,"六本木-夜勤")+COUNTIF('8月'!CA4:CB4,"六本木-夜勤")+COUNTIF('8月'!CF4:CG4,"六本木-夜勤")+COUNTIF('8月'!CK4:CL4,"六本木-夜勤")+COUNTIF('8月'!CP4:CQ4,"六本木-夜勤")+COUNTIF('8月'!CU4:CV4,"六本木-夜勤")+COUNTIF('8月'!CZ4:DA4,"六本木-夜勤")+COUNTIF('8月'!DE4:DF4,"六本木-夜勤")+COUNTIF('8月'!DJ4:DK4,"六本木-夜勤")+COUNTIF('8月'!DO4:DP4,"六本木-夜勤")+COUNTIF('8月'!DT4:DU4,"六本木-夜勤")+COUNTIF('8月'!DY4:DZ4,"六本木-夜勤")+COUNTIF('8月'!ED4:EE4,"六本木-夜勤")+COUNTIF('8月'!EI4:EJ4,"六本木-夜勤")+COUNTIF('8月'!EN4:EO4,"六本木-夜勤")+COUNTIF('8月'!ES4:ET4,"六本木-夜勤")+COUNTIF('8月'!D4:E4,"六本木ー夜勤")+COUNTIF('8月'!I4:J4,"六本木ー夜勤")+COUNTIF('8月'!N4:O4,"六本木ー夜勤")+COUNTIF('8月'!S4:T4,"六本木ー夜勤")+COUNTIF('8月'!X4:Y4,"六本木ー夜勤")+COUNTIF('8月'!AC4:AD4,"六本木ー夜勤")+COUNTIF('8月'!AH4:AI4,"六本木ー夜勤")+COUNTIF('8月'!AM4:AN4,"六本木ー夜勤")+COUNTIF('8月'!AR4:AS4,"六本木ー夜勤")+COUNTIF('8月'!AW4:AX4,"六本木ー夜勤")+COUNTIF('8月'!BB4:BC4,"六本木ー夜勤")+COUNTIF('8月'!BG4:BH4,"六本木ー夜勤")+COUNTIF('8月'!BL4:BM4,"六本木ー夜勤")+COUNTIF('8月'!BQ4:BR4,"六本木ー夜勤")+COUNTIF('8月'!BV4:BW4,"六本木ー夜勤")+COUNTIF('8月'!CA4:CB4,"六本木ー夜勤")+COUNTIF('8月'!CF4:CG4,"六本木ー夜勤")+COUNTIF('8月'!CK4:CL4,"六本木ー夜勤")+COUNTIF('8月'!CP4:CQ4,"六本木ー夜勤")+COUNTIF('8月'!CU4:CV4,"六本木ー夜勤")+COUNTIF('8月'!CZ4:DA4,"六本木ー夜勤")+COUNTIF('8月'!DE4:DF4,"六本木ー夜勤")+COUNTIF('8月'!DJ4:DK4,"六本木ー夜勤")+COUNTIF('8月'!DO4:DP4,"六本木ー夜勤")+COUNTIF('8月'!DT4:DU4,"六本木ー夜勤")+COUNTIF('8月'!DY4:DZ4,"六本木ー夜勤")+COUNTIF('8月'!ED4:EE4,"六本木ー夜勤")+COUNTIF('8月'!EI4:EJ4,"六本木ー夜勤")+COUNTIF('8月'!EN4:EO4,"六本木ー夜勤")+COUNTIF('8月'!ES4:ET4,"六本木ー夜勤")</f>
        <v>0</v>
      </c>
      <c r="K265" s="76">
        <f>IF(J265=0,0,J265)</f>
        <v>0</v>
      </c>
      <c r="L265" s="76">
        <f>COUNTIF('8月'!D4:E4,L$263)+COUNTIF('8月'!I4:J4,L$263)+COUNTIF('8月'!N4:O4,L$263)+COUNTIF('8月'!S4:T4,L$263)+COUNTIF('8月'!X4:Y4,L$263)+COUNTIF('8月'!AC4:AD4,L$263)+COUNTIF('8月'!AH4:AI4,L$263)+COUNTIF('8月'!AM4:AN4,L$263)+COUNTIF('8月'!AR4:AS4,L$263)+COUNTIF('8月'!AW4:AX4,L$263)+COUNTIF('8月'!BB4:BC4,L$263)+COUNTIF('8月'!BG4:BH4,L$263)+COUNTIF('8月'!BL4:BM4,L$263)+COUNTIF('8月'!BQ4:BR4,L$263)+COUNTIF('8月'!BV4:BW4,L$263)+COUNTIF('8月'!CA4:CB4,L$263)+COUNTIF('8月'!CF4:CG4,L$263)+COUNTIF('8月'!CK4:CL4,L$263)+COUNTIF('8月'!CP4:CQ4,L$263)+COUNTIF('8月'!CU4:CV4,L$263)+COUNTIF('8月'!CZ4:DA4,L$263)+COUNTIF('8月'!DE4:DF4,L$263)+COUNTIF('8月'!DJ4:DK4,L$263)+COUNTIF('8月'!DO4:DP4,L$263)+COUNTIF('8月'!DT4:DU4,L$263)+COUNTIF('8月'!DY4:DZ4,L$263)+COUNTIF('8月'!ED4:EE4,L$263)+COUNTIF('8月'!EI4:EJ4,L$263)+COUNTIF('8月'!EN4:EO4,L$263)+COUNTIF('8月'!ES4:ET4,L$263)</f>
        <v>0</v>
      </c>
      <c r="M265" s="76">
        <f>IF(L265=0,0,L265)</f>
        <v>0</v>
      </c>
      <c r="N265" s="76">
        <f>COUNTIF('8月'!D4:E4,N$263)+COUNTIF('8月'!I4:J4,N$263)+COUNTIF('8月'!N4:O4,N$263)+COUNTIF('8月'!S4:T4,N$263)+COUNTIF('8月'!X4:Y4,N$263)+COUNTIF('8月'!AC4:AD4,N$263)+COUNTIF('8月'!AH4:AI4,N$263)+COUNTIF('8月'!AM4:AN4,N$263)+COUNTIF('8月'!AR4:AS4,N$263)+COUNTIF('8月'!AW4:AX4,N$263)+COUNTIF('8月'!BB4:BC4,N$263)+COUNTIF('8月'!BG4:BH4,N$263)+COUNTIF('8月'!BL4:BM4,N$263)+COUNTIF('8月'!BQ4:BR4,N$263)+COUNTIF('8月'!BV4:BW4,N$263)+COUNTIF('8月'!CA4:CB4,N$263)+COUNTIF('8月'!CF4:CG4,N$263)+COUNTIF('8月'!CK4:CL4,N$263)+COUNTIF('8月'!CP4:CQ4,N$263)+COUNTIF('8月'!CU4:CV4,N$263)+COUNTIF('8月'!CZ4:DA4,N$263)+COUNTIF('8月'!DE4:DF4,N$263)+COUNTIF('8月'!DJ4:DK4,N$263)+COUNTIF('8月'!DO4:DP4,N$263)+COUNTIF('8月'!DT4:DU4,N$263)+COUNTIF('8月'!DY4:DZ4,N$263)+COUNTIF('8月'!ED4:EE4,N$263)+COUNTIF('8月'!EI4:EJ4,N$263)+COUNTIF('8月'!EN4:EO4,N$263)+COUNTIF('8月'!ES4:ET4,N$263)+COUNTIF('8月'!D4:E4,"三軒茶屋－夜勤")+COUNTIF('8月'!I4:J4,"三軒茶屋－夜勤")+COUNTIF('8月'!N4:O4,"三軒茶屋－夜勤")+COUNTIF('8月'!S4:T4,"三軒茶屋－夜勤")+COUNTIF('8月'!X4:Y4,"三軒茶屋－夜勤")+COUNTIF('8月'!AC4:AD4,"三軒茶屋－夜勤")+COUNTIF('8月'!AH4:AI4,"三軒茶屋－夜勤")+COUNTIF('8月'!AM4:AN4,"三軒茶屋－夜勤")+COUNTIF('8月'!AR4:AS4,"三軒茶屋－夜勤")+COUNTIF('8月'!AW4:AX4,"三軒茶屋－夜勤")+COUNTIF('8月'!BB4:BC4,"三軒茶屋－夜勤")+COUNTIF('8月'!BG4:BH4,"三軒茶屋－夜勤")+COUNTIF('8月'!BL4:BM4,"三軒茶屋－夜勤")+COUNTIF('8月'!BQ4:BR4,"三軒茶屋－夜勤")+COUNTIF('8月'!BV4:BW4,"三軒茶屋－夜勤")+COUNTIF('8月'!CA4:CB4,"三軒茶屋－夜勤")+COUNTIF('8月'!CF4:CG4,"三軒茶屋－夜勤")+COUNTIF('8月'!CK4:CL4,"三軒茶屋－夜勤")+COUNTIF('8月'!CP4:CQ4,"三軒茶屋－夜勤")+COUNTIF('8月'!CU4:CV4,"三軒茶屋－夜勤")+COUNTIF('8月'!CZ4:DA4,"三軒茶屋－夜勤")+COUNTIF('8月'!DE4:DF4,"三軒茶屋－夜勤")+COUNTIF('8月'!DJ4:DK4,"三軒茶屋－夜勤")+COUNTIF('8月'!DO4:DP4,"三軒茶屋－夜勤")+COUNTIF('8月'!DT4:DU4,"三軒茶屋－夜勤")+COUNTIF('8月'!DY4:DZ4,"三軒茶屋－夜勤")+COUNTIF('8月'!ED4:EE4,"三軒茶屋－夜勤")+COUNTIF('8月'!EI4:EJ4,"三軒茶屋－夜勤")+COUNTIF('8月'!EN4:EO4,"三軒茶屋－夜勤")+COUNTIF('8月'!ES4:ET4,"三軒茶屋－夜勤")</f>
        <v>0</v>
      </c>
      <c r="O265" s="76">
        <f>IF(N265=0,0,N265)</f>
        <v>0</v>
      </c>
      <c r="P265" s="76">
        <f>COUNTIF('8月'!D4:E4,P$263)+COUNTIF('8月'!I4:J4,P$263)+COUNTIF('8月'!N4:O4,P$263)+COUNTIF('8月'!S4:T4,P$263)+COUNTIF('8月'!X4:Y4,P$263)+COUNTIF('8月'!AC4:AD4,P$263)+COUNTIF('8月'!AH4:AI4,P$263)+COUNTIF('8月'!AM4:AN4,P$263)+COUNTIF('8月'!AR4:AS4,P$263)+COUNTIF('8月'!AW4:AX4,P$263)+COUNTIF('8月'!BB4:BC4,P$263)+COUNTIF('8月'!BG4:BH4,P$263)+COUNTIF('8月'!BL4:BM4,P$263)+COUNTIF('8月'!BQ4:BR4,P$263)+COUNTIF('8月'!BV4:BW4,P$263)+COUNTIF('8月'!CA4:CB4,P$263)+COUNTIF('8月'!CF4:CG4,P$263)+COUNTIF('8月'!CK4:CL4,P$263)+COUNTIF('8月'!CP4:CQ4,P$263)+COUNTIF('8月'!CU4:CV4,P$263)+COUNTIF('8月'!CZ4:DA4,P$263)+COUNTIF('8月'!DE4:DF4,P$263)+COUNTIF('8月'!DJ4:DK4,P$263)+COUNTIF('8月'!DO4:DP4,P$263)+COUNTIF('8月'!DT4:DU4,P$263)+COUNTIF('8月'!DY4:DZ4,P$263)+COUNTIF('8月'!ED4:EE4,P$263)+COUNTIF('8月'!EI4:EJ4,P$263)+COUNTIF('8月'!EN4:EO4,P$263)+COUNTIF('8月'!ES4:ET4,P$263)+COUNTIF('8月'!D4:E4,"荻窪ー夜勤")+COUNTIF('8月'!I4:J4,"荻窪ー夜勤")+COUNTIF('8月'!N4:O4,"荻窪ー夜勤")+COUNTIF('8月'!S4:T4,"荻窪ー夜勤")+COUNTIF('8月'!X4:Y4,"荻窪ー夜勤")+COUNTIF('8月'!AC4:AD4,"荻窪ー夜勤")+COUNTIF('8月'!AH4:AI4,"荻窪ー夜勤")+COUNTIF('8月'!AM4:AN4,"荻窪ー夜勤")+COUNTIF('8月'!AR4:AS4,"荻窪ー夜勤")+COUNTIF('8月'!AW4:AX4,"荻窪ー夜勤")+COUNTIF('8月'!BB4:BC4,"荻窪ー夜勤")+COUNTIF('8月'!BG4:BH4,"荻窪ー夜勤")+COUNTIF('8月'!BL4:BM4,"荻窪ー夜勤")+COUNTIF('8月'!BQ4:BR4,"荻窪ー夜勤")+COUNTIF('8月'!BV4:BW4,"荻窪ー夜勤")+COUNTIF('8月'!CA4:CB4,"荻窪ー夜勤")+COUNTIF('8月'!CF4:CG4,"荻窪ー夜勤")+COUNTIF('8月'!CK4:CL4,"荻窪ー夜勤")+COUNTIF('8月'!CP4:CQ4,"荻窪ー夜勤")+COUNTIF('8月'!CU4:CV4,"荻窪ー夜勤")+COUNTIF('8月'!CZ4:DA4,"荻窪ー夜勤")+COUNTIF('8月'!DE4:DF4,"荻窪ー夜勤")+COUNTIF('8月'!DJ4:DK4,"荻窪ー夜勤")+COUNTIF('8月'!DO4:DP4,"荻窪ー夜勤")+COUNTIF('8月'!DT4:DU4,"荻窪ー夜勤")+COUNTIF('8月'!DY4:DZ4,"荻窪ー夜勤")+COUNTIF('8月'!ED4:EE4,"荻窪ー夜勤")+COUNTIF('8月'!EI4:EJ4,"荻窪ー夜勤")+COUNTIF('8月'!EN4:EO4,"荻窪ー夜勤")+COUNTIF('8月'!ES4:ET4,"荻窪ー夜勤")</f>
        <v>0</v>
      </c>
      <c r="Q265" s="76">
        <f>IF(P265=0,0,P265)</f>
        <v>0</v>
      </c>
      <c r="R265" s="76">
        <f>COUNTIF('8月'!D4:E4,R$263)+COUNTIF('8月'!I4:J4,R$263)+COUNTIF('8月'!N4:O4,R$263)+COUNTIF('8月'!S4:T4,R$263)+COUNTIF('8月'!X4:Y4,R$263)+COUNTIF('8月'!AC4:AD4,R$263)+COUNTIF('8月'!AH4:AI4,R$263)+COUNTIF('8月'!AM4:AN4,R$263)+COUNTIF('8月'!AR4:AS4,R$263)+COUNTIF('8月'!AW4:AX4,R$263)+COUNTIF('8月'!BB4:BC4,R$263)+COUNTIF('8月'!BG4:BH4,R$263)+COUNTIF('8月'!BL4:BM4,R$263)+COUNTIF('8月'!BQ4:BR4,R$263)+COUNTIF('8月'!BV4:BW4,R$263)+COUNTIF('8月'!CA4:CB4,R$263)+COUNTIF('8月'!CF4:CG4,R$263)+COUNTIF('8月'!CK4:CL4,R$263)+COUNTIF('8月'!CP4:CQ4,R$263)+COUNTIF('8月'!CU4:CV4,R$263)+COUNTIF('8月'!CZ4:DA4,R$263)+COUNTIF('8月'!DE4:DF4,R$263)+COUNTIF('8月'!DJ4:DK4,R$263)+COUNTIF('8月'!DO4:DP4,R$263)+COUNTIF('8月'!DT4:DU4,R$263)+COUNTIF('8月'!DY4:DZ4,R$263)+COUNTIF('8月'!ED4:EE4,R$263)+COUNTIF('8月'!EI4:EJ4,R$263)+COUNTIF('8月'!EN4:EO4,R$263)+COUNTIF('8月'!ES4:ET4,R$263)</f>
        <v>0</v>
      </c>
      <c r="S265" s="76">
        <f>IF(R265=0,0,R265)</f>
        <v>0</v>
      </c>
      <c r="T265" s="76">
        <f>COUNTIF('8月'!D4:E4,T$263)+COUNTIF('8月'!I4:J4,T$263)+COUNTIF('8月'!N4:O4,T$263)+COUNTIF('8月'!S4:T4,T$263)+COUNTIF('8月'!X4:Y4,T$263)+COUNTIF('8月'!AC4:AD4,T$263)+COUNTIF('8月'!AH4:AI4,T$263)+COUNTIF('8月'!AM4:AN4,T$263)+COUNTIF('8月'!AR4:AS4,T$263)+COUNTIF('8月'!AW4:AX4,T$263)+COUNTIF('8月'!BB4:BC4,T$263)+COUNTIF('8月'!BG4:BH4,T$263)+COUNTIF('8月'!BL4:BM4,T$263)+COUNTIF('8月'!BQ4:BR4,T$263)+COUNTIF('8月'!BV4:BW4,T$263)+COUNTIF('8月'!CA4:CB4,T$263)+COUNTIF('8月'!CF4:CG4,T$263)+COUNTIF('8月'!CK4:CL4,T$263)+COUNTIF('8月'!CP4:CQ4,T$263)+COUNTIF('8月'!CU4:CV4,T$263)+COUNTIF('8月'!CZ4:DA4,T$263)+COUNTIF('8月'!DE4:DF4,T$263)+COUNTIF('8月'!DJ4:DK4,T$263)+COUNTIF('8月'!DO4:DP4,T$263)+COUNTIF('8月'!DT4:DU4,T$263)+COUNTIF('8月'!DY4:DZ4,T$263)+COUNTIF('8月'!ED4:EE4,T$263)+COUNTIF('8月'!EI4:EJ4,T$263)+COUNTIF('8月'!EN4:EO4,T$263)+COUNTIF('8月'!ES4:ET4,T$263)</f>
        <v>0</v>
      </c>
      <c r="U265" s="76">
        <f>IF(T265=0,0,T265)</f>
        <v>0</v>
      </c>
      <c r="V265" s="76">
        <f>COUNTIF('8月'!D4:E4,V$263)+COUNTIF('8月'!I4:J4,V$263)+COUNTIF('8月'!N4:O4,V$263)+COUNTIF('8月'!S4:T4,V$263)+COUNTIF('8月'!X4:Y4,V$263)+COUNTIF('8月'!AC4:AD4,V$263)+COUNTIF('8月'!AH4:AI4,V$263)+COUNTIF('8月'!AM4:AN4,V$263)+COUNTIF('8月'!AR4:AS4,V$263)+COUNTIF('8月'!AW4:AX4,V$263)+COUNTIF('8月'!BB4:BC4,V$263)+COUNTIF('8月'!BG4:BH4,V$263)+COUNTIF('8月'!BL4:BM4,V$263)+COUNTIF('8月'!BQ4:BR4,V$263)+COUNTIF('8月'!BV4:BW4,V$263)+COUNTIF('8月'!CA4:CB4,V$263)+COUNTIF('8月'!CF4:CG4,V$263)+COUNTIF('8月'!CK4:CL4,V$263)+COUNTIF('8月'!CP4:CQ4,V$263)+COUNTIF('8月'!CU4:CV4,V$263)+COUNTIF('8月'!CZ4:DA4,V$263)+COUNTIF('8月'!DE4:DF4,V$263)+COUNTIF('8月'!DJ4:DK4,V$263)+COUNTIF('8月'!DO4:DP4,V$263)+COUNTIF('8月'!DT4:DU4,V$263)+COUNTIF('8月'!DY4:DZ4,V$263)+COUNTIF('8月'!ED4:EE4,V$263)+COUNTIF('8月'!EI4:EJ4,V$263)+COUNTIF('8月'!EN4:EO4,V$263)+COUNTIF('8月'!ES4:ET4,V$263)</f>
        <v>0</v>
      </c>
      <c r="W265" s="76">
        <f>IF(V265=0,0,V265)</f>
        <v>0</v>
      </c>
      <c r="X265" s="76">
        <f>COUNTIF('8月'!D4:E4,X$263)+COUNTIF('8月'!I4:J4,X$263)+COUNTIF('8月'!N4:O4,X$263)+COUNTIF('8月'!S4:T4,X$263)+COUNTIF('8月'!X4:Y4,X$263)+COUNTIF('8月'!AC4:AD4,X$263)+COUNTIF('8月'!AH4:AI4,X$263)+COUNTIF('8月'!AM4:AN4,X$263)+COUNTIF('8月'!AR4:AS4,X$263)+COUNTIF('8月'!AW4:AX4,X$263)+COUNTIF('8月'!BB4:BC4,X$263)+COUNTIF('8月'!BG4:BH4,X$263)+COUNTIF('8月'!BL4:BM4,X$263)+COUNTIF('8月'!BQ4:BR4,X$263)+COUNTIF('8月'!BV4:BW4,X$263)+COUNTIF('8月'!CA4:CB4,X$263)+COUNTIF('8月'!CF4:CG4,X$263)+COUNTIF('8月'!CK4:CL4,X$263)+COUNTIF('8月'!CP4:CQ4,X$263)+COUNTIF('8月'!CU4:CV4,X$263)+COUNTIF('8月'!CZ4:DA4,X$263)+COUNTIF('8月'!DE4:DF4,X$263)+COUNTIF('8月'!DJ4:DK4,X$263)+COUNTIF('8月'!DO4:DP4,X$263)+COUNTIF('8月'!DT4:DU4,X$263)+COUNTIF('8月'!DY4:DZ4,X$263)+COUNTIF('8月'!ED4:EE4,X$263)+COUNTIF('8月'!EI4:EJ4,X$263)+COUNTIF('8月'!EN4:EO4,X$263)+COUNTIF('8月'!ES4:ET4,X$263)</f>
        <v>0</v>
      </c>
      <c r="Y265" s="76">
        <f>IF(X265=0,0,X265)</f>
        <v>0</v>
      </c>
    </row>
    <row r="266" spans="1:25" ht="18" customHeight="1">
      <c r="A266" s="76">
        <v>2</v>
      </c>
      <c r="B266" s="76">
        <f>COUNTIF('8月'!D5:E5,B$263)+COUNTIF('8月'!I5:J5,B$263)+COUNTIF('8月'!N5:O5,B$263)+COUNTIF('8月'!S5:T5,B$263)+COUNTIF('8月'!X5:Y5,B$263)+COUNTIF('8月'!AC5:AD5,B$263)+COUNTIF('8月'!AH5:AI5,B$263)+COUNTIF('8月'!AM5:AN5,B$263)+COUNTIF('8月'!AR5:AS5,B$263)+COUNTIF('8月'!AW5:AX5,B$263)+COUNTIF('8月'!BB5:BC5,B$263)+COUNTIF('8月'!BG5:BH5,B$263)+COUNTIF('8月'!BL5:BM5,B$263)+COUNTIF('8月'!BQ5:BR5,B$263)+COUNTIF('8月'!BV5:BW5,B$263)+COUNTIF('8月'!CA5:CB5,B$263)+COUNTIF('8月'!CF5:CG5,B$263)+COUNTIF('8月'!CK5:CL5,B$263)+COUNTIF('8月'!CP5:CQ5,B$263)+COUNTIF('8月'!CU5:CV5,B$263)+COUNTIF('8月'!CZ5:DA5,B$263)+COUNTIF('8月'!DE5:DF5,B$263)+COUNTIF('8月'!DJ5:DK5,B$263)+COUNTIF('8月'!DO5:DP5,B$263)+COUNTIF('8月'!DT5:DU5,B$263)+COUNTIF('8月'!DY5:DZ5,B$263)+COUNTIF('8月'!ED5:EE5,B$263)+COUNTIF('8月'!EI5:EJ5,B$263)+COUNTIF('8月'!EN5:EO5,B$263)+COUNTIF('8月'!ES5:ET5,B$263)</f>
        <v>0</v>
      </c>
      <c r="C266" s="76">
        <f t="shared" ref="C266:C295" si="84">IF(B266=0,C265,C265+B266)</f>
        <v>0</v>
      </c>
      <c r="D266" s="76">
        <f>COUNTIF('8月'!D5:E5,D$263)+COUNTIF('8月'!I5:J5,D$263)+COUNTIF('8月'!N5:O5,D$263)+COUNTIF('8月'!S5:T5,D$263)+COUNTIF('8月'!X5:Y5,D$263)+COUNTIF('8月'!AC5:AD5,D$263)+COUNTIF('8月'!AH5:AI5,D$263)+COUNTIF('8月'!AM5:AN5,D$263)+COUNTIF('8月'!AR5:AS5,D$263)+COUNTIF('8月'!AW5:AX5,D$263)+COUNTIF('8月'!BB5:BC5,D$263)+COUNTIF('8月'!BG5:BH5,D$263)+COUNTIF('8月'!BL5:BM5,D$263)+COUNTIF('8月'!BQ5:BR5,D$263)+COUNTIF('8月'!BV5:BW5,D$263)+COUNTIF('8月'!CA5:CB5,D$263)+COUNTIF('8月'!CF5:CG5,D$263)+COUNTIF('8月'!CK5:CL5,D$263)+COUNTIF('8月'!CP5:CQ5,D$263)+COUNTIF('8月'!CU5:CV5,D$263)+COUNTIF('8月'!CZ5:DA5,D$263)+COUNTIF('8月'!DE5:DF5,D$263)+COUNTIF('8月'!DJ5:DK5,D$263)+COUNTIF('8月'!DO5:DP5,D$263)+COUNTIF('8月'!DT5:DU5,D$263)+COUNTIF('8月'!DY5:DZ5,D$263)+COUNTIF('8月'!ED5:EE5,D$263)+COUNTIF('8月'!EI5:EJ5,D$263)+COUNTIF('8月'!EN5:EO5,D$263)+COUNTIF('8月'!ES5:ET5,D$263)</f>
        <v>0</v>
      </c>
      <c r="E266" s="76">
        <f t="shared" ref="E266:E295" si="85">IF(D266=0,E265,E265+D266)</f>
        <v>0</v>
      </c>
      <c r="F266" s="76">
        <f>COUNTIF('8月'!D5:E5,F$263)+COUNTIF('8月'!I5:J5,F$263)+COUNTIF('8月'!N5:O5,F$263)+COUNTIF('8月'!S5:T5,F$263)+COUNTIF('8月'!X5:Y5,F$263)+COUNTIF('8月'!AC5:AD5,F$263)+COUNTIF('8月'!AH5:AI5,F$263)+COUNTIF('8月'!AM5:AN5,F$263)+COUNTIF('8月'!AR5:AS5,F$263)+COUNTIF('8月'!AW5:AX5,F$263)+COUNTIF('8月'!BB5:BC5,F$263)+COUNTIF('8月'!BG5:BH5,F$263)+COUNTIF('8月'!BL5:BM5,F$263)+COUNTIF('8月'!BQ5:BR5,F$263)+COUNTIF('8月'!BV5:BW5,F$263)+COUNTIF('8月'!CA5:CB5,F$263)+COUNTIF('8月'!CF5:CG5,F$263)+COUNTIF('8月'!CK5:CL5,F$263)+COUNTIF('8月'!CP5:CQ5,F$263)+COUNTIF('8月'!CU5:CV5,F$263)+COUNTIF('8月'!CZ5:DA5,F$263)+COUNTIF('8月'!DE5:DF5,F$263)+COUNTIF('8月'!DJ5:DK5,F$263)+COUNTIF('8月'!DO5:DP5,F$263)+COUNTIF('8月'!DT5:DU5,F$263)+COUNTIF('8月'!DY5:DZ5,F$263)+COUNTIF('8月'!ED5:EE5,F$263)+COUNTIF('8月'!EI5:EJ5,F$263)+COUNTIF('8月'!EN5:EO5,F$263)+COUNTIF('8月'!ES5:ET5,F$263)</f>
        <v>0</v>
      </c>
      <c r="G266" s="76">
        <f t="shared" ref="G266:G295" si="86">IF(F266=0,G265,G265+F266)</f>
        <v>0</v>
      </c>
      <c r="H266" s="76">
        <f>COUNTIF('8月'!D5:E5,H$263)+COUNTIF('8月'!I5:J5,H$263)+COUNTIF('8月'!N5:O5,H$263)+COUNTIF('8月'!S5:T5,H$263)+COUNTIF('8月'!X5:Y5,H$263)+COUNTIF('8月'!AC5:AD5,H$263)+COUNTIF('8月'!AH5:AI5,H$263)+COUNTIF('8月'!AM5:AN5,H$263)+COUNTIF('8月'!AR5:AS5,H$263)+COUNTIF('8月'!AW5:AX5,H$263)+COUNTIF('8月'!BB5:BC5,H$263)+COUNTIF('8月'!BG5:BH5,H$263)+COUNTIF('8月'!BL5:BM5,H$263)+COUNTIF('8月'!BQ5:BR5,H$263)+COUNTIF('8月'!BV5:BW5,H$263)+COUNTIF('8月'!CA5:CB5,H$263)+COUNTIF('8月'!CF5:CG5,H$263)+COUNTIF('8月'!CK5:CL5,H$263)+COUNTIF('8月'!CP5:CQ5,H$263)+COUNTIF('8月'!CU5:CV5,H$263)+COUNTIF('8月'!CZ5:DA5,H$263)+COUNTIF('8月'!DE5:DF5,H$263)+COUNTIF('8月'!DJ5:DK5,H$263)+COUNTIF('8月'!DO5:DP5,H$263)+COUNTIF('8月'!DT5:DU5,H$263)+COUNTIF('8月'!DY5:DZ5,H$263)+COUNTIF('8月'!ED5:EE5,H$263)+COUNTIF('8月'!EI5:EJ5,H$263)+COUNTIF('8月'!EN5:EO5,H$263)+COUNTIF('8月'!ES5:ET5,H$263)+COUNTIF('8月'!D5:E5,"渋谷-夜勤")+COUNTIF('8月'!I5:J5,"渋谷-夜勤")+COUNTIF('8月'!N5:O5,"渋谷-夜勤")+COUNTIF('8月'!S5:T5,"渋谷-夜勤")+COUNTIF('8月'!X5:Y5,"渋谷-夜勤")+COUNTIF('8月'!AC5:AD5,"渋谷-夜勤")+COUNTIF('8月'!AH5:AI5,"渋谷-夜勤")+COUNTIF('8月'!AM5:AN5,"渋谷-夜勤")+COUNTIF('8月'!AR5:AS5,"渋谷-夜勤")+COUNTIF('8月'!AW5:AX5,"渋谷-夜勤")+COUNTIF('8月'!BB5:BC5,"渋谷-夜勤")+COUNTIF('8月'!BG5:BH5,"渋谷-夜勤")+COUNTIF('8月'!BL5:BM5,"渋谷-夜勤")+COUNTIF('8月'!BQ5:BR5,"渋谷-夜勤")+COUNTIF('8月'!BV5:BW5,"渋谷-夜勤")+COUNTIF('8月'!CA5:CB5,"渋谷-夜勤")+COUNTIF('8月'!CF5:CG5,"渋谷-夜勤")+COUNTIF('8月'!CK5:CL5,"渋谷-夜勤")+COUNTIF('8月'!CP5:CQ5,"渋谷-夜勤")+COUNTIF('8月'!CU5:CV5,"渋谷-夜勤")+COUNTIF('8月'!CZ5:DA5,"渋谷-夜勤")+COUNTIF('8月'!DE5:DF5,"渋谷-夜勤")+COUNTIF('8月'!DJ5:DK5,"渋谷-夜勤")+COUNTIF('8月'!DO5:DP5,"渋谷-夜勤")+COUNTIF('8月'!DT5:DU5,"渋谷-夜勤")+COUNTIF('8月'!DY5:DZ5,"渋谷-夜勤")+COUNTIF('8月'!ED5:EE5,"渋谷-夜勤")+COUNTIF('8月'!EI5:EJ5,"渋谷-夜勤")+COUNTIF('8月'!EN5:EO5,"渋谷-夜勤")+COUNTIF('8月'!ES5:ET5,"渋谷-夜勤")</f>
        <v>0</v>
      </c>
      <c r="I266" s="76">
        <f t="shared" ref="I266:I295" si="87">IF(H266=0,I265,I265+H266)</f>
        <v>0</v>
      </c>
      <c r="J266" s="76">
        <f>COUNTIF('8月'!D5:E5,J$263)+COUNTIF('8月'!I5:J5,J$263)+COUNTIF('8月'!N5:O5,J$263)+COUNTIF('8月'!S5:T5,J$263)+COUNTIF('8月'!X5:Y5,J$263)+COUNTIF('8月'!AC5:AD5,J$263)+COUNTIF('8月'!AH5:AI5,J$263)+COUNTIF('8月'!AM5:AN5,J$263)+COUNTIF('8月'!AR5:AS5,J$263)+COUNTIF('8月'!AW5:AX5,J$263)+COUNTIF('8月'!BB5:BC5,J$263)+COUNTIF('8月'!BG5:BH5,J$263)+COUNTIF('8月'!BL5:BM5,J$263)+COUNTIF('8月'!BQ5:BR5,J$263)+COUNTIF('8月'!BV5:BW5,J$263)+COUNTIF('8月'!CA5:CB5,J$263)+COUNTIF('8月'!CF5:CG5,J$263)+COUNTIF('8月'!CK5:CL5,J$263)+COUNTIF('8月'!CP5:CQ5,J$263)+COUNTIF('8月'!CU5:CV5,J$263)+COUNTIF('8月'!CZ5:DA5,J$263)+COUNTIF('8月'!DE5:DF5,J$263)+COUNTIF('8月'!DJ5:DK5,J$263)+COUNTIF('8月'!DO5:DP5,J$263)+COUNTIF('8月'!DT5:DU5,J$263)+COUNTIF('8月'!DY5:DZ5,J$263)+COUNTIF('8月'!ED5:EE5,J$263)+COUNTIF('8月'!EI5:EJ5,J$263)+COUNTIF('8月'!EN5:EO5,J$263)+COUNTIF('8月'!ES5:ET5,J$263)+COUNTIF('8月'!D5:E5,"六本木-夜勤")+COUNTIF('8月'!I5:J5,"六本木-夜勤")+COUNTIF('8月'!N5:O5,"六本木-夜勤")+COUNTIF('8月'!S5:T5,"六本木-夜勤")+COUNTIF('8月'!X5:Y5,"六本木-夜勤")+COUNTIF('8月'!AC5:AD5,"六本木-夜勤")+COUNTIF('8月'!AH5:AI5,"六本木-夜勤")+COUNTIF('8月'!AM5:AN5,"六本木-夜勤")+COUNTIF('8月'!AR5:AS5,"六本木-夜勤")+COUNTIF('8月'!AW5:AX5,"六本木-夜勤")+COUNTIF('8月'!BB5:BC5,"六本木-夜勤")+COUNTIF('8月'!BG5:BH5,"六本木-夜勤")+COUNTIF('8月'!BL5:BM5,"六本木-夜勤")+COUNTIF('8月'!BQ5:BR5,"六本木-夜勤")+COUNTIF('8月'!BV5:BW5,"六本木-夜勤")+COUNTIF('8月'!CA5:CB5,"六本木-夜勤")+COUNTIF('8月'!CF5:CG5,"六本木-夜勤")+COUNTIF('8月'!CK5:CL5,"六本木-夜勤")+COUNTIF('8月'!CP5:CQ5,"六本木-夜勤")+COUNTIF('8月'!CU5:CV5,"六本木-夜勤")+COUNTIF('8月'!CZ5:DA5,"六本木-夜勤")+COUNTIF('8月'!DE5:DF5,"六本木-夜勤")+COUNTIF('8月'!DJ5:DK5,"六本木-夜勤")+COUNTIF('8月'!DO5:DP5,"六本木-夜勤")+COUNTIF('8月'!DT5:DU5,"六本木-夜勤")+COUNTIF('8月'!DY5:DZ5,"六本木-夜勤")+COUNTIF('8月'!ED5:EE5,"六本木-夜勤")+COUNTIF('8月'!EI5:EJ5,"六本木-夜勤")+COUNTIF('8月'!EN5:EO5,"六本木-夜勤")+COUNTIF('8月'!ES5:ET5,"六本木-夜勤")+COUNTIF('8月'!D5:E5,"六本木ー夜勤")+COUNTIF('8月'!I5:J5,"六本木ー夜勤")+COUNTIF('8月'!N5:O5,"六本木ー夜勤")+COUNTIF('8月'!S5:T5,"六本木ー夜勤")+COUNTIF('8月'!X5:Y5,"六本木ー夜勤")+COUNTIF('8月'!AC5:AD5,"六本木ー夜勤")+COUNTIF('8月'!AH5:AI5,"六本木ー夜勤")+COUNTIF('8月'!AM5:AN5,"六本木ー夜勤")+COUNTIF('8月'!AR5:AS5,"六本木ー夜勤")+COUNTIF('8月'!AW5:AX5,"六本木ー夜勤")+COUNTIF('8月'!BB5:BC5,"六本木ー夜勤")+COUNTIF('8月'!BG5:BH5,"六本木ー夜勤")+COUNTIF('8月'!BL5:BM5,"六本木ー夜勤")+COUNTIF('8月'!BQ5:BR5,"六本木ー夜勤")+COUNTIF('8月'!BV5:BW5,"六本木ー夜勤")+COUNTIF('8月'!CA5:CB5,"六本木ー夜勤")+COUNTIF('8月'!CF5:CG5,"六本木ー夜勤")+COUNTIF('8月'!CK5:CL5,"六本木ー夜勤")+COUNTIF('8月'!CP5:CQ5,"六本木ー夜勤")+COUNTIF('8月'!CU5:CV5,"六本木ー夜勤")+COUNTIF('8月'!CZ5:DA5,"六本木ー夜勤")+COUNTIF('8月'!DE5:DF5,"六本木ー夜勤")+COUNTIF('8月'!DJ5:DK5,"六本木ー夜勤")+COUNTIF('8月'!DO5:DP5,"六本木ー夜勤")+COUNTIF('8月'!DT5:DU5,"六本木ー夜勤")+COUNTIF('8月'!DY5:DZ5,"六本木ー夜勤")+COUNTIF('8月'!ED5:EE5,"六本木ー夜勤")+COUNTIF('8月'!EI5:EJ5,"六本木ー夜勤")+COUNTIF('8月'!EN5:EO5,"六本木ー夜勤")+COUNTIF('8月'!ES5:ET5,"六本木ー夜勤")</f>
        <v>0</v>
      </c>
      <c r="K266" s="76">
        <f t="shared" ref="K266:K295" si="88">IF(J266=0,K265,K265+J266)</f>
        <v>0</v>
      </c>
      <c r="L266" s="76">
        <f>COUNTIF('8月'!D5:E5,L$263)+COUNTIF('8月'!I5:J5,L$263)+COUNTIF('8月'!N5:O5,L$263)+COUNTIF('8月'!S5:T5,L$263)+COUNTIF('8月'!X5:Y5,L$263)+COUNTIF('8月'!AC5:AD5,L$263)+COUNTIF('8月'!AH5:AI5,L$263)+COUNTIF('8月'!AM5:AN5,L$263)+COUNTIF('8月'!AR5:AS5,L$263)+COUNTIF('8月'!AW5:AX5,L$263)+COUNTIF('8月'!BB5:BC5,L$263)+COUNTIF('8月'!BG5:BH5,L$263)+COUNTIF('8月'!BL5:BM5,L$263)+COUNTIF('8月'!BQ5:BR5,L$263)+COUNTIF('8月'!BV5:BW5,L$263)+COUNTIF('8月'!CA5:CB5,L$263)+COUNTIF('8月'!CF5:CG5,L$263)+COUNTIF('8月'!CK5:CL5,L$263)+COUNTIF('8月'!CP5:CQ5,L$263)+COUNTIF('8月'!CU5:CV5,L$263)+COUNTIF('8月'!CZ5:DA5,L$263)+COUNTIF('8月'!DE5:DF5,L$263)+COUNTIF('8月'!DJ5:DK5,L$263)+COUNTIF('8月'!DO5:DP5,L$263)+COUNTIF('8月'!DT5:DU5,L$263)+COUNTIF('8月'!DY5:DZ5,L$263)+COUNTIF('8月'!ED5:EE5,L$263)+COUNTIF('8月'!EI5:EJ5,L$263)+COUNTIF('8月'!EN5:EO5,L$263)+COUNTIF('8月'!ES5:ET5,L$263)</f>
        <v>0</v>
      </c>
      <c r="M266" s="76">
        <f t="shared" ref="M266:M295" si="89">IF(L266=0,M265,M265+L266)</f>
        <v>0</v>
      </c>
      <c r="N266" s="76">
        <f>COUNTIF('8月'!D5:E5,N$263)+COUNTIF('8月'!I5:J5,N$263)+COUNTIF('8月'!N5:O5,N$263)+COUNTIF('8月'!S5:T5,N$263)+COUNTIF('8月'!X5:Y5,N$263)+COUNTIF('8月'!AC5:AD5,N$263)+COUNTIF('8月'!AH5:AI5,N$263)+COUNTIF('8月'!AM5:AN5,N$263)+COUNTIF('8月'!AR5:AS5,N$263)+COUNTIF('8月'!AW5:AX5,N$263)+COUNTIF('8月'!BB5:BC5,N$263)+COUNTIF('8月'!BG5:BH5,N$263)+COUNTIF('8月'!BL5:BM5,N$263)+COUNTIF('8月'!BQ5:BR5,N$263)+COUNTIF('8月'!BV5:BW5,N$263)+COUNTIF('8月'!CA5:CB5,N$263)+COUNTIF('8月'!CF5:CG5,N$263)+COUNTIF('8月'!CK5:CL5,N$263)+COUNTIF('8月'!CP5:CQ5,N$263)+COUNTIF('8月'!CU5:CV5,N$263)+COUNTIF('8月'!CZ5:DA5,N$263)+COUNTIF('8月'!DE5:DF5,N$263)+COUNTIF('8月'!DJ5:DK5,N$263)+COUNTIF('8月'!DO5:DP5,N$263)+COUNTIF('8月'!DT5:DU5,N$263)+COUNTIF('8月'!DY5:DZ5,N$263)+COUNTIF('8月'!ED5:EE5,N$263)+COUNTIF('8月'!EI5:EJ5,N$263)+COUNTIF('8月'!EN5:EO5,N$263)+COUNTIF('8月'!ES5:ET5,N$263)+COUNTIF('8月'!D5:E5,"三軒茶屋－夜勤")+COUNTIF('8月'!I5:J5,"三軒茶屋－夜勤")+COUNTIF('8月'!N5:O5,"三軒茶屋－夜勤")+COUNTIF('8月'!S5:T5,"三軒茶屋－夜勤")+COUNTIF('8月'!X5:Y5,"三軒茶屋－夜勤")+COUNTIF('8月'!AC5:AD5,"三軒茶屋－夜勤")+COUNTIF('8月'!AH5:AI5,"三軒茶屋－夜勤")+COUNTIF('8月'!AM5:AN5,"三軒茶屋－夜勤")+COUNTIF('8月'!AR5:AS5,"三軒茶屋－夜勤")+COUNTIF('8月'!AW5:AX5,"三軒茶屋－夜勤")+COUNTIF('8月'!BB5:BC5,"三軒茶屋－夜勤")+COUNTIF('8月'!BG5:BH5,"三軒茶屋－夜勤")+COUNTIF('8月'!BL5:BM5,"三軒茶屋－夜勤")+COUNTIF('8月'!BQ5:BR5,"三軒茶屋－夜勤")+COUNTIF('8月'!BV5:BW5,"三軒茶屋－夜勤")+COUNTIF('8月'!CA5:CB5,"三軒茶屋－夜勤")+COUNTIF('8月'!CF5:CG5,"三軒茶屋－夜勤")+COUNTIF('8月'!CK5:CL5,"三軒茶屋－夜勤")+COUNTIF('8月'!CP5:CQ5,"三軒茶屋－夜勤")+COUNTIF('8月'!CU5:CV5,"三軒茶屋－夜勤")+COUNTIF('8月'!CZ5:DA5,"三軒茶屋－夜勤")+COUNTIF('8月'!DE5:DF5,"三軒茶屋－夜勤")+COUNTIF('8月'!DJ5:DK5,"三軒茶屋－夜勤")+COUNTIF('8月'!DO5:DP5,"三軒茶屋－夜勤")+COUNTIF('8月'!DT5:DU5,"三軒茶屋－夜勤")+COUNTIF('8月'!DY5:DZ5,"三軒茶屋－夜勤")+COUNTIF('8月'!ED5:EE5,"三軒茶屋－夜勤")+COUNTIF('8月'!EI5:EJ5,"三軒茶屋－夜勤")+COUNTIF('8月'!EN5:EO5,"三軒茶屋－夜勤")+COUNTIF('8月'!ES5:ET5,"三軒茶屋－夜勤")</f>
        <v>0</v>
      </c>
      <c r="O266" s="76">
        <f t="shared" ref="O266:O295" si="90">IF(N266=0,O265,O265+N266)</f>
        <v>0</v>
      </c>
      <c r="P266" s="76">
        <f>COUNTIF('8月'!D5:E5,P$263)+COUNTIF('8月'!I5:J5,P$263)+COUNTIF('8月'!N5:O5,P$263)+COUNTIF('8月'!S5:T5,P$263)+COUNTIF('8月'!X5:Y5,P$263)+COUNTIF('8月'!AC5:AD5,P$263)+COUNTIF('8月'!AH5:AI5,P$263)+COUNTIF('8月'!AM5:AN5,P$263)+COUNTIF('8月'!AR5:AS5,P$263)+COUNTIF('8月'!AW5:AX5,P$263)+COUNTIF('8月'!BB5:BC5,P$263)+COUNTIF('8月'!BG5:BH5,P$263)+COUNTIF('8月'!BL5:BM5,P$263)+COUNTIF('8月'!BQ5:BR5,P$263)+COUNTIF('8月'!BV5:BW5,P$263)+COUNTIF('8月'!CA5:CB5,P$263)+COUNTIF('8月'!CF5:CG5,P$263)+COUNTIF('8月'!CK5:CL5,P$263)+COUNTIF('8月'!CP5:CQ5,P$263)+COUNTIF('8月'!CU5:CV5,P$263)+COUNTIF('8月'!CZ5:DA5,P$263)+COUNTIF('8月'!DE5:DF5,P$263)+COUNTIF('8月'!DJ5:DK5,P$263)+COUNTIF('8月'!DO5:DP5,P$263)+COUNTIF('8月'!DT5:DU5,P$263)+COUNTIF('8月'!DY5:DZ5,P$263)+COUNTIF('8月'!ED5:EE5,P$263)+COUNTIF('8月'!EI5:EJ5,P$263)+COUNTIF('8月'!EN5:EO5,P$263)+COUNTIF('8月'!ES5:ET5,P$263)+COUNTIF('8月'!D5:E5,"荻窪ー夜勤")+COUNTIF('8月'!I5:J5,"荻窪ー夜勤")+COUNTIF('8月'!N5:O5,"荻窪ー夜勤")+COUNTIF('8月'!S5:T5,"荻窪ー夜勤")+COUNTIF('8月'!X5:Y5,"荻窪ー夜勤")+COUNTIF('8月'!AC5:AD5,"荻窪ー夜勤")+COUNTIF('8月'!AH5:AI5,"荻窪ー夜勤")+COUNTIF('8月'!AM5:AN5,"荻窪ー夜勤")+COUNTIF('8月'!AR5:AS5,"荻窪ー夜勤")+COUNTIF('8月'!AW5:AX5,"荻窪ー夜勤")+COUNTIF('8月'!BB5:BC5,"荻窪ー夜勤")+COUNTIF('8月'!BG5:BH5,"荻窪ー夜勤")+COUNTIF('8月'!BL5:BM5,"荻窪ー夜勤")+COUNTIF('8月'!BQ5:BR5,"荻窪ー夜勤")+COUNTIF('8月'!BV5:BW5,"荻窪ー夜勤")+COUNTIF('8月'!CA5:CB5,"荻窪ー夜勤")+COUNTIF('8月'!CF5:CG5,"荻窪ー夜勤")+COUNTIF('8月'!CK5:CL5,"荻窪ー夜勤")+COUNTIF('8月'!CP5:CQ5,"荻窪ー夜勤")+COUNTIF('8月'!CU5:CV5,"荻窪ー夜勤")+COUNTIF('8月'!CZ5:DA5,"荻窪ー夜勤")+COUNTIF('8月'!DE5:DF5,"荻窪ー夜勤")+COUNTIF('8月'!DJ5:DK5,"荻窪ー夜勤")+COUNTIF('8月'!DO5:DP5,"荻窪ー夜勤")+COUNTIF('8月'!DT5:DU5,"荻窪ー夜勤")+COUNTIF('8月'!DY5:DZ5,"荻窪ー夜勤")+COUNTIF('8月'!ED5:EE5,"荻窪ー夜勤")+COUNTIF('8月'!EI5:EJ5,"荻窪ー夜勤")+COUNTIF('8月'!EN5:EO5,"荻窪ー夜勤")+COUNTIF('8月'!ES5:ET5,"荻窪ー夜勤")</f>
        <v>0</v>
      </c>
      <c r="Q266" s="76">
        <f t="shared" ref="Q266:Q295" si="91">IF(P266=0,Q265,Q265+P266)</f>
        <v>0</v>
      </c>
      <c r="R266" s="76">
        <f>COUNTIF('8月'!D5:E5,R$263)+COUNTIF('8月'!I5:J5,R$263)+COUNTIF('8月'!N5:O5,R$263)+COUNTIF('8月'!S5:T5,R$263)+COUNTIF('8月'!X5:Y5,R$263)+COUNTIF('8月'!AC5:AD5,R$263)+COUNTIF('8月'!AH5:AI5,R$263)+COUNTIF('8月'!AM5:AN5,R$263)+COUNTIF('8月'!AR5:AS5,R$263)+COUNTIF('8月'!AW5:AX5,R$263)+COUNTIF('8月'!BB5:BC5,R$263)+COUNTIF('8月'!BG5:BH5,R$263)+COUNTIF('8月'!BL5:BM5,R$263)+COUNTIF('8月'!BQ5:BR5,R$263)+COUNTIF('8月'!BV5:BW5,R$263)+COUNTIF('8月'!CA5:CB5,R$263)+COUNTIF('8月'!CF5:CG5,R$263)+COUNTIF('8月'!CK5:CL5,R$263)+COUNTIF('8月'!CP5:CQ5,R$263)+COUNTIF('8月'!CU5:CV5,R$263)+COUNTIF('8月'!CZ5:DA5,R$263)+COUNTIF('8月'!DE5:DF5,R$263)+COUNTIF('8月'!DJ5:DK5,R$263)+COUNTIF('8月'!DO5:DP5,R$263)+COUNTIF('8月'!DT5:DU5,R$263)+COUNTIF('8月'!DY5:DZ5,R$263)+COUNTIF('8月'!ED5:EE5,R$263)+COUNTIF('8月'!EI5:EJ5,R$263)+COUNTIF('8月'!EN5:EO5,R$263)+COUNTIF('8月'!ES5:ET5,R$263)</f>
        <v>0</v>
      </c>
      <c r="S266" s="76">
        <f t="shared" ref="S266:S295" si="92">IF(R266=0,S265,S265+R266)</f>
        <v>0</v>
      </c>
      <c r="T266" s="76">
        <f>COUNTIF('8月'!D5:E5,T$263)+COUNTIF('8月'!I5:J5,T$263)+COUNTIF('8月'!N5:O5,T$263)+COUNTIF('8月'!S5:T5,T$263)+COUNTIF('8月'!X5:Y5,T$263)+COUNTIF('8月'!AC5:AD5,T$263)+COUNTIF('8月'!AH5:AI5,T$263)+COUNTIF('8月'!AM5:AN5,T$263)+COUNTIF('8月'!AR5:AS5,T$263)+COUNTIF('8月'!AW5:AX5,T$263)+COUNTIF('8月'!BB5:BC5,T$263)+COUNTIF('8月'!BG5:BH5,T$263)+COUNTIF('8月'!BL5:BM5,T$263)+COUNTIF('8月'!BQ5:BR5,T$263)+COUNTIF('8月'!BV5:BW5,T$263)+COUNTIF('8月'!CA5:CB5,T$263)+COUNTIF('8月'!CF5:CG5,T$263)+COUNTIF('8月'!CK5:CL5,T$263)+COUNTIF('8月'!CP5:CQ5,T$263)+COUNTIF('8月'!CU5:CV5,T$263)+COUNTIF('8月'!CZ5:DA5,T$263)+COUNTIF('8月'!DE5:DF5,T$263)+COUNTIF('8月'!DJ5:DK5,T$263)+COUNTIF('8月'!DO5:DP5,T$263)+COUNTIF('8月'!DT5:DU5,T$263)+COUNTIF('8月'!DY5:DZ5,T$263)+COUNTIF('8月'!ED5:EE5,T$263)+COUNTIF('8月'!EI5:EJ5,T$263)+COUNTIF('8月'!EN5:EO5,T$263)+COUNTIF('8月'!ES5:ET5,T$263)</f>
        <v>0</v>
      </c>
      <c r="U266" s="76">
        <f t="shared" ref="U266:U295" si="93">IF(T266=0,U265,U265+T266)</f>
        <v>0</v>
      </c>
      <c r="V266" s="76">
        <f>COUNTIF('8月'!D5:E5,V$263)+COUNTIF('8月'!I5:J5,V$263)+COUNTIF('8月'!N5:O5,V$263)+COUNTIF('8月'!S5:T5,V$263)+COUNTIF('8月'!X5:Y5,V$263)+COUNTIF('8月'!AC5:AD5,V$263)+COUNTIF('8月'!AH5:AI5,V$263)+COUNTIF('8月'!AM5:AN5,V$263)+COUNTIF('8月'!AR5:AS5,V$263)+COUNTIF('8月'!AW5:AX5,V$263)+COUNTIF('8月'!BB5:BC5,V$263)+COUNTIF('8月'!BG5:BH5,V$263)+COUNTIF('8月'!BL5:BM5,V$263)+COUNTIF('8月'!BQ5:BR5,V$263)+COUNTIF('8月'!BV5:BW5,V$263)+COUNTIF('8月'!CA5:CB5,V$263)+COUNTIF('8月'!CF5:CG5,V$263)+COUNTIF('8月'!CK5:CL5,V$263)+COUNTIF('8月'!CP5:CQ5,V$263)+COUNTIF('8月'!CU5:CV5,V$263)+COUNTIF('8月'!CZ5:DA5,V$263)+COUNTIF('8月'!DE5:DF5,V$263)+COUNTIF('8月'!DJ5:DK5,V$263)+COUNTIF('8月'!DO5:DP5,V$263)+COUNTIF('8月'!DT5:DU5,V$263)+COUNTIF('8月'!DY5:DZ5,V$263)+COUNTIF('8月'!ED5:EE5,V$263)+COUNTIF('8月'!EI5:EJ5,V$263)+COUNTIF('8月'!EN5:EO5,V$263)+COUNTIF('8月'!ES5:ET5,V$263)</f>
        <v>0</v>
      </c>
      <c r="W266" s="76">
        <f t="shared" ref="W266:W295" si="94">IF(V266=0,W265,W265+V266)</f>
        <v>0</v>
      </c>
      <c r="X266" s="76">
        <f>COUNTIF('8月'!D5:E5,X$263)+COUNTIF('8月'!I5:J5,X$263)+COUNTIF('8月'!N5:O5,X$263)+COUNTIF('8月'!S5:T5,X$263)+COUNTIF('8月'!X5:Y5,X$263)+COUNTIF('8月'!AC5:AD5,X$263)+COUNTIF('8月'!AH5:AI5,X$263)+COUNTIF('8月'!AM5:AN5,X$263)+COUNTIF('8月'!AR5:AS5,X$263)+COUNTIF('8月'!AW5:AX5,X$263)+COUNTIF('8月'!BB5:BC5,X$263)+COUNTIF('8月'!BG5:BH5,X$263)+COUNTIF('8月'!BL5:BM5,X$263)+COUNTIF('8月'!BQ5:BR5,X$263)+COUNTIF('8月'!BV5:BW5,X$263)+COUNTIF('8月'!CA5:CB5,X$263)+COUNTIF('8月'!CF5:CG5,X$263)+COUNTIF('8月'!CK5:CL5,X$263)+COUNTIF('8月'!CP5:CQ5,X$263)+COUNTIF('8月'!CU5:CV5,X$263)+COUNTIF('8月'!CZ5:DA5,X$263)+COUNTIF('8月'!DE5:DF5,X$263)+COUNTIF('8月'!DJ5:DK5,X$263)+COUNTIF('8月'!DO5:DP5,X$263)+COUNTIF('8月'!DT5:DU5,X$263)+COUNTIF('8月'!DY5:DZ5,X$263)+COUNTIF('8月'!ED5:EE5,X$263)+COUNTIF('8月'!EI5:EJ5,X$263)+COUNTIF('8月'!EN5:EO5,X$263)+COUNTIF('8月'!ES5:ET5,X$263)</f>
        <v>0</v>
      </c>
      <c r="Y266" s="76">
        <f t="shared" ref="Y266:Y295" si="95">IF(X266=0,Y265,Y265+X266)</f>
        <v>0</v>
      </c>
    </row>
    <row r="267" spans="1:25" ht="18" customHeight="1">
      <c r="A267" s="76">
        <v>3</v>
      </c>
      <c r="B267" s="76">
        <f>COUNTIF('8月'!D6:E6,B$263)+COUNTIF('8月'!I6:J6,B$263)+COUNTIF('8月'!N6:O6,B$263)+COUNTIF('8月'!S6:T6,B$263)+COUNTIF('8月'!X6:Y6,B$263)+COUNTIF('8月'!AC6:AD6,B$263)+COUNTIF('8月'!AH6:AI6,B$263)+COUNTIF('8月'!AM6:AN6,B$263)+COUNTIF('8月'!AR6:AS6,B$263)+COUNTIF('8月'!AW6:AX6,B$263)+COUNTIF('8月'!BB6:BC6,B$263)+COUNTIF('8月'!BG6:BH6,B$263)+COUNTIF('8月'!BL6:BM6,B$263)+COUNTIF('8月'!BQ6:BR6,B$263)+COUNTIF('8月'!BV6:BW6,B$263)+COUNTIF('8月'!CA6:CB6,B$263)+COUNTIF('8月'!CF6:CG6,B$263)+COUNTIF('8月'!CK6:CL6,B$263)+COUNTIF('8月'!CP6:CQ6,B$263)+COUNTIF('8月'!CU6:CV6,B$263)+COUNTIF('8月'!CZ6:DA6,B$263)+COUNTIF('8月'!DE6:DF6,B$263)+COUNTIF('8月'!DJ6:DK6,B$263)+COUNTIF('8月'!DO6:DP6,B$263)+COUNTIF('8月'!DT6:DU6,B$263)+COUNTIF('8月'!DY6:DZ6,B$263)+COUNTIF('8月'!ED6:EE6,B$263)+COUNTIF('8月'!EI6:EJ6,B$263)+COUNTIF('8月'!EN6:EO6,B$263)+COUNTIF('8月'!ES6:ET6,B$263)</f>
        <v>0</v>
      </c>
      <c r="C267" s="76">
        <f t="shared" si="84"/>
        <v>0</v>
      </c>
      <c r="D267" s="76">
        <f>COUNTIF('8月'!D6:E6,D$263)+COUNTIF('8月'!I6:J6,D$263)+COUNTIF('8月'!N6:O6,D$263)+COUNTIF('8月'!S6:T6,D$263)+COUNTIF('8月'!X6:Y6,D$263)+COUNTIF('8月'!AC6:AD6,D$263)+COUNTIF('8月'!AH6:AI6,D$263)+COUNTIF('8月'!AM6:AN6,D$263)+COUNTIF('8月'!AR6:AS6,D$263)+COUNTIF('8月'!AW6:AX6,D$263)+COUNTIF('8月'!BB6:BC6,D$263)+COUNTIF('8月'!BG6:BH6,D$263)+COUNTIF('8月'!BL6:BM6,D$263)+COUNTIF('8月'!BQ6:BR6,D$263)+COUNTIF('8月'!BV6:BW6,D$263)+COUNTIF('8月'!CA6:CB6,D$263)+COUNTIF('8月'!CF6:CG6,D$263)+COUNTIF('8月'!CK6:CL6,D$263)+COUNTIF('8月'!CP6:CQ6,D$263)+COUNTIF('8月'!CU6:CV6,D$263)+COUNTIF('8月'!CZ6:DA6,D$263)+COUNTIF('8月'!DE6:DF6,D$263)+COUNTIF('8月'!DJ6:DK6,D$263)+COUNTIF('8月'!DO6:DP6,D$263)+COUNTIF('8月'!DT6:DU6,D$263)+COUNTIF('8月'!DY6:DZ6,D$263)+COUNTIF('8月'!ED6:EE6,D$263)+COUNTIF('8月'!EI6:EJ6,D$263)+COUNTIF('8月'!EN6:EO6,D$263)+COUNTIF('8月'!ES6:ET6,D$263)</f>
        <v>0</v>
      </c>
      <c r="E267" s="76">
        <f t="shared" si="85"/>
        <v>0</v>
      </c>
      <c r="F267" s="76">
        <f>COUNTIF('8月'!D6:E6,F$263)+COUNTIF('8月'!I6:J6,F$263)+COUNTIF('8月'!N6:O6,F$263)+COUNTIF('8月'!S6:T6,F$263)+COUNTIF('8月'!X6:Y6,F$263)+COUNTIF('8月'!AC6:AD6,F$263)+COUNTIF('8月'!AH6:AI6,F$263)+COUNTIF('8月'!AM6:AN6,F$263)+COUNTIF('8月'!AR6:AS6,F$263)+COUNTIF('8月'!AW6:AX6,F$263)+COUNTIF('8月'!BB6:BC6,F$263)+COUNTIF('8月'!BG6:BH6,F$263)+COUNTIF('8月'!BL6:BM6,F$263)+COUNTIF('8月'!BQ6:BR6,F$263)+COUNTIF('8月'!BV6:BW6,F$263)+COUNTIF('8月'!CA6:CB6,F$263)+COUNTIF('8月'!CF6:CG6,F$263)+COUNTIF('8月'!CK6:CL6,F$263)+COUNTIF('8月'!CP6:CQ6,F$263)+COUNTIF('8月'!CU6:CV6,F$263)+COUNTIF('8月'!CZ6:DA6,F$263)+COUNTIF('8月'!DE6:DF6,F$263)+COUNTIF('8月'!DJ6:DK6,F$263)+COUNTIF('8月'!DO6:DP6,F$263)+COUNTIF('8月'!DT6:DU6,F$263)+COUNTIF('8月'!DY6:DZ6,F$263)+COUNTIF('8月'!ED6:EE6,F$263)+COUNTIF('8月'!EI6:EJ6,F$263)+COUNTIF('8月'!EN6:EO6,F$263)+COUNTIF('8月'!ES6:ET6,F$263)</f>
        <v>0</v>
      </c>
      <c r="G267" s="76">
        <f t="shared" si="86"/>
        <v>0</v>
      </c>
      <c r="H267" s="76">
        <f>COUNTIF('8月'!D6:E6,H$263)+COUNTIF('8月'!I6:J6,H$263)+COUNTIF('8月'!N6:O6,H$263)+COUNTIF('8月'!S6:T6,H$263)+COUNTIF('8月'!X6:Y6,H$263)+COUNTIF('8月'!AC6:AD6,H$263)+COUNTIF('8月'!AH6:AI6,H$263)+COUNTIF('8月'!AM6:AN6,H$263)+COUNTIF('8月'!AR6:AS6,H$263)+COUNTIF('8月'!AW6:AX6,H$263)+COUNTIF('8月'!BB6:BC6,H$263)+COUNTIF('8月'!BG6:BH6,H$263)+COUNTIF('8月'!BL6:BM6,H$263)+COUNTIF('8月'!BQ6:BR6,H$263)+COUNTIF('8月'!BV6:BW6,H$263)+COUNTIF('8月'!CA6:CB6,H$263)+COUNTIF('8月'!CF6:CG6,H$263)+COUNTIF('8月'!CK6:CL6,H$263)+COUNTIF('8月'!CP6:CQ6,H$263)+COUNTIF('8月'!CU6:CV6,H$263)+COUNTIF('8月'!CZ6:DA6,H$263)+COUNTIF('8月'!DE6:DF6,H$263)+COUNTIF('8月'!DJ6:DK6,H$263)+COUNTIF('8月'!DO6:DP6,H$263)+COUNTIF('8月'!DT6:DU6,H$263)+COUNTIF('8月'!DY6:DZ6,H$263)+COUNTIF('8月'!ED6:EE6,H$263)+COUNTIF('8月'!EI6:EJ6,H$263)+COUNTIF('8月'!EN6:EO6,H$263)+COUNTIF('8月'!ES6:ET6,H$263)+COUNTIF('8月'!D6:E6,"渋谷-夜勤")+COUNTIF('8月'!I6:J6,"渋谷-夜勤")+COUNTIF('8月'!N6:O6,"渋谷-夜勤")+COUNTIF('8月'!S6:T6,"渋谷-夜勤")+COUNTIF('8月'!X6:Y6,"渋谷-夜勤")+COUNTIF('8月'!AC6:AD6,"渋谷-夜勤")+COUNTIF('8月'!AH6:AI6,"渋谷-夜勤")+COUNTIF('8月'!AM6:AN6,"渋谷-夜勤")+COUNTIF('8月'!AR6:AS6,"渋谷-夜勤")+COUNTIF('8月'!AW6:AX6,"渋谷-夜勤")+COUNTIF('8月'!BB6:BC6,"渋谷-夜勤")+COUNTIF('8月'!BG6:BH6,"渋谷-夜勤")+COUNTIF('8月'!BL6:BM6,"渋谷-夜勤")+COUNTIF('8月'!BQ6:BR6,"渋谷-夜勤")+COUNTIF('8月'!BV6:BW6,"渋谷-夜勤")+COUNTIF('8月'!CA6:CB6,"渋谷-夜勤")+COUNTIF('8月'!CF6:CG6,"渋谷-夜勤")+COUNTIF('8月'!CK6:CL6,"渋谷-夜勤")+COUNTIF('8月'!CP6:CQ6,"渋谷-夜勤")+COUNTIF('8月'!CU6:CV6,"渋谷-夜勤")+COUNTIF('8月'!CZ6:DA6,"渋谷-夜勤")+COUNTIF('8月'!DE6:DF6,"渋谷-夜勤")+COUNTIF('8月'!DJ6:DK6,"渋谷-夜勤")+COUNTIF('8月'!DO6:DP6,"渋谷-夜勤")+COUNTIF('8月'!DT6:DU6,"渋谷-夜勤")+COUNTIF('8月'!DY6:DZ6,"渋谷-夜勤")+COUNTIF('8月'!ED6:EE6,"渋谷-夜勤")+COUNTIF('8月'!EI6:EJ6,"渋谷-夜勤")+COUNTIF('8月'!EN6:EO6,"渋谷-夜勤")+COUNTIF('8月'!ES6:ET6,"渋谷-夜勤")</f>
        <v>0</v>
      </c>
      <c r="I267" s="76">
        <f t="shared" si="87"/>
        <v>0</v>
      </c>
      <c r="J267" s="76">
        <f>COUNTIF('8月'!D6:E6,J$263)+COUNTIF('8月'!I6:J6,J$263)+COUNTIF('8月'!N6:O6,J$263)+COUNTIF('8月'!S6:T6,J$263)+COUNTIF('8月'!X6:Y6,J$263)+COUNTIF('8月'!AC6:AD6,J$263)+COUNTIF('8月'!AH6:AI6,J$263)+COUNTIF('8月'!AM6:AN6,J$263)+COUNTIF('8月'!AR6:AS6,J$263)+COUNTIF('8月'!AW6:AX6,J$263)+COUNTIF('8月'!BB6:BC6,J$263)+COUNTIF('8月'!BG6:BH6,J$263)+COUNTIF('8月'!BL6:BM6,J$263)+COUNTIF('8月'!BQ6:BR6,J$263)+COUNTIF('8月'!BV6:BW6,J$263)+COUNTIF('8月'!CA6:CB6,J$263)+COUNTIF('8月'!CF6:CG6,J$263)+COUNTIF('8月'!CK6:CL6,J$263)+COUNTIF('8月'!CP6:CQ6,J$263)+COUNTIF('8月'!CU6:CV6,J$263)+COUNTIF('8月'!CZ6:DA6,J$263)+COUNTIF('8月'!DE6:DF6,J$263)+COUNTIF('8月'!DJ6:DK6,J$263)+COUNTIF('8月'!DO6:DP6,J$263)+COUNTIF('8月'!DT6:DU6,J$263)+COUNTIF('8月'!DY6:DZ6,J$263)+COUNTIF('8月'!ED6:EE6,J$263)+COUNTIF('8月'!EI6:EJ6,J$263)+COUNTIF('8月'!EN6:EO6,J$263)+COUNTIF('8月'!ES6:ET6,J$263)+COUNTIF('8月'!D6:E6,"六本木-夜勤")+COUNTIF('8月'!I6:J6,"六本木-夜勤")+COUNTIF('8月'!N6:O6,"六本木-夜勤")+COUNTIF('8月'!S6:T6,"六本木-夜勤")+COUNTIF('8月'!X6:Y6,"六本木-夜勤")+COUNTIF('8月'!AC6:AD6,"六本木-夜勤")+COUNTIF('8月'!AH6:AI6,"六本木-夜勤")+COUNTIF('8月'!AM6:AN6,"六本木-夜勤")+COUNTIF('8月'!AR6:AS6,"六本木-夜勤")+COUNTIF('8月'!AW6:AX6,"六本木-夜勤")+COUNTIF('8月'!BB6:BC6,"六本木-夜勤")+COUNTIF('8月'!BG6:BH6,"六本木-夜勤")+COUNTIF('8月'!BL6:BM6,"六本木-夜勤")+COUNTIF('8月'!BQ6:BR6,"六本木-夜勤")+COUNTIF('8月'!BV6:BW6,"六本木-夜勤")+COUNTIF('8月'!CA6:CB6,"六本木-夜勤")+COUNTIF('8月'!CF6:CG6,"六本木-夜勤")+COUNTIF('8月'!CK6:CL6,"六本木-夜勤")+COUNTIF('8月'!CP6:CQ6,"六本木-夜勤")+COUNTIF('8月'!CU6:CV6,"六本木-夜勤")+COUNTIF('8月'!CZ6:DA6,"六本木-夜勤")+COUNTIF('8月'!DE6:DF6,"六本木-夜勤")+COUNTIF('8月'!DJ6:DK6,"六本木-夜勤")+COUNTIF('8月'!DO6:DP6,"六本木-夜勤")+COUNTIF('8月'!DT6:DU6,"六本木-夜勤")+COUNTIF('8月'!DY6:DZ6,"六本木-夜勤")+COUNTIF('8月'!ED6:EE6,"六本木-夜勤")+COUNTIF('8月'!EI6:EJ6,"六本木-夜勤")+COUNTIF('8月'!EN6:EO6,"六本木-夜勤")+COUNTIF('8月'!ES6:ET6,"六本木-夜勤")+COUNTIF('8月'!D6:E6,"六本木ー夜勤")+COUNTIF('8月'!I6:J6,"六本木ー夜勤")+COUNTIF('8月'!N6:O6,"六本木ー夜勤")+COUNTIF('8月'!S6:T6,"六本木ー夜勤")+COUNTIF('8月'!X6:Y6,"六本木ー夜勤")+COUNTIF('8月'!AC6:AD6,"六本木ー夜勤")+COUNTIF('8月'!AH6:AI6,"六本木ー夜勤")+COUNTIF('8月'!AM6:AN6,"六本木ー夜勤")+COUNTIF('8月'!AR6:AS6,"六本木ー夜勤")+COUNTIF('8月'!AW6:AX6,"六本木ー夜勤")+COUNTIF('8月'!BB6:BC6,"六本木ー夜勤")+COUNTIF('8月'!BG6:BH6,"六本木ー夜勤")+COUNTIF('8月'!BL6:BM6,"六本木ー夜勤")+COUNTIF('8月'!BQ6:BR6,"六本木ー夜勤")+COUNTIF('8月'!BV6:BW6,"六本木ー夜勤")+COUNTIF('8月'!CA6:CB6,"六本木ー夜勤")+COUNTIF('8月'!CF6:CG6,"六本木ー夜勤")+COUNTIF('8月'!CK6:CL6,"六本木ー夜勤")+COUNTIF('8月'!CP6:CQ6,"六本木ー夜勤")+COUNTIF('8月'!CU6:CV6,"六本木ー夜勤")+COUNTIF('8月'!CZ6:DA6,"六本木ー夜勤")+COUNTIF('8月'!DE6:DF6,"六本木ー夜勤")+COUNTIF('8月'!DJ6:DK6,"六本木ー夜勤")+COUNTIF('8月'!DO6:DP6,"六本木ー夜勤")+COUNTIF('8月'!DT6:DU6,"六本木ー夜勤")+COUNTIF('8月'!DY6:DZ6,"六本木ー夜勤")+COUNTIF('8月'!ED6:EE6,"六本木ー夜勤")+COUNTIF('8月'!EI6:EJ6,"六本木ー夜勤")+COUNTIF('8月'!EN6:EO6,"六本木ー夜勤")+COUNTIF('8月'!ES6:ET6,"六本木ー夜勤")</f>
        <v>0</v>
      </c>
      <c r="K267" s="76">
        <f t="shared" si="88"/>
        <v>0</v>
      </c>
      <c r="L267" s="76">
        <f>COUNTIF('8月'!D6:E6,L$263)+COUNTIF('8月'!I6:J6,L$263)+COUNTIF('8月'!N6:O6,L$263)+COUNTIF('8月'!S6:T6,L$263)+COUNTIF('8月'!X6:Y6,L$263)+COUNTIF('8月'!AC6:AD6,L$263)+COUNTIF('8月'!AH6:AI6,L$263)+COUNTIF('8月'!AM6:AN6,L$263)+COUNTIF('8月'!AR6:AS6,L$263)+COUNTIF('8月'!AW6:AX6,L$263)+COUNTIF('8月'!BB6:BC6,L$263)+COUNTIF('8月'!BG6:BH6,L$263)+COUNTIF('8月'!BL6:BM6,L$263)+COUNTIF('8月'!BQ6:BR6,L$263)+COUNTIF('8月'!BV6:BW6,L$263)+COUNTIF('8月'!CA6:CB6,L$263)+COUNTIF('8月'!CF6:CG6,L$263)+COUNTIF('8月'!CK6:CL6,L$263)+COUNTIF('8月'!CP6:CQ6,L$263)+COUNTIF('8月'!CU6:CV6,L$263)+COUNTIF('8月'!CZ6:DA6,L$263)+COUNTIF('8月'!DE6:DF6,L$263)+COUNTIF('8月'!DJ6:DK6,L$263)+COUNTIF('8月'!DO6:DP6,L$263)+COUNTIF('8月'!DT6:DU6,L$263)+COUNTIF('8月'!DY6:DZ6,L$263)+COUNTIF('8月'!ED6:EE6,L$263)+COUNTIF('8月'!EI6:EJ6,L$263)+COUNTIF('8月'!EN6:EO6,L$263)+COUNTIF('8月'!ES6:ET6,L$263)</f>
        <v>0</v>
      </c>
      <c r="M267" s="76">
        <f t="shared" si="89"/>
        <v>0</v>
      </c>
      <c r="N267" s="76">
        <f>COUNTIF('8月'!D6:E6,N$263)+COUNTIF('8月'!I6:J6,N$263)+COUNTIF('8月'!N6:O6,N$263)+COUNTIF('8月'!S6:T6,N$263)+COUNTIF('8月'!X6:Y6,N$263)+COUNTIF('8月'!AC6:AD6,N$263)+COUNTIF('8月'!AH6:AI6,N$263)+COUNTIF('8月'!AM6:AN6,N$263)+COUNTIF('8月'!AR6:AS6,N$263)+COUNTIF('8月'!AW6:AX6,N$263)+COUNTIF('8月'!BB6:BC6,N$263)+COUNTIF('8月'!BG6:BH6,N$263)+COUNTIF('8月'!BL6:BM6,N$263)+COUNTIF('8月'!BQ6:BR6,N$263)+COUNTIF('8月'!BV6:BW6,N$263)+COUNTIF('8月'!CA6:CB6,N$263)+COUNTIF('8月'!CF6:CG6,N$263)+COUNTIF('8月'!CK6:CL6,N$263)+COUNTIF('8月'!CP6:CQ6,N$263)+COUNTIF('8月'!CU6:CV6,N$263)+COUNTIF('8月'!CZ6:DA6,N$263)+COUNTIF('8月'!DE6:DF6,N$263)+COUNTIF('8月'!DJ6:DK6,N$263)+COUNTIF('8月'!DO6:DP6,N$263)+COUNTIF('8月'!DT6:DU6,N$263)+COUNTIF('8月'!DY6:DZ6,N$263)+COUNTIF('8月'!ED6:EE6,N$263)+COUNTIF('8月'!EI6:EJ6,N$263)+COUNTIF('8月'!EN6:EO6,N$263)+COUNTIF('8月'!ES6:ET6,N$263)+COUNTIF('8月'!D6:E6,"三軒茶屋－夜勤")+COUNTIF('8月'!I6:J6,"三軒茶屋－夜勤")+COUNTIF('8月'!N6:O6,"三軒茶屋－夜勤")+COUNTIF('8月'!S6:T6,"三軒茶屋－夜勤")+COUNTIF('8月'!X6:Y6,"三軒茶屋－夜勤")+COUNTIF('8月'!AC6:AD6,"三軒茶屋－夜勤")+COUNTIF('8月'!AH6:AI6,"三軒茶屋－夜勤")+COUNTIF('8月'!AM6:AN6,"三軒茶屋－夜勤")+COUNTIF('8月'!AR6:AS6,"三軒茶屋－夜勤")+COUNTIF('8月'!AW6:AX6,"三軒茶屋－夜勤")+COUNTIF('8月'!BB6:BC6,"三軒茶屋－夜勤")+COUNTIF('8月'!BG6:BH6,"三軒茶屋－夜勤")+COUNTIF('8月'!BL6:BM6,"三軒茶屋－夜勤")+COUNTIF('8月'!BQ6:BR6,"三軒茶屋－夜勤")+COUNTIF('8月'!BV6:BW6,"三軒茶屋－夜勤")+COUNTIF('8月'!CA6:CB6,"三軒茶屋－夜勤")+COUNTIF('8月'!CF6:CG6,"三軒茶屋－夜勤")+COUNTIF('8月'!CK6:CL6,"三軒茶屋－夜勤")+COUNTIF('8月'!CP6:CQ6,"三軒茶屋－夜勤")+COUNTIF('8月'!CU6:CV6,"三軒茶屋－夜勤")+COUNTIF('8月'!CZ6:DA6,"三軒茶屋－夜勤")+COUNTIF('8月'!DE6:DF6,"三軒茶屋－夜勤")+COUNTIF('8月'!DJ6:DK6,"三軒茶屋－夜勤")+COUNTIF('8月'!DO6:DP6,"三軒茶屋－夜勤")+COUNTIF('8月'!DT6:DU6,"三軒茶屋－夜勤")+COUNTIF('8月'!DY6:DZ6,"三軒茶屋－夜勤")+COUNTIF('8月'!ED6:EE6,"三軒茶屋－夜勤")+COUNTIF('8月'!EI6:EJ6,"三軒茶屋－夜勤")+COUNTIF('8月'!EN6:EO6,"三軒茶屋－夜勤")+COUNTIF('8月'!ES6:ET6,"三軒茶屋－夜勤")</f>
        <v>0</v>
      </c>
      <c r="O267" s="76">
        <f t="shared" si="90"/>
        <v>0</v>
      </c>
      <c r="P267" s="76">
        <f>COUNTIF('8月'!D6:E6,P$263)+COUNTIF('8月'!I6:J6,P$263)+COUNTIF('8月'!N6:O6,P$263)+COUNTIF('8月'!S6:T6,P$263)+COUNTIF('8月'!X6:Y6,P$263)+COUNTIF('8月'!AC6:AD6,P$263)+COUNTIF('8月'!AH6:AI6,P$263)+COUNTIF('8月'!AM6:AN6,P$263)+COUNTIF('8月'!AR6:AS6,P$263)+COUNTIF('8月'!AW6:AX6,P$263)+COUNTIF('8月'!BB6:BC6,P$263)+COUNTIF('8月'!BG6:BH6,P$263)+COUNTIF('8月'!BL6:BM6,P$263)+COUNTIF('8月'!BQ6:BR6,P$263)+COUNTIF('8月'!BV6:BW6,P$263)+COUNTIF('8月'!CA6:CB6,P$263)+COUNTIF('8月'!CF6:CG6,P$263)+COUNTIF('8月'!CK6:CL6,P$263)+COUNTIF('8月'!CP6:CQ6,P$263)+COUNTIF('8月'!CU6:CV6,P$263)+COUNTIF('8月'!CZ6:DA6,P$263)+COUNTIF('8月'!DE6:DF6,P$263)+COUNTIF('8月'!DJ6:DK6,P$263)+COUNTIF('8月'!DO6:DP6,P$263)+COUNTIF('8月'!DT6:DU6,P$263)+COUNTIF('8月'!DY6:DZ6,P$263)+COUNTIF('8月'!ED6:EE6,P$263)+COUNTIF('8月'!EI6:EJ6,P$263)+COUNTIF('8月'!EN6:EO6,P$263)+COUNTIF('8月'!ES6:ET6,P$263)+COUNTIF('8月'!D6:E6,"荻窪ー夜勤")+COUNTIF('8月'!I6:J6,"荻窪ー夜勤")+COUNTIF('8月'!N6:O6,"荻窪ー夜勤")+COUNTIF('8月'!S6:T6,"荻窪ー夜勤")+COUNTIF('8月'!X6:Y6,"荻窪ー夜勤")+COUNTIF('8月'!AC6:AD6,"荻窪ー夜勤")+COUNTIF('8月'!AH6:AI6,"荻窪ー夜勤")+COUNTIF('8月'!AM6:AN6,"荻窪ー夜勤")+COUNTIF('8月'!AR6:AS6,"荻窪ー夜勤")+COUNTIF('8月'!AW6:AX6,"荻窪ー夜勤")+COUNTIF('8月'!BB6:BC6,"荻窪ー夜勤")+COUNTIF('8月'!BG6:BH6,"荻窪ー夜勤")+COUNTIF('8月'!BL6:BM6,"荻窪ー夜勤")+COUNTIF('8月'!BQ6:BR6,"荻窪ー夜勤")+COUNTIF('8月'!BV6:BW6,"荻窪ー夜勤")+COUNTIF('8月'!CA6:CB6,"荻窪ー夜勤")+COUNTIF('8月'!CF6:CG6,"荻窪ー夜勤")+COUNTIF('8月'!CK6:CL6,"荻窪ー夜勤")+COUNTIF('8月'!CP6:CQ6,"荻窪ー夜勤")+COUNTIF('8月'!CU6:CV6,"荻窪ー夜勤")+COUNTIF('8月'!CZ6:DA6,"荻窪ー夜勤")+COUNTIF('8月'!DE6:DF6,"荻窪ー夜勤")+COUNTIF('8月'!DJ6:DK6,"荻窪ー夜勤")+COUNTIF('8月'!DO6:DP6,"荻窪ー夜勤")+COUNTIF('8月'!DT6:DU6,"荻窪ー夜勤")+COUNTIF('8月'!DY6:DZ6,"荻窪ー夜勤")+COUNTIF('8月'!ED6:EE6,"荻窪ー夜勤")+COUNTIF('8月'!EI6:EJ6,"荻窪ー夜勤")+COUNTIF('8月'!EN6:EO6,"荻窪ー夜勤")+COUNTIF('8月'!ES6:ET6,"荻窪ー夜勤")</f>
        <v>0</v>
      </c>
      <c r="Q267" s="76">
        <f t="shared" si="91"/>
        <v>0</v>
      </c>
      <c r="R267" s="76">
        <f>COUNTIF('8月'!D6:E6,R$263)+COUNTIF('8月'!I6:J6,R$263)+COUNTIF('8月'!N6:O6,R$263)+COUNTIF('8月'!S6:T6,R$263)+COUNTIF('8月'!X6:Y6,R$263)+COUNTIF('8月'!AC6:AD6,R$263)+COUNTIF('8月'!AH6:AI6,R$263)+COUNTIF('8月'!AM6:AN6,R$263)+COUNTIF('8月'!AR6:AS6,R$263)+COUNTIF('8月'!AW6:AX6,R$263)+COUNTIF('8月'!BB6:BC6,R$263)+COUNTIF('8月'!BG6:BH6,R$263)+COUNTIF('8月'!BL6:BM6,R$263)+COUNTIF('8月'!BQ6:BR6,R$263)+COUNTIF('8月'!BV6:BW6,R$263)+COUNTIF('8月'!CA6:CB6,R$263)+COUNTIF('8月'!CF6:CG6,R$263)+COUNTIF('8月'!CK6:CL6,R$263)+COUNTIF('8月'!CP6:CQ6,R$263)+COUNTIF('8月'!CU6:CV6,R$263)+COUNTIF('8月'!CZ6:DA6,R$263)+COUNTIF('8月'!DE6:DF6,R$263)+COUNTIF('8月'!DJ6:DK6,R$263)+COUNTIF('8月'!DO6:DP6,R$263)+COUNTIF('8月'!DT6:DU6,R$263)+COUNTIF('8月'!DY6:DZ6,R$263)+COUNTIF('8月'!ED6:EE6,R$263)+COUNTIF('8月'!EI6:EJ6,R$263)+COUNTIF('8月'!EN6:EO6,R$263)+COUNTIF('8月'!ES6:ET6,R$263)</f>
        <v>0</v>
      </c>
      <c r="S267" s="76">
        <f t="shared" si="92"/>
        <v>0</v>
      </c>
      <c r="T267" s="76">
        <f>COUNTIF('8月'!D6:E6,T$263)+COUNTIF('8月'!I6:J6,T$263)+COUNTIF('8月'!N6:O6,T$263)+COUNTIF('8月'!S6:T6,T$263)+COUNTIF('8月'!X6:Y6,T$263)+COUNTIF('8月'!AC6:AD6,T$263)+COUNTIF('8月'!AH6:AI6,T$263)+COUNTIF('8月'!AM6:AN6,T$263)+COUNTIF('8月'!AR6:AS6,T$263)+COUNTIF('8月'!AW6:AX6,T$263)+COUNTIF('8月'!BB6:BC6,T$263)+COUNTIF('8月'!BG6:BH6,T$263)+COUNTIF('8月'!BL6:BM6,T$263)+COUNTIF('8月'!BQ6:BR6,T$263)+COUNTIF('8月'!BV6:BW6,T$263)+COUNTIF('8月'!CA6:CB6,T$263)+COUNTIF('8月'!CF6:CG6,T$263)+COUNTIF('8月'!CK6:CL6,T$263)+COUNTIF('8月'!CP6:CQ6,T$263)+COUNTIF('8月'!CU6:CV6,T$263)+COUNTIF('8月'!CZ6:DA6,T$263)+COUNTIF('8月'!DE6:DF6,T$263)+COUNTIF('8月'!DJ6:DK6,T$263)+COUNTIF('8月'!DO6:DP6,T$263)+COUNTIF('8月'!DT6:DU6,T$263)+COUNTIF('8月'!DY6:DZ6,T$263)+COUNTIF('8月'!ED6:EE6,T$263)+COUNTIF('8月'!EI6:EJ6,T$263)+COUNTIF('8月'!EN6:EO6,T$263)+COUNTIF('8月'!ES6:ET6,T$263)</f>
        <v>0</v>
      </c>
      <c r="U267" s="76">
        <f t="shared" si="93"/>
        <v>0</v>
      </c>
      <c r="V267" s="76">
        <f>COUNTIF('8月'!D6:E6,V$263)+COUNTIF('8月'!I6:J6,V$263)+COUNTIF('8月'!N6:O6,V$263)+COUNTIF('8月'!S6:T6,V$263)+COUNTIF('8月'!X6:Y6,V$263)+COUNTIF('8月'!AC6:AD6,V$263)+COUNTIF('8月'!AH6:AI6,V$263)+COUNTIF('8月'!AM6:AN6,V$263)+COUNTIF('8月'!AR6:AS6,V$263)+COUNTIF('8月'!AW6:AX6,V$263)+COUNTIF('8月'!BB6:BC6,V$263)+COUNTIF('8月'!BG6:BH6,V$263)+COUNTIF('8月'!BL6:BM6,V$263)+COUNTIF('8月'!BQ6:BR6,V$263)+COUNTIF('8月'!BV6:BW6,V$263)+COUNTIF('8月'!CA6:CB6,V$263)+COUNTIF('8月'!CF6:CG6,V$263)+COUNTIF('8月'!CK6:CL6,V$263)+COUNTIF('8月'!CP6:CQ6,V$263)+COUNTIF('8月'!CU6:CV6,V$263)+COUNTIF('8月'!CZ6:DA6,V$263)+COUNTIF('8月'!DE6:DF6,V$263)+COUNTIF('8月'!DJ6:DK6,V$263)+COUNTIF('8月'!DO6:DP6,V$263)+COUNTIF('8月'!DT6:DU6,V$263)+COUNTIF('8月'!DY6:DZ6,V$263)+COUNTIF('8月'!ED6:EE6,V$263)+COUNTIF('8月'!EI6:EJ6,V$263)+COUNTIF('8月'!EN6:EO6,V$263)+COUNTIF('8月'!ES6:ET6,V$263)</f>
        <v>0</v>
      </c>
      <c r="W267" s="76">
        <f t="shared" si="94"/>
        <v>0</v>
      </c>
      <c r="X267" s="76">
        <f>COUNTIF('8月'!D6:E6,X$263)+COUNTIF('8月'!I6:J6,X$263)+COUNTIF('8月'!N6:O6,X$263)+COUNTIF('8月'!S6:T6,X$263)+COUNTIF('8月'!X6:Y6,X$263)+COUNTIF('8月'!AC6:AD6,X$263)+COUNTIF('8月'!AH6:AI6,X$263)+COUNTIF('8月'!AM6:AN6,X$263)+COUNTIF('8月'!AR6:AS6,X$263)+COUNTIF('8月'!AW6:AX6,X$263)+COUNTIF('8月'!BB6:BC6,X$263)+COUNTIF('8月'!BG6:BH6,X$263)+COUNTIF('8月'!BL6:BM6,X$263)+COUNTIF('8月'!BQ6:BR6,X$263)+COUNTIF('8月'!BV6:BW6,X$263)+COUNTIF('8月'!CA6:CB6,X$263)+COUNTIF('8月'!CF6:CG6,X$263)+COUNTIF('8月'!CK6:CL6,X$263)+COUNTIF('8月'!CP6:CQ6,X$263)+COUNTIF('8月'!CU6:CV6,X$263)+COUNTIF('8月'!CZ6:DA6,X$263)+COUNTIF('8月'!DE6:DF6,X$263)+COUNTIF('8月'!DJ6:DK6,X$263)+COUNTIF('8月'!DO6:DP6,X$263)+COUNTIF('8月'!DT6:DU6,X$263)+COUNTIF('8月'!DY6:DZ6,X$263)+COUNTIF('8月'!ED6:EE6,X$263)+COUNTIF('8月'!EI6:EJ6,X$263)+COUNTIF('8月'!EN6:EO6,X$263)+COUNTIF('8月'!ES6:ET6,X$263)</f>
        <v>0</v>
      </c>
      <c r="Y267" s="76">
        <f t="shared" si="95"/>
        <v>0</v>
      </c>
    </row>
    <row r="268" spans="1:25" ht="18" customHeight="1">
      <c r="A268" s="76">
        <v>4</v>
      </c>
      <c r="B268" s="76">
        <f>COUNTIF('8月'!D7:E7,B$263)+COUNTIF('8月'!I7:J7,B$263)+COUNTIF('8月'!N7:O7,B$263)+COUNTIF('8月'!S7:T7,B$263)+COUNTIF('8月'!X7:Y7,B$263)+COUNTIF('8月'!AC7:AD7,B$263)+COUNTIF('8月'!AH7:AI7,B$263)+COUNTIF('8月'!AM7:AN7,B$263)+COUNTIF('8月'!AR7:AS7,B$263)+COUNTIF('8月'!AW7:AX7,B$263)+COUNTIF('8月'!BB7:BC7,B$263)+COUNTIF('8月'!BG7:BH7,B$263)+COUNTIF('8月'!BL7:BM7,B$263)+COUNTIF('8月'!BQ7:BR7,B$263)+COUNTIF('8月'!BV7:BW7,B$263)+COUNTIF('8月'!CA7:CB7,B$263)+COUNTIF('8月'!CF7:CG7,B$263)+COUNTIF('8月'!CK7:CL7,B$263)+COUNTIF('8月'!CP7:CQ7,B$263)+COUNTIF('8月'!CU7:CV7,B$263)+COUNTIF('8月'!CZ7:DA7,B$263)+COUNTIF('8月'!DE7:DF7,B$263)+COUNTIF('8月'!DJ7:DK7,B$263)+COUNTIF('8月'!DO7:DP7,B$263)+COUNTIF('8月'!DT7:DU7,B$263)+COUNTIF('8月'!DY7:DZ7,B$263)+COUNTIF('8月'!ED7:EE7,B$263)+COUNTIF('8月'!EI7:EJ7,B$263)+COUNTIF('8月'!EN7:EO7,B$263)+COUNTIF('8月'!ES7:ET7,B$263)</f>
        <v>0</v>
      </c>
      <c r="C268" s="76">
        <f t="shared" si="84"/>
        <v>0</v>
      </c>
      <c r="D268" s="76">
        <f>COUNTIF('8月'!D7:E7,D$263)+COUNTIF('8月'!I7:J7,D$263)+COUNTIF('8月'!N7:O7,D$263)+COUNTIF('8月'!S7:T7,D$263)+COUNTIF('8月'!X7:Y7,D$263)+COUNTIF('8月'!AC7:AD7,D$263)+COUNTIF('8月'!AH7:AI7,D$263)+COUNTIF('8月'!AM7:AN7,D$263)+COUNTIF('8月'!AR7:AS7,D$263)+COUNTIF('8月'!AW7:AX7,D$263)+COUNTIF('8月'!BB7:BC7,D$263)+COUNTIF('8月'!BG7:BH7,D$263)+COUNTIF('8月'!BL7:BM7,D$263)+COUNTIF('8月'!BQ7:BR7,D$263)+COUNTIF('8月'!BV7:BW7,D$263)+COUNTIF('8月'!CA7:CB7,D$263)+COUNTIF('8月'!CF7:CG7,D$263)+COUNTIF('8月'!CK7:CL7,D$263)+COUNTIF('8月'!CP7:CQ7,D$263)+COUNTIF('8月'!CU7:CV7,D$263)+COUNTIF('8月'!CZ7:DA7,D$263)+COUNTIF('8月'!DE7:DF7,D$263)+COUNTIF('8月'!DJ7:DK7,D$263)+COUNTIF('8月'!DO7:DP7,D$263)+COUNTIF('8月'!DT7:DU7,D$263)+COUNTIF('8月'!DY7:DZ7,D$263)+COUNTIF('8月'!ED7:EE7,D$263)+COUNTIF('8月'!EI7:EJ7,D$263)+COUNTIF('8月'!EN7:EO7,D$263)+COUNTIF('8月'!ES7:ET7,D$263)</f>
        <v>0</v>
      </c>
      <c r="E268" s="76">
        <f t="shared" si="85"/>
        <v>0</v>
      </c>
      <c r="F268" s="76">
        <f>COUNTIF('8月'!D7:E7,F$263)+COUNTIF('8月'!I7:J7,F$263)+COUNTIF('8月'!N7:O7,F$263)+COUNTIF('8月'!S7:T7,F$263)+COUNTIF('8月'!X7:Y7,F$263)+COUNTIF('8月'!AC7:AD7,F$263)+COUNTIF('8月'!AH7:AI7,F$263)+COUNTIF('8月'!AM7:AN7,F$263)+COUNTIF('8月'!AR7:AS7,F$263)+COUNTIF('8月'!AW7:AX7,F$263)+COUNTIF('8月'!BB7:BC7,F$263)+COUNTIF('8月'!BG7:BH7,F$263)+COUNTIF('8月'!BL7:BM7,F$263)+COUNTIF('8月'!BQ7:BR7,F$263)+COUNTIF('8月'!BV7:BW7,F$263)+COUNTIF('8月'!CA7:CB7,F$263)+COUNTIF('8月'!CF7:CG7,F$263)+COUNTIF('8月'!CK7:CL7,F$263)+COUNTIF('8月'!CP7:CQ7,F$263)+COUNTIF('8月'!CU7:CV7,F$263)+COUNTIF('8月'!CZ7:DA7,F$263)+COUNTIF('8月'!DE7:DF7,F$263)+COUNTIF('8月'!DJ7:DK7,F$263)+COUNTIF('8月'!DO7:DP7,F$263)+COUNTIF('8月'!DT7:DU7,F$263)+COUNTIF('8月'!DY7:DZ7,F$263)+COUNTIF('8月'!ED7:EE7,F$263)+COUNTIF('8月'!EI7:EJ7,F$263)+COUNTIF('8月'!EN7:EO7,F$263)+COUNTIF('8月'!ES7:ET7,F$263)</f>
        <v>0</v>
      </c>
      <c r="G268" s="76">
        <f t="shared" si="86"/>
        <v>0</v>
      </c>
      <c r="H268" s="76">
        <f>COUNTIF('8月'!D7:E7,H$263)+COUNTIF('8月'!I7:J7,H$263)+COUNTIF('8月'!N7:O7,H$263)+COUNTIF('8月'!S7:T7,H$263)+COUNTIF('8月'!X7:Y7,H$263)+COUNTIF('8月'!AC7:AD7,H$263)+COUNTIF('8月'!AH7:AI7,H$263)+COUNTIF('8月'!AM7:AN7,H$263)+COUNTIF('8月'!AR7:AS7,H$263)+COUNTIF('8月'!AW7:AX7,H$263)+COUNTIF('8月'!BB7:BC7,H$263)+COUNTIF('8月'!BG7:BH7,H$263)+COUNTIF('8月'!BL7:BM7,H$263)+COUNTIF('8月'!BQ7:BR7,H$263)+COUNTIF('8月'!BV7:BW7,H$263)+COUNTIF('8月'!CA7:CB7,H$263)+COUNTIF('8月'!CF7:CG7,H$263)+COUNTIF('8月'!CK7:CL7,H$263)+COUNTIF('8月'!CP7:CQ7,H$263)+COUNTIF('8月'!CU7:CV7,H$263)+COUNTIF('8月'!CZ7:DA7,H$263)+COUNTIF('8月'!DE7:DF7,H$263)+COUNTIF('8月'!DJ7:DK7,H$263)+COUNTIF('8月'!DO7:DP7,H$263)+COUNTIF('8月'!DT7:DU7,H$263)+COUNTIF('8月'!DY7:DZ7,H$263)+COUNTIF('8月'!ED7:EE7,H$263)+COUNTIF('8月'!EI7:EJ7,H$263)+COUNTIF('8月'!EN7:EO7,H$263)+COUNTIF('8月'!ES7:ET7,H$263)+COUNTIF('8月'!D7:E7,"渋谷-夜勤")+COUNTIF('8月'!I7:J7,"渋谷-夜勤")+COUNTIF('8月'!N7:O7,"渋谷-夜勤")+COUNTIF('8月'!S7:T7,"渋谷-夜勤")+COUNTIF('8月'!X7:Y7,"渋谷-夜勤")+COUNTIF('8月'!AC7:AD7,"渋谷-夜勤")+COUNTIF('8月'!AH7:AI7,"渋谷-夜勤")+COUNTIF('8月'!AM7:AN7,"渋谷-夜勤")+COUNTIF('8月'!AR7:AS7,"渋谷-夜勤")+COUNTIF('8月'!AW7:AX7,"渋谷-夜勤")+COUNTIF('8月'!BB7:BC7,"渋谷-夜勤")+COUNTIF('8月'!BG7:BH7,"渋谷-夜勤")+COUNTIF('8月'!BL7:BM7,"渋谷-夜勤")+COUNTIF('8月'!BQ7:BR7,"渋谷-夜勤")+COUNTIF('8月'!BV7:BW7,"渋谷-夜勤")+COUNTIF('8月'!CA7:CB7,"渋谷-夜勤")+COUNTIF('8月'!CF7:CG7,"渋谷-夜勤")+COUNTIF('8月'!CK7:CL7,"渋谷-夜勤")+COUNTIF('8月'!CP7:CQ7,"渋谷-夜勤")+COUNTIF('8月'!CU7:CV7,"渋谷-夜勤")+COUNTIF('8月'!CZ7:DA7,"渋谷-夜勤")+COUNTIF('8月'!DE7:DF7,"渋谷-夜勤")+COUNTIF('8月'!DJ7:DK7,"渋谷-夜勤")+COUNTIF('8月'!DO7:DP7,"渋谷-夜勤")+COUNTIF('8月'!DT7:DU7,"渋谷-夜勤")+COUNTIF('8月'!DY7:DZ7,"渋谷-夜勤")+COUNTIF('8月'!ED7:EE7,"渋谷-夜勤")+COUNTIF('8月'!EI7:EJ7,"渋谷-夜勤")+COUNTIF('8月'!EN7:EO7,"渋谷-夜勤")+COUNTIF('8月'!ES7:ET7,"渋谷-夜勤")</f>
        <v>0</v>
      </c>
      <c r="I268" s="76">
        <f t="shared" si="87"/>
        <v>0</v>
      </c>
      <c r="J268" s="76">
        <f>COUNTIF('8月'!D7:E7,J$263)+COUNTIF('8月'!I7:J7,J$263)+COUNTIF('8月'!N7:O7,J$263)+COUNTIF('8月'!S7:T7,J$263)+COUNTIF('8月'!X7:Y7,J$263)+COUNTIF('8月'!AC7:AD7,J$263)+COUNTIF('8月'!AH7:AI7,J$263)+COUNTIF('8月'!AM7:AN7,J$263)+COUNTIF('8月'!AR7:AS7,J$263)+COUNTIF('8月'!AW7:AX7,J$263)+COUNTIF('8月'!BB7:BC7,J$263)+COUNTIF('8月'!BG7:BH7,J$263)+COUNTIF('8月'!BL7:BM7,J$263)+COUNTIF('8月'!BQ7:BR7,J$263)+COUNTIF('8月'!BV7:BW7,J$263)+COUNTIF('8月'!CA7:CB7,J$263)+COUNTIF('8月'!CF7:CG7,J$263)+COUNTIF('8月'!CK7:CL7,J$263)+COUNTIF('8月'!CP7:CQ7,J$263)+COUNTIF('8月'!CU7:CV7,J$263)+COUNTIF('8月'!CZ7:DA7,J$263)+COUNTIF('8月'!DE7:DF7,J$263)+COUNTIF('8月'!DJ7:DK7,J$263)+COUNTIF('8月'!DO7:DP7,J$263)+COUNTIF('8月'!DT7:DU7,J$263)+COUNTIF('8月'!DY7:DZ7,J$263)+COUNTIF('8月'!ED7:EE7,J$263)+COUNTIF('8月'!EI7:EJ7,J$263)+COUNTIF('8月'!EN7:EO7,J$263)+COUNTIF('8月'!ES7:ET7,J$263)+COUNTIF('8月'!D7:E7,"六本木-夜勤")+COUNTIF('8月'!I7:J7,"六本木-夜勤")+COUNTIF('8月'!N7:O7,"六本木-夜勤")+COUNTIF('8月'!S7:T7,"六本木-夜勤")+COUNTIF('8月'!X7:Y7,"六本木-夜勤")+COUNTIF('8月'!AC7:AD7,"六本木-夜勤")+COUNTIF('8月'!AH7:AI7,"六本木-夜勤")+COUNTIF('8月'!AM7:AN7,"六本木-夜勤")+COUNTIF('8月'!AR7:AS7,"六本木-夜勤")+COUNTIF('8月'!AW7:AX7,"六本木-夜勤")+COUNTIF('8月'!BB7:BC7,"六本木-夜勤")+COUNTIF('8月'!BG7:BH7,"六本木-夜勤")+COUNTIF('8月'!BL7:BM7,"六本木-夜勤")+COUNTIF('8月'!BQ7:BR7,"六本木-夜勤")+COUNTIF('8月'!BV7:BW7,"六本木-夜勤")+COUNTIF('8月'!CA7:CB7,"六本木-夜勤")+COUNTIF('8月'!CF7:CG7,"六本木-夜勤")+COUNTIF('8月'!CK7:CL7,"六本木-夜勤")+COUNTIF('8月'!CP7:CQ7,"六本木-夜勤")+COUNTIF('8月'!CU7:CV7,"六本木-夜勤")+COUNTIF('8月'!CZ7:DA7,"六本木-夜勤")+COUNTIF('8月'!DE7:DF7,"六本木-夜勤")+COUNTIF('8月'!DJ7:DK7,"六本木-夜勤")+COUNTIF('8月'!DO7:DP7,"六本木-夜勤")+COUNTIF('8月'!DT7:DU7,"六本木-夜勤")+COUNTIF('8月'!DY7:DZ7,"六本木-夜勤")+COUNTIF('8月'!ED7:EE7,"六本木-夜勤")+COUNTIF('8月'!EI7:EJ7,"六本木-夜勤")+COUNTIF('8月'!EN7:EO7,"六本木-夜勤")+COUNTIF('8月'!ES7:ET7,"六本木-夜勤")+COUNTIF('8月'!D7:E7,"六本木ー夜勤")+COUNTIF('8月'!I7:J7,"六本木ー夜勤")+COUNTIF('8月'!N7:O7,"六本木ー夜勤")+COUNTIF('8月'!S7:T7,"六本木ー夜勤")+COUNTIF('8月'!X7:Y7,"六本木ー夜勤")+COUNTIF('8月'!AC7:AD7,"六本木ー夜勤")+COUNTIF('8月'!AH7:AI7,"六本木ー夜勤")+COUNTIF('8月'!AM7:AN7,"六本木ー夜勤")+COUNTIF('8月'!AR7:AS7,"六本木ー夜勤")+COUNTIF('8月'!AW7:AX7,"六本木ー夜勤")+COUNTIF('8月'!BB7:BC7,"六本木ー夜勤")+COUNTIF('8月'!BG7:BH7,"六本木ー夜勤")+COUNTIF('8月'!BL7:BM7,"六本木ー夜勤")+COUNTIF('8月'!BQ7:BR7,"六本木ー夜勤")+COUNTIF('8月'!BV7:BW7,"六本木ー夜勤")+COUNTIF('8月'!CA7:CB7,"六本木ー夜勤")+COUNTIF('8月'!CF7:CG7,"六本木ー夜勤")+COUNTIF('8月'!CK7:CL7,"六本木ー夜勤")+COUNTIF('8月'!CP7:CQ7,"六本木ー夜勤")+COUNTIF('8月'!CU7:CV7,"六本木ー夜勤")+COUNTIF('8月'!CZ7:DA7,"六本木ー夜勤")+COUNTIF('8月'!DE7:DF7,"六本木ー夜勤")+COUNTIF('8月'!DJ7:DK7,"六本木ー夜勤")+COUNTIF('8月'!DO7:DP7,"六本木ー夜勤")+COUNTIF('8月'!DT7:DU7,"六本木ー夜勤")+COUNTIF('8月'!DY7:DZ7,"六本木ー夜勤")+COUNTIF('8月'!ED7:EE7,"六本木ー夜勤")+COUNTIF('8月'!EI7:EJ7,"六本木ー夜勤")+COUNTIF('8月'!EN7:EO7,"六本木ー夜勤")+COUNTIF('8月'!ES7:ET7,"六本木ー夜勤")</f>
        <v>0</v>
      </c>
      <c r="K268" s="76">
        <f t="shared" si="88"/>
        <v>0</v>
      </c>
      <c r="L268" s="76">
        <f>COUNTIF('8月'!D7:E7,L$263)+COUNTIF('8月'!I7:J7,L$263)+COUNTIF('8月'!N7:O7,L$263)+COUNTIF('8月'!S7:T7,L$263)+COUNTIF('8月'!X7:Y7,L$263)+COUNTIF('8月'!AC7:AD7,L$263)+COUNTIF('8月'!AH7:AI7,L$263)+COUNTIF('8月'!AM7:AN7,L$263)+COUNTIF('8月'!AR7:AS7,L$263)+COUNTIF('8月'!AW7:AX7,L$263)+COUNTIF('8月'!BB7:BC7,L$263)+COUNTIF('8月'!BG7:BH7,L$263)+COUNTIF('8月'!BL7:BM7,L$263)+COUNTIF('8月'!BQ7:BR7,L$263)+COUNTIF('8月'!BV7:BW7,L$263)+COUNTIF('8月'!CA7:CB7,L$263)+COUNTIF('8月'!CF7:CG7,L$263)+COUNTIF('8月'!CK7:CL7,L$263)+COUNTIF('8月'!CP7:CQ7,L$263)+COUNTIF('8月'!CU7:CV7,L$263)+COUNTIF('8月'!CZ7:DA7,L$263)+COUNTIF('8月'!DE7:DF7,L$263)+COUNTIF('8月'!DJ7:DK7,L$263)+COUNTIF('8月'!DO7:DP7,L$263)+COUNTIF('8月'!DT7:DU7,L$263)+COUNTIF('8月'!DY7:DZ7,L$263)+COUNTIF('8月'!ED7:EE7,L$263)+COUNTIF('8月'!EI7:EJ7,L$263)+COUNTIF('8月'!EN7:EO7,L$263)+COUNTIF('8月'!ES7:ET7,L$263)</f>
        <v>0</v>
      </c>
      <c r="M268" s="76">
        <f t="shared" si="89"/>
        <v>0</v>
      </c>
      <c r="N268" s="76">
        <f>COUNTIF('8月'!D7:E7,N$263)+COUNTIF('8月'!I7:J7,N$263)+COUNTIF('8月'!N7:O7,N$263)+COUNTIF('8月'!S7:T7,N$263)+COUNTIF('8月'!X7:Y7,N$263)+COUNTIF('8月'!AC7:AD7,N$263)+COUNTIF('8月'!AH7:AI7,N$263)+COUNTIF('8月'!AM7:AN7,N$263)+COUNTIF('8月'!AR7:AS7,N$263)+COUNTIF('8月'!AW7:AX7,N$263)+COUNTIF('8月'!BB7:BC7,N$263)+COUNTIF('8月'!BG7:BH7,N$263)+COUNTIF('8月'!BL7:BM7,N$263)+COUNTIF('8月'!BQ7:BR7,N$263)+COUNTIF('8月'!BV7:BW7,N$263)+COUNTIF('8月'!CA7:CB7,N$263)+COUNTIF('8月'!CF7:CG7,N$263)+COUNTIF('8月'!CK7:CL7,N$263)+COUNTIF('8月'!CP7:CQ7,N$263)+COUNTIF('8月'!CU7:CV7,N$263)+COUNTIF('8月'!CZ7:DA7,N$263)+COUNTIF('8月'!DE7:DF7,N$263)+COUNTIF('8月'!DJ7:DK7,N$263)+COUNTIF('8月'!DO7:DP7,N$263)+COUNTIF('8月'!DT7:DU7,N$263)+COUNTIF('8月'!DY7:DZ7,N$263)+COUNTIF('8月'!ED7:EE7,N$263)+COUNTIF('8月'!EI7:EJ7,N$263)+COUNTIF('8月'!EN7:EO7,N$263)+COUNTIF('8月'!ES7:ET7,N$263)+COUNTIF('8月'!D7:E7,"三軒茶屋－夜勤")+COUNTIF('8月'!I7:J7,"三軒茶屋－夜勤")+COUNTIF('8月'!N7:O7,"三軒茶屋－夜勤")+COUNTIF('8月'!S7:T7,"三軒茶屋－夜勤")+COUNTIF('8月'!X7:Y7,"三軒茶屋－夜勤")+COUNTIF('8月'!AC7:AD7,"三軒茶屋－夜勤")+COUNTIF('8月'!AH7:AI7,"三軒茶屋－夜勤")+COUNTIF('8月'!AM7:AN7,"三軒茶屋－夜勤")+COUNTIF('8月'!AR7:AS7,"三軒茶屋－夜勤")+COUNTIF('8月'!AW7:AX7,"三軒茶屋－夜勤")+COUNTIF('8月'!BB7:BC7,"三軒茶屋－夜勤")+COUNTIF('8月'!BG7:BH7,"三軒茶屋－夜勤")+COUNTIF('8月'!BL7:BM7,"三軒茶屋－夜勤")+COUNTIF('8月'!BQ7:BR7,"三軒茶屋－夜勤")+COUNTIF('8月'!BV7:BW7,"三軒茶屋－夜勤")+COUNTIF('8月'!CA7:CB7,"三軒茶屋－夜勤")+COUNTIF('8月'!CF7:CG7,"三軒茶屋－夜勤")+COUNTIF('8月'!CK7:CL7,"三軒茶屋－夜勤")+COUNTIF('8月'!CP7:CQ7,"三軒茶屋－夜勤")+COUNTIF('8月'!CU7:CV7,"三軒茶屋－夜勤")+COUNTIF('8月'!CZ7:DA7,"三軒茶屋－夜勤")+COUNTIF('8月'!DE7:DF7,"三軒茶屋－夜勤")+COUNTIF('8月'!DJ7:DK7,"三軒茶屋－夜勤")+COUNTIF('8月'!DO7:DP7,"三軒茶屋－夜勤")+COUNTIF('8月'!DT7:DU7,"三軒茶屋－夜勤")+COUNTIF('8月'!DY7:DZ7,"三軒茶屋－夜勤")+COUNTIF('8月'!ED7:EE7,"三軒茶屋－夜勤")+COUNTIF('8月'!EI7:EJ7,"三軒茶屋－夜勤")+COUNTIF('8月'!EN7:EO7,"三軒茶屋－夜勤")+COUNTIF('8月'!ES7:ET7,"三軒茶屋－夜勤")</f>
        <v>0</v>
      </c>
      <c r="O268" s="76">
        <f t="shared" si="90"/>
        <v>0</v>
      </c>
      <c r="P268" s="76">
        <f>COUNTIF('8月'!D7:E7,P$263)+COUNTIF('8月'!I7:J7,P$263)+COUNTIF('8月'!N7:O7,P$263)+COUNTIF('8月'!S7:T7,P$263)+COUNTIF('8月'!X7:Y7,P$263)+COUNTIF('8月'!AC7:AD7,P$263)+COUNTIF('8月'!AH7:AI7,P$263)+COUNTIF('8月'!AM7:AN7,P$263)+COUNTIF('8月'!AR7:AS7,P$263)+COUNTIF('8月'!AW7:AX7,P$263)+COUNTIF('8月'!BB7:BC7,P$263)+COUNTIF('8月'!BG7:BH7,P$263)+COUNTIF('8月'!BL7:BM7,P$263)+COUNTIF('8月'!BQ7:BR7,P$263)+COUNTIF('8月'!BV7:BW7,P$263)+COUNTIF('8月'!CA7:CB7,P$263)+COUNTIF('8月'!CF7:CG7,P$263)+COUNTIF('8月'!CK7:CL7,P$263)+COUNTIF('8月'!CP7:CQ7,P$263)+COUNTIF('8月'!CU7:CV7,P$263)+COUNTIF('8月'!CZ7:DA7,P$263)+COUNTIF('8月'!DE7:DF7,P$263)+COUNTIF('8月'!DJ7:DK7,P$263)+COUNTIF('8月'!DO7:DP7,P$263)+COUNTIF('8月'!DT7:DU7,P$263)+COUNTIF('8月'!DY7:DZ7,P$263)+COUNTIF('8月'!ED7:EE7,P$263)+COUNTIF('8月'!EI7:EJ7,P$263)+COUNTIF('8月'!EN7:EO7,P$263)+COUNTIF('8月'!ES7:ET7,P$263)+COUNTIF('8月'!D7:E7,"荻窪ー夜勤")+COUNTIF('8月'!I7:J7,"荻窪ー夜勤")+COUNTIF('8月'!N7:O7,"荻窪ー夜勤")+COUNTIF('8月'!S7:T7,"荻窪ー夜勤")+COUNTIF('8月'!X7:Y7,"荻窪ー夜勤")+COUNTIF('8月'!AC7:AD7,"荻窪ー夜勤")+COUNTIF('8月'!AH7:AI7,"荻窪ー夜勤")+COUNTIF('8月'!AM7:AN7,"荻窪ー夜勤")+COUNTIF('8月'!AR7:AS7,"荻窪ー夜勤")+COUNTIF('8月'!AW7:AX7,"荻窪ー夜勤")+COUNTIF('8月'!BB7:BC7,"荻窪ー夜勤")+COUNTIF('8月'!BG7:BH7,"荻窪ー夜勤")+COUNTIF('8月'!BL7:BM7,"荻窪ー夜勤")+COUNTIF('8月'!BQ7:BR7,"荻窪ー夜勤")+COUNTIF('8月'!BV7:BW7,"荻窪ー夜勤")+COUNTIF('8月'!CA7:CB7,"荻窪ー夜勤")+COUNTIF('8月'!CF7:CG7,"荻窪ー夜勤")+COUNTIF('8月'!CK7:CL7,"荻窪ー夜勤")+COUNTIF('8月'!CP7:CQ7,"荻窪ー夜勤")+COUNTIF('8月'!CU7:CV7,"荻窪ー夜勤")+COUNTIF('8月'!CZ7:DA7,"荻窪ー夜勤")+COUNTIF('8月'!DE7:DF7,"荻窪ー夜勤")+COUNTIF('8月'!DJ7:DK7,"荻窪ー夜勤")+COUNTIF('8月'!DO7:DP7,"荻窪ー夜勤")+COUNTIF('8月'!DT7:DU7,"荻窪ー夜勤")+COUNTIF('8月'!DY7:DZ7,"荻窪ー夜勤")+COUNTIF('8月'!ED7:EE7,"荻窪ー夜勤")+COUNTIF('8月'!EI7:EJ7,"荻窪ー夜勤")+COUNTIF('8月'!EN7:EO7,"荻窪ー夜勤")+COUNTIF('8月'!ES7:ET7,"荻窪ー夜勤")</f>
        <v>0</v>
      </c>
      <c r="Q268" s="76">
        <f t="shared" si="91"/>
        <v>0</v>
      </c>
      <c r="R268" s="76">
        <f>COUNTIF('8月'!D7:E7,R$263)+COUNTIF('8月'!I7:J7,R$263)+COUNTIF('8月'!N7:O7,R$263)+COUNTIF('8月'!S7:T7,R$263)+COUNTIF('8月'!X7:Y7,R$263)+COUNTIF('8月'!AC7:AD7,R$263)+COUNTIF('8月'!AH7:AI7,R$263)+COUNTIF('8月'!AM7:AN7,R$263)+COUNTIF('8月'!AR7:AS7,R$263)+COUNTIF('8月'!AW7:AX7,R$263)+COUNTIF('8月'!BB7:BC7,R$263)+COUNTIF('8月'!BG7:BH7,R$263)+COUNTIF('8月'!BL7:BM7,R$263)+COUNTIF('8月'!BQ7:BR7,R$263)+COUNTIF('8月'!BV7:BW7,R$263)+COUNTIF('8月'!CA7:CB7,R$263)+COUNTIF('8月'!CF7:CG7,R$263)+COUNTIF('8月'!CK7:CL7,R$263)+COUNTIF('8月'!CP7:CQ7,R$263)+COUNTIF('8月'!CU7:CV7,R$263)+COUNTIF('8月'!CZ7:DA7,R$263)+COUNTIF('8月'!DE7:DF7,R$263)+COUNTIF('8月'!DJ7:DK7,R$263)+COUNTIF('8月'!DO7:DP7,R$263)+COUNTIF('8月'!DT7:DU7,R$263)+COUNTIF('8月'!DY7:DZ7,R$263)+COUNTIF('8月'!ED7:EE7,R$263)+COUNTIF('8月'!EI7:EJ7,R$263)+COUNTIF('8月'!EN7:EO7,R$263)+COUNTIF('8月'!ES7:ET7,R$263)</f>
        <v>0</v>
      </c>
      <c r="S268" s="76">
        <f t="shared" si="92"/>
        <v>0</v>
      </c>
      <c r="T268" s="76">
        <f>COUNTIF('8月'!D7:E7,T$263)+COUNTIF('8月'!I7:J7,T$263)+COUNTIF('8月'!N7:O7,T$263)+COUNTIF('8月'!S7:T7,T$263)+COUNTIF('8月'!X7:Y7,T$263)+COUNTIF('8月'!AC7:AD7,T$263)+COUNTIF('8月'!AH7:AI7,T$263)+COUNTIF('8月'!AM7:AN7,T$263)+COUNTIF('8月'!AR7:AS7,T$263)+COUNTIF('8月'!AW7:AX7,T$263)+COUNTIF('8月'!BB7:BC7,T$263)+COUNTIF('8月'!BG7:BH7,T$263)+COUNTIF('8月'!BL7:BM7,T$263)+COUNTIF('8月'!BQ7:BR7,T$263)+COUNTIF('8月'!BV7:BW7,T$263)+COUNTIF('8月'!CA7:CB7,T$263)+COUNTIF('8月'!CF7:CG7,T$263)+COUNTIF('8月'!CK7:CL7,T$263)+COUNTIF('8月'!CP7:CQ7,T$263)+COUNTIF('8月'!CU7:CV7,T$263)+COUNTIF('8月'!CZ7:DA7,T$263)+COUNTIF('8月'!DE7:DF7,T$263)+COUNTIF('8月'!DJ7:DK7,T$263)+COUNTIF('8月'!DO7:DP7,T$263)+COUNTIF('8月'!DT7:DU7,T$263)+COUNTIF('8月'!DY7:DZ7,T$263)+COUNTIF('8月'!ED7:EE7,T$263)+COUNTIF('8月'!EI7:EJ7,T$263)+COUNTIF('8月'!EN7:EO7,T$263)+COUNTIF('8月'!ES7:ET7,T$263)</f>
        <v>0</v>
      </c>
      <c r="U268" s="76">
        <f t="shared" si="93"/>
        <v>0</v>
      </c>
      <c r="V268" s="76">
        <f>COUNTIF('8月'!D7:E7,V$263)+COUNTIF('8月'!I7:J7,V$263)+COUNTIF('8月'!N7:O7,V$263)+COUNTIF('8月'!S7:T7,V$263)+COUNTIF('8月'!X7:Y7,V$263)+COUNTIF('8月'!AC7:AD7,V$263)+COUNTIF('8月'!AH7:AI7,V$263)+COUNTIF('8月'!AM7:AN7,V$263)+COUNTIF('8月'!AR7:AS7,V$263)+COUNTIF('8月'!AW7:AX7,V$263)+COUNTIF('8月'!BB7:BC7,V$263)+COUNTIF('8月'!BG7:BH7,V$263)+COUNTIF('8月'!BL7:BM7,V$263)+COUNTIF('8月'!BQ7:BR7,V$263)+COUNTIF('8月'!BV7:BW7,V$263)+COUNTIF('8月'!CA7:CB7,V$263)+COUNTIF('8月'!CF7:CG7,V$263)+COUNTIF('8月'!CK7:CL7,V$263)+COUNTIF('8月'!CP7:CQ7,V$263)+COUNTIF('8月'!CU7:CV7,V$263)+COUNTIF('8月'!CZ7:DA7,V$263)+COUNTIF('8月'!DE7:DF7,V$263)+COUNTIF('8月'!DJ7:DK7,V$263)+COUNTIF('8月'!DO7:DP7,V$263)+COUNTIF('8月'!DT7:DU7,V$263)+COUNTIF('8月'!DY7:DZ7,V$263)+COUNTIF('8月'!ED7:EE7,V$263)+COUNTIF('8月'!EI7:EJ7,V$263)+COUNTIF('8月'!EN7:EO7,V$263)+COUNTIF('8月'!ES7:ET7,V$263)</f>
        <v>0</v>
      </c>
      <c r="W268" s="76">
        <f t="shared" si="94"/>
        <v>0</v>
      </c>
      <c r="X268" s="76">
        <f>COUNTIF('8月'!D7:E7,X$263)+COUNTIF('8月'!I7:J7,X$263)+COUNTIF('8月'!N7:O7,X$263)+COUNTIF('8月'!S7:T7,X$263)+COUNTIF('8月'!X7:Y7,X$263)+COUNTIF('8月'!AC7:AD7,X$263)+COUNTIF('8月'!AH7:AI7,X$263)+COUNTIF('8月'!AM7:AN7,X$263)+COUNTIF('8月'!AR7:AS7,X$263)+COUNTIF('8月'!AW7:AX7,X$263)+COUNTIF('8月'!BB7:BC7,X$263)+COUNTIF('8月'!BG7:BH7,X$263)+COUNTIF('8月'!BL7:BM7,X$263)+COUNTIF('8月'!BQ7:BR7,X$263)+COUNTIF('8月'!BV7:BW7,X$263)+COUNTIF('8月'!CA7:CB7,X$263)+COUNTIF('8月'!CF7:CG7,X$263)+COUNTIF('8月'!CK7:CL7,X$263)+COUNTIF('8月'!CP7:CQ7,X$263)+COUNTIF('8月'!CU7:CV7,X$263)+COUNTIF('8月'!CZ7:DA7,X$263)+COUNTIF('8月'!DE7:DF7,X$263)+COUNTIF('8月'!DJ7:DK7,X$263)+COUNTIF('8月'!DO7:DP7,X$263)+COUNTIF('8月'!DT7:DU7,X$263)+COUNTIF('8月'!DY7:DZ7,X$263)+COUNTIF('8月'!ED7:EE7,X$263)+COUNTIF('8月'!EI7:EJ7,X$263)+COUNTIF('8月'!EN7:EO7,X$263)+COUNTIF('8月'!ES7:ET7,X$263)</f>
        <v>0</v>
      </c>
      <c r="Y268" s="76">
        <f t="shared" si="95"/>
        <v>0</v>
      </c>
    </row>
    <row r="269" spans="1:25" ht="18" customHeight="1">
      <c r="A269" s="76">
        <v>5</v>
      </c>
      <c r="B269" s="76">
        <f>COUNTIF('8月'!D8:E8,B$263)+COUNTIF('8月'!I8:J8,B$263)+COUNTIF('8月'!N8:O8,B$263)+COUNTIF('8月'!S8:T8,B$263)+COUNTIF('8月'!X8:Y8,B$263)+COUNTIF('8月'!AC8:AD8,B$263)+COUNTIF('8月'!AH8:AI8,B$263)+COUNTIF('8月'!AM8:AN8,B$263)+COUNTIF('8月'!AR8:AS8,B$263)+COUNTIF('8月'!AW8:AX8,B$263)+COUNTIF('8月'!BB8:BC8,B$263)+COUNTIF('8月'!BG8:BH8,B$263)+COUNTIF('8月'!BL8:BM8,B$263)+COUNTIF('8月'!BQ8:BR8,B$263)+COUNTIF('8月'!BV8:BW8,B$263)+COUNTIF('8月'!CA8:CB8,B$263)+COUNTIF('8月'!CF8:CG8,B$263)+COUNTIF('8月'!CK8:CL8,B$263)+COUNTIF('8月'!CP8:CQ8,B$263)+COUNTIF('8月'!CU8:CV8,B$263)+COUNTIF('8月'!CZ8:DA8,B$263)+COUNTIF('8月'!DE8:DF8,B$263)+COUNTIF('8月'!DJ8:DK8,B$263)+COUNTIF('8月'!DO8:DP8,B$263)+COUNTIF('8月'!DT8:DU8,B$263)+COUNTIF('8月'!DY8:DZ8,B$263)+COUNTIF('8月'!ED8:EE8,B$263)+COUNTIF('8月'!EI8:EJ8,B$263)+COUNTIF('8月'!EN8:EO8,B$263)+COUNTIF('8月'!ES8:ET8,B$263)</f>
        <v>0</v>
      </c>
      <c r="C269" s="76">
        <f t="shared" si="84"/>
        <v>0</v>
      </c>
      <c r="D269" s="76">
        <f>COUNTIF('8月'!D8:E8,D$263)+COUNTIF('8月'!I8:J8,D$263)+COUNTIF('8月'!N8:O8,D$263)+COUNTIF('8月'!S8:T8,D$263)+COUNTIF('8月'!X8:Y8,D$263)+COUNTIF('8月'!AC8:AD8,D$263)+COUNTIF('8月'!AH8:AI8,D$263)+COUNTIF('8月'!AM8:AN8,D$263)+COUNTIF('8月'!AR8:AS8,D$263)+COUNTIF('8月'!AW8:AX8,D$263)+COUNTIF('8月'!BB8:BC8,D$263)+COUNTIF('8月'!BG8:BH8,D$263)+COUNTIF('8月'!BL8:BM8,D$263)+COUNTIF('8月'!BQ8:BR8,D$263)+COUNTIF('8月'!BV8:BW8,D$263)+COUNTIF('8月'!CA8:CB8,D$263)+COUNTIF('8月'!CF8:CG8,D$263)+COUNTIF('8月'!CK8:CL8,D$263)+COUNTIF('8月'!CP8:CQ8,D$263)+COUNTIF('8月'!CU8:CV8,D$263)+COUNTIF('8月'!CZ8:DA8,D$263)+COUNTIF('8月'!DE8:DF8,D$263)+COUNTIF('8月'!DJ8:DK8,D$263)+COUNTIF('8月'!DO8:DP8,D$263)+COUNTIF('8月'!DT8:DU8,D$263)+COUNTIF('8月'!DY8:DZ8,D$263)+COUNTIF('8月'!ED8:EE8,D$263)+COUNTIF('8月'!EI8:EJ8,D$263)+COUNTIF('8月'!EN8:EO8,D$263)+COUNTIF('8月'!ES8:ET8,D$263)</f>
        <v>0</v>
      </c>
      <c r="E269" s="76">
        <f t="shared" si="85"/>
        <v>0</v>
      </c>
      <c r="F269" s="76">
        <f>COUNTIF('8月'!D8:E8,F$263)+COUNTIF('8月'!I8:J8,F$263)+COUNTIF('8月'!N8:O8,F$263)+COUNTIF('8月'!S8:T8,F$263)+COUNTIF('8月'!X8:Y8,F$263)+COUNTIF('8月'!AC8:AD8,F$263)+COUNTIF('8月'!AH8:AI8,F$263)+COUNTIF('8月'!AM8:AN8,F$263)+COUNTIF('8月'!AR8:AS8,F$263)+COUNTIF('8月'!AW8:AX8,F$263)+COUNTIF('8月'!BB8:BC8,F$263)+COUNTIF('8月'!BG8:BH8,F$263)+COUNTIF('8月'!BL8:BM8,F$263)+COUNTIF('8月'!BQ8:BR8,F$263)+COUNTIF('8月'!BV8:BW8,F$263)+COUNTIF('8月'!CA8:CB8,F$263)+COUNTIF('8月'!CF8:CG8,F$263)+COUNTIF('8月'!CK8:CL8,F$263)+COUNTIF('8月'!CP8:CQ8,F$263)+COUNTIF('8月'!CU8:CV8,F$263)+COUNTIF('8月'!CZ8:DA8,F$263)+COUNTIF('8月'!DE8:DF8,F$263)+COUNTIF('8月'!DJ8:DK8,F$263)+COUNTIF('8月'!DO8:DP8,F$263)+COUNTIF('8月'!DT8:DU8,F$263)+COUNTIF('8月'!DY8:DZ8,F$263)+COUNTIF('8月'!ED8:EE8,F$263)+COUNTIF('8月'!EI8:EJ8,F$263)+COUNTIF('8月'!EN8:EO8,F$263)+COUNTIF('8月'!ES8:ET8,F$263)</f>
        <v>0</v>
      </c>
      <c r="G269" s="76">
        <f t="shared" si="86"/>
        <v>0</v>
      </c>
      <c r="H269" s="76">
        <f>COUNTIF('8月'!D8:E8,H$263)+COUNTIF('8月'!I8:J8,H$263)+COUNTIF('8月'!N8:O8,H$263)+COUNTIF('8月'!S8:T8,H$263)+COUNTIF('8月'!X8:Y8,H$263)+COUNTIF('8月'!AC8:AD8,H$263)+COUNTIF('8月'!AH8:AI8,H$263)+COUNTIF('8月'!AM8:AN8,H$263)+COUNTIF('8月'!AR8:AS8,H$263)+COUNTIF('8月'!AW8:AX8,H$263)+COUNTIF('8月'!BB8:BC8,H$263)+COUNTIF('8月'!BG8:BH8,H$263)+COUNTIF('8月'!BL8:BM8,H$263)+COUNTIF('8月'!BQ8:BR8,H$263)+COUNTIF('8月'!BV8:BW8,H$263)+COUNTIF('8月'!CA8:CB8,H$263)+COUNTIF('8月'!CF8:CG8,H$263)+COUNTIF('8月'!CK8:CL8,H$263)+COUNTIF('8月'!CP8:CQ8,H$263)+COUNTIF('8月'!CU8:CV8,H$263)+COUNTIF('8月'!CZ8:DA8,H$263)+COUNTIF('8月'!DE8:DF8,H$263)+COUNTIF('8月'!DJ8:DK8,H$263)+COUNTIF('8月'!DO8:DP8,H$263)+COUNTIF('8月'!DT8:DU8,H$263)+COUNTIF('8月'!DY8:DZ8,H$263)+COUNTIF('8月'!ED8:EE8,H$263)+COUNTIF('8月'!EI8:EJ8,H$263)+COUNTIF('8月'!EN8:EO8,H$263)+COUNTIF('8月'!ES8:ET8,H$263)+COUNTIF('8月'!D8:E8,"渋谷-夜勤")+COUNTIF('8月'!I8:J8,"渋谷-夜勤")+COUNTIF('8月'!N8:O8,"渋谷-夜勤")+COUNTIF('8月'!S8:T8,"渋谷-夜勤")+COUNTIF('8月'!X8:Y8,"渋谷-夜勤")+COUNTIF('8月'!AC8:AD8,"渋谷-夜勤")+COUNTIF('8月'!AH8:AI8,"渋谷-夜勤")+COUNTIF('8月'!AM8:AN8,"渋谷-夜勤")+COUNTIF('8月'!AR8:AS8,"渋谷-夜勤")+COUNTIF('8月'!AW8:AX8,"渋谷-夜勤")+COUNTIF('8月'!BB8:BC8,"渋谷-夜勤")+COUNTIF('8月'!BG8:BH8,"渋谷-夜勤")+COUNTIF('8月'!BL8:BM8,"渋谷-夜勤")+COUNTIF('8月'!BQ8:BR8,"渋谷-夜勤")+COUNTIF('8月'!BV8:BW8,"渋谷-夜勤")+COUNTIF('8月'!CA8:CB8,"渋谷-夜勤")+COUNTIF('8月'!CF8:CG8,"渋谷-夜勤")+COUNTIF('8月'!CK8:CL8,"渋谷-夜勤")+COUNTIF('8月'!CP8:CQ8,"渋谷-夜勤")+COUNTIF('8月'!CU8:CV8,"渋谷-夜勤")+COUNTIF('8月'!CZ8:DA8,"渋谷-夜勤")+COUNTIF('8月'!DE8:DF8,"渋谷-夜勤")+COUNTIF('8月'!DJ8:DK8,"渋谷-夜勤")+COUNTIF('8月'!DO8:DP8,"渋谷-夜勤")+COUNTIF('8月'!DT8:DU8,"渋谷-夜勤")+COUNTIF('8月'!DY8:DZ8,"渋谷-夜勤")+COUNTIF('8月'!ED8:EE8,"渋谷-夜勤")+COUNTIF('8月'!EI8:EJ8,"渋谷-夜勤")+COUNTIF('8月'!EN8:EO8,"渋谷-夜勤")+COUNTIF('8月'!ES8:ET8,"渋谷-夜勤")</f>
        <v>0</v>
      </c>
      <c r="I269" s="76">
        <f t="shared" si="87"/>
        <v>0</v>
      </c>
      <c r="J269" s="76">
        <f>COUNTIF('8月'!D8:E8,J$263)+COUNTIF('8月'!I8:J8,J$263)+COUNTIF('8月'!N8:O8,J$263)+COUNTIF('8月'!S8:T8,J$263)+COUNTIF('8月'!X8:Y8,J$263)+COUNTIF('8月'!AC8:AD8,J$263)+COUNTIF('8月'!AH8:AI8,J$263)+COUNTIF('8月'!AM8:AN8,J$263)+COUNTIF('8月'!AR8:AS8,J$263)+COUNTIF('8月'!AW8:AX8,J$263)+COUNTIF('8月'!BB8:BC8,J$263)+COUNTIF('8月'!BG8:BH8,J$263)+COUNTIF('8月'!BL8:BM8,J$263)+COUNTIF('8月'!BQ8:BR8,J$263)+COUNTIF('8月'!BV8:BW8,J$263)+COUNTIF('8月'!CA8:CB8,J$263)+COUNTIF('8月'!CF8:CG8,J$263)+COUNTIF('8月'!CK8:CL8,J$263)+COUNTIF('8月'!CP8:CQ8,J$263)+COUNTIF('8月'!CU8:CV8,J$263)+COUNTIF('8月'!CZ8:DA8,J$263)+COUNTIF('8月'!DE8:DF8,J$263)+COUNTIF('8月'!DJ8:DK8,J$263)+COUNTIF('8月'!DO8:DP8,J$263)+COUNTIF('8月'!DT8:DU8,J$263)+COUNTIF('8月'!DY8:DZ8,J$263)+COUNTIF('8月'!ED8:EE8,J$263)+COUNTIF('8月'!EI8:EJ8,J$263)+COUNTIF('8月'!EN8:EO8,J$263)+COUNTIF('8月'!ES8:ET8,J$263)+COUNTIF('8月'!D8:E8,"六本木-夜勤")+COUNTIF('8月'!I8:J8,"六本木-夜勤")+COUNTIF('8月'!N8:O8,"六本木-夜勤")+COUNTIF('8月'!S8:T8,"六本木-夜勤")+COUNTIF('8月'!X8:Y8,"六本木-夜勤")+COUNTIF('8月'!AC8:AD8,"六本木-夜勤")+COUNTIF('8月'!AH8:AI8,"六本木-夜勤")+COUNTIF('8月'!AM8:AN8,"六本木-夜勤")+COUNTIF('8月'!AR8:AS8,"六本木-夜勤")+COUNTIF('8月'!AW8:AX8,"六本木-夜勤")+COUNTIF('8月'!BB8:BC8,"六本木-夜勤")+COUNTIF('8月'!BG8:BH8,"六本木-夜勤")+COUNTIF('8月'!BL8:BM8,"六本木-夜勤")+COUNTIF('8月'!BQ8:BR8,"六本木-夜勤")+COUNTIF('8月'!BV8:BW8,"六本木-夜勤")+COUNTIF('8月'!CA8:CB8,"六本木-夜勤")+COUNTIF('8月'!CF8:CG8,"六本木-夜勤")+COUNTIF('8月'!CK8:CL8,"六本木-夜勤")+COUNTIF('8月'!CP8:CQ8,"六本木-夜勤")+COUNTIF('8月'!CU8:CV8,"六本木-夜勤")+COUNTIF('8月'!CZ8:DA8,"六本木-夜勤")+COUNTIF('8月'!DE8:DF8,"六本木-夜勤")+COUNTIF('8月'!DJ8:DK8,"六本木-夜勤")+COUNTIF('8月'!DO8:DP8,"六本木-夜勤")+COUNTIF('8月'!DT8:DU8,"六本木-夜勤")+COUNTIF('8月'!DY8:DZ8,"六本木-夜勤")+COUNTIF('8月'!ED8:EE8,"六本木-夜勤")+COUNTIF('8月'!EI8:EJ8,"六本木-夜勤")+COUNTIF('8月'!EN8:EO8,"六本木-夜勤")+COUNTIF('8月'!ES8:ET8,"六本木-夜勤")+COUNTIF('8月'!D8:E8,"六本木ー夜勤")+COUNTIF('8月'!I8:J8,"六本木ー夜勤")+COUNTIF('8月'!N8:O8,"六本木ー夜勤")+COUNTIF('8月'!S8:T8,"六本木ー夜勤")+COUNTIF('8月'!X8:Y8,"六本木ー夜勤")+COUNTIF('8月'!AC8:AD8,"六本木ー夜勤")+COUNTIF('8月'!AH8:AI8,"六本木ー夜勤")+COUNTIF('8月'!AM8:AN8,"六本木ー夜勤")+COUNTIF('8月'!AR8:AS8,"六本木ー夜勤")+COUNTIF('8月'!AW8:AX8,"六本木ー夜勤")+COUNTIF('8月'!BB8:BC8,"六本木ー夜勤")+COUNTIF('8月'!BG8:BH8,"六本木ー夜勤")+COUNTIF('8月'!BL8:BM8,"六本木ー夜勤")+COUNTIF('8月'!BQ8:BR8,"六本木ー夜勤")+COUNTIF('8月'!BV8:BW8,"六本木ー夜勤")+COUNTIF('8月'!CA8:CB8,"六本木ー夜勤")+COUNTIF('8月'!CF8:CG8,"六本木ー夜勤")+COUNTIF('8月'!CK8:CL8,"六本木ー夜勤")+COUNTIF('8月'!CP8:CQ8,"六本木ー夜勤")+COUNTIF('8月'!CU8:CV8,"六本木ー夜勤")+COUNTIF('8月'!CZ8:DA8,"六本木ー夜勤")+COUNTIF('8月'!DE8:DF8,"六本木ー夜勤")+COUNTIF('8月'!DJ8:DK8,"六本木ー夜勤")+COUNTIF('8月'!DO8:DP8,"六本木ー夜勤")+COUNTIF('8月'!DT8:DU8,"六本木ー夜勤")+COUNTIF('8月'!DY8:DZ8,"六本木ー夜勤")+COUNTIF('8月'!ED8:EE8,"六本木ー夜勤")+COUNTIF('8月'!EI8:EJ8,"六本木ー夜勤")+COUNTIF('8月'!EN8:EO8,"六本木ー夜勤")+COUNTIF('8月'!ES8:ET8,"六本木ー夜勤")</f>
        <v>0</v>
      </c>
      <c r="K269" s="76">
        <f t="shared" si="88"/>
        <v>0</v>
      </c>
      <c r="L269" s="76">
        <f>COUNTIF('8月'!D8:E8,L$263)+COUNTIF('8月'!I8:J8,L$263)+COUNTIF('8月'!N8:O8,L$263)+COUNTIF('8月'!S8:T8,L$263)+COUNTIF('8月'!X8:Y8,L$263)+COUNTIF('8月'!AC8:AD8,L$263)+COUNTIF('8月'!AH8:AI8,L$263)+COUNTIF('8月'!AM8:AN8,L$263)+COUNTIF('8月'!AR8:AS8,L$263)+COUNTIF('8月'!AW8:AX8,L$263)+COUNTIF('8月'!BB8:BC8,L$263)+COUNTIF('8月'!BG8:BH8,L$263)+COUNTIF('8月'!BL8:BM8,L$263)+COUNTIF('8月'!BQ8:BR8,L$263)+COUNTIF('8月'!BV8:BW8,L$263)+COUNTIF('8月'!CA8:CB8,L$263)+COUNTIF('8月'!CF8:CG8,L$263)+COUNTIF('8月'!CK8:CL8,L$263)+COUNTIF('8月'!CP8:CQ8,L$263)+COUNTIF('8月'!CU8:CV8,L$263)+COUNTIF('8月'!CZ8:DA8,L$263)+COUNTIF('8月'!DE8:DF8,L$263)+COUNTIF('8月'!DJ8:DK8,L$263)+COUNTIF('8月'!DO8:DP8,L$263)+COUNTIF('8月'!DT8:DU8,L$263)+COUNTIF('8月'!DY8:DZ8,L$263)+COUNTIF('8月'!ED8:EE8,L$263)+COUNTIF('8月'!EI8:EJ8,L$263)+COUNTIF('8月'!EN8:EO8,L$263)+COUNTIF('8月'!ES8:ET8,L$263)</f>
        <v>0</v>
      </c>
      <c r="M269" s="76">
        <f t="shared" si="89"/>
        <v>0</v>
      </c>
      <c r="N269" s="76">
        <f>COUNTIF('8月'!D8:E8,N$263)+COUNTIF('8月'!I8:J8,N$263)+COUNTIF('8月'!N8:O8,N$263)+COUNTIF('8月'!S8:T8,N$263)+COUNTIF('8月'!X8:Y8,N$263)+COUNTIF('8月'!AC8:AD8,N$263)+COUNTIF('8月'!AH8:AI8,N$263)+COUNTIF('8月'!AM8:AN8,N$263)+COUNTIF('8月'!AR8:AS8,N$263)+COUNTIF('8月'!AW8:AX8,N$263)+COUNTIF('8月'!BB8:BC8,N$263)+COUNTIF('8月'!BG8:BH8,N$263)+COUNTIF('8月'!BL8:BM8,N$263)+COUNTIF('8月'!BQ8:BR8,N$263)+COUNTIF('8月'!BV8:BW8,N$263)+COUNTIF('8月'!CA8:CB8,N$263)+COUNTIF('8月'!CF8:CG8,N$263)+COUNTIF('8月'!CK8:CL8,N$263)+COUNTIF('8月'!CP8:CQ8,N$263)+COUNTIF('8月'!CU8:CV8,N$263)+COUNTIF('8月'!CZ8:DA8,N$263)+COUNTIF('8月'!DE8:DF8,N$263)+COUNTIF('8月'!DJ8:DK8,N$263)+COUNTIF('8月'!DO8:DP8,N$263)+COUNTIF('8月'!DT8:DU8,N$263)+COUNTIF('8月'!DY8:DZ8,N$263)+COUNTIF('8月'!ED8:EE8,N$263)+COUNTIF('8月'!EI8:EJ8,N$263)+COUNTIF('8月'!EN8:EO8,N$263)+COUNTIF('8月'!ES8:ET8,N$263)+COUNTIF('8月'!D8:E8,"三軒茶屋－夜勤")+COUNTIF('8月'!I8:J8,"三軒茶屋－夜勤")+COUNTIF('8月'!N8:O8,"三軒茶屋－夜勤")+COUNTIF('8月'!S8:T8,"三軒茶屋－夜勤")+COUNTIF('8月'!X8:Y8,"三軒茶屋－夜勤")+COUNTIF('8月'!AC8:AD8,"三軒茶屋－夜勤")+COUNTIF('8月'!AH8:AI8,"三軒茶屋－夜勤")+COUNTIF('8月'!AM8:AN8,"三軒茶屋－夜勤")+COUNTIF('8月'!AR8:AS8,"三軒茶屋－夜勤")+COUNTIF('8月'!AW8:AX8,"三軒茶屋－夜勤")+COUNTIF('8月'!BB8:BC8,"三軒茶屋－夜勤")+COUNTIF('8月'!BG8:BH8,"三軒茶屋－夜勤")+COUNTIF('8月'!BL8:BM8,"三軒茶屋－夜勤")+COUNTIF('8月'!BQ8:BR8,"三軒茶屋－夜勤")+COUNTIF('8月'!BV8:BW8,"三軒茶屋－夜勤")+COUNTIF('8月'!CA8:CB8,"三軒茶屋－夜勤")+COUNTIF('8月'!CF8:CG8,"三軒茶屋－夜勤")+COUNTIF('8月'!CK8:CL8,"三軒茶屋－夜勤")+COUNTIF('8月'!CP8:CQ8,"三軒茶屋－夜勤")+COUNTIF('8月'!CU8:CV8,"三軒茶屋－夜勤")+COUNTIF('8月'!CZ8:DA8,"三軒茶屋－夜勤")+COUNTIF('8月'!DE8:DF8,"三軒茶屋－夜勤")+COUNTIF('8月'!DJ8:DK8,"三軒茶屋－夜勤")+COUNTIF('8月'!DO8:DP8,"三軒茶屋－夜勤")+COUNTIF('8月'!DT8:DU8,"三軒茶屋－夜勤")+COUNTIF('8月'!DY8:DZ8,"三軒茶屋－夜勤")+COUNTIF('8月'!ED8:EE8,"三軒茶屋－夜勤")+COUNTIF('8月'!EI8:EJ8,"三軒茶屋－夜勤")+COUNTIF('8月'!EN8:EO8,"三軒茶屋－夜勤")+COUNTIF('8月'!ES8:ET8,"三軒茶屋－夜勤")</f>
        <v>0</v>
      </c>
      <c r="O269" s="76">
        <f t="shared" si="90"/>
        <v>0</v>
      </c>
      <c r="P269" s="76">
        <f>COUNTIF('8月'!D8:E8,P$263)+COUNTIF('8月'!I8:J8,P$263)+COUNTIF('8月'!N8:O8,P$263)+COUNTIF('8月'!S8:T8,P$263)+COUNTIF('8月'!X8:Y8,P$263)+COUNTIF('8月'!AC8:AD8,P$263)+COUNTIF('8月'!AH8:AI8,P$263)+COUNTIF('8月'!AM8:AN8,P$263)+COUNTIF('8月'!AR8:AS8,P$263)+COUNTIF('8月'!AW8:AX8,P$263)+COUNTIF('8月'!BB8:BC8,P$263)+COUNTIF('8月'!BG8:BH8,P$263)+COUNTIF('8月'!BL8:BM8,P$263)+COUNTIF('8月'!BQ8:BR8,P$263)+COUNTIF('8月'!BV8:BW8,P$263)+COUNTIF('8月'!CA8:CB8,P$263)+COUNTIF('8月'!CF8:CG8,P$263)+COUNTIF('8月'!CK8:CL8,P$263)+COUNTIF('8月'!CP8:CQ8,P$263)+COUNTIF('8月'!CU8:CV8,P$263)+COUNTIF('8月'!CZ8:DA8,P$263)+COUNTIF('8月'!DE8:DF8,P$263)+COUNTIF('8月'!DJ8:DK8,P$263)+COUNTIF('8月'!DO8:DP8,P$263)+COUNTIF('8月'!DT8:DU8,P$263)+COUNTIF('8月'!DY8:DZ8,P$263)+COUNTIF('8月'!ED8:EE8,P$263)+COUNTIF('8月'!EI8:EJ8,P$263)+COUNTIF('8月'!EN8:EO8,P$263)+COUNTIF('8月'!ES8:ET8,P$263)+COUNTIF('8月'!D8:E8,"荻窪ー夜勤")+COUNTIF('8月'!I8:J8,"荻窪ー夜勤")+COUNTIF('8月'!N8:O8,"荻窪ー夜勤")+COUNTIF('8月'!S8:T8,"荻窪ー夜勤")+COUNTIF('8月'!X8:Y8,"荻窪ー夜勤")+COUNTIF('8月'!AC8:AD8,"荻窪ー夜勤")+COUNTIF('8月'!AH8:AI8,"荻窪ー夜勤")+COUNTIF('8月'!AM8:AN8,"荻窪ー夜勤")+COUNTIF('8月'!AR8:AS8,"荻窪ー夜勤")+COUNTIF('8月'!AW8:AX8,"荻窪ー夜勤")+COUNTIF('8月'!BB8:BC8,"荻窪ー夜勤")+COUNTIF('8月'!BG8:BH8,"荻窪ー夜勤")+COUNTIF('8月'!BL8:BM8,"荻窪ー夜勤")+COUNTIF('8月'!BQ8:BR8,"荻窪ー夜勤")+COUNTIF('8月'!BV8:BW8,"荻窪ー夜勤")+COUNTIF('8月'!CA8:CB8,"荻窪ー夜勤")+COUNTIF('8月'!CF8:CG8,"荻窪ー夜勤")+COUNTIF('8月'!CK8:CL8,"荻窪ー夜勤")+COUNTIF('8月'!CP8:CQ8,"荻窪ー夜勤")+COUNTIF('8月'!CU8:CV8,"荻窪ー夜勤")+COUNTIF('8月'!CZ8:DA8,"荻窪ー夜勤")+COUNTIF('8月'!DE8:DF8,"荻窪ー夜勤")+COUNTIF('8月'!DJ8:DK8,"荻窪ー夜勤")+COUNTIF('8月'!DO8:DP8,"荻窪ー夜勤")+COUNTIF('8月'!DT8:DU8,"荻窪ー夜勤")+COUNTIF('8月'!DY8:DZ8,"荻窪ー夜勤")+COUNTIF('8月'!ED8:EE8,"荻窪ー夜勤")+COUNTIF('8月'!EI8:EJ8,"荻窪ー夜勤")+COUNTIF('8月'!EN8:EO8,"荻窪ー夜勤")+COUNTIF('8月'!ES8:ET8,"荻窪ー夜勤")</f>
        <v>0</v>
      </c>
      <c r="Q269" s="76">
        <f t="shared" si="91"/>
        <v>0</v>
      </c>
      <c r="R269" s="76">
        <f>COUNTIF('8月'!D8:E8,R$263)+COUNTIF('8月'!I8:J8,R$263)+COUNTIF('8月'!N8:O8,R$263)+COUNTIF('8月'!S8:T8,R$263)+COUNTIF('8月'!X8:Y8,R$263)+COUNTIF('8月'!AC8:AD8,R$263)+COUNTIF('8月'!AH8:AI8,R$263)+COUNTIF('8月'!AM8:AN8,R$263)+COUNTIF('8月'!AR8:AS8,R$263)+COUNTIF('8月'!AW8:AX8,R$263)+COUNTIF('8月'!BB8:BC8,R$263)+COUNTIF('8月'!BG8:BH8,R$263)+COUNTIF('8月'!BL8:BM8,R$263)+COUNTIF('8月'!BQ8:BR8,R$263)+COUNTIF('8月'!BV8:BW8,R$263)+COUNTIF('8月'!CA8:CB8,R$263)+COUNTIF('8月'!CF8:CG8,R$263)+COUNTIF('8月'!CK8:CL8,R$263)+COUNTIF('8月'!CP8:CQ8,R$263)+COUNTIF('8月'!CU8:CV8,R$263)+COUNTIF('8月'!CZ8:DA8,R$263)+COUNTIF('8月'!DE8:DF8,R$263)+COUNTIF('8月'!DJ8:DK8,R$263)+COUNTIF('8月'!DO8:DP8,R$263)+COUNTIF('8月'!DT8:DU8,R$263)+COUNTIF('8月'!DY8:DZ8,R$263)+COUNTIF('8月'!ED8:EE8,R$263)+COUNTIF('8月'!EI8:EJ8,R$263)+COUNTIF('8月'!EN8:EO8,R$263)+COUNTIF('8月'!ES8:ET8,R$263)</f>
        <v>0</v>
      </c>
      <c r="S269" s="76">
        <f t="shared" si="92"/>
        <v>0</v>
      </c>
      <c r="T269" s="76">
        <f>COUNTIF('8月'!D8:E8,T$263)+COUNTIF('8月'!I8:J8,T$263)+COUNTIF('8月'!N8:O8,T$263)+COUNTIF('8月'!S8:T8,T$263)+COUNTIF('8月'!X8:Y8,T$263)+COUNTIF('8月'!AC8:AD8,T$263)+COUNTIF('8月'!AH8:AI8,T$263)+COUNTIF('8月'!AM8:AN8,T$263)+COUNTIF('8月'!AR8:AS8,T$263)+COUNTIF('8月'!AW8:AX8,T$263)+COUNTIF('8月'!BB8:BC8,T$263)+COUNTIF('8月'!BG8:BH8,T$263)+COUNTIF('8月'!BL8:BM8,T$263)+COUNTIF('8月'!BQ8:BR8,T$263)+COUNTIF('8月'!BV8:BW8,T$263)+COUNTIF('8月'!CA8:CB8,T$263)+COUNTIF('8月'!CF8:CG8,T$263)+COUNTIF('8月'!CK8:CL8,T$263)+COUNTIF('8月'!CP8:CQ8,T$263)+COUNTIF('8月'!CU8:CV8,T$263)+COUNTIF('8月'!CZ8:DA8,T$263)+COUNTIF('8月'!DE8:DF8,T$263)+COUNTIF('8月'!DJ8:DK8,T$263)+COUNTIF('8月'!DO8:DP8,T$263)+COUNTIF('8月'!DT8:DU8,T$263)+COUNTIF('8月'!DY8:DZ8,T$263)+COUNTIF('8月'!ED8:EE8,T$263)+COUNTIF('8月'!EI8:EJ8,T$263)+COUNTIF('8月'!EN8:EO8,T$263)+COUNTIF('8月'!ES8:ET8,T$263)</f>
        <v>0</v>
      </c>
      <c r="U269" s="76">
        <f t="shared" si="93"/>
        <v>0</v>
      </c>
      <c r="V269" s="76">
        <f>COUNTIF('8月'!D8:E8,V$263)+COUNTIF('8月'!I8:J8,V$263)+COUNTIF('8月'!N8:O8,V$263)+COUNTIF('8月'!S8:T8,V$263)+COUNTIF('8月'!X8:Y8,V$263)+COUNTIF('8月'!AC8:AD8,V$263)+COUNTIF('8月'!AH8:AI8,V$263)+COUNTIF('8月'!AM8:AN8,V$263)+COUNTIF('8月'!AR8:AS8,V$263)+COUNTIF('8月'!AW8:AX8,V$263)+COUNTIF('8月'!BB8:BC8,V$263)+COUNTIF('8月'!BG8:BH8,V$263)+COUNTIF('8月'!BL8:BM8,V$263)+COUNTIF('8月'!BQ8:BR8,V$263)+COUNTIF('8月'!BV8:BW8,V$263)+COUNTIF('8月'!CA8:CB8,V$263)+COUNTIF('8月'!CF8:CG8,V$263)+COUNTIF('8月'!CK8:CL8,V$263)+COUNTIF('8月'!CP8:CQ8,V$263)+COUNTIF('8月'!CU8:CV8,V$263)+COUNTIF('8月'!CZ8:DA8,V$263)+COUNTIF('8月'!DE8:DF8,V$263)+COUNTIF('8月'!DJ8:DK8,V$263)+COUNTIF('8月'!DO8:DP8,V$263)+COUNTIF('8月'!DT8:DU8,V$263)+COUNTIF('8月'!DY8:DZ8,V$263)+COUNTIF('8月'!ED8:EE8,V$263)+COUNTIF('8月'!EI8:EJ8,V$263)+COUNTIF('8月'!EN8:EO8,V$263)+COUNTIF('8月'!ES8:ET8,V$263)</f>
        <v>0</v>
      </c>
      <c r="W269" s="76">
        <f t="shared" si="94"/>
        <v>0</v>
      </c>
      <c r="X269" s="76">
        <f>COUNTIF('8月'!D8:E8,X$263)+COUNTIF('8月'!I8:J8,X$263)+COUNTIF('8月'!N8:O8,X$263)+COUNTIF('8月'!S8:T8,X$263)+COUNTIF('8月'!X8:Y8,X$263)+COUNTIF('8月'!AC8:AD8,X$263)+COUNTIF('8月'!AH8:AI8,X$263)+COUNTIF('8月'!AM8:AN8,X$263)+COUNTIF('8月'!AR8:AS8,X$263)+COUNTIF('8月'!AW8:AX8,X$263)+COUNTIF('8月'!BB8:BC8,X$263)+COUNTIF('8月'!BG8:BH8,X$263)+COUNTIF('8月'!BL8:BM8,X$263)+COUNTIF('8月'!BQ8:BR8,X$263)+COUNTIF('8月'!BV8:BW8,X$263)+COUNTIF('8月'!CA8:CB8,X$263)+COUNTIF('8月'!CF8:CG8,X$263)+COUNTIF('8月'!CK8:CL8,X$263)+COUNTIF('8月'!CP8:CQ8,X$263)+COUNTIF('8月'!CU8:CV8,X$263)+COUNTIF('8月'!CZ8:DA8,X$263)+COUNTIF('8月'!DE8:DF8,X$263)+COUNTIF('8月'!DJ8:DK8,X$263)+COUNTIF('8月'!DO8:DP8,X$263)+COUNTIF('8月'!DT8:DU8,X$263)+COUNTIF('8月'!DY8:DZ8,X$263)+COUNTIF('8月'!ED8:EE8,X$263)+COUNTIF('8月'!EI8:EJ8,X$263)+COUNTIF('8月'!EN8:EO8,X$263)+COUNTIF('8月'!ES8:ET8,X$263)</f>
        <v>0</v>
      </c>
      <c r="Y269" s="76">
        <f t="shared" si="95"/>
        <v>0</v>
      </c>
    </row>
    <row r="270" spans="1:25" ht="18" customHeight="1">
      <c r="A270" s="76">
        <v>6</v>
      </c>
      <c r="B270" s="76">
        <f>COUNTIF('8月'!D9:E9,B$263)+COUNTIF('8月'!I9:J9,B$263)+COUNTIF('8月'!N9:O9,B$263)+COUNTIF('8月'!S9:T9,B$263)+COUNTIF('8月'!X9:Y9,B$263)+COUNTIF('8月'!AC9:AD9,B$263)+COUNTIF('8月'!AH9:AI9,B$263)+COUNTIF('8月'!AM9:AN9,B$263)+COUNTIF('8月'!AR9:AS9,B$263)+COUNTIF('8月'!AW9:AX9,B$263)+COUNTIF('8月'!BB9:BC9,B$263)+COUNTIF('8月'!BG9:BH9,B$263)+COUNTIF('8月'!BL9:BM9,B$263)+COUNTIF('8月'!BQ9:BR9,B$263)+COUNTIF('8月'!BV9:BW9,B$263)+COUNTIF('8月'!CA9:CB9,B$263)+COUNTIF('8月'!CF9:CG9,B$263)+COUNTIF('8月'!CK9:CL9,B$263)+COUNTIF('8月'!CP9:CQ9,B$263)+COUNTIF('8月'!CU9:CV9,B$263)+COUNTIF('8月'!CZ9:DA9,B$263)+COUNTIF('8月'!DE9:DF9,B$263)+COUNTIF('8月'!DJ9:DK9,B$263)+COUNTIF('8月'!DO9:DP9,B$263)+COUNTIF('8月'!DT9:DU9,B$263)+COUNTIF('8月'!DY9:DZ9,B$263)+COUNTIF('8月'!ED9:EE9,B$263)+COUNTIF('8月'!EI9:EJ9,B$263)+COUNTIF('8月'!EN9:EO9,B$263)+COUNTIF('8月'!ES9:ET9,B$263)</f>
        <v>0</v>
      </c>
      <c r="C270" s="76">
        <f t="shared" si="84"/>
        <v>0</v>
      </c>
      <c r="D270" s="76">
        <f>COUNTIF('8月'!D9:E9,D$263)+COUNTIF('8月'!I9:J9,D$263)+COUNTIF('8月'!N9:O9,D$263)+COUNTIF('8月'!S9:T9,D$263)+COUNTIF('8月'!X9:Y9,D$263)+COUNTIF('8月'!AC9:AD9,D$263)+COUNTIF('8月'!AH9:AI9,D$263)+COUNTIF('8月'!AM9:AN9,D$263)+COUNTIF('8月'!AR9:AS9,D$263)+COUNTIF('8月'!AW9:AX9,D$263)+COUNTIF('8月'!BB9:BC9,D$263)+COUNTIF('8月'!BG9:BH9,D$263)+COUNTIF('8月'!BL9:BM9,D$263)+COUNTIF('8月'!BQ9:BR9,D$263)+COUNTIF('8月'!BV9:BW9,D$263)+COUNTIF('8月'!CA9:CB9,D$263)+COUNTIF('8月'!CF9:CG9,D$263)+COUNTIF('8月'!CK9:CL9,D$263)+COUNTIF('8月'!CP9:CQ9,D$263)+COUNTIF('8月'!CU9:CV9,D$263)+COUNTIF('8月'!CZ9:DA9,D$263)+COUNTIF('8月'!DE9:DF9,D$263)+COUNTIF('8月'!DJ9:DK9,D$263)+COUNTIF('8月'!DO9:DP9,D$263)+COUNTIF('8月'!DT9:DU9,D$263)+COUNTIF('8月'!DY9:DZ9,D$263)+COUNTIF('8月'!ED9:EE9,D$263)+COUNTIF('8月'!EI9:EJ9,D$263)+COUNTIF('8月'!EN9:EO9,D$263)+COUNTIF('8月'!ES9:ET9,D$263)</f>
        <v>0</v>
      </c>
      <c r="E270" s="76">
        <f t="shared" si="85"/>
        <v>0</v>
      </c>
      <c r="F270" s="76">
        <f>COUNTIF('8月'!D9:E9,F$263)+COUNTIF('8月'!I9:J9,F$263)+COUNTIF('8月'!N9:O9,F$263)+COUNTIF('8月'!S9:T9,F$263)+COUNTIF('8月'!X9:Y9,F$263)+COUNTIF('8月'!AC9:AD9,F$263)+COUNTIF('8月'!AH9:AI9,F$263)+COUNTIF('8月'!AM9:AN9,F$263)+COUNTIF('8月'!AR9:AS9,F$263)+COUNTIF('8月'!AW9:AX9,F$263)+COUNTIF('8月'!BB9:BC9,F$263)+COUNTIF('8月'!BG9:BH9,F$263)+COUNTIF('8月'!BL9:BM9,F$263)+COUNTIF('8月'!BQ9:BR9,F$263)+COUNTIF('8月'!BV9:BW9,F$263)+COUNTIF('8月'!CA9:CB9,F$263)+COUNTIF('8月'!CF9:CG9,F$263)+COUNTIF('8月'!CK9:CL9,F$263)+COUNTIF('8月'!CP9:CQ9,F$263)+COUNTIF('8月'!CU9:CV9,F$263)+COUNTIF('8月'!CZ9:DA9,F$263)+COUNTIF('8月'!DE9:DF9,F$263)+COUNTIF('8月'!DJ9:DK9,F$263)+COUNTIF('8月'!DO9:DP9,F$263)+COUNTIF('8月'!DT9:DU9,F$263)+COUNTIF('8月'!DY9:DZ9,F$263)+COUNTIF('8月'!ED9:EE9,F$263)+COUNTIF('8月'!EI9:EJ9,F$263)+COUNTIF('8月'!EN9:EO9,F$263)+COUNTIF('8月'!ES9:ET9,F$263)</f>
        <v>0</v>
      </c>
      <c r="G270" s="76">
        <f t="shared" si="86"/>
        <v>0</v>
      </c>
      <c r="H270" s="76">
        <f>COUNTIF('8月'!D9:E9,H$263)+COUNTIF('8月'!I9:J9,H$263)+COUNTIF('8月'!N9:O9,H$263)+COUNTIF('8月'!S9:T9,H$263)+COUNTIF('8月'!X9:Y9,H$263)+COUNTIF('8月'!AC9:AD9,H$263)+COUNTIF('8月'!AH9:AI9,H$263)+COUNTIF('8月'!AM9:AN9,H$263)+COUNTIF('8月'!AR9:AS9,H$263)+COUNTIF('8月'!AW9:AX9,H$263)+COUNTIF('8月'!BB9:BC9,H$263)+COUNTIF('8月'!BG9:BH9,H$263)+COUNTIF('8月'!BL9:BM9,H$263)+COUNTIF('8月'!BQ9:BR9,H$263)+COUNTIF('8月'!BV9:BW9,H$263)+COUNTIF('8月'!CA9:CB9,H$263)+COUNTIF('8月'!CF9:CG9,H$263)+COUNTIF('8月'!CK9:CL9,H$263)+COUNTIF('8月'!CP9:CQ9,H$263)+COUNTIF('8月'!CU9:CV9,H$263)+COUNTIF('8月'!CZ9:DA9,H$263)+COUNTIF('8月'!DE9:DF9,H$263)+COUNTIF('8月'!DJ9:DK9,H$263)+COUNTIF('8月'!DO9:DP9,H$263)+COUNTIF('8月'!DT9:DU9,H$263)+COUNTIF('8月'!DY9:DZ9,H$263)+COUNTIF('8月'!ED9:EE9,H$263)+COUNTIF('8月'!EI9:EJ9,H$263)+COUNTIF('8月'!EN9:EO9,H$263)+COUNTIF('8月'!ES9:ET9,H$263)+COUNTIF('8月'!D9:E9,"渋谷-夜勤")+COUNTIF('8月'!I9:J9,"渋谷-夜勤")+COUNTIF('8月'!N9:O9,"渋谷-夜勤")+COUNTIF('8月'!S9:T9,"渋谷-夜勤")+COUNTIF('8月'!X9:Y9,"渋谷-夜勤")+COUNTIF('8月'!AC9:AD9,"渋谷-夜勤")+COUNTIF('8月'!AH9:AI9,"渋谷-夜勤")+COUNTIF('8月'!AM9:AN9,"渋谷-夜勤")+COUNTIF('8月'!AR9:AS9,"渋谷-夜勤")+COUNTIF('8月'!AW9:AX9,"渋谷-夜勤")+COUNTIF('8月'!BB9:BC9,"渋谷-夜勤")+COUNTIF('8月'!BG9:BH9,"渋谷-夜勤")+COUNTIF('8月'!BL9:BM9,"渋谷-夜勤")+COUNTIF('8月'!BQ9:BR9,"渋谷-夜勤")+COUNTIF('8月'!BV9:BW9,"渋谷-夜勤")+COUNTIF('8月'!CA9:CB9,"渋谷-夜勤")+COUNTIF('8月'!CF9:CG9,"渋谷-夜勤")+COUNTIF('8月'!CK9:CL9,"渋谷-夜勤")+COUNTIF('8月'!CP9:CQ9,"渋谷-夜勤")+COUNTIF('8月'!CU9:CV9,"渋谷-夜勤")+COUNTIF('8月'!CZ9:DA9,"渋谷-夜勤")+COUNTIF('8月'!DE9:DF9,"渋谷-夜勤")+COUNTIF('8月'!DJ9:DK9,"渋谷-夜勤")+COUNTIF('8月'!DO9:DP9,"渋谷-夜勤")+COUNTIF('8月'!DT9:DU9,"渋谷-夜勤")+COUNTIF('8月'!DY9:DZ9,"渋谷-夜勤")+COUNTIF('8月'!ED9:EE9,"渋谷-夜勤")+COUNTIF('8月'!EI9:EJ9,"渋谷-夜勤")+COUNTIF('8月'!EN9:EO9,"渋谷-夜勤")+COUNTIF('8月'!ES9:ET9,"渋谷-夜勤")</f>
        <v>0</v>
      </c>
      <c r="I270" s="76">
        <f t="shared" si="87"/>
        <v>0</v>
      </c>
      <c r="J270" s="76">
        <f>COUNTIF('8月'!D9:E9,J$263)+COUNTIF('8月'!I9:J9,J$263)+COUNTIF('8月'!N9:O9,J$263)+COUNTIF('8月'!S9:T9,J$263)+COUNTIF('8月'!X9:Y9,J$263)+COUNTIF('8月'!AC9:AD9,J$263)+COUNTIF('8月'!AH9:AI9,J$263)+COUNTIF('8月'!AM9:AN9,J$263)+COUNTIF('8月'!AR9:AS9,J$263)+COUNTIF('8月'!AW9:AX9,J$263)+COUNTIF('8月'!BB9:BC9,J$263)+COUNTIF('8月'!BG9:BH9,J$263)+COUNTIF('8月'!BL9:BM9,J$263)+COUNTIF('8月'!BQ9:BR9,J$263)+COUNTIF('8月'!BV9:BW9,J$263)+COUNTIF('8月'!CA9:CB9,J$263)+COUNTIF('8月'!CF9:CG9,J$263)+COUNTIF('8月'!CK9:CL9,J$263)+COUNTIF('8月'!CP9:CQ9,J$263)+COUNTIF('8月'!CU9:CV9,J$263)+COUNTIF('8月'!CZ9:DA9,J$263)+COUNTIF('8月'!DE9:DF9,J$263)+COUNTIF('8月'!DJ9:DK9,J$263)+COUNTIF('8月'!DO9:DP9,J$263)+COUNTIF('8月'!DT9:DU9,J$263)+COUNTIF('8月'!DY9:DZ9,J$263)+COUNTIF('8月'!ED9:EE9,J$263)+COUNTIF('8月'!EI9:EJ9,J$263)+COUNTIF('8月'!EN9:EO9,J$263)+COUNTIF('8月'!ES9:ET9,J$263)+COUNTIF('8月'!D9:E9,"六本木-夜勤")+COUNTIF('8月'!I9:J9,"六本木-夜勤")+COUNTIF('8月'!N9:O9,"六本木-夜勤")+COUNTIF('8月'!S9:T9,"六本木-夜勤")+COUNTIF('8月'!X9:Y9,"六本木-夜勤")+COUNTIF('8月'!AC9:AD9,"六本木-夜勤")+COUNTIF('8月'!AH9:AI9,"六本木-夜勤")+COUNTIF('8月'!AM9:AN9,"六本木-夜勤")+COUNTIF('8月'!AR9:AS9,"六本木-夜勤")+COUNTIF('8月'!AW9:AX9,"六本木-夜勤")+COUNTIF('8月'!BB9:BC9,"六本木-夜勤")+COUNTIF('8月'!BG9:BH9,"六本木-夜勤")+COUNTIF('8月'!BL9:BM9,"六本木-夜勤")+COUNTIF('8月'!BQ9:BR9,"六本木-夜勤")+COUNTIF('8月'!BV9:BW9,"六本木-夜勤")+COUNTIF('8月'!CA9:CB9,"六本木-夜勤")+COUNTIF('8月'!CF9:CG9,"六本木-夜勤")+COUNTIF('8月'!CK9:CL9,"六本木-夜勤")+COUNTIF('8月'!CP9:CQ9,"六本木-夜勤")+COUNTIF('8月'!CU9:CV9,"六本木-夜勤")+COUNTIF('8月'!CZ9:DA9,"六本木-夜勤")+COUNTIF('8月'!DE9:DF9,"六本木-夜勤")+COUNTIF('8月'!DJ9:DK9,"六本木-夜勤")+COUNTIF('8月'!DO9:DP9,"六本木-夜勤")+COUNTIF('8月'!DT9:DU9,"六本木-夜勤")+COUNTIF('8月'!DY9:DZ9,"六本木-夜勤")+COUNTIF('8月'!ED9:EE9,"六本木-夜勤")+COUNTIF('8月'!EI9:EJ9,"六本木-夜勤")+COUNTIF('8月'!EN9:EO9,"六本木-夜勤")+COUNTIF('8月'!ES9:ET9,"六本木-夜勤")+COUNTIF('8月'!D9:E9,"六本木ー夜勤")+COUNTIF('8月'!I9:J9,"六本木ー夜勤")+COUNTIF('8月'!N9:O9,"六本木ー夜勤")+COUNTIF('8月'!S9:T9,"六本木ー夜勤")+COUNTIF('8月'!X9:Y9,"六本木ー夜勤")+COUNTIF('8月'!AC9:AD9,"六本木ー夜勤")+COUNTIF('8月'!AH9:AI9,"六本木ー夜勤")+COUNTIF('8月'!AM9:AN9,"六本木ー夜勤")+COUNTIF('8月'!AR9:AS9,"六本木ー夜勤")+COUNTIF('8月'!AW9:AX9,"六本木ー夜勤")+COUNTIF('8月'!BB9:BC9,"六本木ー夜勤")+COUNTIF('8月'!BG9:BH9,"六本木ー夜勤")+COUNTIF('8月'!BL9:BM9,"六本木ー夜勤")+COUNTIF('8月'!BQ9:BR9,"六本木ー夜勤")+COUNTIF('8月'!BV9:BW9,"六本木ー夜勤")+COUNTIF('8月'!CA9:CB9,"六本木ー夜勤")+COUNTIF('8月'!CF9:CG9,"六本木ー夜勤")+COUNTIF('8月'!CK9:CL9,"六本木ー夜勤")+COUNTIF('8月'!CP9:CQ9,"六本木ー夜勤")+COUNTIF('8月'!CU9:CV9,"六本木ー夜勤")+COUNTIF('8月'!CZ9:DA9,"六本木ー夜勤")+COUNTIF('8月'!DE9:DF9,"六本木ー夜勤")+COUNTIF('8月'!DJ9:DK9,"六本木ー夜勤")+COUNTIF('8月'!DO9:DP9,"六本木ー夜勤")+COUNTIF('8月'!DT9:DU9,"六本木ー夜勤")+COUNTIF('8月'!DY9:DZ9,"六本木ー夜勤")+COUNTIF('8月'!ED9:EE9,"六本木ー夜勤")+COUNTIF('8月'!EI9:EJ9,"六本木ー夜勤")+COUNTIF('8月'!EN9:EO9,"六本木ー夜勤")+COUNTIF('8月'!ES9:ET9,"六本木ー夜勤")</f>
        <v>0</v>
      </c>
      <c r="K270" s="76">
        <f t="shared" si="88"/>
        <v>0</v>
      </c>
      <c r="L270" s="76">
        <f>COUNTIF('8月'!D9:E9,L$263)+COUNTIF('8月'!I9:J9,L$263)+COUNTIF('8月'!N9:O9,L$263)+COUNTIF('8月'!S9:T9,L$263)+COUNTIF('8月'!X9:Y9,L$263)+COUNTIF('8月'!AC9:AD9,L$263)+COUNTIF('8月'!AH9:AI9,L$263)+COUNTIF('8月'!AM9:AN9,L$263)+COUNTIF('8月'!AR9:AS9,L$263)+COUNTIF('8月'!AW9:AX9,L$263)+COUNTIF('8月'!BB9:BC9,L$263)+COUNTIF('8月'!BG9:BH9,L$263)+COUNTIF('8月'!BL9:BM9,L$263)+COUNTIF('8月'!BQ9:BR9,L$263)+COUNTIF('8月'!BV9:BW9,L$263)+COUNTIF('8月'!CA9:CB9,L$263)+COUNTIF('8月'!CF9:CG9,L$263)+COUNTIF('8月'!CK9:CL9,L$263)+COUNTIF('8月'!CP9:CQ9,L$263)+COUNTIF('8月'!CU9:CV9,L$263)+COUNTIF('8月'!CZ9:DA9,L$263)+COUNTIF('8月'!DE9:DF9,L$263)+COUNTIF('8月'!DJ9:DK9,L$263)+COUNTIF('8月'!DO9:DP9,L$263)+COUNTIF('8月'!DT9:DU9,L$263)+COUNTIF('8月'!DY9:DZ9,L$263)+COUNTIF('8月'!ED9:EE9,L$263)+COUNTIF('8月'!EI9:EJ9,L$263)+COUNTIF('8月'!EN9:EO9,L$263)+COUNTIF('8月'!ES9:ET9,L$263)</f>
        <v>0</v>
      </c>
      <c r="M270" s="76">
        <f t="shared" si="89"/>
        <v>0</v>
      </c>
      <c r="N270" s="76">
        <f>COUNTIF('8月'!D9:E9,N$263)+COUNTIF('8月'!I9:J9,N$263)+COUNTIF('8月'!N9:O9,N$263)+COUNTIF('8月'!S9:T9,N$263)+COUNTIF('8月'!X9:Y9,N$263)+COUNTIF('8月'!AC9:AD9,N$263)+COUNTIF('8月'!AH9:AI9,N$263)+COUNTIF('8月'!AM9:AN9,N$263)+COUNTIF('8月'!AR9:AS9,N$263)+COUNTIF('8月'!AW9:AX9,N$263)+COUNTIF('8月'!BB9:BC9,N$263)+COUNTIF('8月'!BG9:BH9,N$263)+COUNTIF('8月'!BL9:BM9,N$263)+COUNTIF('8月'!BQ9:BR9,N$263)+COUNTIF('8月'!BV9:BW9,N$263)+COUNTIF('8月'!CA9:CB9,N$263)+COUNTIF('8月'!CF9:CG9,N$263)+COUNTIF('8月'!CK9:CL9,N$263)+COUNTIF('8月'!CP9:CQ9,N$263)+COUNTIF('8月'!CU9:CV9,N$263)+COUNTIF('8月'!CZ9:DA9,N$263)+COUNTIF('8月'!DE9:DF9,N$263)+COUNTIF('8月'!DJ9:DK9,N$263)+COUNTIF('8月'!DO9:DP9,N$263)+COUNTIF('8月'!DT9:DU9,N$263)+COUNTIF('8月'!DY9:DZ9,N$263)+COUNTIF('8月'!ED9:EE9,N$263)+COUNTIF('8月'!EI9:EJ9,N$263)+COUNTIF('8月'!EN9:EO9,N$263)+COUNTIF('8月'!ES9:ET9,N$263)+COUNTIF('8月'!D9:E9,"三軒茶屋－夜勤")+COUNTIF('8月'!I9:J9,"三軒茶屋－夜勤")+COUNTIF('8月'!N9:O9,"三軒茶屋－夜勤")+COUNTIF('8月'!S9:T9,"三軒茶屋－夜勤")+COUNTIF('8月'!X9:Y9,"三軒茶屋－夜勤")+COUNTIF('8月'!AC9:AD9,"三軒茶屋－夜勤")+COUNTIF('8月'!AH9:AI9,"三軒茶屋－夜勤")+COUNTIF('8月'!AM9:AN9,"三軒茶屋－夜勤")+COUNTIF('8月'!AR9:AS9,"三軒茶屋－夜勤")+COUNTIF('8月'!AW9:AX9,"三軒茶屋－夜勤")+COUNTIF('8月'!BB9:BC9,"三軒茶屋－夜勤")+COUNTIF('8月'!BG9:BH9,"三軒茶屋－夜勤")+COUNTIF('8月'!BL9:BM9,"三軒茶屋－夜勤")+COUNTIF('8月'!BQ9:BR9,"三軒茶屋－夜勤")+COUNTIF('8月'!BV9:BW9,"三軒茶屋－夜勤")+COUNTIF('8月'!CA9:CB9,"三軒茶屋－夜勤")+COUNTIF('8月'!CF9:CG9,"三軒茶屋－夜勤")+COUNTIF('8月'!CK9:CL9,"三軒茶屋－夜勤")+COUNTIF('8月'!CP9:CQ9,"三軒茶屋－夜勤")+COUNTIF('8月'!CU9:CV9,"三軒茶屋－夜勤")+COUNTIF('8月'!CZ9:DA9,"三軒茶屋－夜勤")+COUNTIF('8月'!DE9:DF9,"三軒茶屋－夜勤")+COUNTIF('8月'!DJ9:DK9,"三軒茶屋－夜勤")+COUNTIF('8月'!DO9:DP9,"三軒茶屋－夜勤")+COUNTIF('8月'!DT9:DU9,"三軒茶屋－夜勤")+COUNTIF('8月'!DY9:DZ9,"三軒茶屋－夜勤")+COUNTIF('8月'!ED9:EE9,"三軒茶屋－夜勤")+COUNTIF('8月'!EI9:EJ9,"三軒茶屋－夜勤")+COUNTIF('8月'!EN9:EO9,"三軒茶屋－夜勤")+COUNTIF('8月'!ES9:ET9,"三軒茶屋－夜勤")</f>
        <v>0</v>
      </c>
      <c r="O270" s="76">
        <f t="shared" si="90"/>
        <v>0</v>
      </c>
      <c r="P270" s="76">
        <f>COUNTIF('8月'!D9:E9,P$263)+COUNTIF('8月'!I9:J9,P$263)+COUNTIF('8月'!N9:O9,P$263)+COUNTIF('8月'!S9:T9,P$263)+COUNTIF('8月'!X9:Y9,P$263)+COUNTIF('8月'!AC9:AD9,P$263)+COUNTIF('8月'!AH9:AI9,P$263)+COUNTIF('8月'!AM9:AN9,P$263)+COUNTIF('8月'!AR9:AS9,P$263)+COUNTIF('8月'!AW9:AX9,P$263)+COUNTIF('8月'!BB9:BC9,P$263)+COUNTIF('8月'!BG9:BH9,P$263)+COUNTIF('8月'!BL9:BM9,P$263)+COUNTIF('8月'!BQ9:BR9,P$263)+COUNTIF('8月'!BV9:BW9,P$263)+COUNTIF('8月'!CA9:CB9,P$263)+COUNTIF('8月'!CF9:CG9,P$263)+COUNTIF('8月'!CK9:CL9,P$263)+COUNTIF('8月'!CP9:CQ9,P$263)+COUNTIF('8月'!CU9:CV9,P$263)+COUNTIF('8月'!CZ9:DA9,P$263)+COUNTIF('8月'!DE9:DF9,P$263)+COUNTIF('8月'!DJ9:DK9,P$263)+COUNTIF('8月'!DO9:DP9,P$263)+COUNTIF('8月'!DT9:DU9,P$263)+COUNTIF('8月'!DY9:DZ9,P$263)+COUNTIF('8月'!ED9:EE9,P$263)+COUNTIF('8月'!EI9:EJ9,P$263)+COUNTIF('8月'!EN9:EO9,P$263)+COUNTIF('8月'!ES9:ET9,P$263)+COUNTIF('8月'!D9:E9,"荻窪ー夜勤")+COUNTIF('8月'!I9:J9,"荻窪ー夜勤")+COUNTIF('8月'!N9:O9,"荻窪ー夜勤")+COUNTIF('8月'!S9:T9,"荻窪ー夜勤")+COUNTIF('8月'!X9:Y9,"荻窪ー夜勤")+COUNTIF('8月'!AC9:AD9,"荻窪ー夜勤")+COUNTIF('8月'!AH9:AI9,"荻窪ー夜勤")+COUNTIF('8月'!AM9:AN9,"荻窪ー夜勤")+COUNTIF('8月'!AR9:AS9,"荻窪ー夜勤")+COUNTIF('8月'!AW9:AX9,"荻窪ー夜勤")+COUNTIF('8月'!BB9:BC9,"荻窪ー夜勤")+COUNTIF('8月'!BG9:BH9,"荻窪ー夜勤")+COUNTIF('8月'!BL9:BM9,"荻窪ー夜勤")+COUNTIF('8月'!BQ9:BR9,"荻窪ー夜勤")+COUNTIF('8月'!BV9:BW9,"荻窪ー夜勤")+COUNTIF('8月'!CA9:CB9,"荻窪ー夜勤")+COUNTIF('8月'!CF9:CG9,"荻窪ー夜勤")+COUNTIF('8月'!CK9:CL9,"荻窪ー夜勤")+COUNTIF('8月'!CP9:CQ9,"荻窪ー夜勤")+COUNTIF('8月'!CU9:CV9,"荻窪ー夜勤")+COUNTIF('8月'!CZ9:DA9,"荻窪ー夜勤")+COUNTIF('8月'!DE9:DF9,"荻窪ー夜勤")+COUNTIF('8月'!DJ9:DK9,"荻窪ー夜勤")+COUNTIF('8月'!DO9:DP9,"荻窪ー夜勤")+COUNTIF('8月'!DT9:DU9,"荻窪ー夜勤")+COUNTIF('8月'!DY9:DZ9,"荻窪ー夜勤")+COUNTIF('8月'!ED9:EE9,"荻窪ー夜勤")+COUNTIF('8月'!EI9:EJ9,"荻窪ー夜勤")+COUNTIF('8月'!EN9:EO9,"荻窪ー夜勤")+COUNTIF('8月'!ES9:ET9,"荻窪ー夜勤")</f>
        <v>0</v>
      </c>
      <c r="Q270" s="76">
        <f t="shared" si="91"/>
        <v>0</v>
      </c>
      <c r="R270" s="76">
        <f>COUNTIF('8月'!D9:E9,R$263)+COUNTIF('8月'!I9:J9,R$263)+COUNTIF('8月'!N9:O9,R$263)+COUNTIF('8月'!S9:T9,R$263)+COUNTIF('8月'!X9:Y9,R$263)+COUNTIF('8月'!AC9:AD9,R$263)+COUNTIF('8月'!AH9:AI9,R$263)+COUNTIF('8月'!AM9:AN9,R$263)+COUNTIF('8月'!AR9:AS9,R$263)+COUNTIF('8月'!AW9:AX9,R$263)+COUNTIF('8月'!BB9:BC9,R$263)+COUNTIF('8月'!BG9:BH9,R$263)+COUNTIF('8月'!BL9:BM9,R$263)+COUNTIF('8月'!BQ9:BR9,R$263)+COUNTIF('8月'!BV9:BW9,R$263)+COUNTIF('8月'!CA9:CB9,R$263)+COUNTIF('8月'!CF9:CG9,R$263)+COUNTIF('8月'!CK9:CL9,R$263)+COUNTIF('8月'!CP9:CQ9,R$263)+COUNTIF('8月'!CU9:CV9,R$263)+COUNTIF('8月'!CZ9:DA9,R$263)+COUNTIF('8月'!DE9:DF9,R$263)+COUNTIF('8月'!DJ9:DK9,R$263)+COUNTIF('8月'!DO9:DP9,R$263)+COUNTIF('8月'!DT9:DU9,R$263)+COUNTIF('8月'!DY9:DZ9,R$263)+COUNTIF('8月'!ED9:EE9,R$263)+COUNTIF('8月'!EI9:EJ9,R$263)+COUNTIF('8月'!EN9:EO9,R$263)+COUNTIF('8月'!ES9:ET9,R$263)</f>
        <v>0</v>
      </c>
      <c r="S270" s="76">
        <f t="shared" si="92"/>
        <v>0</v>
      </c>
      <c r="T270" s="76">
        <f>COUNTIF('8月'!D9:E9,T$263)+COUNTIF('8月'!I9:J9,T$263)+COUNTIF('8月'!N9:O9,T$263)+COUNTIF('8月'!S9:T9,T$263)+COUNTIF('8月'!X9:Y9,T$263)+COUNTIF('8月'!AC9:AD9,T$263)+COUNTIF('8月'!AH9:AI9,T$263)+COUNTIF('8月'!AM9:AN9,T$263)+COUNTIF('8月'!AR9:AS9,T$263)+COUNTIF('8月'!AW9:AX9,T$263)+COUNTIF('8月'!BB9:BC9,T$263)+COUNTIF('8月'!BG9:BH9,T$263)+COUNTIF('8月'!BL9:BM9,T$263)+COUNTIF('8月'!BQ9:BR9,T$263)+COUNTIF('8月'!BV9:BW9,T$263)+COUNTIF('8月'!CA9:CB9,T$263)+COUNTIF('8月'!CF9:CG9,T$263)+COUNTIF('8月'!CK9:CL9,T$263)+COUNTIF('8月'!CP9:CQ9,T$263)+COUNTIF('8月'!CU9:CV9,T$263)+COUNTIF('8月'!CZ9:DA9,T$263)+COUNTIF('8月'!DE9:DF9,T$263)+COUNTIF('8月'!DJ9:DK9,T$263)+COUNTIF('8月'!DO9:DP9,T$263)+COUNTIF('8月'!DT9:DU9,T$263)+COUNTIF('8月'!DY9:DZ9,T$263)+COUNTIF('8月'!ED9:EE9,T$263)+COUNTIF('8月'!EI9:EJ9,T$263)+COUNTIF('8月'!EN9:EO9,T$263)+COUNTIF('8月'!ES9:ET9,T$263)</f>
        <v>0</v>
      </c>
      <c r="U270" s="76">
        <f t="shared" si="93"/>
        <v>0</v>
      </c>
      <c r="V270" s="76">
        <f>COUNTIF('8月'!D9:E9,V$263)+COUNTIF('8月'!I9:J9,V$263)+COUNTIF('8月'!N9:O9,V$263)+COUNTIF('8月'!S9:T9,V$263)+COUNTIF('8月'!X9:Y9,V$263)+COUNTIF('8月'!AC9:AD9,V$263)+COUNTIF('8月'!AH9:AI9,V$263)+COUNTIF('8月'!AM9:AN9,V$263)+COUNTIF('8月'!AR9:AS9,V$263)+COUNTIF('8月'!AW9:AX9,V$263)+COUNTIF('8月'!BB9:BC9,V$263)+COUNTIF('8月'!BG9:BH9,V$263)+COUNTIF('8月'!BL9:BM9,V$263)+COUNTIF('8月'!BQ9:BR9,V$263)+COUNTIF('8月'!BV9:BW9,V$263)+COUNTIF('8月'!CA9:CB9,V$263)+COUNTIF('8月'!CF9:CG9,V$263)+COUNTIF('8月'!CK9:CL9,V$263)+COUNTIF('8月'!CP9:CQ9,V$263)+COUNTIF('8月'!CU9:CV9,V$263)+COUNTIF('8月'!CZ9:DA9,V$263)+COUNTIF('8月'!DE9:DF9,V$263)+COUNTIF('8月'!DJ9:DK9,V$263)+COUNTIF('8月'!DO9:DP9,V$263)+COUNTIF('8月'!DT9:DU9,V$263)+COUNTIF('8月'!DY9:DZ9,V$263)+COUNTIF('8月'!ED9:EE9,V$263)+COUNTIF('8月'!EI9:EJ9,V$263)+COUNTIF('8月'!EN9:EO9,V$263)+COUNTIF('8月'!ES9:ET9,V$263)</f>
        <v>0</v>
      </c>
      <c r="W270" s="76">
        <f t="shared" si="94"/>
        <v>0</v>
      </c>
      <c r="X270" s="76">
        <f>COUNTIF('8月'!D9:E9,X$263)+COUNTIF('8月'!I9:J9,X$263)+COUNTIF('8月'!N9:O9,X$263)+COUNTIF('8月'!S9:T9,X$263)+COUNTIF('8月'!X9:Y9,X$263)+COUNTIF('8月'!AC9:AD9,X$263)+COUNTIF('8月'!AH9:AI9,X$263)+COUNTIF('8月'!AM9:AN9,X$263)+COUNTIF('8月'!AR9:AS9,X$263)+COUNTIF('8月'!AW9:AX9,X$263)+COUNTIF('8月'!BB9:BC9,X$263)+COUNTIF('8月'!BG9:BH9,X$263)+COUNTIF('8月'!BL9:BM9,X$263)+COUNTIF('8月'!BQ9:BR9,X$263)+COUNTIF('8月'!BV9:BW9,X$263)+COUNTIF('8月'!CA9:CB9,X$263)+COUNTIF('8月'!CF9:CG9,X$263)+COUNTIF('8月'!CK9:CL9,X$263)+COUNTIF('8月'!CP9:CQ9,X$263)+COUNTIF('8月'!CU9:CV9,X$263)+COUNTIF('8月'!CZ9:DA9,X$263)+COUNTIF('8月'!DE9:DF9,X$263)+COUNTIF('8月'!DJ9:DK9,X$263)+COUNTIF('8月'!DO9:DP9,X$263)+COUNTIF('8月'!DT9:DU9,X$263)+COUNTIF('8月'!DY9:DZ9,X$263)+COUNTIF('8月'!ED9:EE9,X$263)+COUNTIF('8月'!EI9:EJ9,X$263)+COUNTIF('8月'!EN9:EO9,X$263)+COUNTIF('8月'!ES9:ET9,X$263)</f>
        <v>0</v>
      </c>
      <c r="Y270" s="76">
        <f t="shared" si="95"/>
        <v>0</v>
      </c>
    </row>
    <row r="271" spans="1:25" ht="18" customHeight="1">
      <c r="A271" s="76">
        <v>7</v>
      </c>
      <c r="B271" s="76">
        <f>COUNTIF('8月'!D10:E10,B$263)+COUNTIF('8月'!I10:J10,B$263)+COUNTIF('8月'!N10:O10,B$263)+COUNTIF('8月'!S10:T10,B$263)+COUNTIF('8月'!X10:Y10,B$263)+COUNTIF('8月'!AC10:AD10,B$263)+COUNTIF('8月'!AH10:AI10,B$263)+COUNTIF('8月'!AM10:AN10,B$263)+COUNTIF('8月'!AR10:AS10,B$263)+COUNTIF('8月'!AW10:AX10,B$263)+COUNTIF('8月'!BB10:BC10,B$263)+COUNTIF('8月'!BG10:BH10,B$263)+COUNTIF('8月'!BL10:BM10,B$263)+COUNTIF('8月'!BQ10:BR10,B$263)+COUNTIF('8月'!BV10:BW10,B$263)+COUNTIF('8月'!CA10:CB10,B$263)+COUNTIF('8月'!CF10:CG10,B$263)+COUNTIF('8月'!CK10:CL10,B$263)+COUNTIF('8月'!CP10:CQ10,B$263)+COUNTIF('8月'!CU10:CV10,B$263)+COUNTIF('8月'!CZ10:DA10,B$263)+COUNTIF('8月'!DE10:DF10,B$263)+COUNTIF('8月'!DJ10:DK10,B$263)+COUNTIF('8月'!DO10:DP10,B$263)+COUNTIF('8月'!DT10:DU10,B$263)+COUNTIF('8月'!DY10:DZ10,B$263)+COUNTIF('8月'!ED10:EE10,B$263)+COUNTIF('8月'!EI10:EJ10,B$263)+COUNTIF('8月'!EN10:EO10,B$263)+COUNTIF('8月'!ES10:ET10,B$263)</f>
        <v>0</v>
      </c>
      <c r="C271" s="76">
        <f t="shared" si="84"/>
        <v>0</v>
      </c>
      <c r="D271" s="76">
        <f>COUNTIF('8月'!D10:E10,D$263)+COUNTIF('8月'!I10:J10,D$263)+COUNTIF('8月'!N10:O10,D$263)+COUNTIF('8月'!S10:T10,D$263)+COUNTIF('8月'!X10:Y10,D$263)+COUNTIF('8月'!AC10:AD10,D$263)+COUNTIF('8月'!AH10:AI10,D$263)+COUNTIF('8月'!AM10:AN10,D$263)+COUNTIF('8月'!AR10:AS10,D$263)+COUNTIF('8月'!AW10:AX10,D$263)+COUNTIF('8月'!BB10:BC10,D$263)+COUNTIF('8月'!BG10:BH10,D$263)+COUNTIF('8月'!BL10:BM10,D$263)+COUNTIF('8月'!BQ10:BR10,D$263)+COUNTIF('8月'!BV10:BW10,D$263)+COUNTIF('8月'!CA10:CB10,D$263)+COUNTIF('8月'!CF10:CG10,D$263)+COUNTIF('8月'!CK10:CL10,D$263)+COUNTIF('8月'!CP10:CQ10,D$263)+COUNTIF('8月'!CU10:CV10,D$263)+COUNTIF('8月'!CZ10:DA10,D$263)+COUNTIF('8月'!DE10:DF10,D$263)+COUNTIF('8月'!DJ10:DK10,D$263)+COUNTIF('8月'!DO10:DP10,D$263)+COUNTIF('8月'!DT10:DU10,D$263)+COUNTIF('8月'!DY10:DZ10,D$263)+COUNTIF('8月'!ED10:EE10,D$263)+COUNTIF('8月'!EI10:EJ10,D$263)+COUNTIF('8月'!EN10:EO10,D$263)+COUNTIF('8月'!ES10:ET10,D$263)</f>
        <v>0</v>
      </c>
      <c r="E271" s="76">
        <f t="shared" si="85"/>
        <v>0</v>
      </c>
      <c r="F271" s="76">
        <f>COUNTIF('8月'!D10:E10,F$263)+COUNTIF('8月'!I10:J10,F$263)+COUNTIF('8月'!N10:O10,F$263)+COUNTIF('8月'!S10:T10,F$263)+COUNTIF('8月'!X10:Y10,F$263)+COUNTIF('8月'!AC10:AD10,F$263)+COUNTIF('8月'!AH10:AI10,F$263)+COUNTIF('8月'!AM10:AN10,F$263)+COUNTIF('8月'!AR10:AS10,F$263)+COUNTIF('8月'!AW10:AX10,F$263)+COUNTIF('8月'!BB10:BC10,F$263)+COUNTIF('8月'!BG10:BH10,F$263)+COUNTIF('8月'!BL10:BM10,F$263)+COUNTIF('8月'!BQ10:BR10,F$263)+COUNTIF('8月'!BV10:BW10,F$263)+COUNTIF('8月'!CA10:CB10,F$263)+COUNTIF('8月'!CF10:CG10,F$263)+COUNTIF('8月'!CK10:CL10,F$263)+COUNTIF('8月'!CP10:CQ10,F$263)+COUNTIF('8月'!CU10:CV10,F$263)+COUNTIF('8月'!CZ10:DA10,F$263)+COUNTIF('8月'!DE10:DF10,F$263)+COUNTIF('8月'!DJ10:DK10,F$263)+COUNTIF('8月'!DO10:DP10,F$263)+COUNTIF('8月'!DT10:DU10,F$263)+COUNTIF('8月'!DY10:DZ10,F$263)+COUNTIF('8月'!ED10:EE10,F$263)+COUNTIF('8月'!EI10:EJ10,F$263)+COUNTIF('8月'!EN10:EO10,F$263)+COUNTIF('8月'!ES10:ET10,F$263)</f>
        <v>0</v>
      </c>
      <c r="G271" s="76">
        <f t="shared" si="86"/>
        <v>0</v>
      </c>
      <c r="H271" s="76">
        <f>COUNTIF('8月'!D10:E10,H$263)+COUNTIF('8月'!I10:J10,H$263)+COUNTIF('8月'!N10:O10,H$263)+COUNTIF('8月'!S10:T10,H$263)+COUNTIF('8月'!X10:Y10,H$263)+COUNTIF('8月'!AC10:AD10,H$263)+COUNTIF('8月'!AH10:AI10,H$263)+COUNTIF('8月'!AM10:AN10,H$263)+COUNTIF('8月'!AR10:AS10,H$263)+COUNTIF('8月'!AW10:AX10,H$263)+COUNTIF('8月'!BB10:BC10,H$263)+COUNTIF('8月'!BG10:BH10,H$263)+COUNTIF('8月'!BL10:BM10,H$263)+COUNTIF('8月'!BQ10:BR10,H$263)+COUNTIF('8月'!BV10:BW10,H$263)+COUNTIF('8月'!CA10:CB10,H$263)+COUNTIF('8月'!CF10:CG10,H$263)+COUNTIF('8月'!CK10:CL10,H$263)+COUNTIF('8月'!CP10:CQ10,H$263)+COUNTIF('8月'!CU10:CV10,H$263)+COUNTIF('8月'!CZ10:DA10,H$263)+COUNTIF('8月'!DE10:DF10,H$263)+COUNTIF('8月'!DJ10:DK10,H$263)+COUNTIF('8月'!DO10:DP10,H$263)+COUNTIF('8月'!DT10:DU10,H$263)+COUNTIF('8月'!DY10:DZ10,H$263)+COUNTIF('8月'!ED10:EE10,H$263)+COUNTIF('8月'!EI10:EJ10,H$263)+COUNTIF('8月'!EN10:EO10,H$263)+COUNTIF('8月'!ES10:ET10,H$263)+COUNTIF('8月'!D10:E10,"渋谷-夜勤")+COUNTIF('8月'!I10:J10,"渋谷-夜勤")+COUNTIF('8月'!N10:O10,"渋谷-夜勤")+COUNTIF('8月'!S10:T10,"渋谷-夜勤")+COUNTIF('8月'!X10:Y10,"渋谷-夜勤")+COUNTIF('8月'!AC10:AD10,"渋谷-夜勤")+COUNTIF('8月'!AH10:AI10,"渋谷-夜勤")+COUNTIF('8月'!AM10:AN10,"渋谷-夜勤")+COUNTIF('8月'!AR10:AS10,"渋谷-夜勤")+COUNTIF('8月'!AW10:AX10,"渋谷-夜勤")+COUNTIF('8月'!BB10:BC10,"渋谷-夜勤")+COUNTIF('8月'!BG10:BH10,"渋谷-夜勤")+COUNTIF('8月'!BL10:BM10,"渋谷-夜勤")+COUNTIF('8月'!BQ10:BR10,"渋谷-夜勤")+COUNTIF('8月'!BV10:BW10,"渋谷-夜勤")+COUNTIF('8月'!CA10:CB10,"渋谷-夜勤")+COUNTIF('8月'!CF10:CG10,"渋谷-夜勤")+COUNTIF('8月'!CK10:CL10,"渋谷-夜勤")+COUNTIF('8月'!CP10:CQ10,"渋谷-夜勤")+COUNTIF('8月'!CU10:CV10,"渋谷-夜勤")+COUNTIF('8月'!CZ10:DA10,"渋谷-夜勤")+COUNTIF('8月'!DE10:DF10,"渋谷-夜勤")+COUNTIF('8月'!DJ10:DK10,"渋谷-夜勤")+COUNTIF('8月'!DO10:DP10,"渋谷-夜勤")+COUNTIF('8月'!DT10:DU10,"渋谷-夜勤")+COUNTIF('8月'!DY10:DZ10,"渋谷-夜勤")+COUNTIF('8月'!ED10:EE10,"渋谷-夜勤")+COUNTIF('8月'!EI10:EJ10,"渋谷-夜勤")+COUNTIF('8月'!EN10:EO10,"渋谷-夜勤")+COUNTIF('8月'!ES10:ET10,"渋谷-夜勤")</f>
        <v>0</v>
      </c>
      <c r="I271" s="76">
        <f t="shared" si="87"/>
        <v>0</v>
      </c>
      <c r="J271" s="76">
        <f>COUNTIF('8月'!D10:E10,J$263)+COUNTIF('8月'!I10:J10,J$263)+COUNTIF('8月'!N10:O10,J$263)+COUNTIF('8月'!S10:T10,J$263)+COUNTIF('8月'!X10:Y10,J$263)+COUNTIF('8月'!AC10:AD10,J$263)+COUNTIF('8月'!AH10:AI10,J$263)+COUNTIF('8月'!AM10:AN10,J$263)+COUNTIF('8月'!AR10:AS10,J$263)+COUNTIF('8月'!AW10:AX10,J$263)+COUNTIF('8月'!BB10:BC10,J$263)+COUNTIF('8月'!BG10:BH10,J$263)+COUNTIF('8月'!BL10:BM10,J$263)+COUNTIF('8月'!BQ10:BR10,J$263)+COUNTIF('8月'!BV10:BW10,J$263)+COUNTIF('8月'!CA10:CB10,J$263)+COUNTIF('8月'!CF10:CG10,J$263)+COUNTIF('8月'!CK10:CL10,J$263)+COUNTIF('8月'!CP10:CQ10,J$263)+COUNTIF('8月'!CU10:CV10,J$263)+COUNTIF('8月'!CZ10:DA10,J$263)+COUNTIF('8月'!DE10:DF10,J$263)+COUNTIF('8月'!DJ10:DK10,J$263)+COUNTIF('8月'!DO10:DP10,J$263)+COUNTIF('8月'!DT10:DU10,J$263)+COUNTIF('8月'!DY10:DZ10,J$263)+COUNTIF('8月'!ED10:EE10,J$263)+COUNTIF('8月'!EI10:EJ10,J$263)+COUNTIF('8月'!EN10:EO10,J$263)+COUNTIF('8月'!ES10:ET10,J$263)+COUNTIF('8月'!D10:E10,"六本木-夜勤")+COUNTIF('8月'!I10:J10,"六本木-夜勤")+COUNTIF('8月'!N10:O10,"六本木-夜勤")+COUNTIF('8月'!S10:T10,"六本木-夜勤")+COUNTIF('8月'!X10:Y10,"六本木-夜勤")+COUNTIF('8月'!AC10:AD10,"六本木-夜勤")+COUNTIF('8月'!AH10:AI10,"六本木-夜勤")+COUNTIF('8月'!AM10:AN10,"六本木-夜勤")+COUNTIF('8月'!AR10:AS10,"六本木-夜勤")+COUNTIF('8月'!AW10:AX10,"六本木-夜勤")+COUNTIF('8月'!BB10:BC10,"六本木-夜勤")+COUNTIF('8月'!BG10:BH10,"六本木-夜勤")+COUNTIF('8月'!BL10:BM10,"六本木-夜勤")+COUNTIF('8月'!BQ10:BR10,"六本木-夜勤")+COUNTIF('8月'!BV10:BW10,"六本木-夜勤")+COUNTIF('8月'!CA10:CB10,"六本木-夜勤")+COUNTIF('8月'!CF10:CG10,"六本木-夜勤")+COUNTIF('8月'!CK10:CL10,"六本木-夜勤")+COUNTIF('8月'!CP10:CQ10,"六本木-夜勤")+COUNTIF('8月'!CU10:CV10,"六本木-夜勤")+COUNTIF('8月'!CZ10:DA10,"六本木-夜勤")+COUNTIF('8月'!DE10:DF10,"六本木-夜勤")+COUNTIF('8月'!DJ10:DK10,"六本木-夜勤")+COUNTIF('8月'!DO10:DP10,"六本木-夜勤")+COUNTIF('8月'!DT10:DU10,"六本木-夜勤")+COUNTIF('8月'!DY10:DZ10,"六本木-夜勤")+COUNTIF('8月'!ED10:EE10,"六本木-夜勤")+COUNTIF('8月'!EI10:EJ10,"六本木-夜勤")+COUNTIF('8月'!EN10:EO10,"六本木-夜勤")+COUNTIF('8月'!ES10:ET10,"六本木-夜勤")+COUNTIF('8月'!D10:E10,"六本木ー夜勤")+COUNTIF('8月'!I10:J10,"六本木ー夜勤")+COUNTIF('8月'!N10:O10,"六本木ー夜勤")+COUNTIF('8月'!S10:T10,"六本木ー夜勤")+COUNTIF('8月'!X10:Y10,"六本木ー夜勤")+COUNTIF('8月'!AC10:AD10,"六本木ー夜勤")+COUNTIF('8月'!AH10:AI10,"六本木ー夜勤")+COUNTIF('8月'!AM10:AN10,"六本木ー夜勤")+COUNTIF('8月'!AR10:AS10,"六本木ー夜勤")+COUNTIF('8月'!AW10:AX10,"六本木ー夜勤")+COUNTIF('8月'!BB10:BC10,"六本木ー夜勤")+COUNTIF('8月'!BG10:BH10,"六本木ー夜勤")+COUNTIF('8月'!BL10:BM10,"六本木ー夜勤")+COUNTIF('8月'!BQ10:BR10,"六本木ー夜勤")+COUNTIF('8月'!BV10:BW10,"六本木ー夜勤")+COUNTIF('8月'!CA10:CB10,"六本木ー夜勤")+COUNTIF('8月'!CF10:CG10,"六本木ー夜勤")+COUNTIF('8月'!CK10:CL10,"六本木ー夜勤")+COUNTIF('8月'!CP10:CQ10,"六本木ー夜勤")+COUNTIF('8月'!CU10:CV10,"六本木ー夜勤")+COUNTIF('8月'!CZ10:DA10,"六本木ー夜勤")+COUNTIF('8月'!DE10:DF10,"六本木ー夜勤")+COUNTIF('8月'!DJ10:DK10,"六本木ー夜勤")+COUNTIF('8月'!DO10:DP10,"六本木ー夜勤")+COUNTIF('8月'!DT10:DU10,"六本木ー夜勤")+COUNTIF('8月'!DY10:DZ10,"六本木ー夜勤")+COUNTIF('8月'!ED10:EE10,"六本木ー夜勤")+COUNTIF('8月'!EI10:EJ10,"六本木ー夜勤")+COUNTIF('8月'!EN10:EO10,"六本木ー夜勤")+COUNTIF('8月'!ES10:ET10,"六本木ー夜勤")</f>
        <v>0</v>
      </c>
      <c r="K271" s="76">
        <f t="shared" si="88"/>
        <v>0</v>
      </c>
      <c r="L271" s="76">
        <f>COUNTIF('8月'!D10:E10,L$263)+COUNTIF('8月'!I10:J10,L$263)+COUNTIF('8月'!N10:O10,L$263)+COUNTIF('8月'!S10:T10,L$263)+COUNTIF('8月'!X10:Y10,L$263)+COUNTIF('8月'!AC10:AD10,L$263)+COUNTIF('8月'!AH10:AI10,L$263)+COUNTIF('8月'!AM10:AN10,L$263)+COUNTIF('8月'!AR10:AS10,L$263)+COUNTIF('8月'!AW10:AX10,L$263)+COUNTIF('8月'!BB10:BC10,L$263)+COUNTIF('8月'!BG10:BH10,L$263)+COUNTIF('8月'!BL10:BM10,L$263)+COUNTIF('8月'!BQ10:BR10,L$263)+COUNTIF('8月'!BV10:BW10,L$263)+COUNTIF('8月'!CA10:CB10,L$263)+COUNTIF('8月'!CF10:CG10,L$263)+COUNTIF('8月'!CK10:CL10,L$263)+COUNTIF('8月'!CP10:CQ10,L$263)+COUNTIF('8月'!CU10:CV10,L$263)+COUNTIF('8月'!CZ10:DA10,L$263)+COUNTIF('8月'!DE10:DF10,L$263)+COUNTIF('8月'!DJ10:DK10,L$263)+COUNTIF('8月'!DO10:DP10,L$263)+COUNTIF('8月'!DT10:DU10,L$263)+COUNTIF('8月'!DY10:DZ10,L$263)+COUNTIF('8月'!ED10:EE10,L$263)+COUNTIF('8月'!EI10:EJ10,L$263)+COUNTIF('8月'!EN10:EO10,L$263)+COUNTIF('8月'!ES10:ET10,L$263)</f>
        <v>0</v>
      </c>
      <c r="M271" s="76">
        <f t="shared" si="89"/>
        <v>0</v>
      </c>
      <c r="N271" s="76">
        <f>COUNTIF('8月'!D10:E10,N$263)+COUNTIF('8月'!I10:J10,N$263)+COUNTIF('8月'!N10:O10,N$263)+COUNTIF('8月'!S10:T10,N$263)+COUNTIF('8月'!X10:Y10,N$263)+COUNTIF('8月'!AC10:AD10,N$263)+COUNTIF('8月'!AH10:AI10,N$263)+COUNTIF('8月'!AM10:AN10,N$263)+COUNTIF('8月'!AR10:AS10,N$263)+COUNTIF('8月'!AW10:AX10,N$263)+COUNTIF('8月'!BB10:BC10,N$263)+COUNTIF('8月'!BG10:BH10,N$263)+COUNTIF('8月'!BL10:BM10,N$263)+COUNTIF('8月'!BQ10:BR10,N$263)+COUNTIF('8月'!BV10:BW10,N$263)+COUNTIF('8月'!CA10:CB10,N$263)+COUNTIF('8月'!CF10:CG10,N$263)+COUNTIF('8月'!CK10:CL10,N$263)+COUNTIF('8月'!CP10:CQ10,N$263)+COUNTIF('8月'!CU10:CV10,N$263)+COUNTIF('8月'!CZ10:DA10,N$263)+COUNTIF('8月'!DE10:DF10,N$263)+COUNTIF('8月'!DJ10:DK10,N$263)+COUNTIF('8月'!DO10:DP10,N$263)+COUNTIF('8月'!DT10:DU10,N$263)+COUNTIF('8月'!DY10:DZ10,N$263)+COUNTIF('8月'!ED10:EE10,N$263)+COUNTIF('8月'!EI10:EJ10,N$263)+COUNTIF('8月'!EN10:EO10,N$263)+COUNTIF('8月'!ES10:ET10,N$263)+COUNTIF('8月'!D10:E10,"三軒茶屋－夜勤")+COUNTIF('8月'!I10:J10,"三軒茶屋－夜勤")+COUNTIF('8月'!N10:O10,"三軒茶屋－夜勤")+COUNTIF('8月'!S10:T10,"三軒茶屋－夜勤")+COUNTIF('8月'!X10:Y10,"三軒茶屋－夜勤")+COUNTIF('8月'!AC10:AD10,"三軒茶屋－夜勤")+COUNTIF('8月'!AH10:AI10,"三軒茶屋－夜勤")+COUNTIF('8月'!AM10:AN10,"三軒茶屋－夜勤")+COUNTIF('8月'!AR10:AS10,"三軒茶屋－夜勤")+COUNTIF('8月'!AW10:AX10,"三軒茶屋－夜勤")+COUNTIF('8月'!BB10:BC10,"三軒茶屋－夜勤")+COUNTIF('8月'!BG10:BH10,"三軒茶屋－夜勤")+COUNTIF('8月'!BL10:BM10,"三軒茶屋－夜勤")+COUNTIF('8月'!BQ10:BR10,"三軒茶屋－夜勤")+COUNTIF('8月'!BV10:BW10,"三軒茶屋－夜勤")+COUNTIF('8月'!CA10:CB10,"三軒茶屋－夜勤")+COUNTIF('8月'!CF10:CG10,"三軒茶屋－夜勤")+COUNTIF('8月'!CK10:CL10,"三軒茶屋－夜勤")+COUNTIF('8月'!CP10:CQ10,"三軒茶屋－夜勤")+COUNTIF('8月'!CU10:CV10,"三軒茶屋－夜勤")+COUNTIF('8月'!CZ10:DA10,"三軒茶屋－夜勤")+COUNTIF('8月'!DE10:DF10,"三軒茶屋－夜勤")+COUNTIF('8月'!DJ10:DK10,"三軒茶屋－夜勤")+COUNTIF('8月'!DO10:DP10,"三軒茶屋－夜勤")+COUNTIF('8月'!DT10:DU10,"三軒茶屋－夜勤")+COUNTIF('8月'!DY10:DZ10,"三軒茶屋－夜勤")+COUNTIF('8月'!ED10:EE10,"三軒茶屋－夜勤")+COUNTIF('8月'!EI10:EJ10,"三軒茶屋－夜勤")+COUNTIF('8月'!EN10:EO10,"三軒茶屋－夜勤")+COUNTIF('8月'!ES10:ET10,"三軒茶屋－夜勤")</f>
        <v>0</v>
      </c>
      <c r="O271" s="76">
        <f t="shared" si="90"/>
        <v>0</v>
      </c>
      <c r="P271" s="76">
        <f>COUNTIF('8月'!D10:E10,P$263)+COUNTIF('8月'!I10:J10,P$263)+COUNTIF('8月'!N10:O10,P$263)+COUNTIF('8月'!S10:T10,P$263)+COUNTIF('8月'!X10:Y10,P$263)+COUNTIF('8月'!AC10:AD10,P$263)+COUNTIF('8月'!AH10:AI10,P$263)+COUNTIF('8月'!AM10:AN10,P$263)+COUNTIF('8月'!AR10:AS10,P$263)+COUNTIF('8月'!AW10:AX10,P$263)+COUNTIF('8月'!BB10:BC10,P$263)+COUNTIF('8月'!BG10:BH10,P$263)+COUNTIF('8月'!BL10:BM10,P$263)+COUNTIF('8月'!BQ10:BR10,P$263)+COUNTIF('8月'!BV10:BW10,P$263)+COUNTIF('8月'!CA10:CB10,P$263)+COUNTIF('8月'!CF10:CG10,P$263)+COUNTIF('8月'!CK10:CL10,P$263)+COUNTIF('8月'!CP10:CQ10,P$263)+COUNTIF('8月'!CU10:CV10,P$263)+COUNTIF('8月'!CZ10:DA10,P$263)+COUNTIF('8月'!DE10:DF10,P$263)+COUNTIF('8月'!DJ10:DK10,P$263)+COUNTIF('8月'!DO10:DP10,P$263)+COUNTIF('8月'!DT10:DU10,P$263)+COUNTIF('8月'!DY10:DZ10,P$263)+COUNTIF('8月'!ED10:EE10,P$263)+COUNTIF('8月'!EI10:EJ10,P$263)+COUNTIF('8月'!EN10:EO10,P$263)+COUNTIF('8月'!ES10:ET10,P$263)+COUNTIF('8月'!D10:E10,"荻窪ー夜勤")+COUNTIF('8月'!I10:J10,"荻窪ー夜勤")+COUNTIF('8月'!N10:O10,"荻窪ー夜勤")+COUNTIF('8月'!S10:T10,"荻窪ー夜勤")+COUNTIF('8月'!X10:Y10,"荻窪ー夜勤")+COUNTIF('8月'!AC10:AD10,"荻窪ー夜勤")+COUNTIF('8月'!AH10:AI10,"荻窪ー夜勤")+COUNTIF('8月'!AM10:AN10,"荻窪ー夜勤")+COUNTIF('8月'!AR10:AS10,"荻窪ー夜勤")+COUNTIF('8月'!AW10:AX10,"荻窪ー夜勤")+COUNTIF('8月'!BB10:BC10,"荻窪ー夜勤")+COUNTIF('8月'!BG10:BH10,"荻窪ー夜勤")+COUNTIF('8月'!BL10:BM10,"荻窪ー夜勤")+COUNTIF('8月'!BQ10:BR10,"荻窪ー夜勤")+COUNTIF('8月'!BV10:BW10,"荻窪ー夜勤")+COUNTIF('8月'!CA10:CB10,"荻窪ー夜勤")+COUNTIF('8月'!CF10:CG10,"荻窪ー夜勤")+COUNTIF('8月'!CK10:CL10,"荻窪ー夜勤")+COUNTIF('8月'!CP10:CQ10,"荻窪ー夜勤")+COUNTIF('8月'!CU10:CV10,"荻窪ー夜勤")+COUNTIF('8月'!CZ10:DA10,"荻窪ー夜勤")+COUNTIF('8月'!DE10:DF10,"荻窪ー夜勤")+COUNTIF('8月'!DJ10:DK10,"荻窪ー夜勤")+COUNTIF('8月'!DO10:DP10,"荻窪ー夜勤")+COUNTIF('8月'!DT10:DU10,"荻窪ー夜勤")+COUNTIF('8月'!DY10:DZ10,"荻窪ー夜勤")+COUNTIF('8月'!ED10:EE10,"荻窪ー夜勤")+COUNTIF('8月'!EI10:EJ10,"荻窪ー夜勤")+COUNTIF('8月'!EN10:EO10,"荻窪ー夜勤")+COUNTIF('8月'!ES10:ET10,"荻窪ー夜勤")</f>
        <v>0</v>
      </c>
      <c r="Q271" s="76">
        <f t="shared" si="91"/>
        <v>0</v>
      </c>
      <c r="R271" s="76">
        <f>COUNTIF('8月'!D10:E10,R$263)+COUNTIF('8月'!I10:J10,R$263)+COUNTIF('8月'!N10:O10,R$263)+COUNTIF('8月'!S10:T10,R$263)+COUNTIF('8月'!X10:Y10,R$263)+COUNTIF('8月'!AC10:AD10,R$263)+COUNTIF('8月'!AH10:AI10,R$263)+COUNTIF('8月'!AM10:AN10,R$263)+COUNTIF('8月'!AR10:AS10,R$263)+COUNTIF('8月'!AW10:AX10,R$263)+COUNTIF('8月'!BB10:BC10,R$263)+COUNTIF('8月'!BG10:BH10,R$263)+COUNTIF('8月'!BL10:BM10,R$263)+COUNTIF('8月'!BQ10:BR10,R$263)+COUNTIF('8月'!BV10:BW10,R$263)+COUNTIF('8月'!CA10:CB10,R$263)+COUNTIF('8月'!CF10:CG10,R$263)+COUNTIF('8月'!CK10:CL10,R$263)+COUNTIF('8月'!CP10:CQ10,R$263)+COUNTIF('8月'!CU10:CV10,R$263)+COUNTIF('8月'!CZ10:DA10,R$263)+COUNTIF('8月'!DE10:DF10,R$263)+COUNTIF('8月'!DJ10:DK10,R$263)+COUNTIF('8月'!DO10:DP10,R$263)+COUNTIF('8月'!DT10:DU10,R$263)+COUNTIF('8月'!DY10:DZ10,R$263)+COUNTIF('8月'!ED10:EE10,R$263)+COUNTIF('8月'!EI10:EJ10,R$263)+COUNTIF('8月'!EN10:EO10,R$263)+COUNTIF('8月'!ES10:ET10,R$263)</f>
        <v>0</v>
      </c>
      <c r="S271" s="76">
        <f t="shared" si="92"/>
        <v>0</v>
      </c>
      <c r="T271" s="76">
        <f>COUNTIF('8月'!D10:E10,T$263)+COUNTIF('8月'!I10:J10,T$263)+COUNTIF('8月'!N10:O10,T$263)+COUNTIF('8月'!S10:T10,T$263)+COUNTIF('8月'!X10:Y10,T$263)+COUNTIF('8月'!AC10:AD10,T$263)+COUNTIF('8月'!AH10:AI10,T$263)+COUNTIF('8月'!AM10:AN10,T$263)+COUNTIF('8月'!AR10:AS10,T$263)+COUNTIF('8月'!AW10:AX10,T$263)+COUNTIF('8月'!BB10:BC10,T$263)+COUNTIF('8月'!BG10:BH10,T$263)+COUNTIF('8月'!BL10:BM10,T$263)+COUNTIF('8月'!BQ10:BR10,T$263)+COUNTIF('8月'!BV10:BW10,T$263)+COUNTIF('8月'!CA10:CB10,T$263)+COUNTIF('8月'!CF10:CG10,T$263)+COUNTIF('8月'!CK10:CL10,T$263)+COUNTIF('8月'!CP10:CQ10,T$263)+COUNTIF('8月'!CU10:CV10,T$263)+COUNTIF('8月'!CZ10:DA10,T$263)+COUNTIF('8月'!DE10:DF10,T$263)+COUNTIF('8月'!DJ10:DK10,T$263)+COUNTIF('8月'!DO10:DP10,T$263)+COUNTIF('8月'!DT10:DU10,T$263)+COUNTIF('8月'!DY10:DZ10,T$263)+COUNTIF('8月'!ED10:EE10,T$263)+COUNTIF('8月'!EI10:EJ10,T$263)+COUNTIF('8月'!EN10:EO10,T$263)+COUNTIF('8月'!ES10:ET10,T$263)</f>
        <v>0</v>
      </c>
      <c r="U271" s="76">
        <f t="shared" si="93"/>
        <v>0</v>
      </c>
      <c r="V271" s="76">
        <f>COUNTIF('8月'!D10:E10,V$263)+COUNTIF('8月'!I10:J10,V$263)+COUNTIF('8月'!N10:O10,V$263)+COUNTIF('8月'!S10:T10,V$263)+COUNTIF('8月'!X10:Y10,V$263)+COUNTIF('8月'!AC10:AD10,V$263)+COUNTIF('8月'!AH10:AI10,V$263)+COUNTIF('8月'!AM10:AN10,V$263)+COUNTIF('8月'!AR10:AS10,V$263)+COUNTIF('8月'!AW10:AX10,V$263)+COUNTIF('8月'!BB10:BC10,V$263)+COUNTIF('8月'!BG10:BH10,V$263)+COUNTIF('8月'!BL10:BM10,V$263)+COUNTIF('8月'!BQ10:BR10,V$263)+COUNTIF('8月'!BV10:BW10,V$263)+COUNTIF('8月'!CA10:CB10,V$263)+COUNTIF('8月'!CF10:CG10,V$263)+COUNTIF('8月'!CK10:CL10,V$263)+COUNTIF('8月'!CP10:CQ10,V$263)+COUNTIF('8月'!CU10:CV10,V$263)+COUNTIF('8月'!CZ10:DA10,V$263)+COUNTIF('8月'!DE10:DF10,V$263)+COUNTIF('8月'!DJ10:DK10,V$263)+COUNTIF('8月'!DO10:DP10,V$263)+COUNTIF('8月'!DT10:DU10,V$263)+COUNTIF('8月'!DY10:DZ10,V$263)+COUNTIF('8月'!ED10:EE10,V$263)+COUNTIF('8月'!EI10:EJ10,V$263)+COUNTIF('8月'!EN10:EO10,V$263)+COUNTIF('8月'!ES10:ET10,V$263)</f>
        <v>0</v>
      </c>
      <c r="W271" s="76">
        <f t="shared" si="94"/>
        <v>0</v>
      </c>
      <c r="X271" s="76">
        <f>COUNTIF('8月'!D10:E10,X$263)+COUNTIF('8月'!I10:J10,X$263)+COUNTIF('8月'!N10:O10,X$263)+COUNTIF('8月'!S10:T10,X$263)+COUNTIF('8月'!X10:Y10,X$263)+COUNTIF('8月'!AC10:AD10,X$263)+COUNTIF('8月'!AH10:AI10,X$263)+COUNTIF('8月'!AM10:AN10,X$263)+COUNTIF('8月'!AR10:AS10,X$263)+COUNTIF('8月'!AW10:AX10,X$263)+COUNTIF('8月'!BB10:BC10,X$263)+COUNTIF('8月'!BG10:BH10,X$263)+COUNTIF('8月'!BL10:BM10,X$263)+COUNTIF('8月'!BQ10:BR10,X$263)+COUNTIF('8月'!BV10:BW10,X$263)+COUNTIF('8月'!CA10:CB10,X$263)+COUNTIF('8月'!CF10:CG10,X$263)+COUNTIF('8月'!CK10:CL10,X$263)+COUNTIF('8月'!CP10:CQ10,X$263)+COUNTIF('8月'!CU10:CV10,X$263)+COUNTIF('8月'!CZ10:DA10,X$263)+COUNTIF('8月'!DE10:DF10,X$263)+COUNTIF('8月'!DJ10:DK10,X$263)+COUNTIF('8月'!DO10:DP10,X$263)+COUNTIF('8月'!DT10:DU10,X$263)+COUNTIF('8月'!DY10:DZ10,X$263)+COUNTIF('8月'!ED10:EE10,X$263)+COUNTIF('8月'!EI10:EJ10,X$263)+COUNTIF('8月'!EN10:EO10,X$263)+COUNTIF('8月'!ES10:ET10,X$263)</f>
        <v>0</v>
      </c>
      <c r="Y271" s="76">
        <f t="shared" si="95"/>
        <v>0</v>
      </c>
    </row>
    <row r="272" spans="1:25" ht="18" customHeight="1">
      <c r="A272" s="76">
        <v>8</v>
      </c>
      <c r="B272" s="76">
        <f>COUNTIF('8月'!D11:E11,B$263)+COUNTIF('8月'!I11:J11,B$263)+COUNTIF('8月'!N11:O11,B$263)+COUNTIF('8月'!S11:T11,B$263)+COUNTIF('8月'!X11:Y11,B$263)+COUNTIF('8月'!AC11:AD11,B$263)+COUNTIF('8月'!AH11:AI11,B$263)+COUNTIF('8月'!AM11:AN11,B$263)+COUNTIF('8月'!AR11:AS11,B$263)+COUNTIF('8月'!AW11:AX11,B$263)+COUNTIF('8月'!BB11:BC11,B$263)+COUNTIF('8月'!BG11:BH11,B$263)+COUNTIF('8月'!BL11:BM11,B$263)+COUNTIF('8月'!BQ11:BR11,B$263)+COUNTIF('8月'!BV11:BW11,B$263)+COUNTIF('8月'!CA11:CB11,B$263)+COUNTIF('8月'!CF11:CG11,B$263)+COUNTIF('8月'!CK11:CL11,B$263)+COUNTIF('8月'!CP11:CQ11,B$263)+COUNTIF('8月'!CU11:CV11,B$263)+COUNTIF('8月'!CZ11:DA11,B$263)+COUNTIF('8月'!DE11:DF11,B$263)+COUNTIF('8月'!DJ11:DK11,B$263)+COUNTIF('8月'!DO11:DP11,B$263)+COUNTIF('8月'!DT11:DU11,B$263)+COUNTIF('8月'!DY11:DZ11,B$263)+COUNTIF('8月'!ED11:EE11,B$263)+COUNTIF('8月'!EI11:EJ11,B$263)+COUNTIF('8月'!EN11:EO11,B$263)+COUNTIF('8月'!ES11:ET11,B$263)</f>
        <v>0</v>
      </c>
      <c r="C272" s="76">
        <f t="shared" si="84"/>
        <v>0</v>
      </c>
      <c r="D272" s="76">
        <f>COUNTIF('8月'!D11:E11,D$263)+COUNTIF('8月'!I11:J11,D$263)+COUNTIF('8月'!N11:O11,D$263)+COUNTIF('8月'!S11:T11,D$263)+COUNTIF('8月'!X11:Y11,D$263)+COUNTIF('8月'!AC11:AD11,D$263)+COUNTIF('8月'!AH11:AI11,D$263)+COUNTIF('8月'!AM11:AN11,D$263)+COUNTIF('8月'!AR11:AS11,D$263)+COUNTIF('8月'!AW11:AX11,D$263)+COUNTIF('8月'!BB11:BC11,D$263)+COUNTIF('8月'!BG11:BH11,D$263)+COUNTIF('8月'!BL11:BM11,D$263)+COUNTIF('8月'!BQ11:BR11,D$263)+COUNTIF('8月'!BV11:BW11,D$263)+COUNTIF('8月'!CA11:CB11,D$263)+COUNTIF('8月'!CF11:CG11,D$263)+COUNTIF('8月'!CK11:CL11,D$263)+COUNTIF('8月'!CP11:CQ11,D$263)+COUNTIF('8月'!CU11:CV11,D$263)+COUNTIF('8月'!CZ11:DA11,D$263)+COUNTIF('8月'!DE11:DF11,D$263)+COUNTIF('8月'!DJ11:DK11,D$263)+COUNTIF('8月'!DO11:DP11,D$263)+COUNTIF('8月'!DT11:DU11,D$263)+COUNTIF('8月'!DY11:DZ11,D$263)+COUNTIF('8月'!ED11:EE11,D$263)+COUNTIF('8月'!EI11:EJ11,D$263)+COUNTIF('8月'!EN11:EO11,D$263)+COUNTIF('8月'!ES11:ET11,D$263)</f>
        <v>0</v>
      </c>
      <c r="E272" s="76">
        <f t="shared" si="85"/>
        <v>0</v>
      </c>
      <c r="F272" s="76">
        <f>COUNTIF('8月'!D11:E11,F$263)+COUNTIF('8月'!I11:J11,F$263)+COUNTIF('8月'!N11:O11,F$263)+COUNTIF('8月'!S11:T11,F$263)+COUNTIF('8月'!X11:Y11,F$263)+COUNTIF('8月'!AC11:AD11,F$263)+COUNTIF('8月'!AH11:AI11,F$263)+COUNTIF('8月'!AM11:AN11,F$263)+COUNTIF('8月'!AR11:AS11,F$263)+COUNTIF('8月'!AW11:AX11,F$263)+COUNTIF('8月'!BB11:BC11,F$263)+COUNTIF('8月'!BG11:BH11,F$263)+COUNTIF('8月'!BL11:BM11,F$263)+COUNTIF('8月'!BQ11:BR11,F$263)+COUNTIF('8月'!BV11:BW11,F$263)+COUNTIF('8月'!CA11:CB11,F$263)+COUNTIF('8月'!CF11:CG11,F$263)+COUNTIF('8月'!CK11:CL11,F$263)+COUNTIF('8月'!CP11:CQ11,F$263)+COUNTIF('8月'!CU11:CV11,F$263)+COUNTIF('8月'!CZ11:DA11,F$263)+COUNTIF('8月'!DE11:DF11,F$263)+COUNTIF('8月'!DJ11:DK11,F$263)+COUNTIF('8月'!DO11:DP11,F$263)+COUNTIF('8月'!DT11:DU11,F$263)+COUNTIF('8月'!DY11:DZ11,F$263)+COUNTIF('8月'!ED11:EE11,F$263)+COUNTIF('8月'!EI11:EJ11,F$263)+COUNTIF('8月'!EN11:EO11,F$263)+COUNTIF('8月'!ES11:ET11,F$263)</f>
        <v>0</v>
      </c>
      <c r="G272" s="76">
        <f t="shared" si="86"/>
        <v>0</v>
      </c>
      <c r="H272" s="76">
        <f>COUNTIF('8月'!D11:E11,H$263)+COUNTIF('8月'!I11:J11,H$263)+COUNTIF('8月'!N11:O11,H$263)+COUNTIF('8月'!S11:T11,H$263)+COUNTIF('8月'!X11:Y11,H$263)+COUNTIF('8月'!AC11:AD11,H$263)+COUNTIF('8月'!AH11:AI11,H$263)+COUNTIF('8月'!AM11:AN11,H$263)+COUNTIF('8月'!AR11:AS11,H$263)+COUNTIF('8月'!AW11:AX11,H$263)+COUNTIF('8月'!BB11:BC11,H$263)+COUNTIF('8月'!BG11:BH11,H$263)+COUNTIF('8月'!BL11:BM11,H$263)+COUNTIF('8月'!BQ11:BR11,H$263)+COUNTIF('8月'!BV11:BW11,H$263)+COUNTIF('8月'!CA11:CB11,H$263)+COUNTIF('8月'!CF11:CG11,H$263)+COUNTIF('8月'!CK11:CL11,H$263)+COUNTIF('8月'!CP11:CQ11,H$263)+COUNTIF('8月'!CU11:CV11,H$263)+COUNTIF('8月'!CZ11:DA11,H$263)+COUNTIF('8月'!DE11:DF11,H$263)+COUNTIF('8月'!DJ11:DK11,H$263)+COUNTIF('8月'!DO11:DP11,H$263)+COUNTIF('8月'!DT11:DU11,H$263)+COUNTIF('8月'!DY11:DZ11,H$263)+COUNTIF('8月'!ED11:EE11,H$263)+COUNTIF('8月'!EI11:EJ11,H$263)+COUNTIF('8月'!EN11:EO11,H$263)+COUNTIF('8月'!ES11:ET11,H$263)+COUNTIF('8月'!D11:E11,"渋谷-夜勤")+COUNTIF('8月'!I11:J11,"渋谷-夜勤")+COUNTIF('8月'!N11:O11,"渋谷-夜勤")+COUNTIF('8月'!S11:T11,"渋谷-夜勤")+COUNTIF('8月'!X11:Y11,"渋谷-夜勤")+COUNTIF('8月'!AC11:AD11,"渋谷-夜勤")+COUNTIF('8月'!AH11:AI11,"渋谷-夜勤")+COUNTIF('8月'!AM11:AN11,"渋谷-夜勤")+COUNTIF('8月'!AR11:AS11,"渋谷-夜勤")+COUNTIF('8月'!AW11:AX11,"渋谷-夜勤")+COUNTIF('8月'!BB11:BC11,"渋谷-夜勤")+COUNTIF('8月'!BG11:BH11,"渋谷-夜勤")+COUNTIF('8月'!BL11:BM11,"渋谷-夜勤")+COUNTIF('8月'!BQ11:BR11,"渋谷-夜勤")+COUNTIF('8月'!BV11:BW11,"渋谷-夜勤")+COUNTIF('8月'!CA11:CB11,"渋谷-夜勤")+COUNTIF('8月'!CF11:CG11,"渋谷-夜勤")+COUNTIF('8月'!CK11:CL11,"渋谷-夜勤")+COUNTIF('8月'!CP11:CQ11,"渋谷-夜勤")+COUNTIF('8月'!CU11:CV11,"渋谷-夜勤")+COUNTIF('8月'!CZ11:DA11,"渋谷-夜勤")+COUNTIF('8月'!DE11:DF11,"渋谷-夜勤")+COUNTIF('8月'!DJ11:DK11,"渋谷-夜勤")+COUNTIF('8月'!DO11:DP11,"渋谷-夜勤")+COUNTIF('8月'!DT11:DU11,"渋谷-夜勤")+COUNTIF('8月'!DY11:DZ11,"渋谷-夜勤")+COUNTIF('8月'!ED11:EE11,"渋谷-夜勤")+COUNTIF('8月'!EI11:EJ11,"渋谷-夜勤")+COUNTIF('8月'!EN11:EO11,"渋谷-夜勤")+COUNTIF('8月'!ES11:ET11,"渋谷-夜勤")</f>
        <v>0</v>
      </c>
      <c r="I272" s="76">
        <f t="shared" si="87"/>
        <v>0</v>
      </c>
      <c r="J272" s="76">
        <f>COUNTIF('8月'!D11:E11,J$263)+COUNTIF('8月'!I11:J11,J$263)+COUNTIF('8月'!N11:O11,J$263)+COUNTIF('8月'!S11:T11,J$263)+COUNTIF('8月'!X11:Y11,J$263)+COUNTIF('8月'!AC11:AD11,J$263)+COUNTIF('8月'!AH11:AI11,J$263)+COUNTIF('8月'!AM11:AN11,J$263)+COUNTIF('8月'!AR11:AS11,J$263)+COUNTIF('8月'!AW11:AX11,J$263)+COUNTIF('8月'!BB11:BC11,J$263)+COUNTIF('8月'!BG11:BH11,J$263)+COUNTIF('8月'!BL11:BM11,J$263)+COUNTIF('8月'!BQ11:BR11,J$263)+COUNTIF('8月'!BV11:BW11,J$263)+COUNTIF('8月'!CA11:CB11,J$263)+COUNTIF('8月'!CF11:CG11,J$263)+COUNTIF('8月'!CK11:CL11,J$263)+COUNTIF('8月'!CP11:CQ11,J$263)+COUNTIF('8月'!CU11:CV11,J$263)+COUNTIF('8月'!CZ11:DA11,J$263)+COUNTIF('8月'!DE11:DF11,J$263)+COUNTIF('8月'!DJ11:DK11,J$263)+COUNTIF('8月'!DO11:DP11,J$263)+COUNTIF('8月'!DT11:DU11,J$263)+COUNTIF('8月'!DY11:DZ11,J$263)+COUNTIF('8月'!ED11:EE11,J$263)+COUNTIF('8月'!EI11:EJ11,J$263)+COUNTIF('8月'!EN11:EO11,J$263)+COUNTIF('8月'!ES11:ET11,J$263)+COUNTIF('8月'!D11:E11,"六本木-夜勤")+COUNTIF('8月'!I11:J11,"六本木-夜勤")+COUNTIF('8月'!N11:O11,"六本木-夜勤")+COUNTIF('8月'!S11:T11,"六本木-夜勤")+COUNTIF('8月'!X11:Y11,"六本木-夜勤")+COUNTIF('8月'!AC11:AD11,"六本木-夜勤")+COUNTIF('8月'!AH11:AI11,"六本木-夜勤")+COUNTIF('8月'!AM11:AN11,"六本木-夜勤")+COUNTIF('8月'!AR11:AS11,"六本木-夜勤")+COUNTIF('8月'!AW11:AX11,"六本木-夜勤")+COUNTIF('8月'!BB11:BC11,"六本木-夜勤")+COUNTIF('8月'!BG11:BH11,"六本木-夜勤")+COUNTIF('8月'!BL11:BM11,"六本木-夜勤")+COUNTIF('8月'!BQ11:BR11,"六本木-夜勤")+COUNTIF('8月'!BV11:BW11,"六本木-夜勤")+COUNTIF('8月'!CA11:CB11,"六本木-夜勤")+COUNTIF('8月'!CF11:CG11,"六本木-夜勤")+COUNTIF('8月'!CK11:CL11,"六本木-夜勤")+COUNTIF('8月'!CP11:CQ11,"六本木-夜勤")+COUNTIF('8月'!CU11:CV11,"六本木-夜勤")+COUNTIF('8月'!CZ11:DA11,"六本木-夜勤")+COUNTIF('8月'!DE11:DF11,"六本木-夜勤")+COUNTIF('8月'!DJ11:DK11,"六本木-夜勤")+COUNTIF('8月'!DO11:DP11,"六本木-夜勤")+COUNTIF('8月'!DT11:DU11,"六本木-夜勤")+COUNTIF('8月'!DY11:DZ11,"六本木-夜勤")+COUNTIF('8月'!ED11:EE11,"六本木-夜勤")+COUNTIF('8月'!EI11:EJ11,"六本木-夜勤")+COUNTIF('8月'!EN11:EO11,"六本木-夜勤")+COUNTIF('8月'!ES11:ET11,"六本木-夜勤")+COUNTIF('8月'!D11:E11,"六本木ー夜勤")+COUNTIF('8月'!I11:J11,"六本木ー夜勤")+COUNTIF('8月'!N11:O11,"六本木ー夜勤")+COUNTIF('8月'!S11:T11,"六本木ー夜勤")+COUNTIF('8月'!X11:Y11,"六本木ー夜勤")+COUNTIF('8月'!AC11:AD11,"六本木ー夜勤")+COUNTIF('8月'!AH11:AI11,"六本木ー夜勤")+COUNTIF('8月'!AM11:AN11,"六本木ー夜勤")+COUNTIF('8月'!AR11:AS11,"六本木ー夜勤")+COUNTIF('8月'!AW11:AX11,"六本木ー夜勤")+COUNTIF('8月'!BB11:BC11,"六本木ー夜勤")+COUNTIF('8月'!BG11:BH11,"六本木ー夜勤")+COUNTIF('8月'!BL11:BM11,"六本木ー夜勤")+COUNTIF('8月'!BQ11:BR11,"六本木ー夜勤")+COUNTIF('8月'!BV11:BW11,"六本木ー夜勤")+COUNTIF('8月'!CA11:CB11,"六本木ー夜勤")+COUNTIF('8月'!CF11:CG11,"六本木ー夜勤")+COUNTIF('8月'!CK11:CL11,"六本木ー夜勤")+COUNTIF('8月'!CP11:CQ11,"六本木ー夜勤")+COUNTIF('8月'!CU11:CV11,"六本木ー夜勤")+COUNTIF('8月'!CZ11:DA11,"六本木ー夜勤")+COUNTIF('8月'!DE11:DF11,"六本木ー夜勤")+COUNTIF('8月'!DJ11:DK11,"六本木ー夜勤")+COUNTIF('8月'!DO11:DP11,"六本木ー夜勤")+COUNTIF('8月'!DT11:DU11,"六本木ー夜勤")+COUNTIF('8月'!DY11:DZ11,"六本木ー夜勤")+COUNTIF('8月'!ED11:EE11,"六本木ー夜勤")+COUNTIF('8月'!EI11:EJ11,"六本木ー夜勤")+COUNTIF('8月'!EN11:EO11,"六本木ー夜勤")+COUNTIF('8月'!ES11:ET11,"六本木ー夜勤")</f>
        <v>0</v>
      </c>
      <c r="K272" s="76">
        <f t="shared" si="88"/>
        <v>0</v>
      </c>
      <c r="L272" s="76">
        <f>COUNTIF('8月'!D11:E11,L$263)+COUNTIF('8月'!I11:J11,L$263)+COUNTIF('8月'!N11:O11,L$263)+COUNTIF('8月'!S11:T11,L$263)+COUNTIF('8月'!X11:Y11,L$263)+COUNTIF('8月'!AC11:AD11,L$263)+COUNTIF('8月'!AH11:AI11,L$263)+COUNTIF('8月'!AM11:AN11,L$263)+COUNTIF('8月'!AR11:AS11,L$263)+COUNTIF('8月'!AW11:AX11,L$263)+COUNTIF('8月'!BB11:BC11,L$263)+COUNTIF('8月'!BG11:BH11,L$263)+COUNTIF('8月'!BL11:BM11,L$263)+COUNTIF('8月'!BQ11:BR11,L$263)+COUNTIF('8月'!BV11:BW11,L$263)+COUNTIF('8月'!CA11:CB11,L$263)+COUNTIF('8月'!CF11:CG11,L$263)+COUNTIF('8月'!CK11:CL11,L$263)+COUNTIF('8月'!CP11:CQ11,L$263)+COUNTIF('8月'!CU11:CV11,L$263)+COUNTIF('8月'!CZ11:DA11,L$263)+COUNTIF('8月'!DE11:DF11,L$263)+COUNTIF('8月'!DJ11:DK11,L$263)+COUNTIF('8月'!DO11:DP11,L$263)+COUNTIF('8月'!DT11:DU11,L$263)+COUNTIF('8月'!DY11:DZ11,L$263)+COUNTIF('8月'!ED11:EE11,L$263)+COUNTIF('8月'!EI11:EJ11,L$263)+COUNTIF('8月'!EN11:EO11,L$263)+COUNTIF('8月'!ES11:ET11,L$263)</f>
        <v>0</v>
      </c>
      <c r="M272" s="76">
        <f t="shared" si="89"/>
        <v>0</v>
      </c>
      <c r="N272" s="76">
        <f>COUNTIF('8月'!D11:E11,N$263)+COUNTIF('8月'!I11:J11,N$263)+COUNTIF('8月'!N11:O11,N$263)+COUNTIF('8月'!S11:T11,N$263)+COUNTIF('8月'!X11:Y11,N$263)+COUNTIF('8月'!AC11:AD11,N$263)+COUNTIF('8月'!AH11:AI11,N$263)+COUNTIF('8月'!AM11:AN11,N$263)+COUNTIF('8月'!AR11:AS11,N$263)+COUNTIF('8月'!AW11:AX11,N$263)+COUNTIF('8月'!BB11:BC11,N$263)+COUNTIF('8月'!BG11:BH11,N$263)+COUNTIF('8月'!BL11:BM11,N$263)+COUNTIF('8月'!BQ11:BR11,N$263)+COUNTIF('8月'!BV11:BW11,N$263)+COUNTIF('8月'!CA11:CB11,N$263)+COUNTIF('8月'!CF11:CG11,N$263)+COUNTIF('8月'!CK11:CL11,N$263)+COUNTIF('8月'!CP11:CQ11,N$263)+COUNTIF('8月'!CU11:CV11,N$263)+COUNTIF('8月'!CZ11:DA11,N$263)+COUNTIF('8月'!DE11:DF11,N$263)+COUNTIF('8月'!DJ11:DK11,N$263)+COUNTIF('8月'!DO11:DP11,N$263)+COUNTIF('8月'!DT11:DU11,N$263)+COUNTIF('8月'!DY11:DZ11,N$263)+COUNTIF('8月'!ED11:EE11,N$263)+COUNTIF('8月'!EI11:EJ11,N$263)+COUNTIF('8月'!EN11:EO11,N$263)+COUNTIF('8月'!ES11:ET11,N$263)+COUNTIF('8月'!D11:E11,"三軒茶屋－夜勤")+COUNTIF('8月'!I11:J11,"三軒茶屋－夜勤")+COUNTIF('8月'!N11:O11,"三軒茶屋－夜勤")+COUNTIF('8月'!S11:T11,"三軒茶屋－夜勤")+COUNTIF('8月'!X11:Y11,"三軒茶屋－夜勤")+COUNTIF('8月'!AC11:AD11,"三軒茶屋－夜勤")+COUNTIF('8月'!AH11:AI11,"三軒茶屋－夜勤")+COUNTIF('8月'!AM11:AN11,"三軒茶屋－夜勤")+COUNTIF('8月'!AR11:AS11,"三軒茶屋－夜勤")+COUNTIF('8月'!AW11:AX11,"三軒茶屋－夜勤")+COUNTIF('8月'!BB11:BC11,"三軒茶屋－夜勤")+COUNTIF('8月'!BG11:BH11,"三軒茶屋－夜勤")+COUNTIF('8月'!BL11:BM11,"三軒茶屋－夜勤")+COUNTIF('8月'!BQ11:BR11,"三軒茶屋－夜勤")+COUNTIF('8月'!BV11:BW11,"三軒茶屋－夜勤")+COUNTIF('8月'!CA11:CB11,"三軒茶屋－夜勤")+COUNTIF('8月'!CF11:CG11,"三軒茶屋－夜勤")+COUNTIF('8月'!CK11:CL11,"三軒茶屋－夜勤")+COUNTIF('8月'!CP11:CQ11,"三軒茶屋－夜勤")+COUNTIF('8月'!CU11:CV11,"三軒茶屋－夜勤")+COUNTIF('8月'!CZ11:DA11,"三軒茶屋－夜勤")+COUNTIF('8月'!DE11:DF11,"三軒茶屋－夜勤")+COUNTIF('8月'!DJ11:DK11,"三軒茶屋－夜勤")+COUNTIF('8月'!DO11:DP11,"三軒茶屋－夜勤")+COUNTIF('8月'!DT11:DU11,"三軒茶屋－夜勤")+COUNTIF('8月'!DY11:DZ11,"三軒茶屋－夜勤")+COUNTIF('8月'!ED11:EE11,"三軒茶屋－夜勤")+COUNTIF('8月'!EI11:EJ11,"三軒茶屋－夜勤")+COUNTIF('8月'!EN11:EO11,"三軒茶屋－夜勤")+COUNTIF('8月'!ES11:ET11,"三軒茶屋－夜勤")</f>
        <v>0</v>
      </c>
      <c r="O272" s="76">
        <f t="shared" si="90"/>
        <v>0</v>
      </c>
      <c r="P272" s="76">
        <f>COUNTIF('8月'!D11:E11,P$263)+COUNTIF('8月'!I11:J11,P$263)+COUNTIF('8月'!N11:O11,P$263)+COUNTIF('8月'!S11:T11,P$263)+COUNTIF('8月'!X11:Y11,P$263)+COUNTIF('8月'!AC11:AD11,P$263)+COUNTIF('8月'!AH11:AI11,P$263)+COUNTIF('8月'!AM11:AN11,P$263)+COUNTIF('8月'!AR11:AS11,P$263)+COUNTIF('8月'!AW11:AX11,P$263)+COUNTIF('8月'!BB11:BC11,P$263)+COUNTIF('8月'!BG11:BH11,P$263)+COUNTIF('8月'!BL11:BM11,P$263)+COUNTIF('8月'!BQ11:BR11,P$263)+COUNTIF('8月'!BV11:BW11,P$263)+COUNTIF('8月'!CA11:CB11,P$263)+COUNTIF('8月'!CF11:CG11,P$263)+COUNTIF('8月'!CK11:CL11,P$263)+COUNTIF('8月'!CP11:CQ11,P$263)+COUNTIF('8月'!CU11:CV11,P$263)+COUNTIF('8月'!CZ11:DA11,P$263)+COUNTIF('8月'!DE11:DF11,P$263)+COUNTIF('8月'!DJ11:DK11,P$263)+COUNTIF('8月'!DO11:DP11,P$263)+COUNTIF('8月'!DT11:DU11,P$263)+COUNTIF('8月'!DY11:DZ11,P$263)+COUNTIF('8月'!ED11:EE11,P$263)+COUNTIF('8月'!EI11:EJ11,P$263)+COUNTIF('8月'!EN11:EO11,P$263)+COUNTIF('8月'!ES11:ET11,P$263)+COUNTIF('8月'!D11:E11,"荻窪ー夜勤")+COUNTIF('8月'!I11:J11,"荻窪ー夜勤")+COUNTIF('8月'!N11:O11,"荻窪ー夜勤")+COUNTIF('8月'!S11:T11,"荻窪ー夜勤")+COUNTIF('8月'!X11:Y11,"荻窪ー夜勤")+COUNTIF('8月'!AC11:AD11,"荻窪ー夜勤")+COUNTIF('8月'!AH11:AI11,"荻窪ー夜勤")+COUNTIF('8月'!AM11:AN11,"荻窪ー夜勤")+COUNTIF('8月'!AR11:AS11,"荻窪ー夜勤")+COUNTIF('8月'!AW11:AX11,"荻窪ー夜勤")+COUNTIF('8月'!BB11:BC11,"荻窪ー夜勤")+COUNTIF('8月'!BG11:BH11,"荻窪ー夜勤")+COUNTIF('8月'!BL11:BM11,"荻窪ー夜勤")+COUNTIF('8月'!BQ11:BR11,"荻窪ー夜勤")+COUNTIF('8月'!BV11:BW11,"荻窪ー夜勤")+COUNTIF('8月'!CA11:CB11,"荻窪ー夜勤")+COUNTIF('8月'!CF11:CG11,"荻窪ー夜勤")+COUNTIF('8月'!CK11:CL11,"荻窪ー夜勤")+COUNTIF('8月'!CP11:CQ11,"荻窪ー夜勤")+COUNTIF('8月'!CU11:CV11,"荻窪ー夜勤")+COUNTIF('8月'!CZ11:DA11,"荻窪ー夜勤")+COUNTIF('8月'!DE11:DF11,"荻窪ー夜勤")+COUNTIF('8月'!DJ11:DK11,"荻窪ー夜勤")+COUNTIF('8月'!DO11:DP11,"荻窪ー夜勤")+COUNTIF('8月'!DT11:DU11,"荻窪ー夜勤")+COUNTIF('8月'!DY11:DZ11,"荻窪ー夜勤")+COUNTIF('8月'!ED11:EE11,"荻窪ー夜勤")+COUNTIF('8月'!EI11:EJ11,"荻窪ー夜勤")+COUNTIF('8月'!EN11:EO11,"荻窪ー夜勤")+COUNTIF('8月'!ES11:ET11,"荻窪ー夜勤")</f>
        <v>0</v>
      </c>
      <c r="Q272" s="76">
        <f t="shared" si="91"/>
        <v>0</v>
      </c>
      <c r="R272" s="76">
        <f>COUNTIF('8月'!D11:E11,R$263)+COUNTIF('8月'!I11:J11,R$263)+COUNTIF('8月'!N11:O11,R$263)+COUNTIF('8月'!S11:T11,R$263)+COUNTIF('8月'!X11:Y11,R$263)+COUNTIF('8月'!AC11:AD11,R$263)+COUNTIF('8月'!AH11:AI11,R$263)+COUNTIF('8月'!AM11:AN11,R$263)+COUNTIF('8月'!AR11:AS11,R$263)+COUNTIF('8月'!AW11:AX11,R$263)+COUNTIF('8月'!BB11:BC11,R$263)+COUNTIF('8月'!BG11:BH11,R$263)+COUNTIF('8月'!BL11:BM11,R$263)+COUNTIF('8月'!BQ11:BR11,R$263)+COUNTIF('8月'!BV11:BW11,R$263)+COUNTIF('8月'!CA11:CB11,R$263)+COUNTIF('8月'!CF11:CG11,R$263)+COUNTIF('8月'!CK11:CL11,R$263)+COUNTIF('8月'!CP11:CQ11,R$263)+COUNTIF('8月'!CU11:CV11,R$263)+COUNTIF('8月'!CZ11:DA11,R$263)+COUNTIF('8月'!DE11:DF11,R$263)+COUNTIF('8月'!DJ11:DK11,R$263)+COUNTIF('8月'!DO11:DP11,R$263)+COUNTIF('8月'!DT11:DU11,R$263)+COUNTIF('8月'!DY11:DZ11,R$263)+COUNTIF('8月'!ED11:EE11,R$263)+COUNTIF('8月'!EI11:EJ11,R$263)+COUNTIF('8月'!EN11:EO11,R$263)+COUNTIF('8月'!ES11:ET11,R$263)</f>
        <v>0</v>
      </c>
      <c r="S272" s="76">
        <f t="shared" si="92"/>
        <v>0</v>
      </c>
      <c r="T272" s="76">
        <f>COUNTIF('8月'!D11:E11,T$263)+COUNTIF('8月'!I11:J11,T$263)+COUNTIF('8月'!N11:O11,T$263)+COUNTIF('8月'!S11:T11,T$263)+COUNTIF('8月'!X11:Y11,T$263)+COUNTIF('8月'!AC11:AD11,T$263)+COUNTIF('8月'!AH11:AI11,T$263)+COUNTIF('8月'!AM11:AN11,T$263)+COUNTIF('8月'!AR11:AS11,T$263)+COUNTIF('8月'!AW11:AX11,T$263)+COUNTIF('8月'!BB11:BC11,T$263)+COUNTIF('8月'!BG11:BH11,T$263)+COUNTIF('8月'!BL11:BM11,T$263)+COUNTIF('8月'!BQ11:BR11,T$263)+COUNTIF('8月'!BV11:BW11,T$263)+COUNTIF('8月'!CA11:CB11,T$263)+COUNTIF('8月'!CF11:CG11,T$263)+COUNTIF('8月'!CK11:CL11,T$263)+COUNTIF('8月'!CP11:CQ11,T$263)+COUNTIF('8月'!CU11:CV11,T$263)+COUNTIF('8月'!CZ11:DA11,T$263)+COUNTIF('8月'!DE11:DF11,T$263)+COUNTIF('8月'!DJ11:DK11,T$263)+COUNTIF('8月'!DO11:DP11,T$263)+COUNTIF('8月'!DT11:DU11,T$263)+COUNTIF('8月'!DY11:DZ11,T$263)+COUNTIF('8月'!ED11:EE11,T$263)+COUNTIF('8月'!EI11:EJ11,T$263)+COUNTIF('8月'!EN11:EO11,T$263)+COUNTIF('8月'!ES11:ET11,T$263)</f>
        <v>0</v>
      </c>
      <c r="U272" s="76">
        <f t="shared" si="93"/>
        <v>0</v>
      </c>
      <c r="V272" s="76">
        <f>COUNTIF('8月'!D11:E11,V$263)+COUNTIF('8月'!I11:J11,V$263)+COUNTIF('8月'!N11:O11,V$263)+COUNTIF('8月'!S11:T11,V$263)+COUNTIF('8月'!X11:Y11,V$263)+COUNTIF('8月'!AC11:AD11,V$263)+COUNTIF('8月'!AH11:AI11,V$263)+COUNTIF('8月'!AM11:AN11,V$263)+COUNTIF('8月'!AR11:AS11,V$263)+COUNTIF('8月'!AW11:AX11,V$263)+COUNTIF('8月'!BB11:BC11,V$263)+COUNTIF('8月'!BG11:BH11,V$263)+COUNTIF('8月'!BL11:BM11,V$263)+COUNTIF('8月'!BQ11:BR11,V$263)+COUNTIF('8月'!BV11:BW11,V$263)+COUNTIF('8月'!CA11:CB11,V$263)+COUNTIF('8月'!CF11:CG11,V$263)+COUNTIF('8月'!CK11:CL11,V$263)+COUNTIF('8月'!CP11:CQ11,V$263)+COUNTIF('8月'!CU11:CV11,V$263)+COUNTIF('8月'!CZ11:DA11,V$263)+COUNTIF('8月'!DE11:DF11,V$263)+COUNTIF('8月'!DJ11:DK11,V$263)+COUNTIF('8月'!DO11:DP11,V$263)+COUNTIF('8月'!DT11:DU11,V$263)+COUNTIF('8月'!DY11:DZ11,V$263)+COUNTIF('8月'!ED11:EE11,V$263)+COUNTIF('8月'!EI11:EJ11,V$263)+COUNTIF('8月'!EN11:EO11,V$263)+COUNTIF('8月'!ES11:ET11,V$263)</f>
        <v>0</v>
      </c>
      <c r="W272" s="76">
        <f t="shared" si="94"/>
        <v>0</v>
      </c>
      <c r="X272" s="76">
        <f>COUNTIF('8月'!D11:E11,X$263)+COUNTIF('8月'!I11:J11,X$263)+COUNTIF('8月'!N11:O11,X$263)+COUNTIF('8月'!S11:T11,X$263)+COUNTIF('8月'!X11:Y11,X$263)+COUNTIF('8月'!AC11:AD11,X$263)+COUNTIF('8月'!AH11:AI11,X$263)+COUNTIF('8月'!AM11:AN11,X$263)+COUNTIF('8月'!AR11:AS11,X$263)+COUNTIF('8月'!AW11:AX11,X$263)+COUNTIF('8月'!BB11:BC11,X$263)+COUNTIF('8月'!BG11:BH11,X$263)+COUNTIF('8月'!BL11:BM11,X$263)+COUNTIF('8月'!BQ11:BR11,X$263)+COUNTIF('8月'!BV11:BW11,X$263)+COUNTIF('8月'!CA11:CB11,X$263)+COUNTIF('8月'!CF11:CG11,X$263)+COUNTIF('8月'!CK11:CL11,X$263)+COUNTIF('8月'!CP11:CQ11,X$263)+COUNTIF('8月'!CU11:CV11,X$263)+COUNTIF('8月'!CZ11:DA11,X$263)+COUNTIF('8月'!DE11:DF11,X$263)+COUNTIF('8月'!DJ11:DK11,X$263)+COUNTIF('8月'!DO11:DP11,X$263)+COUNTIF('8月'!DT11:DU11,X$263)+COUNTIF('8月'!DY11:DZ11,X$263)+COUNTIF('8月'!ED11:EE11,X$263)+COUNTIF('8月'!EI11:EJ11,X$263)+COUNTIF('8月'!EN11:EO11,X$263)+COUNTIF('8月'!ES11:ET11,X$263)</f>
        <v>0</v>
      </c>
      <c r="Y272" s="76">
        <f t="shared" si="95"/>
        <v>0</v>
      </c>
    </row>
    <row r="273" spans="1:25" ht="18" customHeight="1">
      <c r="A273" s="76">
        <v>9</v>
      </c>
      <c r="B273" s="76">
        <f>COUNTIF('8月'!D12:E12,B$263)+COUNTIF('8月'!I12:J12,B$263)+COUNTIF('8月'!N12:O12,B$263)+COUNTIF('8月'!S12:T12,B$263)+COUNTIF('8月'!X12:Y12,B$263)+COUNTIF('8月'!AC12:AD12,B$263)+COUNTIF('8月'!AH12:AI12,B$263)+COUNTIF('8月'!AM12:AN12,B$263)+COUNTIF('8月'!AR12:AS12,B$263)+COUNTIF('8月'!AW12:AX12,B$263)+COUNTIF('8月'!BB12:BC12,B$263)+COUNTIF('8月'!BG12:BH12,B$263)+COUNTIF('8月'!BL12:BM12,B$263)+COUNTIF('8月'!BQ12:BR12,B$263)+COUNTIF('8月'!BV12:BW12,B$263)+COUNTIF('8月'!CA12:CB12,B$263)+COUNTIF('8月'!CF12:CG12,B$263)+COUNTIF('8月'!CK12:CL12,B$263)+COUNTIF('8月'!CP12:CQ12,B$263)+COUNTIF('8月'!CU12:CV12,B$263)+COUNTIF('8月'!CZ12:DA12,B$263)+COUNTIF('8月'!DE12:DF12,B$263)+COUNTIF('8月'!DJ12:DK12,B$263)+COUNTIF('8月'!DO12:DP12,B$263)+COUNTIF('8月'!DT12:DU12,B$263)+COUNTIF('8月'!DY12:DZ12,B$263)+COUNTIF('8月'!ED12:EE12,B$263)+COUNTIF('8月'!EI12:EJ12,B$263)+COUNTIF('8月'!EN12:EO12,B$263)+COUNTIF('8月'!ES12:ET12,B$263)</f>
        <v>0</v>
      </c>
      <c r="C273" s="76">
        <f t="shared" si="84"/>
        <v>0</v>
      </c>
      <c r="D273" s="76">
        <f>COUNTIF('8月'!D12:E12,D$263)+COUNTIF('8月'!I12:J12,D$263)+COUNTIF('8月'!N12:O12,D$263)+COUNTIF('8月'!S12:T12,D$263)+COUNTIF('8月'!X12:Y12,D$263)+COUNTIF('8月'!AC12:AD12,D$263)+COUNTIF('8月'!AH12:AI12,D$263)+COUNTIF('8月'!AM12:AN12,D$263)+COUNTIF('8月'!AR12:AS12,D$263)+COUNTIF('8月'!AW12:AX12,D$263)+COUNTIF('8月'!BB12:BC12,D$263)+COUNTIF('8月'!BG12:BH12,D$263)+COUNTIF('8月'!BL12:BM12,D$263)+COUNTIF('8月'!BQ12:BR12,D$263)+COUNTIF('8月'!BV12:BW12,D$263)+COUNTIF('8月'!CA12:CB12,D$263)+COUNTIF('8月'!CF12:CG12,D$263)+COUNTIF('8月'!CK12:CL12,D$263)+COUNTIF('8月'!CP12:CQ12,D$263)+COUNTIF('8月'!CU12:CV12,D$263)+COUNTIF('8月'!CZ12:DA12,D$263)+COUNTIF('8月'!DE12:DF12,D$263)+COUNTIF('8月'!DJ12:DK12,D$263)+COUNTIF('8月'!DO12:DP12,D$263)+COUNTIF('8月'!DT12:DU12,D$263)+COUNTIF('8月'!DY12:DZ12,D$263)+COUNTIF('8月'!ED12:EE12,D$263)+COUNTIF('8月'!EI12:EJ12,D$263)+COUNTIF('8月'!EN12:EO12,D$263)+COUNTIF('8月'!ES12:ET12,D$263)</f>
        <v>0</v>
      </c>
      <c r="E273" s="76">
        <f t="shared" si="85"/>
        <v>0</v>
      </c>
      <c r="F273" s="76">
        <f>COUNTIF('8月'!D12:E12,F$263)+COUNTIF('8月'!I12:J12,F$263)+COUNTIF('8月'!N12:O12,F$263)+COUNTIF('8月'!S12:T12,F$263)+COUNTIF('8月'!X12:Y12,F$263)+COUNTIF('8月'!AC12:AD12,F$263)+COUNTIF('8月'!AH12:AI12,F$263)+COUNTIF('8月'!AM12:AN12,F$263)+COUNTIF('8月'!AR12:AS12,F$263)+COUNTIF('8月'!AW12:AX12,F$263)+COUNTIF('8月'!BB12:BC12,F$263)+COUNTIF('8月'!BG12:BH12,F$263)+COUNTIF('8月'!BL12:BM12,F$263)+COUNTIF('8月'!BQ12:BR12,F$263)+COUNTIF('8月'!BV12:BW12,F$263)+COUNTIF('8月'!CA12:CB12,F$263)+COUNTIF('8月'!CF12:CG12,F$263)+COUNTIF('8月'!CK12:CL12,F$263)+COUNTIF('8月'!CP12:CQ12,F$263)+COUNTIF('8月'!CU12:CV12,F$263)+COUNTIF('8月'!CZ12:DA12,F$263)+COUNTIF('8月'!DE12:DF12,F$263)+COUNTIF('8月'!DJ12:DK12,F$263)+COUNTIF('8月'!DO12:DP12,F$263)+COUNTIF('8月'!DT12:DU12,F$263)+COUNTIF('8月'!DY12:DZ12,F$263)+COUNTIF('8月'!ED12:EE12,F$263)+COUNTIF('8月'!EI12:EJ12,F$263)+COUNTIF('8月'!EN12:EO12,F$263)+COUNTIF('8月'!ES12:ET12,F$263)</f>
        <v>0</v>
      </c>
      <c r="G273" s="76">
        <f t="shared" si="86"/>
        <v>0</v>
      </c>
      <c r="H273" s="76">
        <f>COUNTIF('8月'!D12:E12,H$263)+COUNTIF('8月'!I12:J12,H$263)+COUNTIF('8月'!N12:O12,H$263)+COUNTIF('8月'!S12:T12,H$263)+COUNTIF('8月'!X12:Y12,H$263)+COUNTIF('8月'!AC12:AD12,H$263)+COUNTIF('8月'!AH12:AI12,H$263)+COUNTIF('8月'!AM12:AN12,H$263)+COUNTIF('8月'!AR12:AS12,H$263)+COUNTIF('8月'!AW12:AX12,H$263)+COUNTIF('8月'!BB12:BC12,H$263)+COUNTIF('8月'!BG12:BH12,H$263)+COUNTIF('8月'!BL12:BM12,H$263)+COUNTIF('8月'!BQ12:BR12,H$263)+COUNTIF('8月'!BV12:BW12,H$263)+COUNTIF('8月'!CA12:CB12,H$263)+COUNTIF('8月'!CF12:CG12,H$263)+COUNTIF('8月'!CK12:CL12,H$263)+COUNTIF('8月'!CP12:CQ12,H$263)+COUNTIF('8月'!CU12:CV12,H$263)+COUNTIF('8月'!CZ12:DA12,H$263)+COUNTIF('8月'!DE12:DF12,H$263)+COUNTIF('8月'!DJ12:DK12,H$263)+COUNTIF('8月'!DO12:DP12,H$263)+COUNTIF('8月'!DT12:DU12,H$263)+COUNTIF('8月'!DY12:DZ12,H$263)+COUNTIF('8月'!ED12:EE12,H$263)+COUNTIF('8月'!EI12:EJ12,H$263)+COUNTIF('8月'!EN12:EO12,H$263)+COUNTIF('8月'!ES12:ET12,H$263)+COUNTIF('8月'!D12:E12,"渋谷-夜勤")+COUNTIF('8月'!I12:J12,"渋谷-夜勤")+COUNTIF('8月'!N12:O12,"渋谷-夜勤")+COUNTIF('8月'!S12:T12,"渋谷-夜勤")+COUNTIF('8月'!X12:Y12,"渋谷-夜勤")+COUNTIF('8月'!AC12:AD12,"渋谷-夜勤")+COUNTIF('8月'!AH12:AI12,"渋谷-夜勤")+COUNTIF('8月'!AM12:AN12,"渋谷-夜勤")+COUNTIF('8月'!AR12:AS12,"渋谷-夜勤")+COUNTIF('8月'!AW12:AX12,"渋谷-夜勤")+COUNTIF('8月'!BB12:BC12,"渋谷-夜勤")+COUNTIF('8月'!BG12:BH12,"渋谷-夜勤")+COUNTIF('8月'!BL12:BM12,"渋谷-夜勤")+COUNTIF('8月'!BQ12:BR12,"渋谷-夜勤")+COUNTIF('8月'!BV12:BW12,"渋谷-夜勤")+COUNTIF('8月'!CA12:CB12,"渋谷-夜勤")+COUNTIF('8月'!CF12:CG12,"渋谷-夜勤")+COUNTIF('8月'!CK12:CL12,"渋谷-夜勤")+COUNTIF('8月'!CP12:CQ12,"渋谷-夜勤")+COUNTIF('8月'!CU12:CV12,"渋谷-夜勤")+COUNTIF('8月'!CZ12:DA12,"渋谷-夜勤")+COUNTIF('8月'!DE12:DF12,"渋谷-夜勤")+COUNTIF('8月'!DJ12:DK12,"渋谷-夜勤")+COUNTIF('8月'!DO12:DP12,"渋谷-夜勤")+COUNTIF('8月'!DT12:DU12,"渋谷-夜勤")+COUNTIF('8月'!DY12:DZ12,"渋谷-夜勤")+COUNTIF('8月'!ED12:EE12,"渋谷-夜勤")+COUNTIF('8月'!EI12:EJ12,"渋谷-夜勤")+COUNTIF('8月'!EN12:EO12,"渋谷-夜勤")+COUNTIF('8月'!ES12:ET12,"渋谷-夜勤")</f>
        <v>0</v>
      </c>
      <c r="I273" s="76">
        <f t="shared" si="87"/>
        <v>0</v>
      </c>
      <c r="J273" s="76">
        <f>COUNTIF('8月'!D12:E12,J$263)+COUNTIF('8月'!I12:J12,J$263)+COUNTIF('8月'!N12:O12,J$263)+COUNTIF('8月'!S12:T12,J$263)+COUNTIF('8月'!X12:Y12,J$263)+COUNTIF('8月'!AC12:AD12,J$263)+COUNTIF('8月'!AH12:AI12,J$263)+COUNTIF('8月'!AM12:AN12,J$263)+COUNTIF('8月'!AR12:AS12,J$263)+COUNTIF('8月'!AW12:AX12,J$263)+COUNTIF('8月'!BB12:BC12,J$263)+COUNTIF('8月'!BG12:BH12,J$263)+COUNTIF('8月'!BL12:BM12,J$263)+COUNTIF('8月'!BQ12:BR12,J$263)+COUNTIF('8月'!BV12:BW12,J$263)+COUNTIF('8月'!CA12:CB12,J$263)+COUNTIF('8月'!CF12:CG12,J$263)+COUNTIF('8月'!CK12:CL12,J$263)+COUNTIF('8月'!CP12:CQ12,J$263)+COUNTIF('8月'!CU12:CV12,J$263)+COUNTIF('8月'!CZ12:DA12,J$263)+COUNTIF('8月'!DE12:DF12,J$263)+COUNTIF('8月'!DJ12:DK12,J$263)+COUNTIF('8月'!DO12:DP12,J$263)+COUNTIF('8月'!DT12:DU12,J$263)+COUNTIF('8月'!DY12:DZ12,J$263)+COUNTIF('8月'!ED12:EE12,J$263)+COUNTIF('8月'!EI12:EJ12,J$263)+COUNTIF('8月'!EN12:EO12,J$263)+COUNTIF('8月'!ES12:ET12,J$263)+COUNTIF('8月'!D12:E12,"六本木-夜勤")+COUNTIF('8月'!I12:J12,"六本木-夜勤")+COUNTIF('8月'!N12:O12,"六本木-夜勤")+COUNTIF('8月'!S12:T12,"六本木-夜勤")+COUNTIF('8月'!X12:Y12,"六本木-夜勤")+COUNTIF('8月'!AC12:AD12,"六本木-夜勤")+COUNTIF('8月'!AH12:AI12,"六本木-夜勤")+COUNTIF('8月'!AM12:AN12,"六本木-夜勤")+COUNTIF('8月'!AR12:AS12,"六本木-夜勤")+COUNTIF('8月'!AW12:AX12,"六本木-夜勤")+COUNTIF('8月'!BB12:BC12,"六本木-夜勤")+COUNTIF('8月'!BG12:BH12,"六本木-夜勤")+COUNTIF('8月'!BL12:BM12,"六本木-夜勤")+COUNTIF('8月'!BQ12:BR12,"六本木-夜勤")+COUNTIF('8月'!BV12:BW12,"六本木-夜勤")+COUNTIF('8月'!CA12:CB12,"六本木-夜勤")+COUNTIF('8月'!CF12:CG12,"六本木-夜勤")+COUNTIF('8月'!CK12:CL12,"六本木-夜勤")+COUNTIF('8月'!CP12:CQ12,"六本木-夜勤")+COUNTIF('8月'!CU12:CV12,"六本木-夜勤")+COUNTIF('8月'!CZ12:DA12,"六本木-夜勤")+COUNTIF('8月'!DE12:DF12,"六本木-夜勤")+COUNTIF('8月'!DJ12:DK12,"六本木-夜勤")+COUNTIF('8月'!DO12:DP12,"六本木-夜勤")+COUNTIF('8月'!DT12:DU12,"六本木-夜勤")+COUNTIF('8月'!DY12:DZ12,"六本木-夜勤")+COUNTIF('8月'!ED12:EE12,"六本木-夜勤")+COUNTIF('8月'!EI12:EJ12,"六本木-夜勤")+COUNTIF('8月'!EN12:EO12,"六本木-夜勤")+COUNTIF('8月'!ES12:ET12,"六本木-夜勤")+COUNTIF('8月'!D12:E12,"六本木ー夜勤")+COUNTIF('8月'!I12:J12,"六本木ー夜勤")+COUNTIF('8月'!N12:O12,"六本木ー夜勤")+COUNTIF('8月'!S12:T12,"六本木ー夜勤")+COUNTIF('8月'!X12:Y12,"六本木ー夜勤")+COUNTIF('8月'!AC12:AD12,"六本木ー夜勤")+COUNTIF('8月'!AH12:AI12,"六本木ー夜勤")+COUNTIF('8月'!AM12:AN12,"六本木ー夜勤")+COUNTIF('8月'!AR12:AS12,"六本木ー夜勤")+COUNTIF('8月'!AW12:AX12,"六本木ー夜勤")+COUNTIF('8月'!BB12:BC12,"六本木ー夜勤")+COUNTIF('8月'!BG12:BH12,"六本木ー夜勤")+COUNTIF('8月'!BL12:BM12,"六本木ー夜勤")+COUNTIF('8月'!BQ12:BR12,"六本木ー夜勤")+COUNTIF('8月'!BV12:BW12,"六本木ー夜勤")+COUNTIF('8月'!CA12:CB12,"六本木ー夜勤")+COUNTIF('8月'!CF12:CG12,"六本木ー夜勤")+COUNTIF('8月'!CK12:CL12,"六本木ー夜勤")+COUNTIF('8月'!CP12:CQ12,"六本木ー夜勤")+COUNTIF('8月'!CU12:CV12,"六本木ー夜勤")+COUNTIF('8月'!CZ12:DA12,"六本木ー夜勤")+COUNTIF('8月'!DE12:DF12,"六本木ー夜勤")+COUNTIF('8月'!DJ12:DK12,"六本木ー夜勤")+COUNTIF('8月'!DO12:DP12,"六本木ー夜勤")+COUNTIF('8月'!DT12:DU12,"六本木ー夜勤")+COUNTIF('8月'!DY12:DZ12,"六本木ー夜勤")+COUNTIF('8月'!ED12:EE12,"六本木ー夜勤")+COUNTIF('8月'!EI12:EJ12,"六本木ー夜勤")+COUNTIF('8月'!EN12:EO12,"六本木ー夜勤")+COUNTIF('8月'!ES12:ET12,"六本木ー夜勤")</f>
        <v>0</v>
      </c>
      <c r="K273" s="76">
        <f t="shared" si="88"/>
        <v>0</v>
      </c>
      <c r="L273" s="76">
        <f>COUNTIF('8月'!D12:E12,L$263)+COUNTIF('8月'!I12:J12,L$263)+COUNTIF('8月'!N12:O12,L$263)+COUNTIF('8月'!S12:T12,L$263)+COUNTIF('8月'!X12:Y12,L$263)+COUNTIF('8月'!AC12:AD12,L$263)+COUNTIF('8月'!AH12:AI12,L$263)+COUNTIF('8月'!AM12:AN12,L$263)+COUNTIF('8月'!AR12:AS12,L$263)+COUNTIF('8月'!AW12:AX12,L$263)+COUNTIF('8月'!BB12:BC12,L$263)+COUNTIF('8月'!BG12:BH12,L$263)+COUNTIF('8月'!BL12:BM12,L$263)+COUNTIF('8月'!BQ12:BR12,L$263)+COUNTIF('8月'!BV12:BW12,L$263)+COUNTIF('8月'!CA12:CB12,L$263)+COUNTIF('8月'!CF12:CG12,L$263)+COUNTIF('8月'!CK12:CL12,L$263)+COUNTIF('8月'!CP12:CQ12,L$263)+COUNTIF('8月'!CU12:CV12,L$263)+COUNTIF('8月'!CZ12:DA12,L$263)+COUNTIF('8月'!DE12:DF12,L$263)+COUNTIF('8月'!DJ12:DK12,L$263)+COUNTIF('8月'!DO12:DP12,L$263)+COUNTIF('8月'!DT12:DU12,L$263)+COUNTIF('8月'!DY12:DZ12,L$263)+COUNTIF('8月'!ED12:EE12,L$263)+COUNTIF('8月'!EI12:EJ12,L$263)+COUNTIF('8月'!EN12:EO12,L$263)+COUNTIF('8月'!ES12:ET12,L$263)</f>
        <v>0</v>
      </c>
      <c r="M273" s="76">
        <f t="shared" si="89"/>
        <v>0</v>
      </c>
      <c r="N273" s="76">
        <f>COUNTIF('8月'!D12:E12,N$263)+COUNTIF('8月'!I12:J12,N$263)+COUNTIF('8月'!N12:O12,N$263)+COUNTIF('8月'!S12:T12,N$263)+COUNTIF('8月'!X12:Y12,N$263)+COUNTIF('8月'!AC12:AD12,N$263)+COUNTIF('8月'!AH12:AI12,N$263)+COUNTIF('8月'!AM12:AN12,N$263)+COUNTIF('8月'!AR12:AS12,N$263)+COUNTIF('8月'!AW12:AX12,N$263)+COUNTIF('8月'!BB12:BC12,N$263)+COUNTIF('8月'!BG12:BH12,N$263)+COUNTIF('8月'!BL12:BM12,N$263)+COUNTIF('8月'!BQ12:BR12,N$263)+COUNTIF('8月'!BV12:BW12,N$263)+COUNTIF('8月'!CA12:CB12,N$263)+COUNTIF('8月'!CF12:CG12,N$263)+COUNTIF('8月'!CK12:CL12,N$263)+COUNTIF('8月'!CP12:CQ12,N$263)+COUNTIF('8月'!CU12:CV12,N$263)+COUNTIF('8月'!CZ12:DA12,N$263)+COUNTIF('8月'!DE12:DF12,N$263)+COUNTIF('8月'!DJ12:DK12,N$263)+COUNTIF('8月'!DO12:DP12,N$263)+COUNTIF('8月'!DT12:DU12,N$263)+COUNTIF('8月'!DY12:DZ12,N$263)+COUNTIF('8月'!ED12:EE12,N$263)+COUNTIF('8月'!EI12:EJ12,N$263)+COUNTIF('8月'!EN12:EO12,N$263)+COUNTIF('8月'!ES12:ET12,N$263)+COUNTIF('8月'!D12:E12,"三軒茶屋－夜勤")+COUNTIF('8月'!I12:J12,"三軒茶屋－夜勤")+COUNTIF('8月'!N12:O12,"三軒茶屋－夜勤")+COUNTIF('8月'!S12:T12,"三軒茶屋－夜勤")+COUNTIF('8月'!X12:Y12,"三軒茶屋－夜勤")+COUNTIF('8月'!AC12:AD12,"三軒茶屋－夜勤")+COUNTIF('8月'!AH12:AI12,"三軒茶屋－夜勤")+COUNTIF('8月'!AM12:AN12,"三軒茶屋－夜勤")+COUNTIF('8月'!AR12:AS12,"三軒茶屋－夜勤")+COUNTIF('8月'!AW12:AX12,"三軒茶屋－夜勤")+COUNTIF('8月'!BB12:BC12,"三軒茶屋－夜勤")+COUNTIF('8月'!BG12:BH12,"三軒茶屋－夜勤")+COUNTIF('8月'!BL12:BM12,"三軒茶屋－夜勤")+COUNTIF('8月'!BQ12:BR12,"三軒茶屋－夜勤")+COUNTIF('8月'!BV12:BW12,"三軒茶屋－夜勤")+COUNTIF('8月'!CA12:CB12,"三軒茶屋－夜勤")+COUNTIF('8月'!CF12:CG12,"三軒茶屋－夜勤")+COUNTIF('8月'!CK12:CL12,"三軒茶屋－夜勤")+COUNTIF('8月'!CP12:CQ12,"三軒茶屋－夜勤")+COUNTIF('8月'!CU12:CV12,"三軒茶屋－夜勤")+COUNTIF('8月'!CZ12:DA12,"三軒茶屋－夜勤")+COUNTIF('8月'!DE12:DF12,"三軒茶屋－夜勤")+COUNTIF('8月'!DJ12:DK12,"三軒茶屋－夜勤")+COUNTIF('8月'!DO12:DP12,"三軒茶屋－夜勤")+COUNTIF('8月'!DT12:DU12,"三軒茶屋－夜勤")+COUNTIF('8月'!DY12:DZ12,"三軒茶屋－夜勤")+COUNTIF('8月'!ED12:EE12,"三軒茶屋－夜勤")+COUNTIF('8月'!EI12:EJ12,"三軒茶屋－夜勤")+COUNTIF('8月'!EN12:EO12,"三軒茶屋－夜勤")+COUNTIF('8月'!ES12:ET12,"三軒茶屋－夜勤")</f>
        <v>0</v>
      </c>
      <c r="O273" s="76">
        <f t="shared" si="90"/>
        <v>0</v>
      </c>
      <c r="P273" s="76">
        <f>COUNTIF('8月'!D12:E12,P$263)+COUNTIF('8月'!I12:J12,P$263)+COUNTIF('8月'!N12:O12,P$263)+COUNTIF('8月'!S12:T12,P$263)+COUNTIF('8月'!X12:Y12,P$263)+COUNTIF('8月'!AC12:AD12,P$263)+COUNTIF('8月'!AH12:AI12,P$263)+COUNTIF('8月'!AM12:AN12,P$263)+COUNTIF('8月'!AR12:AS12,P$263)+COUNTIF('8月'!AW12:AX12,P$263)+COUNTIF('8月'!BB12:BC12,P$263)+COUNTIF('8月'!BG12:BH12,P$263)+COUNTIF('8月'!BL12:BM12,P$263)+COUNTIF('8月'!BQ12:BR12,P$263)+COUNTIF('8月'!BV12:BW12,P$263)+COUNTIF('8月'!CA12:CB12,P$263)+COUNTIF('8月'!CF12:CG12,P$263)+COUNTIF('8月'!CK12:CL12,P$263)+COUNTIF('8月'!CP12:CQ12,P$263)+COUNTIF('8月'!CU12:CV12,P$263)+COUNTIF('8月'!CZ12:DA12,P$263)+COUNTIF('8月'!DE12:DF12,P$263)+COUNTIF('8月'!DJ12:DK12,P$263)+COUNTIF('8月'!DO12:DP12,P$263)+COUNTIF('8月'!DT12:DU12,P$263)+COUNTIF('8月'!DY12:DZ12,P$263)+COUNTIF('8月'!ED12:EE12,P$263)+COUNTIF('8月'!EI12:EJ12,P$263)+COUNTIF('8月'!EN12:EO12,P$263)+COUNTIF('8月'!ES12:ET12,P$263)+COUNTIF('8月'!D12:E12,"荻窪ー夜勤")+COUNTIF('8月'!I12:J12,"荻窪ー夜勤")+COUNTIF('8月'!N12:O12,"荻窪ー夜勤")+COUNTIF('8月'!S12:T12,"荻窪ー夜勤")+COUNTIF('8月'!X12:Y12,"荻窪ー夜勤")+COUNTIF('8月'!AC12:AD12,"荻窪ー夜勤")+COUNTIF('8月'!AH12:AI12,"荻窪ー夜勤")+COUNTIF('8月'!AM12:AN12,"荻窪ー夜勤")+COUNTIF('8月'!AR12:AS12,"荻窪ー夜勤")+COUNTIF('8月'!AW12:AX12,"荻窪ー夜勤")+COUNTIF('8月'!BB12:BC12,"荻窪ー夜勤")+COUNTIF('8月'!BG12:BH12,"荻窪ー夜勤")+COUNTIF('8月'!BL12:BM12,"荻窪ー夜勤")+COUNTIF('8月'!BQ12:BR12,"荻窪ー夜勤")+COUNTIF('8月'!BV12:BW12,"荻窪ー夜勤")+COUNTIF('8月'!CA12:CB12,"荻窪ー夜勤")+COUNTIF('8月'!CF12:CG12,"荻窪ー夜勤")+COUNTIF('8月'!CK12:CL12,"荻窪ー夜勤")+COUNTIF('8月'!CP12:CQ12,"荻窪ー夜勤")+COUNTIF('8月'!CU12:CV12,"荻窪ー夜勤")+COUNTIF('8月'!CZ12:DA12,"荻窪ー夜勤")+COUNTIF('8月'!DE12:DF12,"荻窪ー夜勤")+COUNTIF('8月'!DJ12:DK12,"荻窪ー夜勤")+COUNTIF('8月'!DO12:DP12,"荻窪ー夜勤")+COUNTIF('8月'!DT12:DU12,"荻窪ー夜勤")+COUNTIF('8月'!DY12:DZ12,"荻窪ー夜勤")+COUNTIF('8月'!ED12:EE12,"荻窪ー夜勤")+COUNTIF('8月'!EI12:EJ12,"荻窪ー夜勤")+COUNTIF('8月'!EN12:EO12,"荻窪ー夜勤")+COUNTIF('8月'!ES12:ET12,"荻窪ー夜勤")</f>
        <v>0</v>
      </c>
      <c r="Q273" s="76">
        <f t="shared" si="91"/>
        <v>0</v>
      </c>
      <c r="R273" s="76">
        <f>COUNTIF('8月'!D12:E12,R$263)+COUNTIF('8月'!I12:J12,R$263)+COUNTIF('8月'!N12:O12,R$263)+COUNTIF('8月'!S12:T12,R$263)+COUNTIF('8月'!X12:Y12,R$263)+COUNTIF('8月'!AC12:AD12,R$263)+COUNTIF('8月'!AH12:AI12,R$263)+COUNTIF('8月'!AM12:AN12,R$263)+COUNTIF('8月'!AR12:AS12,R$263)+COUNTIF('8月'!AW12:AX12,R$263)+COUNTIF('8月'!BB12:BC12,R$263)+COUNTIF('8月'!BG12:BH12,R$263)+COUNTIF('8月'!BL12:BM12,R$263)+COUNTIF('8月'!BQ12:BR12,R$263)+COUNTIF('8月'!BV12:BW12,R$263)+COUNTIF('8月'!CA12:CB12,R$263)+COUNTIF('8月'!CF12:CG12,R$263)+COUNTIF('8月'!CK12:CL12,R$263)+COUNTIF('8月'!CP12:CQ12,R$263)+COUNTIF('8月'!CU12:CV12,R$263)+COUNTIF('8月'!CZ12:DA12,R$263)+COUNTIF('8月'!DE12:DF12,R$263)+COUNTIF('8月'!DJ12:DK12,R$263)+COUNTIF('8月'!DO12:DP12,R$263)+COUNTIF('8月'!DT12:DU12,R$263)+COUNTIF('8月'!DY12:DZ12,R$263)+COUNTIF('8月'!ED12:EE12,R$263)+COUNTIF('8月'!EI12:EJ12,R$263)+COUNTIF('8月'!EN12:EO12,R$263)+COUNTIF('8月'!ES12:ET12,R$263)</f>
        <v>0</v>
      </c>
      <c r="S273" s="76">
        <f t="shared" si="92"/>
        <v>0</v>
      </c>
      <c r="T273" s="76">
        <f>COUNTIF('8月'!D12:E12,T$263)+COUNTIF('8月'!I12:J12,T$263)+COUNTIF('8月'!N12:O12,T$263)+COUNTIF('8月'!S12:T12,T$263)+COUNTIF('8月'!X12:Y12,T$263)+COUNTIF('8月'!AC12:AD12,T$263)+COUNTIF('8月'!AH12:AI12,T$263)+COUNTIF('8月'!AM12:AN12,T$263)+COUNTIF('8月'!AR12:AS12,T$263)+COUNTIF('8月'!AW12:AX12,T$263)+COUNTIF('8月'!BB12:BC12,T$263)+COUNTIF('8月'!BG12:BH12,T$263)+COUNTIF('8月'!BL12:BM12,T$263)+COUNTIF('8月'!BQ12:BR12,T$263)+COUNTIF('8月'!BV12:BW12,T$263)+COUNTIF('8月'!CA12:CB12,T$263)+COUNTIF('8月'!CF12:CG12,T$263)+COUNTIF('8月'!CK12:CL12,T$263)+COUNTIF('8月'!CP12:CQ12,T$263)+COUNTIF('8月'!CU12:CV12,T$263)+COUNTIF('8月'!CZ12:DA12,T$263)+COUNTIF('8月'!DE12:DF12,T$263)+COUNTIF('8月'!DJ12:DK12,T$263)+COUNTIF('8月'!DO12:DP12,T$263)+COUNTIF('8月'!DT12:DU12,T$263)+COUNTIF('8月'!DY12:DZ12,T$263)+COUNTIF('8月'!ED12:EE12,T$263)+COUNTIF('8月'!EI12:EJ12,T$263)+COUNTIF('8月'!EN12:EO12,T$263)+COUNTIF('8月'!ES12:ET12,T$263)</f>
        <v>0</v>
      </c>
      <c r="U273" s="76">
        <f t="shared" si="93"/>
        <v>0</v>
      </c>
      <c r="V273" s="76">
        <f>COUNTIF('8月'!D12:E12,V$263)+COUNTIF('8月'!I12:J12,V$263)+COUNTIF('8月'!N12:O12,V$263)+COUNTIF('8月'!S12:T12,V$263)+COUNTIF('8月'!X12:Y12,V$263)+COUNTIF('8月'!AC12:AD12,V$263)+COUNTIF('8月'!AH12:AI12,V$263)+COUNTIF('8月'!AM12:AN12,V$263)+COUNTIF('8月'!AR12:AS12,V$263)+COUNTIF('8月'!AW12:AX12,V$263)+COUNTIF('8月'!BB12:BC12,V$263)+COUNTIF('8月'!BG12:BH12,V$263)+COUNTIF('8月'!BL12:BM12,V$263)+COUNTIF('8月'!BQ12:BR12,V$263)+COUNTIF('8月'!BV12:BW12,V$263)+COUNTIF('8月'!CA12:CB12,V$263)+COUNTIF('8月'!CF12:CG12,V$263)+COUNTIF('8月'!CK12:CL12,V$263)+COUNTIF('8月'!CP12:CQ12,V$263)+COUNTIF('8月'!CU12:CV12,V$263)+COUNTIF('8月'!CZ12:DA12,V$263)+COUNTIF('8月'!DE12:DF12,V$263)+COUNTIF('8月'!DJ12:DK12,V$263)+COUNTIF('8月'!DO12:DP12,V$263)+COUNTIF('8月'!DT12:DU12,V$263)+COUNTIF('8月'!DY12:DZ12,V$263)+COUNTIF('8月'!ED12:EE12,V$263)+COUNTIF('8月'!EI12:EJ12,V$263)+COUNTIF('8月'!EN12:EO12,V$263)+COUNTIF('8月'!ES12:ET12,V$263)</f>
        <v>0</v>
      </c>
      <c r="W273" s="76">
        <f t="shared" si="94"/>
        <v>0</v>
      </c>
      <c r="X273" s="76">
        <f>COUNTIF('8月'!D12:E12,X$263)+COUNTIF('8月'!I12:J12,X$263)+COUNTIF('8月'!N12:O12,X$263)+COUNTIF('8月'!S12:T12,X$263)+COUNTIF('8月'!X12:Y12,X$263)+COUNTIF('8月'!AC12:AD12,X$263)+COUNTIF('8月'!AH12:AI12,X$263)+COUNTIF('8月'!AM12:AN12,X$263)+COUNTIF('8月'!AR12:AS12,X$263)+COUNTIF('8月'!AW12:AX12,X$263)+COUNTIF('8月'!BB12:BC12,X$263)+COUNTIF('8月'!BG12:BH12,X$263)+COUNTIF('8月'!BL12:BM12,X$263)+COUNTIF('8月'!BQ12:BR12,X$263)+COUNTIF('8月'!BV12:BW12,X$263)+COUNTIF('8月'!CA12:CB12,X$263)+COUNTIF('8月'!CF12:CG12,X$263)+COUNTIF('8月'!CK12:CL12,X$263)+COUNTIF('8月'!CP12:CQ12,X$263)+COUNTIF('8月'!CU12:CV12,X$263)+COUNTIF('8月'!CZ12:DA12,X$263)+COUNTIF('8月'!DE12:DF12,X$263)+COUNTIF('8月'!DJ12:DK12,X$263)+COUNTIF('8月'!DO12:DP12,X$263)+COUNTIF('8月'!DT12:DU12,X$263)+COUNTIF('8月'!DY12:DZ12,X$263)+COUNTIF('8月'!ED12:EE12,X$263)+COUNTIF('8月'!EI12:EJ12,X$263)+COUNTIF('8月'!EN12:EO12,X$263)+COUNTIF('8月'!ES12:ET12,X$263)</f>
        <v>0</v>
      </c>
      <c r="Y273" s="76">
        <f t="shared" si="95"/>
        <v>0</v>
      </c>
    </row>
    <row r="274" spans="1:25" ht="18" customHeight="1">
      <c r="A274" s="76">
        <v>10</v>
      </c>
      <c r="B274" s="76">
        <f>COUNTIF('8月'!D13:E13,B$263)+COUNTIF('8月'!I13:J13,B$263)+COUNTIF('8月'!N13:O13,B$263)+COUNTIF('8月'!S13:T13,B$263)+COUNTIF('8月'!X13:Y13,B$263)+COUNTIF('8月'!AC13:AD13,B$263)+COUNTIF('8月'!AH13:AI13,B$263)+COUNTIF('8月'!AM13:AN13,B$263)+COUNTIF('8月'!AR13:AS13,B$263)+COUNTIF('8月'!AW13:AX13,B$263)+COUNTIF('8月'!BB13:BC13,B$263)+COUNTIF('8月'!BG13:BH13,B$263)+COUNTIF('8月'!BL13:BM13,B$263)+COUNTIF('8月'!BQ13:BR13,B$263)+COUNTIF('8月'!BV13:BW13,B$263)+COUNTIF('8月'!CA13:CB13,B$263)+COUNTIF('8月'!CF13:CG13,B$263)+COUNTIF('8月'!CK13:CL13,B$263)+COUNTIF('8月'!CP13:CQ13,B$263)+COUNTIF('8月'!CU13:CV13,B$263)+COUNTIF('8月'!CZ13:DA13,B$263)+COUNTIF('8月'!DE13:DF13,B$263)+COUNTIF('8月'!DJ13:DK13,B$263)+COUNTIF('8月'!DO13:DP13,B$263)+COUNTIF('8月'!DT13:DU13,B$263)+COUNTIF('8月'!DY13:DZ13,B$263)+COUNTIF('8月'!ED13:EE13,B$263)+COUNTIF('8月'!EI13:EJ13,B$263)+COUNTIF('8月'!EN13:EO13,B$263)+COUNTIF('8月'!ES13:ET13,B$263)</f>
        <v>0</v>
      </c>
      <c r="C274" s="76">
        <f t="shared" si="84"/>
        <v>0</v>
      </c>
      <c r="D274" s="76">
        <f>COUNTIF('8月'!D13:E13,D$263)+COUNTIF('8月'!I13:J13,D$263)+COUNTIF('8月'!N13:O13,D$263)+COUNTIF('8月'!S13:T13,D$263)+COUNTIF('8月'!X13:Y13,D$263)+COUNTIF('8月'!AC13:AD13,D$263)+COUNTIF('8月'!AH13:AI13,D$263)+COUNTIF('8月'!AM13:AN13,D$263)+COUNTIF('8月'!AR13:AS13,D$263)+COUNTIF('8月'!AW13:AX13,D$263)+COUNTIF('8月'!BB13:BC13,D$263)+COUNTIF('8月'!BG13:BH13,D$263)+COUNTIF('8月'!BL13:BM13,D$263)+COUNTIF('8月'!BQ13:BR13,D$263)+COUNTIF('8月'!BV13:BW13,D$263)+COUNTIF('8月'!CA13:CB13,D$263)+COUNTIF('8月'!CF13:CG13,D$263)+COUNTIF('8月'!CK13:CL13,D$263)+COUNTIF('8月'!CP13:CQ13,D$263)+COUNTIF('8月'!CU13:CV13,D$263)+COUNTIF('8月'!CZ13:DA13,D$263)+COUNTIF('8月'!DE13:DF13,D$263)+COUNTIF('8月'!DJ13:DK13,D$263)+COUNTIF('8月'!DO13:DP13,D$263)+COUNTIF('8月'!DT13:DU13,D$263)+COUNTIF('8月'!DY13:DZ13,D$263)+COUNTIF('8月'!ED13:EE13,D$263)+COUNTIF('8月'!EI13:EJ13,D$263)+COUNTIF('8月'!EN13:EO13,D$263)+COUNTIF('8月'!ES13:ET13,D$263)</f>
        <v>0</v>
      </c>
      <c r="E274" s="76">
        <f t="shared" si="85"/>
        <v>0</v>
      </c>
      <c r="F274" s="76">
        <f>COUNTIF('8月'!D13:E13,F$263)+COUNTIF('8月'!I13:J13,F$263)+COUNTIF('8月'!N13:O13,F$263)+COUNTIF('8月'!S13:T13,F$263)+COUNTIF('8月'!X13:Y13,F$263)+COUNTIF('8月'!AC13:AD13,F$263)+COUNTIF('8月'!AH13:AI13,F$263)+COUNTIF('8月'!AM13:AN13,F$263)+COUNTIF('8月'!AR13:AS13,F$263)+COUNTIF('8月'!AW13:AX13,F$263)+COUNTIF('8月'!BB13:BC13,F$263)+COUNTIF('8月'!BG13:BH13,F$263)+COUNTIF('8月'!BL13:BM13,F$263)+COUNTIF('8月'!BQ13:BR13,F$263)+COUNTIF('8月'!BV13:BW13,F$263)+COUNTIF('8月'!CA13:CB13,F$263)+COUNTIF('8月'!CF13:CG13,F$263)+COUNTIF('8月'!CK13:CL13,F$263)+COUNTIF('8月'!CP13:CQ13,F$263)+COUNTIF('8月'!CU13:CV13,F$263)+COUNTIF('8月'!CZ13:DA13,F$263)+COUNTIF('8月'!DE13:DF13,F$263)+COUNTIF('8月'!DJ13:DK13,F$263)+COUNTIF('8月'!DO13:DP13,F$263)+COUNTIF('8月'!DT13:DU13,F$263)+COUNTIF('8月'!DY13:DZ13,F$263)+COUNTIF('8月'!ED13:EE13,F$263)+COUNTIF('8月'!EI13:EJ13,F$263)+COUNTIF('8月'!EN13:EO13,F$263)+COUNTIF('8月'!ES13:ET13,F$263)</f>
        <v>0</v>
      </c>
      <c r="G274" s="76">
        <f t="shared" si="86"/>
        <v>0</v>
      </c>
      <c r="H274" s="76">
        <f>COUNTIF('8月'!D13:E13,H$263)+COUNTIF('8月'!I13:J13,H$263)+COUNTIF('8月'!N13:O13,H$263)+COUNTIF('8月'!S13:T13,H$263)+COUNTIF('8月'!X13:Y13,H$263)+COUNTIF('8月'!AC13:AD13,H$263)+COUNTIF('8月'!AH13:AI13,H$263)+COUNTIF('8月'!AM13:AN13,H$263)+COUNTIF('8月'!AR13:AS13,H$263)+COUNTIF('8月'!AW13:AX13,H$263)+COUNTIF('8月'!BB13:BC13,H$263)+COUNTIF('8月'!BG13:BH13,H$263)+COUNTIF('8月'!BL13:BM13,H$263)+COUNTIF('8月'!BQ13:BR13,H$263)+COUNTIF('8月'!BV13:BW13,H$263)+COUNTIF('8月'!CA13:CB13,H$263)+COUNTIF('8月'!CF13:CG13,H$263)+COUNTIF('8月'!CK13:CL13,H$263)+COUNTIF('8月'!CP13:CQ13,H$263)+COUNTIF('8月'!CU13:CV13,H$263)+COUNTIF('8月'!CZ13:DA13,H$263)+COUNTIF('8月'!DE13:DF13,H$263)+COUNTIF('8月'!DJ13:DK13,H$263)+COUNTIF('8月'!DO13:DP13,H$263)+COUNTIF('8月'!DT13:DU13,H$263)+COUNTIF('8月'!DY13:DZ13,H$263)+COUNTIF('8月'!ED13:EE13,H$263)+COUNTIF('8月'!EI13:EJ13,H$263)+COUNTIF('8月'!EN13:EO13,H$263)+COUNTIF('8月'!ES13:ET13,H$263)+COUNTIF('8月'!D13:E13,"渋谷-夜勤")+COUNTIF('8月'!I13:J13,"渋谷-夜勤")+COUNTIF('8月'!N13:O13,"渋谷-夜勤")+COUNTIF('8月'!S13:T13,"渋谷-夜勤")+COUNTIF('8月'!X13:Y13,"渋谷-夜勤")+COUNTIF('8月'!AC13:AD13,"渋谷-夜勤")+COUNTIF('8月'!AH13:AI13,"渋谷-夜勤")+COUNTIF('8月'!AM13:AN13,"渋谷-夜勤")+COUNTIF('8月'!AR13:AS13,"渋谷-夜勤")+COUNTIF('8月'!AW13:AX13,"渋谷-夜勤")+COUNTIF('8月'!BB13:BC13,"渋谷-夜勤")+COUNTIF('8月'!BG13:BH13,"渋谷-夜勤")+COUNTIF('8月'!BL13:BM13,"渋谷-夜勤")+COUNTIF('8月'!BQ13:BR13,"渋谷-夜勤")+COUNTIF('8月'!BV13:BW13,"渋谷-夜勤")+COUNTIF('8月'!CA13:CB13,"渋谷-夜勤")+COUNTIF('8月'!CF13:CG13,"渋谷-夜勤")+COUNTIF('8月'!CK13:CL13,"渋谷-夜勤")+COUNTIF('8月'!CP13:CQ13,"渋谷-夜勤")+COUNTIF('8月'!CU13:CV13,"渋谷-夜勤")+COUNTIF('8月'!CZ13:DA13,"渋谷-夜勤")+COUNTIF('8月'!DE13:DF13,"渋谷-夜勤")+COUNTIF('8月'!DJ13:DK13,"渋谷-夜勤")+COUNTIF('8月'!DO13:DP13,"渋谷-夜勤")+COUNTIF('8月'!DT13:DU13,"渋谷-夜勤")+COUNTIF('8月'!DY13:DZ13,"渋谷-夜勤")+COUNTIF('8月'!ED13:EE13,"渋谷-夜勤")+COUNTIF('8月'!EI13:EJ13,"渋谷-夜勤")+COUNTIF('8月'!EN13:EO13,"渋谷-夜勤")+COUNTIF('8月'!ES13:ET13,"渋谷-夜勤")</f>
        <v>0</v>
      </c>
      <c r="I274" s="76">
        <f t="shared" si="87"/>
        <v>0</v>
      </c>
      <c r="J274" s="76">
        <f>COUNTIF('8月'!D13:E13,J$263)+COUNTIF('8月'!I13:J13,J$263)+COUNTIF('8月'!N13:O13,J$263)+COUNTIF('8月'!S13:T13,J$263)+COUNTIF('8月'!X13:Y13,J$263)+COUNTIF('8月'!AC13:AD13,J$263)+COUNTIF('8月'!AH13:AI13,J$263)+COUNTIF('8月'!AM13:AN13,J$263)+COUNTIF('8月'!AR13:AS13,J$263)+COUNTIF('8月'!AW13:AX13,J$263)+COUNTIF('8月'!BB13:BC13,J$263)+COUNTIF('8月'!BG13:BH13,J$263)+COUNTIF('8月'!BL13:BM13,J$263)+COUNTIF('8月'!BQ13:BR13,J$263)+COUNTIF('8月'!BV13:BW13,J$263)+COUNTIF('8月'!CA13:CB13,J$263)+COUNTIF('8月'!CF13:CG13,J$263)+COUNTIF('8月'!CK13:CL13,J$263)+COUNTIF('8月'!CP13:CQ13,J$263)+COUNTIF('8月'!CU13:CV13,J$263)+COUNTIF('8月'!CZ13:DA13,J$263)+COUNTIF('8月'!DE13:DF13,J$263)+COUNTIF('8月'!DJ13:DK13,J$263)+COUNTIF('8月'!DO13:DP13,J$263)+COUNTIF('8月'!DT13:DU13,J$263)+COUNTIF('8月'!DY13:DZ13,J$263)+COUNTIF('8月'!ED13:EE13,J$263)+COUNTIF('8月'!EI13:EJ13,J$263)+COUNTIF('8月'!EN13:EO13,J$263)+COUNTIF('8月'!ES13:ET13,J$263)+COUNTIF('8月'!D13:E13,"六本木-夜勤")+COUNTIF('8月'!I13:J13,"六本木-夜勤")+COUNTIF('8月'!N13:O13,"六本木-夜勤")+COUNTIF('8月'!S13:T13,"六本木-夜勤")+COUNTIF('8月'!X13:Y13,"六本木-夜勤")+COUNTIF('8月'!AC13:AD13,"六本木-夜勤")+COUNTIF('8月'!AH13:AI13,"六本木-夜勤")+COUNTIF('8月'!AM13:AN13,"六本木-夜勤")+COUNTIF('8月'!AR13:AS13,"六本木-夜勤")+COUNTIF('8月'!AW13:AX13,"六本木-夜勤")+COUNTIF('8月'!BB13:BC13,"六本木-夜勤")+COUNTIF('8月'!BG13:BH13,"六本木-夜勤")+COUNTIF('8月'!BL13:BM13,"六本木-夜勤")+COUNTIF('8月'!BQ13:BR13,"六本木-夜勤")+COUNTIF('8月'!BV13:BW13,"六本木-夜勤")+COUNTIF('8月'!CA13:CB13,"六本木-夜勤")+COUNTIF('8月'!CF13:CG13,"六本木-夜勤")+COUNTIF('8月'!CK13:CL13,"六本木-夜勤")+COUNTIF('8月'!CP13:CQ13,"六本木-夜勤")+COUNTIF('8月'!CU13:CV13,"六本木-夜勤")+COUNTIF('8月'!CZ13:DA13,"六本木-夜勤")+COUNTIF('8月'!DE13:DF13,"六本木-夜勤")+COUNTIF('8月'!DJ13:DK13,"六本木-夜勤")+COUNTIF('8月'!DO13:DP13,"六本木-夜勤")+COUNTIF('8月'!DT13:DU13,"六本木-夜勤")+COUNTIF('8月'!DY13:DZ13,"六本木-夜勤")+COUNTIF('8月'!ED13:EE13,"六本木-夜勤")+COUNTIF('8月'!EI13:EJ13,"六本木-夜勤")+COUNTIF('8月'!EN13:EO13,"六本木-夜勤")+COUNTIF('8月'!ES13:ET13,"六本木-夜勤")+COUNTIF('8月'!D13:E13,"六本木ー夜勤")+COUNTIF('8月'!I13:J13,"六本木ー夜勤")+COUNTIF('8月'!N13:O13,"六本木ー夜勤")+COUNTIF('8月'!S13:T13,"六本木ー夜勤")+COUNTIF('8月'!X13:Y13,"六本木ー夜勤")+COUNTIF('8月'!AC13:AD13,"六本木ー夜勤")+COUNTIF('8月'!AH13:AI13,"六本木ー夜勤")+COUNTIF('8月'!AM13:AN13,"六本木ー夜勤")+COUNTIF('8月'!AR13:AS13,"六本木ー夜勤")+COUNTIF('8月'!AW13:AX13,"六本木ー夜勤")+COUNTIF('8月'!BB13:BC13,"六本木ー夜勤")+COUNTIF('8月'!BG13:BH13,"六本木ー夜勤")+COUNTIF('8月'!BL13:BM13,"六本木ー夜勤")+COUNTIF('8月'!BQ13:BR13,"六本木ー夜勤")+COUNTIF('8月'!BV13:BW13,"六本木ー夜勤")+COUNTIF('8月'!CA13:CB13,"六本木ー夜勤")+COUNTIF('8月'!CF13:CG13,"六本木ー夜勤")+COUNTIF('8月'!CK13:CL13,"六本木ー夜勤")+COUNTIF('8月'!CP13:CQ13,"六本木ー夜勤")+COUNTIF('8月'!CU13:CV13,"六本木ー夜勤")+COUNTIF('8月'!CZ13:DA13,"六本木ー夜勤")+COUNTIF('8月'!DE13:DF13,"六本木ー夜勤")+COUNTIF('8月'!DJ13:DK13,"六本木ー夜勤")+COUNTIF('8月'!DO13:DP13,"六本木ー夜勤")+COUNTIF('8月'!DT13:DU13,"六本木ー夜勤")+COUNTIF('8月'!DY13:DZ13,"六本木ー夜勤")+COUNTIF('8月'!ED13:EE13,"六本木ー夜勤")+COUNTIF('8月'!EI13:EJ13,"六本木ー夜勤")+COUNTIF('8月'!EN13:EO13,"六本木ー夜勤")+COUNTIF('8月'!ES13:ET13,"六本木ー夜勤")</f>
        <v>0</v>
      </c>
      <c r="K274" s="76">
        <f t="shared" si="88"/>
        <v>0</v>
      </c>
      <c r="L274" s="76">
        <f>COUNTIF('8月'!D13:E13,L$263)+COUNTIF('8月'!I13:J13,L$263)+COUNTIF('8月'!N13:O13,L$263)+COUNTIF('8月'!S13:T13,L$263)+COUNTIF('8月'!X13:Y13,L$263)+COUNTIF('8月'!AC13:AD13,L$263)+COUNTIF('8月'!AH13:AI13,L$263)+COUNTIF('8月'!AM13:AN13,L$263)+COUNTIF('8月'!AR13:AS13,L$263)+COUNTIF('8月'!AW13:AX13,L$263)+COUNTIF('8月'!BB13:BC13,L$263)+COUNTIF('8月'!BG13:BH13,L$263)+COUNTIF('8月'!BL13:BM13,L$263)+COUNTIF('8月'!BQ13:BR13,L$263)+COUNTIF('8月'!BV13:BW13,L$263)+COUNTIF('8月'!CA13:CB13,L$263)+COUNTIF('8月'!CF13:CG13,L$263)+COUNTIF('8月'!CK13:CL13,L$263)+COUNTIF('8月'!CP13:CQ13,L$263)+COUNTIF('8月'!CU13:CV13,L$263)+COUNTIF('8月'!CZ13:DA13,L$263)+COUNTIF('8月'!DE13:DF13,L$263)+COUNTIF('8月'!DJ13:DK13,L$263)+COUNTIF('8月'!DO13:DP13,L$263)+COUNTIF('8月'!DT13:DU13,L$263)+COUNTIF('8月'!DY13:DZ13,L$263)+COUNTIF('8月'!ED13:EE13,L$263)+COUNTIF('8月'!EI13:EJ13,L$263)+COUNTIF('8月'!EN13:EO13,L$263)+COUNTIF('8月'!ES13:ET13,L$263)</f>
        <v>0</v>
      </c>
      <c r="M274" s="76">
        <f t="shared" si="89"/>
        <v>0</v>
      </c>
      <c r="N274" s="76">
        <f>COUNTIF('8月'!D13:E13,N$263)+COUNTIF('8月'!I13:J13,N$263)+COUNTIF('8月'!N13:O13,N$263)+COUNTIF('8月'!S13:T13,N$263)+COUNTIF('8月'!X13:Y13,N$263)+COUNTIF('8月'!AC13:AD13,N$263)+COUNTIF('8月'!AH13:AI13,N$263)+COUNTIF('8月'!AM13:AN13,N$263)+COUNTIF('8月'!AR13:AS13,N$263)+COUNTIF('8月'!AW13:AX13,N$263)+COUNTIF('8月'!BB13:BC13,N$263)+COUNTIF('8月'!BG13:BH13,N$263)+COUNTIF('8月'!BL13:BM13,N$263)+COUNTIF('8月'!BQ13:BR13,N$263)+COUNTIF('8月'!BV13:BW13,N$263)+COUNTIF('8月'!CA13:CB13,N$263)+COUNTIF('8月'!CF13:CG13,N$263)+COUNTIF('8月'!CK13:CL13,N$263)+COUNTIF('8月'!CP13:CQ13,N$263)+COUNTIF('8月'!CU13:CV13,N$263)+COUNTIF('8月'!CZ13:DA13,N$263)+COUNTIF('8月'!DE13:DF13,N$263)+COUNTIF('8月'!DJ13:DK13,N$263)+COUNTIF('8月'!DO13:DP13,N$263)+COUNTIF('8月'!DT13:DU13,N$263)+COUNTIF('8月'!DY13:DZ13,N$263)+COUNTIF('8月'!ED13:EE13,N$263)+COUNTIF('8月'!EI13:EJ13,N$263)+COUNTIF('8月'!EN13:EO13,N$263)+COUNTIF('8月'!ES13:ET13,N$263)+COUNTIF('8月'!D13:E13,"三軒茶屋－夜勤")+COUNTIF('8月'!I13:J13,"三軒茶屋－夜勤")+COUNTIF('8月'!N13:O13,"三軒茶屋－夜勤")+COUNTIF('8月'!S13:T13,"三軒茶屋－夜勤")+COUNTIF('8月'!X13:Y13,"三軒茶屋－夜勤")+COUNTIF('8月'!AC13:AD13,"三軒茶屋－夜勤")+COUNTIF('8月'!AH13:AI13,"三軒茶屋－夜勤")+COUNTIF('8月'!AM13:AN13,"三軒茶屋－夜勤")+COUNTIF('8月'!AR13:AS13,"三軒茶屋－夜勤")+COUNTIF('8月'!AW13:AX13,"三軒茶屋－夜勤")+COUNTIF('8月'!BB13:BC13,"三軒茶屋－夜勤")+COUNTIF('8月'!BG13:BH13,"三軒茶屋－夜勤")+COUNTIF('8月'!BL13:BM13,"三軒茶屋－夜勤")+COUNTIF('8月'!BQ13:BR13,"三軒茶屋－夜勤")+COUNTIF('8月'!BV13:BW13,"三軒茶屋－夜勤")+COUNTIF('8月'!CA13:CB13,"三軒茶屋－夜勤")+COUNTIF('8月'!CF13:CG13,"三軒茶屋－夜勤")+COUNTIF('8月'!CK13:CL13,"三軒茶屋－夜勤")+COUNTIF('8月'!CP13:CQ13,"三軒茶屋－夜勤")+COUNTIF('8月'!CU13:CV13,"三軒茶屋－夜勤")+COUNTIF('8月'!CZ13:DA13,"三軒茶屋－夜勤")+COUNTIF('8月'!DE13:DF13,"三軒茶屋－夜勤")+COUNTIF('8月'!DJ13:DK13,"三軒茶屋－夜勤")+COUNTIF('8月'!DO13:DP13,"三軒茶屋－夜勤")+COUNTIF('8月'!DT13:DU13,"三軒茶屋－夜勤")+COUNTIF('8月'!DY13:DZ13,"三軒茶屋－夜勤")+COUNTIF('8月'!ED13:EE13,"三軒茶屋－夜勤")+COUNTIF('8月'!EI13:EJ13,"三軒茶屋－夜勤")+COUNTIF('8月'!EN13:EO13,"三軒茶屋－夜勤")+COUNTIF('8月'!ES13:ET13,"三軒茶屋－夜勤")</f>
        <v>0</v>
      </c>
      <c r="O274" s="76">
        <f t="shared" si="90"/>
        <v>0</v>
      </c>
      <c r="P274" s="76">
        <f>COUNTIF('8月'!D13:E13,P$263)+COUNTIF('8月'!I13:J13,P$263)+COUNTIF('8月'!N13:O13,P$263)+COUNTIF('8月'!S13:T13,P$263)+COUNTIF('8月'!X13:Y13,P$263)+COUNTIF('8月'!AC13:AD13,P$263)+COUNTIF('8月'!AH13:AI13,P$263)+COUNTIF('8月'!AM13:AN13,P$263)+COUNTIF('8月'!AR13:AS13,P$263)+COUNTIF('8月'!AW13:AX13,P$263)+COUNTIF('8月'!BB13:BC13,P$263)+COUNTIF('8月'!BG13:BH13,P$263)+COUNTIF('8月'!BL13:BM13,P$263)+COUNTIF('8月'!BQ13:BR13,P$263)+COUNTIF('8月'!BV13:BW13,P$263)+COUNTIF('8月'!CA13:CB13,P$263)+COUNTIF('8月'!CF13:CG13,P$263)+COUNTIF('8月'!CK13:CL13,P$263)+COUNTIF('8月'!CP13:CQ13,P$263)+COUNTIF('8月'!CU13:CV13,P$263)+COUNTIF('8月'!CZ13:DA13,P$263)+COUNTIF('8月'!DE13:DF13,P$263)+COUNTIF('8月'!DJ13:DK13,P$263)+COUNTIF('8月'!DO13:DP13,P$263)+COUNTIF('8月'!DT13:DU13,P$263)+COUNTIF('8月'!DY13:DZ13,P$263)+COUNTIF('8月'!ED13:EE13,P$263)+COUNTIF('8月'!EI13:EJ13,P$263)+COUNTIF('8月'!EN13:EO13,P$263)+COUNTIF('8月'!ES13:ET13,P$263)+COUNTIF('8月'!D13:E13,"荻窪ー夜勤")+COUNTIF('8月'!I13:J13,"荻窪ー夜勤")+COUNTIF('8月'!N13:O13,"荻窪ー夜勤")+COUNTIF('8月'!S13:T13,"荻窪ー夜勤")+COUNTIF('8月'!X13:Y13,"荻窪ー夜勤")+COUNTIF('8月'!AC13:AD13,"荻窪ー夜勤")+COUNTIF('8月'!AH13:AI13,"荻窪ー夜勤")+COUNTIF('8月'!AM13:AN13,"荻窪ー夜勤")+COUNTIF('8月'!AR13:AS13,"荻窪ー夜勤")+COUNTIF('8月'!AW13:AX13,"荻窪ー夜勤")+COUNTIF('8月'!BB13:BC13,"荻窪ー夜勤")+COUNTIF('8月'!BG13:BH13,"荻窪ー夜勤")+COUNTIF('8月'!BL13:BM13,"荻窪ー夜勤")+COUNTIF('8月'!BQ13:BR13,"荻窪ー夜勤")+COUNTIF('8月'!BV13:BW13,"荻窪ー夜勤")+COUNTIF('8月'!CA13:CB13,"荻窪ー夜勤")+COUNTIF('8月'!CF13:CG13,"荻窪ー夜勤")+COUNTIF('8月'!CK13:CL13,"荻窪ー夜勤")+COUNTIF('8月'!CP13:CQ13,"荻窪ー夜勤")+COUNTIF('8月'!CU13:CV13,"荻窪ー夜勤")+COUNTIF('8月'!CZ13:DA13,"荻窪ー夜勤")+COUNTIF('8月'!DE13:DF13,"荻窪ー夜勤")+COUNTIF('8月'!DJ13:DK13,"荻窪ー夜勤")+COUNTIF('8月'!DO13:DP13,"荻窪ー夜勤")+COUNTIF('8月'!DT13:DU13,"荻窪ー夜勤")+COUNTIF('8月'!DY13:DZ13,"荻窪ー夜勤")+COUNTIF('8月'!ED13:EE13,"荻窪ー夜勤")+COUNTIF('8月'!EI13:EJ13,"荻窪ー夜勤")+COUNTIF('8月'!EN13:EO13,"荻窪ー夜勤")+COUNTIF('8月'!ES13:ET13,"荻窪ー夜勤")</f>
        <v>0</v>
      </c>
      <c r="Q274" s="76">
        <f t="shared" si="91"/>
        <v>0</v>
      </c>
      <c r="R274" s="76">
        <f>COUNTIF('8月'!D13:E13,R$263)+COUNTIF('8月'!I13:J13,R$263)+COUNTIF('8月'!N13:O13,R$263)+COUNTIF('8月'!S13:T13,R$263)+COUNTIF('8月'!X13:Y13,R$263)+COUNTIF('8月'!AC13:AD13,R$263)+COUNTIF('8月'!AH13:AI13,R$263)+COUNTIF('8月'!AM13:AN13,R$263)+COUNTIF('8月'!AR13:AS13,R$263)+COUNTIF('8月'!AW13:AX13,R$263)+COUNTIF('8月'!BB13:BC13,R$263)+COUNTIF('8月'!BG13:BH13,R$263)+COUNTIF('8月'!BL13:BM13,R$263)+COUNTIF('8月'!BQ13:BR13,R$263)+COUNTIF('8月'!BV13:BW13,R$263)+COUNTIF('8月'!CA13:CB13,R$263)+COUNTIF('8月'!CF13:CG13,R$263)+COUNTIF('8月'!CK13:CL13,R$263)+COUNTIF('8月'!CP13:CQ13,R$263)+COUNTIF('8月'!CU13:CV13,R$263)+COUNTIF('8月'!CZ13:DA13,R$263)+COUNTIF('8月'!DE13:DF13,R$263)+COUNTIF('8月'!DJ13:DK13,R$263)+COUNTIF('8月'!DO13:DP13,R$263)+COUNTIF('8月'!DT13:DU13,R$263)+COUNTIF('8月'!DY13:DZ13,R$263)+COUNTIF('8月'!ED13:EE13,R$263)+COUNTIF('8月'!EI13:EJ13,R$263)+COUNTIF('8月'!EN13:EO13,R$263)+COUNTIF('8月'!ES13:ET13,R$263)</f>
        <v>0</v>
      </c>
      <c r="S274" s="76">
        <f t="shared" si="92"/>
        <v>0</v>
      </c>
      <c r="T274" s="76">
        <f>COUNTIF('8月'!D13:E13,T$263)+COUNTIF('8月'!I13:J13,T$263)+COUNTIF('8月'!N13:O13,T$263)+COUNTIF('8月'!S13:T13,T$263)+COUNTIF('8月'!X13:Y13,T$263)+COUNTIF('8月'!AC13:AD13,T$263)+COUNTIF('8月'!AH13:AI13,T$263)+COUNTIF('8月'!AM13:AN13,T$263)+COUNTIF('8月'!AR13:AS13,T$263)+COUNTIF('8月'!AW13:AX13,T$263)+COUNTIF('8月'!BB13:BC13,T$263)+COUNTIF('8月'!BG13:BH13,T$263)+COUNTIF('8月'!BL13:BM13,T$263)+COUNTIF('8月'!BQ13:BR13,T$263)+COUNTIF('8月'!BV13:BW13,T$263)+COUNTIF('8月'!CA13:CB13,T$263)+COUNTIF('8月'!CF13:CG13,T$263)+COUNTIF('8月'!CK13:CL13,T$263)+COUNTIF('8月'!CP13:CQ13,T$263)+COUNTIF('8月'!CU13:CV13,T$263)+COUNTIF('8月'!CZ13:DA13,T$263)+COUNTIF('8月'!DE13:DF13,T$263)+COUNTIF('8月'!DJ13:DK13,T$263)+COUNTIF('8月'!DO13:DP13,T$263)+COUNTIF('8月'!DT13:DU13,T$263)+COUNTIF('8月'!DY13:DZ13,T$263)+COUNTIF('8月'!ED13:EE13,T$263)+COUNTIF('8月'!EI13:EJ13,T$263)+COUNTIF('8月'!EN13:EO13,T$263)+COUNTIF('8月'!ES13:ET13,T$263)</f>
        <v>0</v>
      </c>
      <c r="U274" s="76">
        <f t="shared" si="93"/>
        <v>0</v>
      </c>
      <c r="V274" s="76">
        <f>COUNTIF('8月'!D13:E13,V$263)+COUNTIF('8月'!I13:J13,V$263)+COUNTIF('8月'!N13:O13,V$263)+COUNTIF('8月'!S13:T13,V$263)+COUNTIF('8月'!X13:Y13,V$263)+COUNTIF('8月'!AC13:AD13,V$263)+COUNTIF('8月'!AH13:AI13,V$263)+COUNTIF('8月'!AM13:AN13,V$263)+COUNTIF('8月'!AR13:AS13,V$263)+COUNTIF('8月'!AW13:AX13,V$263)+COUNTIF('8月'!BB13:BC13,V$263)+COUNTIF('8月'!BG13:BH13,V$263)+COUNTIF('8月'!BL13:BM13,V$263)+COUNTIF('8月'!BQ13:BR13,V$263)+COUNTIF('8月'!BV13:BW13,V$263)+COUNTIF('8月'!CA13:CB13,V$263)+COUNTIF('8月'!CF13:CG13,V$263)+COUNTIF('8月'!CK13:CL13,V$263)+COUNTIF('8月'!CP13:CQ13,V$263)+COUNTIF('8月'!CU13:CV13,V$263)+COUNTIF('8月'!CZ13:DA13,V$263)+COUNTIF('8月'!DE13:DF13,V$263)+COUNTIF('8月'!DJ13:DK13,V$263)+COUNTIF('8月'!DO13:DP13,V$263)+COUNTIF('8月'!DT13:DU13,V$263)+COUNTIF('8月'!DY13:DZ13,V$263)+COUNTIF('8月'!ED13:EE13,V$263)+COUNTIF('8月'!EI13:EJ13,V$263)+COUNTIF('8月'!EN13:EO13,V$263)+COUNTIF('8月'!ES13:ET13,V$263)</f>
        <v>0</v>
      </c>
      <c r="W274" s="76">
        <f t="shared" si="94"/>
        <v>0</v>
      </c>
      <c r="X274" s="76">
        <f>COUNTIF('8月'!D13:E13,X$263)+COUNTIF('8月'!I13:J13,X$263)+COUNTIF('8月'!N13:O13,X$263)+COUNTIF('8月'!S13:T13,X$263)+COUNTIF('8月'!X13:Y13,X$263)+COUNTIF('8月'!AC13:AD13,X$263)+COUNTIF('8月'!AH13:AI13,X$263)+COUNTIF('8月'!AM13:AN13,X$263)+COUNTIF('8月'!AR13:AS13,X$263)+COUNTIF('8月'!AW13:AX13,X$263)+COUNTIF('8月'!BB13:BC13,X$263)+COUNTIF('8月'!BG13:BH13,X$263)+COUNTIF('8月'!BL13:BM13,X$263)+COUNTIF('8月'!BQ13:BR13,X$263)+COUNTIF('8月'!BV13:BW13,X$263)+COUNTIF('8月'!CA13:CB13,X$263)+COUNTIF('8月'!CF13:CG13,X$263)+COUNTIF('8月'!CK13:CL13,X$263)+COUNTIF('8月'!CP13:CQ13,X$263)+COUNTIF('8月'!CU13:CV13,X$263)+COUNTIF('8月'!CZ13:DA13,X$263)+COUNTIF('8月'!DE13:DF13,X$263)+COUNTIF('8月'!DJ13:DK13,X$263)+COUNTIF('8月'!DO13:DP13,X$263)+COUNTIF('8月'!DT13:DU13,X$263)+COUNTIF('8月'!DY13:DZ13,X$263)+COUNTIF('8月'!ED13:EE13,X$263)+COUNTIF('8月'!EI13:EJ13,X$263)+COUNTIF('8月'!EN13:EO13,X$263)+COUNTIF('8月'!ES13:ET13,X$263)</f>
        <v>0</v>
      </c>
      <c r="Y274" s="76">
        <f t="shared" si="95"/>
        <v>0</v>
      </c>
    </row>
    <row r="275" spans="1:25" ht="18" customHeight="1">
      <c r="A275" s="76">
        <v>11</v>
      </c>
      <c r="B275" s="76">
        <f>COUNTIF('8月'!D14:E14,B$263)+COUNTIF('8月'!I14:J14,B$263)+COUNTIF('8月'!N14:O14,B$263)+COUNTIF('8月'!S14:T14,B$263)+COUNTIF('8月'!X14:Y14,B$263)+COUNTIF('8月'!AC14:AD14,B$263)+COUNTIF('8月'!AH14:AI14,B$263)+COUNTIF('8月'!AM14:AN14,B$263)+COUNTIF('8月'!AR14:AS14,B$263)+COUNTIF('8月'!AW14:AX14,B$263)+COUNTIF('8月'!BB14:BC14,B$263)+COUNTIF('8月'!BG14:BH14,B$263)+COUNTIF('8月'!BL14:BM14,B$263)+COUNTIF('8月'!BQ14:BR14,B$263)+COUNTIF('8月'!BV14:BW14,B$263)+COUNTIF('8月'!CA14:CB14,B$263)+COUNTIF('8月'!CF14:CG14,B$263)+COUNTIF('8月'!CK14:CL14,B$263)+COUNTIF('8月'!CP14:CQ14,B$263)+COUNTIF('8月'!CU14:CV14,B$263)+COUNTIF('8月'!CZ14:DA14,B$263)+COUNTIF('8月'!DE14:DF14,B$263)+COUNTIF('8月'!DJ14:DK14,B$263)+COUNTIF('8月'!DO14:DP14,B$263)+COUNTIF('8月'!DT14:DU14,B$263)+COUNTIF('8月'!DY14:DZ14,B$263)+COUNTIF('8月'!ED14:EE14,B$263)+COUNTIF('8月'!EI14:EJ14,B$263)+COUNTIF('8月'!EN14:EO14,B$263)+COUNTIF('8月'!ES14:ET14,B$263)</f>
        <v>0</v>
      </c>
      <c r="C275" s="76">
        <f t="shared" si="84"/>
        <v>0</v>
      </c>
      <c r="D275" s="76">
        <f>COUNTIF('8月'!D14:E14,D$263)+COUNTIF('8月'!I14:J14,D$263)+COUNTIF('8月'!N14:O14,D$263)+COUNTIF('8月'!S14:T14,D$263)+COUNTIF('8月'!X14:Y14,D$263)+COUNTIF('8月'!AC14:AD14,D$263)+COUNTIF('8月'!AH14:AI14,D$263)+COUNTIF('8月'!AM14:AN14,D$263)+COUNTIF('8月'!AR14:AS14,D$263)+COUNTIF('8月'!AW14:AX14,D$263)+COUNTIF('8月'!BB14:BC14,D$263)+COUNTIF('8月'!BG14:BH14,D$263)+COUNTIF('8月'!BL14:BM14,D$263)+COUNTIF('8月'!BQ14:BR14,D$263)+COUNTIF('8月'!BV14:BW14,D$263)+COUNTIF('8月'!CA14:CB14,D$263)+COUNTIF('8月'!CF14:CG14,D$263)+COUNTIF('8月'!CK14:CL14,D$263)+COUNTIF('8月'!CP14:CQ14,D$263)+COUNTIF('8月'!CU14:CV14,D$263)+COUNTIF('8月'!CZ14:DA14,D$263)+COUNTIF('8月'!DE14:DF14,D$263)+COUNTIF('8月'!DJ14:DK14,D$263)+COUNTIF('8月'!DO14:DP14,D$263)+COUNTIF('8月'!DT14:DU14,D$263)+COUNTIF('8月'!DY14:DZ14,D$263)+COUNTIF('8月'!ED14:EE14,D$263)+COUNTIF('8月'!EI14:EJ14,D$263)+COUNTIF('8月'!EN14:EO14,D$263)+COUNTIF('8月'!ES14:ET14,D$263)</f>
        <v>0</v>
      </c>
      <c r="E275" s="76">
        <f t="shared" si="85"/>
        <v>0</v>
      </c>
      <c r="F275" s="76">
        <f>COUNTIF('8月'!D14:E14,F$263)+COUNTIF('8月'!I14:J14,F$263)+COUNTIF('8月'!N14:O14,F$263)+COUNTIF('8月'!S14:T14,F$263)+COUNTIF('8月'!X14:Y14,F$263)+COUNTIF('8月'!AC14:AD14,F$263)+COUNTIF('8月'!AH14:AI14,F$263)+COUNTIF('8月'!AM14:AN14,F$263)+COUNTIF('8月'!AR14:AS14,F$263)+COUNTIF('8月'!AW14:AX14,F$263)+COUNTIF('8月'!BB14:BC14,F$263)+COUNTIF('8月'!BG14:BH14,F$263)+COUNTIF('8月'!BL14:BM14,F$263)+COUNTIF('8月'!BQ14:BR14,F$263)+COUNTIF('8月'!BV14:BW14,F$263)+COUNTIF('8月'!CA14:CB14,F$263)+COUNTIF('8月'!CF14:CG14,F$263)+COUNTIF('8月'!CK14:CL14,F$263)+COUNTIF('8月'!CP14:CQ14,F$263)+COUNTIF('8月'!CU14:CV14,F$263)+COUNTIF('8月'!CZ14:DA14,F$263)+COUNTIF('8月'!DE14:DF14,F$263)+COUNTIF('8月'!DJ14:DK14,F$263)+COUNTIF('8月'!DO14:DP14,F$263)+COUNTIF('8月'!DT14:DU14,F$263)+COUNTIF('8月'!DY14:DZ14,F$263)+COUNTIF('8月'!ED14:EE14,F$263)+COUNTIF('8月'!EI14:EJ14,F$263)+COUNTIF('8月'!EN14:EO14,F$263)+COUNTIF('8月'!ES14:ET14,F$263)</f>
        <v>0</v>
      </c>
      <c r="G275" s="76">
        <f t="shared" si="86"/>
        <v>0</v>
      </c>
      <c r="H275" s="76">
        <f>COUNTIF('8月'!D14:E14,H$263)+COUNTIF('8月'!I14:J14,H$263)+COUNTIF('8月'!N14:O14,H$263)+COUNTIF('8月'!S14:T14,H$263)+COUNTIF('8月'!X14:Y14,H$263)+COUNTIF('8月'!AC14:AD14,H$263)+COUNTIF('8月'!AH14:AI14,H$263)+COUNTIF('8月'!AM14:AN14,H$263)+COUNTIF('8月'!AR14:AS14,H$263)+COUNTIF('8月'!AW14:AX14,H$263)+COUNTIF('8月'!BB14:BC14,H$263)+COUNTIF('8月'!BG14:BH14,H$263)+COUNTIF('8月'!BL14:BM14,H$263)+COUNTIF('8月'!BQ14:BR14,H$263)+COUNTIF('8月'!BV14:BW14,H$263)+COUNTIF('8月'!CA14:CB14,H$263)+COUNTIF('8月'!CF14:CG14,H$263)+COUNTIF('8月'!CK14:CL14,H$263)+COUNTIF('8月'!CP14:CQ14,H$263)+COUNTIF('8月'!CU14:CV14,H$263)+COUNTIF('8月'!CZ14:DA14,H$263)+COUNTIF('8月'!DE14:DF14,H$263)+COUNTIF('8月'!DJ14:DK14,H$263)+COUNTIF('8月'!DO14:DP14,H$263)+COUNTIF('8月'!DT14:DU14,H$263)+COUNTIF('8月'!DY14:DZ14,H$263)+COUNTIF('8月'!ED14:EE14,H$263)+COUNTIF('8月'!EI14:EJ14,H$263)+COUNTIF('8月'!EN14:EO14,H$263)+COUNTIF('8月'!ES14:ET14,H$263)+COUNTIF('8月'!D14:E14,"渋谷-夜勤")+COUNTIF('8月'!I14:J14,"渋谷-夜勤")+COUNTIF('8月'!N14:O14,"渋谷-夜勤")+COUNTIF('8月'!S14:T14,"渋谷-夜勤")+COUNTIF('8月'!X14:Y14,"渋谷-夜勤")+COUNTIF('8月'!AC14:AD14,"渋谷-夜勤")+COUNTIF('8月'!AH14:AI14,"渋谷-夜勤")+COUNTIF('8月'!AM14:AN14,"渋谷-夜勤")+COUNTIF('8月'!AR14:AS14,"渋谷-夜勤")+COUNTIF('8月'!AW14:AX14,"渋谷-夜勤")+COUNTIF('8月'!BB14:BC14,"渋谷-夜勤")+COUNTIF('8月'!BG14:BH14,"渋谷-夜勤")+COUNTIF('8月'!BL14:BM14,"渋谷-夜勤")+COUNTIF('8月'!BQ14:BR14,"渋谷-夜勤")+COUNTIF('8月'!BV14:BW14,"渋谷-夜勤")+COUNTIF('8月'!CA14:CB14,"渋谷-夜勤")+COUNTIF('8月'!CF14:CG14,"渋谷-夜勤")+COUNTIF('8月'!CK14:CL14,"渋谷-夜勤")+COUNTIF('8月'!CP14:CQ14,"渋谷-夜勤")+COUNTIF('8月'!CU14:CV14,"渋谷-夜勤")+COUNTIF('8月'!CZ14:DA14,"渋谷-夜勤")+COUNTIF('8月'!DE14:DF14,"渋谷-夜勤")+COUNTIF('8月'!DJ14:DK14,"渋谷-夜勤")+COUNTIF('8月'!DO14:DP14,"渋谷-夜勤")+COUNTIF('8月'!DT14:DU14,"渋谷-夜勤")+COUNTIF('8月'!DY14:DZ14,"渋谷-夜勤")+COUNTIF('8月'!ED14:EE14,"渋谷-夜勤")+COUNTIF('8月'!EI14:EJ14,"渋谷-夜勤")+COUNTIF('8月'!EN14:EO14,"渋谷-夜勤")+COUNTIF('8月'!ES14:ET14,"渋谷-夜勤")</f>
        <v>0</v>
      </c>
      <c r="I275" s="76">
        <f t="shared" si="87"/>
        <v>0</v>
      </c>
      <c r="J275" s="76">
        <f>COUNTIF('8月'!D14:E14,J$263)+COUNTIF('8月'!I14:J14,J$263)+COUNTIF('8月'!N14:O14,J$263)+COUNTIF('8月'!S14:T14,J$263)+COUNTIF('8月'!X14:Y14,J$263)+COUNTIF('8月'!AC14:AD14,J$263)+COUNTIF('8月'!AH14:AI14,J$263)+COUNTIF('8月'!AM14:AN14,J$263)+COUNTIF('8月'!AR14:AS14,J$263)+COUNTIF('8月'!AW14:AX14,J$263)+COUNTIF('8月'!BB14:BC14,J$263)+COUNTIF('8月'!BG14:BH14,J$263)+COUNTIF('8月'!BL14:BM14,J$263)+COUNTIF('8月'!BQ14:BR14,J$263)+COUNTIF('8月'!BV14:BW14,J$263)+COUNTIF('8月'!CA14:CB14,J$263)+COUNTIF('8月'!CF14:CG14,J$263)+COUNTIF('8月'!CK14:CL14,J$263)+COUNTIF('8月'!CP14:CQ14,J$263)+COUNTIF('8月'!CU14:CV14,J$263)+COUNTIF('8月'!CZ14:DA14,J$263)+COUNTIF('8月'!DE14:DF14,J$263)+COUNTIF('8月'!DJ14:DK14,J$263)+COUNTIF('8月'!DO14:DP14,J$263)+COUNTIF('8月'!DT14:DU14,J$263)+COUNTIF('8月'!DY14:DZ14,J$263)+COUNTIF('8月'!ED14:EE14,J$263)+COUNTIF('8月'!EI14:EJ14,J$263)+COUNTIF('8月'!EN14:EO14,J$263)+COUNTIF('8月'!ES14:ET14,J$263)+COUNTIF('8月'!D14:E14,"六本木-夜勤")+COUNTIF('8月'!I14:J14,"六本木-夜勤")+COUNTIF('8月'!N14:O14,"六本木-夜勤")+COUNTIF('8月'!S14:T14,"六本木-夜勤")+COUNTIF('8月'!X14:Y14,"六本木-夜勤")+COUNTIF('8月'!AC14:AD14,"六本木-夜勤")+COUNTIF('8月'!AH14:AI14,"六本木-夜勤")+COUNTIF('8月'!AM14:AN14,"六本木-夜勤")+COUNTIF('8月'!AR14:AS14,"六本木-夜勤")+COUNTIF('8月'!AW14:AX14,"六本木-夜勤")+COUNTIF('8月'!BB14:BC14,"六本木-夜勤")+COUNTIF('8月'!BG14:BH14,"六本木-夜勤")+COUNTIF('8月'!BL14:BM14,"六本木-夜勤")+COUNTIF('8月'!BQ14:BR14,"六本木-夜勤")+COUNTIF('8月'!BV14:BW14,"六本木-夜勤")+COUNTIF('8月'!CA14:CB14,"六本木-夜勤")+COUNTIF('8月'!CF14:CG14,"六本木-夜勤")+COUNTIF('8月'!CK14:CL14,"六本木-夜勤")+COUNTIF('8月'!CP14:CQ14,"六本木-夜勤")+COUNTIF('8月'!CU14:CV14,"六本木-夜勤")+COUNTIF('8月'!CZ14:DA14,"六本木-夜勤")+COUNTIF('8月'!DE14:DF14,"六本木-夜勤")+COUNTIF('8月'!DJ14:DK14,"六本木-夜勤")+COUNTIF('8月'!DO14:DP14,"六本木-夜勤")+COUNTIF('8月'!DT14:DU14,"六本木-夜勤")+COUNTIF('8月'!DY14:DZ14,"六本木-夜勤")+COUNTIF('8月'!ED14:EE14,"六本木-夜勤")+COUNTIF('8月'!EI14:EJ14,"六本木-夜勤")+COUNTIF('8月'!EN14:EO14,"六本木-夜勤")+COUNTIF('8月'!ES14:ET14,"六本木-夜勤")+COUNTIF('8月'!D14:E14,"六本木ー夜勤")+COUNTIF('8月'!I14:J14,"六本木ー夜勤")+COUNTIF('8月'!N14:O14,"六本木ー夜勤")+COUNTIF('8月'!S14:T14,"六本木ー夜勤")+COUNTIF('8月'!X14:Y14,"六本木ー夜勤")+COUNTIF('8月'!AC14:AD14,"六本木ー夜勤")+COUNTIF('8月'!AH14:AI14,"六本木ー夜勤")+COUNTIF('8月'!AM14:AN14,"六本木ー夜勤")+COUNTIF('8月'!AR14:AS14,"六本木ー夜勤")+COUNTIF('8月'!AW14:AX14,"六本木ー夜勤")+COUNTIF('8月'!BB14:BC14,"六本木ー夜勤")+COUNTIF('8月'!BG14:BH14,"六本木ー夜勤")+COUNTIF('8月'!BL14:BM14,"六本木ー夜勤")+COUNTIF('8月'!BQ14:BR14,"六本木ー夜勤")+COUNTIF('8月'!BV14:BW14,"六本木ー夜勤")+COUNTIF('8月'!CA14:CB14,"六本木ー夜勤")+COUNTIF('8月'!CF14:CG14,"六本木ー夜勤")+COUNTIF('8月'!CK14:CL14,"六本木ー夜勤")+COUNTIF('8月'!CP14:CQ14,"六本木ー夜勤")+COUNTIF('8月'!CU14:CV14,"六本木ー夜勤")+COUNTIF('8月'!CZ14:DA14,"六本木ー夜勤")+COUNTIF('8月'!DE14:DF14,"六本木ー夜勤")+COUNTIF('8月'!DJ14:DK14,"六本木ー夜勤")+COUNTIF('8月'!DO14:DP14,"六本木ー夜勤")+COUNTIF('8月'!DT14:DU14,"六本木ー夜勤")+COUNTIF('8月'!DY14:DZ14,"六本木ー夜勤")+COUNTIF('8月'!ED14:EE14,"六本木ー夜勤")+COUNTIF('8月'!EI14:EJ14,"六本木ー夜勤")+COUNTIF('8月'!EN14:EO14,"六本木ー夜勤")+COUNTIF('8月'!ES14:ET14,"六本木ー夜勤")</f>
        <v>0</v>
      </c>
      <c r="K275" s="76">
        <f t="shared" si="88"/>
        <v>0</v>
      </c>
      <c r="L275" s="76">
        <f>COUNTIF('8月'!D14:E14,L$263)+COUNTIF('8月'!I14:J14,L$263)+COUNTIF('8月'!N14:O14,L$263)+COUNTIF('8月'!S14:T14,L$263)+COUNTIF('8月'!X14:Y14,L$263)+COUNTIF('8月'!AC14:AD14,L$263)+COUNTIF('8月'!AH14:AI14,L$263)+COUNTIF('8月'!AM14:AN14,L$263)+COUNTIF('8月'!AR14:AS14,L$263)+COUNTIF('8月'!AW14:AX14,L$263)+COUNTIF('8月'!BB14:BC14,L$263)+COUNTIF('8月'!BG14:BH14,L$263)+COUNTIF('8月'!BL14:BM14,L$263)+COUNTIF('8月'!BQ14:BR14,L$263)+COUNTIF('8月'!BV14:BW14,L$263)+COUNTIF('8月'!CA14:CB14,L$263)+COUNTIF('8月'!CF14:CG14,L$263)+COUNTIF('8月'!CK14:CL14,L$263)+COUNTIF('8月'!CP14:CQ14,L$263)+COUNTIF('8月'!CU14:CV14,L$263)+COUNTIF('8月'!CZ14:DA14,L$263)+COUNTIF('8月'!DE14:DF14,L$263)+COUNTIF('8月'!DJ14:DK14,L$263)+COUNTIF('8月'!DO14:DP14,L$263)+COUNTIF('8月'!DT14:DU14,L$263)+COUNTIF('8月'!DY14:DZ14,L$263)+COUNTIF('8月'!ED14:EE14,L$263)+COUNTIF('8月'!EI14:EJ14,L$263)+COUNTIF('8月'!EN14:EO14,L$263)+COUNTIF('8月'!ES14:ET14,L$263)</f>
        <v>0</v>
      </c>
      <c r="M275" s="76">
        <f t="shared" si="89"/>
        <v>0</v>
      </c>
      <c r="N275" s="76">
        <f>COUNTIF('8月'!D14:E14,N$263)+COUNTIF('8月'!I14:J14,N$263)+COUNTIF('8月'!N14:O14,N$263)+COUNTIF('8月'!S14:T14,N$263)+COUNTIF('8月'!X14:Y14,N$263)+COUNTIF('8月'!AC14:AD14,N$263)+COUNTIF('8月'!AH14:AI14,N$263)+COUNTIF('8月'!AM14:AN14,N$263)+COUNTIF('8月'!AR14:AS14,N$263)+COUNTIF('8月'!AW14:AX14,N$263)+COUNTIF('8月'!BB14:BC14,N$263)+COUNTIF('8月'!BG14:BH14,N$263)+COUNTIF('8月'!BL14:BM14,N$263)+COUNTIF('8月'!BQ14:BR14,N$263)+COUNTIF('8月'!BV14:BW14,N$263)+COUNTIF('8月'!CA14:CB14,N$263)+COUNTIF('8月'!CF14:CG14,N$263)+COUNTIF('8月'!CK14:CL14,N$263)+COUNTIF('8月'!CP14:CQ14,N$263)+COUNTIF('8月'!CU14:CV14,N$263)+COUNTIF('8月'!CZ14:DA14,N$263)+COUNTIF('8月'!DE14:DF14,N$263)+COUNTIF('8月'!DJ14:DK14,N$263)+COUNTIF('8月'!DO14:DP14,N$263)+COUNTIF('8月'!DT14:DU14,N$263)+COUNTIF('8月'!DY14:DZ14,N$263)+COUNTIF('8月'!ED14:EE14,N$263)+COUNTIF('8月'!EI14:EJ14,N$263)+COUNTIF('8月'!EN14:EO14,N$263)+COUNTIF('8月'!ES14:ET14,N$263)+COUNTIF('8月'!D14:E14,"三軒茶屋－夜勤")+COUNTIF('8月'!I14:J14,"三軒茶屋－夜勤")+COUNTIF('8月'!N14:O14,"三軒茶屋－夜勤")+COUNTIF('8月'!S14:T14,"三軒茶屋－夜勤")+COUNTIF('8月'!X14:Y14,"三軒茶屋－夜勤")+COUNTIF('8月'!AC14:AD14,"三軒茶屋－夜勤")+COUNTIF('8月'!AH14:AI14,"三軒茶屋－夜勤")+COUNTIF('8月'!AM14:AN14,"三軒茶屋－夜勤")+COUNTIF('8月'!AR14:AS14,"三軒茶屋－夜勤")+COUNTIF('8月'!AW14:AX14,"三軒茶屋－夜勤")+COUNTIF('8月'!BB14:BC14,"三軒茶屋－夜勤")+COUNTIF('8月'!BG14:BH14,"三軒茶屋－夜勤")+COUNTIF('8月'!BL14:BM14,"三軒茶屋－夜勤")+COUNTIF('8月'!BQ14:BR14,"三軒茶屋－夜勤")+COUNTIF('8月'!BV14:BW14,"三軒茶屋－夜勤")+COUNTIF('8月'!CA14:CB14,"三軒茶屋－夜勤")+COUNTIF('8月'!CF14:CG14,"三軒茶屋－夜勤")+COUNTIF('8月'!CK14:CL14,"三軒茶屋－夜勤")+COUNTIF('8月'!CP14:CQ14,"三軒茶屋－夜勤")+COUNTIF('8月'!CU14:CV14,"三軒茶屋－夜勤")+COUNTIF('8月'!CZ14:DA14,"三軒茶屋－夜勤")+COUNTIF('8月'!DE14:DF14,"三軒茶屋－夜勤")+COUNTIF('8月'!DJ14:DK14,"三軒茶屋－夜勤")+COUNTIF('8月'!DO14:DP14,"三軒茶屋－夜勤")+COUNTIF('8月'!DT14:DU14,"三軒茶屋－夜勤")+COUNTIF('8月'!DY14:DZ14,"三軒茶屋－夜勤")+COUNTIF('8月'!ED14:EE14,"三軒茶屋－夜勤")+COUNTIF('8月'!EI14:EJ14,"三軒茶屋－夜勤")+COUNTIF('8月'!EN14:EO14,"三軒茶屋－夜勤")+COUNTIF('8月'!ES14:ET14,"三軒茶屋－夜勤")</f>
        <v>0</v>
      </c>
      <c r="O275" s="76">
        <f t="shared" si="90"/>
        <v>0</v>
      </c>
      <c r="P275" s="76">
        <f>COUNTIF('8月'!D14:E14,P$263)+COUNTIF('8月'!I14:J14,P$263)+COUNTIF('8月'!N14:O14,P$263)+COUNTIF('8月'!S14:T14,P$263)+COUNTIF('8月'!X14:Y14,P$263)+COUNTIF('8月'!AC14:AD14,P$263)+COUNTIF('8月'!AH14:AI14,P$263)+COUNTIF('8月'!AM14:AN14,P$263)+COUNTIF('8月'!AR14:AS14,P$263)+COUNTIF('8月'!AW14:AX14,P$263)+COUNTIF('8月'!BB14:BC14,P$263)+COUNTIF('8月'!BG14:BH14,P$263)+COUNTIF('8月'!BL14:BM14,P$263)+COUNTIF('8月'!BQ14:BR14,P$263)+COUNTIF('8月'!BV14:BW14,P$263)+COUNTIF('8月'!CA14:CB14,P$263)+COUNTIF('8月'!CF14:CG14,P$263)+COUNTIF('8月'!CK14:CL14,P$263)+COUNTIF('8月'!CP14:CQ14,P$263)+COUNTIF('8月'!CU14:CV14,P$263)+COUNTIF('8月'!CZ14:DA14,P$263)+COUNTIF('8月'!DE14:DF14,P$263)+COUNTIF('8月'!DJ14:DK14,P$263)+COUNTIF('8月'!DO14:DP14,P$263)+COUNTIF('8月'!DT14:DU14,P$263)+COUNTIF('8月'!DY14:DZ14,P$263)+COUNTIF('8月'!ED14:EE14,P$263)+COUNTIF('8月'!EI14:EJ14,P$263)+COUNTIF('8月'!EN14:EO14,P$263)+COUNTIF('8月'!ES14:ET14,P$263)+COUNTIF('8月'!D14:E14,"荻窪ー夜勤")+COUNTIF('8月'!I14:J14,"荻窪ー夜勤")+COUNTIF('8月'!N14:O14,"荻窪ー夜勤")+COUNTIF('8月'!S14:T14,"荻窪ー夜勤")+COUNTIF('8月'!X14:Y14,"荻窪ー夜勤")+COUNTIF('8月'!AC14:AD14,"荻窪ー夜勤")+COUNTIF('8月'!AH14:AI14,"荻窪ー夜勤")+COUNTIF('8月'!AM14:AN14,"荻窪ー夜勤")+COUNTIF('8月'!AR14:AS14,"荻窪ー夜勤")+COUNTIF('8月'!AW14:AX14,"荻窪ー夜勤")+COUNTIF('8月'!BB14:BC14,"荻窪ー夜勤")+COUNTIF('8月'!BG14:BH14,"荻窪ー夜勤")+COUNTIF('8月'!BL14:BM14,"荻窪ー夜勤")+COUNTIF('8月'!BQ14:BR14,"荻窪ー夜勤")+COUNTIF('8月'!BV14:BW14,"荻窪ー夜勤")+COUNTIF('8月'!CA14:CB14,"荻窪ー夜勤")+COUNTIF('8月'!CF14:CG14,"荻窪ー夜勤")+COUNTIF('8月'!CK14:CL14,"荻窪ー夜勤")+COUNTIF('8月'!CP14:CQ14,"荻窪ー夜勤")+COUNTIF('8月'!CU14:CV14,"荻窪ー夜勤")+COUNTIF('8月'!CZ14:DA14,"荻窪ー夜勤")+COUNTIF('8月'!DE14:DF14,"荻窪ー夜勤")+COUNTIF('8月'!DJ14:DK14,"荻窪ー夜勤")+COUNTIF('8月'!DO14:DP14,"荻窪ー夜勤")+COUNTIF('8月'!DT14:DU14,"荻窪ー夜勤")+COUNTIF('8月'!DY14:DZ14,"荻窪ー夜勤")+COUNTIF('8月'!ED14:EE14,"荻窪ー夜勤")+COUNTIF('8月'!EI14:EJ14,"荻窪ー夜勤")+COUNTIF('8月'!EN14:EO14,"荻窪ー夜勤")+COUNTIF('8月'!ES14:ET14,"荻窪ー夜勤")</f>
        <v>0</v>
      </c>
      <c r="Q275" s="76">
        <f t="shared" si="91"/>
        <v>0</v>
      </c>
      <c r="R275" s="76">
        <f>COUNTIF('8月'!D14:E14,R$263)+COUNTIF('8月'!I14:J14,R$263)+COUNTIF('8月'!N14:O14,R$263)+COUNTIF('8月'!S14:T14,R$263)+COUNTIF('8月'!X14:Y14,R$263)+COUNTIF('8月'!AC14:AD14,R$263)+COUNTIF('8月'!AH14:AI14,R$263)+COUNTIF('8月'!AM14:AN14,R$263)+COUNTIF('8月'!AR14:AS14,R$263)+COUNTIF('8月'!AW14:AX14,R$263)+COUNTIF('8月'!BB14:BC14,R$263)+COUNTIF('8月'!BG14:BH14,R$263)+COUNTIF('8月'!BL14:BM14,R$263)+COUNTIF('8月'!BQ14:BR14,R$263)+COUNTIF('8月'!BV14:BW14,R$263)+COUNTIF('8月'!CA14:CB14,R$263)+COUNTIF('8月'!CF14:CG14,R$263)+COUNTIF('8月'!CK14:CL14,R$263)+COUNTIF('8月'!CP14:CQ14,R$263)+COUNTIF('8月'!CU14:CV14,R$263)+COUNTIF('8月'!CZ14:DA14,R$263)+COUNTIF('8月'!DE14:DF14,R$263)+COUNTIF('8月'!DJ14:DK14,R$263)+COUNTIF('8月'!DO14:DP14,R$263)+COUNTIF('8月'!DT14:DU14,R$263)+COUNTIF('8月'!DY14:DZ14,R$263)+COUNTIF('8月'!ED14:EE14,R$263)+COUNTIF('8月'!EI14:EJ14,R$263)+COUNTIF('8月'!EN14:EO14,R$263)+COUNTIF('8月'!ES14:ET14,R$263)</f>
        <v>0</v>
      </c>
      <c r="S275" s="76">
        <f t="shared" si="92"/>
        <v>0</v>
      </c>
      <c r="T275" s="76">
        <f>COUNTIF('8月'!D14:E14,T$263)+COUNTIF('8月'!I14:J14,T$263)+COUNTIF('8月'!N14:O14,T$263)+COUNTIF('8月'!S14:T14,T$263)+COUNTIF('8月'!X14:Y14,T$263)+COUNTIF('8月'!AC14:AD14,T$263)+COUNTIF('8月'!AH14:AI14,T$263)+COUNTIF('8月'!AM14:AN14,T$263)+COUNTIF('8月'!AR14:AS14,T$263)+COUNTIF('8月'!AW14:AX14,T$263)+COUNTIF('8月'!BB14:BC14,T$263)+COUNTIF('8月'!BG14:BH14,T$263)+COUNTIF('8月'!BL14:BM14,T$263)+COUNTIF('8月'!BQ14:BR14,T$263)+COUNTIF('8月'!BV14:BW14,T$263)+COUNTIF('8月'!CA14:CB14,T$263)+COUNTIF('8月'!CF14:CG14,T$263)+COUNTIF('8月'!CK14:CL14,T$263)+COUNTIF('8月'!CP14:CQ14,T$263)+COUNTIF('8月'!CU14:CV14,T$263)+COUNTIF('8月'!CZ14:DA14,T$263)+COUNTIF('8月'!DE14:DF14,T$263)+COUNTIF('8月'!DJ14:DK14,T$263)+COUNTIF('8月'!DO14:DP14,T$263)+COUNTIF('8月'!DT14:DU14,T$263)+COUNTIF('8月'!DY14:DZ14,T$263)+COUNTIF('8月'!ED14:EE14,T$263)+COUNTIF('8月'!EI14:EJ14,T$263)+COUNTIF('8月'!EN14:EO14,T$263)+COUNTIF('8月'!ES14:ET14,T$263)</f>
        <v>0</v>
      </c>
      <c r="U275" s="76">
        <f t="shared" si="93"/>
        <v>0</v>
      </c>
      <c r="V275" s="76">
        <f>COUNTIF('8月'!D14:E14,V$263)+COUNTIF('8月'!I14:J14,V$263)+COUNTIF('8月'!N14:O14,V$263)+COUNTIF('8月'!S14:T14,V$263)+COUNTIF('8月'!X14:Y14,V$263)+COUNTIF('8月'!AC14:AD14,V$263)+COUNTIF('8月'!AH14:AI14,V$263)+COUNTIF('8月'!AM14:AN14,V$263)+COUNTIF('8月'!AR14:AS14,V$263)+COUNTIF('8月'!AW14:AX14,V$263)+COUNTIF('8月'!BB14:BC14,V$263)+COUNTIF('8月'!BG14:BH14,V$263)+COUNTIF('8月'!BL14:BM14,V$263)+COUNTIF('8月'!BQ14:BR14,V$263)+COUNTIF('8月'!BV14:BW14,V$263)+COUNTIF('8月'!CA14:CB14,V$263)+COUNTIF('8月'!CF14:CG14,V$263)+COUNTIF('8月'!CK14:CL14,V$263)+COUNTIF('8月'!CP14:CQ14,V$263)+COUNTIF('8月'!CU14:CV14,V$263)+COUNTIF('8月'!CZ14:DA14,V$263)+COUNTIF('8月'!DE14:DF14,V$263)+COUNTIF('8月'!DJ14:DK14,V$263)+COUNTIF('8月'!DO14:DP14,V$263)+COUNTIF('8月'!DT14:DU14,V$263)+COUNTIF('8月'!DY14:DZ14,V$263)+COUNTIF('8月'!ED14:EE14,V$263)+COUNTIF('8月'!EI14:EJ14,V$263)+COUNTIF('8月'!EN14:EO14,V$263)+COUNTIF('8月'!ES14:ET14,V$263)</f>
        <v>0</v>
      </c>
      <c r="W275" s="76">
        <f t="shared" si="94"/>
        <v>0</v>
      </c>
      <c r="X275" s="76">
        <f>COUNTIF('8月'!D14:E14,X$263)+COUNTIF('8月'!I14:J14,X$263)+COUNTIF('8月'!N14:O14,X$263)+COUNTIF('8月'!S14:T14,X$263)+COUNTIF('8月'!X14:Y14,X$263)+COUNTIF('8月'!AC14:AD14,X$263)+COUNTIF('8月'!AH14:AI14,X$263)+COUNTIF('8月'!AM14:AN14,X$263)+COUNTIF('8月'!AR14:AS14,X$263)+COUNTIF('8月'!AW14:AX14,X$263)+COUNTIF('8月'!BB14:BC14,X$263)+COUNTIF('8月'!BG14:BH14,X$263)+COUNTIF('8月'!BL14:BM14,X$263)+COUNTIF('8月'!BQ14:BR14,X$263)+COUNTIF('8月'!BV14:BW14,X$263)+COUNTIF('8月'!CA14:CB14,X$263)+COUNTIF('8月'!CF14:CG14,X$263)+COUNTIF('8月'!CK14:CL14,X$263)+COUNTIF('8月'!CP14:CQ14,X$263)+COUNTIF('8月'!CU14:CV14,X$263)+COUNTIF('8月'!CZ14:DA14,X$263)+COUNTIF('8月'!DE14:DF14,X$263)+COUNTIF('8月'!DJ14:DK14,X$263)+COUNTIF('8月'!DO14:DP14,X$263)+COUNTIF('8月'!DT14:DU14,X$263)+COUNTIF('8月'!DY14:DZ14,X$263)+COUNTIF('8月'!ED14:EE14,X$263)+COUNTIF('8月'!EI14:EJ14,X$263)+COUNTIF('8月'!EN14:EO14,X$263)+COUNTIF('8月'!ES14:ET14,X$263)</f>
        <v>0</v>
      </c>
      <c r="Y275" s="76">
        <f t="shared" si="95"/>
        <v>0</v>
      </c>
    </row>
    <row r="276" spans="1:25" ht="18" customHeight="1">
      <c r="A276" s="76">
        <v>12</v>
      </c>
      <c r="B276" s="76">
        <f>COUNTIF('8月'!D15:E15,B$263)+COUNTIF('8月'!I15:J15,B$263)+COUNTIF('8月'!N15:O15,B$263)+COUNTIF('8月'!S15:T15,B$263)+COUNTIF('8月'!X15:Y15,B$263)+COUNTIF('8月'!AC15:AD15,B$263)+COUNTIF('8月'!AH15:AI15,B$263)+COUNTIF('8月'!AM15:AN15,B$263)+COUNTIF('8月'!AR15:AS15,B$263)+COUNTIF('8月'!AW15:AX15,B$263)+COUNTIF('8月'!BB15:BC15,B$263)+COUNTIF('8月'!BG15:BH15,B$263)+COUNTIF('8月'!BL15:BM15,B$263)+COUNTIF('8月'!BQ15:BR15,B$263)+COUNTIF('8月'!BV15:BW15,B$263)+COUNTIF('8月'!CA15:CB15,B$263)+COUNTIF('8月'!CF15:CG15,B$263)+COUNTIF('8月'!CK15:CL15,B$263)+COUNTIF('8月'!CP15:CQ15,B$263)+COUNTIF('8月'!CU15:CV15,B$263)+COUNTIF('8月'!CZ15:DA15,B$263)+COUNTIF('8月'!DE15:DF15,B$263)+COUNTIF('8月'!DJ15:DK15,B$263)+COUNTIF('8月'!DO15:DP15,B$263)+COUNTIF('8月'!DT15:DU15,B$263)+COUNTIF('8月'!DY15:DZ15,B$263)+COUNTIF('8月'!ED15:EE15,B$263)+COUNTIF('8月'!EI15:EJ15,B$263)+COUNTIF('8月'!EN15:EO15,B$263)+COUNTIF('8月'!ES15:ET15,B$263)</f>
        <v>0</v>
      </c>
      <c r="C276" s="76">
        <f t="shared" si="84"/>
        <v>0</v>
      </c>
      <c r="D276" s="76">
        <f>COUNTIF('8月'!D15:E15,D$263)+COUNTIF('8月'!I15:J15,D$263)+COUNTIF('8月'!N15:O15,D$263)+COUNTIF('8月'!S15:T15,D$263)+COUNTIF('8月'!X15:Y15,D$263)+COUNTIF('8月'!AC15:AD15,D$263)+COUNTIF('8月'!AH15:AI15,D$263)+COUNTIF('8月'!AM15:AN15,D$263)+COUNTIF('8月'!AR15:AS15,D$263)+COUNTIF('8月'!AW15:AX15,D$263)+COUNTIF('8月'!BB15:BC15,D$263)+COUNTIF('8月'!BG15:BH15,D$263)+COUNTIF('8月'!BL15:BM15,D$263)+COUNTIF('8月'!BQ15:BR15,D$263)+COUNTIF('8月'!BV15:BW15,D$263)+COUNTIF('8月'!CA15:CB15,D$263)+COUNTIF('8月'!CF15:CG15,D$263)+COUNTIF('8月'!CK15:CL15,D$263)+COUNTIF('8月'!CP15:CQ15,D$263)+COUNTIF('8月'!CU15:CV15,D$263)+COUNTIF('8月'!CZ15:DA15,D$263)+COUNTIF('8月'!DE15:DF15,D$263)+COUNTIF('8月'!DJ15:DK15,D$263)+COUNTIF('8月'!DO15:DP15,D$263)+COUNTIF('8月'!DT15:DU15,D$263)+COUNTIF('8月'!DY15:DZ15,D$263)+COUNTIF('8月'!ED15:EE15,D$263)+COUNTIF('8月'!EI15:EJ15,D$263)+COUNTIF('8月'!EN15:EO15,D$263)+COUNTIF('8月'!ES15:ET15,D$263)</f>
        <v>0</v>
      </c>
      <c r="E276" s="76">
        <f t="shared" si="85"/>
        <v>0</v>
      </c>
      <c r="F276" s="76">
        <f>COUNTIF('8月'!D15:E15,F$263)+COUNTIF('8月'!I15:J15,F$263)+COUNTIF('8月'!N15:O15,F$263)+COUNTIF('8月'!S15:T15,F$263)+COUNTIF('8月'!X15:Y15,F$263)+COUNTIF('8月'!AC15:AD15,F$263)+COUNTIF('8月'!AH15:AI15,F$263)+COUNTIF('8月'!AM15:AN15,F$263)+COUNTIF('8月'!AR15:AS15,F$263)+COUNTIF('8月'!AW15:AX15,F$263)+COUNTIF('8月'!BB15:BC15,F$263)+COUNTIF('8月'!BG15:BH15,F$263)+COUNTIF('8月'!BL15:BM15,F$263)+COUNTIF('8月'!BQ15:BR15,F$263)+COUNTIF('8月'!BV15:BW15,F$263)+COUNTIF('8月'!CA15:CB15,F$263)+COUNTIF('8月'!CF15:CG15,F$263)+COUNTIF('8月'!CK15:CL15,F$263)+COUNTIF('8月'!CP15:CQ15,F$263)+COUNTIF('8月'!CU15:CV15,F$263)+COUNTIF('8月'!CZ15:DA15,F$263)+COUNTIF('8月'!DE15:DF15,F$263)+COUNTIF('8月'!DJ15:DK15,F$263)+COUNTIF('8月'!DO15:DP15,F$263)+COUNTIF('8月'!DT15:DU15,F$263)+COUNTIF('8月'!DY15:DZ15,F$263)+COUNTIF('8月'!ED15:EE15,F$263)+COUNTIF('8月'!EI15:EJ15,F$263)+COUNTIF('8月'!EN15:EO15,F$263)+COUNTIF('8月'!ES15:ET15,F$263)</f>
        <v>0</v>
      </c>
      <c r="G276" s="76">
        <f t="shared" si="86"/>
        <v>0</v>
      </c>
      <c r="H276" s="76">
        <f>COUNTIF('8月'!D15:E15,H$263)+COUNTIF('8月'!I15:J15,H$263)+COUNTIF('8月'!N15:O15,H$263)+COUNTIF('8月'!S15:T15,H$263)+COUNTIF('8月'!X15:Y15,H$263)+COUNTIF('8月'!AC15:AD15,H$263)+COUNTIF('8月'!AH15:AI15,H$263)+COUNTIF('8月'!AM15:AN15,H$263)+COUNTIF('8月'!AR15:AS15,H$263)+COUNTIF('8月'!AW15:AX15,H$263)+COUNTIF('8月'!BB15:BC15,H$263)+COUNTIF('8月'!BG15:BH15,H$263)+COUNTIF('8月'!BL15:BM15,H$263)+COUNTIF('8月'!BQ15:BR15,H$263)+COUNTIF('8月'!BV15:BW15,H$263)+COUNTIF('8月'!CA15:CB15,H$263)+COUNTIF('8月'!CF15:CG15,H$263)+COUNTIF('8月'!CK15:CL15,H$263)+COUNTIF('8月'!CP15:CQ15,H$263)+COUNTIF('8月'!CU15:CV15,H$263)+COUNTIF('8月'!CZ15:DA15,H$263)+COUNTIF('8月'!DE15:DF15,H$263)+COUNTIF('8月'!DJ15:DK15,H$263)+COUNTIF('8月'!DO15:DP15,H$263)+COUNTIF('8月'!DT15:DU15,H$263)+COUNTIF('8月'!DY15:DZ15,H$263)+COUNTIF('8月'!ED15:EE15,H$263)+COUNTIF('8月'!EI15:EJ15,H$263)+COUNTIF('8月'!EN15:EO15,H$263)+COUNTIF('8月'!ES15:ET15,H$263)+COUNTIF('8月'!D15:E15,"渋谷-夜勤")+COUNTIF('8月'!I15:J15,"渋谷-夜勤")+COUNTIF('8月'!N15:O15,"渋谷-夜勤")+COUNTIF('8月'!S15:T15,"渋谷-夜勤")+COUNTIF('8月'!X15:Y15,"渋谷-夜勤")+COUNTIF('8月'!AC15:AD15,"渋谷-夜勤")+COUNTIF('8月'!AH15:AI15,"渋谷-夜勤")+COUNTIF('8月'!AM15:AN15,"渋谷-夜勤")+COUNTIF('8月'!AR15:AS15,"渋谷-夜勤")+COUNTIF('8月'!AW15:AX15,"渋谷-夜勤")+COUNTIF('8月'!BB15:BC15,"渋谷-夜勤")+COUNTIF('8月'!BG15:BH15,"渋谷-夜勤")+COUNTIF('8月'!BL15:BM15,"渋谷-夜勤")+COUNTIF('8月'!BQ15:BR15,"渋谷-夜勤")+COUNTIF('8月'!BV15:BW15,"渋谷-夜勤")+COUNTIF('8月'!CA15:CB15,"渋谷-夜勤")+COUNTIF('8月'!CF15:CG15,"渋谷-夜勤")+COUNTIF('8月'!CK15:CL15,"渋谷-夜勤")+COUNTIF('8月'!CP15:CQ15,"渋谷-夜勤")+COUNTIF('8月'!CU15:CV15,"渋谷-夜勤")+COUNTIF('8月'!CZ15:DA15,"渋谷-夜勤")+COUNTIF('8月'!DE15:DF15,"渋谷-夜勤")+COUNTIF('8月'!DJ15:DK15,"渋谷-夜勤")+COUNTIF('8月'!DO15:DP15,"渋谷-夜勤")+COUNTIF('8月'!DT15:DU15,"渋谷-夜勤")+COUNTIF('8月'!DY15:DZ15,"渋谷-夜勤")+COUNTIF('8月'!ED15:EE15,"渋谷-夜勤")+COUNTIF('8月'!EI15:EJ15,"渋谷-夜勤")+COUNTIF('8月'!EN15:EO15,"渋谷-夜勤")+COUNTIF('8月'!ES15:ET15,"渋谷-夜勤")</f>
        <v>0</v>
      </c>
      <c r="I276" s="76">
        <f t="shared" si="87"/>
        <v>0</v>
      </c>
      <c r="J276" s="76">
        <f>COUNTIF('8月'!D15:E15,J$263)+COUNTIF('8月'!I15:J15,J$263)+COUNTIF('8月'!N15:O15,J$263)+COUNTIF('8月'!S15:T15,J$263)+COUNTIF('8月'!X15:Y15,J$263)+COUNTIF('8月'!AC15:AD15,J$263)+COUNTIF('8月'!AH15:AI15,J$263)+COUNTIF('8月'!AM15:AN15,J$263)+COUNTIF('8月'!AR15:AS15,J$263)+COUNTIF('8月'!AW15:AX15,J$263)+COUNTIF('8月'!BB15:BC15,J$263)+COUNTIF('8月'!BG15:BH15,J$263)+COUNTIF('8月'!BL15:BM15,J$263)+COUNTIF('8月'!BQ15:BR15,J$263)+COUNTIF('8月'!BV15:BW15,J$263)+COUNTIF('8月'!CA15:CB15,J$263)+COUNTIF('8月'!CF15:CG15,J$263)+COUNTIF('8月'!CK15:CL15,J$263)+COUNTIF('8月'!CP15:CQ15,J$263)+COUNTIF('8月'!CU15:CV15,J$263)+COUNTIF('8月'!CZ15:DA15,J$263)+COUNTIF('8月'!DE15:DF15,J$263)+COUNTIF('8月'!DJ15:DK15,J$263)+COUNTIF('8月'!DO15:DP15,J$263)+COUNTIF('8月'!DT15:DU15,J$263)+COUNTIF('8月'!DY15:DZ15,J$263)+COUNTIF('8月'!ED15:EE15,J$263)+COUNTIF('8月'!EI15:EJ15,J$263)+COUNTIF('8月'!EN15:EO15,J$263)+COUNTIF('8月'!ES15:ET15,J$263)+COUNTIF('8月'!D15:E15,"六本木-夜勤")+COUNTIF('8月'!I15:J15,"六本木-夜勤")+COUNTIF('8月'!N15:O15,"六本木-夜勤")+COUNTIF('8月'!S15:T15,"六本木-夜勤")+COUNTIF('8月'!X15:Y15,"六本木-夜勤")+COUNTIF('8月'!AC15:AD15,"六本木-夜勤")+COUNTIF('8月'!AH15:AI15,"六本木-夜勤")+COUNTIF('8月'!AM15:AN15,"六本木-夜勤")+COUNTIF('8月'!AR15:AS15,"六本木-夜勤")+COUNTIF('8月'!AW15:AX15,"六本木-夜勤")+COUNTIF('8月'!BB15:BC15,"六本木-夜勤")+COUNTIF('8月'!BG15:BH15,"六本木-夜勤")+COUNTIF('8月'!BL15:BM15,"六本木-夜勤")+COUNTIF('8月'!BQ15:BR15,"六本木-夜勤")+COUNTIF('8月'!BV15:BW15,"六本木-夜勤")+COUNTIF('8月'!CA15:CB15,"六本木-夜勤")+COUNTIF('8月'!CF15:CG15,"六本木-夜勤")+COUNTIF('8月'!CK15:CL15,"六本木-夜勤")+COUNTIF('8月'!CP15:CQ15,"六本木-夜勤")+COUNTIF('8月'!CU15:CV15,"六本木-夜勤")+COUNTIF('8月'!CZ15:DA15,"六本木-夜勤")+COUNTIF('8月'!DE15:DF15,"六本木-夜勤")+COUNTIF('8月'!DJ15:DK15,"六本木-夜勤")+COUNTIF('8月'!DO15:DP15,"六本木-夜勤")+COUNTIF('8月'!DT15:DU15,"六本木-夜勤")+COUNTIF('8月'!DY15:DZ15,"六本木-夜勤")+COUNTIF('8月'!ED15:EE15,"六本木-夜勤")+COUNTIF('8月'!EI15:EJ15,"六本木-夜勤")+COUNTIF('8月'!EN15:EO15,"六本木-夜勤")+COUNTIF('8月'!ES15:ET15,"六本木-夜勤")+COUNTIF('8月'!D15:E15,"六本木ー夜勤")+COUNTIF('8月'!I15:J15,"六本木ー夜勤")+COUNTIF('8月'!N15:O15,"六本木ー夜勤")+COUNTIF('8月'!S15:T15,"六本木ー夜勤")+COUNTIF('8月'!X15:Y15,"六本木ー夜勤")+COUNTIF('8月'!AC15:AD15,"六本木ー夜勤")+COUNTIF('8月'!AH15:AI15,"六本木ー夜勤")+COUNTIF('8月'!AM15:AN15,"六本木ー夜勤")+COUNTIF('8月'!AR15:AS15,"六本木ー夜勤")+COUNTIF('8月'!AW15:AX15,"六本木ー夜勤")+COUNTIF('8月'!BB15:BC15,"六本木ー夜勤")+COUNTIF('8月'!BG15:BH15,"六本木ー夜勤")+COUNTIF('8月'!BL15:BM15,"六本木ー夜勤")+COUNTIF('8月'!BQ15:BR15,"六本木ー夜勤")+COUNTIF('8月'!BV15:BW15,"六本木ー夜勤")+COUNTIF('8月'!CA15:CB15,"六本木ー夜勤")+COUNTIF('8月'!CF15:CG15,"六本木ー夜勤")+COUNTIF('8月'!CK15:CL15,"六本木ー夜勤")+COUNTIF('8月'!CP15:CQ15,"六本木ー夜勤")+COUNTIF('8月'!CU15:CV15,"六本木ー夜勤")+COUNTIF('8月'!CZ15:DA15,"六本木ー夜勤")+COUNTIF('8月'!DE15:DF15,"六本木ー夜勤")+COUNTIF('8月'!DJ15:DK15,"六本木ー夜勤")+COUNTIF('8月'!DO15:DP15,"六本木ー夜勤")+COUNTIF('8月'!DT15:DU15,"六本木ー夜勤")+COUNTIF('8月'!DY15:DZ15,"六本木ー夜勤")+COUNTIF('8月'!ED15:EE15,"六本木ー夜勤")+COUNTIF('8月'!EI15:EJ15,"六本木ー夜勤")+COUNTIF('8月'!EN15:EO15,"六本木ー夜勤")+COUNTIF('8月'!ES15:ET15,"六本木ー夜勤")</f>
        <v>0</v>
      </c>
      <c r="K276" s="76">
        <f t="shared" si="88"/>
        <v>0</v>
      </c>
      <c r="L276" s="76">
        <f>COUNTIF('8月'!D15:E15,L$263)+COUNTIF('8月'!I15:J15,L$263)+COUNTIF('8月'!N15:O15,L$263)+COUNTIF('8月'!S15:T15,L$263)+COUNTIF('8月'!X15:Y15,L$263)+COUNTIF('8月'!AC15:AD15,L$263)+COUNTIF('8月'!AH15:AI15,L$263)+COUNTIF('8月'!AM15:AN15,L$263)+COUNTIF('8月'!AR15:AS15,L$263)+COUNTIF('8月'!AW15:AX15,L$263)+COUNTIF('8月'!BB15:BC15,L$263)+COUNTIF('8月'!BG15:BH15,L$263)+COUNTIF('8月'!BL15:BM15,L$263)+COUNTIF('8月'!BQ15:BR15,L$263)+COUNTIF('8月'!BV15:BW15,L$263)+COUNTIF('8月'!CA15:CB15,L$263)+COUNTIF('8月'!CF15:CG15,L$263)+COUNTIF('8月'!CK15:CL15,L$263)+COUNTIF('8月'!CP15:CQ15,L$263)+COUNTIF('8月'!CU15:CV15,L$263)+COUNTIF('8月'!CZ15:DA15,L$263)+COUNTIF('8月'!DE15:DF15,L$263)+COUNTIF('8月'!DJ15:DK15,L$263)+COUNTIF('8月'!DO15:DP15,L$263)+COUNTIF('8月'!DT15:DU15,L$263)+COUNTIF('8月'!DY15:DZ15,L$263)+COUNTIF('8月'!ED15:EE15,L$263)+COUNTIF('8月'!EI15:EJ15,L$263)+COUNTIF('8月'!EN15:EO15,L$263)+COUNTIF('8月'!ES15:ET15,L$263)</f>
        <v>0</v>
      </c>
      <c r="M276" s="76">
        <f t="shared" si="89"/>
        <v>0</v>
      </c>
      <c r="N276" s="76">
        <f>COUNTIF('8月'!D15:E15,N$263)+COUNTIF('8月'!I15:J15,N$263)+COUNTIF('8月'!N15:O15,N$263)+COUNTIF('8月'!S15:T15,N$263)+COUNTIF('8月'!X15:Y15,N$263)+COUNTIF('8月'!AC15:AD15,N$263)+COUNTIF('8月'!AH15:AI15,N$263)+COUNTIF('8月'!AM15:AN15,N$263)+COUNTIF('8月'!AR15:AS15,N$263)+COUNTIF('8月'!AW15:AX15,N$263)+COUNTIF('8月'!BB15:BC15,N$263)+COUNTIF('8月'!BG15:BH15,N$263)+COUNTIF('8月'!BL15:BM15,N$263)+COUNTIF('8月'!BQ15:BR15,N$263)+COUNTIF('8月'!BV15:BW15,N$263)+COUNTIF('8月'!CA15:CB15,N$263)+COUNTIF('8月'!CF15:CG15,N$263)+COUNTIF('8月'!CK15:CL15,N$263)+COUNTIF('8月'!CP15:CQ15,N$263)+COUNTIF('8月'!CU15:CV15,N$263)+COUNTIF('8月'!CZ15:DA15,N$263)+COUNTIF('8月'!DE15:DF15,N$263)+COUNTIF('8月'!DJ15:DK15,N$263)+COUNTIF('8月'!DO15:DP15,N$263)+COUNTIF('8月'!DT15:DU15,N$263)+COUNTIF('8月'!DY15:DZ15,N$263)+COUNTIF('8月'!ED15:EE15,N$263)+COUNTIF('8月'!EI15:EJ15,N$263)+COUNTIF('8月'!EN15:EO15,N$263)+COUNTIF('8月'!ES15:ET15,N$263)+COUNTIF('8月'!D15:E15,"三軒茶屋－夜勤")+COUNTIF('8月'!I15:J15,"三軒茶屋－夜勤")+COUNTIF('8月'!N15:O15,"三軒茶屋－夜勤")+COUNTIF('8月'!S15:T15,"三軒茶屋－夜勤")+COUNTIF('8月'!X15:Y15,"三軒茶屋－夜勤")+COUNTIF('8月'!AC15:AD15,"三軒茶屋－夜勤")+COUNTIF('8月'!AH15:AI15,"三軒茶屋－夜勤")+COUNTIF('8月'!AM15:AN15,"三軒茶屋－夜勤")+COUNTIF('8月'!AR15:AS15,"三軒茶屋－夜勤")+COUNTIF('8月'!AW15:AX15,"三軒茶屋－夜勤")+COUNTIF('8月'!BB15:BC15,"三軒茶屋－夜勤")+COUNTIF('8月'!BG15:BH15,"三軒茶屋－夜勤")+COUNTIF('8月'!BL15:BM15,"三軒茶屋－夜勤")+COUNTIF('8月'!BQ15:BR15,"三軒茶屋－夜勤")+COUNTIF('8月'!BV15:BW15,"三軒茶屋－夜勤")+COUNTIF('8月'!CA15:CB15,"三軒茶屋－夜勤")+COUNTIF('8月'!CF15:CG15,"三軒茶屋－夜勤")+COUNTIF('8月'!CK15:CL15,"三軒茶屋－夜勤")+COUNTIF('8月'!CP15:CQ15,"三軒茶屋－夜勤")+COUNTIF('8月'!CU15:CV15,"三軒茶屋－夜勤")+COUNTIF('8月'!CZ15:DA15,"三軒茶屋－夜勤")+COUNTIF('8月'!DE15:DF15,"三軒茶屋－夜勤")+COUNTIF('8月'!DJ15:DK15,"三軒茶屋－夜勤")+COUNTIF('8月'!DO15:DP15,"三軒茶屋－夜勤")+COUNTIF('8月'!DT15:DU15,"三軒茶屋－夜勤")+COUNTIF('8月'!DY15:DZ15,"三軒茶屋－夜勤")+COUNTIF('8月'!ED15:EE15,"三軒茶屋－夜勤")+COUNTIF('8月'!EI15:EJ15,"三軒茶屋－夜勤")+COUNTIF('8月'!EN15:EO15,"三軒茶屋－夜勤")+COUNTIF('8月'!ES15:ET15,"三軒茶屋－夜勤")</f>
        <v>0</v>
      </c>
      <c r="O276" s="76">
        <f t="shared" si="90"/>
        <v>0</v>
      </c>
      <c r="P276" s="76">
        <f>COUNTIF('8月'!D15:E15,P$263)+COUNTIF('8月'!I15:J15,P$263)+COUNTIF('8月'!N15:O15,P$263)+COUNTIF('8月'!S15:T15,P$263)+COUNTIF('8月'!X15:Y15,P$263)+COUNTIF('8月'!AC15:AD15,P$263)+COUNTIF('8月'!AH15:AI15,P$263)+COUNTIF('8月'!AM15:AN15,P$263)+COUNTIF('8月'!AR15:AS15,P$263)+COUNTIF('8月'!AW15:AX15,P$263)+COUNTIF('8月'!BB15:BC15,P$263)+COUNTIF('8月'!BG15:BH15,P$263)+COUNTIF('8月'!BL15:BM15,P$263)+COUNTIF('8月'!BQ15:BR15,P$263)+COUNTIF('8月'!BV15:BW15,P$263)+COUNTIF('8月'!CA15:CB15,P$263)+COUNTIF('8月'!CF15:CG15,P$263)+COUNTIF('8月'!CK15:CL15,P$263)+COUNTIF('8月'!CP15:CQ15,P$263)+COUNTIF('8月'!CU15:CV15,P$263)+COUNTIF('8月'!CZ15:DA15,P$263)+COUNTIF('8月'!DE15:DF15,P$263)+COUNTIF('8月'!DJ15:DK15,P$263)+COUNTIF('8月'!DO15:DP15,P$263)+COUNTIF('8月'!DT15:DU15,P$263)+COUNTIF('8月'!DY15:DZ15,P$263)+COUNTIF('8月'!ED15:EE15,P$263)+COUNTIF('8月'!EI15:EJ15,P$263)+COUNTIF('8月'!EN15:EO15,P$263)+COUNTIF('8月'!ES15:ET15,P$263)+COUNTIF('8月'!D15:E15,"荻窪ー夜勤")+COUNTIF('8月'!I15:J15,"荻窪ー夜勤")+COUNTIF('8月'!N15:O15,"荻窪ー夜勤")+COUNTIF('8月'!S15:T15,"荻窪ー夜勤")+COUNTIF('8月'!X15:Y15,"荻窪ー夜勤")+COUNTIF('8月'!AC15:AD15,"荻窪ー夜勤")+COUNTIF('8月'!AH15:AI15,"荻窪ー夜勤")+COUNTIF('8月'!AM15:AN15,"荻窪ー夜勤")+COUNTIF('8月'!AR15:AS15,"荻窪ー夜勤")+COUNTIF('8月'!AW15:AX15,"荻窪ー夜勤")+COUNTIF('8月'!BB15:BC15,"荻窪ー夜勤")+COUNTIF('8月'!BG15:BH15,"荻窪ー夜勤")+COUNTIF('8月'!BL15:BM15,"荻窪ー夜勤")+COUNTIF('8月'!BQ15:BR15,"荻窪ー夜勤")+COUNTIF('8月'!BV15:BW15,"荻窪ー夜勤")+COUNTIF('8月'!CA15:CB15,"荻窪ー夜勤")+COUNTIF('8月'!CF15:CG15,"荻窪ー夜勤")+COUNTIF('8月'!CK15:CL15,"荻窪ー夜勤")+COUNTIF('8月'!CP15:CQ15,"荻窪ー夜勤")+COUNTIF('8月'!CU15:CV15,"荻窪ー夜勤")+COUNTIF('8月'!CZ15:DA15,"荻窪ー夜勤")+COUNTIF('8月'!DE15:DF15,"荻窪ー夜勤")+COUNTIF('8月'!DJ15:DK15,"荻窪ー夜勤")+COUNTIF('8月'!DO15:DP15,"荻窪ー夜勤")+COUNTIF('8月'!DT15:DU15,"荻窪ー夜勤")+COUNTIF('8月'!DY15:DZ15,"荻窪ー夜勤")+COUNTIF('8月'!ED15:EE15,"荻窪ー夜勤")+COUNTIF('8月'!EI15:EJ15,"荻窪ー夜勤")+COUNTIF('8月'!EN15:EO15,"荻窪ー夜勤")+COUNTIF('8月'!ES15:ET15,"荻窪ー夜勤")</f>
        <v>0</v>
      </c>
      <c r="Q276" s="76">
        <f t="shared" si="91"/>
        <v>0</v>
      </c>
      <c r="R276" s="76">
        <f>COUNTIF('8月'!D15:E15,R$263)+COUNTIF('8月'!I15:J15,R$263)+COUNTIF('8月'!N15:O15,R$263)+COUNTIF('8月'!S15:T15,R$263)+COUNTIF('8月'!X15:Y15,R$263)+COUNTIF('8月'!AC15:AD15,R$263)+COUNTIF('8月'!AH15:AI15,R$263)+COUNTIF('8月'!AM15:AN15,R$263)+COUNTIF('8月'!AR15:AS15,R$263)+COUNTIF('8月'!AW15:AX15,R$263)+COUNTIF('8月'!BB15:BC15,R$263)+COUNTIF('8月'!BG15:BH15,R$263)+COUNTIF('8月'!BL15:BM15,R$263)+COUNTIF('8月'!BQ15:BR15,R$263)+COUNTIF('8月'!BV15:BW15,R$263)+COUNTIF('8月'!CA15:CB15,R$263)+COUNTIF('8月'!CF15:CG15,R$263)+COUNTIF('8月'!CK15:CL15,R$263)+COUNTIF('8月'!CP15:CQ15,R$263)+COUNTIF('8月'!CU15:CV15,R$263)+COUNTIF('8月'!CZ15:DA15,R$263)+COUNTIF('8月'!DE15:DF15,R$263)+COUNTIF('8月'!DJ15:DK15,R$263)+COUNTIF('8月'!DO15:DP15,R$263)+COUNTIF('8月'!DT15:DU15,R$263)+COUNTIF('8月'!DY15:DZ15,R$263)+COUNTIF('8月'!ED15:EE15,R$263)+COUNTIF('8月'!EI15:EJ15,R$263)+COUNTIF('8月'!EN15:EO15,R$263)+COUNTIF('8月'!ES15:ET15,R$263)</f>
        <v>0</v>
      </c>
      <c r="S276" s="76">
        <f t="shared" si="92"/>
        <v>0</v>
      </c>
      <c r="T276" s="76">
        <f>COUNTIF('8月'!D15:E15,T$263)+COUNTIF('8月'!I15:J15,T$263)+COUNTIF('8月'!N15:O15,T$263)+COUNTIF('8月'!S15:T15,T$263)+COUNTIF('8月'!X15:Y15,T$263)+COUNTIF('8月'!AC15:AD15,T$263)+COUNTIF('8月'!AH15:AI15,T$263)+COUNTIF('8月'!AM15:AN15,T$263)+COUNTIF('8月'!AR15:AS15,T$263)+COUNTIF('8月'!AW15:AX15,T$263)+COUNTIF('8月'!BB15:BC15,T$263)+COUNTIF('8月'!BG15:BH15,T$263)+COUNTIF('8月'!BL15:BM15,T$263)+COUNTIF('8月'!BQ15:BR15,T$263)+COUNTIF('8月'!BV15:BW15,T$263)+COUNTIF('8月'!CA15:CB15,T$263)+COUNTIF('8月'!CF15:CG15,T$263)+COUNTIF('8月'!CK15:CL15,T$263)+COUNTIF('8月'!CP15:CQ15,T$263)+COUNTIF('8月'!CU15:CV15,T$263)+COUNTIF('8月'!CZ15:DA15,T$263)+COUNTIF('8月'!DE15:DF15,T$263)+COUNTIF('8月'!DJ15:DK15,T$263)+COUNTIF('8月'!DO15:DP15,T$263)+COUNTIF('8月'!DT15:DU15,T$263)+COUNTIF('8月'!DY15:DZ15,T$263)+COUNTIF('8月'!ED15:EE15,T$263)+COUNTIF('8月'!EI15:EJ15,T$263)+COUNTIF('8月'!EN15:EO15,T$263)+COUNTIF('8月'!ES15:ET15,T$263)</f>
        <v>0</v>
      </c>
      <c r="U276" s="76">
        <f t="shared" si="93"/>
        <v>0</v>
      </c>
      <c r="V276" s="76">
        <f>COUNTIF('8月'!D15:E15,V$263)+COUNTIF('8月'!I15:J15,V$263)+COUNTIF('8月'!N15:O15,V$263)+COUNTIF('8月'!S15:T15,V$263)+COUNTIF('8月'!X15:Y15,V$263)+COUNTIF('8月'!AC15:AD15,V$263)+COUNTIF('8月'!AH15:AI15,V$263)+COUNTIF('8月'!AM15:AN15,V$263)+COUNTIF('8月'!AR15:AS15,V$263)+COUNTIF('8月'!AW15:AX15,V$263)+COUNTIF('8月'!BB15:BC15,V$263)+COUNTIF('8月'!BG15:BH15,V$263)+COUNTIF('8月'!BL15:BM15,V$263)+COUNTIF('8月'!BQ15:BR15,V$263)+COUNTIF('8月'!BV15:BW15,V$263)+COUNTIF('8月'!CA15:CB15,V$263)+COUNTIF('8月'!CF15:CG15,V$263)+COUNTIF('8月'!CK15:CL15,V$263)+COUNTIF('8月'!CP15:CQ15,V$263)+COUNTIF('8月'!CU15:CV15,V$263)+COUNTIF('8月'!CZ15:DA15,V$263)+COUNTIF('8月'!DE15:DF15,V$263)+COUNTIF('8月'!DJ15:DK15,V$263)+COUNTIF('8月'!DO15:DP15,V$263)+COUNTIF('8月'!DT15:DU15,V$263)+COUNTIF('8月'!DY15:DZ15,V$263)+COUNTIF('8月'!ED15:EE15,V$263)+COUNTIF('8月'!EI15:EJ15,V$263)+COUNTIF('8月'!EN15:EO15,V$263)+COUNTIF('8月'!ES15:ET15,V$263)</f>
        <v>0</v>
      </c>
      <c r="W276" s="76">
        <f t="shared" si="94"/>
        <v>0</v>
      </c>
      <c r="X276" s="76">
        <f>COUNTIF('8月'!D15:E15,X$263)+COUNTIF('8月'!I15:J15,X$263)+COUNTIF('8月'!N15:O15,X$263)+COUNTIF('8月'!S15:T15,X$263)+COUNTIF('8月'!X15:Y15,X$263)+COUNTIF('8月'!AC15:AD15,X$263)+COUNTIF('8月'!AH15:AI15,X$263)+COUNTIF('8月'!AM15:AN15,X$263)+COUNTIF('8月'!AR15:AS15,X$263)+COUNTIF('8月'!AW15:AX15,X$263)+COUNTIF('8月'!BB15:BC15,X$263)+COUNTIF('8月'!BG15:BH15,X$263)+COUNTIF('8月'!BL15:BM15,X$263)+COUNTIF('8月'!BQ15:BR15,X$263)+COUNTIF('8月'!BV15:BW15,X$263)+COUNTIF('8月'!CA15:CB15,X$263)+COUNTIF('8月'!CF15:CG15,X$263)+COUNTIF('8月'!CK15:CL15,X$263)+COUNTIF('8月'!CP15:CQ15,X$263)+COUNTIF('8月'!CU15:CV15,X$263)+COUNTIF('8月'!CZ15:DA15,X$263)+COUNTIF('8月'!DE15:DF15,X$263)+COUNTIF('8月'!DJ15:DK15,X$263)+COUNTIF('8月'!DO15:DP15,X$263)+COUNTIF('8月'!DT15:DU15,X$263)+COUNTIF('8月'!DY15:DZ15,X$263)+COUNTIF('8月'!ED15:EE15,X$263)+COUNTIF('8月'!EI15:EJ15,X$263)+COUNTIF('8月'!EN15:EO15,X$263)+COUNTIF('8月'!ES15:ET15,X$263)</f>
        <v>0</v>
      </c>
      <c r="Y276" s="76">
        <f t="shared" si="95"/>
        <v>0</v>
      </c>
    </row>
    <row r="277" spans="1:25" ht="18" customHeight="1">
      <c r="A277" s="76">
        <v>13</v>
      </c>
      <c r="B277" s="76">
        <f>COUNTIF('8月'!D16:E16,B$263)+COUNTIF('8月'!I16:J16,B$263)+COUNTIF('8月'!N16:O16,B$263)+COUNTIF('8月'!S16:T16,B$263)+COUNTIF('8月'!X16:Y16,B$263)+COUNTIF('8月'!AC16:AD16,B$263)+COUNTIF('8月'!AH16:AI16,B$263)+COUNTIF('8月'!AM16:AN16,B$263)+COUNTIF('8月'!AR16:AS16,B$263)+COUNTIF('8月'!AW16:AX16,B$263)+COUNTIF('8月'!BB16:BC16,B$263)+COUNTIF('8月'!BG16:BH16,B$263)+COUNTIF('8月'!BL16:BM16,B$263)+COUNTIF('8月'!BQ16:BR16,B$263)+COUNTIF('8月'!BV16:BW16,B$263)+COUNTIF('8月'!CA16:CB16,B$263)+COUNTIF('8月'!CF16:CG16,B$263)+COUNTIF('8月'!CK16:CL16,B$263)+COUNTIF('8月'!CP16:CQ16,B$263)+COUNTIF('8月'!CU16:CV16,B$263)+COUNTIF('8月'!CZ16:DA16,B$263)+COUNTIF('8月'!DE16:DF16,B$263)+COUNTIF('8月'!DJ16:DK16,B$263)+COUNTIF('8月'!DO16:DP16,B$263)+COUNTIF('8月'!DT16:DU16,B$263)+COUNTIF('8月'!DY16:DZ16,B$263)+COUNTIF('8月'!ED16:EE16,B$263)+COUNTIF('8月'!EI16:EJ16,B$263)+COUNTIF('8月'!EN16:EO16,B$263)+COUNTIF('8月'!ES16:ET16,B$263)</f>
        <v>0</v>
      </c>
      <c r="C277" s="76">
        <f t="shared" si="84"/>
        <v>0</v>
      </c>
      <c r="D277" s="76">
        <f>COUNTIF('8月'!D16:E16,D$263)+COUNTIF('8月'!I16:J16,D$263)+COUNTIF('8月'!N16:O16,D$263)+COUNTIF('8月'!S16:T16,D$263)+COUNTIF('8月'!X16:Y16,D$263)+COUNTIF('8月'!AC16:AD16,D$263)+COUNTIF('8月'!AH16:AI16,D$263)+COUNTIF('8月'!AM16:AN16,D$263)+COUNTIF('8月'!AR16:AS16,D$263)+COUNTIF('8月'!AW16:AX16,D$263)+COUNTIF('8月'!BB16:BC16,D$263)+COUNTIF('8月'!BG16:BH16,D$263)+COUNTIF('8月'!BL16:BM16,D$263)+COUNTIF('8月'!BQ16:BR16,D$263)+COUNTIF('8月'!BV16:BW16,D$263)+COUNTIF('8月'!CA16:CB16,D$263)+COUNTIF('8月'!CF16:CG16,D$263)+COUNTIF('8月'!CK16:CL16,D$263)+COUNTIF('8月'!CP16:CQ16,D$263)+COUNTIF('8月'!CU16:CV16,D$263)+COUNTIF('8月'!CZ16:DA16,D$263)+COUNTIF('8月'!DE16:DF16,D$263)+COUNTIF('8月'!DJ16:DK16,D$263)+COUNTIF('8月'!DO16:DP16,D$263)+COUNTIF('8月'!DT16:DU16,D$263)+COUNTIF('8月'!DY16:DZ16,D$263)+COUNTIF('8月'!ED16:EE16,D$263)+COUNTIF('8月'!EI16:EJ16,D$263)+COUNTIF('8月'!EN16:EO16,D$263)+COUNTIF('8月'!ES16:ET16,D$263)</f>
        <v>0</v>
      </c>
      <c r="E277" s="76">
        <f t="shared" si="85"/>
        <v>0</v>
      </c>
      <c r="F277" s="76">
        <f>COUNTIF('8月'!D16:E16,F$263)+COUNTIF('8月'!I16:J16,F$263)+COUNTIF('8月'!N16:O16,F$263)+COUNTIF('8月'!S16:T16,F$263)+COUNTIF('8月'!X16:Y16,F$263)+COUNTIF('8月'!AC16:AD16,F$263)+COUNTIF('8月'!AH16:AI16,F$263)+COUNTIF('8月'!AM16:AN16,F$263)+COUNTIF('8月'!AR16:AS16,F$263)+COUNTIF('8月'!AW16:AX16,F$263)+COUNTIF('8月'!BB16:BC16,F$263)+COUNTIF('8月'!BG16:BH16,F$263)+COUNTIF('8月'!BL16:BM16,F$263)+COUNTIF('8月'!BQ16:BR16,F$263)+COUNTIF('8月'!BV16:BW16,F$263)+COUNTIF('8月'!CA16:CB16,F$263)+COUNTIF('8月'!CF16:CG16,F$263)+COUNTIF('8月'!CK16:CL16,F$263)+COUNTIF('8月'!CP16:CQ16,F$263)+COUNTIF('8月'!CU16:CV16,F$263)+COUNTIF('8月'!CZ16:DA16,F$263)+COUNTIF('8月'!DE16:DF16,F$263)+COUNTIF('8月'!DJ16:DK16,F$263)+COUNTIF('8月'!DO16:DP16,F$263)+COUNTIF('8月'!DT16:DU16,F$263)+COUNTIF('8月'!DY16:DZ16,F$263)+COUNTIF('8月'!ED16:EE16,F$263)+COUNTIF('8月'!EI16:EJ16,F$263)+COUNTIF('8月'!EN16:EO16,F$263)+COUNTIF('8月'!ES16:ET16,F$263)</f>
        <v>0</v>
      </c>
      <c r="G277" s="76">
        <f t="shared" si="86"/>
        <v>0</v>
      </c>
      <c r="H277" s="76">
        <f>COUNTIF('8月'!D16:E16,H$263)+COUNTIF('8月'!I16:J16,H$263)+COUNTIF('8月'!N16:O16,H$263)+COUNTIF('8月'!S16:T16,H$263)+COUNTIF('8月'!X16:Y16,H$263)+COUNTIF('8月'!AC16:AD16,H$263)+COUNTIF('8月'!AH16:AI16,H$263)+COUNTIF('8月'!AM16:AN16,H$263)+COUNTIF('8月'!AR16:AS16,H$263)+COUNTIF('8月'!AW16:AX16,H$263)+COUNTIF('8月'!BB16:BC16,H$263)+COUNTIF('8月'!BG16:BH16,H$263)+COUNTIF('8月'!BL16:BM16,H$263)+COUNTIF('8月'!BQ16:BR16,H$263)+COUNTIF('8月'!BV16:BW16,H$263)+COUNTIF('8月'!CA16:CB16,H$263)+COUNTIF('8月'!CF16:CG16,H$263)+COUNTIF('8月'!CK16:CL16,H$263)+COUNTIF('8月'!CP16:CQ16,H$263)+COUNTIF('8月'!CU16:CV16,H$263)+COUNTIF('8月'!CZ16:DA16,H$263)+COUNTIF('8月'!DE16:DF16,H$263)+COUNTIF('8月'!DJ16:DK16,H$263)+COUNTIF('8月'!DO16:DP16,H$263)+COUNTIF('8月'!DT16:DU16,H$263)+COUNTIF('8月'!DY16:DZ16,H$263)+COUNTIF('8月'!ED16:EE16,H$263)+COUNTIF('8月'!EI16:EJ16,H$263)+COUNTIF('8月'!EN16:EO16,H$263)+COUNTIF('8月'!ES16:ET16,H$263)+COUNTIF('8月'!D16:E16,"渋谷-夜勤")+COUNTIF('8月'!I16:J16,"渋谷-夜勤")+COUNTIF('8月'!N16:O16,"渋谷-夜勤")+COUNTIF('8月'!S16:T16,"渋谷-夜勤")+COUNTIF('8月'!X16:Y16,"渋谷-夜勤")+COUNTIF('8月'!AC16:AD16,"渋谷-夜勤")+COUNTIF('8月'!AH16:AI16,"渋谷-夜勤")+COUNTIF('8月'!AM16:AN16,"渋谷-夜勤")+COUNTIF('8月'!AR16:AS16,"渋谷-夜勤")+COUNTIF('8月'!AW16:AX16,"渋谷-夜勤")+COUNTIF('8月'!BB16:BC16,"渋谷-夜勤")+COUNTIF('8月'!BG16:BH16,"渋谷-夜勤")+COUNTIF('8月'!BL16:BM16,"渋谷-夜勤")+COUNTIF('8月'!BQ16:BR16,"渋谷-夜勤")+COUNTIF('8月'!BV16:BW16,"渋谷-夜勤")+COUNTIF('8月'!CA16:CB16,"渋谷-夜勤")+COUNTIF('8月'!CF16:CG16,"渋谷-夜勤")+COUNTIF('8月'!CK16:CL16,"渋谷-夜勤")+COUNTIF('8月'!CP16:CQ16,"渋谷-夜勤")+COUNTIF('8月'!CU16:CV16,"渋谷-夜勤")+COUNTIF('8月'!CZ16:DA16,"渋谷-夜勤")+COUNTIF('8月'!DE16:DF16,"渋谷-夜勤")+COUNTIF('8月'!DJ16:DK16,"渋谷-夜勤")+COUNTIF('8月'!DO16:DP16,"渋谷-夜勤")+COUNTIF('8月'!DT16:DU16,"渋谷-夜勤")+COUNTIF('8月'!DY16:DZ16,"渋谷-夜勤")+COUNTIF('8月'!ED16:EE16,"渋谷-夜勤")+COUNTIF('8月'!EI16:EJ16,"渋谷-夜勤")+COUNTIF('8月'!EN16:EO16,"渋谷-夜勤")+COUNTIF('8月'!ES16:ET16,"渋谷-夜勤")</f>
        <v>0</v>
      </c>
      <c r="I277" s="76">
        <f t="shared" si="87"/>
        <v>0</v>
      </c>
      <c r="J277" s="76">
        <f>COUNTIF('8月'!D16:E16,J$263)+COUNTIF('8月'!I16:J16,J$263)+COUNTIF('8月'!N16:O16,J$263)+COUNTIF('8月'!S16:T16,J$263)+COUNTIF('8月'!X16:Y16,J$263)+COUNTIF('8月'!AC16:AD16,J$263)+COUNTIF('8月'!AH16:AI16,J$263)+COUNTIF('8月'!AM16:AN16,J$263)+COUNTIF('8月'!AR16:AS16,J$263)+COUNTIF('8月'!AW16:AX16,J$263)+COUNTIF('8月'!BB16:BC16,J$263)+COUNTIF('8月'!BG16:BH16,J$263)+COUNTIF('8月'!BL16:BM16,J$263)+COUNTIF('8月'!BQ16:BR16,J$263)+COUNTIF('8月'!BV16:BW16,J$263)+COUNTIF('8月'!CA16:CB16,J$263)+COUNTIF('8月'!CF16:CG16,J$263)+COUNTIF('8月'!CK16:CL16,J$263)+COUNTIF('8月'!CP16:CQ16,J$263)+COUNTIF('8月'!CU16:CV16,J$263)+COUNTIF('8月'!CZ16:DA16,J$263)+COUNTIF('8月'!DE16:DF16,J$263)+COUNTIF('8月'!DJ16:DK16,J$263)+COUNTIF('8月'!DO16:DP16,J$263)+COUNTIF('8月'!DT16:DU16,J$263)+COUNTIF('8月'!DY16:DZ16,J$263)+COUNTIF('8月'!ED16:EE16,J$263)+COUNTIF('8月'!EI16:EJ16,J$263)+COUNTIF('8月'!EN16:EO16,J$263)+COUNTIF('8月'!ES16:ET16,J$263)+COUNTIF('8月'!D16:E16,"六本木-夜勤")+COUNTIF('8月'!I16:J16,"六本木-夜勤")+COUNTIF('8月'!N16:O16,"六本木-夜勤")+COUNTIF('8月'!S16:T16,"六本木-夜勤")+COUNTIF('8月'!X16:Y16,"六本木-夜勤")+COUNTIF('8月'!AC16:AD16,"六本木-夜勤")+COUNTIF('8月'!AH16:AI16,"六本木-夜勤")+COUNTIF('8月'!AM16:AN16,"六本木-夜勤")+COUNTIF('8月'!AR16:AS16,"六本木-夜勤")+COUNTIF('8月'!AW16:AX16,"六本木-夜勤")+COUNTIF('8月'!BB16:BC16,"六本木-夜勤")+COUNTIF('8月'!BG16:BH16,"六本木-夜勤")+COUNTIF('8月'!BL16:BM16,"六本木-夜勤")+COUNTIF('8月'!BQ16:BR16,"六本木-夜勤")+COUNTIF('8月'!BV16:BW16,"六本木-夜勤")+COUNTIF('8月'!CA16:CB16,"六本木-夜勤")+COUNTIF('8月'!CF16:CG16,"六本木-夜勤")+COUNTIF('8月'!CK16:CL16,"六本木-夜勤")+COUNTIF('8月'!CP16:CQ16,"六本木-夜勤")+COUNTIF('8月'!CU16:CV16,"六本木-夜勤")+COUNTIF('8月'!CZ16:DA16,"六本木-夜勤")+COUNTIF('8月'!DE16:DF16,"六本木-夜勤")+COUNTIF('8月'!DJ16:DK16,"六本木-夜勤")+COUNTIF('8月'!DO16:DP16,"六本木-夜勤")+COUNTIF('8月'!DT16:DU16,"六本木-夜勤")+COUNTIF('8月'!DY16:DZ16,"六本木-夜勤")+COUNTIF('8月'!ED16:EE16,"六本木-夜勤")+COUNTIF('8月'!EI16:EJ16,"六本木-夜勤")+COUNTIF('8月'!EN16:EO16,"六本木-夜勤")+COUNTIF('8月'!ES16:ET16,"六本木-夜勤")+COUNTIF('8月'!D16:E16,"六本木ー夜勤")+COUNTIF('8月'!I16:J16,"六本木ー夜勤")+COUNTIF('8月'!N16:O16,"六本木ー夜勤")+COUNTIF('8月'!S16:T16,"六本木ー夜勤")+COUNTIF('8月'!X16:Y16,"六本木ー夜勤")+COUNTIF('8月'!AC16:AD16,"六本木ー夜勤")+COUNTIF('8月'!AH16:AI16,"六本木ー夜勤")+COUNTIF('8月'!AM16:AN16,"六本木ー夜勤")+COUNTIF('8月'!AR16:AS16,"六本木ー夜勤")+COUNTIF('8月'!AW16:AX16,"六本木ー夜勤")+COUNTIF('8月'!BB16:BC16,"六本木ー夜勤")+COUNTIF('8月'!BG16:BH16,"六本木ー夜勤")+COUNTIF('8月'!BL16:BM16,"六本木ー夜勤")+COUNTIF('8月'!BQ16:BR16,"六本木ー夜勤")+COUNTIF('8月'!BV16:BW16,"六本木ー夜勤")+COUNTIF('8月'!CA16:CB16,"六本木ー夜勤")+COUNTIF('8月'!CF16:CG16,"六本木ー夜勤")+COUNTIF('8月'!CK16:CL16,"六本木ー夜勤")+COUNTIF('8月'!CP16:CQ16,"六本木ー夜勤")+COUNTIF('8月'!CU16:CV16,"六本木ー夜勤")+COUNTIF('8月'!CZ16:DA16,"六本木ー夜勤")+COUNTIF('8月'!DE16:DF16,"六本木ー夜勤")+COUNTIF('8月'!DJ16:DK16,"六本木ー夜勤")+COUNTIF('8月'!DO16:DP16,"六本木ー夜勤")+COUNTIF('8月'!DT16:DU16,"六本木ー夜勤")+COUNTIF('8月'!DY16:DZ16,"六本木ー夜勤")+COUNTIF('8月'!ED16:EE16,"六本木ー夜勤")+COUNTIF('8月'!EI16:EJ16,"六本木ー夜勤")+COUNTIF('8月'!EN16:EO16,"六本木ー夜勤")+COUNTIF('8月'!ES16:ET16,"六本木ー夜勤")</f>
        <v>0</v>
      </c>
      <c r="K277" s="76">
        <f t="shared" si="88"/>
        <v>0</v>
      </c>
      <c r="L277" s="76">
        <f>COUNTIF('8月'!D16:E16,L$263)+COUNTIF('8月'!I16:J16,L$263)+COUNTIF('8月'!N16:O16,L$263)+COUNTIF('8月'!S16:T16,L$263)+COUNTIF('8月'!X16:Y16,L$263)+COUNTIF('8月'!AC16:AD16,L$263)+COUNTIF('8月'!AH16:AI16,L$263)+COUNTIF('8月'!AM16:AN16,L$263)+COUNTIF('8月'!AR16:AS16,L$263)+COUNTIF('8月'!AW16:AX16,L$263)+COUNTIF('8月'!BB16:BC16,L$263)+COUNTIF('8月'!BG16:BH16,L$263)+COUNTIF('8月'!BL16:BM16,L$263)+COUNTIF('8月'!BQ16:BR16,L$263)+COUNTIF('8月'!BV16:BW16,L$263)+COUNTIF('8月'!CA16:CB16,L$263)+COUNTIF('8月'!CF16:CG16,L$263)+COUNTIF('8月'!CK16:CL16,L$263)+COUNTIF('8月'!CP16:CQ16,L$263)+COUNTIF('8月'!CU16:CV16,L$263)+COUNTIF('8月'!CZ16:DA16,L$263)+COUNTIF('8月'!DE16:DF16,L$263)+COUNTIF('8月'!DJ16:DK16,L$263)+COUNTIF('8月'!DO16:DP16,L$263)+COUNTIF('8月'!DT16:DU16,L$263)+COUNTIF('8月'!DY16:DZ16,L$263)+COUNTIF('8月'!ED16:EE16,L$263)+COUNTIF('8月'!EI16:EJ16,L$263)+COUNTIF('8月'!EN16:EO16,L$263)+COUNTIF('8月'!ES16:ET16,L$263)</f>
        <v>0</v>
      </c>
      <c r="M277" s="76">
        <f t="shared" si="89"/>
        <v>0</v>
      </c>
      <c r="N277" s="76">
        <f>COUNTIF('8月'!D16:E16,N$263)+COUNTIF('8月'!I16:J16,N$263)+COUNTIF('8月'!N16:O16,N$263)+COUNTIF('8月'!S16:T16,N$263)+COUNTIF('8月'!X16:Y16,N$263)+COUNTIF('8月'!AC16:AD16,N$263)+COUNTIF('8月'!AH16:AI16,N$263)+COUNTIF('8月'!AM16:AN16,N$263)+COUNTIF('8月'!AR16:AS16,N$263)+COUNTIF('8月'!AW16:AX16,N$263)+COUNTIF('8月'!BB16:BC16,N$263)+COUNTIF('8月'!BG16:BH16,N$263)+COUNTIF('8月'!BL16:BM16,N$263)+COUNTIF('8月'!BQ16:BR16,N$263)+COUNTIF('8月'!BV16:BW16,N$263)+COUNTIF('8月'!CA16:CB16,N$263)+COUNTIF('8月'!CF16:CG16,N$263)+COUNTIF('8月'!CK16:CL16,N$263)+COUNTIF('8月'!CP16:CQ16,N$263)+COUNTIF('8月'!CU16:CV16,N$263)+COUNTIF('8月'!CZ16:DA16,N$263)+COUNTIF('8月'!DE16:DF16,N$263)+COUNTIF('8月'!DJ16:DK16,N$263)+COUNTIF('8月'!DO16:DP16,N$263)+COUNTIF('8月'!DT16:DU16,N$263)+COUNTIF('8月'!DY16:DZ16,N$263)+COUNTIF('8月'!ED16:EE16,N$263)+COUNTIF('8月'!EI16:EJ16,N$263)+COUNTIF('8月'!EN16:EO16,N$263)+COUNTIF('8月'!ES16:ET16,N$263)+COUNTIF('8月'!D16:E16,"三軒茶屋－夜勤")+COUNTIF('8月'!I16:J16,"三軒茶屋－夜勤")+COUNTIF('8月'!N16:O16,"三軒茶屋－夜勤")+COUNTIF('8月'!S16:T16,"三軒茶屋－夜勤")+COUNTIF('8月'!X16:Y16,"三軒茶屋－夜勤")+COUNTIF('8月'!AC16:AD16,"三軒茶屋－夜勤")+COUNTIF('8月'!AH16:AI16,"三軒茶屋－夜勤")+COUNTIF('8月'!AM16:AN16,"三軒茶屋－夜勤")+COUNTIF('8月'!AR16:AS16,"三軒茶屋－夜勤")+COUNTIF('8月'!AW16:AX16,"三軒茶屋－夜勤")+COUNTIF('8月'!BB16:BC16,"三軒茶屋－夜勤")+COUNTIF('8月'!BG16:BH16,"三軒茶屋－夜勤")+COUNTIF('8月'!BL16:BM16,"三軒茶屋－夜勤")+COUNTIF('8月'!BQ16:BR16,"三軒茶屋－夜勤")+COUNTIF('8月'!BV16:BW16,"三軒茶屋－夜勤")+COUNTIF('8月'!CA16:CB16,"三軒茶屋－夜勤")+COUNTIF('8月'!CF16:CG16,"三軒茶屋－夜勤")+COUNTIF('8月'!CK16:CL16,"三軒茶屋－夜勤")+COUNTIF('8月'!CP16:CQ16,"三軒茶屋－夜勤")+COUNTIF('8月'!CU16:CV16,"三軒茶屋－夜勤")+COUNTIF('8月'!CZ16:DA16,"三軒茶屋－夜勤")+COUNTIF('8月'!DE16:DF16,"三軒茶屋－夜勤")+COUNTIF('8月'!DJ16:DK16,"三軒茶屋－夜勤")+COUNTIF('8月'!DO16:DP16,"三軒茶屋－夜勤")+COUNTIF('8月'!DT16:DU16,"三軒茶屋－夜勤")+COUNTIF('8月'!DY16:DZ16,"三軒茶屋－夜勤")+COUNTIF('8月'!ED16:EE16,"三軒茶屋－夜勤")+COUNTIF('8月'!EI16:EJ16,"三軒茶屋－夜勤")+COUNTIF('8月'!EN16:EO16,"三軒茶屋－夜勤")+COUNTIF('8月'!ES16:ET16,"三軒茶屋－夜勤")</f>
        <v>0</v>
      </c>
      <c r="O277" s="76">
        <f t="shared" si="90"/>
        <v>0</v>
      </c>
      <c r="P277" s="76">
        <f>COUNTIF('8月'!D16:E16,P$263)+COUNTIF('8月'!I16:J16,P$263)+COUNTIF('8月'!N16:O16,P$263)+COUNTIF('8月'!S16:T16,P$263)+COUNTIF('8月'!X16:Y16,P$263)+COUNTIF('8月'!AC16:AD16,P$263)+COUNTIF('8月'!AH16:AI16,P$263)+COUNTIF('8月'!AM16:AN16,P$263)+COUNTIF('8月'!AR16:AS16,P$263)+COUNTIF('8月'!AW16:AX16,P$263)+COUNTIF('8月'!BB16:BC16,P$263)+COUNTIF('8月'!BG16:BH16,P$263)+COUNTIF('8月'!BL16:BM16,P$263)+COUNTIF('8月'!BQ16:BR16,P$263)+COUNTIF('8月'!BV16:BW16,P$263)+COUNTIF('8月'!CA16:CB16,P$263)+COUNTIF('8月'!CF16:CG16,P$263)+COUNTIF('8月'!CK16:CL16,P$263)+COUNTIF('8月'!CP16:CQ16,P$263)+COUNTIF('8月'!CU16:CV16,P$263)+COUNTIF('8月'!CZ16:DA16,P$263)+COUNTIF('8月'!DE16:DF16,P$263)+COUNTIF('8月'!DJ16:DK16,P$263)+COUNTIF('8月'!DO16:DP16,P$263)+COUNTIF('8月'!DT16:DU16,P$263)+COUNTIF('8月'!DY16:DZ16,P$263)+COUNTIF('8月'!ED16:EE16,P$263)+COUNTIF('8月'!EI16:EJ16,P$263)+COUNTIF('8月'!EN16:EO16,P$263)+COUNTIF('8月'!ES16:ET16,P$263)+COUNTIF('8月'!D16:E16,"荻窪ー夜勤")+COUNTIF('8月'!I16:J16,"荻窪ー夜勤")+COUNTIF('8月'!N16:O16,"荻窪ー夜勤")+COUNTIF('8月'!S16:T16,"荻窪ー夜勤")+COUNTIF('8月'!X16:Y16,"荻窪ー夜勤")+COUNTIF('8月'!AC16:AD16,"荻窪ー夜勤")+COUNTIF('8月'!AH16:AI16,"荻窪ー夜勤")+COUNTIF('8月'!AM16:AN16,"荻窪ー夜勤")+COUNTIF('8月'!AR16:AS16,"荻窪ー夜勤")+COUNTIF('8月'!AW16:AX16,"荻窪ー夜勤")+COUNTIF('8月'!BB16:BC16,"荻窪ー夜勤")+COUNTIF('8月'!BG16:BH16,"荻窪ー夜勤")+COUNTIF('8月'!BL16:BM16,"荻窪ー夜勤")+COUNTIF('8月'!BQ16:BR16,"荻窪ー夜勤")+COUNTIF('8月'!BV16:BW16,"荻窪ー夜勤")+COUNTIF('8月'!CA16:CB16,"荻窪ー夜勤")+COUNTIF('8月'!CF16:CG16,"荻窪ー夜勤")+COUNTIF('8月'!CK16:CL16,"荻窪ー夜勤")+COUNTIF('8月'!CP16:CQ16,"荻窪ー夜勤")+COUNTIF('8月'!CU16:CV16,"荻窪ー夜勤")+COUNTIF('8月'!CZ16:DA16,"荻窪ー夜勤")+COUNTIF('8月'!DE16:DF16,"荻窪ー夜勤")+COUNTIF('8月'!DJ16:DK16,"荻窪ー夜勤")+COUNTIF('8月'!DO16:DP16,"荻窪ー夜勤")+COUNTIF('8月'!DT16:DU16,"荻窪ー夜勤")+COUNTIF('8月'!DY16:DZ16,"荻窪ー夜勤")+COUNTIF('8月'!ED16:EE16,"荻窪ー夜勤")+COUNTIF('8月'!EI16:EJ16,"荻窪ー夜勤")+COUNTIF('8月'!EN16:EO16,"荻窪ー夜勤")+COUNTIF('8月'!ES16:ET16,"荻窪ー夜勤")</f>
        <v>0</v>
      </c>
      <c r="Q277" s="76">
        <f t="shared" si="91"/>
        <v>0</v>
      </c>
      <c r="R277" s="76">
        <f>COUNTIF('8月'!D16:E16,R$263)+COUNTIF('8月'!I16:J16,R$263)+COUNTIF('8月'!N16:O16,R$263)+COUNTIF('8月'!S16:T16,R$263)+COUNTIF('8月'!X16:Y16,R$263)+COUNTIF('8月'!AC16:AD16,R$263)+COUNTIF('8月'!AH16:AI16,R$263)+COUNTIF('8月'!AM16:AN16,R$263)+COUNTIF('8月'!AR16:AS16,R$263)+COUNTIF('8月'!AW16:AX16,R$263)+COUNTIF('8月'!BB16:BC16,R$263)+COUNTIF('8月'!BG16:BH16,R$263)+COUNTIF('8月'!BL16:BM16,R$263)+COUNTIF('8月'!BQ16:BR16,R$263)+COUNTIF('8月'!BV16:BW16,R$263)+COUNTIF('8月'!CA16:CB16,R$263)+COUNTIF('8月'!CF16:CG16,R$263)+COUNTIF('8月'!CK16:CL16,R$263)+COUNTIF('8月'!CP16:CQ16,R$263)+COUNTIF('8月'!CU16:CV16,R$263)+COUNTIF('8月'!CZ16:DA16,R$263)+COUNTIF('8月'!DE16:DF16,R$263)+COUNTIF('8月'!DJ16:DK16,R$263)+COUNTIF('8月'!DO16:DP16,R$263)+COUNTIF('8月'!DT16:DU16,R$263)+COUNTIF('8月'!DY16:DZ16,R$263)+COUNTIF('8月'!ED16:EE16,R$263)+COUNTIF('8月'!EI16:EJ16,R$263)+COUNTIF('8月'!EN16:EO16,R$263)+COUNTIF('8月'!ES16:ET16,R$263)</f>
        <v>0</v>
      </c>
      <c r="S277" s="76">
        <f t="shared" si="92"/>
        <v>0</v>
      </c>
      <c r="T277" s="76">
        <f>COUNTIF('8月'!D16:E16,T$263)+COUNTIF('8月'!I16:J16,T$263)+COUNTIF('8月'!N16:O16,T$263)+COUNTIF('8月'!S16:T16,T$263)+COUNTIF('8月'!X16:Y16,T$263)+COUNTIF('8月'!AC16:AD16,T$263)+COUNTIF('8月'!AH16:AI16,T$263)+COUNTIF('8月'!AM16:AN16,T$263)+COUNTIF('8月'!AR16:AS16,T$263)+COUNTIF('8月'!AW16:AX16,T$263)+COUNTIF('8月'!BB16:BC16,T$263)+COUNTIF('8月'!BG16:BH16,T$263)+COUNTIF('8月'!BL16:BM16,T$263)+COUNTIF('8月'!BQ16:BR16,T$263)+COUNTIF('8月'!BV16:BW16,T$263)+COUNTIF('8月'!CA16:CB16,T$263)+COUNTIF('8月'!CF16:CG16,T$263)+COUNTIF('8月'!CK16:CL16,T$263)+COUNTIF('8月'!CP16:CQ16,T$263)+COUNTIF('8月'!CU16:CV16,T$263)+COUNTIF('8月'!CZ16:DA16,T$263)+COUNTIF('8月'!DE16:DF16,T$263)+COUNTIF('8月'!DJ16:DK16,T$263)+COUNTIF('8月'!DO16:DP16,T$263)+COUNTIF('8月'!DT16:DU16,T$263)+COUNTIF('8月'!DY16:DZ16,T$263)+COUNTIF('8月'!ED16:EE16,T$263)+COUNTIF('8月'!EI16:EJ16,T$263)+COUNTIF('8月'!EN16:EO16,T$263)+COUNTIF('8月'!ES16:ET16,T$263)</f>
        <v>0</v>
      </c>
      <c r="U277" s="76">
        <f t="shared" si="93"/>
        <v>0</v>
      </c>
      <c r="V277" s="76">
        <f>COUNTIF('8月'!D16:E16,V$263)+COUNTIF('8月'!I16:J16,V$263)+COUNTIF('8月'!N16:O16,V$263)+COUNTIF('8月'!S16:T16,V$263)+COUNTIF('8月'!X16:Y16,V$263)+COUNTIF('8月'!AC16:AD16,V$263)+COUNTIF('8月'!AH16:AI16,V$263)+COUNTIF('8月'!AM16:AN16,V$263)+COUNTIF('8月'!AR16:AS16,V$263)+COUNTIF('8月'!AW16:AX16,V$263)+COUNTIF('8月'!BB16:BC16,V$263)+COUNTIF('8月'!BG16:BH16,V$263)+COUNTIF('8月'!BL16:BM16,V$263)+COUNTIF('8月'!BQ16:BR16,V$263)+COUNTIF('8月'!BV16:BW16,V$263)+COUNTIF('8月'!CA16:CB16,V$263)+COUNTIF('8月'!CF16:CG16,V$263)+COUNTIF('8月'!CK16:CL16,V$263)+COUNTIF('8月'!CP16:CQ16,V$263)+COUNTIF('8月'!CU16:CV16,V$263)+COUNTIF('8月'!CZ16:DA16,V$263)+COUNTIF('8月'!DE16:DF16,V$263)+COUNTIF('8月'!DJ16:DK16,V$263)+COUNTIF('8月'!DO16:DP16,V$263)+COUNTIF('8月'!DT16:DU16,V$263)+COUNTIF('8月'!DY16:DZ16,V$263)+COUNTIF('8月'!ED16:EE16,V$263)+COUNTIF('8月'!EI16:EJ16,V$263)+COUNTIF('8月'!EN16:EO16,V$263)+COUNTIF('8月'!ES16:ET16,V$263)</f>
        <v>0</v>
      </c>
      <c r="W277" s="76">
        <f t="shared" si="94"/>
        <v>0</v>
      </c>
      <c r="X277" s="76">
        <f>COUNTIF('8月'!D16:E16,X$263)+COUNTIF('8月'!I16:J16,X$263)+COUNTIF('8月'!N16:O16,X$263)+COUNTIF('8月'!S16:T16,X$263)+COUNTIF('8月'!X16:Y16,X$263)+COUNTIF('8月'!AC16:AD16,X$263)+COUNTIF('8月'!AH16:AI16,X$263)+COUNTIF('8月'!AM16:AN16,X$263)+COUNTIF('8月'!AR16:AS16,X$263)+COUNTIF('8月'!AW16:AX16,X$263)+COUNTIF('8月'!BB16:BC16,X$263)+COUNTIF('8月'!BG16:BH16,X$263)+COUNTIF('8月'!BL16:BM16,X$263)+COUNTIF('8月'!BQ16:BR16,X$263)+COUNTIF('8月'!BV16:BW16,X$263)+COUNTIF('8月'!CA16:CB16,X$263)+COUNTIF('8月'!CF16:CG16,X$263)+COUNTIF('8月'!CK16:CL16,X$263)+COUNTIF('8月'!CP16:CQ16,X$263)+COUNTIF('8月'!CU16:CV16,X$263)+COUNTIF('8月'!CZ16:DA16,X$263)+COUNTIF('8月'!DE16:DF16,X$263)+COUNTIF('8月'!DJ16:DK16,X$263)+COUNTIF('8月'!DO16:DP16,X$263)+COUNTIF('8月'!DT16:DU16,X$263)+COUNTIF('8月'!DY16:DZ16,X$263)+COUNTIF('8月'!ED16:EE16,X$263)+COUNTIF('8月'!EI16:EJ16,X$263)+COUNTIF('8月'!EN16:EO16,X$263)+COUNTIF('8月'!ES16:ET16,X$263)</f>
        <v>0</v>
      </c>
      <c r="Y277" s="76">
        <f t="shared" si="95"/>
        <v>0</v>
      </c>
    </row>
    <row r="278" spans="1:25" ht="18" customHeight="1">
      <c r="A278" s="76">
        <v>14</v>
      </c>
      <c r="B278" s="76">
        <f>COUNTIF('8月'!D17:E17,B$263)+COUNTIF('8月'!I17:J17,B$263)+COUNTIF('8月'!N17:O17,B$263)+COUNTIF('8月'!S17:T17,B$263)+COUNTIF('8月'!X17:Y17,B$263)+COUNTIF('8月'!AC17:AD17,B$263)+COUNTIF('8月'!AH17:AI17,B$263)+COUNTIF('8月'!AM17:AN17,B$263)+COUNTIF('8月'!AR17:AS17,B$263)+COUNTIF('8月'!AW17:AX17,B$263)+COUNTIF('8月'!BB17:BC17,B$263)+COUNTIF('8月'!BG17:BH17,B$263)+COUNTIF('8月'!BL17:BM17,B$263)+COUNTIF('8月'!BQ17:BR17,B$263)+COUNTIF('8月'!BV17:BW17,B$263)+COUNTIF('8月'!CA17:CB17,B$263)+COUNTIF('8月'!CF17:CG17,B$263)+COUNTIF('8月'!CK17:CL17,B$263)+COUNTIF('8月'!CP17:CQ17,B$263)+COUNTIF('8月'!CU17:CV17,B$263)+COUNTIF('8月'!CZ17:DA17,B$263)+COUNTIF('8月'!DE17:DF17,B$263)+COUNTIF('8月'!DJ17:DK17,B$263)+COUNTIF('8月'!DO17:DP17,B$263)+COUNTIF('8月'!DT17:DU17,B$263)+COUNTIF('8月'!DY17:DZ17,B$263)+COUNTIF('8月'!ED17:EE17,B$263)+COUNTIF('8月'!EI17:EJ17,B$263)+COUNTIF('8月'!EN17:EO17,B$263)+COUNTIF('8月'!ES17:ET17,B$263)</f>
        <v>0</v>
      </c>
      <c r="C278" s="76">
        <f t="shared" si="84"/>
        <v>0</v>
      </c>
      <c r="D278" s="76">
        <f>COUNTIF('8月'!D17:E17,D$263)+COUNTIF('8月'!I17:J17,D$263)+COUNTIF('8月'!N17:O17,D$263)+COUNTIF('8月'!S17:T17,D$263)+COUNTIF('8月'!X17:Y17,D$263)+COUNTIF('8月'!AC17:AD17,D$263)+COUNTIF('8月'!AH17:AI17,D$263)+COUNTIF('8月'!AM17:AN17,D$263)+COUNTIF('8月'!AR17:AS17,D$263)+COUNTIF('8月'!AW17:AX17,D$263)+COUNTIF('8月'!BB17:BC17,D$263)+COUNTIF('8月'!BG17:BH17,D$263)+COUNTIF('8月'!BL17:BM17,D$263)+COUNTIF('8月'!BQ17:BR17,D$263)+COUNTIF('8月'!BV17:BW17,D$263)+COUNTIF('8月'!CA17:CB17,D$263)+COUNTIF('8月'!CF17:CG17,D$263)+COUNTIF('8月'!CK17:CL17,D$263)+COUNTIF('8月'!CP17:CQ17,D$263)+COUNTIF('8月'!CU17:CV17,D$263)+COUNTIF('8月'!CZ17:DA17,D$263)+COUNTIF('8月'!DE17:DF17,D$263)+COUNTIF('8月'!DJ17:DK17,D$263)+COUNTIF('8月'!DO17:DP17,D$263)+COUNTIF('8月'!DT17:DU17,D$263)+COUNTIF('8月'!DY17:DZ17,D$263)+COUNTIF('8月'!ED17:EE17,D$263)+COUNTIF('8月'!EI17:EJ17,D$263)+COUNTIF('8月'!EN17:EO17,D$263)+COUNTIF('8月'!ES17:ET17,D$263)</f>
        <v>0</v>
      </c>
      <c r="E278" s="76">
        <f t="shared" si="85"/>
        <v>0</v>
      </c>
      <c r="F278" s="76">
        <f>COUNTIF('8月'!D17:E17,F$263)+COUNTIF('8月'!I17:J17,F$263)+COUNTIF('8月'!N17:O17,F$263)+COUNTIF('8月'!S17:T17,F$263)+COUNTIF('8月'!X17:Y17,F$263)+COUNTIF('8月'!AC17:AD17,F$263)+COUNTIF('8月'!AH17:AI17,F$263)+COUNTIF('8月'!AM17:AN17,F$263)+COUNTIF('8月'!AR17:AS17,F$263)+COUNTIF('8月'!AW17:AX17,F$263)+COUNTIF('8月'!BB17:BC17,F$263)+COUNTIF('8月'!BG17:BH17,F$263)+COUNTIF('8月'!BL17:BM17,F$263)+COUNTIF('8月'!BQ17:BR17,F$263)+COUNTIF('8月'!BV17:BW17,F$263)+COUNTIF('8月'!CA17:CB17,F$263)+COUNTIF('8月'!CF17:CG17,F$263)+COUNTIF('8月'!CK17:CL17,F$263)+COUNTIF('8月'!CP17:CQ17,F$263)+COUNTIF('8月'!CU17:CV17,F$263)+COUNTIF('8月'!CZ17:DA17,F$263)+COUNTIF('8月'!DE17:DF17,F$263)+COUNTIF('8月'!DJ17:DK17,F$263)+COUNTIF('8月'!DO17:DP17,F$263)+COUNTIF('8月'!DT17:DU17,F$263)+COUNTIF('8月'!DY17:DZ17,F$263)+COUNTIF('8月'!ED17:EE17,F$263)+COUNTIF('8月'!EI17:EJ17,F$263)+COUNTIF('8月'!EN17:EO17,F$263)+COUNTIF('8月'!ES17:ET17,F$263)</f>
        <v>0</v>
      </c>
      <c r="G278" s="76">
        <f t="shared" si="86"/>
        <v>0</v>
      </c>
      <c r="H278" s="76">
        <f>COUNTIF('8月'!D17:E17,H$263)+COUNTIF('8月'!I17:J17,H$263)+COUNTIF('8月'!N17:O17,H$263)+COUNTIF('8月'!S17:T17,H$263)+COUNTIF('8月'!X17:Y17,H$263)+COUNTIF('8月'!AC17:AD17,H$263)+COUNTIF('8月'!AH17:AI17,H$263)+COUNTIF('8月'!AM17:AN17,H$263)+COUNTIF('8月'!AR17:AS17,H$263)+COUNTIF('8月'!AW17:AX17,H$263)+COUNTIF('8月'!BB17:BC17,H$263)+COUNTIF('8月'!BG17:BH17,H$263)+COUNTIF('8月'!BL17:BM17,H$263)+COUNTIF('8月'!BQ17:BR17,H$263)+COUNTIF('8月'!BV17:BW17,H$263)+COUNTIF('8月'!CA17:CB17,H$263)+COUNTIF('8月'!CF17:CG17,H$263)+COUNTIF('8月'!CK17:CL17,H$263)+COUNTIF('8月'!CP17:CQ17,H$263)+COUNTIF('8月'!CU17:CV17,H$263)+COUNTIF('8月'!CZ17:DA17,H$263)+COUNTIF('8月'!DE17:DF17,H$263)+COUNTIF('8月'!DJ17:DK17,H$263)+COUNTIF('8月'!DO17:DP17,H$263)+COUNTIF('8月'!DT17:DU17,H$263)+COUNTIF('8月'!DY17:DZ17,H$263)+COUNTIF('8月'!ED17:EE17,H$263)+COUNTIF('8月'!EI17:EJ17,H$263)+COUNTIF('8月'!EN17:EO17,H$263)+COUNTIF('8月'!ES17:ET17,H$263)+COUNTIF('8月'!D17:E17,"渋谷-夜勤")+COUNTIF('8月'!I17:J17,"渋谷-夜勤")+COUNTIF('8月'!N17:O17,"渋谷-夜勤")+COUNTIF('8月'!S17:T17,"渋谷-夜勤")+COUNTIF('8月'!X17:Y17,"渋谷-夜勤")+COUNTIF('8月'!AC17:AD17,"渋谷-夜勤")+COUNTIF('8月'!AH17:AI17,"渋谷-夜勤")+COUNTIF('8月'!AM17:AN17,"渋谷-夜勤")+COUNTIF('8月'!AR17:AS17,"渋谷-夜勤")+COUNTIF('8月'!AW17:AX17,"渋谷-夜勤")+COUNTIF('8月'!BB17:BC17,"渋谷-夜勤")+COUNTIF('8月'!BG17:BH17,"渋谷-夜勤")+COUNTIF('8月'!BL17:BM17,"渋谷-夜勤")+COUNTIF('8月'!BQ17:BR17,"渋谷-夜勤")+COUNTIF('8月'!BV17:BW17,"渋谷-夜勤")+COUNTIF('8月'!CA17:CB17,"渋谷-夜勤")+COUNTIF('8月'!CF17:CG17,"渋谷-夜勤")+COUNTIF('8月'!CK17:CL17,"渋谷-夜勤")+COUNTIF('8月'!CP17:CQ17,"渋谷-夜勤")+COUNTIF('8月'!CU17:CV17,"渋谷-夜勤")+COUNTIF('8月'!CZ17:DA17,"渋谷-夜勤")+COUNTIF('8月'!DE17:DF17,"渋谷-夜勤")+COUNTIF('8月'!DJ17:DK17,"渋谷-夜勤")+COUNTIF('8月'!DO17:DP17,"渋谷-夜勤")+COUNTIF('8月'!DT17:DU17,"渋谷-夜勤")+COUNTIF('8月'!DY17:DZ17,"渋谷-夜勤")+COUNTIF('8月'!ED17:EE17,"渋谷-夜勤")+COUNTIF('8月'!EI17:EJ17,"渋谷-夜勤")+COUNTIF('8月'!EN17:EO17,"渋谷-夜勤")+COUNTIF('8月'!ES17:ET17,"渋谷-夜勤")</f>
        <v>0</v>
      </c>
      <c r="I278" s="76">
        <f t="shared" si="87"/>
        <v>0</v>
      </c>
      <c r="J278" s="76">
        <f>COUNTIF('8月'!D17:E17,J$263)+COUNTIF('8月'!I17:J17,J$263)+COUNTIF('8月'!N17:O17,J$263)+COUNTIF('8月'!S17:T17,J$263)+COUNTIF('8月'!X17:Y17,J$263)+COUNTIF('8月'!AC17:AD17,J$263)+COUNTIF('8月'!AH17:AI17,J$263)+COUNTIF('8月'!AM17:AN17,J$263)+COUNTIF('8月'!AR17:AS17,J$263)+COUNTIF('8月'!AW17:AX17,J$263)+COUNTIF('8月'!BB17:BC17,J$263)+COUNTIF('8月'!BG17:BH17,J$263)+COUNTIF('8月'!BL17:BM17,J$263)+COUNTIF('8月'!BQ17:BR17,J$263)+COUNTIF('8月'!BV17:BW17,J$263)+COUNTIF('8月'!CA17:CB17,J$263)+COUNTIF('8月'!CF17:CG17,J$263)+COUNTIF('8月'!CK17:CL17,J$263)+COUNTIF('8月'!CP17:CQ17,J$263)+COUNTIF('8月'!CU17:CV17,J$263)+COUNTIF('8月'!CZ17:DA17,J$263)+COUNTIF('8月'!DE17:DF17,J$263)+COUNTIF('8月'!DJ17:DK17,J$263)+COUNTIF('8月'!DO17:DP17,J$263)+COUNTIF('8月'!DT17:DU17,J$263)+COUNTIF('8月'!DY17:DZ17,J$263)+COUNTIF('8月'!ED17:EE17,J$263)+COUNTIF('8月'!EI17:EJ17,J$263)+COUNTIF('8月'!EN17:EO17,J$263)+COUNTIF('8月'!ES17:ET17,J$263)+COUNTIF('8月'!D17:E17,"六本木-夜勤")+COUNTIF('8月'!I17:J17,"六本木-夜勤")+COUNTIF('8月'!N17:O17,"六本木-夜勤")+COUNTIF('8月'!S17:T17,"六本木-夜勤")+COUNTIF('8月'!X17:Y17,"六本木-夜勤")+COUNTIF('8月'!AC17:AD17,"六本木-夜勤")+COUNTIF('8月'!AH17:AI17,"六本木-夜勤")+COUNTIF('8月'!AM17:AN17,"六本木-夜勤")+COUNTIF('8月'!AR17:AS17,"六本木-夜勤")+COUNTIF('8月'!AW17:AX17,"六本木-夜勤")+COUNTIF('8月'!BB17:BC17,"六本木-夜勤")+COUNTIF('8月'!BG17:BH17,"六本木-夜勤")+COUNTIF('8月'!BL17:BM17,"六本木-夜勤")+COUNTIF('8月'!BQ17:BR17,"六本木-夜勤")+COUNTIF('8月'!BV17:BW17,"六本木-夜勤")+COUNTIF('8月'!CA17:CB17,"六本木-夜勤")+COUNTIF('8月'!CF17:CG17,"六本木-夜勤")+COUNTIF('8月'!CK17:CL17,"六本木-夜勤")+COUNTIF('8月'!CP17:CQ17,"六本木-夜勤")+COUNTIF('8月'!CU17:CV17,"六本木-夜勤")+COUNTIF('8月'!CZ17:DA17,"六本木-夜勤")+COUNTIF('8月'!DE17:DF17,"六本木-夜勤")+COUNTIF('8月'!DJ17:DK17,"六本木-夜勤")+COUNTIF('8月'!DO17:DP17,"六本木-夜勤")+COUNTIF('8月'!DT17:DU17,"六本木-夜勤")+COUNTIF('8月'!DY17:DZ17,"六本木-夜勤")+COUNTIF('8月'!ED17:EE17,"六本木-夜勤")+COUNTIF('8月'!EI17:EJ17,"六本木-夜勤")+COUNTIF('8月'!EN17:EO17,"六本木-夜勤")+COUNTIF('8月'!ES17:ET17,"六本木-夜勤")+COUNTIF('8月'!D17:E17,"六本木ー夜勤")+COUNTIF('8月'!I17:J17,"六本木ー夜勤")+COUNTIF('8月'!N17:O17,"六本木ー夜勤")+COUNTIF('8月'!S17:T17,"六本木ー夜勤")+COUNTIF('8月'!X17:Y17,"六本木ー夜勤")+COUNTIF('8月'!AC17:AD17,"六本木ー夜勤")+COUNTIF('8月'!AH17:AI17,"六本木ー夜勤")+COUNTIF('8月'!AM17:AN17,"六本木ー夜勤")+COUNTIF('8月'!AR17:AS17,"六本木ー夜勤")+COUNTIF('8月'!AW17:AX17,"六本木ー夜勤")+COUNTIF('8月'!BB17:BC17,"六本木ー夜勤")+COUNTIF('8月'!BG17:BH17,"六本木ー夜勤")+COUNTIF('8月'!BL17:BM17,"六本木ー夜勤")+COUNTIF('8月'!BQ17:BR17,"六本木ー夜勤")+COUNTIF('8月'!BV17:BW17,"六本木ー夜勤")+COUNTIF('8月'!CA17:CB17,"六本木ー夜勤")+COUNTIF('8月'!CF17:CG17,"六本木ー夜勤")+COUNTIF('8月'!CK17:CL17,"六本木ー夜勤")+COUNTIF('8月'!CP17:CQ17,"六本木ー夜勤")+COUNTIF('8月'!CU17:CV17,"六本木ー夜勤")+COUNTIF('8月'!CZ17:DA17,"六本木ー夜勤")+COUNTIF('8月'!DE17:DF17,"六本木ー夜勤")+COUNTIF('8月'!DJ17:DK17,"六本木ー夜勤")+COUNTIF('8月'!DO17:DP17,"六本木ー夜勤")+COUNTIF('8月'!DT17:DU17,"六本木ー夜勤")+COUNTIF('8月'!DY17:DZ17,"六本木ー夜勤")+COUNTIF('8月'!ED17:EE17,"六本木ー夜勤")+COUNTIF('8月'!EI17:EJ17,"六本木ー夜勤")+COUNTIF('8月'!EN17:EO17,"六本木ー夜勤")+COUNTIF('8月'!ES17:ET17,"六本木ー夜勤")</f>
        <v>0</v>
      </c>
      <c r="K278" s="76">
        <f t="shared" si="88"/>
        <v>0</v>
      </c>
      <c r="L278" s="76">
        <f>COUNTIF('8月'!D17:E17,L$263)+COUNTIF('8月'!I17:J17,L$263)+COUNTIF('8月'!N17:O17,L$263)+COUNTIF('8月'!S17:T17,L$263)+COUNTIF('8月'!X17:Y17,L$263)+COUNTIF('8月'!AC17:AD17,L$263)+COUNTIF('8月'!AH17:AI17,L$263)+COUNTIF('8月'!AM17:AN17,L$263)+COUNTIF('8月'!AR17:AS17,L$263)+COUNTIF('8月'!AW17:AX17,L$263)+COUNTIF('8月'!BB17:BC17,L$263)+COUNTIF('8月'!BG17:BH17,L$263)+COUNTIF('8月'!BL17:BM17,L$263)+COUNTIF('8月'!BQ17:BR17,L$263)+COUNTIF('8月'!BV17:BW17,L$263)+COUNTIF('8月'!CA17:CB17,L$263)+COUNTIF('8月'!CF17:CG17,L$263)+COUNTIF('8月'!CK17:CL17,L$263)+COUNTIF('8月'!CP17:CQ17,L$263)+COUNTIF('8月'!CU17:CV17,L$263)+COUNTIF('8月'!CZ17:DA17,L$263)+COUNTIF('8月'!DE17:DF17,L$263)+COUNTIF('8月'!DJ17:DK17,L$263)+COUNTIF('8月'!DO17:DP17,L$263)+COUNTIF('8月'!DT17:DU17,L$263)+COUNTIF('8月'!DY17:DZ17,L$263)+COUNTIF('8月'!ED17:EE17,L$263)+COUNTIF('8月'!EI17:EJ17,L$263)+COUNTIF('8月'!EN17:EO17,L$263)+COUNTIF('8月'!ES17:ET17,L$263)</f>
        <v>0</v>
      </c>
      <c r="M278" s="76">
        <f t="shared" si="89"/>
        <v>0</v>
      </c>
      <c r="N278" s="76">
        <f>COUNTIF('8月'!D17:E17,N$263)+COUNTIF('8月'!I17:J17,N$263)+COUNTIF('8月'!N17:O17,N$263)+COUNTIF('8月'!S17:T17,N$263)+COUNTIF('8月'!X17:Y17,N$263)+COUNTIF('8月'!AC17:AD17,N$263)+COUNTIF('8月'!AH17:AI17,N$263)+COUNTIF('8月'!AM17:AN17,N$263)+COUNTIF('8月'!AR17:AS17,N$263)+COUNTIF('8月'!AW17:AX17,N$263)+COUNTIF('8月'!BB17:BC17,N$263)+COUNTIF('8月'!BG17:BH17,N$263)+COUNTIF('8月'!BL17:BM17,N$263)+COUNTIF('8月'!BQ17:BR17,N$263)+COUNTIF('8月'!BV17:BW17,N$263)+COUNTIF('8月'!CA17:CB17,N$263)+COUNTIF('8月'!CF17:CG17,N$263)+COUNTIF('8月'!CK17:CL17,N$263)+COUNTIF('8月'!CP17:CQ17,N$263)+COUNTIF('8月'!CU17:CV17,N$263)+COUNTIF('8月'!CZ17:DA17,N$263)+COUNTIF('8月'!DE17:DF17,N$263)+COUNTIF('8月'!DJ17:DK17,N$263)+COUNTIF('8月'!DO17:DP17,N$263)+COUNTIF('8月'!DT17:DU17,N$263)+COUNTIF('8月'!DY17:DZ17,N$263)+COUNTIF('8月'!ED17:EE17,N$263)+COUNTIF('8月'!EI17:EJ17,N$263)+COUNTIF('8月'!EN17:EO17,N$263)+COUNTIF('8月'!ES17:ET17,N$263)+COUNTIF('8月'!D17:E17,"三軒茶屋－夜勤")+COUNTIF('8月'!I17:J17,"三軒茶屋－夜勤")+COUNTIF('8月'!N17:O17,"三軒茶屋－夜勤")+COUNTIF('8月'!S17:T17,"三軒茶屋－夜勤")+COUNTIF('8月'!X17:Y17,"三軒茶屋－夜勤")+COUNTIF('8月'!AC17:AD17,"三軒茶屋－夜勤")+COUNTIF('8月'!AH17:AI17,"三軒茶屋－夜勤")+COUNTIF('8月'!AM17:AN17,"三軒茶屋－夜勤")+COUNTIF('8月'!AR17:AS17,"三軒茶屋－夜勤")+COUNTIF('8月'!AW17:AX17,"三軒茶屋－夜勤")+COUNTIF('8月'!BB17:BC17,"三軒茶屋－夜勤")+COUNTIF('8月'!BG17:BH17,"三軒茶屋－夜勤")+COUNTIF('8月'!BL17:BM17,"三軒茶屋－夜勤")+COUNTIF('8月'!BQ17:BR17,"三軒茶屋－夜勤")+COUNTIF('8月'!BV17:BW17,"三軒茶屋－夜勤")+COUNTIF('8月'!CA17:CB17,"三軒茶屋－夜勤")+COUNTIF('8月'!CF17:CG17,"三軒茶屋－夜勤")+COUNTIF('8月'!CK17:CL17,"三軒茶屋－夜勤")+COUNTIF('8月'!CP17:CQ17,"三軒茶屋－夜勤")+COUNTIF('8月'!CU17:CV17,"三軒茶屋－夜勤")+COUNTIF('8月'!CZ17:DA17,"三軒茶屋－夜勤")+COUNTIF('8月'!DE17:DF17,"三軒茶屋－夜勤")+COUNTIF('8月'!DJ17:DK17,"三軒茶屋－夜勤")+COUNTIF('8月'!DO17:DP17,"三軒茶屋－夜勤")+COUNTIF('8月'!DT17:DU17,"三軒茶屋－夜勤")+COUNTIF('8月'!DY17:DZ17,"三軒茶屋－夜勤")+COUNTIF('8月'!ED17:EE17,"三軒茶屋－夜勤")+COUNTIF('8月'!EI17:EJ17,"三軒茶屋－夜勤")+COUNTIF('8月'!EN17:EO17,"三軒茶屋－夜勤")+COUNTIF('8月'!ES17:ET17,"三軒茶屋－夜勤")</f>
        <v>0</v>
      </c>
      <c r="O278" s="76">
        <f t="shared" si="90"/>
        <v>0</v>
      </c>
      <c r="P278" s="76">
        <f>COUNTIF('8月'!D17:E17,P$263)+COUNTIF('8月'!I17:J17,P$263)+COUNTIF('8月'!N17:O17,P$263)+COUNTIF('8月'!S17:T17,P$263)+COUNTIF('8月'!X17:Y17,P$263)+COUNTIF('8月'!AC17:AD17,P$263)+COUNTIF('8月'!AH17:AI17,P$263)+COUNTIF('8月'!AM17:AN17,P$263)+COUNTIF('8月'!AR17:AS17,P$263)+COUNTIF('8月'!AW17:AX17,P$263)+COUNTIF('8月'!BB17:BC17,P$263)+COUNTIF('8月'!BG17:BH17,P$263)+COUNTIF('8月'!BL17:BM17,P$263)+COUNTIF('8月'!BQ17:BR17,P$263)+COUNTIF('8月'!BV17:BW17,P$263)+COUNTIF('8月'!CA17:CB17,P$263)+COUNTIF('8月'!CF17:CG17,P$263)+COUNTIF('8月'!CK17:CL17,P$263)+COUNTIF('8月'!CP17:CQ17,P$263)+COUNTIF('8月'!CU17:CV17,P$263)+COUNTIF('8月'!CZ17:DA17,P$263)+COUNTIF('8月'!DE17:DF17,P$263)+COUNTIF('8月'!DJ17:DK17,P$263)+COUNTIF('8月'!DO17:DP17,P$263)+COUNTIF('8月'!DT17:DU17,P$263)+COUNTIF('8月'!DY17:DZ17,P$263)+COUNTIF('8月'!ED17:EE17,P$263)+COUNTIF('8月'!EI17:EJ17,P$263)+COUNTIF('8月'!EN17:EO17,P$263)+COUNTIF('8月'!ES17:ET17,P$263)+COUNTIF('8月'!D17:E17,"荻窪ー夜勤")+COUNTIF('8月'!I17:J17,"荻窪ー夜勤")+COUNTIF('8月'!N17:O17,"荻窪ー夜勤")+COUNTIF('8月'!S17:T17,"荻窪ー夜勤")+COUNTIF('8月'!X17:Y17,"荻窪ー夜勤")+COUNTIF('8月'!AC17:AD17,"荻窪ー夜勤")+COUNTIF('8月'!AH17:AI17,"荻窪ー夜勤")+COUNTIF('8月'!AM17:AN17,"荻窪ー夜勤")+COUNTIF('8月'!AR17:AS17,"荻窪ー夜勤")+COUNTIF('8月'!AW17:AX17,"荻窪ー夜勤")+COUNTIF('8月'!BB17:BC17,"荻窪ー夜勤")+COUNTIF('8月'!BG17:BH17,"荻窪ー夜勤")+COUNTIF('8月'!BL17:BM17,"荻窪ー夜勤")+COUNTIF('8月'!BQ17:BR17,"荻窪ー夜勤")+COUNTIF('8月'!BV17:BW17,"荻窪ー夜勤")+COUNTIF('8月'!CA17:CB17,"荻窪ー夜勤")+COUNTIF('8月'!CF17:CG17,"荻窪ー夜勤")+COUNTIF('8月'!CK17:CL17,"荻窪ー夜勤")+COUNTIF('8月'!CP17:CQ17,"荻窪ー夜勤")+COUNTIF('8月'!CU17:CV17,"荻窪ー夜勤")+COUNTIF('8月'!CZ17:DA17,"荻窪ー夜勤")+COUNTIF('8月'!DE17:DF17,"荻窪ー夜勤")+COUNTIF('8月'!DJ17:DK17,"荻窪ー夜勤")+COUNTIF('8月'!DO17:DP17,"荻窪ー夜勤")+COUNTIF('8月'!DT17:DU17,"荻窪ー夜勤")+COUNTIF('8月'!DY17:DZ17,"荻窪ー夜勤")+COUNTIF('8月'!ED17:EE17,"荻窪ー夜勤")+COUNTIF('8月'!EI17:EJ17,"荻窪ー夜勤")+COUNTIF('8月'!EN17:EO17,"荻窪ー夜勤")+COUNTIF('8月'!ES17:ET17,"荻窪ー夜勤")</f>
        <v>0</v>
      </c>
      <c r="Q278" s="76">
        <f t="shared" si="91"/>
        <v>0</v>
      </c>
      <c r="R278" s="76">
        <f>COUNTIF('8月'!D17:E17,R$263)+COUNTIF('8月'!I17:J17,R$263)+COUNTIF('8月'!N17:O17,R$263)+COUNTIF('8月'!S17:T17,R$263)+COUNTIF('8月'!X17:Y17,R$263)+COUNTIF('8月'!AC17:AD17,R$263)+COUNTIF('8月'!AH17:AI17,R$263)+COUNTIF('8月'!AM17:AN17,R$263)+COUNTIF('8月'!AR17:AS17,R$263)+COUNTIF('8月'!AW17:AX17,R$263)+COUNTIF('8月'!BB17:BC17,R$263)+COUNTIF('8月'!BG17:BH17,R$263)+COUNTIF('8月'!BL17:BM17,R$263)+COUNTIF('8月'!BQ17:BR17,R$263)+COUNTIF('8月'!BV17:BW17,R$263)+COUNTIF('8月'!CA17:CB17,R$263)+COUNTIF('8月'!CF17:CG17,R$263)+COUNTIF('8月'!CK17:CL17,R$263)+COUNTIF('8月'!CP17:CQ17,R$263)+COUNTIF('8月'!CU17:CV17,R$263)+COUNTIF('8月'!CZ17:DA17,R$263)+COUNTIF('8月'!DE17:DF17,R$263)+COUNTIF('8月'!DJ17:DK17,R$263)+COUNTIF('8月'!DO17:DP17,R$263)+COUNTIF('8月'!DT17:DU17,R$263)+COUNTIF('8月'!DY17:DZ17,R$263)+COUNTIF('8月'!ED17:EE17,R$263)+COUNTIF('8月'!EI17:EJ17,R$263)+COUNTIF('8月'!EN17:EO17,R$263)+COUNTIF('8月'!ES17:ET17,R$263)</f>
        <v>0</v>
      </c>
      <c r="S278" s="76">
        <f t="shared" si="92"/>
        <v>0</v>
      </c>
      <c r="T278" s="76">
        <f>COUNTIF('8月'!D17:E17,T$263)+COUNTIF('8月'!I17:J17,T$263)+COUNTIF('8月'!N17:O17,T$263)+COUNTIF('8月'!S17:T17,T$263)+COUNTIF('8月'!X17:Y17,T$263)+COUNTIF('8月'!AC17:AD17,T$263)+COUNTIF('8月'!AH17:AI17,T$263)+COUNTIF('8月'!AM17:AN17,T$263)+COUNTIF('8月'!AR17:AS17,T$263)+COUNTIF('8月'!AW17:AX17,T$263)+COUNTIF('8月'!BB17:BC17,T$263)+COUNTIF('8月'!BG17:BH17,T$263)+COUNTIF('8月'!BL17:BM17,T$263)+COUNTIF('8月'!BQ17:BR17,T$263)+COUNTIF('8月'!BV17:BW17,T$263)+COUNTIF('8月'!CA17:CB17,T$263)+COUNTIF('8月'!CF17:CG17,T$263)+COUNTIF('8月'!CK17:CL17,T$263)+COUNTIF('8月'!CP17:CQ17,T$263)+COUNTIF('8月'!CU17:CV17,T$263)+COUNTIF('8月'!CZ17:DA17,T$263)+COUNTIF('8月'!DE17:DF17,T$263)+COUNTIF('8月'!DJ17:DK17,T$263)+COUNTIF('8月'!DO17:DP17,T$263)+COUNTIF('8月'!DT17:DU17,T$263)+COUNTIF('8月'!DY17:DZ17,T$263)+COUNTIF('8月'!ED17:EE17,T$263)+COUNTIF('8月'!EI17:EJ17,T$263)+COUNTIF('8月'!EN17:EO17,T$263)+COUNTIF('8月'!ES17:ET17,T$263)</f>
        <v>0</v>
      </c>
      <c r="U278" s="76">
        <f t="shared" si="93"/>
        <v>0</v>
      </c>
      <c r="V278" s="76">
        <f>COUNTIF('8月'!D17:E17,V$263)+COUNTIF('8月'!I17:J17,V$263)+COUNTIF('8月'!N17:O17,V$263)+COUNTIF('8月'!S17:T17,V$263)+COUNTIF('8月'!X17:Y17,V$263)+COUNTIF('8月'!AC17:AD17,V$263)+COUNTIF('8月'!AH17:AI17,V$263)+COUNTIF('8月'!AM17:AN17,V$263)+COUNTIF('8月'!AR17:AS17,V$263)+COUNTIF('8月'!AW17:AX17,V$263)+COUNTIF('8月'!BB17:BC17,V$263)+COUNTIF('8月'!BG17:BH17,V$263)+COUNTIF('8月'!BL17:BM17,V$263)+COUNTIF('8月'!BQ17:BR17,V$263)+COUNTIF('8月'!BV17:BW17,V$263)+COUNTIF('8月'!CA17:CB17,V$263)+COUNTIF('8月'!CF17:CG17,V$263)+COUNTIF('8月'!CK17:CL17,V$263)+COUNTIF('8月'!CP17:CQ17,V$263)+COUNTIF('8月'!CU17:CV17,V$263)+COUNTIF('8月'!CZ17:DA17,V$263)+COUNTIF('8月'!DE17:DF17,V$263)+COUNTIF('8月'!DJ17:DK17,V$263)+COUNTIF('8月'!DO17:DP17,V$263)+COUNTIF('8月'!DT17:DU17,V$263)+COUNTIF('8月'!DY17:DZ17,V$263)+COUNTIF('8月'!ED17:EE17,V$263)+COUNTIF('8月'!EI17:EJ17,V$263)+COUNTIF('8月'!EN17:EO17,V$263)+COUNTIF('8月'!ES17:ET17,V$263)</f>
        <v>0</v>
      </c>
      <c r="W278" s="76">
        <f t="shared" si="94"/>
        <v>0</v>
      </c>
      <c r="X278" s="76">
        <f>COUNTIF('8月'!D17:E17,X$263)+COUNTIF('8月'!I17:J17,X$263)+COUNTIF('8月'!N17:O17,X$263)+COUNTIF('8月'!S17:T17,X$263)+COUNTIF('8月'!X17:Y17,X$263)+COUNTIF('8月'!AC17:AD17,X$263)+COUNTIF('8月'!AH17:AI17,X$263)+COUNTIF('8月'!AM17:AN17,X$263)+COUNTIF('8月'!AR17:AS17,X$263)+COUNTIF('8月'!AW17:AX17,X$263)+COUNTIF('8月'!BB17:BC17,X$263)+COUNTIF('8月'!BG17:BH17,X$263)+COUNTIF('8月'!BL17:BM17,X$263)+COUNTIF('8月'!BQ17:BR17,X$263)+COUNTIF('8月'!BV17:BW17,X$263)+COUNTIF('8月'!CA17:CB17,X$263)+COUNTIF('8月'!CF17:CG17,X$263)+COUNTIF('8月'!CK17:CL17,X$263)+COUNTIF('8月'!CP17:CQ17,X$263)+COUNTIF('8月'!CU17:CV17,X$263)+COUNTIF('8月'!CZ17:DA17,X$263)+COUNTIF('8月'!DE17:DF17,X$263)+COUNTIF('8月'!DJ17:DK17,X$263)+COUNTIF('8月'!DO17:DP17,X$263)+COUNTIF('8月'!DT17:DU17,X$263)+COUNTIF('8月'!DY17:DZ17,X$263)+COUNTIF('8月'!ED17:EE17,X$263)+COUNTIF('8月'!EI17:EJ17,X$263)+COUNTIF('8月'!EN17:EO17,X$263)+COUNTIF('8月'!ES17:ET17,X$263)</f>
        <v>0</v>
      </c>
      <c r="Y278" s="76">
        <f t="shared" si="95"/>
        <v>0</v>
      </c>
    </row>
    <row r="279" spans="1:25" ht="18" customHeight="1">
      <c r="A279" s="76">
        <v>15</v>
      </c>
      <c r="B279" s="76">
        <f>COUNTIF('8月'!D18:E18,B$263)+COUNTIF('8月'!I18:J18,B$263)+COUNTIF('8月'!N18:O18,B$263)+COUNTIF('8月'!S18:T18,B$263)+COUNTIF('8月'!X18:Y18,B$263)+COUNTIF('8月'!AC18:AD18,B$263)+COUNTIF('8月'!AH18:AI18,B$263)+COUNTIF('8月'!AM18:AN18,B$263)+COUNTIF('8月'!AR18:AS18,B$263)+COUNTIF('8月'!AW18:AX18,B$263)+COUNTIF('8月'!BB18:BC18,B$263)+COUNTIF('8月'!BG18:BH18,B$263)+COUNTIF('8月'!BL18:BM18,B$263)+COUNTIF('8月'!BQ18:BR18,B$263)+COUNTIF('8月'!BV18:BW18,B$263)+COUNTIF('8月'!CA18:CB18,B$263)+COUNTIF('8月'!CF18:CG18,B$263)+COUNTIF('8月'!CK18:CL18,B$263)+COUNTIF('8月'!CP18:CQ18,B$263)+COUNTIF('8月'!CU18:CV18,B$263)+COUNTIF('8月'!CZ18:DA18,B$263)+COUNTIF('8月'!DE18:DF18,B$263)+COUNTIF('8月'!DJ18:DK18,B$263)+COUNTIF('8月'!DO18:DP18,B$263)+COUNTIF('8月'!DT18:DU18,B$263)+COUNTIF('8月'!DY18:DZ18,B$263)+COUNTIF('8月'!ED18:EE18,B$263)+COUNTIF('8月'!EI18:EJ18,B$263)+COUNTIF('8月'!EN18:EO18,B$263)+COUNTIF('8月'!ES18:ET18,B$263)</f>
        <v>0</v>
      </c>
      <c r="C279" s="76">
        <f t="shared" si="84"/>
        <v>0</v>
      </c>
      <c r="D279" s="76">
        <f>COUNTIF('8月'!D18:E18,D$263)+COUNTIF('8月'!I18:J18,D$263)+COUNTIF('8月'!N18:O18,D$263)+COUNTIF('8月'!S18:T18,D$263)+COUNTIF('8月'!X18:Y18,D$263)+COUNTIF('8月'!AC18:AD18,D$263)+COUNTIF('8月'!AH18:AI18,D$263)+COUNTIF('8月'!AM18:AN18,D$263)+COUNTIF('8月'!AR18:AS18,D$263)+COUNTIF('8月'!AW18:AX18,D$263)+COUNTIF('8月'!BB18:BC18,D$263)+COUNTIF('8月'!BG18:BH18,D$263)+COUNTIF('8月'!BL18:BM18,D$263)+COUNTIF('8月'!BQ18:BR18,D$263)+COUNTIF('8月'!BV18:BW18,D$263)+COUNTIF('8月'!CA18:CB18,D$263)+COUNTIF('8月'!CF18:CG18,D$263)+COUNTIF('8月'!CK18:CL18,D$263)+COUNTIF('8月'!CP18:CQ18,D$263)+COUNTIF('8月'!CU18:CV18,D$263)+COUNTIF('8月'!CZ18:DA18,D$263)+COUNTIF('8月'!DE18:DF18,D$263)+COUNTIF('8月'!DJ18:DK18,D$263)+COUNTIF('8月'!DO18:DP18,D$263)+COUNTIF('8月'!DT18:DU18,D$263)+COUNTIF('8月'!DY18:DZ18,D$263)+COUNTIF('8月'!ED18:EE18,D$263)+COUNTIF('8月'!EI18:EJ18,D$263)+COUNTIF('8月'!EN18:EO18,D$263)+COUNTIF('8月'!ES18:ET18,D$263)</f>
        <v>0</v>
      </c>
      <c r="E279" s="76">
        <f t="shared" si="85"/>
        <v>0</v>
      </c>
      <c r="F279" s="76">
        <f>COUNTIF('8月'!D18:E18,F$263)+COUNTIF('8月'!I18:J18,F$263)+COUNTIF('8月'!N18:O18,F$263)+COUNTIF('8月'!S18:T18,F$263)+COUNTIF('8月'!X18:Y18,F$263)+COUNTIF('8月'!AC18:AD18,F$263)+COUNTIF('8月'!AH18:AI18,F$263)+COUNTIF('8月'!AM18:AN18,F$263)+COUNTIF('8月'!AR18:AS18,F$263)+COUNTIF('8月'!AW18:AX18,F$263)+COUNTIF('8月'!BB18:BC18,F$263)+COUNTIF('8月'!BG18:BH18,F$263)+COUNTIF('8月'!BL18:BM18,F$263)+COUNTIF('8月'!BQ18:BR18,F$263)+COUNTIF('8月'!BV18:BW18,F$263)+COUNTIF('8月'!CA18:CB18,F$263)+COUNTIF('8月'!CF18:CG18,F$263)+COUNTIF('8月'!CK18:CL18,F$263)+COUNTIF('8月'!CP18:CQ18,F$263)+COUNTIF('8月'!CU18:CV18,F$263)+COUNTIF('8月'!CZ18:DA18,F$263)+COUNTIF('8月'!DE18:DF18,F$263)+COUNTIF('8月'!DJ18:DK18,F$263)+COUNTIF('8月'!DO18:DP18,F$263)+COUNTIF('8月'!DT18:DU18,F$263)+COUNTIF('8月'!DY18:DZ18,F$263)+COUNTIF('8月'!ED18:EE18,F$263)+COUNTIF('8月'!EI18:EJ18,F$263)+COUNTIF('8月'!EN18:EO18,F$263)+COUNTIF('8月'!ES18:ET18,F$263)</f>
        <v>0</v>
      </c>
      <c r="G279" s="76">
        <f t="shared" si="86"/>
        <v>0</v>
      </c>
      <c r="H279" s="76">
        <f>COUNTIF('8月'!D18:E18,H$263)+COUNTIF('8月'!I18:J18,H$263)+COUNTIF('8月'!N18:O18,H$263)+COUNTIF('8月'!S18:T18,H$263)+COUNTIF('8月'!X18:Y18,H$263)+COUNTIF('8月'!AC18:AD18,H$263)+COUNTIF('8月'!AH18:AI18,H$263)+COUNTIF('8月'!AM18:AN18,H$263)+COUNTIF('8月'!AR18:AS18,H$263)+COUNTIF('8月'!AW18:AX18,H$263)+COUNTIF('8月'!BB18:BC18,H$263)+COUNTIF('8月'!BG18:BH18,H$263)+COUNTIF('8月'!BL18:BM18,H$263)+COUNTIF('8月'!BQ18:BR18,H$263)+COUNTIF('8月'!BV18:BW18,H$263)+COUNTIF('8月'!CA18:CB18,H$263)+COUNTIF('8月'!CF18:CG18,H$263)+COUNTIF('8月'!CK18:CL18,H$263)+COUNTIF('8月'!CP18:CQ18,H$263)+COUNTIF('8月'!CU18:CV18,H$263)+COUNTIF('8月'!CZ18:DA18,H$263)+COUNTIF('8月'!DE18:DF18,H$263)+COUNTIF('8月'!DJ18:DK18,H$263)+COUNTIF('8月'!DO18:DP18,H$263)+COUNTIF('8月'!DT18:DU18,H$263)+COUNTIF('8月'!DY18:DZ18,H$263)+COUNTIF('8月'!ED18:EE18,H$263)+COUNTIF('8月'!EI18:EJ18,H$263)+COUNTIF('8月'!EN18:EO18,H$263)+COUNTIF('8月'!ES18:ET18,H$263)+COUNTIF('8月'!D18:E18,"渋谷-夜勤")+COUNTIF('8月'!I18:J18,"渋谷-夜勤")+COUNTIF('8月'!N18:O18,"渋谷-夜勤")+COUNTIF('8月'!S18:T18,"渋谷-夜勤")+COUNTIF('8月'!X18:Y18,"渋谷-夜勤")+COUNTIF('8月'!AC18:AD18,"渋谷-夜勤")+COUNTIF('8月'!AH18:AI18,"渋谷-夜勤")+COUNTIF('8月'!AM18:AN18,"渋谷-夜勤")+COUNTIF('8月'!AR18:AS18,"渋谷-夜勤")+COUNTIF('8月'!AW18:AX18,"渋谷-夜勤")+COUNTIF('8月'!BB18:BC18,"渋谷-夜勤")+COUNTIF('8月'!BG18:BH18,"渋谷-夜勤")+COUNTIF('8月'!BL18:BM18,"渋谷-夜勤")+COUNTIF('8月'!BQ18:BR18,"渋谷-夜勤")+COUNTIF('8月'!BV18:BW18,"渋谷-夜勤")+COUNTIF('8月'!CA18:CB18,"渋谷-夜勤")+COUNTIF('8月'!CF18:CG18,"渋谷-夜勤")+COUNTIF('8月'!CK18:CL18,"渋谷-夜勤")+COUNTIF('8月'!CP18:CQ18,"渋谷-夜勤")+COUNTIF('8月'!CU18:CV18,"渋谷-夜勤")+COUNTIF('8月'!CZ18:DA18,"渋谷-夜勤")+COUNTIF('8月'!DE18:DF18,"渋谷-夜勤")+COUNTIF('8月'!DJ18:DK18,"渋谷-夜勤")+COUNTIF('8月'!DO18:DP18,"渋谷-夜勤")+COUNTIF('8月'!DT18:DU18,"渋谷-夜勤")+COUNTIF('8月'!DY18:DZ18,"渋谷-夜勤")+COUNTIF('8月'!ED18:EE18,"渋谷-夜勤")+COUNTIF('8月'!EI18:EJ18,"渋谷-夜勤")+COUNTIF('8月'!EN18:EO18,"渋谷-夜勤")+COUNTIF('8月'!ES18:ET18,"渋谷-夜勤")</f>
        <v>0</v>
      </c>
      <c r="I279" s="76">
        <f t="shared" si="87"/>
        <v>0</v>
      </c>
      <c r="J279" s="76">
        <f>COUNTIF('8月'!D18:E18,J$263)+COUNTIF('8月'!I18:J18,J$263)+COUNTIF('8月'!N18:O18,J$263)+COUNTIF('8月'!S18:T18,J$263)+COUNTIF('8月'!X18:Y18,J$263)+COUNTIF('8月'!AC18:AD18,J$263)+COUNTIF('8月'!AH18:AI18,J$263)+COUNTIF('8月'!AM18:AN18,J$263)+COUNTIF('8月'!AR18:AS18,J$263)+COUNTIF('8月'!AW18:AX18,J$263)+COUNTIF('8月'!BB18:BC18,J$263)+COUNTIF('8月'!BG18:BH18,J$263)+COUNTIF('8月'!BL18:BM18,J$263)+COUNTIF('8月'!BQ18:BR18,J$263)+COUNTIF('8月'!BV18:BW18,J$263)+COUNTIF('8月'!CA18:CB18,J$263)+COUNTIF('8月'!CF18:CG18,J$263)+COUNTIF('8月'!CK18:CL18,J$263)+COUNTIF('8月'!CP18:CQ18,J$263)+COUNTIF('8月'!CU18:CV18,J$263)+COUNTIF('8月'!CZ18:DA18,J$263)+COUNTIF('8月'!DE18:DF18,J$263)+COUNTIF('8月'!DJ18:DK18,J$263)+COUNTIF('8月'!DO18:DP18,J$263)+COUNTIF('8月'!DT18:DU18,J$263)+COUNTIF('8月'!DY18:DZ18,J$263)+COUNTIF('8月'!ED18:EE18,J$263)+COUNTIF('8月'!EI18:EJ18,J$263)+COUNTIF('8月'!EN18:EO18,J$263)+COUNTIF('8月'!ES18:ET18,J$263)+COUNTIF('8月'!D18:E18,"六本木-夜勤")+COUNTIF('8月'!I18:J18,"六本木-夜勤")+COUNTIF('8月'!N18:O18,"六本木-夜勤")+COUNTIF('8月'!S18:T18,"六本木-夜勤")+COUNTIF('8月'!X18:Y18,"六本木-夜勤")+COUNTIF('8月'!AC18:AD18,"六本木-夜勤")+COUNTIF('8月'!AH18:AI18,"六本木-夜勤")+COUNTIF('8月'!AM18:AN18,"六本木-夜勤")+COUNTIF('8月'!AR18:AS18,"六本木-夜勤")+COUNTIF('8月'!AW18:AX18,"六本木-夜勤")+COUNTIF('8月'!BB18:BC18,"六本木-夜勤")+COUNTIF('8月'!BG18:BH18,"六本木-夜勤")+COUNTIF('8月'!BL18:BM18,"六本木-夜勤")+COUNTIF('8月'!BQ18:BR18,"六本木-夜勤")+COUNTIF('8月'!BV18:BW18,"六本木-夜勤")+COUNTIF('8月'!CA18:CB18,"六本木-夜勤")+COUNTIF('8月'!CF18:CG18,"六本木-夜勤")+COUNTIF('8月'!CK18:CL18,"六本木-夜勤")+COUNTIF('8月'!CP18:CQ18,"六本木-夜勤")+COUNTIF('8月'!CU18:CV18,"六本木-夜勤")+COUNTIF('8月'!CZ18:DA18,"六本木-夜勤")+COUNTIF('8月'!DE18:DF18,"六本木-夜勤")+COUNTIF('8月'!DJ18:DK18,"六本木-夜勤")+COUNTIF('8月'!DO18:DP18,"六本木-夜勤")+COUNTIF('8月'!DT18:DU18,"六本木-夜勤")+COUNTIF('8月'!DY18:DZ18,"六本木-夜勤")+COUNTIF('8月'!ED18:EE18,"六本木-夜勤")+COUNTIF('8月'!EI18:EJ18,"六本木-夜勤")+COUNTIF('8月'!EN18:EO18,"六本木-夜勤")+COUNTIF('8月'!ES18:ET18,"六本木-夜勤")+COUNTIF('8月'!D18:E18,"六本木ー夜勤")+COUNTIF('8月'!I18:J18,"六本木ー夜勤")+COUNTIF('8月'!N18:O18,"六本木ー夜勤")+COUNTIF('8月'!S18:T18,"六本木ー夜勤")+COUNTIF('8月'!X18:Y18,"六本木ー夜勤")+COUNTIF('8月'!AC18:AD18,"六本木ー夜勤")+COUNTIF('8月'!AH18:AI18,"六本木ー夜勤")+COUNTIF('8月'!AM18:AN18,"六本木ー夜勤")+COUNTIF('8月'!AR18:AS18,"六本木ー夜勤")+COUNTIF('8月'!AW18:AX18,"六本木ー夜勤")+COUNTIF('8月'!BB18:BC18,"六本木ー夜勤")+COUNTIF('8月'!BG18:BH18,"六本木ー夜勤")+COUNTIF('8月'!BL18:BM18,"六本木ー夜勤")+COUNTIF('8月'!BQ18:BR18,"六本木ー夜勤")+COUNTIF('8月'!BV18:BW18,"六本木ー夜勤")+COUNTIF('8月'!CA18:CB18,"六本木ー夜勤")+COUNTIF('8月'!CF18:CG18,"六本木ー夜勤")+COUNTIF('8月'!CK18:CL18,"六本木ー夜勤")+COUNTIF('8月'!CP18:CQ18,"六本木ー夜勤")+COUNTIF('8月'!CU18:CV18,"六本木ー夜勤")+COUNTIF('8月'!CZ18:DA18,"六本木ー夜勤")+COUNTIF('8月'!DE18:DF18,"六本木ー夜勤")+COUNTIF('8月'!DJ18:DK18,"六本木ー夜勤")+COUNTIF('8月'!DO18:DP18,"六本木ー夜勤")+COUNTIF('8月'!DT18:DU18,"六本木ー夜勤")+COUNTIF('8月'!DY18:DZ18,"六本木ー夜勤")+COUNTIF('8月'!ED18:EE18,"六本木ー夜勤")+COUNTIF('8月'!EI18:EJ18,"六本木ー夜勤")+COUNTIF('8月'!EN18:EO18,"六本木ー夜勤")+COUNTIF('8月'!ES18:ET18,"六本木ー夜勤")</f>
        <v>0</v>
      </c>
      <c r="K279" s="76">
        <f t="shared" si="88"/>
        <v>0</v>
      </c>
      <c r="L279" s="76">
        <f>COUNTIF('8月'!D18:E18,L$263)+COUNTIF('8月'!I18:J18,L$263)+COUNTIF('8月'!N18:O18,L$263)+COUNTIF('8月'!S18:T18,L$263)+COUNTIF('8月'!X18:Y18,L$263)+COUNTIF('8月'!AC18:AD18,L$263)+COUNTIF('8月'!AH18:AI18,L$263)+COUNTIF('8月'!AM18:AN18,L$263)+COUNTIF('8月'!AR18:AS18,L$263)+COUNTIF('8月'!AW18:AX18,L$263)+COUNTIF('8月'!BB18:BC18,L$263)+COUNTIF('8月'!BG18:BH18,L$263)+COUNTIF('8月'!BL18:BM18,L$263)+COUNTIF('8月'!BQ18:BR18,L$263)+COUNTIF('8月'!BV18:BW18,L$263)+COUNTIF('8月'!CA18:CB18,L$263)+COUNTIF('8月'!CF18:CG18,L$263)+COUNTIF('8月'!CK18:CL18,L$263)+COUNTIF('8月'!CP18:CQ18,L$263)+COUNTIF('8月'!CU18:CV18,L$263)+COUNTIF('8月'!CZ18:DA18,L$263)+COUNTIF('8月'!DE18:DF18,L$263)+COUNTIF('8月'!DJ18:DK18,L$263)+COUNTIF('8月'!DO18:DP18,L$263)+COUNTIF('8月'!DT18:DU18,L$263)+COUNTIF('8月'!DY18:DZ18,L$263)+COUNTIF('8月'!ED18:EE18,L$263)+COUNTIF('8月'!EI18:EJ18,L$263)+COUNTIF('8月'!EN18:EO18,L$263)+COUNTIF('8月'!ES18:ET18,L$263)</f>
        <v>0</v>
      </c>
      <c r="M279" s="76">
        <f t="shared" si="89"/>
        <v>0</v>
      </c>
      <c r="N279" s="76">
        <f>COUNTIF('8月'!D18:E18,N$263)+COUNTIF('8月'!I18:J18,N$263)+COUNTIF('8月'!N18:O18,N$263)+COUNTIF('8月'!S18:T18,N$263)+COUNTIF('8月'!X18:Y18,N$263)+COUNTIF('8月'!AC18:AD18,N$263)+COUNTIF('8月'!AH18:AI18,N$263)+COUNTIF('8月'!AM18:AN18,N$263)+COUNTIF('8月'!AR18:AS18,N$263)+COUNTIF('8月'!AW18:AX18,N$263)+COUNTIF('8月'!BB18:BC18,N$263)+COUNTIF('8月'!BG18:BH18,N$263)+COUNTIF('8月'!BL18:BM18,N$263)+COUNTIF('8月'!BQ18:BR18,N$263)+COUNTIF('8月'!BV18:BW18,N$263)+COUNTIF('8月'!CA18:CB18,N$263)+COUNTIF('8月'!CF18:CG18,N$263)+COUNTIF('8月'!CK18:CL18,N$263)+COUNTIF('8月'!CP18:CQ18,N$263)+COUNTIF('8月'!CU18:CV18,N$263)+COUNTIF('8月'!CZ18:DA18,N$263)+COUNTIF('8月'!DE18:DF18,N$263)+COUNTIF('8月'!DJ18:DK18,N$263)+COUNTIF('8月'!DO18:DP18,N$263)+COUNTIF('8月'!DT18:DU18,N$263)+COUNTIF('8月'!DY18:DZ18,N$263)+COUNTIF('8月'!ED18:EE18,N$263)+COUNTIF('8月'!EI18:EJ18,N$263)+COUNTIF('8月'!EN18:EO18,N$263)+COUNTIF('8月'!ES18:ET18,N$263)+COUNTIF('8月'!D18:E18,"三軒茶屋－夜勤")+COUNTIF('8月'!I18:J18,"三軒茶屋－夜勤")+COUNTIF('8月'!N18:O18,"三軒茶屋－夜勤")+COUNTIF('8月'!S18:T18,"三軒茶屋－夜勤")+COUNTIF('8月'!X18:Y18,"三軒茶屋－夜勤")+COUNTIF('8月'!AC18:AD18,"三軒茶屋－夜勤")+COUNTIF('8月'!AH18:AI18,"三軒茶屋－夜勤")+COUNTIF('8月'!AM18:AN18,"三軒茶屋－夜勤")+COUNTIF('8月'!AR18:AS18,"三軒茶屋－夜勤")+COUNTIF('8月'!AW18:AX18,"三軒茶屋－夜勤")+COUNTIF('8月'!BB18:BC18,"三軒茶屋－夜勤")+COUNTIF('8月'!BG18:BH18,"三軒茶屋－夜勤")+COUNTIF('8月'!BL18:BM18,"三軒茶屋－夜勤")+COUNTIF('8月'!BQ18:BR18,"三軒茶屋－夜勤")+COUNTIF('8月'!BV18:BW18,"三軒茶屋－夜勤")+COUNTIF('8月'!CA18:CB18,"三軒茶屋－夜勤")+COUNTIF('8月'!CF18:CG18,"三軒茶屋－夜勤")+COUNTIF('8月'!CK18:CL18,"三軒茶屋－夜勤")+COUNTIF('8月'!CP18:CQ18,"三軒茶屋－夜勤")+COUNTIF('8月'!CU18:CV18,"三軒茶屋－夜勤")+COUNTIF('8月'!CZ18:DA18,"三軒茶屋－夜勤")+COUNTIF('8月'!DE18:DF18,"三軒茶屋－夜勤")+COUNTIF('8月'!DJ18:DK18,"三軒茶屋－夜勤")+COUNTIF('8月'!DO18:DP18,"三軒茶屋－夜勤")+COUNTIF('8月'!DT18:DU18,"三軒茶屋－夜勤")+COUNTIF('8月'!DY18:DZ18,"三軒茶屋－夜勤")+COUNTIF('8月'!ED18:EE18,"三軒茶屋－夜勤")+COUNTIF('8月'!EI18:EJ18,"三軒茶屋－夜勤")+COUNTIF('8月'!EN18:EO18,"三軒茶屋－夜勤")+COUNTIF('8月'!ES18:ET18,"三軒茶屋－夜勤")</f>
        <v>0</v>
      </c>
      <c r="O279" s="76">
        <f t="shared" si="90"/>
        <v>0</v>
      </c>
      <c r="P279" s="76">
        <f>COUNTIF('8月'!D18:E18,P$263)+COUNTIF('8月'!I18:J18,P$263)+COUNTIF('8月'!N18:O18,P$263)+COUNTIF('8月'!S18:T18,P$263)+COUNTIF('8月'!X18:Y18,P$263)+COUNTIF('8月'!AC18:AD18,P$263)+COUNTIF('8月'!AH18:AI18,P$263)+COUNTIF('8月'!AM18:AN18,P$263)+COUNTIF('8月'!AR18:AS18,P$263)+COUNTIF('8月'!AW18:AX18,P$263)+COUNTIF('8月'!BB18:BC18,P$263)+COUNTIF('8月'!BG18:BH18,P$263)+COUNTIF('8月'!BL18:BM18,P$263)+COUNTIF('8月'!BQ18:BR18,P$263)+COUNTIF('8月'!BV18:BW18,P$263)+COUNTIF('8月'!CA18:CB18,P$263)+COUNTIF('8月'!CF18:CG18,P$263)+COUNTIF('8月'!CK18:CL18,P$263)+COUNTIF('8月'!CP18:CQ18,P$263)+COUNTIF('8月'!CU18:CV18,P$263)+COUNTIF('8月'!CZ18:DA18,P$263)+COUNTIF('8月'!DE18:DF18,P$263)+COUNTIF('8月'!DJ18:DK18,P$263)+COUNTIF('8月'!DO18:DP18,P$263)+COUNTIF('8月'!DT18:DU18,P$263)+COUNTIF('8月'!DY18:DZ18,P$263)+COUNTIF('8月'!ED18:EE18,P$263)+COUNTIF('8月'!EI18:EJ18,P$263)+COUNTIF('8月'!EN18:EO18,P$263)+COUNTIF('8月'!ES18:ET18,P$263)+COUNTIF('8月'!D18:E18,"荻窪ー夜勤")+COUNTIF('8月'!I18:J18,"荻窪ー夜勤")+COUNTIF('8月'!N18:O18,"荻窪ー夜勤")+COUNTIF('8月'!S18:T18,"荻窪ー夜勤")+COUNTIF('8月'!X18:Y18,"荻窪ー夜勤")+COUNTIF('8月'!AC18:AD18,"荻窪ー夜勤")+COUNTIF('8月'!AH18:AI18,"荻窪ー夜勤")+COUNTIF('8月'!AM18:AN18,"荻窪ー夜勤")+COUNTIF('8月'!AR18:AS18,"荻窪ー夜勤")+COUNTIF('8月'!AW18:AX18,"荻窪ー夜勤")+COUNTIF('8月'!BB18:BC18,"荻窪ー夜勤")+COUNTIF('8月'!BG18:BH18,"荻窪ー夜勤")+COUNTIF('8月'!BL18:BM18,"荻窪ー夜勤")+COUNTIF('8月'!BQ18:BR18,"荻窪ー夜勤")+COUNTIF('8月'!BV18:BW18,"荻窪ー夜勤")+COUNTIF('8月'!CA18:CB18,"荻窪ー夜勤")+COUNTIF('8月'!CF18:CG18,"荻窪ー夜勤")+COUNTIF('8月'!CK18:CL18,"荻窪ー夜勤")+COUNTIF('8月'!CP18:CQ18,"荻窪ー夜勤")+COUNTIF('8月'!CU18:CV18,"荻窪ー夜勤")+COUNTIF('8月'!CZ18:DA18,"荻窪ー夜勤")+COUNTIF('8月'!DE18:DF18,"荻窪ー夜勤")+COUNTIF('8月'!DJ18:DK18,"荻窪ー夜勤")+COUNTIF('8月'!DO18:DP18,"荻窪ー夜勤")+COUNTIF('8月'!DT18:DU18,"荻窪ー夜勤")+COUNTIF('8月'!DY18:DZ18,"荻窪ー夜勤")+COUNTIF('8月'!ED18:EE18,"荻窪ー夜勤")+COUNTIF('8月'!EI18:EJ18,"荻窪ー夜勤")+COUNTIF('8月'!EN18:EO18,"荻窪ー夜勤")+COUNTIF('8月'!ES18:ET18,"荻窪ー夜勤")</f>
        <v>0</v>
      </c>
      <c r="Q279" s="76">
        <f t="shared" si="91"/>
        <v>0</v>
      </c>
      <c r="R279" s="76">
        <f>COUNTIF('8月'!D18:E18,R$263)+COUNTIF('8月'!I18:J18,R$263)+COUNTIF('8月'!N18:O18,R$263)+COUNTIF('8月'!S18:T18,R$263)+COUNTIF('8月'!X18:Y18,R$263)+COUNTIF('8月'!AC18:AD18,R$263)+COUNTIF('8月'!AH18:AI18,R$263)+COUNTIF('8月'!AM18:AN18,R$263)+COUNTIF('8月'!AR18:AS18,R$263)+COUNTIF('8月'!AW18:AX18,R$263)+COUNTIF('8月'!BB18:BC18,R$263)+COUNTIF('8月'!BG18:BH18,R$263)+COUNTIF('8月'!BL18:BM18,R$263)+COUNTIF('8月'!BQ18:BR18,R$263)+COUNTIF('8月'!BV18:BW18,R$263)+COUNTIF('8月'!CA18:CB18,R$263)+COUNTIF('8月'!CF18:CG18,R$263)+COUNTIF('8月'!CK18:CL18,R$263)+COUNTIF('8月'!CP18:CQ18,R$263)+COUNTIF('8月'!CU18:CV18,R$263)+COUNTIF('8月'!CZ18:DA18,R$263)+COUNTIF('8月'!DE18:DF18,R$263)+COUNTIF('8月'!DJ18:DK18,R$263)+COUNTIF('8月'!DO18:DP18,R$263)+COUNTIF('8月'!DT18:DU18,R$263)+COUNTIF('8月'!DY18:DZ18,R$263)+COUNTIF('8月'!ED18:EE18,R$263)+COUNTIF('8月'!EI18:EJ18,R$263)+COUNTIF('8月'!EN18:EO18,R$263)+COUNTIF('8月'!ES18:ET18,R$263)</f>
        <v>0</v>
      </c>
      <c r="S279" s="76">
        <f t="shared" si="92"/>
        <v>0</v>
      </c>
      <c r="T279" s="76">
        <f>COUNTIF('8月'!D18:E18,T$263)+COUNTIF('8月'!I18:J18,T$263)+COUNTIF('8月'!N18:O18,T$263)+COUNTIF('8月'!S18:T18,T$263)+COUNTIF('8月'!X18:Y18,T$263)+COUNTIF('8月'!AC18:AD18,T$263)+COUNTIF('8月'!AH18:AI18,T$263)+COUNTIF('8月'!AM18:AN18,T$263)+COUNTIF('8月'!AR18:AS18,T$263)+COUNTIF('8月'!AW18:AX18,T$263)+COUNTIF('8月'!BB18:BC18,T$263)+COUNTIF('8月'!BG18:BH18,T$263)+COUNTIF('8月'!BL18:BM18,T$263)+COUNTIF('8月'!BQ18:BR18,T$263)+COUNTIF('8月'!BV18:BW18,T$263)+COUNTIF('8月'!CA18:CB18,T$263)+COUNTIF('8月'!CF18:CG18,T$263)+COUNTIF('8月'!CK18:CL18,T$263)+COUNTIF('8月'!CP18:CQ18,T$263)+COUNTIF('8月'!CU18:CV18,T$263)+COUNTIF('8月'!CZ18:DA18,T$263)+COUNTIF('8月'!DE18:DF18,T$263)+COUNTIF('8月'!DJ18:DK18,T$263)+COUNTIF('8月'!DO18:DP18,T$263)+COUNTIF('8月'!DT18:DU18,T$263)+COUNTIF('8月'!DY18:DZ18,T$263)+COUNTIF('8月'!ED18:EE18,T$263)+COUNTIF('8月'!EI18:EJ18,T$263)+COUNTIF('8月'!EN18:EO18,T$263)+COUNTIF('8月'!ES18:ET18,T$263)</f>
        <v>0</v>
      </c>
      <c r="U279" s="76">
        <f t="shared" si="93"/>
        <v>0</v>
      </c>
      <c r="V279" s="76">
        <f>COUNTIF('8月'!D18:E18,V$263)+COUNTIF('8月'!I18:J18,V$263)+COUNTIF('8月'!N18:O18,V$263)+COUNTIF('8月'!S18:T18,V$263)+COUNTIF('8月'!X18:Y18,V$263)+COUNTIF('8月'!AC18:AD18,V$263)+COUNTIF('8月'!AH18:AI18,V$263)+COUNTIF('8月'!AM18:AN18,V$263)+COUNTIF('8月'!AR18:AS18,V$263)+COUNTIF('8月'!AW18:AX18,V$263)+COUNTIF('8月'!BB18:BC18,V$263)+COUNTIF('8月'!BG18:BH18,V$263)+COUNTIF('8月'!BL18:BM18,V$263)+COUNTIF('8月'!BQ18:BR18,V$263)+COUNTIF('8月'!BV18:BW18,V$263)+COUNTIF('8月'!CA18:CB18,V$263)+COUNTIF('8月'!CF18:CG18,V$263)+COUNTIF('8月'!CK18:CL18,V$263)+COUNTIF('8月'!CP18:CQ18,V$263)+COUNTIF('8月'!CU18:CV18,V$263)+COUNTIF('8月'!CZ18:DA18,V$263)+COUNTIF('8月'!DE18:DF18,V$263)+COUNTIF('8月'!DJ18:DK18,V$263)+COUNTIF('8月'!DO18:DP18,V$263)+COUNTIF('8月'!DT18:DU18,V$263)+COUNTIF('8月'!DY18:DZ18,V$263)+COUNTIF('8月'!ED18:EE18,V$263)+COUNTIF('8月'!EI18:EJ18,V$263)+COUNTIF('8月'!EN18:EO18,V$263)+COUNTIF('8月'!ES18:ET18,V$263)</f>
        <v>0</v>
      </c>
      <c r="W279" s="76">
        <f t="shared" si="94"/>
        <v>0</v>
      </c>
      <c r="X279" s="76">
        <f>COUNTIF('8月'!D18:E18,X$263)+COUNTIF('8月'!I18:J18,X$263)+COUNTIF('8月'!N18:O18,X$263)+COUNTIF('8月'!S18:T18,X$263)+COUNTIF('8月'!X18:Y18,X$263)+COUNTIF('8月'!AC18:AD18,X$263)+COUNTIF('8月'!AH18:AI18,X$263)+COUNTIF('8月'!AM18:AN18,X$263)+COUNTIF('8月'!AR18:AS18,X$263)+COUNTIF('8月'!AW18:AX18,X$263)+COUNTIF('8月'!BB18:BC18,X$263)+COUNTIF('8月'!BG18:BH18,X$263)+COUNTIF('8月'!BL18:BM18,X$263)+COUNTIF('8月'!BQ18:BR18,X$263)+COUNTIF('8月'!BV18:BW18,X$263)+COUNTIF('8月'!CA18:CB18,X$263)+COUNTIF('8月'!CF18:CG18,X$263)+COUNTIF('8月'!CK18:CL18,X$263)+COUNTIF('8月'!CP18:CQ18,X$263)+COUNTIF('8月'!CU18:CV18,X$263)+COUNTIF('8月'!CZ18:DA18,X$263)+COUNTIF('8月'!DE18:DF18,X$263)+COUNTIF('8月'!DJ18:DK18,X$263)+COUNTIF('8月'!DO18:DP18,X$263)+COUNTIF('8月'!DT18:DU18,X$263)+COUNTIF('8月'!DY18:DZ18,X$263)+COUNTIF('8月'!ED18:EE18,X$263)+COUNTIF('8月'!EI18:EJ18,X$263)+COUNTIF('8月'!EN18:EO18,X$263)+COUNTIF('8月'!ES18:ET18,X$263)</f>
        <v>0</v>
      </c>
      <c r="Y279" s="76">
        <f t="shared" si="95"/>
        <v>0</v>
      </c>
    </row>
    <row r="280" spans="1:25" ht="18" customHeight="1">
      <c r="A280" s="76">
        <v>16</v>
      </c>
      <c r="B280" s="76">
        <f>COUNTIF('8月'!D19:E19,B$263)+COUNTIF('8月'!I19:J19,B$263)+COUNTIF('8月'!N19:O19,B$263)+COUNTIF('8月'!S19:T19,B$263)+COUNTIF('8月'!X19:Y19,B$263)+COUNTIF('8月'!AC19:AD19,B$263)+COUNTIF('8月'!AH19:AI19,B$263)+COUNTIF('8月'!AM19:AN19,B$263)+COUNTIF('8月'!AR19:AS19,B$263)+COUNTIF('8月'!AW19:AX19,B$263)+COUNTIF('8月'!BB19:BC19,B$263)+COUNTIF('8月'!BG19:BH19,B$263)+COUNTIF('8月'!BL19:BM19,B$263)+COUNTIF('8月'!BQ19:BR19,B$263)+COUNTIF('8月'!BV19:BW19,B$263)+COUNTIF('8月'!CA19:CB19,B$263)+COUNTIF('8月'!CF19:CG19,B$263)+COUNTIF('8月'!CK19:CL19,B$263)+COUNTIF('8月'!CP19:CQ19,B$263)+COUNTIF('8月'!CU19:CV19,B$263)+COUNTIF('8月'!CZ19:DA19,B$263)+COUNTIF('8月'!DE19:DF19,B$263)+COUNTIF('8月'!DJ19:DK19,B$263)+COUNTIF('8月'!DO19:DP19,B$263)+COUNTIF('8月'!DT19:DU19,B$263)+COUNTIF('8月'!DY19:DZ19,B$263)+COUNTIF('8月'!ED19:EE19,B$263)+COUNTIF('8月'!EI19:EJ19,B$263)+COUNTIF('8月'!EN19:EO19,B$263)+COUNTIF('8月'!ES19:ET19,B$263)</f>
        <v>0</v>
      </c>
      <c r="C280" s="76">
        <f t="shared" si="84"/>
        <v>0</v>
      </c>
      <c r="D280" s="76">
        <f>COUNTIF('8月'!D19:E19,D$263)+COUNTIF('8月'!I19:J19,D$263)+COUNTIF('8月'!N19:O19,D$263)+COUNTIF('8月'!S19:T19,D$263)+COUNTIF('8月'!X19:Y19,D$263)+COUNTIF('8月'!AC19:AD19,D$263)+COUNTIF('8月'!AH19:AI19,D$263)+COUNTIF('8月'!AM19:AN19,D$263)+COUNTIF('8月'!AR19:AS19,D$263)+COUNTIF('8月'!AW19:AX19,D$263)+COUNTIF('8月'!BB19:BC19,D$263)+COUNTIF('8月'!BG19:BH19,D$263)+COUNTIF('8月'!BL19:BM19,D$263)+COUNTIF('8月'!BQ19:BR19,D$263)+COUNTIF('8月'!BV19:BW19,D$263)+COUNTIF('8月'!CA19:CB19,D$263)+COUNTIF('8月'!CF19:CG19,D$263)+COUNTIF('8月'!CK19:CL19,D$263)+COUNTIF('8月'!CP19:CQ19,D$263)+COUNTIF('8月'!CU19:CV19,D$263)+COUNTIF('8月'!CZ19:DA19,D$263)+COUNTIF('8月'!DE19:DF19,D$263)+COUNTIF('8月'!DJ19:DK19,D$263)+COUNTIF('8月'!DO19:DP19,D$263)+COUNTIF('8月'!DT19:DU19,D$263)+COUNTIF('8月'!DY19:DZ19,D$263)+COUNTIF('8月'!ED19:EE19,D$263)+COUNTIF('8月'!EI19:EJ19,D$263)+COUNTIF('8月'!EN19:EO19,D$263)+COUNTIF('8月'!ES19:ET19,D$263)</f>
        <v>0</v>
      </c>
      <c r="E280" s="76">
        <f t="shared" si="85"/>
        <v>0</v>
      </c>
      <c r="F280" s="76">
        <f>COUNTIF('8月'!D19:E19,F$263)+COUNTIF('8月'!I19:J19,F$263)+COUNTIF('8月'!N19:O19,F$263)+COUNTIF('8月'!S19:T19,F$263)+COUNTIF('8月'!X19:Y19,F$263)+COUNTIF('8月'!AC19:AD19,F$263)+COUNTIF('8月'!AH19:AI19,F$263)+COUNTIF('8月'!AM19:AN19,F$263)+COUNTIF('8月'!AR19:AS19,F$263)+COUNTIF('8月'!AW19:AX19,F$263)+COUNTIF('8月'!BB19:BC19,F$263)+COUNTIF('8月'!BG19:BH19,F$263)+COUNTIF('8月'!BL19:BM19,F$263)+COUNTIF('8月'!BQ19:BR19,F$263)+COUNTIF('8月'!BV19:BW19,F$263)+COUNTIF('8月'!CA19:CB19,F$263)+COUNTIF('8月'!CF19:CG19,F$263)+COUNTIF('8月'!CK19:CL19,F$263)+COUNTIF('8月'!CP19:CQ19,F$263)+COUNTIF('8月'!CU19:CV19,F$263)+COUNTIF('8月'!CZ19:DA19,F$263)+COUNTIF('8月'!DE19:DF19,F$263)+COUNTIF('8月'!DJ19:DK19,F$263)+COUNTIF('8月'!DO19:DP19,F$263)+COUNTIF('8月'!DT19:DU19,F$263)+COUNTIF('8月'!DY19:DZ19,F$263)+COUNTIF('8月'!ED19:EE19,F$263)+COUNTIF('8月'!EI19:EJ19,F$263)+COUNTIF('8月'!EN19:EO19,F$263)+COUNTIF('8月'!ES19:ET19,F$263)</f>
        <v>0</v>
      </c>
      <c r="G280" s="76">
        <f t="shared" si="86"/>
        <v>0</v>
      </c>
      <c r="H280" s="76">
        <f>COUNTIF('8月'!D19:E19,H$263)+COUNTIF('8月'!I19:J19,H$263)+COUNTIF('8月'!N19:O19,H$263)+COUNTIF('8月'!S19:T19,H$263)+COUNTIF('8月'!X19:Y19,H$263)+COUNTIF('8月'!AC19:AD19,H$263)+COUNTIF('8月'!AH19:AI19,H$263)+COUNTIF('8月'!AM19:AN19,H$263)+COUNTIF('8月'!AR19:AS19,H$263)+COUNTIF('8月'!AW19:AX19,H$263)+COUNTIF('8月'!BB19:BC19,H$263)+COUNTIF('8月'!BG19:BH19,H$263)+COUNTIF('8月'!BL19:BM19,H$263)+COUNTIF('8月'!BQ19:BR19,H$263)+COUNTIF('8月'!BV19:BW19,H$263)+COUNTIF('8月'!CA19:CB19,H$263)+COUNTIF('8月'!CF19:CG19,H$263)+COUNTIF('8月'!CK19:CL19,H$263)+COUNTIF('8月'!CP19:CQ19,H$263)+COUNTIF('8月'!CU19:CV19,H$263)+COUNTIF('8月'!CZ19:DA19,H$263)+COUNTIF('8月'!DE19:DF19,H$263)+COUNTIF('8月'!DJ19:DK19,H$263)+COUNTIF('8月'!DO19:DP19,H$263)+COUNTIF('8月'!DT19:DU19,H$263)+COUNTIF('8月'!DY19:DZ19,H$263)+COUNTIF('8月'!ED19:EE19,H$263)+COUNTIF('8月'!EI19:EJ19,H$263)+COUNTIF('8月'!EN19:EO19,H$263)+COUNTIF('8月'!ES19:ET19,H$263)+COUNTIF('8月'!D19:E19,"渋谷-夜勤")+COUNTIF('8月'!I19:J19,"渋谷-夜勤")+COUNTIF('8月'!N19:O19,"渋谷-夜勤")+COUNTIF('8月'!S19:T19,"渋谷-夜勤")+COUNTIF('8月'!X19:Y19,"渋谷-夜勤")+COUNTIF('8月'!AC19:AD19,"渋谷-夜勤")+COUNTIF('8月'!AH19:AI19,"渋谷-夜勤")+COUNTIF('8月'!AM19:AN19,"渋谷-夜勤")+COUNTIF('8月'!AR19:AS19,"渋谷-夜勤")+COUNTIF('8月'!AW19:AX19,"渋谷-夜勤")+COUNTIF('8月'!BB19:BC19,"渋谷-夜勤")+COUNTIF('8月'!BG19:BH19,"渋谷-夜勤")+COUNTIF('8月'!BL19:BM19,"渋谷-夜勤")+COUNTIF('8月'!BQ19:BR19,"渋谷-夜勤")+COUNTIF('8月'!BV19:BW19,"渋谷-夜勤")+COUNTIF('8月'!CA19:CB19,"渋谷-夜勤")+COUNTIF('8月'!CF19:CG19,"渋谷-夜勤")+COUNTIF('8月'!CK19:CL19,"渋谷-夜勤")+COUNTIF('8月'!CP19:CQ19,"渋谷-夜勤")+COUNTIF('8月'!CU19:CV19,"渋谷-夜勤")+COUNTIF('8月'!CZ19:DA19,"渋谷-夜勤")+COUNTIF('8月'!DE19:DF19,"渋谷-夜勤")+COUNTIF('8月'!DJ19:DK19,"渋谷-夜勤")+COUNTIF('8月'!DO19:DP19,"渋谷-夜勤")+COUNTIF('8月'!DT19:DU19,"渋谷-夜勤")+COUNTIF('8月'!DY19:DZ19,"渋谷-夜勤")+COUNTIF('8月'!ED19:EE19,"渋谷-夜勤")+COUNTIF('8月'!EI19:EJ19,"渋谷-夜勤")+COUNTIF('8月'!EN19:EO19,"渋谷-夜勤")+COUNTIF('8月'!ES19:ET19,"渋谷-夜勤")</f>
        <v>0</v>
      </c>
      <c r="I280" s="76">
        <f t="shared" si="87"/>
        <v>0</v>
      </c>
      <c r="J280" s="76">
        <f>COUNTIF('8月'!D19:E19,J$263)+COUNTIF('8月'!I19:J19,J$263)+COUNTIF('8月'!N19:O19,J$263)+COUNTIF('8月'!S19:T19,J$263)+COUNTIF('8月'!X19:Y19,J$263)+COUNTIF('8月'!AC19:AD19,J$263)+COUNTIF('8月'!AH19:AI19,J$263)+COUNTIF('8月'!AM19:AN19,J$263)+COUNTIF('8月'!AR19:AS19,J$263)+COUNTIF('8月'!AW19:AX19,J$263)+COUNTIF('8月'!BB19:BC19,J$263)+COUNTIF('8月'!BG19:BH19,J$263)+COUNTIF('8月'!BL19:BM19,J$263)+COUNTIF('8月'!BQ19:BR19,J$263)+COUNTIF('8月'!BV19:BW19,J$263)+COUNTIF('8月'!CA19:CB19,J$263)+COUNTIF('8月'!CF19:CG19,J$263)+COUNTIF('8月'!CK19:CL19,J$263)+COUNTIF('8月'!CP19:CQ19,J$263)+COUNTIF('8月'!CU19:CV19,J$263)+COUNTIF('8月'!CZ19:DA19,J$263)+COUNTIF('8月'!DE19:DF19,J$263)+COUNTIF('8月'!DJ19:DK19,J$263)+COUNTIF('8月'!DO19:DP19,J$263)+COUNTIF('8月'!DT19:DU19,J$263)+COUNTIF('8月'!DY19:DZ19,J$263)+COUNTIF('8月'!ED19:EE19,J$263)+COUNTIF('8月'!EI19:EJ19,J$263)+COUNTIF('8月'!EN19:EO19,J$263)+COUNTIF('8月'!ES19:ET19,J$263)+COUNTIF('8月'!D19:E19,"六本木-夜勤")+COUNTIF('8月'!I19:J19,"六本木-夜勤")+COUNTIF('8月'!N19:O19,"六本木-夜勤")+COUNTIF('8月'!S19:T19,"六本木-夜勤")+COUNTIF('8月'!X19:Y19,"六本木-夜勤")+COUNTIF('8月'!AC19:AD19,"六本木-夜勤")+COUNTIF('8月'!AH19:AI19,"六本木-夜勤")+COUNTIF('8月'!AM19:AN19,"六本木-夜勤")+COUNTIF('8月'!AR19:AS19,"六本木-夜勤")+COUNTIF('8月'!AW19:AX19,"六本木-夜勤")+COUNTIF('8月'!BB19:BC19,"六本木-夜勤")+COUNTIF('8月'!BG19:BH19,"六本木-夜勤")+COUNTIF('8月'!BL19:BM19,"六本木-夜勤")+COUNTIF('8月'!BQ19:BR19,"六本木-夜勤")+COUNTIF('8月'!BV19:BW19,"六本木-夜勤")+COUNTIF('8月'!CA19:CB19,"六本木-夜勤")+COUNTIF('8月'!CF19:CG19,"六本木-夜勤")+COUNTIF('8月'!CK19:CL19,"六本木-夜勤")+COUNTIF('8月'!CP19:CQ19,"六本木-夜勤")+COUNTIF('8月'!CU19:CV19,"六本木-夜勤")+COUNTIF('8月'!CZ19:DA19,"六本木-夜勤")+COUNTIF('8月'!DE19:DF19,"六本木-夜勤")+COUNTIF('8月'!DJ19:DK19,"六本木-夜勤")+COUNTIF('8月'!DO19:DP19,"六本木-夜勤")+COUNTIF('8月'!DT19:DU19,"六本木-夜勤")+COUNTIF('8月'!DY19:DZ19,"六本木-夜勤")+COUNTIF('8月'!ED19:EE19,"六本木-夜勤")+COUNTIF('8月'!EI19:EJ19,"六本木-夜勤")+COUNTIF('8月'!EN19:EO19,"六本木-夜勤")+COUNTIF('8月'!ES19:ET19,"六本木-夜勤")+COUNTIF('8月'!D19:E19,"六本木ー夜勤")+COUNTIF('8月'!I19:J19,"六本木ー夜勤")+COUNTIF('8月'!N19:O19,"六本木ー夜勤")+COUNTIF('8月'!S19:T19,"六本木ー夜勤")+COUNTIF('8月'!X19:Y19,"六本木ー夜勤")+COUNTIF('8月'!AC19:AD19,"六本木ー夜勤")+COUNTIF('8月'!AH19:AI19,"六本木ー夜勤")+COUNTIF('8月'!AM19:AN19,"六本木ー夜勤")+COUNTIF('8月'!AR19:AS19,"六本木ー夜勤")+COUNTIF('8月'!AW19:AX19,"六本木ー夜勤")+COUNTIF('8月'!BB19:BC19,"六本木ー夜勤")+COUNTIF('8月'!BG19:BH19,"六本木ー夜勤")+COUNTIF('8月'!BL19:BM19,"六本木ー夜勤")+COUNTIF('8月'!BQ19:BR19,"六本木ー夜勤")+COUNTIF('8月'!BV19:BW19,"六本木ー夜勤")+COUNTIF('8月'!CA19:CB19,"六本木ー夜勤")+COUNTIF('8月'!CF19:CG19,"六本木ー夜勤")+COUNTIF('8月'!CK19:CL19,"六本木ー夜勤")+COUNTIF('8月'!CP19:CQ19,"六本木ー夜勤")+COUNTIF('8月'!CU19:CV19,"六本木ー夜勤")+COUNTIF('8月'!CZ19:DA19,"六本木ー夜勤")+COUNTIF('8月'!DE19:DF19,"六本木ー夜勤")+COUNTIF('8月'!DJ19:DK19,"六本木ー夜勤")+COUNTIF('8月'!DO19:DP19,"六本木ー夜勤")+COUNTIF('8月'!DT19:DU19,"六本木ー夜勤")+COUNTIF('8月'!DY19:DZ19,"六本木ー夜勤")+COUNTIF('8月'!ED19:EE19,"六本木ー夜勤")+COUNTIF('8月'!EI19:EJ19,"六本木ー夜勤")+COUNTIF('8月'!EN19:EO19,"六本木ー夜勤")+COUNTIF('8月'!ES19:ET19,"六本木ー夜勤")</f>
        <v>0</v>
      </c>
      <c r="K280" s="76">
        <f t="shared" si="88"/>
        <v>0</v>
      </c>
      <c r="L280" s="76">
        <f>COUNTIF('8月'!D19:E19,L$263)+COUNTIF('8月'!I19:J19,L$263)+COUNTIF('8月'!N19:O19,L$263)+COUNTIF('8月'!S19:T19,L$263)+COUNTIF('8月'!X19:Y19,L$263)+COUNTIF('8月'!AC19:AD19,L$263)+COUNTIF('8月'!AH19:AI19,L$263)+COUNTIF('8月'!AM19:AN19,L$263)+COUNTIF('8月'!AR19:AS19,L$263)+COUNTIF('8月'!AW19:AX19,L$263)+COUNTIF('8月'!BB19:BC19,L$263)+COUNTIF('8月'!BG19:BH19,L$263)+COUNTIF('8月'!BL19:BM19,L$263)+COUNTIF('8月'!BQ19:BR19,L$263)+COUNTIF('8月'!BV19:BW19,L$263)+COUNTIF('8月'!CA19:CB19,L$263)+COUNTIF('8月'!CF19:CG19,L$263)+COUNTIF('8月'!CK19:CL19,L$263)+COUNTIF('8月'!CP19:CQ19,L$263)+COUNTIF('8月'!CU19:CV19,L$263)+COUNTIF('8月'!CZ19:DA19,L$263)+COUNTIF('8月'!DE19:DF19,L$263)+COUNTIF('8月'!DJ19:DK19,L$263)+COUNTIF('8月'!DO19:DP19,L$263)+COUNTIF('8月'!DT19:DU19,L$263)+COUNTIF('8月'!DY19:DZ19,L$263)+COUNTIF('8月'!ED19:EE19,L$263)+COUNTIF('8月'!EI19:EJ19,L$263)+COUNTIF('8月'!EN19:EO19,L$263)+COUNTIF('8月'!ES19:ET19,L$263)</f>
        <v>0</v>
      </c>
      <c r="M280" s="76">
        <f t="shared" si="89"/>
        <v>0</v>
      </c>
      <c r="N280" s="76">
        <f>COUNTIF('8月'!D19:E19,N$263)+COUNTIF('8月'!I19:J19,N$263)+COUNTIF('8月'!N19:O19,N$263)+COUNTIF('8月'!S19:T19,N$263)+COUNTIF('8月'!X19:Y19,N$263)+COUNTIF('8月'!AC19:AD19,N$263)+COUNTIF('8月'!AH19:AI19,N$263)+COUNTIF('8月'!AM19:AN19,N$263)+COUNTIF('8月'!AR19:AS19,N$263)+COUNTIF('8月'!AW19:AX19,N$263)+COUNTIF('8月'!BB19:BC19,N$263)+COUNTIF('8月'!BG19:BH19,N$263)+COUNTIF('8月'!BL19:BM19,N$263)+COUNTIF('8月'!BQ19:BR19,N$263)+COUNTIF('8月'!BV19:BW19,N$263)+COUNTIF('8月'!CA19:CB19,N$263)+COUNTIF('8月'!CF19:CG19,N$263)+COUNTIF('8月'!CK19:CL19,N$263)+COUNTIF('8月'!CP19:CQ19,N$263)+COUNTIF('8月'!CU19:CV19,N$263)+COUNTIF('8月'!CZ19:DA19,N$263)+COUNTIF('8月'!DE19:DF19,N$263)+COUNTIF('8月'!DJ19:DK19,N$263)+COUNTIF('8月'!DO19:DP19,N$263)+COUNTIF('8月'!DT19:DU19,N$263)+COUNTIF('8月'!DY19:DZ19,N$263)+COUNTIF('8月'!ED19:EE19,N$263)+COUNTIF('8月'!EI19:EJ19,N$263)+COUNTIF('8月'!EN19:EO19,N$263)+COUNTIF('8月'!ES19:ET19,N$263)+COUNTIF('8月'!D19:E19,"三軒茶屋－夜勤")+COUNTIF('8月'!I19:J19,"三軒茶屋－夜勤")+COUNTIF('8月'!N19:O19,"三軒茶屋－夜勤")+COUNTIF('8月'!S19:T19,"三軒茶屋－夜勤")+COUNTIF('8月'!X19:Y19,"三軒茶屋－夜勤")+COUNTIF('8月'!AC19:AD19,"三軒茶屋－夜勤")+COUNTIF('8月'!AH19:AI19,"三軒茶屋－夜勤")+COUNTIF('8月'!AM19:AN19,"三軒茶屋－夜勤")+COUNTIF('8月'!AR19:AS19,"三軒茶屋－夜勤")+COUNTIF('8月'!AW19:AX19,"三軒茶屋－夜勤")+COUNTIF('8月'!BB19:BC19,"三軒茶屋－夜勤")+COUNTIF('8月'!BG19:BH19,"三軒茶屋－夜勤")+COUNTIF('8月'!BL19:BM19,"三軒茶屋－夜勤")+COUNTIF('8月'!BQ19:BR19,"三軒茶屋－夜勤")+COUNTIF('8月'!BV19:BW19,"三軒茶屋－夜勤")+COUNTIF('8月'!CA19:CB19,"三軒茶屋－夜勤")+COUNTIF('8月'!CF19:CG19,"三軒茶屋－夜勤")+COUNTIF('8月'!CK19:CL19,"三軒茶屋－夜勤")+COUNTIF('8月'!CP19:CQ19,"三軒茶屋－夜勤")+COUNTIF('8月'!CU19:CV19,"三軒茶屋－夜勤")+COUNTIF('8月'!CZ19:DA19,"三軒茶屋－夜勤")+COUNTIF('8月'!DE19:DF19,"三軒茶屋－夜勤")+COUNTIF('8月'!DJ19:DK19,"三軒茶屋－夜勤")+COUNTIF('8月'!DO19:DP19,"三軒茶屋－夜勤")+COUNTIF('8月'!DT19:DU19,"三軒茶屋－夜勤")+COUNTIF('8月'!DY19:DZ19,"三軒茶屋－夜勤")+COUNTIF('8月'!ED19:EE19,"三軒茶屋－夜勤")+COUNTIF('8月'!EI19:EJ19,"三軒茶屋－夜勤")+COUNTIF('8月'!EN19:EO19,"三軒茶屋－夜勤")+COUNTIF('8月'!ES19:ET19,"三軒茶屋－夜勤")</f>
        <v>0</v>
      </c>
      <c r="O280" s="76">
        <f t="shared" si="90"/>
        <v>0</v>
      </c>
      <c r="P280" s="76">
        <f>COUNTIF('8月'!D19:E19,P$263)+COUNTIF('8月'!I19:J19,P$263)+COUNTIF('8月'!N19:O19,P$263)+COUNTIF('8月'!S19:T19,P$263)+COUNTIF('8月'!X19:Y19,P$263)+COUNTIF('8月'!AC19:AD19,P$263)+COUNTIF('8月'!AH19:AI19,P$263)+COUNTIF('8月'!AM19:AN19,P$263)+COUNTIF('8月'!AR19:AS19,P$263)+COUNTIF('8月'!AW19:AX19,P$263)+COUNTIF('8月'!BB19:BC19,P$263)+COUNTIF('8月'!BG19:BH19,P$263)+COUNTIF('8月'!BL19:BM19,P$263)+COUNTIF('8月'!BQ19:BR19,P$263)+COUNTIF('8月'!BV19:BW19,P$263)+COUNTIF('8月'!CA19:CB19,P$263)+COUNTIF('8月'!CF19:CG19,P$263)+COUNTIF('8月'!CK19:CL19,P$263)+COUNTIF('8月'!CP19:CQ19,P$263)+COUNTIF('8月'!CU19:CV19,P$263)+COUNTIF('8月'!CZ19:DA19,P$263)+COUNTIF('8月'!DE19:DF19,P$263)+COUNTIF('8月'!DJ19:DK19,P$263)+COUNTIF('8月'!DO19:DP19,P$263)+COUNTIF('8月'!DT19:DU19,P$263)+COUNTIF('8月'!DY19:DZ19,P$263)+COUNTIF('8月'!ED19:EE19,P$263)+COUNTIF('8月'!EI19:EJ19,P$263)+COUNTIF('8月'!EN19:EO19,P$263)+COUNTIF('8月'!ES19:ET19,P$263)+COUNTIF('8月'!D19:E19,"荻窪ー夜勤")+COUNTIF('8月'!I19:J19,"荻窪ー夜勤")+COUNTIF('8月'!N19:O19,"荻窪ー夜勤")+COUNTIF('8月'!S19:T19,"荻窪ー夜勤")+COUNTIF('8月'!X19:Y19,"荻窪ー夜勤")+COUNTIF('8月'!AC19:AD19,"荻窪ー夜勤")+COUNTIF('8月'!AH19:AI19,"荻窪ー夜勤")+COUNTIF('8月'!AM19:AN19,"荻窪ー夜勤")+COUNTIF('8月'!AR19:AS19,"荻窪ー夜勤")+COUNTIF('8月'!AW19:AX19,"荻窪ー夜勤")+COUNTIF('8月'!BB19:BC19,"荻窪ー夜勤")+COUNTIF('8月'!BG19:BH19,"荻窪ー夜勤")+COUNTIF('8月'!BL19:BM19,"荻窪ー夜勤")+COUNTIF('8月'!BQ19:BR19,"荻窪ー夜勤")+COUNTIF('8月'!BV19:BW19,"荻窪ー夜勤")+COUNTIF('8月'!CA19:CB19,"荻窪ー夜勤")+COUNTIF('8月'!CF19:CG19,"荻窪ー夜勤")+COUNTIF('8月'!CK19:CL19,"荻窪ー夜勤")+COUNTIF('8月'!CP19:CQ19,"荻窪ー夜勤")+COUNTIF('8月'!CU19:CV19,"荻窪ー夜勤")+COUNTIF('8月'!CZ19:DA19,"荻窪ー夜勤")+COUNTIF('8月'!DE19:DF19,"荻窪ー夜勤")+COUNTIF('8月'!DJ19:DK19,"荻窪ー夜勤")+COUNTIF('8月'!DO19:DP19,"荻窪ー夜勤")+COUNTIF('8月'!DT19:DU19,"荻窪ー夜勤")+COUNTIF('8月'!DY19:DZ19,"荻窪ー夜勤")+COUNTIF('8月'!ED19:EE19,"荻窪ー夜勤")+COUNTIF('8月'!EI19:EJ19,"荻窪ー夜勤")+COUNTIF('8月'!EN19:EO19,"荻窪ー夜勤")+COUNTIF('8月'!ES19:ET19,"荻窪ー夜勤")</f>
        <v>0</v>
      </c>
      <c r="Q280" s="76">
        <f t="shared" si="91"/>
        <v>0</v>
      </c>
      <c r="R280" s="76">
        <f>COUNTIF('8月'!D19:E19,R$263)+COUNTIF('8月'!I19:J19,R$263)+COUNTIF('8月'!N19:O19,R$263)+COUNTIF('8月'!S19:T19,R$263)+COUNTIF('8月'!X19:Y19,R$263)+COUNTIF('8月'!AC19:AD19,R$263)+COUNTIF('8月'!AH19:AI19,R$263)+COUNTIF('8月'!AM19:AN19,R$263)+COUNTIF('8月'!AR19:AS19,R$263)+COUNTIF('8月'!AW19:AX19,R$263)+COUNTIF('8月'!BB19:BC19,R$263)+COUNTIF('8月'!BG19:BH19,R$263)+COUNTIF('8月'!BL19:BM19,R$263)+COUNTIF('8月'!BQ19:BR19,R$263)+COUNTIF('8月'!BV19:BW19,R$263)+COUNTIF('8月'!CA19:CB19,R$263)+COUNTIF('8月'!CF19:CG19,R$263)+COUNTIF('8月'!CK19:CL19,R$263)+COUNTIF('8月'!CP19:CQ19,R$263)+COUNTIF('8月'!CU19:CV19,R$263)+COUNTIF('8月'!CZ19:DA19,R$263)+COUNTIF('8月'!DE19:DF19,R$263)+COUNTIF('8月'!DJ19:DK19,R$263)+COUNTIF('8月'!DO19:DP19,R$263)+COUNTIF('8月'!DT19:DU19,R$263)+COUNTIF('8月'!DY19:DZ19,R$263)+COUNTIF('8月'!ED19:EE19,R$263)+COUNTIF('8月'!EI19:EJ19,R$263)+COUNTIF('8月'!EN19:EO19,R$263)+COUNTIF('8月'!ES19:ET19,R$263)</f>
        <v>0</v>
      </c>
      <c r="S280" s="76">
        <f t="shared" si="92"/>
        <v>0</v>
      </c>
      <c r="T280" s="76">
        <f>COUNTIF('8月'!D19:E19,T$263)+COUNTIF('8月'!I19:J19,T$263)+COUNTIF('8月'!N19:O19,T$263)+COUNTIF('8月'!S19:T19,T$263)+COUNTIF('8月'!X19:Y19,T$263)+COUNTIF('8月'!AC19:AD19,T$263)+COUNTIF('8月'!AH19:AI19,T$263)+COUNTIF('8月'!AM19:AN19,T$263)+COUNTIF('8月'!AR19:AS19,T$263)+COUNTIF('8月'!AW19:AX19,T$263)+COUNTIF('8月'!BB19:BC19,T$263)+COUNTIF('8月'!BG19:BH19,T$263)+COUNTIF('8月'!BL19:BM19,T$263)+COUNTIF('8月'!BQ19:BR19,T$263)+COUNTIF('8月'!BV19:BW19,T$263)+COUNTIF('8月'!CA19:CB19,T$263)+COUNTIF('8月'!CF19:CG19,T$263)+COUNTIF('8月'!CK19:CL19,T$263)+COUNTIF('8月'!CP19:CQ19,T$263)+COUNTIF('8月'!CU19:CV19,T$263)+COUNTIF('8月'!CZ19:DA19,T$263)+COUNTIF('8月'!DE19:DF19,T$263)+COUNTIF('8月'!DJ19:DK19,T$263)+COUNTIF('8月'!DO19:DP19,T$263)+COUNTIF('8月'!DT19:DU19,T$263)+COUNTIF('8月'!DY19:DZ19,T$263)+COUNTIF('8月'!ED19:EE19,T$263)+COUNTIF('8月'!EI19:EJ19,T$263)+COUNTIF('8月'!EN19:EO19,T$263)+COUNTIF('8月'!ES19:ET19,T$263)</f>
        <v>0</v>
      </c>
      <c r="U280" s="76">
        <f t="shared" si="93"/>
        <v>0</v>
      </c>
      <c r="V280" s="76">
        <f>COUNTIF('8月'!D19:E19,V$263)+COUNTIF('8月'!I19:J19,V$263)+COUNTIF('8月'!N19:O19,V$263)+COUNTIF('8月'!S19:T19,V$263)+COUNTIF('8月'!X19:Y19,V$263)+COUNTIF('8月'!AC19:AD19,V$263)+COUNTIF('8月'!AH19:AI19,V$263)+COUNTIF('8月'!AM19:AN19,V$263)+COUNTIF('8月'!AR19:AS19,V$263)+COUNTIF('8月'!AW19:AX19,V$263)+COUNTIF('8月'!BB19:BC19,V$263)+COUNTIF('8月'!BG19:BH19,V$263)+COUNTIF('8月'!BL19:BM19,V$263)+COUNTIF('8月'!BQ19:BR19,V$263)+COUNTIF('8月'!BV19:BW19,V$263)+COUNTIF('8月'!CA19:CB19,V$263)+COUNTIF('8月'!CF19:CG19,V$263)+COUNTIF('8月'!CK19:CL19,V$263)+COUNTIF('8月'!CP19:CQ19,V$263)+COUNTIF('8月'!CU19:CV19,V$263)+COUNTIF('8月'!CZ19:DA19,V$263)+COUNTIF('8月'!DE19:DF19,V$263)+COUNTIF('8月'!DJ19:DK19,V$263)+COUNTIF('8月'!DO19:DP19,V$263)+COUNTIF('8月'!DT19:DU19,V$263)+COUNTIF('8月'!DY19:DZ19,V$263)+COUNTIF('8月'!ED19:EE19,V$263)+COUNTIF('8月'!EI19:EJ19,V$263)+COUNTIF('8月'!EN19:EO19,V$263)+COUNTIF('8月'!ES19:ET19,V$263)</f>
        <v>0</v>
      </c>
      <c r="W280" s="76">
        <f t="shared" si="94"/>
        <v>0</v>
      </c>
      <c r="X280" s="76">
        <f>COUNTIF('8月'!D19:E19,X$263)+COUNTIF('8月'!I19:J19,X$263)+COUNTIF('8月'!N19:O19,X$263)+COUNTIF('8月'!S19:T19,X$263)+COUNTIF('8月'!X19:Y19,X$263)+COUNTIF('8月'!AC19:AD19,X$263)+COUNTIF('8月'!AH19:AI19,X$263)+COUNTIF('8月'!AM19:AN19,X$263)+COUNTIF('8月'!AR19:AS19,X$263)+COUNTIF('8月'!AW19:AX19,X$263)+COUNTIF('8月'!BB19:BC19,X$263)+COUNTIF('8月'!BG19:BH19,X$263)+COUNTIF('8月'!BL19:BM19,X$263)+COUNTIF('8月'!BQ19:BR19,X$263)+COUNTIF('8月'!BV19:BW19,X$263)+COUNTIF('8月'!CA19:CB19,X$263)+COUNTIF('8月'!CF19:CG19,X$263)+COUNTIF('8月'!CK19:CL19,X$263)+COUNTIF('8月'!CP19:CQ19,X$263)+COUNTIF('8月'!CU19:CV19,X$263)+COUNTIF('8月'!CZ19:DA19,X$263)+COUNTIF('8月'!DE19:DF19,X$263)+COUNTIF('8月'!DJ19:DK19,X$263)+COUNTIF('8月'!DO19:DP19,X$263)+COUNTIF('8月'!DT19:DU19,X$263)+COUNTIF('8月'!DY19:DZ19,X$263)+COUNTIF('8月'!ED19:EE19,X$263)+COUNTIF('8月'!EI19:EJ19,X$263)+COUNTIF('8月'!EN19:EO19,X$263)+COUNTIF('8月'!ES19:ET19,X$263)</f>
        <v>0</v>
      </c>
      <c r="Y280" s="76">
        <f t="shared" si="95"/>
        <v>0</v>
      </c>
    </row>
    <row r="281" spans="1:25" ht="18" customHeight="1">
      <c r="A281" s="76">
        <v>17</v>
      </c>
      <c r="B281" s="76">
        <f>COUNTIF('8月'!D20:E20,B$263)+COUNTIF('8月'!I20:J20,B$263)+COUNTIF('8月'!N20:O20,B$263)+COUNTIF('8月'!S20:T20,B$263)+COUNTIF('8月'!X20:Y20,B$263)+COUNTIF('8月'!AC20:AD20,B$263)+COUNTIF('8月'!AH20:AI20,B$263)+COUNTIF('8月'!AM20:AN20,B$263)+COUNTIF('8月'!AR20:AS20,B$263)+COUNTIF('8月'!AW20:AX20,B$263)+COUNTIF('8月'!BB20:BC20,B$263)+COUNTIF('8月'!BG20:BH20,B$263)+COUNTIF('8月'!BL20:BM20,B$263)+COUNTIF('8月'!BQ20:BR20,B$263)+COUNTIF('8月'!BV20:BW20,B$263)+COUNTIF('8月'!CA20:CB20,B$263)+COUNTIF('8月'!CF20:CG20,B$263)+COUNTIF('8月'!CK20:CL20,B$263)+COUNTIF('8月'!CP20:CQ20,B$263)+COUNTIF('8月'!CU20:CV20,B$263)+COUNTIF('8月'!CZ20:DA20,B$263)+COUNTIF('8月'!DE20:DF20,B$263)+COUNTIF('8月'!DJ20:DK20,B$263)+COUNTIF('8月'!DO20:DP20,B$263)+COUNTIF('8月'!DT20:DU20,B$263)+COUNTIF('8月'!DY20:DZ20,B$263)+COUNTIF('8月'!ED20:EE20,B$263)+COUNTIF('8月'!EI20:EJ20,B$263)+COUNTIF('8月'!EN20:EO20,B$263)+COUNTIF('8月'!ES20:ET20,B$263)</f>
        <v>0</v>
      </c>
      <c r="C281" s="76">
        <f t="shared" si="84"/>
        <v>0</v>
      </c>
      <c r="D281" s="76">
        <f>COUNTIF('8月'!D20:E20,D$263)+COUNTIF('8月'!I20:J20,D$263)+COUNTIF('8月'!N20:O20,D$263)+COUNTIF('8月'!S20:T20,D$263)+COUNTIF('8月'!X20:Y20,D$263)+COUNTIF('8月'!AC20:AD20,D$263)+COUNTIF('8月'!AH20:AI20,D$263)+COUNTIF('8月'!AM20:AN20,D$263)+COUNTIF('8月'!AR20:AS20,D$263)+COUNTIF('8月'!AW20:AX20,D$263)+COUNTIF('8月'!BB20:BC20,D$263)+COUNTIF('8月'!BG20:BH20,D$263)+COUNTIF('8月'!BL20:BM20,D$263)+COUNTIF('8月'!BQ20:BR20,D$263)+COUNTIF('8月'!BV20:BW20,D$263)+COUNTIF('8月'!CA20:CB20,D$263)+COUNTIF('8月'!CF20:CG20,D$263)+COUNTIF('8月'!CK20:CL20,D$263)+COUNTIF('8月'!CP20:CQ20,D$263)+COUNTIF('8月'!CU20:CV20,D$263)+COUNTIF('8月'!CZ20:DA20,D$263)+COUNTIF('8月'!DE20:DF20,D$263)+COUNTIF('8月'!DJ20:DK20,D$263)+COUNTIF('8月'!DO20:DP20,D$263)+COUNTIF('8月'!DT20:DU20,D$263)+COUNTIF('8月'!DY20:DZ20,D$263)+COUNTIF('8月'!ED20:EE20,D$263)+COUNTIF('8月'!EI20:EJ20,D$263)+COUNTIF('8月'!EN20:EO20,D$263)+COUNTIF('8月'!ES20:ET20,D$263)</f>
        <v>0</v>
      </c>
      <c r="E281" s="76">
        <f t="shared" si="85"/>
        <v>0</v>
      </c>
      <c r="F281" s="76">
        <f>COUNTIF('8月'!D20:E20,F$263)+COUNTIF('8月'!I20:J20,F$263)+COUNTIF('8月'!N20:O20,F$263)+COUNTIF('8月'!S20:T20,F$263)+COUNTIF('8月'!X20:Y20,F$263)+COUNTIF('8月'!AC20:AD20,F$263)+COUNTIF('8月'!AH20:AI20,F$263)+COUNTIF('8月'!AM20:AN20,F$263)+COUNTIF('8月'!AR20:AS20,F$263)+COUNTIF('8月'!AW20:AX20,F$263)+COUNTIF('8月'!BB20:BC20,F$263)+COUNTIF('8月'!BG20:BH20,F$263)+COUNTIF('8月'!BL20:BM20,F$263)+COUNTIF('8月'!BQ20:BR20,F$263)+COUNTIF('8月'!BV20:BW20,F$263)+COUNTIF('8月'!CA20:CB20,F$263)+COUNTIF('8月'!CF20:CG20,F$263)+COUNTIF('8月'!CK20:CL20,F$263)+COUNTIF('8月'!CP20:CQ20,F$263)+COUNTIF('8月'!CU20:CV20,F$263)+COUNTIF('8月'!CZ20:DA20,F$263)+COUNTIF('8月'!DE20:DF20,F$263)+COUNTIF('8月'!DJ20:DK20,F$263)+COUNTIF('8月'!DO20:DP20,F$263)+COUNTIF('8月'!DT20:DU20,F$263)+COUNTIF('8月'!DY20:DZ20,F$263)+COUNTIF('8月'!ED20:EE20,F$263)+COUNTIF('8月'!EI20:EJ20,F$263)+COUNTIF('8月'!EN20:EO20,F$263)+COUNTIF('8月'!ES20:ET20,F$263)</f>
        <v>0</v>
      </c>
      <c r="G281" s="76">
        <f t="shared" si="86"/>
        <v>0</v>
      </c>
      <c r="H281" s="76">
        <f>COUNTIF('8月'!D20:E20,H$263)+COUNTIF('8月'!I20:J20,H$263)+COUNTIF('8月'!N20:O20,H$263)+COUNTIF('8月'!S20:T20,H$263)+COUNTIF('8月'!X20:Y20,H$263)+COUNTIF('8月'!AC20:AD20,H$263)+COUNTIF('8月'!AH20:AI20,H$263)+COUNTIF('8月'!AM20:AN20,H$263)+COUNTIF('8月'!AR20:AS20,H$263)+COUNTIF('8月'!AW20:AX20,H$263)+COUNTIF('8月'!BB20:BC20,H$263)+COUNTIF('8月'!BG20:BH20,H$263)+COUNTIF('8月'!BL20:BM20,H$263)+COUNTIF('8月'!BQ20:BR20,H$263)+COUNTIF('8月'!BV20:BW20,H$263)+COUNTIF('8月'!CA20:CB20,H$263)+COUNTIF('8月'!CF20:CG20,H$263)+COUNTIF('8月'!CK20:CL20,H$263)+COUNTIF('8月'!CP20:CQ20,H$263)+COUNTIF('8月'!CU20:CV20,H$263)+COUNTIF('8月'!CZ20:DA20,H$263)+COUNTIF('8月'!DE20:DF20,H$263)+COUNTIF('8月'!DJ20:DK20,H$263)+COUNTIF('8月'!DO20:DP20,H$263)+COUNTIF('8月'!DT20:DU20,H$263)+COUNTIF('8月'!DY20:DZ20,H$263)+COUNTIF('8月'!ED20:EE20,H$263)+COUNTIF('8月'!EI20:EJ20,H$263)+COUNTIF('8月'!EN20:EO20,H$263)+COUNTIF('8月'!ES20:ET20,H$263)+COUNTIF('8月'!D20:E20,"渋谷-夜勤")+COUNTIF('8月'!I20:J20,"渋谷-夜勤")+COUNTIF('8月'!N20:O20,"渋谷-夜勤")+COUNTIF('8月'!S20:T20,"渋谷-夜勤")+COUNTIF('8月'!X20:Y20,"渋谷-夜勤")+COUNTIF('8月'!AC20:AD20,"渋谷-夜勤")+COUNTIF('8月'!AH20:AI20,"渋谷-夜勤")+COUNTIF('8月'!AM20:AN20,"渋谷-夜勤")+COUNTIF('8月'!AR20:AS20,"渋谷-夜勤")+COUNTIF('8月'!AW20:AX20,"渋谷-夜勤")+COUNTIF('8月'!BB20:BC20,"渋谷-夜勤")+COUNTIF('8月'!BG20:BH20,"渋谷-夜勤")+COUNTIF('8月'!BL20:BM20,"渋谷-夜勤")+COUNTIF('8月'!BQ20:BR20,"渋谷-夜勤")+COUNTIF('8月'!BV20:BW20,"渋谷-夜勤")+COUNTIF('8月'!CA20:CB20,"渋谷-夜勤")+COUNTIF('8月'!CF20:CG20,"渋谷-夜勤")+COUNTIF('8月'!CK20:CL20,"渋谷-夜勤")+COUNTIF('8月'!CP20:CQ20,"渋谷-夜勤")+COUNTIF('8月'!CU20:CV20,"渋谷-夜勤")+COUNTIF('8月'!CZ20:DA20,"渋谷-夜勤")+COUNTIF('8月'!DE20:DF20,"渋谷-夜勤")+COUNTIF('8月'!DJ20:DK20,"渋谷-夜勤")+COUNTIF('8月'!DO20:DP20,"渋谷-夜勤")+COUNTIF('8月'!DT20:DU20,"渋谷-夜勤")+COUNTIF('8月'!DY20:DZ20,"渋谷-夜勤")+COUNTIF('8月'!ED20:EE20,"渋谷-夜勤")+COUNTIF('8月'!EI20:EJ20,"渋谷-夜勤")+COUNTIF('8月'!EN20:EO20,"渋谷-夜勤")+COUNTIF('8月'!ES20:ET20,"渋谷-夜勤")</f>
        <v>0</v>
      </c>
      <c r="I281" s="76">
        <f t="shared" si="87"/>
        <v>0</v>
      </c>
      <c r="J281" s="76">
        <f>COUNTIF('8月'!D20:E20,J$263)+COUNTIF('8月'!I20:J20,J$263)+COUNTIF('8月'!N20:O20,J$263)+COUNTIF('8月'!S20:T20,J$263)+COUNTIF('8月'!X20:Y20,J$263)+COUNTIF('8月'!AC20:AD20,J$263)+COUNTIF('8月'!AH20:AI20,J$263)+COUNTIF('8月'!AM20:AN20,J$263)+COUNTIF('8月'!AR20:AS20,J$263)+COUNTIF('8月'!AW20:AX20,J$263)+COUNTIF('8月'!BB20:BC20,J$263)+COUNTIF('8月'!BG20:BH20,J$263)+COUNTIF('8月'!BL20:BM20,J$263)+COUNTIF('8月'!BQ20:BR20,J$263)+COUNTIF('8月'!BV20:BW20,J$263)+COUNTIF('8月'!CA20:CB20,J$263)+COUNTIF('8月'!CF20:CG20,J$263)+COUNTIF('8月'!CK20:CL20,J$263)+COUNTIF('8月'!CP20:CQ20,J$263)+COUNTIF('8月'!CU20:CV20,J$263)+COUNTIF('8月'!CZ20:DA20,J$263)+COUNTIF('8月'!DE20:DF20,J$263)+COUNTIF('8月'!DJ20:DK20,J$263)+COUNTIF('8月'!DO20:DP20,J$263)+COUNTIF('8月'!DT20:DU20,J$263)+COUNTIF('8月'!DY20:DZ20,J$263)+COUNTIF('8月'!ED20:EE20,J$263)+COUNTIF('8月'!EI20:EJ20,J$263)+COUNTIF('8月'!EN20:EO20,J$263)+COUNTIF('8月'!ES20:ET20,J$263)+COUNTIF('8月'!D20:E20,"六本木-夜勤")+COUNTIF('8月'!I20:J20,"六本木-夜勤")+COUNTIF('8月'!N20:O20,"六本木-夜勤")+COUNTIF('8月'!S20:T20,"六本木-夜勤")+COUNTIF('8月'!X20:Y20,"六本木-夜勤")+COUNTIF('8月'!AC20:AD20,"六本木-夜勤")+COUNTIF('8月'!AH20:AI20,"六本木-夜勤")+COUNTIF('8月'!AM20:AN20,"六本木-夜勤")+COUNTIF('8月'!AR20:AS20,"六本木-夜勤")+COUNTIF('8月'!AW20:AX20,"六本木-夜勤")+COUNTIF('8月'!BB20:BC20,"六本木-夜勤")+COUNTIF('8月'!BG20:BH20,"六本木-夜勤")+COUNTIF('8月'!BL20:BM20,"六本木-夜勤")+COUNTIF('8月'!BQ20:BR20,"六本木-夜勤")+COUNTIF('8月'!BV20:BW20,"六本木-夜勤")+COUNTIF('8月'!CA20:CB20,"六本木-夜勤")+COUNTIF('8月'!CF20:CG20,"六本木-夜勤")+COUNTIF('8月'!CK20:CL20,"六本木-夜勤")+COUNTIF('8月'!CP20:CQ20,"六本木-夜勤")+COUNTIF('8月'!CU20:CV20,"六本木-夜勤")+COUNTIF('8月'!CZ20:DA20,"六本木-夜勤")+COUNTIF('8月'!DE20:DF20,"六本木-夜勤")+COUNTIF('8月'!DJ20:DK20,"六本木-夜勤")+COUNTIF('8月'!DO20:DP20,"六本木-夜勤")+COUNTIF('8月'!DT20:DU20,"六本木-夜勤")+COUNTIF('8月'!DY20:DZ20,"六本木-夜勤")+COUNTIF('8月'!ED20:EE20,"六本木-夜勤")+COUNTIF('8月'!EI20:EJ20,"六本木-夜勤")+COUNTIF('8月'!EN20:EO20,"六本木-夜勤")+COUNTIF('8月'!ES20:ET20,"六本木-夜勤")+COUNTIF('8月'!D20:E20,"六本木ー夜勤")+COUNTIF('8月'!I20:J20,"六本木ー夜勤")+COUNTIF('8月'!N20:O20,"六本木ー夜勤")+COUNTIF('8月'!S20:T20,"六本木ー夜勤")+COUNTIF('8月'!X20:Y20,"六本木ー夜勤")+COUNTIF('8月'!AC20:AD20,"六本木ー夜勤")+COUNTIF('8月'!AH20:AI20,"六本木ー夜勤")+COUNTIF('8月'!AM20:AN20,"六本木ー夜勤")+COUNTIF('8月'!AR20:AS20,"六本木ー夜勤")+COUNTIF('8月'!AW20:AX20,"六本木ー夜勤")+COUNTIF('8月'!BB20:BC20,"六本木ー夜勤")+COUNTIF('8月'!BG20:BH20,"六本木ー夜勤")+COUNTIF('8月'!BL20:BM20,"六本木ー夜勤")+COUNTIF('8月'!BQ20:BR20,"六本木ー夜勤")+COUNTIF('8月'!BV20:BW20,"六本木ー夜勤")+COUNTIF('8月'!CA20:CB20,"六本木ー夜勤")+COUNTIF('8月'!CF20:CG20,"六本木ー夜勤")+COUNTIF('8月'!CK20:CL20,"六本木ー夜勤")+COUNTIF('8月'!CP20:CQ20,"六本木ー夜勤")+COUNTIF('8月'!CU20:CV20,"六本木ー夜勤")+COUNTIF('8月'!CZ20:DA20,"六本木ー夜勤")+COUNTIF('8月'!DE20:DF20,"六本木ー夜勤")+COUNTIF('8月'!DJ20:DK20,"六本木ー夜勤")+COUNTIF('8月'!DO20:DP20,"六本木ー夜勤")+COUNTIF('8月'!DT20:DU20,"六本木ー夜勤")+COUNTIF('8月'!DY20:DZ20,"六本木ー夜勤")+COUNTIF('8月'!ED20:EE20,"六本木ー夜勤")+COUNTIF('8月'!EI20:EJ20,"六本木ー夜勤")+COUNTIF('8月'!EN20:EO20,"六本木ー夜勤")+COUNTIF('8月'!ES20:ET20,"六本木ー夜勤")</f>
        <v>0</v>
      </c>
      <c r="K281" s="76">
        <f t="shared" si="88"/>
        <v>0</v>
      </c>
      <c r="L281" s="76">
        <f>COUNTIF('8月'!D20:E20,L$263)+COUNTIF('8月'!I20:J20,L$263)+COUNTIF('8月'!N20:O20,L$263)+COUNTIF('8月'!S20:T20,L$263)+COUNTIF('8月'!X20:Y20,L$263)+COUNTIF('8月'!AC20:AD20,L$263)+COUNTIF('8月'!AH20:AI20,L$263)+COUNTIF('8月'!AM20:AN20,L$263)+COUNTIF('8月'!AR20:AS20,L$263)+COUNTIF('8月'!AW20:AX20,L$263)+COUNTIF('8月'!BB20:BC20,L$263)+COUNTIF('8月'!BG20:BH20,L$263)+COUNTIF('8月'!BL20:BM20,L$263)+COUNTIF('8月'!BQ20:BR20,L$263)+COUNTIF('8月'!BV20:BW20,L$263)+COUNTIF('8月'!CA20:CB20,L$263)+COUNTIF('8月'!CF20:CG20,L$263)+COUNTIF('8月'!CK20:CL20,L$263)+COUNTIF('8月'!CP20:CQ20,L$263)+COUNTIF('8月'!CU20:CV20,L$263)+COUNTIF('8月'!CZ20:DA20,L$263)+COUNTIF('8月'!DE20:DF20,L$263)+COUNTIF('8月'!DJ20:DK20,L$263)+COUNTIF('8月'!DO20:DP20,L$263)+COUNTIF('8月'!DT20:DU20,L$263)+COUNTIF('8月'!DY20:DZ20,L$263)+COUNTIF('8月'!ED20:EE20,L$263)+COUNTIF('8月'!EI20:EJ20,L$263)+COUNTIF('8月'!EN20:EO20,L$263)+COUNTIF('8月'!ES20:ET20,L$263)</f>
        <v>0</v>
      </c>
      <c r="M281" s="76">
        <f t="shared" si="89"/>
        <v>0</v>
      </c>
      <c r="N281" s="76">
        <f>COUNTIF('8月'!D20:E20,N$263)+COUNTIF('8月'!I20:J20,N$263)+COUNTIF('8月'!N20:O20,N$263)+COUNTIF('8月'!S20:T20,N$263)+COUNTIF('8月'!X20:Y20,N$263)+COUNTIF('8月'!AC20:AD20,N$263)+COUNTIF('8月'!AH20:AI20,N$263)+COUNTIF('8月'!AM20:AN20,N$263)+COUNTIF('8月'!AR20:AS20,N$263)+COUNTIF('8月'!AW20:AX20,N$263)+COUNTIF('8月'!BB20:BC20,N$263)+COUNTIF('8月'!BG20:BH20,N$263)+COUNTIF('8月'!BL20:BM20,N$263)+COUNTIF('8月'!BQ20:BR20,N$263)+COUNTIF('8月'!BV20:BW20,N$263)+COUNTIF('8月'!CA20:CB20,N$263)+COUNTIF('8月'!CF20:CG20,N$263)+COUNTIF('8月'!CK20:CL20,N$263)+COUNTIF('8月'!CP20:CQ20,N$263)+COUNTIF('8月'!CU20:CV20,N$263)+COUNTIF('8月'!CZ20:DA20,N$263)+COUNTIF('8月'!DE20:DF20,N$263)+COUNTIF('8月'!DJ20:DK20,N$263)+COUNTIF('8月'!DO20:DP20,N$263)+COUNTIF('8月'!DT20:DU20,N$263)+COUNTIF('8月'!DY20:DZ20,N$263)+COUNTIF('8月'!ED20:EE20,N$263)+COUNTIF('8月'!EI20:EJ20,N$263)+COUNTIF('8月'!EN20:EO20,N$263)+COUNTIF('8月'!ES20:ET20,N$263)+COUNTIF('8月'!D20:E20,"三軒茶屋－夜勤")+COUNTIF('8月'!I20:J20,"三軒茶屋－夜勤")+COUNTIF('8月'!N20:O20,"三軒茶屋－夜勤")+COUNTIF('8月'!S20:T20,"三軒茶屋－夜勤")+COUNTIF('8月'!X20:Y20,"三軒茶屋－夜勤")+COUNTIF('8月'!AC20:AD20,"三軒茶屋－夜勤")+COUNTIF('8月'!AH20:AI20,"三軒茶屋－夜勤")+COUNTIF('8月'!AM20:AN20,"三軒茶屋－夜勤")+COUNTIF('8月'!AR20:AS20,"三軒茶屋－夜勤")+COUNTIF('8月'!AW20:AX20,"三軒茶屋－夜勤")+COUNTIF('8月'!BB20:BC20,"三軒茶屋－夜勤")+COUNTIF('8月'!BG20:BH20,"三軒茶屋－夜勤")+COUNTIF('8月'!BL20:BM20,"三軒茶屋－夜勤")+COUNTIF('8月'!BQ20:BR20,"三軒茶屋－夜勤")+COUNTIF('8月'!BV20:BW20,"三軒茶屋－夜勤")+COUNTIF('8月'!CA20:CB20,"三軒茶屋－夜勤")+COUNTIF('8月'!CF20:CG20,"三軒茶屋－夜勤")+COUNTIF('8月'!CK20:CL20,"三軒茶屋－夜勤")+COUNTIF('8月'!CP20:CQ20,"三軒茶屋－夜勤")+COUNTIF('8月'!CU20:CV20,"三軒茶屋－夜勤")+COUNTIF('8月'!CZ20:DA20,"三軒茶屋－夜勤")+COUNTIF('8月'!DE20:DF20,"三軒茶屋－夜勤")+COUNTIF('8月'!DJ20:DK20,"三軒茶屋－夜勤")+COUNTIF('8月'!DO20:DP20,"三軒茶屋－夜勤")+COUNTIF('8月'!DT20:DU20,"三軒茶屋－夜勤")+COUNTIF('8月'!DY20:DZ20,"三軒茶屋－夜勤")+COUNTIF('8月'!ED20:EE20,"三軒茶屋－夜勤")+COUNTIF('8月'!EI20:EJ20,"三軒茶屋－夜勤")+COUNTIF('8月'!EN20:EO20,"三軒茶屋－夜勤")+COUNTIF('8月'!ES20:ET20,"三軒茶屋－夜勤")</f>
        <v>0</v>
      </c>
      <c r="O281" s="76">
        <f t="shared" si="90"/>
        <v>0</v>
      </c>
      <c r="P281" s="76">
        <f>COUNTIF('8月'!D20:E20,P$263)+COUNTIF('8月'!I20:J20,P$263)+COUNTIF('8月'!N20:O20,P$263)+COUNTIF('8月'!S20:T20,P$263)+COUNTIF('8月'!X20:Y20,P$263)+COUNTIF('8月'!AC20:AD20,P$263)+COUNTIF('8月'!AH20:AI20,P$263)+COUNTIF('8月'!AM20:AN20,P$263)+COUNTIF('8月'!AR20:AS20,P$263)+COUNTIF('8月'!AW20:AX20,P$263)+COUNTIF('8月'!BB20:BC20,P$263)+COUNTIF('8月'!BG20:BH20,P$263)+COUNTIF('8月'!BL20:BM20,P$263)+COUNTIF('8月'!BQ20:BR20,P$263)+COUNTIF('8月'!BV20:BW20,P$263)+COUNTIF('8月'!CA20:CB20,P$263)+COUNTIF('8月'!CF20:CG20,P$263)+COUNTIF('8月'!CK20:CL20,P$263)+COUNTIF('8月'!CP20:CQ20,P$263)+COUNTIF('8月'!CU20:CV20,P$263)+COUNTIF('8月'!CZ20:DA20,P$263)+COUNTIF('8月'!DE20:DF20,P$263)+COUNTIF('8月'!DJ20:DK20,P$263)+COUNTIF('8月'!DO20:DP20,P$263)+COUNTIF('8月'!DT20:DU20,P$263)+COUNTIF('8月'!DY20:DZ20,P$263)+COUNTIF('8月'!ED20:EE20,P$263)+COUNTIF('8月'!EI20:EJ20,P$263)+COUNTIF('8月'!EN20:EO20,P$263)+COUNTIF('8月'!ES20:ET20,P$263)+COUNTIF('8月'!D20:E20,"荻窪ー夜勤")+COUNTIF('8月'!I20:J20,"荻窪ー夜勤")+COUNTIF('8月'!N20:O20,"荻窪ー夜勤")+COUNTIF('8月'!S20:T20,"荻窪ー夜勤")+COUNTIF('8月'!X20:Y20,"荻窪ー夜勤")+COUNTIF('8月'!AC20:AD20,"荻窪ー夜勤")+COUNTIF('8月'!AH20:AI20,"荻窪ー夜勤")+COUNTIF('8月'!AM20:AN20,"荻窪ー夜勤")+COUNTIF('8月'!AR20:AS20,"荻窪ー夜勤")+COUNTIF('8月'!AW20:AX20,"荻窪ー夜勤")+COUNTIF('8月'!BB20:BC20,"荻窪ー夜勤")+COUNTIF('8月'!BG20:BH20,"荻窪ー夜勤")+COUNTIF('8月'!BL20:BM20,"荻窪ー夜勤")+COUNTIF('8月'!BQ20:BR20,"荻窪ー夜勤")+COUNTIF('8月'!BV20:BW20,"荻窪ー夜勤")+COUNTIF('8月'!CA20:CB20,"荻窪ー夜勤")+COUNTIF('8月'!CF20:CG20,"荻窪ー夜勤")+COUNTIF('8月'!CK20:CL20,"荻窪ー夜勤")+COUNTIF('8月'!CP20:CQ20,"荻窪ー夜勤")+COUNTIF('8月'!CU20:CV20,"荻窪ー夜勤")+COUNTIF('8月'!CZ20:DA20,"荻窪ー夜勤")+COUNTIF('8月'!DE20:DF20,"荻窪ー夜勤")+COUNTIF('8月'!DJ20:DK20,"荻窪ー夜勤")+COUNTIF('8月'!DO20:DP20,"荻窪ー夜勤")+COUNTIF('8月'!DT20:DU20,"荻窪ー夜勤")+COUNTIF('8月'!DY20:DZ20,"荻窪ー夜勤")+COUNTIF('8月'!ED20:EE20,"荻窪ー夜勤")+COUNTIF('8月'!EI20:EJ20,"荻窪ー夜勤")+COUNTIF('8月'!EN20:EO20,"荻窪ー夜勤")+COUNTIF('8月'!ES20:ET20,"荻窪ー夜勤")</f>
        <v>0</v>
      </c>
      <c r="Q281" s="76">
        <f t="shared" si="91"/>
        <v>0</v>
      </c>
      <c r="R281" s="76">
        <f>COUNTIF('8月'!D20:E20,R$263)+COUNTIF('8月'!I20:J20,R$263)+COUNTIF('8月'!N20:O20,R$263)+COUNTIF('8月'!S20:T20,R$263)+COUNTIF('8月'!X20:Y20,R$263)+COUNTIF('8月'!AC20:AD20,R$263)+COUNTIF('8月'!AH20:AI20,R$263)+COUNTIF('8月'!AM20:AN20,R$263)+COUNTIF('8月'!AR20:AS20,R$263)+COUNTIF('8月'!AW20:AX20,R$263)+COUNTIF('8月'!BB20:BC20,R$263)+COUNTIF('8月'!BG20:BH20,R$263)+COUNTIF('8月'!BL20:BM20,R$263)+COUNTIF('8月'!BQ20:BR20,R$263)+COUNTIF('8月'!BV20:BW20,R$263)+COUNTIF('8月'!CA20:CB20,R$263)+COUNTIF('8月'!CF20:CG20,R$263)+COUNTIF('8月'!CK20:CL20,R$263)+COUNTIF('8月'!CP20:CQ20,R$263)+COUNTIF('8月'!CU20:CV20,R$263)+COUNTIF('8月'!CZ20:DA20,R$263)+COUNTIF('8月'!DE20:DF20,R$263)+COUNTIF('8月'!DJ20:DK20,R$263)+COUNTIF('8月'!DO20:DP20,R$263)+COUNTIF('8月'!DT20:DU20,R$263)+COUNTIF('8月'!DY20:DZ20,R$263)+COUNTIF('8月'!ED20:EE20,R$263)+COUNTIF('8月'!EI20:EJ20,R$263)+COUNTIF('8月'!EN20:EO20,R$263)+COUNTIF('8月'!ES20:ET20,R$263)</f>
        <v>0</v>
      </c>
      <c r="S281" s="76">
        <f t="shared" si="92"/>
        <v>0</v>
      </c>
      <c r="T281" s="76">
        <f>COUNTIF('8月'!D20:E20,T$263)+COUNTIF('8月'!I20:J20,T$263)+COUNTIF('8月'!N20:O20,T$263)+COUNTIF('8月'!S20:T20,T$263)+COUNTIF('8月'!X20:Y20,T$263)+COUNTIF('8月'!AC20:AD20,T$263)+COUNTIF('8月'!AH20:AI20,T$263)+COUNTIF('8月'!AM20:AN20,T$263)+COUNTIF('8月'!AR20:AS20,T$263)+COUNTIF('8月'!AW20:AX20,T$263)+COUNTIF('8月'!BB20:BC20,T$263)+COUNTIF('8月'!BG20:BH20,T$263)+COUNTIF('8月'!BL20:BM20,T$263)+COUNTIF('8月'!BQ20:BR20,T$263)+COUNTIF('8月'!BV20:BW20,T$263)+COUNTIF('8月'!CA20:CB20,T$263)+COUNTIF('8月'!CF20:CG20,T$263)+COUNTIF('8月'!CK20:CL20,T$263)+COUNTIF('8月'!CP20:CQ20,T$263)+COUNTIF('8月'!CU20:CV20,T$263)+COUNTIF('8月'!CZ20:DA20,T$263)+COUNTIF('8月'!DE20:DF20,T$263)+COUNTIF('8月'!DJ20:DK20,T$263)+COUNTIF('8月'!DO20:DP20,T$263)+COUNTIF('8月'!DT20:DU20,T$263)+COUNTIF('8月'!DY20:DZ20,T$263)+COUNTIF('8月'!ED20:EE20,T$263)+COUNTIF('8月'!EI20:EJ20,T$263)+COUNTIF('8月'!EN20:EO20,T$263)+COUNTIF('8月'!ES20:ET20,T$263)</f>
        <v>0</v>
      </c>
      <c r="U281" s="76">
        <f t="shared" si="93"/>
        <v>0</v>
      </c>
      <c r="V281" s="76">
        <f>COUNTIF('8月'!D20:E20,V$263)+COUNTIF('8月'!I20:J20,V$263)+COUNTIF('8月'!N20:O20,V$263)+COUNTIF('8月'!S20:T20,V$263)+COUNTIF('8月'!X20:Y20,V$263)+COUNTIF('8月'!AC20:AD20,V$263)+COUNTIF('8月'!AH20:AI20,V$263)+COUNTIF('8月'!AM20:AN20,V$263)+COUNTIF('8月'!AR20:AS20,V$263)+COUNTIF('8月'!AW20:AX20,V$263)+COUNTIF('8月'!BB20:BC20,V$263)+COUNTIF('8月'!BG20:BH20,V$263)+COUNTIF('8月'!BL20:BM20,V$263)+COUNTIF('8月'!BQ20:BR20,V$263)+COUNTIF('8月'!BV20:BW20,V$263)+COUNTIF('8月'!CA20:CB20,V$263)+COUNTIF('8月'!CF20:CG20,V$263)+COUNTIF('8月'!CK20:CL20,V$263)+COUNTIF('8月'!CP20:CQ20,V$263)+COUNTIF('8月'!CU20:CV20,V$263)+COUNTIF('8月'!CZ20:DA20,V$263)+COUNTIF('8月'!DE20:DF20,V$263)+COUNTIF('8月'!DJ20:DK20,V$263)+COUNTIF('8月'!DO20:DP20,V$263)+COUNTIF('8月'!DT20:DU20,V$263)+COUNTIF('8月'!DY20:DZ20,V$263)+COUNTIF('8月'!ED20:EE20,V$263)+COUNTIF('8月'!EI20:EJ20,V$263)+COUNTIF('8月'!EN20:EO20,V$263)+COUNTIF('8月'!ES20:ET20,V$263)</f>
        <v>0</v>
      </c>
      <c r="W281" s="76">
        <f t="shared" si="94"/>
        <v>0</v>
      </c>
      <c r="X281" s="76">
        <f>COUNTIF('8月'!D20:E20,X$263)+COUNTIF('8月'!I20:J20,X$263)+COUNTIF('8月'!N20:O20,X$263)+COUNTIF('8月'!S20:T20,X$263)+COUNTIF('8月'!X20:Y20,X$263)+COUNTIF('8月'!AC20:AD20,X$263)+COUNTIF('8月'!AH20:AI20,X$263)+COUNTIF('8月'!AM20:AN20,X$263)+COUNTIF('8月'!AR20:AS20,X$263)+COUNTIF('8月'!AW20:AX20,X$263)+COUNTIF('8月'!BB20:BC20,X$263)+COUNTIF('8月'!BG20:BH20,X$263)+COUNTIF('8月'!BL20:BM20,X$263)+COUNTIF('8月'!BQ20:BR20,X$263)+COUNTIF('8月'!BV20:BW20,X$263)+COUNTIF('8月'!CA20:CB20,X$263)+COUNTIF('8月'!CF20:CG20,X$263)+COUNTIF('8月'!CK20:CL20,X$263)+COUNTIF('8月'!CP20:CQ20,X$263)+COUNTIF('8月'!CU20:CV20,X$263)+COUNTIF('8月'!CZ20:DA20,X$263)+COUNTIF('8月'!DE20:DF20,X$263)+COUNTIF('8月'!DJ20:DK20,X$263)+COUNTIF('8月'!DO20:DP20,X$263)+COUNTIF('8月'!DT20:DU20,X$263)+COUNTIF('8月'!DY20:DZ20,X$263)+COUNTIF('8月'!ED20:EE20,X$263)+COUNTIF('8月'!EI20:EJ20,X$263)+COUNTIF('8月'!EN20:EO20,X$263)+COUNTIF('8月'!ES20:ET20,X$263)</f>
        <v>0</v>
      </c>
      <c r="Y281" s="76">
        <f t="shared" si="95"/>
        <v>0</v>
      </c>
    </row>
    <row r="282" spans="1:25" ht="18" customHeight="1">
      <c r="A282" s="76">
        <v>18</v>
      </c>
      <c r="B282" s="76">
        <f>COUNTIF('8月'!D21:E21,B$263)+COUNTIF('8月'!I21:J21,B$263)+COUNTIF('8月'!N21:O21,B$263)+COUNTIF('8月'!S21:T21,B$263)+COUNTIF('8月'!X21:Y21,B$263)+COUNTIF('8月'!AC21:AD21,B$263)+COUNTIF('8月'!AH21:AI21,B$263)+COUNTIF('8月'!AM21:AN21,B$263)+COUNTIF('8月'!AR21:AS21,B$263)+COUNTIF('8月'!AW21:AX21,B$263)+COUNTIF('8月'!BB21:BC21,B$263)+COUNTIF('8月'!BG21:BH21,B$263)+COUNTIF('8月'!BL21:BM21,B$263)+COUNTIF('8月'!BQ21:BR21,B$263)+COUNTIF('8月'!BV21:BW21,B$263)+COUNTIF('8月'!CA21:CB21,B$263)+COUNTIF('8月'!CF21:CG21,B$263)+COUNTIF('8月'!CK21:CL21,B$263)+COUNTIF('8月'!CP21:CQ21,B$263)+COUNTIF('8月'!CU21:CV21,B$263)+COUNTIF('8月'!CZ21:DA21,B$263)+COUNTIF('8月'!DE21:DF21,B$263)+COUNTIF('8月'!DJ21:DK21,B$263)+COUNTIF('8月'!DO21:DP21,B$263)+COUNTIF('8月'!DT21:DU21,B$263)+COUNTIF('8月'!DY21:DZ21,B$263)+COUNTIF('8月'!ED21:EE21,B$263)+COUNTIF('8月'!EI21:EJ21,B$263)+COUNTIF('8月'!EN21:EO21,B$263)+COUNTIF('8月'!ES21:ET21,B$263)</f>
        <v>0</v>
      </c>
      <c r="C282" s="76">
        <f t="shared" si="84"/>
        <v>0</v>
      </c>
      <c r="D282" s="76">
        <f>COUNTIF('8月'!D21:E21,D$263)+COUNTIF('8月'!I21:J21,D$263)+COUNTIF('8月'!N21:O21,D$263)+COUNTIF('8月'!S21:T21,D$263)+COUNTIF('8月'!X21:Y21,D$263)+COUNTIF('8月'!AC21:AD21,D$263)+COUNTIF('8月'!AH21:AI21,D$263)+COUNTIF('8月'!AM21:AN21,D$263)+COUNTIF('8月'!AR21:AS21,D$263)+COUNTIF('8月'!AW21:AX21,D$263)+COUNTIF('8月'!BB21:BC21,D$263)+COUNTIF('8月'!BG21:BH21,D$263)+COUNTIF('8月'!BL21:BM21,D$263)+COUNTIF('8月'!BQ21:BR21,D$263)+COUNTIF('8月'!BV21:BW21,D$263)+COUNTIF('8月'!CA21:CB21,D$263)+COUNTIF('8月'!CF21:CG21,D$263)+COUNTIF('8月'!CK21:CL21,D$263)+COUNTIF('8月'!CP21:CQ21,D$263)+COUNTIF('8月'!CU21:CV21,D$263)+COUNTIF('8月'!CZ21:DA21,D$263)+COUNTIF('8月'!DE21:DF21,D$263)+COUNTIF('8月'!DJ21:DK21,D$263)+COUNTIF('8月'!DO21:DP21,D$263)+COUNTIF('8月'!DT21:DU21,D$263)+COUNTIF('8月'!DY21:DZ21,D$263)+COUNTIF('8月'!ED21:EE21,D$263)+COUNTIF('8月'!EI21:EJ21,D$263)+COUNTIF('8月'!EN21:EO21,D$263)+COUNTIF('8月'!ES21:ET21,D$263)</f>
        <v>0</v>
      </c>
      <c r="E282" s="76">
        <f t="shared" si="85"/>
        <v>0</v>
      </c>
      <c r="F282" s="76">
        <f>COUNTIF('8月'!D21:E21,F$263)+COUNTIF('8月'!I21:J21,F$263)+COUNTIF('8月'!N21:O21,F$263)+COUNTIF('8月'!S21:T21,F$263)+COUNTIF('8月'!X21:Y21,F$263)+COUNTIF('8月'!AC21:AD21,F$263)+COUNTIF('8月'!AH21:AI21,F$263)+COUNTIF('8月'!AM21:AN21,F$263)+COUNTIF('8月'!AR21:AS21,F$263)+COUNTIF('8月'!AW21:AX21,F$263)+COUNTIF('8月'!BB21:BC21,F$263)+COUNTIF('8月'!BG21:BH21,F$263)+COUNTIF('8月'!BL21:BM21,F$263)+COUNTIF('8月'!BQ21:BR21,F$263)+COUNTIF('8月'!BV21:BW21,F$263)+COUNTIF('8月'!CA21:CB21,F$263)+COUNTIF('8月'!CF21:CG21,F$263)+COUNTIF('8月'!CK21:CL21,F$263)+COUNTIF('8月'!CP21:CQ21,F$263)+COUNTIF('8月'!CU21:CV21,F$263)+COUNTIF('8月'!CZ21:DA21,F$263)+COUNTIF('8月'!DE21:DF21,F$263)+COUNTIF('8月'!DJ21:DK21,F$263)+COUNTIF('8月'!DO21:DP21,F$263)+COUNTIF('8月'!DT21:DU21,F$263)+COUNTIF('8月'!DY21:DZ21,F$263)+COUNTIF('8月'!ED21:EE21,F$263)+COUNTIF('8月'!EI21:EJ21,F$263)+COUNTIF('8月'!EN21:EO21,F$263)+COUNTIF('8月'!ES21:ET21,F$263)</f>
        <v>0</v>
      </c>
      <c r="G282" s="76">
        <f t="shared" si="86"/>
        <v>0</v>
      </c>
      <c r="H282" s="76">
        <f>COUNTIF('8月'!D21:E21,H$263)+COUNTIF('8月'!I21:J21,H$263)+COUNTIF('8月'!N21:O21,H$263)+COUNTIF('8月'!S21:T21,H$263)+COUNTIF('8月'!X21:Y21,H$263)+COUNTIF('8月'!AC21:AD21,H$263)+COUNTIF('8月'!AH21:AI21,H$263)+COUNTIF('8月'!AM21:AN21,H$263)+COUNTIF('8月'!AR21:AS21,H$263)+COUNTIF('8月'!AW21:AX21,H$263)+COUNTIF('8月'!BB21:BC21,H$263)+COUNTIF('8月'!BG21:BH21,H$263)+COUNTIF('8月'!BL21:BM21,H$263)+COUNTIF('8月'!BQ21:BR21,H$263)+COUNTIF('8月'!BV21:BW21,H$263)+COUNTIF('8月'!CA21:CB21,H$263)+COUNTIF('8月'!CF21:CG21,H$263)+COUNTIF('8月'!CK21:CL21,H$263)+COUNTIF('8月'!CP21:CQ21,H$263)+COUNTIF('8月'!CU21:CV21,H$263)+COUNTIF('8月'!CZ21:DA21,H$263)+COUNTIF('8月'!DE21:DF21,H$263)+COUNTIF('8月'!DJ21:DK21,H$263)+COUNTIF('8月'!DO21:DP21,H$263)+COUNTIF('8月'!DT21:DU21,H$263)+COUNTIF('8月'!DY21:DZ21,H$263)+COUNTIF('8月'!ED21:EE21,H$263)+COUNTIF('8月'!EI21:EJ21,H$263)+COUNTIF('8月'!EN21:EO21,H$263)+COUNTIF('8月'!ES21:ET21,H$263)+COUNTIF('8月'!D21:E21,"渋谷-夜勤")+COUNTIF('8月'!I21:J21,"渋谷-夜勤")+COUNTIF('8月'!N21:O21,"渋谷-夜勤")+COUNTIF('8月'!S21:T21,"渋谷-夜勤")+COUNTIF('8月'!X21:Y21,"渋谷-夜勤")+COUNTIF('8月'!AC21:AD21,"渋谷-夜勤")+COUNTIF('8月'!AH21:AI21,"渋谷-夜勤")+COUNTIF('8月'!AM21:AN21,"渋谷-夜勤")+COUNTIF('8月'!AR21:AS21,"渋谷-夜勤")+COUNTIF('8月'!AW21:AX21,"渋谷-夜勤")+COUNTIF('8月'!BB21:BC21,"渋谷-夜勤")+COUNTIF('8月'!BG21:BH21,"渋谷-夜勤")+COUNTIF('8月'!BL21:BM21,"渋谷-夜勤")+COUNTIF('8月'!BQ21:BR21,"渋谷-夜勤")+COUNTIF('8月'!BV21:BW21,"渋谷-夜勤")+COUNTIF('8月'!CA21:CB21,"渋谷-夜勤")+COUNTIF('8月'!CF21:CG21,"渋谷-夜勤")+COUNTIF('8月'!CK21:CL21,"渋谷-夜勤")+COUNTIF('8月'!CP21:CQ21,"渋谷-夜勤")+COUNTIF('8月'!CU21:CV21,"渋谷-夜勤")+COUNTIF('8月'!CZ21:DA21,"渋谷-夜勤")+COUNTIF('8月'!DE21:DF21,"渋谷-夜勤")+COUNTIF('8月'!DJ21:DK21,"渋谷-夜勤")+COUNTIF('8月'!DO21:DP21,"渋谷-夜勤")+COUNTIF('8月'!DT21:DU21,"渋谷-夜勤")+COUNTIF('8月'!DY21:DZ21,"渋谷-夜勤")+COUNTIF('8月'!ED21:EE21,"渋谷-夜勤")+COUNTIF('8月'!EI21:EJ21,"渋谷-夜勤")+COUNTIF('8月'!EN21:EO21,"渋谷-夜勤")+COUNTIF('8月'!ES21:ET21,"渋谷-夜勤")</f>
        <v>0</v>
      </c>
      <c r="I282" s="76">
        <f t="shared" si="87"/>
        <v>0</v>
      </c>
      <c r="J282" s="76">
        <f>COUNTIF('8月'!D21:E21,J$263)+COUNTIF('8月'!I21:J21,J$263)+COUNTIF('8月'!N21:O21,J$263)+COUNTIF('8月'!S21:T21,J$263)+COUNTIF('8月'!X21:Y21,J$263)+COUNTIF('8月'!AC21:AD21,J$263)+COUNTIF('8月'!AH21:AI21,J$263)+COUNTIF('8月'!AM21:AN21,J$263)+COUNTIF('8月'!AR21:AS21,J$263)+COUNTIF('8月'!AW21:AX21,J$263)+COUNTIF('8月'!BB21:BC21,J$263)+COUNTIF('8月'!BG21:BH21,J$263)+COUNTIF('8月'!BL21:BM21,J$263)+COUNTIF('8月'!BQ21:BR21,J$263)+COUNTIF('8月'!BV21:BW21,J$263)+COUNTIF('8月'!CA21:CB21,J$263)+COUNTIF('8月'!CF21:CG21,J$263)+COUNTIF('8月'!CK21:CL21,J$263)+COUNTIF('8月'!CP21:CQ21,J$263)+COUNTIF('8月'!CU21:CV21,J$263)+COUNTIF('8月'!CZ21:DA21,J$263)+COUNTIF('8月'!DE21:DF21,J$263)+COUNTIF('8月'!DJ21:DK21,J$263)+COUNTIF('8月'!DO21:DP21,J$263)+COUNTIF('8月'!DT21:DU21,J$263)+COUNTIF('8月'!DY21:DZ21,J$263)+COUNTIF('8月'!ED21:EE21,J$263)+COUNTIF('8月'!EI21:EJ21,J$263)+COUNTIF('8月'!EN21:EO21,J$263)+COUNTIF('8月'!ES21:ET21,J$263)+COUNTIF('8月'!D21:E21,"六本木-夜勤")+COUNTIF('8月'!I21:J21,"六本木-夜勤")+COUNTIF('8月'!N21:O21,"六本木-夜勤")+COUNTIF('8月'!S21:T21,"六本木-夜勤")+COUNTIF('8月'!X21:Y21,"六本木-夜勤")+COUNTIF('8月'!AC21:AD21,"六本木-夜勤")+COUNTIF('8月'!AH21:AI21,"六本木-夜勤")+COUNTIF('8月'!AM21:AN21,"六本木-夜勤")+COUNTIF('8月'!AR21:AS21,"六本木-夜勤")+COUNTIF('8月'!AW21:AX21,"六本木-夜勤")+COUNTIF('8月'!BB21:BC21,"六本木-夜勤")+COUNTIF('8月'!BG21:BH21,"六本木-夜勤")+COUNTIF('8月'!BL21:BM21,"六本木-夜勤")+COUNTIF('8月'!BQ21:BR21,"六本木-夜勤")+COUNTIF('8月'!BV21:BW21,"六本木-夜勤")+COUNTIF('8月'!CA21:CB21,"六本木-夜勤")+COUNTIF('8月'!CF21:CG21,"六本木-夜勤")+COUNTIF('8月'!CK21:CL21,"六本木-夜勤")+COUNTIF('8月'!CP21:CQ21,"六本木-夜勤")+COUNTIF('8月'!CU21:CV21,"六本木-夜勤")+COUNTIF('8月'!CZ21:DA21,"六本木-夜勤")+COUNTIF('8月'!DE21:DF21,"六本木-夜勤")+COUNTIF('8月'!DJ21:DK21,"六本木-夜勤")+COUNTIF('8月'!DO21:DP21,"六本木-夜勤")+COUNTIF('8月'!DT21:DU21,"六本木-夜勤")+COUNTIF('8月'!DY21:DZ21,"六本木-夜勤")+COUNTIF('8月'!ED21:EE21,"六本木-夜勤")+COUNTIF('8月'!EI21:EJ21,"六本木-夜勤")+COUNTIF('8月'!EN21:EO21,"六本木-夜勤")+COUNTIF('8月'!ES21:ET21,"六本木-夜勤")+COUNTIF('8月'!D21:E21,"六本木ー夜勤")+COUNTIF('8月'!I21:J21,"六本木ー夜勤")+COUNTIF('8月'!N21:O21,"六本木ー夜勤")+COUNTIF('8月'!S21:T21,"六本木ー夜勤")+COUNTIF('8月'!X21:Y21,"六本木ー夜勤")+COUNTIF('8月'!AC21:AD21,"六本木ー夜勤")+COUNTIF('8月'!AH21:AI21,"六本木ー夜勤")+COUNTIF('8月'!AM21:AN21,"六本木ー夜勤")+COUNTIF('8月'!AR21:AS21,"六本木ー夜勤")+COUNTIF('8月'!AW21:AX21,"六本木ー夜勤")+COUNTIF('8月'!BB21:BC21,"六本木ー夜勤")+COUNTIF('8月'!BG21:BH21,"六本木ー夜勤")+COUNTIF('8月'!BL21:BM21,"六本木ー夜勤")+COUNTIF('8月'!BQ21:BR21,"六本木ー夜勤")+COUNTIF('8月'!BV21:BW21,"六本木ー夜勤")+COUNTIF('8月'!CA21:CB21,"六本木ー夜勤")+COUNTIF('8月'!CF21:CG21,"六本木ー夜勤")+COUNTIF('8月'!CK21:CL21,"六本木ー夜勤")+COUNTIF('8月'!CP21:CQ21,"六本木ー夜勤")+COUNTIF('8月'!CU21:CV21,"六本木ー夜勤")+COUNTIF('8月'!CZ21:DA21,"六本木ー夜勤")+COUNTIF('8月'!DE21:DF21,"六本木ー夜勤")+COUNTIF('8月'!DJ21:DK21,"六本木ー夜勤")+COUNTIF('8月'!DO21:DP21,"六本木ー夜勤")+COUNTIF('8月'!DT21:DU21,"六本木ー夜勤")+COUNTIF('8月'!DY21:DZ21,"六本木ー夜勤")+COUNTIF('8月'!ED21:EE21,"六本木ー夜勤")+COUNTIF('8月'!EI21:EJ21,"六本木ー夜勤")+COUNTIF('8月'!EN21:EO21,"六本木ー夜勤")+COUNTIF('8月'!ES21:ET21,"六本木ー夜勤")</f>
        <v>0</v>
      </c>
      <c r="K282" s="76">
        <f t="shared" si="88"/>
        <v>0</v>
      </c>
      <c r="L282" s="76">
        <f>COUNTIF('8月'!D21:E21,L$263)+COUNTIF('8月'!I21:J21,L$263)+COUNTIF('8月'!N21:O21,L$263)+COUNTIF('8月'!S21:T21,L$263)+COUNTIF('8月'!X21:Y21,L$263)+COUNTIF('8月'!AC21:AD21,L$263)+COUNTIF('8月'!AH21:AI21,L$263)+COUNTIF('8月'!AM21:AN21,L$263)+COUNTIF('8月'!AR21:AS21,L$263)+COUNTIF('8月'!AW21:AX21,L$263)+COUNTIF('8月'!BB21:BC21,L$263)+COUNTIF('8月'!BG21:BH21,L$263)+COUNTIF('8月'!BL21:BM21,L$263)+COUNTIF('8月'!BQ21:BR21,L$263)+COUNTIF('8月'!BV21:BW21,L$263)+COUNTIF('8月'!CA21:CB21,L$263)+COUNTIF('8月'!CF21:CG21,L$263)+COUNTIF('8月'!CK21:CL21,L$263)+COUNTIF('8月'!CP21:CQ21,L$263)+COUNTIF('8月'!CU21:CV21,L$263)+COUNTIF('8月'!CZ21:DA21,L$263)+COUNTIF('8月'!DE21:DF21,L$263)+COUNTIF('8月'!DJ21:DK21,L$263)+COUNTIF('8月'!DO21:DP21,L$263)+COUNTIF('8月'!DT21:DU21,L$263)+COUNTIF('8月'!DY21:DZ21,L$263)+COUNTIF('8月'!ED21:EE21,L$263)+COUNTIF('8月'!EI21:EJ21,L$263)+COUNTIF('8月'!EN21:EO21,L$263)+COUNTIF('8月'!ES21:ET21,L$263)</f>
        <v>0</v>
      </c>
      <c r="M282" s="76">
        <f t="shared" si="89"/>
        <v>0</v>
      </c>
      <c r="N282" s="76">
        <f>COUNTIF('8月'!D21:E21,N$263)+COUNTIF('8月'!I21:J21,N$263)+COUNTIF('8月'!N21:O21,N$263)+COUNTIF('8月'!S21:T21,N$263)+COUNTIF('8月'!X21:Y21,N$263)+COUNTIF('8月'!AC21:AD21,N$263)+COUNTIF('8月'!AH21:AI21,N$263)+COUNTIF('8月'!AM21:AN21,N$263)+COUNTIF('8月'!AR21:AS21,N$263)+COUNTIF('8月'!AW21:AX21,N$263)+COUNTIF('8月'!BB21:BC21,N$263)+COUNTIF('8月'!BG21:BH21,N$263)+COUNTIF('8月'!BL21:BM21,N$263)+COUNTIF('8月'!BQ21:BR21,N$263)+COUNTIF('8月'!BV21:BW21,N$263)+COUNTIF('8月'!CA21:CB21,N$263)+COUNTIF('8月'!CF21:CG21,N$263)+COUNTIF('8月'!CK21:CL21,N$263)+COUNTIF('8月'!CP21:CQ21,N$263)+COUNTIF('8月'!CU21:CV21,N$263)+COUNTIF('8月'!CZ21:DA21,N$263)+COUNTIF('8月'!DE21:DF21,N$263)+COUNTIF('8月'!DJ21:DK21,N$263)+COUNTIF('8月'!DO21:DP21,N$263)+COUNTIF('8月'!DT21:DU21,N$263)+COUNTIF('8月'!DY21:DZ21,N$263)+COUNTIF('8月'!ED21:EE21,N$263)+COUNTIF('8月'!EI21:EJ21,N$263)+COUNTIF('8月'!EN21:EO21,N$263)+COUNTIF('8月'!ES21:ET21,N$263)+COUNTIF('8月'!D21:E21,"三軒茶屋－夜勤")+COUNTIF('8月'!I21:J21,"三軒茶屋－夜勤")+COUNTIF('8月'!N21:O21,"三軒茶屋－夜勤")+COUNTIF('8月'!S21:T21,"三軒茶屋－夜勤")+COUNTIF('8月'!X21:Y21,"三軒茶屋－夜勤")+COUNTIF('8月'!AC21:AD21,"三軒茶屋－夜勤")+COUNTIF('8月'!AH21:AI21,"三軒茶屋－夜勤")+COUNTIF('8月'!AM21:AN21,"三軒茶屋－夜勤")+COUNTIF('8月'!AR21:AS21,"三軒茶屋－夜勤")+COUNTIF('8月'!AW21:AX21,"三軒茶屋－夜勤")+COUNTIF('8月'!BB21:BC21,"三軒茶屋－夜勤")+COUNTIF('8月'!BG21:BH21,"三軒茶屋－夜勤")+COUNTIF('8月'!BL21:BM21,"三軒茶屋－夜勤")+COUNTIF('8月'!BQ21:BR21,"三軒茶屋－夜勤")+COUNTIF('8月'!BV21:BW21,"三軒茶屋－夜勤")+COUNTIF('8月'!CA21:CB21,"三軒茶屋－夜勤")+COUNTIF('8月'!CF21:CG21,"三軒茶屋－夜勤")+COUNTIF('8月'!CK21:CL21,"三軒茶屋－夜勤")+COUNTIF('8月'!CP21:CQ21,"三軒茶屋－夜勤")+COUNTIF('8月'!CU21:CV21,"三軒茶屋－夜勤")+COUNTIF('8月'!CZ21:DA21,"三軒茶屋－夜勤")+COUNTIF('8月'!DE21:DF21,"三軒茶屋－夜勤")+COUNTIF('8月'!DJ21:DK21,"三軒茶屋－夜勤")+COUNTIF('8月'!DO21:DP21,"三軒茶屋－夜勤")+COUNTIF('8月'!DT21:DU21,"三軒茶屋－夜勤")+COUNTIF('8月'!DY21:DZ21,"三軒茶屋－夜勤")+COUNTIF('8月'!ED21:EE21,"三軒茶屋－夜勤")+COUNTIF('8月'!EI21:EJ21,"三軒茶屋－夜勤")+COUNTIF('8月'!EN21:EO21,"三軒茶屋－夜勤")+COUNTIF('8月'!ES21:ET21,"三軒茶屋－夜勤")</f>
        <v>0</v>
      </c>
      <c r="O282" s="76">
        <f t="shared" si="90"/>
        <v>0</v>
      </c>
      <c r="P282" s="76">
        <f>COUNTIF('8月'!D21:E21,P$263)+COUNTIF('8月'!I21:J21,P$263)+COUNTIF('8月'!N21:O21,P$263)+COUNTIF('8月'!S21:T21,P$263)+COUNTIF('8月'!X21:Y21,P$263)+COUNTIF('8月'!AC21:AD21,P$263)+COUNTIF('8月'!AH21:AI21,P$263)+COUNTIF('8月'!AM21:AN21,P$263)+COUNTIF('8月'!AR21:AS21,P$263)+COUNTIF('8月'!AW21:AX21,P$263)+COUNTIF('8月'!BB21:BC21,P$263)+COUNTIF('8月'!BG21:BH21,P$263)+COUNTIF('8月'!BL21:BM21,P$263)+COUNTIF('8月'!BQ21:BR21,P$263)+COUNTIF('8月'!BV21:BW21,P$263)+COUNTIF('8月'!CA21:CB21,P$263)+COUNTIF('8月'!CF21:CG21,P$263)+COUNTIF('8月'!CK21:CL21,P$263)+COUNTIF('8月'!CP21:CQ21,P$263)+COUNTIF('8月'!CU21:CV21,P$263)+COUNTIF('8月'!CZ21:DA21,P$263)+COUNTIF('8月'!DE21:DF21,P$263)+COUNTIF('8月'!DJ21:DK21,P$263)+COUNTIF('8月'!DO21:DP21,P$263)+COUNTIF('8月'!DT21:DU21,P$263)+COUNTIF('8月'!DY21:DZ21,P$263)+COUNTIF('8月'!ED21:EE21,P$263)+COUNTIF('8月'!EI21:EJ21,P$263)+COUNTIF('8月'!EN21:EO21,P$263)+COUNTIF('8月'!ES21:ET21,P$263)+COUNTIF('8月'!D21:E21,"荻窪ー夜勤")+COUNTIF('8月'!I21:J21,"荻窪ー夜勤")+COUNTIF('8月'!N21:O21,"荻窪ー夜勤")+COUNTIF('8月'!S21:T21,"荻窪ー夜勤")+COUNTIF('8月'!X21:Y21,"荻窪ー夜勤")+COUNTIF('8月'!AC21:AD21,"荻窪ー夜勤")+COUNTIF('8月'!AH21:AI21,"荻窪ー夜勤")+COUNTIF('8月'!AM21:AN21,"荻窪ー夜勤")+COUNTIF('8月'!AR21:AS21,"荻窪ー夜勤")+COUNTIF('8月'!AW21:AX21,"荻窪ー夜勤")+COUNTIF('8月'!BB21:BC21,"荻窪ー夜勤")+COUNTIF('8月'!BG21:BH21,"荻窪ー夜勤")+COUNTIF('8月'!BL21:BM21,"荻窪ー夜勤")+COUNTIF('8月'!BQ21:BR21,"荻窪ー夜勤")+COUNTIF('8月'!BV21:BW21,"荻窪ー夜勤")+COUNTIF('8月'!CA21:CB21,"荻窪ー夜勤")+COUNTIF('8月'!CF21:CG21,"荻窪ー夜勤")+COUNTIF('8月'!CK21:CL21,"荻窪ー夜勤")+COUNTIF('8月'!CP21:CQ21,"荻窪ー夜勤")+COUNTIF('8月'!CU21:CV21,"荻窪ー夜勤")+COUNTIF('8月'!CZ21:DA21,"荻窪ー夜勤")+COUNTIF('8月'!DE21:DF21,"荻窪ー夜勤")+COUNTIF('8月'!DJ21:DK21,"荻窪ー夜勤")+COUNTIF('8月'!DO21:DP21,"荻窪ー夜勤")+COUNTIF('8月'!DT21:DU21,"荻窪ー夜勤")+COUNTIF('8月'!DY21:DZ21,"荻窪ー夜勤")+COUNTIF('8月'!ED21:EE21,"荻窪ー夜勤")+COUNTIF('8月'!EI21:EJ21,"荻窪ー夜勤")+COUNTIF('8月'!EN21:EO21,"荻窪ー夜勤")+COUNTIF('8月'!ES21:ET21,"荻窪ー夜勤")</f>
        <v>0</v>
      </c>
      <c r="Q282" s="76">
        <f t="shared" si="91"/>
        <v>0</v>
      </c>
      <c r="R282" s="76">
        <f>COUNTIF('8月'!D21:E21,R$263)+COUNTIF('8月'!I21:J21,R$263)+COUNTIF('8月'!N21:O21,R$263)+COUNTIF('8月'!S21:T21,R$263)+COUNTIF('8月'!X21:Y21,R$263)+COUNTIF('8月'!AC21:AD21,R$263)+COUNTIF('8月'!AH21:AI21,R$263)+COUNTIF('8月'!AM21:AN21,R$263)+COUNTIF('8月'!AR21:AS21,R$263)+COUNTIF('8月'!AW21:AX21,R$263)+COUNTIF('8月'!BB21:BC21,R$263)+COUNTIF('8月'!BG21:BH21,R$263)+COUNTIF('8月'!BL21:BM21,R$263)+COUNTIF('8月'!BQ21:BR21,R$263)+COUNTIF('8月'!BV21:BW21,R$263)+COUNTIF('8月'!CA21:CB21,R$263)+COUNTIF('8月'!CF21:CG21,R$263)+COUNTIF('8月'!CK21:CL21,R$263)+COUNTIF('8月'!CP21:CQ21,R$263)+COUNTIF('8月'!CU21:CV21,R$263)+COUNTIF('8月'!CZ21:DA21,R$263)+COUNTIF('8月'!DE21:DF21,R$263)+COUNTIF('8月'!DJ21:DK21,R$263)+COUNTIF('8月'!DO21:DP21,R$263)+COUNTIF('8月'!DT21:DU21,R$263)+COUNTIF('8月'!DY21:DZ21,R$263)+COUNTIF('8月'!ED21:EE21,R$263)+COUNTIF('8月'!EI21:EJ21,R$263)+COUNTIF('8月'!EN21:EO21,R$263)+COUNTIF('8月'!ES21:ET21,R$263)</f>
        <v>0</v>
      </c>
      <c r="S282" s="76">
        <f t="shared" si="92"/>
        <v>0</v>
      </c>
      <c r="T282" s="76">
        <f>COUNTIF('8月'!D21:E21,T$263)+COUNTIF('8月'!I21:J21,T$263)+COUNTIF('8月'!N21:O21,T$263)+COUNTIF('8月'!S21:T21,T$263)+COUNTIF('8月'!X21:Y21,T$263)+COUNTIF('8月'!AC21:AD21,T$263)+COUNTIF('8月'!AH21:AI21,T$263)+COUNTIF('8月'!AM21:AN21,T$263)+COUNTIF('8月'!AR21:AS21,T$263)+COUNTIF('8月'!AW21:AX21,T$263)+COUNTIF('8月'!BB21:BC21,T$263)+COUNTIF('8月'!BG21:BH21,T$263)+COUNTIF('8月'!BL21:BM21,T$263)+COUNTIF('8月'!BQ21:BR21,T$263)+COUNTIF('8月'!BV21:BW21,T$263)+COUNTIF('8月'!CA21:CB21,T$263)+COUNTIF('8月'!CF21:CG21,T$263)+COUNTIF('8月'!CK21:CL21,T$263)+COUNTIF('8月'!CP21:CQ21,T$263)+COUNTIF('8月'!CU21:CV21,T$263)+COUNTIF('8月'!CZ21:DA21,T$263)+COUNTIF('8月'!DE21:DF21,T$263)+COUNTIF('8月'!DJ21:DK21,T$263)+COUNTIF('8月'!DO21:DP21,T$263)+COUNTIF('8月'!DT21:DU21,T$263)+COUNTIF('8月'!DY21:DZ21,T$263)+COUNTIF('8月'!ED21:EE21,T$263)+COUNTIF('8月'!EI21:EJ21,T$263)+COUNTIF('8月'!EN21:EO21,T$263)+COUNTIF('8月'!ES21:ET21,T$263)</f>
        <v>0</v>
      </c>
      <c r="U282" s="76">
        <f t="shared" si="93"/>
        <v>0</v>
      </c>
      <c r="V282" s="76">
        <f>COUNTIF('8月'!D21:E21,V$263)+COUNTIF('8月'!I21:J21,V$263)+COUNTIF('8月'!N21:O21,V$263)+COUNTIF('8月'!S21:T21,V$263)+COUNTIF('8月'!X21:Y21,V$263)+COUNTIF('8月'!AC21:AD21,V$263)+COUNTIF('8月'!AH21:AI21,V$263)+COUNTIF('8月'!AM21:AN21,V$263)+COUNTIF('8月'!AR21:AS21,V$263)+COUNTIF('8月'!AW21:AX21,V$263)+COUNTIF('8月'!BB21:BC21,V$263)+COUNTIF('8月'!BG21:BH21,V$263)+COUNTIF('8月'!BL21:BM21,V$263)+COUNTIF('8月'!BQ21:BR21,V$263)+COUNTIF('8月'!BV21:BW21,V$263)+COUNTIF('8月'!CA21:CB21,V$263)+COUNTIF('8月'!CF21:CG21,V$263)+COUNTIF('8月'!CK21:CL21,V$263)+COUNTIF('8月'!CP21:CQ21,V$263)+COUNTIF('8月'!CU21:CV21,V$263)+COUNTIF('8月'!CZ21:DA21,V$263)+COUNTIF('8月'!DE21:DF21,V$263)+COUNTIF('8月'!DJ21:DK21,V$263)+COUNTIF('8月'!DO21:DP21,V$263)+COUNTIF('8月'!DT21:DU21,V$263)+COUNTIF('8月'!DY21:DZ21,V$263)+COUNTIF('8月'!ED21:EE21,V$263)+COUNTIF('8月'!EI21:EJ21,V$263)+COUNTIF('8月'!EN21:EO21,V$263)+COUNTIF('8月'!ES21:ET21,V$263)</f>
        <v>0</v>
      </c>
      <c r="W282" s="76">
        <f t="shared" si="94"/>
        <v>0</v>
      </c>
      <c r="X282" s="76">
        <f>COUNTIF('8月'!D21:E21,X$263)+COUNTIF('8月'!I21:J21,X$263)+COUNTIF('8月'!N21:O21,X$263)+COUNTIF('8月'!S21:T21,X$263)+COUNTIF('8月'!X21:Y21,X$263)+COUNTIF('8月'!AC21:AD21,X$263)+COUNTIF('8月'!AH21:AI21,X$263)+COUNTIF('8月'!AM21:AN21,X$263)+COUNTIF('8月'!AR21:AS21,X$263)+COUNTIF('8月'!AW21:AX21,X$263)+COUNTIF('8月'!BB21:BC21,X$263)+COUNTIF('8月'!BG21:BH21,X$263)+COUNTIF('8月'!BL21:BM21,X$263)+COUNTIF('8月'!BQ21:BR21,X$263)+COUNTIF('8月'!BV21:BW21,X$263)+COUNTIF('8月'!CA21:CB21,X$263)+COUNTIF('8月'!CF21:CG21,X$263)+COUNTIF('8月'!CK21:CL21,X$263)+COUNTIF('8月'!CP21:CQ21,X$263)+COUNTIF('8月'!CU21:CV21,X$263)+COUNTIF('8月'!CZ21:DA21,X$263)+COUNTIF('8月'!DE21:DF21,X$263)+COUNTIF('8月'!DJ21:DK21,X$263)+COUNTIF('8月'!DO21:DP21,X$263)+COUNTIF('8月'!DT21:DU21,X$263)+COUNTIF('8月'!DY21:DZ21,X$263)+COUNTIF('8月'!ED21:EE21,X$263)+COUNTIF('8月'!EI21:EJ21,X$263)+COUNTIF('8月'!EN21:EO21,X$263)+COUNTIF('8月'!ES21:ET21,X$263)</f>
        <v>0</v>
      </c>
      <c r="Y282" s="76">
        <f t="shared" si="95"/>
        <v>0</v>
      </c>
    </row>
    <row r="283" spans="1:25" ht="18" customHeight="1">
      <c r="A283" s="76">
        <v>19</v>
      </c>
      <c r="B283" s="76">
        <f>COUNTIF('8月'!D22:E22,B$263)+COUNTIF('8月'!I22:J22,B$263)+COUNTIF('8月'!N22:O22,B$263)+COUNTIF('8月'!S22:T22,B$263)+COUNTIF('8月'!X22:Y22,B$263)+COUNTIF('8月'!AC22:AD22,B$263)+COUNTIF('8月'!AH22:AI22,B$263)+COUNTIF('8月'!AM22:AN22,B$263)+COUNTIF('8月'!AR22:AS22,B$263)+COUNTIF('8月'!AW22:AX22,B$263)+COUNTIF('8月'!BB22:BC22,B$263)+COUNTIF('8月'!BG22:BH22,B$263)+COUNTIF('8月'!BL22:BM22,B$263)+COUNTIF('8月'!BQ22:BR22,B$263)+COUNTIF('8月'!BV22:BW22,B$263)+COUNTIF('8月'!CA22:CB22,B$263)+COUNTIF('8月'!CF22:CG22,B$263)+COUNTIF('8月'!CK22:CL22,B$263)+COUNTIF('8月'!CP22:CQ22,B$263)+COUNTIF('8月'!CU22:CV22,B$263)+COUNTIF('8月'!CZ22:DA22,B$263)+COUNTIF('8月'!DE22:DF22,B$263)+COUNTIF('8月'!DJ22:DK22,B$263)+COUNTIF('8月'!DO22:DP22,B$263)+COUNTIF('8月'!DT22:DU22,B$263)+COUNTIF('8月'!DY22:DZ22,B$263)+COUNTIF('8月'!ED22:EE22,B$263)+COUNTIF('8月'!EI22:EJ22,B$263)+COUNTIF('8月'!EN22:EO22,B$263)+COUNTIF('8月'!ES22:ET22,B$263)</f>
        <v>0</v>
      </c>
      <c r="C283" s="76">
        <f t="shared" si="84"/>
        <v>0</v>
      </c>
      <c r="D283" s="76">
        <f>COUNTIF('8月'!D22:E22,D$263)+COUNTIF('8月'!I22:J22,D$263)+COUNTIF('8月'!N22:O22,D$263)+COUNTIF('8月'!S22:T22,D$263)+COUNTIF('8月'!X22:Y22,D$263)+COUNTIF('8月'!AC22:AD22,D$263)+COUNTIF('8月'!AH22:AI22,D$263)+COUNTIF('8月'!AM22:AN22,D$263)+COUNTIF('8月'!AR22:AS22,D$263)+COUNTIF('8月'!AW22:AX22,D$263)+COUNTIF('8月'!BB22:BC22,D$263)+COUNTIF('8月'!BG22:BH22,D$263)+COUNTIF('8月'!BL22:BM22,D$263)+COUNTIF('8月'!BQ22:BR22,D$263)+COUNTIF('8月'!BV22:BW22,D$263)+COUNTIF('8月'!CA22:CB22,D$263)+COUNTIF('8月'!CF22:CG22,D$263)+COUNTIF('8月'!CK22:CL22,D$263)+COUNTIF('8月'!CP22:CQ22,D$263)+COUNTIF('8月'!CU22:CV22,D$263)+COUNTIF('8月'!CZ22:DA22,D$263)+COUNTIF('8月'!DE22:DF22,D$263)+COUNTIF('8月'!DJ22:DK22,D$263)+COUNTIF('8月'!DO22:DP22,D$263)+COUNTIF('8月'!DT22:DU22,D$263)+COUNTIF('8月'!DY22:DZ22,D$263)+COUNTIF('8月'!ED22:EE22,D$263)+COUNTIF('8月'!EI22:EJ22,D$263)+COUNTIF('8月'!EN22:EO22,D$263)+COUNTIF('8月'!ES22:ET22,D$263)</f>
        <v>0</v>
      </c>
      <c r="E283" s="76">
        <f t="shared" si="85"/>
        <v>0</v>
      </c>
      <c r="F283" s="76">
        <f>COUNTIF('8月'!D22:E22,F$263)+COUNTIF('8月'!I22:J22,F$263)+COUNTIF('8月'!N22:O22,F$263)+COUNTIF('8月'!S22:T22,F$263)+COUNTIF('8月'!X22:Y22,F$263)+COUNTIF('8月'!AC22:AD22,F$263)+COUNTIF('8月'!AH22:AI22,F$263)+COUNTIF('8月'!AM22:AN22,F$263)+COUNTIF('8月'!AR22:AS22,F$263)+COUNTIF('8月'!AW22:AX22,F$263)+COUNTIF('8月'!BB22:BC22,F$263)+COUNTIF('8月'!BG22:BH22,F$263)+COUNTIF('8月'!BL22:BM22,F$263)+COUNTIF('8月'!BQ22:BR22,F$263)+COUNTIF('8月'!BV22:BW22,F$263)+COUNTIF('8月'!CA22:CB22,F$263)+COUNTIF('8月'!CF22:CG22,F$263)+COUNTIF('8月'!CK22:CL22,F$263)+COUNTIF('8月'!CP22:CQ22,F$263)+COUNTIF('8月'!CU22:CV22,F$263)+COUNTIF('8月'!CZ22:DA22,F$263)+COUNTIF('8月'!DE22:DF22,F$263)+COUNTIF('8月'!DJ22:DK22,F$263)+COUNTIF('8月'!DO22:DP22,F$263)+COUNTIF('8月'!DT22:DU22,F$263)+COUNTIF('8月'!DY22:DZ22,F$263)+COUNTIF('8月'!ED22:EE22,F$263)+COUNTIF('8月'!EI22:EJ22,F$263)+COUNTIF('8月'!EN22:EO22,F$263)+COUNTIF('8月'!ES22:ET22,F$263)</f>
        <v>0</v>
      </c>
      <c r="G283" s="76">
        <f t="shared" si="86"/>
        <v>0</v>
      </c>
      <c r="H283" s="76">
        <f>COUNTIF('8月'!D22:E22,H$263)+COUNTIF('8月'!I22:J22,H$263)+COUNTIF('8月'!N22:O22,H$263)+COUNTIF('8月'!S22:T22,H$263)+COUNTIF('8月'!X22:Y22,H$263)+COUNTIF('8月'!AC22:AD22,H$263)+COUNTIF('8月'!AH22:AI22,H$263)+COUNTIF('8月'!AM22:AN22,H$263)+COUNTIF('8月'!AR22:AS22,H$263)+COUNTIF('8月'!AW22:AX22,H$263)+COUNTIF('8月'!BB22:BC22,H$263)+COUNTIF('8月'!BG22:BH22,H$263)+COUNTIF('8月'!BL22:BM22,H$263)+COUNTIF('8月'!BQ22:BR22,H$263)+COUNTIF('8月'!BV22:BW22,H$263)+COUNTIF('8月'!CA22:CB22,H$263)+COUNTIF('8月'!CF22:CG22,H$263)+COUNTIF('8月'!CK22:CL22,H$263)+COUNTIF('8月'!CP22:CQ22,H$263)+COUNTIF('8月'!CU22:CV22,H$263)+COUNTIF('8月'!CZ22:DA22,H$263)+COUNTIF('8月'!DE22:DF22,H$263)+COUNTIF('8月'!DJ22:DK22,H$263)+COUNTIF('8月'!DO22:DP22,H$263)+COUNTIF('8月'!DT22:DU22,H$263)+COUNTIF('8月'!DY22:DZ22,H$263)+COUNTIF('8月'!ED22:EE22,H$263)+COUNTIF('8月'!EI22:EJ22,H$263)+COUNTIF('8月'!EN22:EO22,H$263)+COUNTIF('8月'!ES22:ET22,H$263)+COUNTIF('8月'!D22:E22,"渋谷-夜勤")+COUNTIF('8月'!I22:J22,"渋谷-夜勤")+COUNTIF('8月'!N22:O22,"渋谷-夜勤")+COUNTIF('8月'!S22:T22,"渋谷-夜勤")+COUNTIF('8月'!X22:Y22,"渋谷-夜勤")+COUNTIF('8月'!AC22:AD22,"渋谷-夜勤")+COUNTIF('8月'!AH22:AI22,"渋谷-夜勤")+COUNTIF('8月'!AM22:AN22,"渋谷-夜勤")+COUNTIF('8月'!AR22:AS22,"渋谷-夜勤")+COUNTIF('8月'!AW22:AX22,"渋谷-夜勤")+COUNTIF('8月'!BB22:BC22,"渋谷-夜勤")+COUNTIF('8月'!BG22:BH22,"渋谷-夜勤")+COUNTIF('8月'!BL22:BM22,"渋谷-夜勤")+COUNTIF('8月'!BQ22:BR22,"渋谷-夜勤")+COUNTIF('8月'!BV22:BW22,"渋谷-夜勤")+COUNTIF('8月'!CA22:CB22,"渋谷-夜勤")+COUNTIF('8月'!CF22:CG22,"渋谷-夜勤")+COUNTIF('8月'!CK22:CL22,"渋谷-夜勤")+COUNTIF('8月'!CP22:CQ22,"渋谷-夜勤")+COUNTIF('8月'!CU22:CV22,"渋谷-夜勤")+COUNTIF('8月'!CZ22:DA22,"渋谷-夜勤")+COUNTIF('8月'!DE22:DF22,"渋谷-夜勤")+COUNTIF('8月'!DJ22:DK22,"渋谷-夜勤")+COUNTIF('8月'!DO22:DP22,"渋谷-夜勤")+COUNTIF('8月'!DT22:DU22,"渋谷-夜勤")+COUNTIF('8月'!DY22:DZ22,"渋谷-夜勤")+COUNTIF('8月'!ED22:EE22,"渋谷-夜勤")+COUNTIF('8月'!EI22:EJ22,"渋谷-夜勤")+COUNTIF('8月'!EN22:EO22,"渋谷-夜勤")+COUNTIF('8月'!ES22:ET22,"渋谷-夜勤")</f>
        <v>0</v>
      </c>
      <c r="I283" s="76">
        <f t="shared" si="87"/>
        <v>0</v>
      </c>
      <c r="J283" s="76">
        <f>COUNTIF('8月'!D22:E22,J$263)+COUNTIF('8月'!I22:J22,J$263)+COUNTIF('8月'!N22:O22,J$263)+COUNTIF('8月'!S22:T22,J$263)+COUNTIF('8月'!X22:Y22,J$263)+COUNTIF('8月'!AC22:AD22,J$263)+COUNTIF('8月'!AH22:AI22,J$263)+COUNTIF('8月'!AM22:AN22,J$263)+COUNTIF('8月'!AR22:AS22,J$263)+COUNTIF('8月'!AW22:AX22,J$263)+COUNTIF('8月'!BB22:BC22,J$263)+COUNTIF('8月'!BG22:BH22,J$263)+COUNTIF('8月'!BL22:BM22,J$263)+COUNTIF('8月'!BQ22:BR22,J$263)+COUNTIF('8月'!BV22:BW22,J$263)+COUNTIF('8月'!CA22:CB22,J$263)+COUNTIF('8月'!CF22:CG22,J$263)+COUNTIF('8月'!CK22:CL22,J$263)+COUNTIF('8月'!CP22:CQ22,J$263)+COUNTIF('8月'!CU22:CV22,J$263)+COUNTIF('8月'!CZ22:DA22,J$263)+COUNTIF('8月'!DE22:DF22,J$263)+COUNTIF('8月'!DJ22:DK22,J$263)+COUNTIF('8月'!DO22:DP22,J$263)+COUNTIF('8月'!DT22:DU22,J$263)+COUNTIF('8月'!DY22:DZ22,J$263)+COUNTIF('8月'!ED22:EE22,J$263)+COUNTIF('8月'!EI22:EJ22,J$263)+COUNTIF('8月'!EN22:EO22,J$263)+COUNTIF('8月'!ES22:ET22,J$263)+COUNTIF('8月'!D22:E22,"六本木-夜勤")+COUNTIF('8月'!I22:J22,"六本木-夜勤")+COUNTIF('8月'!N22:O22,"六本木-夜勤")+COUNTIF('8月'!S22:T22,"六本木-夜勤")+COUNTIF('8月'!X22:Y22,"六本木-夜勤")+COUNTIF('8月'!AC22:AD22,"六本木-夜勤")+COUNTIF('8月'!AH22:AI22,"六本木-夜勤")+COUNTIF('8月'!AM22:AN22,"六本木-夜勤")+COUNTIF('8月'!AR22:AS22,"六本木-夜勤")+COUNTIF('8月'!AW22:AX22,"六本木-夜勤")+COUNTIF('8月'!BB22:BC22,"六本木-夜勤")+COUNTIF('8月'!BG22:BH22,"六本木-夜勤")+COUNTIF('8月'!BL22:BM22,"六本木-夜勤")+COUNTIF('8月'!BQ22:BR22,"六本木-夜勤")+COUNTIF('8月'!BV22:BW22,"六本木-夜勤")+COUNTIF('8月'!CA22:CB22,"六本木-夜勤")+COUNTIF('8月'!CF22:CG22,"六本木-夜勤")+COUNTIF('8月'!CK22:CL22,"六本木-夜勤")+COUNTIF('8月'!CP22:CQ22,"六本木-夜勤")+COUNTIF('8月'!CU22:CV22,"六本木-夜勤")+COUNTIF('8月'!CZ22:DA22,"六本木-夜勤")+COUNTIF('8月'!DE22:DF22,"六本木-夜勤")+COUNTIF('8月'!DJ22:DK22,"六本木-夜勤")+COUNTIF('8月'!DO22:DP22,"六本木-夜勤")+COUNTIF('8月'!DT22:DU22,"六本木-夜勤")+COUNTIF('8月'!DY22:DZ22,"六本木-夜勤")+COUNTIF('8月'!ED22:EE22,"六本木-夜勤")+COUNTIF('8月'!EI22:EJ22,"六本木-夜勤")+COUNTIF('8月'!EN22:EO22,"六本木-夜勤")+COUNTIF('8月'!ES22:ET22,"六本木-夜勤")+COUNTIF('8月'!D22:E22,"六本木ー夜勤")+COUNTIF('8月'!I22:J22,"六本木ー夜勤")+COUNTIF('8月'!N22:O22,"六本木ー夜勤")+COUNTIF('8月'!S22:T22,"六本木ー夜勤")+COUNTIF('8月'!X22:Y22,"六本木ー夜勤")+COUNTIF('8月'!AC22:AD22,"六本木ー夜勤")+COUNTIF('8月'!AH22:AI22,"六本木ー夜勤")+COUNTIF('8月'!AM22:AN22,"六本木ー夜勤")+COUNTIF('8月'!AR22:AS22,"六本木ー夜勤")+COUNTIF('8月'!AW22:AX22,"六本木ー夜勤")+COUNTIF('8月'!BB22:BC22,"六本木ー夜勤")+COUNTIF('8月'!BG22:BH22,"六本木ー夜勤")+COUNTIF('8月'!BL22:BM22,"六本木ー夜勤")+COUNTIF('8月'!BQ22:BR22,"六本木ー夜勤")+COUNTIF('8月'!BV22:BW22,"六本木ー夜勤")+COUNTIF('8月'!CA22:CB22,"六本木ー夜勤")+COUNTIF('8月'!CF22:CG22,"六本木ー夜勤")+COUNTIF('8月'!CK22:CL22,"六本木ー夜勤")+COUNTIF('8月'!CP22:CQ22,"六本木ー夜勤")+COUNTIF('8月'!CU22:CV22,"六本木ー夜勤")+COUNTIF('8月'!CZ22:DA22,"六本木ー夜勤")+COUNTIF('8月'!DE22:DF22,"六本木ー夜勤")+COUNTIF('8月'!DJ22:DK22,"六本木ー夜勤")+COUNTIF('8月'!DO22:DP22,"六本木ー夜勤")+COUNTIF('8月'!DT22:DU22,"六本木ー夜勤")+COUNTIF('8月'!DY22:DZ22,"六本木ー夜勤")+COUNTIF('8月'!ED22:EE22,"六本木ー夜勤")+COUNTIF('8月'!EI22:EJ22,"六本木ー夜勤")+COUNTIF('8月'!EN22:EO22,"六本木ー夜勤")+COUNTIF('8月'!ES22:ET22,"六本木ー夜勤")</f>
        <v>0</v>
      </c>
      <c r="K283" s="76">
        <f t="shared" si="88"/>
        <v>0</v>
      </c>
      <c r="L283" s="76">
        <f>COUNTIF('8月'!D22:E22,L$263)+COUNTIF('8月'!I22:J22,L$263)+COUNTIF('8月'!N22:O22,L$263)+COUNTIF('8月'!S22:T22,L$263)+COUNTIF('8月'!X22:Y22,L$263)+COUNTIF('8月'!AC22:AD22,L$263)+COUNTIF('8月'!AH22:AI22,L$263)+COUNTIF('8月'!AM22:AN22,L$263)+COUNTIF('8月'!AR22:AS22,L$263)+COUNTIF('8月'!AW22:AX22,L$263)+COUNTIF('8月'!BB22:BC22,L$263)+COUNTIF('8月'!BG22:BH22,L$263)+COUNTIF('8月'!BL22:BM22,L$263)+COUNTIF('8月'!BQ22:BR22,L$263)+COUNTIF('8月'!BV22:BW22,L$263)+COUNTIF('8月'!CA22:CB22,L$263)+COUNTIF('8月'!CF22:CG22,L$263)+COUNTIF('8月'!CK22:CL22,L$263)+COUNTIF('8月'!CP22:CQ22,L$263)+COUNTIF('8月'!CU22:CV22,L$263)+COUNTIF('8月'!CZ22:DA22,L$263)+COUNTIF('8月'!DE22:DF22,L$263)+COUNTIF('8月'!DJ22:DK22,L$263)+COUNTIF('8月'!DO22:DP22,L$263)+COUNTIF('8月'!DT22:DU22,L$263)+COUNTIF('8月'!DY22:DZ22,L$263)+COUNTIF('8月'!ED22:EE22,L$263)+COUNTIF('8月'!EI22:EJ22,L$263)+COUNTIF('8月'!EN22:EO22,L$263)+COUNTIF('8月'!ES22:ET22,L$263)</f>
        <v>0</v>
      </c>
      <c r="M283" s="76">
        <f t="shared" si="89"/>
        <v>0</v>
      </c>
      <c r="N283" s="76">
        <f>COUNTIF('8月'!D22:E22,N$263)+COUNTIF('8月'!I22:J22,N$263)+COUNTIF('8月'!N22:O22,N$263)+COUNTIF('8月'!S22:T22,N$263)+COUNTIF('8月'!X22:Y22,N$263)+COUNTIF('8月'!AC22:AD22,N$263)+COUNTIF('8月'!AH22:AI22,N$263)+COUNTIF('8月'!AM22:AN22,N$263)+COUNTIF('8月'!AR22:AS22,N$263)+COUNTIF('8月'!AW22:AX22,N$263)+COUNTIF('8月'!BB22:BC22,N$263)+COUNTIF('8月'!BG22:BH22,N$263)+COUNTIF('8月'!BL22:BM22,N$263)+COUNTIF('8月'!BQ22:BR22,N$263)+COUNTIF('8月'!BV22:BW22,N$263)+COUNTIF('8月'!CA22:CB22,N$263)+COUNTIF('8月'!CF22:CG22,N$263)+COUNTIF('8月'!CK22:CL22,N$263)+COUNTIF('8月'!CP22:CQ22,N$263)+COUNTIF('8月'!CU22:CV22,N$263)+COUNTIF('8月'!CZ22:DA22,N$263)+COUNTIF('8月'!DE22:DF22,N$263)+COUNTIF('8月'!DJ22:DK22,N$263)+COUNTIF('8月'!DO22:DP22,N$263)+COUNTIF('8月'!DT22:DU22,N$263)+COUNTIF('8月'!DY22:DZ22,N$263)+COUNTIF('8月'!ED22:EE22,N$263)+COUNTIF('8月'!EI22:EJ22,N$263)+COUNTIF('8月'!EN22:EO22,N$263)+COUNTIF('8月'!ES22:ET22,N$263)+COUNTIF('8月'!D22:E22,"三軒茶屋－夜勤")+COUNTIF('8月'!I22:J22,"三軒茶屋－夜勤")+COUNTIF('8月'!N22:O22,"三軒茶屋－夜勤")+COUNTIF('8月'!S22:T22,"三軒茶屋－夜勤")+COUNTIF('8月'!X22:Y22,"三軒茶屋－夜勤")+COUNTIF('8月'!AC22:AD22,"三軒茶屋－夜勤")+COUNTIF('8月'!AH22:AI22,"三軒茶屋－夜勤")+COUNTIF('8月'!AM22:AN22,"三軒茶屋－夜勤")+COUNTIF('8月'!AR22:AS22,"三軒茶屋－夜勤")+COUNTIF('8月'!AW22:AX22,"三軒茶屋－夜勤")+COUNTIF('8月'!BB22:BC22,"三軒茶屋－夜勤")+COUNTIF('8月'!BG22:BH22,"三軒茶屋－夜勤")+COUNTIF('8月'!BL22:BM22,"三軒茶屋－夜勤")+COUNTIF('8月'!BQ22:BR22,"三軒茶屋－夜勤")+COUNTIF('8月'!BV22:BW22,"三軒茶屋－夜勤")+COUNTIF('8月'!CA22:CB22,"三軒茶屋－夜勤")+COUNTIF('8月'!CF22:CG22,"三軒茶屋－夜勤")+COUNTIF('8月'!CK22:CL22,"三軒茶屋－夜勤")+COUNTIF('8月'!CP22:CQ22,"三軒茶屋－夜勤")+COUNTIF('8月'!CU22:CV22,"三軒茶屋－夜勤")+COUNTIF('8月'!CZ22:DA22,"三軒茶屋－夜勤")+COUNTIF('8月'!DE22:DF22,"三軒茶屋－夜勤")+COUNTIF('8月'!DJ22:DK22,"三軒茶屋－夜勤")+COUNTIF('8月'!DO22:DP22,"三軒茶屋－夜勤")+COUNTIF('8月'!DT22:DU22,"三軒茶屋－夜勤")+COUNTIF('8月'!DY22:DZ22,"三軒茶屋－夜勤")+COUNTIF('8月'!ED22:EE22,"三軒茶屋－夜勤")+COUNTIF('8月'!EI22:EJ22,"三軒茶屋－夜勤")+COUNTIF('8月'!EN22:EO22,"三軒茶屋－夜勤")+COUNTIF('8月'!ES22:ET22,"三軒茶屋－夜勤")</f>
        <v>0</v>
      </c>
      <c r="O283" s="76">
        <f t="shared" si="90"/>
        <v>0</v>
      </c>
      <c r="P283" s="76">
        <f>COUNTIF('8月'!D22:E22,P$263)+COUNTIF('8月'!I22:J22,P$263)+COUNTIF('8月'!N22:O22,P$263)+COUNTIF('8月'!S22:T22,P$263)+COUNTIF('8月'!X22:Y22,P$263)+COUNTIF('8月'!AC22:AD22,P$263)+COUNTIF('8月'!AH22:AI22,P$263)+COUNTIF('8月'!AM22:AN22,P$263)+COUNTIF('8月'!AR22:AS22,P$263)+COUNTIF('8月'!AW22:AX22,P$263)+COUNTIF('8月'!BB22:BC22,P$263)+COUNTIF('8月'!BG22:BH22,P$263)+COUNTIF('8月'!BL22:BM22,P$263)+COUNTIF('8月'!BQ22:BR22,P$263)+COUNTIF('8月'!BV22:BW22,P$263)+COUNTIF('8月'!CA22:CB22,P$263)+COUNTIF('8月'!CF22:CG22,P$263)+COUNTIF('8月'!CK22:CL22,P$263)+COUNTIF('8月'!CP22:CQ22,P$263)+COUNTIF('8月'!CU22:CV22,P$263)+COUNTIF('8月'!CZ22:DA22,P$263)+COUNTIF('8月'!DE22:DF22,P$263)+COUNTIF('8月'!DJ22:DK22,P$263)+COUNTIF('8月'!DO22:DP22,P$263)+COUNTIF('8月'!DT22:DU22,P$263)+COUNTIF('8月'!DY22:DZ22,P$263)+COUNTIF('8月'!ED22:EE22,P$263)+COUNTIF('8月'!EI22:EJ22,P$263)+COUNTIF('8月'!EN22:EO22,P$263)+COUNTIF('8月'!ES22:ET22,P$263)+COUNTIF('8月'!D22:E22,"荻窪ー夜勤")+COUNTIF('8月'!I22:J22,"荻窪ー夜勤")+COUNTIF('8月'!N22:O22,"荻窪ー夜勤")+COUNTIF('8月'!S22:T22,"荻窪ー夜勤")+COUNTIF('8月'!X22:Y22,"荻窪ー夜勤")+COUNTIF('8月'!AC22:AD22,"荻窪ー夜勤")+COUNTIF('8月'!AH22:AI22,"荻窪ー夜勤")+COUNTIF('8月'!AM22:AN22,"荻窪ー夜勤")+COUNTIF('8月'!AR22:AS22,"荻窪ー夜勤")+COUNTIF('8月'!AW22:AX22,"荻窪ー夜勤")+COUNTIF('8月'!BB22:BC22,"荻窪ー夜勤")+COUNTIF('8月'!BG22:BH22,"荻窪ー夜勤")+COUNTIF('8月'!BL22:BM22,"荻窪ー夜勤")+COUNTIF('8月'!BQ22:BR22,"荻窪ー夜勤")+COUNTIF('8月'!BV22:BW22,"荻窪ー夜勤")+COUNTIF('8月'!CA22:CB22,"荻窪ー夜勤")+COUNTIF('8月'!CF22:CG22,"荻窪ー夜勤")+COUNTIF('8月'!CK22:CL22,"荻窪ー夜勤")+COUNTIF('8月'!CP22:CQ22,"荻窪ー夜勤")+COUNTIF('8月'!CU22:CV22,"荻窪ー夜勤")+COUNTIF('8月'!CZ22:DA22,"荻窪ー夜勤")+COUNTIF('8月'!DE22:DF22,"荻窪ー夜勤")+COUNTIF('8月'!DJ22:DK22,"荻窪ー夜勤")+COUNTIF('8月'!DO22:DP22,"荻窪ー夜勤")+COUNTIF('8月'!DT22:DU22,"荻窪ー夜勤")+COUNTIF('8月'!DY22:DZ22,"荻窪ー夜勤")+COUNTIF('8月'!ED22:EE22,"荻窪ー夜勤")+COUNTIF('8月'!EI22:EJ22,"荻窪ー夜勤")+COUNTIF('8月'!EN22:EO22,"荻窪ー夜勤")+COUNTIF('8月'!ES22:ET22,"荻窪ー夜勤")</f>
        <v>0</v>
      </c>
      <c r="Q283" s="76">
        <f t="shared" si="91"/>
        <v>0</v>
      </c>
      <c r="R283" s="76">
        <f>COUNTIF('8月'!D22:E22,R$263)+COUNTIF('8月'!I22:J22,R$263)+COUNTIF('8月'!N22:O22,R$263)+COUNTIF('8月'!S22:T22,R$263)+COUNTIF('8月'!X22:Y22,R$263)+COUNTIF('8月'!AC22:AD22,R$263)+COUNTIF('8月'!AH22:AI22,R$263)+COUNTIF('8月'!AM22:AN22,R$263)+COUNTIF('8月'!AR22:AS22,R$263)+COUNTIF('8月'!AW22:AX22,R$263)+COUNTIF('8月'!BB22:BC22,R$263)+COUNTIF('8月'!BG22:BH22,R$263)+COUNTIF('8月'!BL22:BM22,R$263)+COUNTIF('8月'!BQ22:BR22,R$263)+COUNTIF('8月'!BV22:BW22,R$263)+COUNTIF('8月'!CA22:CB22,R$263)+COUNTIF('8月'!CF22:CG22,R$263)+COUNTIF('8月'!CK22:CL22,R$263)+COUNTIF('8月'!CP22:CQ22,R$263)+COUNTIF('8月'!CU22:CV22,R$263)+COUNTIF('8月'!CZ22:DA22,R$263)+COUNTIF('8月'!DE22:DF22,R$263)+COUNTIF('8月'!DJ22:DK22,R$263)+COUNTIF('8月'!DO22:DP22,R$263)+COUNTIF('8月'!DT22:DU22,R$263)+COUNTIF('8月'!DY22:DZ22,R$263)+COUNTIF('8月'!ED22:EE22,R$263)+COUNTIF('8月'!EI22:EJ22,R$263)+COUNTIF('8月'!EN22:EO22,R$263)+COUNTIF('8月'!ES22:ET22,R$263)</f>
        <v>0</v>
      </c>
      <c r="S283" s="76">
        <f t="shared" si="92"/>
        <v>0</v>
      </c>
      <c r="T283" s="76">
        <f>COUNTIF('8月'!D22:E22,T$263)+COUNTIF('8月'!I22:J22,T$263)+COUNTIF('8月'!N22:O22,T$263)+COUNTIF('8月'!S22:T22,T$263)+COUNTIF('8月'!X22:Y22,T$263)+COUNTIF('8月'!AC22:AD22,T$263)+COUNTIF('8月'!AH22:AI22,T$263)+COUNTIF('8月'!AM22:AN22,T$263)+COUNTIF('8月'!AR22:AS22,T$263)+COUNTIF('8月'!AW22:AX22,T$263)+COUNTIF('8月'!BB22:BC22,T$263)+COUNTIF('8月'!BG22:BH22,T$263)+COUNTIF('8月'!BL22:BM22,T$263)+COUNTIF('8月'!BQ22:BR22,T$263)+COUNTIF('8月'!BV22:BW22,T$263)+COUNTIF('8月'!CA22:CB22,T$263)+COUNTIF('8月'!CF22:CG22,T$263)+COUNTIF('8月'!CK22:CL22,T$263)+COUNTIF('8月'!CP22:CQ22,T$263)+COUNTIF('8月'!CU22:CV22,T$263)+COUNTIF('8月'!CZ22:DA22,T$263)+COUNTIF('8月'!DE22:DF22,T$263)+COUNTIF('8月'!DJ22:DK22,T$263)+COUNTIF('8月'!DO22:DP22,T$263)+COUNTIF('8月'!DT22:DU22,T$263)+COUNTIF('8月'!DY22:DZ22,T$263)+COUNTIF('8月'!ED22:EE22,T$263)+COUNTIF('8月'!EI22:EJ22,T$263)+COUNTIF('8月'!EN22:EO22,T$263)+COUNTIF('8月'!ES22:ET22,T$263)</f>
        <v>0</v>
      </c>
      <c r="U283" s="76">
        <f t="shared" si="93"/>
        <v>0</v>
      </c>
      <c r="V283" s="76">
        <f>COUNTIF('8月'!D22:E22,V$263)+COUNTIF('8月'!I22:J22,V$263)+COUNTIF('8月'!N22:O22,V$263)+COUNTIF('8月'!S22:T22,V$263)+COUNTIF('8月'!X22:Y22,V$263)+COUNTIF('8月'!AC22:AD22,V$263)+COUNTIF('8月'!AH22:AI22,V$263)+COUNTIF('8月'!AM22:AN22,V$263)+COUNTIF('8月'!AR22:AS22,V$263)+COUNTIF('8月'!AW22:AX22,V$263)+COUNTIF('8月'!BB22:BC22,V$263)+COUNTIF('8月'!BG22:BH22,V$263)+COUNTIF('8月'!BL22:BM22,V$263)+COUNTIF('8月'!BQ22:BR22,V$263)+COUNTIF('8月'!BV22:BW22,V$263)+COUNTIF('8月'!CA22:CB22,V$263)+COUNTIF('8月'!CF22:CG22,V$263)+COUNTIF('8月'!CK22:CL22,V$263)+COUNTIF('8月'!CP22:CQ22,V$263)+COUNTIF('8月'!CU22:CV22,V$263)+COUNTIF('8月'!CZ22:DA22,V$263)+COUNTIF('8月'!DE22:DF22,V$263)+COUNTIF('8月'!DJ22:DK22,V$263)+COUNTIF('8月'!DO22:DP22,V$263)+COUNTIF('8月'!DT22:DU22,V$263)+COUNTIF('8月'!DY22:DZ22,V$263)+COUNTIF('8月'!ED22:EE22,V$263)+COUNTIF('8月'!EI22:EJ22,V$263)+COUNTIF('8月'!EN22:EO22,V$263)+COUNTIF('8月'!ES22:ET22,V$263)</f>
        <v>0</v>
      </c>
      <c r="W283" s="76">
        <f t="shared" si="94"/>
        <v>0</v>
      </c>
      <c r="X283" s="76">
        <f>COUNTIF('8月'!D22:E22,X$263)+COUNTIF('8月'!I22:J22,X$263)+COUNTIF('8月'!N22:O22,X$263)+COUNTIF('8月'!S22:T22,X$263)+COUNTIF('8月'!X22:Y22,X$263)+COUNTIF('8月'!AC22:AD22,X$263)+COUNTIF('8月'!AH22:AI22,X$263)+COUNTIF('8月'!AM22:AN22,X$263)+COUNTIF('8月'!AR22:AS22,X$263)+COUNTIF('8月'!AW22:AX22,X$263)+COUNTIF('8月'!BB22:BC22,X$263)+COUNTIF('8月'!BG22:BH22,X$263)+COUNTIF('8月'!BL22:BM22,X$263)+COUNTIF('8月'!BQ22:BR22,X$263)+COUNTIF('8月'!BV22:BW22,X$263)+COUNTIF('8月'!CA22:CB22,X$263)+COUNTIF('8月'!CF22:CG22,X$263)+COUNTIF('8月'!CK22:CL22,X$263)+COUNTIF('8月'!CP22:CQ22,X$263)+COUNTIF('8月'!CU22:CV22,X$263)+COUNTIF('8月'!CZ22:DA22,X$263)+COUNTIF('8月'!DE22:DF22,X$263)+COUNTIF('8月'!DJ22:DK22,X$263)+COUNTIF('8月'!DO22:DP22,X$263)+COUNTIF('8月'!DT22:DU22,X$263)+COUNTIF('8月'!DY22:DZ22,X$263)+COUNTIF('8月'!ED22:EE22,X$263)+COUNTIF('8月'!EI22:EJ22,X$263)+COUNTIF('8月'!EN22:EO22,X$263)+COUNTIF('8月'!ES22:ET22,X$263)</f>
        <v>0</v>
      </c>
      <c r="Y283" s="76">
        <f t="shared" si="95"/>
        <v>0</v>
      </c>
    </row>
    <row r="284" spans="1:25" ht="18" customHeight="1">
      <c r="A284" s="76">
        <v>20</v>
      </c>
      <c r="B284" s="76">
        <f>COUNTIF('8月'!D23:E23,B$263)+COUNTIF('8月'!I23:J23,B$263)+COUNTIF('8月'!N23:O23,B$263)+COUNTIF('8月'!S23:T23,B$263)+COUNTIF('8月'!X23:Y23,B$263)+COUNTIF('8月'!AC23:AD23,B$263)+COUNTIF('8月'!AH23:AI23,B$263)+COUNTIF('8月'!AM23:AN23,B$263)+COUNTIF('8月'!AR23:AS23,B$263)+COUNTIF('8月'!AW23:AX23,B$263)+COUNTIF('8月'!BB23:BC23,B$263)+COUNTIF('8月'!BG23:BH23,B$263)+COUNTIF('8月'!BL23:BM23,B$263)+COUNTIF('8月'!BQ23:BR23,B$263)+COUNTIF('8月'!BV23:BW23,B$263)+COUNTIF('8月'!CA23:CB23,B$263)+COUNTIF('8月'!CF23:CG23,B$263)+COUNTIF('8月'!CK23:CL23,B$263)+COUNTIF('8月'!CP23:CQ23,B$263)+COUNTIF('8月'!CU23:CV23,B$263)+COUNTIF('8月'!CZ23:DA23,B$263)+COUNTIF('8月'!DE23:DF23,B$263)+COUNTIF('8月'!DJ23:DK23,B$263)+COUNTIF('8月'!DO23:DP23,B$263)+COUNTIF('8月'!DT23:DU23,B$263)+COUNTIF('8月'!DY23:DZ23,B$263)+COUNTIF('8月'!ED23:EE23,B$263)+COUNTIF('8月'!EI23:EJ23,B$263)+COUNTIF('8月'!EN23:EO23,B$263)+COUNTIF('8月'!ES23:ET23,B$263)</f>
        <v>0</v>
      </c>
      <c r="C284" s="76">
        <f t="shared" si="84"/>
        <v>0</v>
      </c>
      <c r="D284" s="76">
        <f>COUNTIF('8月'!D23:E23,D$263)+COUNTIF('8月'!I23:J23,D$263)+COUNTIF('8月'!N23:O23,D$263)+COUNTIF('8月'!S23:T23,D$263)+COUNTIF('8月'!X23:Y23,D$263)+COUNTIF('8月'!AC23:AD23,D$263)+COUNTIF('8月'!AH23:AI23,D$263)+COUNTIF('8月'!AM23:AN23,D$263)+COUNTIF('8月'!AR23:AS23,D$263)+COUNTIF('8月'!AW23:AX23,D$263)+COUNTIF('8月'!BB23:BC23,D$263)+COUNTIF('8月'!BG23:BH23,D$263)+COUNTIF('8月'!BL23:BM23,D$263)+COUNTIF('8月'!BQ23:BR23,D$263)+COUNTIF('8月'!BV23:BW23,D$263)+COUNTIF('8月'!CA23:CB23,D$263)+COUNTIF('8月'!CF23:CG23,D$263)+COUNTIF('8月'!CK23:CL23,D$263)+COUNTIF('8月'!CP23:CQ23,D$263)+COUNTIF('8月'!CU23:CV23,D$263)+COUNTIF('8月'!CZ23:DA23,D$263)+COUNTIF('8月'!DE23:DF23,D$263)+COUNTIF('8月'!DJ23:DK23,D$263)+COUNTIF('8月'!DO23:DP23,D$263)+COUNTIF('8月'!DT23:DU23,D$263)+COUNTIF('8月'!DY23:DZ23,D$263)+COUNTIF('8月'!ED23:EE23,D$263)+COUNTIF('8月'!EI23:EJ23,D$263)+COUNTIF('8月'!EN23:EO23,D$263)+COUNTIF('8月'!ES23:ET23,D$263)</f>
        <v>0</v>
      </c>
      <c r="E284" s="76">
        <f t="shared" si="85"/>
        <v>0</v>
      </c>
      <c r="F284" s="76">
        <f>COUNTIF('8月'!D23:E23,F$263)+COUNTIF('8月'!I23:J23,F$263)+COUNTIF('8月'!N23:O23,F$263)+COUNTIF('8月'!S23:T23,F$263)+COUNTIF('8月'!X23:Y23,F$263)+COUNTIF('8月'!AC23:AD23,F$263)+COUNTIF('8月'!AH23:AI23,F$263)+COUNTIF('8月'!AM23:AN23,F$263)+COUNTIF('8月'!AR23:AS23,F$263)+COUNTIF('8月'!AW23:AX23,F$263)+COUNTIF('8月'!BB23:BC23,F$263)+COUNTIF('8月'!BG23:BH23,F$263)+COUNTIF('8月'!BL23:BM23,F$263)+COUNTIF('8月'!BQ23:BR23,F$263)+COUNTIF('8月'!BV23:BW23,F$263)+COUNTIF('8月'!CA23:CB23,F$263)+COUNTIF('8月'!CF23:CG23,F$263)+COUNTIF('8月'!CK23:CL23,F$263)+COUNTIF('8月'!CP23:CQ23,F$263)+COUNTIF('8月'!CU23:CV23,F$263)+COUNTIF('8月'!CZ23:DA23,F$263)+COUNTIF('8月'!DE23:DF23,F$263)+COUNTIF('8月'!DJ23:DK23,F$263)+COUNTIF('8月'!DO23:DP23,F$263)+COUNTIF('8月'!DT23:DU23,F$263)+COUNTIF('8月'!DY23:DZ23,F$263)+COUNTIF('8月'!ED23:EE23,F$263)+COUNTIF('8月'!EI23:EJ23,F$263)+COUNTIF('8月'!EN23:EO23,F$263)+COUNTIF('8月'!ES23:ET23,F$263)</f>
        <v>0</v>
      </c>
      <c r="G284" s="76">
        <f t="shared" si="86"/>
        <v>0</v>
      </c>
      <c r="H284" s="76">
        <f>COUNTIF('8月'!D23:E23,H$263)+COUNTIF('8月'!I23:J23,H$263)+COUNTIF('8月'!N23:O23,H$263)+COUNTIF('8月'!S23:T23,H$263)+COUNTIF('8月'!X23:Y23,H$263)+COUNTIF('8月'!AC23:AD23,H$263)+COUNTIF('8月'!AH23:AI23,H$263)+COUNTIF('8月'!AM23:AN23,H$263)+COUNTIF('8月'!AR23:AS23,H$263)+COUNTIF('8月'!AW23:AX23,H$263)+COUNTIF('8月'!BB23:BC23,H$263)+COUNTIF('8月'!BG23:BH23,H$263)+COUNTIF('8月'!BL23:BM23,H$263)+COUNTIF('8月'!BQ23:BR23,H$263)+COUNTIF('8月'!BV23:BW23,H$263)+COUNTIF('8月'!CA23:CB23,H$263)+COUNTIF('8月'!CF23:CG23,H$263)+COUNTIF('8月'!CK23:CL23,H$263)+COUNTIF('8月'!CP23:CQ23,H$263)+COUNTIF('8月'!CU23:CV23,H$263)+COUNTIF('8月'!CZ23:DA23,H$263)+COUNTIF('8月'!DE23:DF23,H$263)+COUNTIF('8月'!DJ23:DK23,H$263)+COUNTIF('8月'!DO23:DP23,H$263)+COUNTIF('8月'!DT23:DU23,H$263)+COUNTIF('8月'!DY23:DZ23,H$263)+COUNTIF('8月'!ED23:EE23,H$263)+COUNTIF('8月'!EI23:EJ23,H$263)+COUNTIF('8月'!EN23:EO23,H$263)+COUNTIF('8月'!ES23:ET23,H$263)+COUNTIF('8月'!D23:E23,"渋谷-夜勤")+COUNTIF('8月'!I23:J23,"渋谷-夜勤")+COUNTIF('8月'!N23:O23,"渋谷-夜勤")+COUNTIF('8月'!S23:T23,"渋谷-夜勤")+COUNTIF('8月'!X23:Y23,"渋谷-夜勤")+COUNTIF('8月'!AC23:AD23,"渋谷-夜勤")+COUNTIF('8月'!AH23:AI23,"渋谷-夜勤")+COUNTIF('8月'!AM23:AN23,"渋谷-夜勤")+COUNTIF('8月'!AR23:AS23,"渋谷-夜勤")+COUNTIF('8月'!AW23:AX23,"渋谷-夜勤")+COUNTIF('8月'!BB23:BC23,"渋谷-夜勤")+COUNTIF('8月'!BG23:BH23,"渋谷-夜勤")+COUNTIF('8月'!BL23:BM23,"渋谷-夜勤")+COUNTIF('8月'!BQ23:BR23,"渋谷-夜勤")+COUNTIF('8月'!BV23:BW23,"渋谷-夜勤")+COUNTIF('8月'!CA23:CB23,"渋谷-夜勤")+COUNTIF('8月'!CF23:CG23,"渋谷-夜勤")+COUNTIF('8月'!CK23:CL23,"渋谷-夜勤")+COUNTIF('8月'!CP23:CQ23,"渋谷-夜勤")+COUNTIF('8月'!CU23:CV23,"渋谷-夜勤")+COUNTIF('8月'!CZ23:DA23,"渋谷-夜勤")+COUNTIF('8月'!DE23:DF23,"渋谷-夜勤")+COUNTIF('8月'!DJ23:DK23,"渋谷-夜勤")+COUNTIF('8月'!DO23:DP23,"渋谷-夜勤")+COUNTIF('8月'!DT23:DU23,"渋谷-夜勤")+COUNTIF('8月'!DY23:DZ23,"渋谷-夜勤")+COUNTIF('8月'!ED23:EE23,"渋谷-夜勤")+COUNTIF('8月'!EI23:EJ23,"渋谷-夜勤")+COUNTIF('8月'!EN23:EO23,"渋谷-夜勤")+COUNTIF('8月'!ES23:ET23,"渋谷-夜勤")</f>
        <v>0</v>
      </c>
      <c r="I284" s="76">
        <f t="shared" si="87"/>
        <v>0</v>
      </c>
      <c r="J284" s="76">
        <f>COUNTIF('8月'!D23:E23,J$263)+COUNTIF('8月'!I23:J23,J$263)+COUNTIF('8月'!N23:O23,J$263)+COUNTIF('8月'!S23:T23,J$263)+COUNTIF('8月'!X23:Y23,J$263)+COUNTIF('8月'!AC23:AD23,J$263)+COUNTIF('8月'!AH23:AI23,J$263)+COUNTIF('8月'!AM23:AN23,J$263)+COUNTIF('8月'!AR23:AS23,J$263)+COUNTIF('8月'!AW23:AX23,J$263)+COUNTIF('8月'!BB23:BC23,J$263)+COUNTIF('8月'!BG23:BH23,J$263)+COUNTIF('8月'!BL23:BM23,J$263)+COUNTIF('8月'!BQ23:BR23,J$263)+COUNTIF('8月'!BV23:BW23,J$263)+COUNTIF('8月'!CA23:CB23,J$263)+COUNTIF('8月'!CF23:CG23,J$263)+COUNTIF('8月'!CK23:CL23,J$263)+COUNTIF('8月'!CP23:CQ23,J$263)+COUNTIF('8月'!CU23:CV23,J$263)+COUNTIF('8月'!CZ23:DA23,J$263)+COUNTIF('8月'!DE23:DF23,J$263)+COUNTIF('8月'!DJ23:DK23,J$263)+COUNTIF('8月'!DO23:DP23,J$263)+COUNTIF('8月'!DT23:DU23,J$263)+COUNTIF('8月'!DY23:DZ23,J$263)+COUNTIF('8月'!ED23:EE23,J$263)+COUNTIF('8月'!EI23:EJ23,J$263)+COUNTIF('8月'!EN23:EO23,J$263)+COUNTIF('8月'!ES23:ET23,J$263)+COUNTIF('8月'!D23:E23,"六本木-夜勤")+COUNTIF('8月'!I23:J23,"六本木-夜勤")+COUNTIF('8月'!N23:O23,"六本木-夜勤")+COUNTIF('8月'!S23:T23,"六本木-夜勤")+COUNTIF('8月'!X23:Y23,"六本木-夜勤")+COUNTIF('8月'!AC23:AD23,"六本木-夜勤")+COUNTIF('8月'!AH23:AI23,"六本木-夜勤")+COUNTIF('8月'!AM23:AN23,"六本木-夜勤")+COUNTIF('8月'!AR23:AS23,"六本木-夜勤")+COUNTIF('8月'!AW23:AX23,"六本木-夜勤")+COUNTIF('8月'!BB23:BC23,"六本木-夜勤")+COUNTIF('8月'!BG23:BH23,"六本木-夜勤")+COUNTIF('8月'!BL23:BM23,"六本木-夜勤")+COUNTIF('8月'!BQ23:BR23,"六本木-夜勤")+COUNTIF('8月'!BV23:BW23,"六本木-夜勤")+COUNTIF('8月'!CA23:CB23,"六本木-夜勤")+COUNTIF('8月'!CF23:CG23,"六本木-夜勤")+COUNTIF('8月'!CK23:CL23,"六本木-夜勤")+COUNTIF('8月'!CP23:CQ23,"六本木-夜勤")+COUNTIF('8月'!CU23:CV23,"六本木-夜勤")+COUNTIF('8月'!CZ23:DA23,"六本木-夜勤")+COUNTIF('8月'!DE23:DF23,"六本木-夜勤")+COUNTIF('8月'!DJ23:DK23,"六本木-夜勤")+COUNTIF('8月'!DO23:DP23,"六本木-夜勤")+COUNTIF('8月'!DT23:DU23,"六本木-夜勤")+COUNTIF('8月'!DY23:DZ23,"六本木-夜勤")+COUNTIF('8月'!ED23:EE23,"六本木-夜勤")+COUNTIF('8月'!EI23:EJ23,"六本木-夜勤")+COUNTIF('8月'!EN23:EO23,"六本木-夜勤")+COUNTIF('8月'!ES23:ET23,"六本木-夜勤")+COUNTIF('8月'!D23:E23,"六本木ー夜勤")+COUNTIF('8月'!I23:J23,"六本木ー夜勤")+COUNTIF('8月'!N23:O23,"六本木ー夜勤")+COUNTIF('8月'!S23:T23,"六本木ー夜勤")+COUNTIF('8月'!X23:Y23,"六本木ー夜勤")+COUNTIF('8月'!AC23:AD23,"六本木ー夜勤")+COUNTIF('8月'!AH23:AI23,"六本木ー夜勤")+COUNTIF('8月'!AM23:AN23,"六本木ー夜勤")+COUNTIF('8月'!AR23:AS23,"六本木ー夜勤")+COUNTIF('8月'!AW23:AX23,"六本木ー夜勤")+COUNTIF('8月'!BB23:BC23,"六本木ー夜勤")+COUNTIF('8月'!BG23:BH23,"六本木ー夜勤")+COUNTIF('8月'!BL23:BM23,"六本木ー夜勤")+COUNTIF('8月'!BQ23:BR23,"六本木ー夜勤")+COUNTIF('8月'!BV23:BW23,"六本木ー夜勤")+COUNTIF('8月'!CA23:CB23,"六本木ー夜勤")+COUNTIF('8月'!CF23:CG23,"六本木ー夜勤")+COUNTIF('8月'!CK23:CL23,"六本木ー夜勤")+COUNTIF('8月'!CP23:CQ23,"六本木ー夜勤")+COUNTIF('8月'!CU23:CV23,"六本木ー夜勤")+COUNTIF('8月'!CZ23:DA23,"六本木ー夜勤")+COUNTIF('8月'!DE23:DF23,"六本木ー夜勤")+COUNTIF('8月'!DJ23:DK23,"六本木ー夜勤")+COUNTIF('8月'!DO23:DP23,"六本木ー夜勤")+COUNTIF('8月'!DT23:DU23,"六本木ー夜勤")+COUNTIF('8月'!DY23:DZ23,"六本木ー夜勤")+COUNTIF('8月'!ED23:EE23,"六本木ー夜勤")+COUNTIF('8月'!EI23:EJ23,"六本木ー夜勤")+COUNTIF('8月'!EN23:EO23,"六本木ー夜勤")+COUNTIF('8月'!ES23:ET23,"六本木ー夜勤")</f>
        <v>0</v>
      </c>
      <c r="K284" s="76">
        <f t="shared" si="88"/>
        <v>0</v>
      </c>
      <c r="L284" s="76">
        <f>COUNTIF('8月'!D23:E23,L$263)+COUNTIF('8月'!I23:J23,L$263)+COUNTIF('8月'!N23:O23,L$263)+COUNTIF('8月'!S23:T23,L$263)+COUNTIF('8月'!X23:Y23,L$263)+COUNTIF('8月'!AC23:AD23,L$263)+COUNTIF('8月'!AH23:AI23,L$263)+COUNTIF('8月'!AM23:AN23,L$263)+COUNTIF('8月'!AR23:AS23,L$263)+COUNTIF('8月'!AW23:AX23,L$263)+COUNTIF('8月'!BB23:BC23,L$263)+COUNTIF('8月'!BG23:BH23,L$263)+COUNTIF('8月'!BL23:BM23,L$263)+COUNTIF('8月'!BQ23:BR23,L$263)+COUNTIF('8月'!BV23:BW23,L$263)+COUNTIF('8月'!CA23:CB23,L$263)+COUNTIF('8月'!CF23:CG23,L$263)+COUNTIF('8月'!CK23:CL23,L$263)+COUNTIF('8月'!CP23:CQ23,L$263)+COUNTIF('8月'!CU23:CV23,L$263)+COUNTIF('8月'!CZ23:DA23,L$263)+COUNTIF('8月'!DE23:DF23,L$263)+COUNTIF('8月'!DJ23:DK23,L$263)+COUNTIF('8月'!DO23:DP23,L$263)+COUNTIF('8月'!DT23:DU23,L$263)+COUNTIF('8月'!DY23:DZ23,L$263)+COUNTIF('8月'!ED23:EE23,L$263)+COUNTIF('8月'!EI23:EJ23,L$263)+COUNTIF('8月'!EN23:EO23,L$263)+COUNTIF('8月'!ES23:ET23,L$263)</f>
        <v>0</v>
      </c>
      <c r="M284" s="76">
        <f t="shared" si="89"/>
        <v>0</v>
      </c>
      <c r="N284" s="76">
        <f>COUNTIF('8月'!D23:E23,N$263)+COUNTIF('8月'!I23:J23,N$263)+COUNTIF('8月'!N23:O23,N$263)+COUNTIF('8月'!S23:T23,N$263)+COUNTIF('8月'!X23:Y23,N$263)+COUNTIF('8月'!AC23:AD23,N$263)+COUNTIF('8月'!AH23:AI23,N$263)+COUNTIF('8月'!AM23:AN23,N$263)+COUNTIF('8月'!AR23:AS23,N$263)+COUNTIF('8月'!AW23:AX23,N$263)+COUNTIF('8月'!BB23:BC23,N$263)+COUNTIF('8月'!BG23:BH23,N$263)+COUNTIF('8月'!BL23:BM23,N$263)+COUNTIF('8月'!BQ23:BR23,N$263)+COUNTIF('8月'!BV23:BW23,N$263)+COUNTIF('8月'!CA23:CB23,N$263)+COUNTIF('8月'!CF23:CG23,N$263)+COUNTIF('8月'!CK23:CL23,N$263)+COUNTIF('8月'!CP23:CQ23,N$263)+COUNTIF('8月'!CU23:CV23,N$263)+COUNTIF('8月'!CZ23:DA23,N$263)+COUNTIF('8月'!DE23:DF23,N$263)+COUNTIF('8月'!DJ23:DK23,N$263)+COUNTIF('8月'!DO23:DP23,N$263)+COUNTIF('8月'!DT23:DU23,N$263)+COUNTIF('8月'!DY23:DZ23,N$263)+COUNTIF('8月'!ED23:EE23,N$263)+COUNTIF('8月'!EI23:EJ23,N$263)+COUNTIF('8月'!EN23:EO23,N$263)+COUNTIF('8月'!ES23:ET23,N$263)+COUNTIF('8月'!D23:E23,"三軒茶屋－夜勤")+COUNTIF('8月'!I23:J23,"三軒茶屋－夜勤")+COUNTIF('8月'!N23:O23,"三軒茶屋－夜勤")+COUNTIF('8月'!S23:T23,"三軒茶屋－夜勤")+COUNTIF('8月'!X23:Y23,"三軒茶屋－夜勤")+COUNTIF('8月'!AC23:AD23,"三軒茶屋－夜勤")+COUNTIF('8月'!AH23:AI23,"三軒茶屋－夜勤")+COUNTIF('8月'!AM23:AN23,"三軒茶屋－夜勤")+COUNTIF('8月'!AR23:AS23,"三軒茶屋－夜勤")+COUNTIF('8月'!AW23:AX23,"三軒茶屋－夜勤")+COUNTIF('8月'!BB23:BC23,"三軒茶屋－夜勤")+COUNTIF('8月'!BG23:BH23,"三軒茶屋－夜勤")+COUNTIF('8月'!BL23:BM23,"三軒茶屋－夜勤")+COUNTIF('8月'!BQ23:BR23,"三軒茶屋－夜勤")+COUNTIF('8月'!BV23:BW23,"三軒茶屋－夜勤")+COUNTIF('8月'!CA23:CB23,"三軒茶屋－夜勤")+COUNTIF('8月'!CF23:CG23,"三軒茶屋－夜勤")+COUNTIF('8月'!CK23:CL23,"三軒茶屋－夜勤")+COUNTIF('8月'!CP23:CQ23,"三軒茶屋－夜勤")+COUNTIF('8月'!CU23:CV23,"三軒茶屋－夜勤")+COUNTIF('8月'!CZ23:DA23,"三軒茶屋－夜勤")+COUNTIF('8月'!DE23:DF23,"三軒茶屋－夜勤")+COUNTIF('8月'!DJ23:DK23,"三軒茶屋－夜勤")+COUNTIF('8月'!DO23:DP23,"三軒茶屋－夜勤")+COUNTIF('8月'!DT23:DU23,"三軒茶屋－夜勤")+COUNTIF('8月'!DY23:DZ23,"三軒茶屋－夜勤")+COUNTIF('8月'!ED23:EE23,"三軒茶屋－夜勤")+COUNTIF('8月'!EI23:EJ23,"三軒茶屋－夜勤")+COUNTIF('8月'!EN23:EO23,"三軒茶屋－夜勤")+COUNTIF('8月'!ES23:ET23,"三軒茶屋－夜勤")</f>
        <v>0</v>
      </c>
      <c r="O284" s="76">
        <f t="shared" si="90"/>
        <v>0</v>
      </c>
      <c r="P284" s="76">
        <f>COUNTIF('8月'!D23:E23,P$263)+COUNTIF('8月'!I23:J23,P$263)+COUNTIF('8月'!N23:O23,P$263)+COUNTIF('8月'!S23:T23,P$263)+COUNTIF('8月'!X23:Y23,P$263)+COUNTIF('8月'!AC23:AD23,P$263)+COUNTIF('8月'!AH23:AI23,P$263)+COUNTIF('8月'!AM23:AN23,P$263)+COUNTIF('8月'!AR23:AS23,P$263)+COUNTIF('8月'!AW23:AX23,P$263)+COUNTIF('8月'!BB23:BC23,P$263)+COUNTIF('8月'!BG23:BH23,P$263)+COUNTIF('8月'!BL23:BM23,P$263)+COUNTIF('8月'!BQ23:BR23,P$263)+COUNTIF('8月'!BV23:BW23,P$263)+COUNTIF('8月'!CA23:CB23,P$263)+COUNTIF('8月'!CF23:CG23,P$263)+COUNTIF('8月'!CK23:CL23,P$263)+COUNTIF('8月'!CP23:CQ23,P$263)+COUNTIF('8月'!CU23:CV23,P$263)+COUNTIF('8月'!CZ23:DA23,P$263)+COUNTIF('8月'!DE23:DF23,P$263)+COUNTIF('8月'!DJ23:DK23,P$263)+COUNTIF('8月'!DO23:DP23,P$263)+COUNTIF('8月'!DT23:DU23,P$263)+COUNTIF('8月'!DY23:DZ23,P$263)+COUNTIF('8月'!ED23:EE23,P$263)+COUNTIF('8月'!EI23:EJ23,P$263)+COUNTIF('8月'!EN23:EO23,P$263)+COUNTIF('8月'!ES23:ET23,P$263)+COUNTIF('8月'!D23:E23,"荻窪ー夜勤")+COUNTIF('8月'!I23:J23,"荻窪ー夜勤")+COUNTIF('8月'!N23:O23,"荻窪ー夜勤")+COUNTIF('8月'!S23:T23,"荻窪ー夜勤")+COUNTIF('8月'!X23:Y23,"荻窪ー夜勤")+COUNTIF('8月'!AC23:AD23,"荻窪ー夜勤")+COUNTIF('8月'!AH23:AI23,"荻窪ー夜勤")+COUNTIF('8月'!AM23:AN23,"荻窪ー夜勤")+COUNTIF('8月'!AR23:AS23,"荻窪ー夜勤")+COUNTIF('8月'!AW23:AX23,"荻窪ー夜勤")+COUNTIF('8月'!BB23:BC23,"荻窪ー夜勤")+COUNTIF('8月'!BG23:BH23,"荻窪ー夜勤")+COUNTIF('8月'!BL23:BM23,"荻窪ー夜勤")+COUNTIF('8月'!BQ23:BR23,"荻窪ー夜勤")+COUNTIF('8月'!BV23:BW23,"荻窪ー夜勤")+COUNTIF('8月'!CA23:CB23,"荻窪ー夜勤")+COUNTIF('8月'!CF23:CG23,"荻窪ー夜勤")+COUNTIF('8月'!CK23:CL23,"荻窪ー夜勤")+COUNTIF('8月'!CP23:CQ23,"荻窪ー夜勤")+COUNTIF('8月'!CU23:CV23,"荻窪ー夜勤")+COUNTIF('8月'!CZ23:DA23,"荻窪ー夜勤")+COUNTIF('8月'!DE23:DF23,"荻窪ー夜勤")+COUNTIF('8月'!DJ23:DK23,"荻窪ー夜勤")+COUNTIF('8月'!DO23:DP23,"荻窪ー夜勤")+COUNTIF('8月'!DT23:DU23,"荻窪ー夜勤")+COUNTIF('8月'!DY23:DZ23,"荻窪ー夜勤")+COUNTIF('8月'!ED23:EE23,"荻窪ー夜勤")+COUNTIF('8月'!EI23:EJ23,"荻窪ー夜勤")+COUNTIF('8月'!EN23:EO23,"荻窪ー夜勤")+COUNTIF('8月'!ES23:ET23,"荻窪ー夜勤")</f>
        <v>0</v>
      </c>
      <c r="Q284" s="76">
        <f t="shared" si="91"/>
        <v>0</v>
      </c>
      <c r="R284" s="76">
        <f>COUNTIF('8月'!D23:E23,R$263)+COUNTIF('8月'!I23:J23,R$263)+COUNTIF('8月'!N23:O23,R$263)+COUNTIF('8月'!S23:T23,R$263)+COUNTIF('8月'!X23:Y23,R$263)+COUNTIF('8月'!AC23:AD23,R$263)+COUNTIF('8月'!AH23:AI23,R$263)+COUNTIF('8月'!AM23:AN23,R$263)+COUNTIF('8月'!AR23:AS23,R$263)+COUNTIF('8月'!AW23:AX23,R$263)+COUNTIF('8月'!BB23:BC23,R$263)+COUNTIF('8月'!BG23:BH23,R$263)+COUNTIF('8月'!BL23:BM23,R$263)+COUNTIF('8月'!BQ23:BR23,R$263)+COUNTIF('8月'!BV23:BW23,R$263)+COUNTIF('8月'!CA23:CB23,R$263)+COUNTIF('8月'!CF23:CG23,R$263)+COUNTIF('8月'!CK23:CL23,R$263)+COUNTIF('8月'!CP23:CQ23,R$263)+COUNTIF('8月'!CU23:CV23,R$263)+COUNTIF('8月'!CZ23:DA23,R$263)+COUNTIF('8月'!DE23:DF23,R$263)+COUNTIF('8月'!DJ23:DK23,R$263)+COUNTIF('8月'!DO23:DP23,R$263)+COUNTIF('8月'!DT23:DU23,R$263)+COUNTIF('8月'!DY23:DZ23,R$263)+COUNTIF('8月'!ED23:EE23,R$263)+COUNTIF('8月'!EI23:EJ23,R$263)+COUNTIF('8月'!EN23:EO23,R$263)+COUNTIF('8月'!ES23:ET23,R$263)</f>
        <v>0</v>
      </c>
      <c r="S284" s="76">
        <f t="shared" si="92"/>
        <v>0</v>
      </c>
      <c r="T284" s="76">
        <f>COUNTIF('8月'!D23:E23,T$263)+COUNTIF('8月'!I23:J23,T$263)+COUNTIF('8月'!N23:O23,T$263)+COUNTIF('8月'!S23:T23,T$263)+COUNTIF('8月'!X23:Y23,T$263)+COUNTIF('8月'!AC23:AD23,T$263)+COUNTIF('8月'!AH23:AI23,T$263)+COUNTIF('8月'!AM23:AN23,T$263)+COUNTIF('8月'!AR23:AS23,T$263)+COUNTIF('8月'!AW23:AX23,T$263)+COUNTIF('8月'!BB23:BC23,T$263)+COUNTIF('8月'!BG23:BH23,T$263)+COUNTIF('8月'!BL23:BM23,T$263)+COUNTIF('8月'!BQ23:BR23,T$263)+COUNTIF('8月'!BV23:BW23,T$263)+COUNTIF('8月'!CA23:CB23,T$263)+COUNTIF('8月'!CF23:CG23,T$263)+COUNTIF('8月'!CK23:CL23,T$263)+COUNTIF('8月'!CP23:CQ23,T$263)+COUNTIF('8月'!CU23:CV23,T$263)+COUNTIF('8月'!CZ23:DA23,T$263)+COUNTIF('8月'!DE23:DF23,T$263)+COUNTIF('8月'!DJ23:DK23,T$263)+COUNTIF('8月'!DO23:DP23,T$263)+COUNTIF('8月'!DT23:DU23,T$263)+COUNTIF('8月'!DY23:DZ23,T$263)+COUNTIF('8月'!ED23:EE23,T$263)+COUNTIF('8月'!EI23:EJ23,T$263)+COUNTIF('8月'!EN23:EO23,T$263)+COUNTIF('8月'!ES23:ET23,T$263)</f>
        <v>0</v>
      </c>
      <c r="U284" s="76">
        <f t="shared" si="93"/>
        <v>0</v>
      </c>
      <c r="V284" s="76">
        <f>COUNTIF('8月'!D23:E23,V$263)+COUNTIF('8月'!I23:J23,V$263)+COUNTIF('8月'!N23:O23,V$263)+COUNTIF('8月'!S23:T23,V$263)+COUNTIF('8月'!X23:Y23,V$263)+COUNTIF('8月'!AC23:AD23,V$263)+COUNTIF('8月'!AH23:AI23,V$263)+COUNTIF('8月'!AM23:AN23,V$263)+COUNTIF('8月'!AR23:AS23,V$263)+COUNTIF('8月'!AW23:AX23,V$263)+COUNTIF('8月'!BB23:BC23,V$263)+COUNTIF('8月'!BG23:BH23,V$263)+COUNTIF('8月'!BL23:BM23,V$263)+COUNTIF('8月'!BQ23:BR23,V$263)+COUNTIF('8月'!BV23:BW23,V$263)+COUNTIF('8月'!CA23:CB23,V$263)+COUNTIF('8月'!CF23:CG23,V$263)+COUNTIF('8月'!CK23:CL23,V$263)+COUNTIF('8月'!CP23:CQ23,V$263)+COUNTIF('8月'!CU23:CV23,V$263)+COUNTIF('8月'!CZ23:DA23,V$263)+COUNTIF('8月'!DE23:DF23,V$263)+COUNTIF('8月'!DJ23:DK23,V$263)+COUNTIF('8月'!DO23:DP23,V$263)+COUNTIF('8月'!DT23:DU23,V$263)+COUNTIF('8月'!DY23:DZ23,V$263)+COUNTIF('8月'!ED23:EE23,V$263)+COUNTIF('8月'!EI23:EJ23,V$263)+COUNTIF('8月'!EN23:EO23,V$263)+COUNTIF('8月'!ES23:ET23,V$263)</f>
        <v>0</v>
      </c>
      <c r="W284" s="76">
        <f t="shared" si="94"/>
        <v>0</v>
      </c>
      <c r="X284" s="76">
        <f>COUNTIF('8月'!D23:E23,X$263)+COUNTIF('8月'!I23:J23,X$263)+COUNTIF('8月'!N23:O23,X$263)+COUNTIF('8月'!S23:T23,X$263)+COUNTIF('8月'!X23:Y23,X$263)+COUNTIF('8月'!AC23:AD23,X$263)+COUNTIF('8月'!AH23:AI23,X$263)+COUNTIF('8月'!AM23:AN23,X$263)+COUNTIF('8月'!AR23:AS23,X$263)+COUNTIF('8月'!AW23:AX23,X$263)+COUNTIF('8月'!BB23:BC23,X$263)+COUNTIF('8月'!BG23:BH23,X$263)+COUNTIF('8月'!BL23:BM23,X$263)+COUNTIF('8月'!BQ23:BR23,X$263)+COUNTIF('8月'!BV23:BW23,X$263)+COUNTIF('8月'!CA23:CB23,X$263)+COUNTIF('8月'!CF23:CG23,X$263)+COUNTIF('8月'!CK23:CL23,X$263)+COUNTIF('8月'!CP23:CQ23,X$263)+COUNTIF('8月'!CU23:CV23,X$263)+COUNTIF('8月'!CZ23:DA23,X$263)+COUNTIF('8月'!DE23:DF23,X$263)+COUNTIF('8月'!DJ23:DK23,X$263)+COUNTIF('8月'!DO23:DP23,X$263)+COUNTIF('8月'!DT23:DU23,X$263)+COUNTIF('8月'!DY23:DZ23,X$263)+COUNTIF('8月'!ED23:EE23,X$263)+COUNTIF('8月'!EI23:EJ23,X$263)+COUNTIF('8月'!EN23:EO23,X$263)+COUNTIF('8月'!ES23:ET23,X$263)</f>
        <v>0</v>
      </c>
      <c r="Y284" s="76">
        <f t="shared" si="95"/>
        <v>0</v>
      </c>
    </row>
    <row r="285" spans="1:25" ht="18" customHeight="1">
      <c r="A285" s="76">
        <v>21</v>
      </c>
      <c r="B285" s="76">
        <f>COUNTIF('8月'!D24:E24,B$263)+COUNTIF('8月'!I24:J24,B$263)+COUNTIF('8月'!N24:O24,B$263)+COUNTIF('8月'!S24:T24,B$263)+COUNTIF('8月'!X24:Y24,B$263)+COUNTIF('8月'!AC24:AD24,B$263)+COUNTIF('8月'!AH24:AI24,B$263)+COUNTIF('8月'!AM24:AN24,B$263)+COUNTIF('8月'!AR24:AS24,B$263)+COUNTIF('8月'!AW24:AX24,B$263)+COUNTIF('8月'!BB24:BC24,B$263)+COUNTIF('8月'!BG24:BH24,B$263)+COUNTIF('8月'!BL24:BM24,B$263)+COUNTIF('8月'!BQ24:BR24,B$263)+COUNTIF('8月'!BV24:BW24,B$263)+COUNTIF('8月'!CA24:CB24,B$263)+COUNTIF('8月'!CF24:CG24,B$263)+COUNTIF('8月'!CK24:CL24,B$263)+COUNTIF('8月'!CP24:CQ24,B$263)+COUNTIF('8月'!CU24:CV24,B$263)+COUNTIF('8月'!CZ24:DA24,B$263)+COUNTIF('8月'!DE24:DF24,B$263)+COUNTIF('8月'!DJ24:DK24,B$263)+COUNTIF('8月'!DO24:DP24,B$263)+COUNTIF('8月'!DT24:DU24,B$263)+COUNTIF('8月'!DY24:DZ24,B$263)+COUNTIF('8月'!ED24:EE24,B$263)+COUNTIF('8月'!EI24:EJ24,B$263)+COUNTIF('8月'!EN24:EO24,B$263)+COUNTIF('8月'!ES24:ET24,B$263)</f>
        <v>0</v>
      </c>
      <c r="C285" s="76">
        <f t="shared" si="84"/>
        <v>0</v>
      </c>
      <c r="D285" s="76">
        <f>COUNTIF('8月'!D24:E24,D$263)+COUNTIF('8月'!I24:J24,D$263)+COUNTIF('8月'!N24:O24,D$263)+COUNTIF('8月'!S24:T24,D$263)+COUNTIF('8月'!X24:Y24,D$263)+COUNTIF('8月'!AC24:AD24,D$263)+COUNTIF('8月'!AH24:AI24,D$263)+COUNTIF('8月'!AM24:AN24,D$263)+COUNTIF('8月'!AR24:AS24,D$263)+COUNTIF('8月'!AW24:AX24,D$263)+COUNTIF('8月'!BB24:BC24,D$263)+COUNTIF('8月'!BG24:BH24,D$263)+COUNTIF('8月'!BL24:BM24,D$263)+COUNTIF('8月'!BQ24:BR24,D$263)+COUNTIF('8月'!BV24:BW24,D$263)+COUNTIF('8月'!CA24:CB24,D$263)+COUNTIF('8月'!CF24:CG24,D$263)+COUNTIF('8月'!CK24:CL24,D$263)+COUNTIF('8月'!CP24:CQ24,D$263)+COUNTIF('8月'!CU24:CV24,D$263)+COUNTIF('8月'!CZ24:DA24,D$263)+COUNTIF('8月'!DE24:DF24,D$263)+COUNTIF('8月'!DJ24:DK24,D$263)+COUNTIF('8月'!DO24:DP24,D$263)+COUNTIF('8月'!DT24:DU24,D$263)+COUNTIF('8月'!DY24:DZ24,D$263)+COUNTIF('8月'!ED24:EE24,D$263)+COUNTIF('8月'!EI24:EJ24,D$263)+COUNTIF('8月'!EN24:EO24,D$263)+COUNTIF('8月'!ES24:ET24,D$263)</f>
        <v>0</v>
      </c>
      <c r="E285" s="76">
        <f t="shared" si="85"/>
        <v>0</v>
      </c>
      <c r="F285" s="76">
        <f>COUNTIF('8月'!D24:E24,F$263)+COUNTIF('8月'!I24:J24,F$263)+COUNTIF('8月'!N24:O24,F$263)+COUNTIF('8月'!S24:T24,F$263)+COUNTIF('8月'!X24:Y24,F$263)+COUNTIF('8月'!AC24:AD24,F$263)+COUNTIF('8月'!AH24:AI24,F$263)+COUNTIF('8月'!AM24:AN24,F$263)+COUNTIF('8月'!AR24:AS24,F$263)+COUNTIF('8月'!AW24:AX24,F$263)+COUNTIF('8月'!BB24:BC24,F$263)+COUNTIF('8月'!BG24:BH24,F$263)+COUNTIF('8月'!BL24:BM24,F$263)+COUNTIF('8月'!BQ24:BR24,F$263)+COUNTIF('8月'!BV24:BW24,F$263)+COUNTIF('8月'!CA24:CB24,F$263)+COUNTIF('8月'!CF24:CG24,F$263)+COUNTIF('8月'!CK24:CL24,F$263)+COUNTIF('8月'!CP24:CQ24,F$263)+COUNTIF('8月'!CU24:CV24,F$263)+COUNTIF('8月'!CZ24:DA24,F$263)+COUNTIF('8月'!DE24:DF24,F$263)+COUNTIF('8月'!DJ24:DK24,F$263)+COUNTIF('8月'!DO24:DP24,F$263)+COUNTIF('8月'!DT24:DU24,F$263)+COUNTIF('8月'!DY24:DZ24,F$263)+COUNTIF('8月'!ED24:EE24,F$263)+COUNTIF('8月'!EI24:EJ24,F$263)+COUNTIF('8月'!EN24:EO24,F$263)+COUNTIF('8月'!ES24:ET24,F$263)</f>
        <v>0</v>
      </c>
      <c r="G285" s="76">
        <f t="shared" si="86"/>
        <v>0</v>
      </c>
      <c r="H285" s="76">
        <f>COUNTIF('8月'!D24:E24,H$263)+COUNTIF('8月'!I24:J24,H$263)+COUNTIF('8月'!N24:O24,H$263)+COUNTIF('8月'!S24:T24,H$263)+COUNTIF('8月'!X24:Y24,H$263)+COUNTIF('8月'!AC24:AD24,H$263)+COUNTIF('8月'!AH24:AI24,H$263)+COUNTIF('8月'!AM24:AN24,H$263)+COUNTIF('8月'!AR24:AS24,H$263)+COUNTIF('8月'!AW24:AX24,H$263)+COUNTIF('8月'!BB24:BC24,H$263)+COUNTIF('8月'!BG24:BH24,H$263)+COUNTIF('8月'!BL24:BM24,H$263)+COUNTIF('8月'!BQ24:BR24,H$263)+COUNTIF('8月'!BV24:BW24,H$263)+COUNTIF('8月'!CA24:CB24,H$263)+COUNTIF('8月'!CF24:CG24,H$263)+COUNTIF('8月'!CK24:CL24,H$263)+COUNTIF('8月'!CP24:CQ24,H$263)+COUNTIF('8月'!CU24:CV24,H$263)+COUNTIF('8月'!CZ24:DA24,H$263)+COUNTIF('8月'!DE24:DF24,H$263)+COUNTIF('8月'!DJ24:DK24,H$263)+COUNTIF('8月'!DO24:DP24,H$263)+COUNTIF('8月'!DT24:DU24,H$263)+COUNTIF('8月'!DY24:DZ24,H$263)+COUNTIF('8月'!ED24:EE24,H$263)+COUNTIF('8月'!EI24:EJ24,H$263)+COUNTIF('8月'!EN24:EO24,H$263)+COUNTIF('8月'!ES24:ET24,H$263)+COUNTIF('8月'!D24:E24,"渋谷-夜勤")+COUNTIF('8月'!I24:J24,"渋谷-夜勤")+COUNTIF('8月'!N24:O24,"渋谷-夜勤")+COUNTIF('8月'!S24:T24,"渋谷-夜勤")+COUNTIF('8月'!X24:Y24,"渋谷-夜勤")+COUNTIF('8月'!AC24:AD24,"渋谷-夜勤")+COUNTIF('8月'!AH24:AI24,"渋谷-夜勤")+COUNTIF('8月'!AM24:AN24,"渋谷-夜勤")+COUNTIF('8月'!AR24:AS24,"渋谷-夜勤")+COUNTIF('8月'!AW24:AX24,"渋谷-夜勤")+COUNTIF('8月'!BB24:BC24,"渋谷-夜勤")+COUNTIF('8月'!BG24:BH24,"渋谷-夜勤")+COUNTIF('8月'!BL24:BM24,"渋谷-夜勤")+COUNTIF('8月'!BQ24:BR24,"渋谷-夜勤")+COUNTIF('8月'!BV24:BW24,"渋谷-夜勤")+COUNTIF('8月'!CA24:CB24,"渋谷-夜勤")+COUNTIF('8月'!CF24:CG24,"渋谷-夜勤")+COUNTIF('8月'!CK24:CL24,"渋谷-夜勤")+COUNTIF('8月'!CP24:CQ24,"渋谷-夜勤")+COUNTIF('8月'!CU24:CV24,"渋谷-夜勤")+COUNTIF('8月'!CZ24:DA24,"渋谷-夜勤")+COUNTIF('8月'!DE24:DF24,"渋谷-夜勤")+COUNTIF('8月'!DJ24:DK24,"渋谷-夜勤")+COUNTIF('8月'!DO24:DP24,"渋谷-夜勤")+COUNTIF('8月'!DT24:DU24,"渋谷-夜勤")+COUNTIF('8月'!DY24:DZ24,"渋谷-夜勤")+COUNTIF('8月'!ED24:EE24,"渋谷-夜勤")+COUNTIF('8月'!EI24:EJ24,"渋谷-夜勤")+COUNTIF('8月'!EN24:EO24,"渋谷-夜勤")+COUNTIF('8月'!ES24:ET24,"渋谷-夜勤")</f>
        <v>0</v>
      </c>
      <c r="I285" s="76">
        <f t="shared" si="87"/>
        <v>0</v>
      </c>
      <c r="J285" s="76">
        <f>COUNTIF('8月'!D24:E24,J$263)+COUNTIF('8月'!I24:J24,J$263)+COUNTIF('8月'!N24:O24,J$263)+COUNTIF('8月'!S24:T24,J$263)+COUNTIF('8月'!X24:Y24,J$263)+COUNTIF('8月'!AC24:AD24,J$263)+COUNTIF('8月'!AH24:AI24,J$263)+COUNTIF('8月'!AM24:AN24,J$263)+COUNTIF('8月'!AR24:AS24,J$263)+COUNTIF('8月'!AW24:AX24,J$263)+COUNTIF('8月'!BB24:BC24,J$263)+COUNTIF('8月'!BG24:BH24,J$263)+COUNTIF('8月'!BL24:BM24,J$263)+COUNTIF('8月'!BQ24:BR24,J$263)+COUNTIF('8月'!BV24:BW24,J$263)+COUNTIF('8月'!CA24:CB24,J$263)+COUNTIF('8月'!CF24:CG24,J$263)+COUNTIF('8月'!CK24:CL24,J$263)+COUNTIF('8月'!CP24:CQ24,J$263)+COUNTIF('8月'!CU24:CV24,J$263)+COUNTIF('8月'!CZ24:DA24,J$263)+COUNTIF('8月'!DE24:DF24,J$263)+COUNTIF('8月'!DJ24:DK24,J$263)+COUNTIF('8月'!DO24:DP24,J$263)+COUNTIF('8月'!DT24:DU24,J$263)+COUNTIF('8月'!DY24:DZ24,J$263)+COUNTIF('8月'!ED24:EE24,J$263)+COUNTIF('8月'!EI24:EJ24,J$263)+COUNTIF('8月'!EN24:EO24,J$263)+COUNTIF('8月'!ES24:ET24,J$263)+COUNTIF('8月'!D24:E24,"六本木-夜勤")+COUNTIF('8月'!I24:J24,"六本木-夜勤")+COUNTIF('8月'!N24:O24,"六本木-夜勤")+COUNTIF('8月'!S24:T24,"六本木-夜勤")+COUNTIF('8月'!X24:Y24,"六本木-夜勤")+COUNTIF('8月'!AC24:AD24,"六本木-夜勤")+COUNTIF('8月'!AH24:AI24,"六本木-夜勤")+COUNTIF('8月'!AM24:AN24,"六本木-夜勤")+COUNTIF('8月'!AR24:AS24,"六本木-夜勤")+COUNTIF('8月'!AW24:AX24,"六本木-夜勤")+COUNTIF('8月'!BB24:BC24,"六本木-夜勤")+COUNTIF('8月'!BG24:BH24,"六本木-夜勤")+COUNTIF('8月'!BL24:BM24,"六本木-夜勤")+COUNTIF('8月'!BQ24:BR24,"六本木-夜勤")+COUNTIF('8月'!BV24:BW24,"六本木-夜勤")+COUNTIF('8月'!CA24:CB24,"六本木-夜勤")+COUNTIF('8月'!CF24:CG24,"六本木-夜勤")+COUNTIF('8月'!CK24:CL24,"六本木-夜勤")+COUNTIF('8月'!CP24:CQ24,"六本木-夜勤")+COUNTIF('8月'!CU24:CV24,"六本木-夜勤")+COUNTIF('8月'!CZ24:DA24,"六本木-夜勤")+COUNTIF('8月'!DE24:DF24,"六本木-夜勤")+COUNTIF('8月'!DJ24:DK24,"六本木-夜勤")+COUNTIF('8月'!DO24:DP24,"六本木-夜勤")+COUNTIF('8月'!DT24:DU24,"六本木-夜勤")+COUNTIF('8月'!DY24:DZ24,"六本木-夜勤")+COUNTIF('8月'!ED24:EE24,"六本木-夜勤")+COUNTIF('8月'!EI24:EJ24,"六本木-夜勤")+COUNTIF('8月'!EN24:EO24,"六本木-夜勤")+COUNTIF('8月'!ES24:ET24,"六本木-夜勤")+COUNTIF('8月'!D24:E24,"六本木ー夜勤")+COUNTIF('8月'!I24:J24,"六本木ー夜勤")+COUNTIF('8月'!N24:O24,"六本木ー夜勤")+COUNTIF('8月'!S24:T24,"六本木ー夜勤")+COUNTIF('8月'!X24:Y24,"六本木ー夜勤")+COUNTIF('8月'!AC24:AD24,"六本木ー夜勤")+COUNTIF('8月'!AH24:AI24,"六本木ー夜勤")+COUNTIF('8月'!AM24:AN24,"六本木ー夜勤")+COUNTIF('8月'!AR24:AS24,"六本木ー夜勤")+COUNTIF('8月'!AW24:AX24,"六本木ー夜勤")+COUNTIF('8月'!BB24:BC24,"六本木ー夜勤")+COUNTIF('8月'!BG24:BH24,"六本木ー夜勤")+COUNTIF('8月'!BL24:BM24,"六本木ー夜勤")+COUNTIF('8月'!BQ24:BR24,"六本木ー夜勤")+COUNTIF('8月'!BV24:BW24,"六本木ー夜勤")+COUNTIF('8月'!CA24:CB24,"六本木ー夜勤")+COUNTIF('8月'!CF24:CG24,"六本木ー夜勤")+COUNTIF('8月'!CK24:CL24,"六本木ー夜勤")+COUNTIF('8月'!CP24:CQ24,"六本木ー夜勤")+COUNTIF('8月'!CU24:CV24,"六本木ー夜勤")+COUNTIF('8月'!CZ24:DA24,"六本木ー夜勤")+COUNTIF('8月'!DE24:DF24,"六本木ー夜勤")+COUNTIF('8月'!DJ24:DK24,"六本木ー夜勤")+COUNTIF('8月'!DO24:DP24,"六本木ー夜勤")+COUNTIF('8月'!DT24:DU24,"六本木ー夜勤")+COUNTIF('8月'!DY24:DZ24,"六本木ー夜勤")+COUNTIF('8月'!ED24:EE24,"六本木ー夜勤")+COUNTIF('8月'!EI24:EJ24,"六本木ー夜勤")+COUNTIF('8月'!EN24:EO24,"六本木ー夜勤")+COUNTIF('8月'!ES24:ET24,"六本木ー夜勤")</f>
        <v>0</v>
      </c>
      <c r="K285" s="76">
        <f t="shared" si="88"/>
        <v>0</v>
      </c>
      <c r="L285" s="76">
        <f>COUNTIF('8月'!D24:E24,L$263)+COUNTIF('8月'!I24:J24,L$263)+COUNTIF('8月'!N24:O24,L$263)+COUNTIF('8月'!S24:T24,L$263)+COUNTIF('8月'!X24:Y24,L$263)+COUNTIF('8月'!AC24:AD24,L$263)+COUNTIF('8月'!AH24:AI24,L$263)+COUNTIF('8月'!AM24:AN24,L$263)+COUNTIF('8月'!AR24:AS24,L$263)+COUNTIF('8月'!AW24:AX24,L$263)+COUNTIF('8月'!BB24:BC24,L$263)+COUNTIF('8月'!BG24:BH24,L$263)+COUNTIF('8月'!BL24:BM24,L$263)+COUNTIF('8月'!BQ24:BR24,L$263)+COUNTIF('8月'!BV24:BW24,L$263)+COUNTIF('8月'!CA24:CB24,L$263)+COUNTIF('8月'!CF24:CG24,L$263)+COUNTIF('8月'!CK24:CL24,L$263)+COUNTIF('8月'!CP24:CQ24,L$263)+COUNTIF('8月'!CU24:CV24,L$263)+COUNTIF('8月'!CZ24:DA24,L$263)+COUNTIF('8月'!DE24:DF24,L$263)+COUNTIF('8月'!DJ24:DK24,L$263)+COUNTIF('8月'!DO24:DP24,L$263)+COUNTIF('8月'!DT24:DU24,L$263)+COUNTIF('8月'!DY24:DZ24,L$263)+COUNTIF('8月'!ED24:EE24,L$263)+COUNTIF('8月'!EI24:EJ24,L$263)+COUNTIF('8月'!EN24:EO24,L$263)+COUNTIF('8月'!ES24:ET24,L$263)</f>
        <v>0</v>
      </c>
      <c r="M285" s="76">
        <f t="shared" si="89"/>
        <v>0</v>
      </c>
      <c r="N285" s="76">
        <f>COUNTIF('8月'!D24:E24,N$263)+COUNTIF('8月'!I24:J24,N$263)+COUNTIF('8月'!N24:O24,N$263)+COUNTIF('8月'!S24:T24,N$263)+COUNTIF('8月'!X24:Y24,N$263)+COUNTIF('8月'!AC24:AD24,N$263)+COUNTIF('8月'!AH24:AI24,N$263)+COUNTIF('8月'!AM24:AN24,N$263)+COUNTIF('8月'!AR24:AS24,N$263)+COUNTIF('8月'!AW24:AX24,N$263)+COUNTIF('8月'!BB24:BC24,N$263)+COUNTIF('8月'!BG24:BH24,N$263)+COUNTIF('8月'!BL24:BM24,N$263)+COUNTIF('8月'!BQ24:BR24,N$263)+COUNTIF('8月'!BV24:BW24,N$263)+COUNTIF('8月'!CA24:CB24,N$263)+COUNTIF('8月'!CF24:CG24,N$263)+COUNTIF('8月'!CK24:CL24,N$263)+COUNTIF('8月'!CP24:CQ24,N$263)+COUNTIF('8月'!CU24:CV24,N$263)+COUNTIF('8月'!CZ24:DA24,N$263)+COUNTIF('8月'!DE24:DF24,N$263)+COUNTIF('8月'!DJ24:DK24,N$263)+COUNTIF('8月'!DO24:DP24,N$263)+COUNTIF('8月'!DT24:DU24,N$263)+COUNTIF('8月'!DY24:DZ24,N$263)+COUNTIF('8月'!ED24:EE24,N$263)+COUNTIF('8月'!EI24:EJ24,N$263)+COUNTIF('8月'!EN24:EO24,N$263)+COUNTIF('8月'!ES24:ET24,N$263)+COUNTIF('8月'!D24:E24,"三軒茶屋－夜勤")+COUNTIF('8月'!I24:J24,"三軒茶屋－夜勤")+COUNTIF('8月'!N24:O24,"三軒茶屋－夜勤")+COUNTIF('8月'!S24:T24,"三軒茶屋－夜勤")+COUNTIF('8月'!X24:Y24,"三軒茶屋－夜勤")+COUNTIF('8月'!AC24:AD24,"三軒茶屋－夜勤")+COUNTIF('8月'!AH24:AI24,"三軒茶屋－夜勤")+COUNTIF('8月'!AM24:AN24,"三軒茶屋－夜勤")+COUNTIF('8月'!AR24:AS24,"三軒茶屋－夜勤")+COUNTIF('8月'!AW24:AX24,"三軒茶屋－夜勤")+COUNTIF('8月'!BB24:BC24,"三軒茶屋－夜勤")+COUNTIF('8月'!BG24:BH24,"三軒茶屋－夜勤")+COUNTIF('8月'!BL24:BM24,"三軒茶屋－夜勤")+COUNTIF('8月'!BQ24:BR24,"三軒茶屋－夜勤")+COUNTIF('8月'!BV24:BW24,"三軒茶屋－夜勤")+COUNTIF('8月'!CA24:CB24,"三軒茶屋－夜勤")+COUNTIF('8月'!CF24:CG24,"三軒茶屋－夜勤")+COUNTIF('8月'!CK24:CL24,"三軒茶屋－夜勤")+COUNTIF('8月'!CP24:CQ24,"三軒茶屋－夜勤")+COUNTIF('8月'!CU24:CV24,"三軒茶屋－夜勤")+COUNTIF('8月'!CZ24:DA24,"三軒茶屋－夜勤")+COUNTIF('8月'!DE24:DF24,"三軒茶屋－夜勤")+COUNTIF('8月'!DJ24:DK24,"三軒茶屋－夜勤")+COUNTIF('8月'!DO24:DP24,"三軒茶屋－夜勤")+COUNTIF('8月'!DT24:DU24,"三軒茶屋－夜勤")+COUNTIF('8月'!DY24:DZ24,"三軒茶屋－夜勤")+COUNTIF('8月'!ED24:EE24,"三軒茶屋－夜勤")+COUNTIF('8月'!EI24:EJ24,"三軒茶屋－夜勤")+COUNTIF('8月'!EN24:EO24,"三軒茶屋－夜勤")+COUNTIF('8月'!ES24:ET24,"三軒茶屋－夜勤")</f>
        <v>0</v>
      </c>
      <c r="O285" s="76">
        <f t="shared" si="90"/>
        <v>0</v>
      </c>
      <c r="P285" s="76">
        <f>COUNTIF('8月'!D24:E24,P$263)+COUNTIF('8月'!I24:J24,P$263)+COUNTIF('8月'!N24:O24,P$263)+COUNTIF('8月'!S24:T24,P$263)+COUNTIF('8月'!X24:Y24,P$263)+COUNTIF('8月'!AC24:AD24,P$263)+COUNTIF('8月'!AH24:AI24,P$263)+COUNTIF('8月'!AM24:AN24,P$263)+COUNTIF('8月'!AR24:AS24,P$263)+COUNTIF('8月'!AW24:AX24,P$263)+COUNTIF('8月'!BB24:BC24,P$263)+COUNTIF('8月'!BG24:BH24,P$263)+COUNTIF('8月'!BL24:BM24,P$263)+COUNTIF('8月'!BQ24:BR24,P$263)+COUNTIF('8月'!BV24:BW24,P$263)+COUNTIF('8月'!CA24:CB24,P$263)+COUNTIF('8月'!CF24:CG24,P$263)+COUNTIF('8月'!CK24:CL24,P$263)+COUNTIF('8月'!CP24:CQ24,P$263)+COUNTIF('8月'!CU24:CV24,P$263)+COUNTIF('8月'!CZ24:DA24,P$263)+COUNTIF('8月'!DE24:DF24,P$263)+COUNTIF('8月'!DJ24:DK24,P$263)+COUNTIF('8月'!DO24:DP24,P$263)+COUNTIF('8月'!DT24:DU24,P$263)+COUNTIF('8月'!DY24:DZ24,P$263)+COUNTIF('8月'!ED24:EE24,P$263)+COUNTIF('8月'!EI24:EJ24,P$263)+COUNTIF('8月'!EN24:EO24,P$263)+COUNTIF('8月'!ES24:ET24,P$263)+COUNTIF('8月'!D24:E24,"荻窪ー夜勤")+COUNTIF('8月'!I24:J24,"荻窪ー夜勤")+COUNTIF('8月'!N24:O24,"荻窪ー夜勤")+COUNTIF('8月'!S24:T24,"荻窪ー夜勤")+COUNTIF('8月'!X24:Y24,"荻窪ー夜勤")+COUNTIF('8月'!AC24:AD24,"荻窪ー夜勤")+COUNTIF('8月'!AH24:AI24,"荻窪ー夜勤")+COUNTIF('8月'!AM24:AN24,"荻窪ー夜勤")+COUNTIF('8月'!AR24:AS24,"荻窪ー夜勤")+COUNTIF('8月'!AW24:AX24,"荻窪ー夜勤")+COUNTIF('8月'!BB24:BC24,"荻窪ー夜勤")+COUNTIF('8月'!BG24:BH24,"荻窪ー夜勤")+COUNTIF('8月'!BL24:BM24,"荻窪ー夜勤")+COUNTIF('8月'!BQ24:BR24,"荻窪ー夜勤")+COUNTIF('8月'!BV24:BW24,"荻窪ー夜勤")+COUNTIF('8月'!CA24:CB24,"荻窪ー夜勤")+COUNTIF('8月'!CF24:CG24,"荻窪ー夜勤")+COUNTIF('8月'!CK24:CL24,"荻窪ー夜勤")+COUNTIF('8月'!CP24:CQ24,"荻窪ー夜勤")+COUNTIF('8月'!CU24:CV24,"荻窪ー夜勤")+COUNTIF('8月'!CZ24:DA24,"荻窪ー夜勤")+COUNTIF('8月'!DE24:DF24,"荻窪ー夜勤")+COUNTIF('8月'!DJ24:DK24,"荻窪ー夜勤")+COUNTIF('8月'!DO24:DP24,"荻窪ー夜勤")+COUNTIF('8月'!DT24:DU24,"荻窪ー夜勤")+COUNTIF('8月'!DY24:DZ24,"荻窪ー夜勤")+COUNTIF('8月'!ED24:EE24,"荻窪ー夜勤")+COUNTIF('8月'!EI24:EJ24,"荻窪ー夜勤")+COUNTIF('8月'!EN24:EO24,"荻窪ー夜勤")+COUNTIF('8月'!ES24:ET24,"荻窪ー夜勤")</f>
        <v>0</v>
      </c>
      <c r="Q285" s="76">
        <f t="shared" si="91"/>
        <v>0</v>
      </c>
      <c r="R285" s="76">
        <f>COUNTIF('8月'!D24:E24,R$263)+COUNTIF('8月'!I24:J24,R$263)+COUNTIF('8月'!N24:O24,R$263)+COUNTIF('8月'!S24:T24,R$263)+COUNTIF('8月'!X24:Y24,R$263)+COUNTIF('8月'!AC24:AD24,R$263)+COUNTIF('8月'!AH24:AI24,R$263)+COUNTIF('8月'!AM24:AN24,R$263)+COUNTIF('8月'!AR24:AS24,R$263)+COUNTIF('8月'!AW24:AX24,R$263)+COUNTIF('8月'!BB24:BC24,R$263)+COUNTIF('8月'!BG24:BH24,R$263)+COUNTIF('8月'!BL24:BM24,R$263)+COUNTIF('8月'!BQ24:BR24,R$263)+COUNTIF('8月'!BV24:BW24,R$263)+COUNTIF('8月'!CA24:CB24,R$263)+COUNTIF('8月'!CF24:CG24,R$263)+COUNTIF('8月'!CK24:CL24,R$263)+COUNTIF('8月'!CP24:CQ24,R$263)+COUNTIF('8月'!CU24:CV24,R$263)+COUNTIF('8月'!CZ24:DA24,R$263)+COUNTIF('8月'!DE24:DF24,R$263)+COUNTIF('8月'!DJ24:DK24,R$263)+COUNTIF('8月'!DO24:DP24,R$263)+COUNTIF('8月'!DT24:DU24,R$263)+COUNTIF('8月'!DY24:DZ24,R$263)+COUNTIF('8月'!ED24:EE24,R$263)+COUNTIF('8月'!EI24:EJ24,R$263)+COUNTIF('8月'!EN24:EO24,R$263)+COUNTIF('8月'!ES24:ET24,R$263)</f>
        <v>0</v>
      </c>
      <c r="S285" s="76">
        <f t="shared" si="92"/>
        <v>0</v>
      </c>
      <c r="T285" s="76">
        <f>COUNTIF('8月'!D24:E24,T$263)+COUNTIF('8月'!I24:J24,T$263)+COUNTIF('8月'!N24:O24,T$263)+COUNTIF('8月'!S24:T24,T$263)+COUNTIF('8月'!X24:Y24,T$263)+COUNTIF('8月'!AC24:AD24,T$263)+COUNTIF('8月'!AH24:AI24,T$263)+COUNTIF('8月'!AM24:AN24,T$263)+COUNTIF('8月'!AR24:AS24,T$263)+COUNTIF('8月'!AW24:AX24,T$263)+COUNTIF('8月'!BB24:BC24,T$263)+COUNTIF('8月'!BG24:BH24,T$263)+COUNTIF('8月'!BL24:BM24,T$263)+COUNTIF('8月'!BQ24:BR24,T$263)+COUNTIF('8月'!BV24:BW24,T$263)+COUNTIF('8月'!CA24:CB24,T$263)+COUNTIF('8月'!CF24:CG24,T$263)+COUNTIF('8月'!CK24:CL24,T$263)+COUNTIF('8月'!CP24:CQ24,T$263)+COUNTIF('8月'!CU24:CV24,T$263)+COUNTIF('8月'!CZ24:DA24,T$263)+COUNTIF('8月'!DE24:DF24,T$263)+COUNTIF('8月'!DJ24:DK24,T$263)+COUNTIF('8月'!DO24:DP24,T$263)+COUNTIF('8月'!DT24:DU24,T$263)+COUNTIF('8月'!DY24:DZ24,T$263)+COUNTIF('8月'!ED24:EE24,T$263)+COUNTIF('8月'!EI24:EJ24,T$263)+COUNTIF('8月'!EN24:EO24,T$263)+COUNTIF('8月'!ES24:ET24,T$263)</f>
        <v>0</v>
      </c>
      <c r="U285" s="76">
        <f t="shared" si="93"/>
        <v>0</v>
      </c>
      <c r="V285" s="76">
        <f>COUNTIF('8月'!D24:E24,V$263)+COUNTIF('8月'!I24:J24,V$263)+COUNTIF('8月'!N24:O24,V$263)+COUNTIF('8月'!S24:T24,V$263)+COUNTIF('8月'!X24:Y24,V$263)+COUNTIF('8月'!AC24:AD24,V$263)+COUNTIF('8月'!AH24:AI24,V$263)+COUNTIF('8月'!AM24:AN24,V$263)+COUNTIF('8月'!AR24:AS24,V$263)+COUNTIF('8月'!AW24:AX24,V$263)+COUNTIF('8月'!BB24:BC24,V$263)+COUNTIF('8月'!BG24:BH24,V$263)+COUNTIF('8月'!BL24:BM24,V$263)+COUNTIF('8月'!BQ24:BR24,V$263)+COUNTIF('8月'!BV24:BW24,V$263)+COUNTIF('8月'!CA24:CB24,V$263)+COUNTIF('8月'!CF24:CG24,V$263)+COUNTIF('8月'!CK24:CL24,V$263)+COUNTIF('8月'!CP24:CQ24,V$263)+COUNTIF('8月'!CU24:CV24,V$263)+COUNTIF('8月'!CZ24:DA24,V$263)+COUNTIF('8月'!DE24:DF24,V$263)+COUNTIF('8月'!DJ24:DK24,V$263)+COUNTIF('8月'!DO24:DP24,V$263)+COUNTIF('8月'!DT24:DU24,V$263)+COUNTIF('8月'!DY24:DZ24,V$263)+COUNTIF('8月'!ED24:EE24,V$263)+COUNTIF('8月'!EI24:EJ24,V$263)+COUNTIF('8月'!EN24:EO24,V$263)+COUNTIF('8月'!ES24:ET24,V$263)</f>
        <v>0</v>
      </c>
      <c r="W285" s="76">
        <f t="shared" si="94"/>
        <v>0</v>
      </c>
      <c r="X285" s="76">
        <f>COUNTIF('8月'!D24:E24,X$263)+COUNTIF('8月'!I24:J24,X$263)+COUNTIF('8月'!N24:O24,X$263)+COUNTIF('8月'!S24:T24,X$263)+COUNTIF('8月'!X24:Y24,X$263)+COUNTIF('8月'!AC24:AD24,X$263)+COUNTIF('8月'!AH24:AI24,X$263)+COUNTIF('8月'!AM24:AN24,X$263)+COUNTIF('8月'!AR24:AS24,X$263)+COUNTIF('8月'!AW24:AX24,X$263)+COUNTIF('8月'!BB24:BC24,X$263)+COUNTIF('8月'!BG24:BH24,X$263)+COUNTIF('8月'!BL24:BM24,X$263)+COUNTIF('8月'!BQ24:BR24,X$263)+COUNTIF('8月'!BV24:BW24,X$263)+COUNTIF('8月'!CA24:CB24,X$263)+COUNTIF('8月'!CF24:CG24,X$263)+COUNTIF('8月'!CK24:CL24,X$263)+COUNTIF('8月'!CP24:CQ24,X$263)+COUNTIF('8月'!CU24:CV24,X$263)+COUNTIF('8月'!CZ24:DA24,X$263)+COUNTIF('8月'!DE24:DF24,X$263)+COUNTIF('8月'!DJ24:DK24,X$263)+COUNTIF('8月'!DO24:DP24,X$263)+COUNTIF('8月'!DT24:DU24,X$263)+COUNTIF('8月'!DY24:DZ24,X$263)+COUNTIF('8月'!ED24:EE24,X$263)+COUNTIF('8月'!EI24:EJ24,X$263)+COUNTIF('8月'!EN24:EO24,X$263)+COUNTIF('8月'!ES24:ET24,X$263)</f>
        <v>0</v>
      </c>
      <c r="Y285" s="76">
        <f t="shared" si="95"/>
        <v>0</v>
      </c>
    </row>
    <row r="286" spans="1:25" ht="18" customHeight="1">
      <c r="A286" s="76">
        <v>22</v>
      </c>
      <c r="B286" s="76">
        <f>COUNTIF('8月'!D25:E25,B$263)+COUNTIF('8月'!I25:J25,B$263)+COUNTIF('8月'!N25:O25,B$263)+COUNTIF('8月'!S25:T25,B$263)+COUNTIF('8月'!X25:Y25,B$263)+COUNTIF('8月'!AC25:AD25,B$263)+COUNTIF('8月'!AH25:AI25,B$263)+COUNTIF('8月'!AM25:AN25,B$263)+COUNTIF('8月'!AR25:AS25,B$263)+COUNTIF('8月'!AW25:AX25,B$263)+COUNTIF('8月'!BB25:BC25,B$263)+COUNTIF('8月'!BG25:BH25,B$263)+COUNTIF('8月'!BL25:BM25,B$263)+COUNTIF('8月'!BQ25:BR25,B$263)+COUNTIF('8月'!BV25:BW25,B$263)+COUNTIF('8月'!CA25:CB25,B$263)+COUNTIF('8月'!CF25:CG25,B$263)+COUNTIF('8月'!CK25:CL25,B$263)+COUNTIF('8月'!CP25:CQ25,B$263)+COUNTIF('8月'!CU25:CV25,B$263)+COUNTIF('8月'!CZ25:DA25,B$263)+COUNTIF('8月'!DE25:DF25,B$263)+COUNTIF('8月'!DJ25:DK25,B$263)+COUNTIF('8月'!DO25:DP25,B$263)+COUNTIF('8月'!DT25:DU25,B$263)+COUNTIF('8月'!DY25:DZ25,B$263)+COUNTIF('8月'!ED25:EE25,B$263)+COUNTIF('8月'!EI25:EJ25,B$263)+COUNTIF('8月'!EN25:EO25,B$263)+COUNTIF('8月'!ES25:ET25,B$263)</f>
        <v>0</v>
      </c>
      <c r="C286" s="76">
        <f t="shared" si="84"/>
        <v>0</v>
      </c>
      <c r="D286" s="76">
        <f>COUNTIF('8月'!D25:E25,D$263)+COUNTIF('8月'!I25:J25,D$263)+COUNTIF('8月'!N25:O25,D$263)+COUNTIF('8月'!S25:T25,D$263)+COUNTIF('8月'!X25:Y25,D$263)+COUNTIF('8月'!AC25:AD25,D$263)+COUNTIF('8月'!AH25:AI25,D$263)+COUNTIF('8月'!AM25:AN25,D$263)+COUNTIF('8月'!AR25:AS25,D$263)+COUNTIF('8月'!AW25:AX25,D$263)+COUNTIF('8月'!BB25:BC25,D$263)+COUNTIF('8月'!BG25:BH25,D$263)+COUNTIF('8月'!BL25:BM25,D$263)+COUNTIF('8月'!BQ25:BR25,D$263)+COUNTIF('8月'!BV25:BW25,D$263)+COUNTIF('8月'!CA25:CB25,D$263)+COUNTIF('8月'!CF25:CG25,D$263)+COUNTIF('8月'!CK25:CL25,D$263)+COUNTIF('8月'!CP25:CQ25,D$263)+COUNTIF('8月'!CU25:CV25,D$263)+COUNTIF('8月'!CZ25:DA25,D$263)+COUNTIF('8月'!DE25:DF25,D$263)+COUNTIF('8月'!DJ25:DK25,D$263)+COUNTIF('8月'!DO25:DP25,D$263)+COUNTIF('8月'!DT25:DU25,D$263)+COUNTIF('8月'!DY25:DZ25,D$263)+COUNTIF('8月'!ED25:EE25,D$263)+COUNTIF('8月'!EI25:EJ25,D$263)+COUNTIF('8月'!EN25:EO25,D$263)+COUNTIF('8月'!ES25:ET25,D$263)</f>
        <v>0</v>
      </c>
      <c r="E286" s="76">
        <f t="shared" si="85"/>
        <v>0</v>
      </c>
      <c r="F286" s="76">
        <f>COUNTIF('8月'!D25:E25,F$263)+COUNTIF('8月'!I25:J25,F$263)+COUNTIF('8月'!N25:O25,F$263)+COUNTIF('8月'!S25:T25,F$263)+COUNTIF('8月'!X25:Y25,F$263)+COUNTIF('8月'!AC25:AD25,F$263)+COUNTIF('8月'!AH25:AI25,F$263)+COUNTIF('8月'!AM25:AN25,F$263)+COUNTIF('8月'!AR25:AS25,F$263)+COUNTIF('8月'!AW25:AX25,F$263)+COUNTIF('8月'!BB25:BC25,F$263)+COUNTIF('8月'!BG25:BH25,F$263)+COUNTIF('8月'!BL25:BM25,F$263)+COUNTIF('8月'!BQ25:BR25,F$263)+COUNTIF('8月'!BV25:BW25,F$263)+COUNTIF('8月'!CA25:CB25,F$263)+COUNTIF('8月'!CF25:CG25,F$263)+COUNTIF('8月'!CK25:CL25,F$263)+COUNTIF('8月'!CP25:CQ25,F$263)+COUNTIF('8月'!CU25:CV25,F$263)+COUNTIF('8月'!CZ25:DA25,F$263)+COUNTIF('8月'!DE25:DF25,F$263)+COUNTIF('8月'!DJ25:DK25,F$263)+COUNTIF('8月'!DO25:DP25,F$263)+COUNTIF('8月'!DT25:DU25,F$263)+COUNTIF('8月'!DY25:DZ25,F$263)+COUNTIF('8月'!ED25:EE25,F$263)+COUNTIF('8月'!EI25:EJ25,F$263)+COUNTIF('8月'!EN25:EO25,F$263)+COUNTIF('8月'!ES25:ET25,F$263)</f>
        <v>0</v>
      </c>
      <c r="G286" s="76">
        <f t="shared" si="86"/>
        <v>0</v>
      </c>
      <c r="H286" s="76">
        <f>COUNTIF('8月'!D25:E25,H$263)+COUNTIF('8月'!I25:J25,H$263)+COUNTIF('8月'!N25:O25,H$263)+COUNTIF('8月'!S25:T25,H$263)+COUNTIF('8月'!X25:Y25,H$263)+COUNTIF('8月'!AC25:AD25,H$263)+COUNTIF('8月'!AH25:AI25,H$263)+COUNTIF('8月'!AM25:AN25,H$263)+COUNTIF('8月'!AR25:AS25,H$263)+COUNTIF('8月'!AW25:AX25,H$263)+COUNTIF('8月'!BB25:BC25,H$263)+COUNTIF('8月'!BG25:BH25,H$263)+COUNTIF('8月'!BL25:BM25,H$263)+COUNTIF('8月'!BQ25:BR25,H$263)+COUNTIF('8月'!BV25:BW25,H$263)+COUNTIF('8月'!CA25:CB25,H$263)+COUNTIF('8月'!CF25:CG25,H$263)+COUNTIF('8月'!CK25:CL25,H$263)+COUNTIF('8月'!CP25:CQ25,H$263)+COUNTIF('8月'!CU25:CV25,H$263)+COUNTIF('8月'!CZ25:DA25,H$263)+COUNTIF('8月'!DE25:DF25,H$263)+COUNTIF('8月'!DJ25:DK25,H$263)+COUNTIF('8月'!DO25:DP25,H$263)+COUNTIF('8月'!DT25:DU25,H$263)+COUNTIF('8月'!DY25:DZ25,H$263)+COUNTIF('8月'!ED25:EE25,H$263)+COUNTIF('8月'!EI25:EJ25,H$263)+COUNTIF('8月'!EN25:EO25,H$263)+COUNTIF('8月'!ES25:ET25,H$263)+COUNTIF('8月'!D25:E25,"渋谷-夜勤")+COUNTIF('8月'!I25:J25,"渋谷-夜勤")+COUNTIF('8月'!N25:O25,"渋谷-夜勤")+COUNTIF('8月'!S25:T25,"渋谷-夜勤")+COUNTIF('8月'!X25:Y25,"渋谷-夜勤")+COUNTIF('8月'!AC25:AD25,"渋谷-夜勤")+COUNTIF('8月'!AH25:AI25,"渋谷-夜勤")+COUNTIF('8月'!AM25:AN25,"渋谷-夜勤")+COUNTIF('8月'!AR25:AS25,"渋谷-夜勤")+COUNTIF('8月'!AW25:AX25,"渋谷-夜勤")+COUNTIF('8月'!BB25:BC25,"渋谷-夜勤")+COUNTIF('8月'!BG25:BH25,"渋谷-夜勤")+COUNTIF('8月'!BL25:BM25,"渋谷-夜勤")+COUNTIF('8月'!BQ25:BR25,"渋谷-夜勤")+COUNTIF('8月'!BV25:BW25,"渋谷-夜勤")+COUNTIF('8月'!CA25:CB25,"渋谷-夜勤")+COUNTIF('8月'!CF25:CG25,"渋谷-夜勤")+COUNTIF('8月'!CK25:CL25,"渋谷-夜勤")+COUNTIF('8月'!CP25:CQ25,"渋谷-夜勤")+COUNTIF('8月'!CU25:CV25,"渋谷-夜勤")+COUNTIF('8月'!CZ25:DA25,"渋谷-夜勤")+COUNTIF('8月'!DE25:DF25,"渋谷-夜勤")+COUNTIF('8月'!DJ25:DK25,"渋谷-夜勤")+COUNTIF('8月'!DO25:DP25,"渋谷-夜勤")+COUNTIF('8月'!DT25:DU25,"渋谷-夜勤")+COUNTIF('8月'!DY25:DZ25,"渋谷-夜勤")+COUNTIF('8月'!ED25:EE25,"渋谷-夜勤")+COUNTIF('8月'!EI25:EJ25,"渋谷-夜勤")+COUNTIF('8月'!EN25:EO25,"渋谷-夜勤")+COUNTIF('8月'!ES25:ET25,"渋谷-夜勤")</f>
        <v>0</v>
      </c>
      <c r="I286" s="76">
        <f t="shared" si="87"/>
        <v>0</v>
      </c>
      <c r="J286" s="76">
        <f>COUNTIF('8月'!D25:E25,J$263)+COUNTIF('8月'!I25:J25,J$263)+COUNTIF('8月'!N25:O25,J$263)+COUNTIF('8月'!S25:T25,J$263)+COUNTIF('8月'!X25:Y25,J$263)+COUNTIF('8月'!AC25:AD25,J$263)+COUNTIF('8月'!AH25:AI25,J$263)+COUNTIF('8月'!AM25:AN25,J$263)+COUNTIF('8月'!AR25:AS25,J$263)+COUNTIF('8月'!AW25:AX25,J$263)+COUNTIF('8月'!BB25:BC25,J$263)+COUNTIF('8月'!BG25:BH25,J$263)+COUNTIF('8月'!BL25:BM25,J$263)+COUNTIF('8月'!BQ25:BR25,J$263)+COUNTIF('8月'!BV25:BW25,J$263)+COUNTIF('8月'!CA25:CB25,J$263)+COUNTIF('8月'!CF25:CG25,J$263)+COUNTIF('8月'!CK25:CL25,J$263)+COUNTIF('8月'!CP25:CQ25,J$263)+COUNTIF('8月'!CU25:CV25,J$263)+COUNTIF('8月'!CZ25:DA25,J$263)+COUNTIF('8月'!DE25:DF25,J$263)+COUNTIF('8月'!DJ25:DK25,J$263)+COUNTIF('8月'!DO25:DP25,J$263)+COUNTIF('8月'!DT25:DU25,J$263)+COUNTIF('8月'!DY25:DZ25,J$263)+COUNTIF('8月'!ED25:EE25,J$263)+COUNTIF('8月'!EI25:EJ25,J$263)+COUNTIF('8月'!EN25:EO25,J$263)+COUNTIF('8月'!ES25:ET25,J$263)+COUNTIF('8月'!D25:E25,"六本木-夜勤")+COUNTIF('8月'!I25:J25,"六本木-夜勤")+COUNTIF('8月'!N25:O25,"六本木-夜勤")+COUNTIF('8月'!S25:T25,"六本木-夜勤")+COUNTIF('8月'!X25:Y25,"六本木-夜勤")+COUNTIF('8月'!AC25:AD25,"六本木-夜勤")+COUNTIF('8月'!AH25:AI25,"六本木-夜勤")+COUNTIF('8月'!AM25:AN25,"六本木-夜勤")+COUNTIF('8月'!AR25:AS25,"六本木-夜勤")+COUNTIF('8月'!AW25:AX25,"六本木-夜勤")+COUNTIF('8月'!BB25:BC25,"六本木-夜勤")+COUNTIF('8月'!BG25:BH25,"六本木-夜勤")+COUNTIF('8月'!BL25:BM25,"六本木-夜勤")+COUNTIF('8月'!BQ25:BR25,"六本木-夜勤")+COUNTIF('8月'!BV25:BW25,"六本木-夜勤")+COUNTIF('8月'!CA25:CB25,"六本木-夜勤")+COUNTIF('8月'!CF25:CG25,"六本木-夜勤")+COUNTIF('8月'!CK25:CL25,"六本木-夜勤")+COUNTIF('8月'!CP25:CQ25,"六本木-夜勤")+COUNTIF('8月'!CU25:CV25,"六本木-夜勤")+COUNTIF('8月'!CZ25:DA25,"六本木-夜勤")+COUNTIF('8月'!DE25:DF25,"六本木-夜勤")+COUNTIF('8月'!DJ25:DK25,"六本木-夜勤")+COUNTIF('8月'!DO25:DP25,"六本木-夜勤")+COUNTIF('8月'!DT25:DU25,"六本木-夜勤")+COUNTIF('8月'!DY25:DZ25,"六本木-夜勤")+COUNTIF('8月'!ED25:EE25,"六本木-夜勤")+COUNTIF('8月'!EI25:EJ25,"六本木-夜勤")+COUNTIF('8月'!EN25:EO25,"六本木-夜勤")+COUNTIF('8月'!ES25:ET25,"六本木-夜勤")+COUNTIF('8月'!D25:E25,"六本木ー夜勤")+COUNTIF('8月'!I25:J25,"六本木ー夜勤")+COUNTIF('8月'!N25:O25,"六本木ー夜勤")+COUNTIF('8月'!S25:T25,"六本木ー夜勤")+COUNTIF('8月'!X25:Y25,"六本木ー夜勤")+COUNTIF('8月'!AC25:AD25,"六本木ー夜勤")+COUNTIF('8月'!AH25:AI25,"六本木ー夜勤")+COUNTIF('8月'!AM25:AN25,"六本木ー夜勤")+COUNTIF('8月'!AR25:AS25,"六本木ー夜勤")+COUNTIF('8月'!AW25:AX25,"六本木ー夜勤")+COUNTIF('8月'!BB25:BC25,"六本木ー夜勤")+COUNTIF('8月'!BG25:BH25,"六本木ー夜勤")+COUNTIF('8月'!BL25:BM25,"六本木ー夜勤")+COUNTIF('8月'!BQ25:BR25,"六本木ー夜勤")+COUNTIF('8月'!BV25:BW25,"六本木ー夜勤")+COUNTIF('8月'!CA25:CB25,"六本木ー夜勤")+COUNTIF('8月'!CF25:CG25,"六本木ー夜勤")+COUNTIF('8月'!CK25:CL25,"六本木ー夜勤")+COUNTIF('8月'!CP25:CQ25,"六本木ー夜勤")+COUNTIF('8月'!CU25:CV25,"六本木ー夜勤")+COUNTIF('8月'!CZ25:DA25,"六本木ー夜勤")+COUNTIF('8月'!DE25:DF25,"六本木ー夜勤")+COUNTIF('8月'!DJ25:DK25,"六本木ー夜勤")+COUNTIF('8月'!DO25:DP25,"六本木ー夜勤")+COUNTIF('8月'!DT25:DU25,"六本木ー夜勤")+COUNTIF('8月'!DY25:DZ25,"六本木ー夜勤")+COUNTIF('8月'!ED25:EE25,"六本木ー夜勤")+COUNTIF('8月'!EI25:EJ25,"六本木ー夜勤")+COUNTIF('8月'!EN25:EO25,"六本木ー夜勤")+COUNTIF('8月'!ES25:ET25,"六本木ー夜勤")</f>
        <v>0</v>
      </c>
      <c r="K286" s="76">
        <f t="shared" si="88"/>
        <v>0</v>
      </c>
      <c r="L286" s="76">
        <f>COUNTIF('8月'!D25:E25,L$263)+COUNTIF('8月'!I25:J25,L$263)+COUNTIF('8月'!N25:O25,L$263)+COUNTIF('8月'!S25:T25,L$263)+COUNTIF('8月'!X25:Y25,L$263)+COUNTIF('8月'!AC25:AD25,L$263)+COUNTIF('8月'!AH25:AI25,L$263)+COUNTIF('8月'!AM25:AN25,L$263)+COUNTIF('8月'!AR25:AS25,L$263)+COUNTIF('8月'!AW25:AX25,L$263)+COUNTIF('8月'!BB25:BC25,L$263)+COUNTIF('8月'!BG25:BH25,L$263)+COUNTIF('8月'!BL25:BM25,L$263)+COUNTIF('8月'!BQ25:BR25,L$263)+COUNTIF('8月'!BV25:BW25,L$263)+COUNTIF('8月'!CA25:CB25,L$263)+COUNTIF('8月'!CF25:CG25,L$263)+COUNTIF('8月'!CK25:CL25,L$263)+COUNTIF('8月'!CP25:CQ25,L$263)+COUNTIF('8月'!CU25:CV25,L$263)+COUNTIF('8月'!CZ25:DA25,L$263)+COUNTIF('8月'!DE25:DF25,L$263)+COUNTIF('8月'!DJ25:DK25,L$263)+COUNTIF('8月'!DO25:DP25,L$263)+COUNTIF('8月'!DT25:DU25,L$263)+COUNTIF('8月'!DY25:DZ25,L$263)+COUNTIF('8月'!ED25:EE25,L$263)+COUNTIF('8月'!EI25:EJ25,L$263)+COUNTIF('8月'!EN25:EO25,L$263)+COUNTIF('8月'!ES25:ET25,L$263)</f>
        <v>0</v>
      </c>
      <c r="M286" s="76">
        <f t="shared" si="89"/>
        <v>0</v>
      </c>
      <c r="N286" s="76">
        <f>COUNTIF('8月'!D25:E25,N$263)+COUNTIF('8月'!I25:J25,N$263)+COUNTIF('8月'!N25:O25,N$263)+COUNTIF('8月'!S25:T25,N$263)+COUNTIF('8月'!X25:Y25,N$263)+COUNTIF('8月'!AC25:AD25,N$263)+COUNTIF('8月'!AH25:AI25,N$263)+COUNTIF('8月'!AM25:AN25,N$263)+COUNTIF('8月'!AR25:AS25,N$263)+COUNTIF('8月'!AW25:AX25,N$263)+COUNTIF('8月'!BB25:BC25,N$263)+COUNTIF('8月'!BG25:BH25,N$263)+COUNTIF('8月'!BL25:BM25,N$263)+COUNTIF('8月'!BQ25:BR25,N$263)+COUNTIF('8月'!BV25:BW25,N$263)+COUNTIF('8月'!CA25:CB25,N$263)+COUNTIF('8月'!CF25:CG25,N$263)+COUNTIF('8月'!CK25:CL25,N$263)+COUNTIF('8月'!CP25:CQ25,N$263)+COUNTIF('8月'!CU25:CV25,N$263)+COUNTIF('8月'!CZ25:DA25,N$263)+COUNTIF('8月'!DE25:DF25,N$263)+COUNTIF('8月'!DJ25:DK25,N$263)+COUNTIF('8月'!DO25:DP25,N$263)+COUNTIF('8月'!DT25:DU25,N$263)+COUNTIF('8月'!DY25:DZ25,N$263)+COUNTIF('8月'!ED25:EE25,N$263)+COUNTIF('8月'!EI25:EJ25,N$263)+COUNTIF('8月'!EN25:EO25,N$263)+COUNTIF('8月'!ES25:ET25,N$263)+COUNTIF('8月'!D25:E25,"三軒茶屋－夜勤")+COUNTIF('8月'!I25:J25,"三軒茶屋－夜勤")+COUNTIF('8月'!N25:O25,"三軒茶屋－夜勤")+COUNTIF('8月'!S25:T25,"三軒茶屋－夜勤")+COUNTIF('8月'!X25:Y25,"三軒茶屋－夜勤")+COUNTIF('8月'!AC25:AD25,"三軒茶屋－夜勤")+COUNTIF('8月'!AH25:AI25,"三軒茶屋－夜勤")+COUNTIF('8月'!AM25:AN25,"三軒茶屋－夜勤")+COUNTIF('8月'!AR25:AS25,"三軒茶屋－夜勤")+COUNTIF('8月'!AW25:AX25,"三軒茶屋－夜勤")+COUNTIF('8月'!BB25:BC25,"三軒茶屋－夜勤")+COUNTIF('8月'!BG25:BH25,"三軒茶屋－夜勤")+COUNTIF('8月'!BL25:BM25,"三軒茶屋－夜勤")+COUNTIF('8月'!BQ25:BR25,"三軒茶屋－夜勤")+COUNTIF('8月'!BV25:BW25,"三軒茶屋－夜勤")+COUNTIF('8月'!CA25:CB25,"三軒茶屋－夜勤")+COUNTIF('8月'!CF25:CG25,"三軒茶屋－夜勤")+COUNTIF('8月'!CK25:CL25,"三軒茶屋－夜勤")+COUNTIF('8月'!CP25:CQ25,"三軒茶屋－夜勤")+COUNTIF('8月'!CU25:CV25,"三軒茶屋－夜勤")+COUNTIF('8月'!CZ25:DA25,"三軒茶屋－夜勤")+COUNTIF('8月'!DE25:DF25,"三軒茶屋－夜勤")+COUNTIF('8月'!DJ25:DK25,"三軒茶屋－夜勤")+COUNTIF('8月'!DO25:DP25,"三軒茶屋－夜勤")+COUNTIF('8月'!DT25:DU25,"三軒茶屋－夜勤")+COUNTIF('8月'!DY25:DZ25,"三軒茶屋－夜勤")+COUNTIF('8月'!ED25:EE25,"三軒茶屋－夜勤")+COUNTIF('8月'!EI25:EJ25,"三軒茶屋－夜勤")+COUNTIF('8月'!EN25:EO25,"三軒茶屋－夜勤")+COUNTIF('8月'!ES25:ET25,"三軒茶屋－夜勤")</f>
        <v>0</v>
      </c>
      <c r="O286" s="76">
        <f t="shared" si="90"/>
        <v>0</v>
      </c>
      <c r="P286" s="76">
        <f>COUNTIF('8月'!D25:E25,P$263)+COUNTIF('8月'!I25:J25,P$263)+COUNTIF('8月'!N25:O25,P$263)+COUNTIF('8月'!S25:T25,P$263)+COUNTIF('8月'!X25:Y25,P$263)+COUNTIF('8月'!AC25:AD25,P$263)+COUNTIF('8月'!AH25:AI25,P$263)+COUNTIF('8月'!AM25:AN25,P$263)+COUNTIF('8月'!AR25:AS25,P$263)+COUNTIF('8月'!AW25:AX25,P$263)+COUNTIF('8月'!BB25:BC25,P$263)+COUNTIF('8月'!BG25:BH25,P$263)+COUNTIF('8月'!BL25:BM25,P$263)+COUNTIF('8月'!BQ25:BR25,P$263)+COUNTIF('8月'!BV25:BW25,P$263)+COUNTIF('8月'!CA25:CB25,P$263)+COUNTIF('8月'!CF25:CG25,P$263)+COUNTIF('8月'!CK25:CL25,P$263)+COUNTIF('8月'!CP25:CQ25,P$263)+COUNTIF('8月'!CU25:CV25,P$263)+COUNTIF('8月'!CZ25:DA25,P$263)+COUNTIF('8月'!DE25:DF25,P$263)+COUNTIF('8月'!DJ25:DK25,P$263)+COUNTIF('8月'!DO25:DP25,P$263)+COUNTIF('8月'!DT25:DU25,P$263)+COUNTIF('8月'!DY25:DZ25,P$263)+COUNTIF('8月'!ED25:EE25,P$263)+COUNTIF('8月'!EI25:EJ25,P$263)+COUNTIF('8月'!EN25:EO25,P$263)+COUNTIF('8月'!ES25:ET25,P$263)+COUNTIF('8月'!D25:E25,"荻窪ー夜勤")+COUNTIF('8月'!I25:J25,"荻窪ー夜勤")+COUNTIF('8月'!N25:O25,"荻窪ー夜勤")+COUNTIF('8月'!S25:T25,"荻窪ー夜勤")+COUNTIF('8月'!X25:Y25,"荻窪ー夜勤")+COUNTIF('8月'!AC25:AD25,"荻窪ー夜勤")+COUNTIF('8月'!AH25:AI25,"荻窪ー夜勤")+COUNTIF('8月'!AM25:AN25,"荻窪ー夜勤")+COUNTIF('8月'!AR25:AS25,"荻窪ー夜勤")+COUNTIF('8月'!AW25:AX25,"荻窪ー夜勤")+COUNTIF('8月'!BB25:BC25,"荻窪ー夜勤")+COUNTIF('8月'!BG25:BH25,"荻窪ー夜勤")+COUNTIF('8月'!BL25:BM25,"荻窪ー夜勤")+COUNTIF('8月'!BQ25:BR25,"荻窪ー夜勤")+COUNTIF('8月'!BV25:BW25,"荻窪ー夜勤")+COUNTIF('8月'!CA25:CB25,"荻窪ー夜勤")+COUNTIF('8月'!CF25:CG25,"荻窪ー夜勤")+COUNTIF('8月'!CK25:CL25,"荻窪ー夜勤")+COUNTIF('8月'!CP25:CQ25,"荻窪ー夜勤")+COUNTIF('8月'!CU25:CV25,"荻窪ー夜勤")+COUNTIF('8月'!CZ25:DA25,"荻窪ー夜勤")+COUNTIF('8月'!DE25:DF25,"荻窪ー夜勤")+COUNTIF('8月'!DJ25:DK25,"荻窪ー夜勤")+COUNTIF('8月'!DO25:DP25,"荻窪ー夜勤")+COUNTIF('8月'!DT25:DU25,"荻窪ー夜勤")+COUNTIF('8月'!DY25:DZ25,"荻窪ー夜勤")+COUNTIF('8月'!ED25:EE25,"荻窪ー夜勤")+COUNTIF('8月'!EI25:EJ25,"荻窪ー夜勤")+COUNTIF('8月'!EN25:EO25,"荻窪ー夜勤")+COUNTIF('8月'!ES25:ET25,"荻窪ー夜勤")</f>
        <v>0</v>
      </c>
      <c r="Q286" s="76">
        <f t="shared" si="91"/>
        <v>0</v>
      </c>
      <c r="R286" s="76">
        <f>COUNTIF('8月'!D25:E25,R$263)+COUNTIF('8月'!I25:J25,R$263)+COUNTIF('8月'!N25:O25,R$263)+COUNTIF('8月'!S25:T25,R$263)+COUNTIF('8月'!X25:Y25,R$263)+COUNTIF('8月'!AC25:AD25,R$263)+COUNTIF('8月'!AH25:AI25,R$263)+COUNTIF('8月'!AM25:AN25,R$263)+COUNTIF('8月'!AR25:AS25,R$263)+COUNTIF('8月'!AW25:AX25,R$263)+COUNTIF('8月'!BB25:BC25,R$263)+COUNTIF('8月'!BG25:BH25,R$263)+COUNTIF('8月'!BL25:BM25,R$263)+COUNTIF('8月'!BQ25:BR25,R$263)+COUNTIF('8月'!BV25:BW25,R$263)+COUNTIF('8月'!CA25:CB25,R$263)+COUNTIF('8月'!CF25:CG25,R$263)+COUNTIF('8月'!CK25:CL25,R$263)+COUNTIF('8月'!CP25:CQ25,R$263)+COUNTIF('8月'!CU25:CV25,R$263)+COUNTIF('8月'!CZ25:DA25,R$263)+COUNTIF('8月'!DE25:DF25,R$263)+COUNTIF('8月'!DJ25:DK25,R$263)+COUNTIF('8月'!DO25:DP25,R$263)+COUNTIF('8月'!DT25:DU25,R$263)+COUNTIF('8月'!DY25:DZ25,R$263)+COUNTIF('8月'!ED25:EE25,R$263)+COUNTIF('8月'!EI25:EJ25,R$263)+COUNTIF('8月'!EN25:EO25,R$263)+COUNTIF('8月'!ES25:ET25,R$263)</f>
        <v>0</v>
      </c>
      <c r="S286" s="76">
        <f t="shared" si="92"/>
        <v>0</v>
      </c>
      <c r="T286" s="76">
        <f>COUNTIF('8月'!D25:E25,T$263)+COUNTIF('8月'!I25:J25,T$263)+COUNTIF('8月'!N25:O25,T$263)+COUNTIF('8月'!S25:T25,T$263)+COUNTIF('8月'!X25:Y25,T$263)+COUNTIF('8月'!AC25:AD25,T$263)+COUNTIF('8月'!AH25:AI25,T$263)+COUNTIF('8月'!AM25:AN25,T$263)+COUNTIF('8月'!AR25:AS25,T$263)+COUNTIF('8月'!AW25:AX25,T$263)+COUNTIF('8月'!BB25:BC25,T$263)+COUNTIF('8月'!BG25:BH25,T$263)+COUNTIF('8月'!BL25:BM25,T$263)+COUNTIF('8月'!BQ25:BR25,T$263)+COUNTIF('8月'!BV25:BW25,T$263)+COUNTIF('8月'!CA25:CB25,T$263)+COUNTIF('8月'!CF25:CG25,T$263)+COUNTIF('8月'!CK25:CL25,T$263)+COUNTIF('8月'!CP25:CQ25,T$263)+COUNTIF('8月'!CU25:CV25,T$263)+COUNTIF('8月'!CZ25:DA25,T$263)+COUNTIF('8月'!DE25:DF25,T$263)+COUNTIF('8月'!DJ25:DK25,T$263)+COUNTIF('8月'!DO25:DP25,T$263)+COUNTIF('8月'!DT25:DU25,T$263)+COUNTIF('8月'!DY25:DZ25,T$263)+COUNTIF('8月'!ED25:EE25,T$263)+COUNTIF('8月'!EI25:EJ25,T$263)+COUNTIF('8月'!EN25:EO25,T$263)+COUNTIF('8月'!ES25:ET25,T$263)</f>
        <v>0</v>
      </c>
      <c r="U286" s="76">
        <f t="shared" si="93"/>
        <v>0</v>
      </c>
      <c r="V286" s="76">
        <f>COUNTIF('8月'!D25:E25,V$263)+COUNTIF('8月'!I25:J25,V$263)+COUNTIF('8月'!N25:O25,V$263)+COUNTIF('8月'!S25:T25,V$263)+COUNTIF('8月'!X25:Y25,V$263)+COUNTIF('8月'!AC25:AD25,V$263)+COUNTIF('8月'!AH25:AI25,V$263)+COUNTIF('8月'!AM25:AN25,V$263)+COUNTIF('8月'!AR25:AS25,V$263)+COUNTIF('8月'!AW25:AX25,V$263)+COUNTIF('8月'!BB25:BC25,V$263)+COUNTIF('8月'!BG25:BH25,V$263)+COUNTIF('8月'!BL25:BM25,V$263)+COUNTIF('8月'!BQ25:BR25,V$263)+COUNTIF('8月'!BV25:BW25,V$263)+COUNTIF('8月'!CA25:CB25,V$263)+COUNTIF('8月'!CF25:CG25,V$263)+COUNTIF('8月'!CK25:CL25,V$263)+COUNTIF('8月'!CP25:CQ25,V$263)+COUNTIF('8月'!CU25:CV25,V$263)+COUNTIF('8月'!CZ25:DA25,V$263)+COUNTIF('8月'!DE25:DF25,V$263)+COUNTIF('8月'!DJ25:DK25,V$263)+COUNTIF('8月'!DO25:DP25,V$263)+COUNTIF('8月'!DT25:DU25,V$263)+COUNTIF('8月'!DY25:DZ25,V$263)+COUNTIF('8月'!ED25:EE25,V$263)+COUNTIF('8月'!EI25:EJ25,V$263)+COUNTIF('8月'!EN25:EO25,V$263)+COUNTIF('8月'!ES25:ET25,V$263)</f>
        <v>0</v>
      </c>
      <c r="W286" s="76">
        <f t="shared" si="94"/>
        <v>0</v>
      </c>
      <c r="X286" s="76">
        <f>COUNTIF('8月'!D25:E25,X$263)+COUNTIF('8月'!I25:J25,X$263)+COUNTIF('8月'!N25:O25,X$263)+COUNTIF('8月'!S25:T25,X$263)+COUNTIF('8月'!X25:Y25,X$263)+COUNTIF('8月'!AC25:AD25,X$263)+COUNTIF('8月'!AH25:AI25,X$263)+COUNTIF('8月'!AM25:AN25,X$263)+COUNTIF('8月'!AR25:AS25,X$263)+COUNTIF('8月'!AW25:AX25,X$263)+COUNTIF('8月'!BB25:BC25,X$263)+COUNTIF('8月'!BG25:BH25,X$263)+COUNTIF('8月'!BL25:BM25,X$263)+COUNTIF('8月'!BQ25:BR25,X$263)+COUNTIF('8月'!BV25:BW25,X$263)+COUNTIF('8月'!CA25:CB25,X$263)+COUNTIF('8月'!CF25:CG25,X$263)+COUNTIF('8月'!CK25:CL25,X$263)+COUNTIF('8月'!CP25:CQ25,X$263)+COUNTIF('8月'!CU25:CV25,X$263)+COUNTIF('8月'!CZ25:DA25,X$263)+COUNTIF('8月'!DE25:DF25,X$263)+COUNTIF('8月'!DJ25:DK25,X$263)+COUNTIF('8月'!DO25:DP25,X$263)+COUNTIF('8月'!DT25:DU25,X$263)+COUNTIF('8月'!DY25:DZ25,X$263)+COUNTIF('8月'!ED25:EE25,X$263)+COUNTIF('8月'!EI25:EJ25,X$263)+COUNTIF('8月'!EN25:EO25,X$263)+COUNTIF('8月'!ES25:ET25,X$263)</f>
        <v>0</v>
      </c>
      <c r="Y286" s="76">
        <f t="shared" si="95"/>
        <v>0</v>
      </c>
    </row>
    <row r="287" spans="1:25" ht="18" customHeight="1">
      <c r="A287" s="76">
        <v>23</v>
      </c>
      <c r="B287" s="76">
        <f>COUNTIF('8月'!D26:E26,B$263)+COUNTIF('8月'!I26:J26,B$263)+COUNTIF('8月'!N26:O26,B$263)+COUNTIF('8月'!S26:T26,B$263)+COUNTIF('8月'!X26:Y26,B$263)+COUNTIF('8月'!AC26:AD26,B$263)+COUNTIF('8月'!AH26:AI26,B$263)+COUNTIF('8月'!AM26:AN26,B$263)+COUNTIF('8月'!AR26:AS26,B$263)+COUNTIF('8月'!AW26:AX26,B$263)+COUNTIF('8月'!BB26:BC26,B$263)+COUNTIF('8月'!BG26:BH26,B$263)+COUNTIF('8月'!BL26:BM26,B$263)+COUNTIF('8月'!BQ26:BR26,B$263)+COUNTIF('8月'!BV26:BW26,B$263)+COUNTIF('8月'!CA26:CB26,B$263)+COUNTIF('8月'!CF26:CG26,B$263)+COUNTIF('8月'!CK26:CL26,B$263)+COUNTIF('8月'!CP26:CQ26,B$263)+COUNTIF('8月'!CU26:CV26,B$263)+COUNTIF('8月'!CZ26:DA26,B$263)+COUNTIF('8月'!DE26:DF26,B$263)+COUNTIF('8月'!DJ26:DK26,B$263)+COUNTIF('8月'!DO26:DP26,B$263)+COUNTIF('8月'!DT26:DU26,B$263)+COUNTIF('8月'!DY26:DZ26,B$263)+COUNTIF('8月'!ED26:EE26,B$263)+COUNTIF('8月'!EI26:EJ26,B$263)+COUNTIF('8月'!EN26:EO26,B$263)+COUNTIF('8月'!ES26:ET26,B$263)</f>
        <v>0</v>
      </c>
      <c r="C287" s="76">
        <f t="shared" si="84"/>
        <v>0</v>
      </c>
      <c r="D287" s="76">
        <f>COUNTIF('8月'!D26:E26,D$263)+COUNTIF('8月'!I26:J26,D$263)+COUNTIF('8月'!N26:O26,D$263)+COUNTIF('8月'!S26:T26,D$263)+COUNTIF('8月'!X26:Y26,D$263)+COUNTIF('8月'!AC26:AD26,D$263)+COUNTIF('8月'!AH26:AI26,D$263)+COUNTIF('8月'!AM26:AN26,D$263)+COUNTIF('8月'!AR26:AS26,D$263)+COUNTIF('8月'!AW26:AX26,D$263)+COUNTIF('8月'!BB26:BC26,D$263)+COUNTIF('8月'!BG26:BH26,D$263)+COUNTIF('8月'!BL26:BM26,D$263)+COUNTIF('8月'!BQ26:BR26,D$263)+COUNTIF('8月'!BV26:BW26,D$263)+COUNTIF('8月'!CA26:CB26,D$263)+COUNTIF('8月'!CF26:CG26,D$263)+COUNTIF('8月'!CK26:CL26,D$263)+COUNTIF('8月'!CP26:CQ26,D$263)+COUNTIF('8月'!CU26:CV26,D$263)+COUNTIF('8月'!CZ26:DA26,D$263)+COUNTIF('8月'!DE26:DF26,D$263)+COUNTIF('8月'!DJ26:DK26,D$263)+COUNTIF('8月'!DO26:DP26,D$263)+COUNTIF('8月'!DT26:DU26,D$263)+COUNTIF('8月'!DY26:DZ26,D$263)+COUNTIF('8月'!ED26:EE26,D$263)+COUNTIF('8月'!EI26:EJ26,D$263)+COUNTIF('8月'!EN26:EO26,D$263)+COUNTIF('8月'!ES26:ET26,D$263)</f>
        <v>0</v>
      </c>
      <c r="E287" s="76">
        <f t="shared" si="85"/>
        <v>0</v>
      </c>
      <c r="F287" s="76">
        <f>COUNTIF('8月'!D26:E26,F$263)+COUNTIF('8月'!I26:J26,F$263)+COUNTIF('8月'!N26:O26,F$263)+COUNTIF('8月'!S26:T26,F$263)+COUNTIF('8月'!X26:Y26,F$263)+COUNTIF('8月'!AC26:AD26,F$263)+COUNTIF('8月'!AH26:AI26,F$263)+COUNTIF('8月'!AM26:AN26,F$263)+COUNTIF('8月'!AR26:AS26,F$263)+COUNTIF('8月'!AW26:AX26,F$263)+COUNTIF('8月'!BB26:BC26,F$263)+COUNTIF('8月'!BG26:BH26,F$263)+COUNTIF('8月'!BL26:BM26,F$263)+COUNTIF('8月'!BQ26:BR26,F$263)+COUNTIF('8月'!BV26:BW26,F$263)+COUNTIF('8月'!CA26:CB26,F$263)+COUNTIF('8月'!CF26:CG26,F$263)+COUNTIF('8月'!CK26:CL26,F$263)+COUNTIF('8月'!CP26:CQ26,F$263)+COUNTIF('8月'!CU26:CV26,F$263)+COUNTIF('8月'!CZ26:DA26,F$263)+COUNTIF('8月'!DE26:DF26,F$263)+COUNTIF('8月'!DJ26:DK26,F$263)+COUNTIF('8月'!DO26:DP26,F$263)+COUNTIF('8月'!DT26:DU26,F$263)+COUNTIF('8月'!DY26:DZ26,F$263)+COUNTIF('8月'!ED26:EE26,F$263)+COUNTIF('8月'!EI26:EJ26,F$263)+COUNTIF('8月'!EN26:EO26,F$263)+COUNTIF('8月'!ES26:ET26,F$263)</f>
        <v>0</v>
      </c>
      <c r="G287" s="76">
        <f t="shared" si="86"/>
        <v>0</v>
      </c>
      <c r="H287" s="76">
        <f>COUNTIF('8月'!D26:E26,H$263)+COUNTIF('8月'!I26:J26,H$263)+COUNTIF('8月'!N26:O26,H$263)+COUNTIF('8月'!S26:T26,H$263)+COUNTIF('8月'!X26:Y26,H$263)+COUNTIF('8月'!AC26:AD26,H$263)+COUNTIF('8月'!AH26:AI26,H$263)+COUNTIF('8月'!AM26:AN26,H$263)+COUNTIF('8月'!AR26:AS26,H$263)+COUNTIF('8月'!AW26:AX26,H$263)+COUNTIF('8月'!BB26:BC26,H$263)+COUNTIF('8月'!BG26:BH26,H$263)+COUNTIF('8月'!BL26:BM26,H$263)+COUNTIF('8月'!BQ26:BR26,H$263)+COUNTIF('8月'!BV26:BW26,H$263)+COUNTIF('8月'!CA26:CB26,H$263)+COUNTIF('8月'!CF26:CG26,H$263)+COUNTIF('8月'!CK26:CL26,H$263)+COUNTIF('8月'!CP26:CQ26,H$263)+COUNTIF('8月'!CU26:CV26,H$263)+COUNTIF('8月'!CZ26:DA26,H$263)+COUNTIF('8月'!DE26:DF26,H$263)+COUNTIF('8月'!DJ26:DK26,H$263)+COUNTIF('8月'!DO26:DP26,H$263)+COUNTIF('8月'!DT26:DU26,H$263)+COUNTIF('8月'!DY26:DZ26,H$263)+COUNTIF('8月'!ED26:EE26,H$263)+COUNTIF('8月'!EI26:EJ26,H$263)+COUNTIF('8月'!EN26:EO26,H$263)+COUNTIF('8月'!ES26:ET26,H$263)+COUNTIF('8月'!D26:E26,"渋谷-夜勤")+COUNTIF('8月'!I26:J26,"渋谷-夜勤")+COUNTIF('8月'!N26:O26,"渋谷-夜勤")+COUNTIF('8月'!S26:T26,"渋谷-夜勤")+COUNTIF('8月'!X26:Y26,"渋谷-夜勤")+COUNTIF('8月'!AC26:AD26,"渋谷-夜勤")+COUNTIF('8月'!AH26:AI26,"渋谷-夜勤")+COUNTIF('8月'!AM26:AN26,"渋谷-夜勤")+COUNTIF('8月'!AR26:AS26,"渋谷-夜勤")+COUNTIF('8月'!AW26:AX26,"渋谷-夜勤")+COUNTIF('8月'!BB26:BC26,"渋谷-夜勤")+COUNTIF('8月'!BG26:BH26,"渋谷-夜勤")+COUNTIF('8月'!BL26:BM26,"渋谷-夜勤")+COUNTIF('8月'!BQ26:BR26,"渋谷-夜勤")+COUNTIF('8月'!BV26:BW26,"渋谷-夜勤")+COUNTIF('8月'!CA26:CB26,"渋谷-夜勤")+COUNTIF('8月'!CF26:CG26,"渋谷-夜勤")+COUNTIF('8月'!CK26:CL26,"渋谷-夜勤")+COUNTIF('8月'!CP26:CQ26,"渋谷-夜勤")+COUNTIF('8月'!CU26:CV26,"渋谷-夜勤")+COUNTIF('8月'!CZ26:DA26,"渋谷-夜勤")+COUNTIF('8月'!DE26:DF26,"渋谷-夜勤")+COUNTIF('8月'!DJ26:DK26,"渋谷-夜勤")+COUNTIF('8月'!DO26:DP26,"渋谷-夜勤")+COUNTIF('8月'!DT26:DU26,"渋谷-夜勤")+COUNTIF('8月'!DY26:DZ26,"渋谷-夜勤")+COUNTIF('8月'!ED26:EE26,"渋谷-夜勤")+COUNTIF('8月'!EI26:EJ26,"渋谷-夜勤")+COUNTIF('8月'!EN26:EO26,"渋谷-夜勤")+COUNTIF('8月'!ES26:ET26,"渋谷-夜勤")</f>
        <v>0</v>
      </c>
      <c r="I287" s="76">
        <f t="shared" si="87"/>
        <v>0</v>
      </c>
      <c r="J287" s="76">
        <f>COUNTIF('8月'!D26:E26,J$263)+COUNTIF('8月'!I26:J26,J$263)+COUNTIF('8月'!N26:O26,J$263)+COUNTIF('8月'!S26:T26,J$263)+COUNTIF('8月'!X26:Y26,J$263)+COUNTIF('8月'!AC26:AD26,J$263)+COUNTIF('8月'!AH26:AI26,J$263)+COUNTIF('8月'!AM26:AN26,J$263)+COUNTIF('8月'!AR26:AS26,J$263)+COUNTIF('8月'!AW26:AX26,J$263)+COUNTIF('8月'!BB26:BC26,J$263)+COUNTIF('8月'!BG26:BH26,J$263)+COUNTIF('8月'!BL26:BM26,J$263)+COUNTIF('8月'!BQ26:BR26,J$263)+COUNTIF('8月'!BV26:BW26,J$263)+COUNTIF('8月'!CA26:CB26,J$263)+COUNTIF('8月'!CF26:CG26,J$263)+COUNTIF('8月'!CK26:CL26,J$263)+COUNTIF('8月'!CP26:CQ26,J$263)+COUNTIF('8月'!CU26:CV26,J$263)+COUNTIF('8月'!CZ26:DA26,J$263)+COUNTIF('8月'!DE26:DF26,J$263)+COUNTIF('8月'!DJ26:DK26,J$263)+COUNTIF('8月'!DO26:DP26,J$263)+COUNTIF('8月'!DT26:DU26,J$263)+COUNTIF('8月'!DY26:DZ26,J$263)+COUNTIF('8月'!ED26:EE26,J$263)+COUNTIF('8月'!EI26:EJ26,J$263)+COUNTIF('8月'!EN26:EO26,J$263)+COUNTIF('8月'!ES26:ET26,J$263)+COUNTIF('8月'!D26:E26,"六本木-夜勤")+COUNTIF('8月'!I26:J26,"六本木-夜勤")+COUNTIF('8月'!N26:O26,"六本木-夜勤")+COUNTIF('8月'!S26:T26,"六本木-夜勤")+COUNTIF('8月'!X26:Y26,"六本木-夜勤")+COUNTIF('8月'!AC26:AD26,"六本木-夜勤")+COUNTIF('8月'!AH26:AI26,"六本木-夜勤")+COUNTIF('8月'!AM26:AN26,"六本木-夜勤")+COUNTIF('8月'!AR26:AS26,"六本木-夜勤")+COUNTIF('8月'!AW26:AX26,"六本木-夜勤")+COUNTIF('8月'!BB26:BC26,"六本木-夜勤")+COUNTIF('8月'!BG26:BH26,"六本木-夜勤")+COUNTIF('8月'!BL26:BM26,"六本木-夜勤")+COUNTIF('8月'!BQ26:BR26,"六本木-夜勤")+COUNTIF('8月'!BV26:BW26,"六本木-夜勤")+COUNTIF('8月'!CA26:CB26,"六本木-夜勤")+COUNTIF('8月'!CF26:CG26,"六本木-夜勤")+COUNTIF('8月'!CK26:CL26,"六本木-夜勤")+COUNTIF('8月'!CP26:CQ26,"六本木-夜勤")+COUNTIF('8月'!CU26:CV26,"六本木-夜勤")+COUNTIF('8月'!CZ26:DA26,"六本木-夜勤")+COUNTIF('8月'!DE26:DF26,"六本木-夜勤")+COUNTIF('8月'!DJ26:DK26,"六本木-夜勤")+COUNTIF('8月'!DO26:DP26,"六本木-夜勤")+COUNTIF('8月'!DT26:DU26,"六本木-夜勤")+COUNTIF('8月'!DY26:DZ26,"六本木-夜勤")+COUNTIF('8月'!ED26:EE26,"六本木-夜勤")+COUNTIF('8月'!EI26:EJ26,"六本木-夜勤")+COUNTIF('8月'!EN26:EO26,"六本木-夜勤")+COUNTIF('8月'!ES26:ET26,"六本木-夜勤")+COUNTIF('8月'!D26:E26,"六本木ー夜勤")+COUNTIF('8月'!I26:J26,"六本木ー夜勤")+COUNTIF('8月'!N26:O26,"六本木ー夜勤")+COUNTIF('8月'!S26:T26,"六本木ー夜勤")+COUNTIF('8月'!X26:Y26,"六本木ー夜勤")+COUNTIF('8月'!AC26:AD26,"六本木ー夜勤")+COUNTIF('8月'!AH26:AI26,"六本木ー夜勤")+COUNTIF('8月'!AM26:AN26,"六本木ー夜勤")+COUNTIF('8月'!AR26:AS26,"六本木ー夜勤")+COUNTIF('8月'!AW26:AX26,"六本木ー夜勤")+COUNTIF('8月'!BB26:BC26,"六本木ー夜勤")+COUNTIF('8月'!BG26:BH26,"六本木ー夜勤")+COUNTIF('8月'!BL26:BM26,"六本木ー夜勤")+COUNTIF('8月'!BQ26:BR26,"六本木ー夜勤")+COUNTIF('8月'!BV26:BW26,"六本木ー夜勤")+COUNTIF('8月'!CA26:CB26,"六本木ー夜勤")+COUNTIF('8月'!CF26:CG26,"六本木ー夜勤")+COUNTIF('8月'!CK26:CL26,"六本木ー夜勤")+COUNTIF('8月'!CP26:CQ26,"六本木ー夜勤")+COUNTIF('8月'!CU26:CV26,"六本木ー夜勤")+COUNTIF('8月'!CZ26:DA26,"六本木ー夜勤")+COUNTIF('8月'!DE26:DF26,"六本木ー夜勤")+COUNTIF('8月'!DJ26:DK26,"六本木ー夜勤")+COUNTIF('8月'!DO26:DP26,"六本木ー夜勤")+COUNTIF('8月'!DT26:DU26,"六本木ー夜勤")+COUNTIF('8月'!DY26:DZ26,"六本木ー夜勤")+COUNTIF('8月'!ED26:EE26,"六本木ー夜勤")+COUNTIF('8月'!EI26:EJ26,"六本木ー夜勤")+COUNTIF('8月'!EN26:EO26,"六本木ー夜勤")+COUNTIF('8月'!ES26:ET26,"六本木ー夜勤")</f>
        <v>0</v>
      </c>
      <c r="K287" s="76">
        <f t="shared" si="88"/>
        <v>0</v>
      </c>
      <c r="L287" s="76">
        <f>COUNTIF('8月'!D26:E26,L$263)+COUNTIF('8月'!I26:J26,L$263)+COUNTIF('8月'!N26:O26,L$263)+COUNTIF('8月'!S26:T26,L$263)+COUNTIF('8月'!X26:Y26,L$263)+COUNTIF('8月'!AC26:AD26,L$263)+COUNTIF('8月'!AH26:AI26,L$263)+COUNTIF('8月'!AM26:AN26,L$263)+COUNTIF('8月'!AR26:AS26,L$263)+COUNTIF('8月'!AW26:AX26,L$263)+COUNTIF('8月'!BB26:BC26,L$263)+COUNTIF('8月'!BG26:BH26,L$263)+COUNTIF('8月'!BL26:BM26,L$263)+COUNTIF('8月'!BQ26:BR26,L$263)+COUNTIF('8月'!BV26:BW26,L$263)+COUNTIF('8月'!CA26:CB26,L$263)+COUNTIF('8月'!CF26:CG26,L$263)+COUNTIF('8月'!CK26:CL26,L$263)+COUNTIF('8月'!CP26:CQ26,L$263)+COUNTIF('8月'!CU26:CV26,L$263)+COUNTIF('8月'!CZ26:DA26,L$263)+COUNTIF('8月'!DE26:DF26,L$263)+COUNTIF('8月'!DJ26:DK26,L$263)+COUNTIF('8月'!DO26:DP26,L$263)+COUNTIF('8月'!DT26:DU26,L$263)+COUNTIF('8月'!DY26:DZ26,L$263)+COUNTIF('8月'!ED26:EE26,L$263)+COUNTIF('8月'!EI26:EJ26,L$263)+COUNTIF('8月'!EN26:EO26,L$263)+COUNTIF('8月'!ES26:ET26,L$263)</f>
        <v>0</v>
      </c>
      <c r="M287" s="76">
        <f t="shared" si="89"/>
        <v>0</v>
      </c>
      <c r="N287" s="76">
        <f>COUNTIF('8月'!D26:E26,N$263)+COUNTIF('8月'!I26:J26,N$263)+COUNTIF('8月'!N26:O26,N$263)+COUNTIF('8月'!S26:T26,N$263)+COUNTIF('8月'!X26:Y26,N$263)+COUNTIF('8月'!AC26:AD26,N$263)+COUNTIF('8月'!AH26:AI26,N$263)+COUNTIF('8月'!AM26:AN26,N$263)+COUNTIF('8月'!AR26:AS26,N$263)+COUNTIF('8月'!AW26:AX26,N$263)+COUNTIF('8月'!BB26:BC26,N$263)+COUNTIF('8月'!BG26:BH26,N$263)+COUNTIF('8月'!BL26:BM26,N$263)+COUNTIF('8月'!BQ26:BR26,N$263)+COUNTIF('8月'!BV26:BW26,N$263)+COUNTIF('8月'!CA26:CB26,N$263)+COUNTIF('8月'!CF26:CG26,N$263)+COUNTIF('8月'!CK26:CL26,N$263)+COUNTIF('8月'!CP26:CQ26,N$263)+COUNTIF('8月'!CU26:CV26,N$263)+COUNTIF('8月'!CZ26:DA26,N$263)+COUNTIF('8月'!DE26:DF26,N$263)+COUNTIF('8月'!DJ26:DK26,N$263)+COUNTIF('8月'!DO26:DP26,N$263)+COUNTIF('8月'!DT26:DU26,N$263)+COUNTIF('8月'!DY26:DZ26,N$263)+COUNTIF('8月'!ED26:EE26,N$263)+COUNTIF('8月'!EI26:EJ26,N$263)+COUNTIF('8月'!EN26:EO26,N$263)+COUNTIF('8月'!ES26:ET26,N$263)+COUNTIF('8月'!D26:E26,"三軒茶屋－夜勤")+COUNTIF('8月'!I26:J26,"三軒茶屋－夜勤")+COUNTIF('8月'!N26:O26,"三軒茶屋－夜勤")+COUNTIF('8月'!S26:T26,"三軒茶屋－夜勤")+COUNTIF('8月'!X26:Y26,"三軒茶屋－夜勤")+COUNTIF('8月'!AC26:AD26,"三軒茶屋－夜勤")+COUNTIF('8月'!AH26:AI26,"三軒茶屋－夜勤")+COUNTIF('8月'!AM26:AN26,"三軒茶屋－夜勤")+COUNTIF('8月'!AR26:AS26,"三軒茶屋－夜勤")+COUNTIF('8月'!AW26:AX26,"三軒茶屋－夜勤")+COUNTIF('8月'!BB26:BC26,"三軒茶屋－夜勤")+COUNTIF('8月'!BG26:BH26,"三軒茶屋－夜勤")+COUNTIF('8月'!BL26:BM26,"三軒茶屋－夜勤")+COUNTIF('8月'!BQ26:BR26,"三軒茶屋－夜勤")+COUNTIF('8月'!BV26:BW26,"三軒茶屋－夜勤")+COUNTIF('8月'!CA26:CB26,"三軒茶屋－夜勤")+COUNTIF('8月'!CF26:CG26,"三軒茶屋－夜勤")+COUNTIF('8月'!CK26:CL26,"三軒茶屋－夜勤")+COUNTIF('8月'!CP26:CQ26,"三軒茶屋－夜勤")+COUNTIF('8月'!CU26:CV26,"三軒茶屋－夜勤")+COUNTIF('8月'!CZ26:DA26,"三軒茶屋－夜勤")+COUNTIF('8月'!DE26:DF26,"三軒茶屋－夜勤")+COUNTIF('8月'!DJ26:DK26,"三軒茶屋－夜勤")+COUNTIF('8月'!DO26:DP26,"三軒茶屋－夜勤")+COUNTIF('8月'!DT26:DU26,"三軒茶屋－夜勤")+COUNTIF('8月'!DY26:DZ26,"三軒茶屋－夜勤")+COUNTIF('8月'!ED26:EE26,"三軒茶屋－夜勤")+COUNTIF('8月'!EI26:EJ26,"三軒茶屋－夜勤")+COUNTIF('8月'!EN26:EO26,"三軒茶屋－夜勤")+COUNTIF('8月'!ES26:ET26,"三軒茶屋－夜勤")</f>
        <v>0</v>
      </c>
      <c r="O287" s="76">
        <f t="shared" si="90"/>
        <v>0</v>
      </c>
      <c r="P287" s="76">
        <f>COUNTIF('8月'!D26:E26,P$263)+COUNTIF('8月'!I26:J26,P$263)+COUNTIF('8月'!N26:O26,P$263)+COUNTIF('8月'!S26:T26,P$263)+COUNTIF('8月'!X26:Y26,P$263)+COUNTIF('8月'!AC26:AD26,P$263)+COUNTIF('8月'!AH26:AI26,P$263)+COUNTIF('8月'!AM26:AN26,P$263)+COUNTIF('8月'!AR26:AS26,P$263)+COUNTIF('8月'!AW26:AX26,P$263)+COUNTIF('8月'!BB26:BC26,P$263)+COUNTIF('8月'!BG26:BH26,P$263)+COUNTIF('8月'!BL26:BM26,P$263)+COUNTIF('8月'!BQ26:BR26,P$263)+COUNTIF('8月'!BV26:BW26,P$263)+COUNTIF('8月'!CA26:CB26,P$263)+COUNTIF('8月'!CF26:CG26,P$263)+COUNTIF('8月'!CK26:CL26,P$263)+COUNTIF('8月'!CP26:CQ26,P$263)+COUNTIF('8月'!CU26:CV26,P$263)+COUNTIF('8月'!CZ26:DA26,P$263)+COUNTIF('8月'!DE26:DF26,P$263)+COUNTIF('8月'!DJ26:DK26,P$263)+COUNTIF('8月'!DO26:DP26,P$263)+COUNTIF('8月'!DT26:DU26,P$263)+COUNTIF('8月'!DY26:DZ26,P$263)+COUNTIF('8月'!ED26:EE26,P$263)+COUNTIF('8月'!EI26:EJ26,P$263)+COUNTIF('8月'!EN26:EO26,P$263)+COUNTIF('8月'!ES26:ET26,P$263)+COUNTIF('8月'!D26:E26,"荻窪ー夜勤")+COUNTIF('8月'!I26:J26,"荻窪ー夜勤")+COUNTIF('8月'!N26:O26,"荻窪ー夜勤")+COUNTIF('8月'!S26:T26,"荻窪ー夜勤")+COUNTIF('8月'!X26:Y26,"荻窪ー夜勤")+COUNTIF('8月'!AC26:AD26,"荻窪ー夜勤")+COUNTIF('8月'!AH26:AI26,"荻窪ー夜勤")+COUNTIF('8月'!AM26:AN26,"荻窪ー夜勤")+COUNTIF('8月'!AR26:AS26,"荻窪ー夜勤")+COUNTIF('8月'!AW26:AX26,"荻窪ー夜勤")+COUNTIF('8月'!BB26:BC26,"荻窪ー夜勤")+COUNTIF('8月'!BG26:BH26,"荻窪ー夜勤")+COUNTIF('8月'!BL26:BM26,"荻窪ー夜勤")+COUNTIF('8月'!BQ26:BR26,"荻窪ー夜勤")+COUNTIF('8月'!BV26:BW26,"荻窪ー夜勤")+COUNTIF('8月'!CA26:CB26,"荻窪ー夜勤")+COUNTIF('8月'!CF26:CG26,"荻窪ー夜勤")+COUNTIF('8月'!CK26:CL26,"荻窪ー夜勤")+COUNTIF('8月'!CP26:CQ26,"荻窪ー夜勤")+COUNTIF('8月'!CU26:CV26,"荻窪ー夜勤")+COUNTIF('8月'!CZ26:DA26,"荻窪ー夜勤")+COUNTIF('8月'!DE26:DF26,"荻窪ー夜勤")+COUNTIF('8月'!DJ26:DK26,"荻窪ー夜勤")+COUNTIF('8月'!DO26:DP26,"荻窪ー夜勤")+COUNTIF('8月'!DT26:DU26,"荻窪ー夜勤")+COUNTIF('8月'!DY26:DZ26,"荻窪ー夜勤")+COUNTIF('8月'!ED26:EE26,"荻窪ー夜勤")+COUNTIF('8月'!EI26:EJ26,"荻窪ー夜勤")+COUNTIF('8月'!EN26:EO26,"荻窪ー夜勤")+COUNTIF('8月'!ES26:ET26,"荻窪ー夜勤")</f>
        <v>0</v>
      </c>
      <c r="Q287" s="76">
        <f t="shared" si="91"/>
        <v>0</v>
      </c>
      <c r="R287" s="76">
        <f>COUNTIF('8月'!D26:E26,R$263)+COUNTIF('8月'!I26:J26,R$263)+COUNTIF('8月'!N26:O26,R$263)+COUNTIF('8月'!S26:T26,R$263)+COUNTIF('8月'!X26:Y26,R$263)+COUNTIF('8月'!AC26:AD26,R$263)+COUNTIF('8月'!AH26:AI26,R$263)+COUNTIF('8月'!AM26:AN26,R$263)+COUNTIF('8月'!AR26:AS26,R$263)+COUNTIF('8月'!AW26:AX26,R$263)+COUNTIF('8月'!BB26:BC26,R$263)+COUNTIF('8月'!BG26:BH26,R$263)+COUNTIF('8月'!BL26:BM26,R$263)+COUNTIF('8月'!BQ26:BR26,R$263)+COUNTIF('8月'!BV26:BW26,R$263)+COUNTIF('8月'!CA26:CB26,R$263)+COUNTIF('8月'!CF26:CG26,R$263)+COUNTIF('8月'!CK26:CL26,R$263)+COUNTIF('8月'!CP26:CQ26,R$263)+COUNTIF('8月'!CU26:CV26,R$263)+COUNTIF('8月'!CZ26:DA26,R$263)+COUNTIF('8月'!DE26:DF26,R$263)+COUNTIF('8月'!DJ26:DK26,R$263)+COUNTIF('8月'!DO26:DP26,R$263)+COUNTIF('8月'!DT26:DU26,R$263)+COUNTIF('8月'!DY26:DZ26,R$263)+COUNTIF('8月'!ED26:EE26,R$263)+COUNTIF('8月'!EI26:EJ26,R$263)+COUNTIF('8月'!EN26:EO26,R$263)+COUNTIF('8月'!ES26:ET26,R$263)</f>
        <v>0</v>
      </c>
      <c r="S287" s="76">
        <f t="shared" si="92"/>
        <v>0</v>
      </c>
      <c r="T287" s="76">
        <f>COUNTIF('8月'!D26:E26,T$263)+COUNTIF('8月'!I26:J26,T$263)+COUNTIF('8月'!N26:O26,T$263)+COUNTIF('8月'!S26:T26,T$263)+COUNTIF('8月'!X26:Y26,T$263)+COUNTIF('8月'!AC26:AD26,T$263)+COUNTIF('8月'!AH26:AI26,T$263)+COUNTIF('8月'!AM26:AN26,T$263)+COUNTIF('8月'!AR26:AS26,T$263)+COUNTIF('8月'!AW26:AX26,T$263)+COUNTIF('8月'!BB26:BC26,T$263)+COUNTIF('8月'!BG26:BH26,T$263)+COUNTIF('8月'!BL26:BM26,T$263)+COUNTIF('8月'!BQ26:BR26,T$263)+COUNTIF('8月'!BV26:BW26,T$263)+COUNTIF('8月'!CA26:CB26,T$263)+COUNTIF('8月'!CF26:CG26,T$263)+COUNTIF('8月'!CK26:CL26,T$263)+COUNTIF('8月'!CP26:CQ26,T$263)+COUNTIF('8月'!CU26:CV26,T$263)+COUNTIF('8月'!CZ26:DA26,T$263)+COUNTIF('8月'!DE26:DF26,T$263)+COUNTIF('8月'!DJ26:DK26,T$263)+COUNTIF('8月'!DO26:DP26,T$263)+COUNTIF('8月'!DT26:DU26,T$263)+COUNTIF('8月'!DY26:DZ26,T$263)+COUNTIF('8月'!ED26:EE26,T$263)+COUNTIF('8月'!EI26:EJ26,T$263)+COUNTIF('8月'!EN26:EO26,T$263)+COUNTIF('8月'!ES26:ET26,T$263)</f>
        <v>0</v>
      </c>
      <c r="U287" s="76">
        <f t="shared" si="93"/>
        <v>0</v>
      </c>
      <c r="V287" s="76">
        <f>COUNTIF('8月'!D26:E26,V$263)+COUNTIF('8月'!I26:J26,V$263)+COUNTIF('8月'!N26:O26,V$263)+COUNTIF('8月'!S26:T26,V$263)+COUNTIF('8月'!X26:Y26,V$263)+COUNTIF('8月'!AC26:AD26,V$263)+COUNTIF('8月'!AH26:AI26,V$263)+COUNTIF('8月'!AM26:AN26,V$263)+COUNTIF('8月'!AR26:AS26,V$263)+COUNTIF('8月'!AW26:AX26,V$263)+COUNTIF('8月'!BB26:BC26,V$263)+COUNTIF('8月'!BG26:BH26,V$263)+COUNTIF('8月'!BL26:BM26,V$263)+COUNTIF('8月'!BQ26:BR26,V$263)+COUNTIF('8月'!BV26:BW26,V$263)+COUNTIF('8月'!CA26:CB26,V$263)+COUNTIF('8月'!CF26:CG26,V$263)+COUNTIF('8月'!CK26:CL26,V$263)+COUNTIF('8月'!CP26:CQ26,V$263)+COUNTIF('8月'!CU26:CV26,V$263)+COUNTIF('8月'!CZ26:DA26,V$263)+COUNTIF('8月'!DE26:DF26,V$263)+COUNTIF('8月'!DJ26:DK26,V$263)+COUNTIF('8月'!DO26:DP26,V$263)+COUNTIF('8月'!DT26:DU26,V$263)+COUNTIF('8月'!DY26:DZ26,V$263)+COUNTIF('8月'!ED26:EE26,V$263)+COUNTIF('8月'!EI26:EJ26,V$263)+COUNTIF('8月'!EN26:EO26,V$263)+COUNTIF('8月'!ES26:ET26,V$263)</f>
        <v>0</v>
      </c>
      <c r="W287" s="76">
        <f t="shared" si="94"/>
        <v>0</v>
      </c>
      <c r="X287" s="76">
        <f>COUNTIF('8月'!D26:E26,X$263)+COUNTIF('8月'!I26:J26,X$263)+COUNTIF('8月'!N26:O26,X$263)+COUNTIF('8月'!S26:T26,X$263)+COUNTIF('8月'!X26:Y26,X$263)+COUNTIF('8月'!AC26:AD26,X$263)+COUNTIF('8月'!AH26:AI26,X$263)+COUNTIF('8月'!AM26:AN26,X$263)+COUNTIF('8月'!AR26:AS26,X$263)+COUNTIF('8月'!AW26:AX26,X$263)+COUNTIF('8月'!BB26:BC26,X$263)+COUNTIF('8月'!BG26:BH26,X$263)+COUNTIF('8月'!BL26:BM26,X$263)+COUNTIF('8月'!BQ26:BR26,X$263)+COUNTIF('8月'!BV26:BW26,X$263)+COUNTIF('8月'!CA26:CB26,X$263)+COUNTIF('8月'!CF26:CG26,X$263)+COUNTIF('8月'!CK26:CL26,X$263)+COUNTIF('8月'!CP26:CQ26,X$263)+COUNTIF('8月'!CU26:CV26,X$263)+COUNTIF('8月'!CZ26:DA26,X$263)+COUNTIF('8月'!DE26:DF26,X$263)+COUNTIF('8月'!DJ26:DK26,X$263)+COUNTIF('8月'!DO26:DP26,X$263)+COUNTIF('8月'!DT26:DU26,X$263)+COUNTIF('8月'!DY26:DZ26,X$263)+COUNTIF('8月'!ED26:EE26,X$263)+COUNTIF('8月'!EI26:EJ26,X$263)+COUNTIF('8月'!EN26:EO26,X$263)+COUNTIF('8月'!ES26:ET26,X$263)</f>
        <v>0</v>
      </c>
      <c r="Y287" s="76">
        <f t="shared" si="95"/>
        <v>0</v>
      </c>
    </row>
    <row r="288" spans="1:25" ht="18" customHeight="1">
      <c r="A288" s="76">
        <v>24</v>
      </c>
      <c r="B288" s="76">
        <f>COUNTIF('8月'!D27:E27,B$263)+COUNTIF('8月'!I27:J27,B$263)+COUNTIF('8月'!N27:O27,B$263)+COUNTIF('8月'!S27:T27,B$263)+COUNTIF('8月'!X27:Y27,B$263)+COUNTIF('8月'!AC27:AD27,B$263)+COUNTIF('8月'!AH27:AI27,B$263)+COUNTIF('8月'!AM27:AN27,B$263)+COUNTIF('8月'!AR27:AS27,B$263)+COUNTIF('8月'!AW27:AX27,B$263)+COUNTIF('8月'!BB27:BC27,B$263)+COUNTIF('8月'!BG27:BH27,B$263)+COUNTIF('8月'!BL27:BM27,B$263)+COUNTIF('8月'!BQ27:BR27,B$263)+COUNTIF('8月'!BV27:BW27,B$263)+COUNTIF('8月'!CA27:CB27,B$263)+COUNTIF('8月'!CF27:CG27,B$263)+COUNTIF('8月'!CK27:CL27,B$263)+COUNTIF('8月'!CP27:CQ27,B$263)+COUNTIF('8月'!CU27:CV27,B$263)+COUNTIF('8月'!CZ27:DA27,B$263)+COUNTIF('8月'!DE27:DF27,B$263)+COUNTIF('8月'!DJ27:DK27,B$263)+COUNTIF('8月'!DO27:DP27,B$263)+COUNTIF('8月'!DT27:DU27,B$263)+COUNTIF('8月'!DY27:DZ27,B$263)+COUNTIF('8月'!ED27:EE27,B$263)+COUNTIF('8月'!EI27:EJ27,B$263)+COUNTIF('8月'!EN27:EO27,B$263)+COUNTIF('8月'!ES27:ET27,B$263)</f>
        <v>0</v>
      </c>
      <c r="C288" s="76">
        <f t="shared" si="84"/>
        <v>0</v>
      </c>
      <c r="D288" s="76">
        <f>COUNTIF('8月'!D27:E27,D$263)+COUNTIF('8月'!I27:J27,D$263)+COUNTIF('8月'!N27:O27,D$263)+COUNTIF('8月'!S27:T27,D$263)+COUNTIF('8月'!X27:Y27,D$263)+COUNTIF('8月'!AC27:AD27,D$263)+COUNTIF('8月'!AH27:AI27,D$263)+COUNTIF('8月'!AM27:AN27,D$263)+COUNTIF('8月'!AR27:AS27,D$263)+COUNTIF('8月'!AW27:AX27,D$263)+COUNTIF('8月'!BB27:BC27,D$263)+COUNTIF('8月'!BG27:BH27,D$263)+COUNTIF('8月'!BL27:BM27,D$263)+COUNTIF('8月'!BQ27:BR27,D$263)+COUNTIF('8月'!BV27:BW27,D$263)+COUNTIF('8月'!CA27:CB27,D$263)+COUNTIF('8月'!CF27:CG27,D$263)+COUNTIF('8月'!CK27:CL27,D$263)+COUNTIF('8月'!CP27:CQ27,D$263)+COUNTIF('8月'!CU27:CV27,D$263)+COUNTIF('8月'!CZ27:DA27,D$263)+COUNTIF('8月'!DE27:DF27,D$263)+COUNTIF('8月'!DJ27:DK27,D$263)+COUNTIF('8月'!DO27:DP27,D$263)+COUNTIF('8月'!DT27:DU27,D$263)+COUNTIF('8月'!DY27:DZ27,D$263)+COUNTIF('8月'!ED27:EE27,D$263)+COUNTIF('8月'!EI27:EJ27,D$263)+COUNTIF('8月'!EN27:EO27,D$263)+COUNTIF('8月'!ES27:ET27,D$263)</f>
        <v>0</v>
      </c>
      <c r="E288" s="76">
        <f t="shared" si="85"/>
        <v>0</v>
      </c>
      <c r="F288" s="76">
        <f>COUNTIF('8月'!D27:E27,F$263)+COUNTIF('8月'!I27:J27,F$263)+COUNTIF('8月'!N27:O27,F$263)+COUNTIF('8月'!S27:T27,F$263)+COUNTIF('8月'!X27:Y27,F$263)+COUNTIF('8月'!AC27:AD27,F$263)+COUNTIF('8月'!AH27:AI27,F$263)+COUNTIF('8月'!AM27:AN27,F$263)+COUNTIF('8月'!AR27:AS27,F$263)+COUNTIF('8月'!AW27:AX27,F$263)+COUNTIF('8月'!BB27:BC27,F$263)+COUNTIF('8月'!BG27:BH27,F$263)+COUNTIF('8月'!BL27:BM27,F$263)+COUNTIF('8月'!BQ27:BR27,F$263)+COUNTIF('8月'!BV27:BW27,F$263)+COUNTIF('8月'!CA27:CB27,F$263)+COUNTIF('8月'!CF27:CG27,F$263)+COUNTIF('8月'!CK27:CL27,F$263)+COUNTIF('8月'!CP27:CQ27,F$263)+COUNTIF('8月'!CU27:CV27,F$263)+COUNTIF('8月'!CZ27:DA27,F$263)+COUNTIF('8月'!DE27:DF27,F$263)+COUNTIF('8月'!DJ27:DK27,F$263)+COUNTIF('8月'!DO27:DP27,F$263)+COUNTIF('8月'!DT27:DU27,F$263)+COUNTIF('8月'!DY27:DZ27,F$263)+COUNTIF('8月'!ED27:EE27,F$263)+COUNTIF('8月'!EI27:EJ27,F$263)+COUNTIF('8月'!EN27:EO27,F$263)+COUNTIF('8月'!ES27:ET27,F$263)</f>
        <v>0</v>
      </c>
      <c r="G288" s="76">
        <f t="shared" si="86"/>
        <v>0</v>
      </c>
      <c r="H288" s="76">
        <f>COUNTIF('8月'!D27:E27,H$263)+COUNTIF('8月'!I27:J27,H$263)+COUNTIF('8月'!N27:O27,H$263)+COUNTIF('8月'!S27:T27,H$263)+COUNTIF('8月'!X27:Y27,H$263)+COUNTIF('8月'!AC27:AD27,H$263)+COUNTIF('8月'!AH27:AI27,H$263)+COUNTIF('8月'!AM27:AN27,H$263)+COUNTIF('8月'!AR27:AS27,H$263)+COUNTIF('8月'!AW27:AX27,H$263)+COUNTIF('8月'!BB27:BC27,H$263)+COUNTIF('8月'!BG27:BH27,H$263)+COUNTIF('8月'!BL27:BM27,H$263)+COUNTIF('8月'!BQ27:BR27,H$263)+COUNTIF('8月'!BV27:BW27,H$263)+COUNTIF('8月'!CA27:CB27,H$263)+COUNTIF('8月'!CF27:CG27,H$263)+COUNTIF('8月'!CK27:CL27,H$263)+COUNTIF('8月'!CP27:CQ27,H$263)+COUNTIF('8月'!CU27:CV27,H$263)+COUNTIF('8月'!CZ27:DA27,H$263)+COUNTIF('8月'!DE27:DF27,H$263)+COUNTIF('8月'!DJ27:DK27,H$263)+COUNTIF('8月'!DO27:DP27,H$263)+COUNTIF('8月'!DT27:DU27,H$263)+COUNTIF('8月'!DY27:DZ27,H$263)+COUNTIF('8月'!ED27:EE27,H$263)+COUNTIF('8月'!EI27:EJ27,H$263)+COUNTIF('8月'!EN27:EO27,H$263)+COUNTIF('8月'!ES27:ET27,H$263)+COUNTIF('8月'!D27:E27,"渋谷-夜勤")+COUNTIF('8月'!I27:J27,"渋谷-夜勤")+COUNTIF('8月'!N27:O27,"渋谷-夜勤")+COUNTIF('8月'!S27:T27,"渋谷-夜勤")+COUNTIF('8月'!X27:Y27,"渋谷-夜勤")+COUNTIF('8月'!AC27:AD27,"渋谷-夜勤")+COUNTIF('8月'!AH27:AI27,"渋谷-夜勤")+COUNTIF('8月'!AM27:AN27,"渋谷-夜勤")+COUNTIF('8月'!AR27:AS27,"渋谷-夜勤")+COUNTIF('8月'!AW27:AX27,"渋谷-夜勤")+COUNTIF('8月'!BB27:BC27,"渋谷-夜勤")+COUNTIF('8月'!BG27:BH27,"渋谷-夜勤")+COUNTIF('8月'!BL27:BM27,"渋谷-夜勤")+COUNTIF('8月'!BQ27:BR27,"渋谷-夜勤")+COUNTIF('8月'!BV27:BW27,"渋谷-夜勤")+COUNTIF('8月'!CA27:CB27,"渋谷-夜勤")+COUNTIF('8月'!CF27:CG27,"渋谷-夜勤")+COUNTIF('8月'!CK27:CL27,"渋谷-夜勤")+COUNTIF('8月'!CP27:CQ27,"渋谷-夜勤")+COUNTIF('8月'!CU27:CV27,"渋谷-夜勤")+COUNTIF('8月'!CZ27:DA27,"渋谷-夜勤")+COUNTIF('8月'!DE27:DF27,"渋谷-夜勤")+COUNTIF('8月'!DJ27:DK27,"渋谷-夜勤")+COUNTIF('8月'!DO27:DP27,"渋谷-夜勤")+COUNTIF('8月'!DT27:DU27,"渋谷-夜勤")+COUNTIF('8月'!DY27:DZ27,"渋谷-夜勤")+COUNTIF('8月'!ED27:EE27,"渋谷-夜勤")+COUNTIF('8月'!EI27:EJ27,"渋谷-夜勤")+COUNTIF('8月'!EN27:EO27,"渋谷-夜勤")+COUNTIF('8月'!ES27:ET27,"渋谷-夜勤")</f>
        <v>0</v>
      </c>
      <c r="I288" s="76">
        <f t="shared" si="87"/>
        <v>0</v>
      </c>
      <c r="J288" s="76">
        <f>COUNTIF('8月'!D27:E27,J$263)+COUNTIF('8月'!I27:J27,J$263)+COUNTIF('8月'!N27:O27,J$263)+COUNTIF('8月'!S27:T27,J$263)+COUNTIF('8月'!X27:Y27,J$263)+COUNTIF('8月'!AC27:AD27,J$263)+COUNTIF('8月'!AH27:AI27,J$263)+COUNTIF('8月'!AM27:AN27,J$263)+COUNTIF('8月'!AR27:AS27,J$263)+COUNTIF('8月'!AW27:AX27,J$263)+COUNTIF('8月'!BB27:BC27,J$263)+COUNTIF('8月'!BG27:BH27,J$263)+COUNTIF('8月'!BL27:BM27,J$263)+COUNTIF('8月'!BQ27:BR27,J$263)+COUNTIF('8月'!BV27:BW27,J$263)+COUNTIF('8月'!CA27:CB27,J$263)+COUNTIF('8月'!CF27:CG27,J$263)+COUNTIF('8月'!CK27:CL27,J$263)+COUNTIF('8月'!CP27:CQ27,J$263)+COUNTIF('8月'!CU27:CV27,J$263)+COUNTIF('8月'!CZ27:DA27,J$263)+COUNTIF('8月'!DE27:DF27,J$263)+COUNTIF('8月'!DJ27:DK27,J$263)+COUNTIF('8月'!DO27:DP27,J$263)+COUNTIF('8月'!DT27:DU27,J$263)+COUNTIF('8月'!DY27:DZ27,J$263)+COUNTIF('8月'!ED27:EE27,J$263)+COUNTIF('8月'!EI27:EJ27,J$263)+COUNTIF('8月'!EN27:EO27,J$263)+COUNTIF('8月'!ES27:ET27,J$263)+COUNTIF('8月'!D27:E27,"六本木-夜勤")+COUNTIF('8月'!I27:J27,"六本木-夜勤")+COUNTIF('8月'!N27:O27,"六本木-夜勤")+COUNTIF('8月'!S27:T27,"六本木-夜勤")+COUNTIF('8月'!X27:Y27,"六本木-夜勤")+COUNTIF('8月'!AC27:AD27,"六本木-夜勤")+COUNTIF('8月'!AH27:AI27,"六本木-夜勤")+COUNTIF('8月'!AM27:AN27,"六本木-夜勤")+COUNTIF('8月'!AR27:AS27,"六本木-夜勤")+COUNTIF('8月'!AW27:AX27,"六本木-夜勤")+COUNTIF('8月'!BB27:BC27,"六本木-夜勤")+COUNTIF('8月'!BG27:BH27,"六本木-夜勤")+COUNTIF('8月'!BL27:BM27,"六本木-夜勤")+COUNTIF('8月'!BQ27:BR27,"六本木-夜勤")+COUNTIF('8月'!BV27:BW27,"六本木-夜勤")+COUNTIF('8月'!CA27:CB27,"六本木-夜勤")+COUNTIF('8月'!CF27:CG27,"六本木-夜勤")+COUNTIF('8月'!CK27:CL27,"六本木-夜勤")+COUNTIF('8月'!CP27:CQ27,"六本木-夜勤")+COUNTIF('8月'!CU27:CV27,"六本木-夜勤")+COUNTIF('8月'!CZ27:DA27,"六本木-夜勤")+COUNTIF('8月'!DE27:DF27,"六本木-夜勤")+COUNTIF('8月'!DJ27:DK27,"六本木-夜勤")+COUNTIF('8月'!DO27:DP27,"六本木-夜勤")+COUNTIF('8月'!DT27:DU27,"六本木-夜勤")+COUNTIF('8月'!DY27:DZ27,"六本木-夜勤")+COUNTIF('8月'!ED27:EE27,"六本木-夜勤")+COUNTIF('8月'!EI27:EJ27,"六本木-夜勤")+COUNTIF('8月'!EN27:EO27,"六本木-夜勤")+COUNTIF('8月'!ES27:ET27,"六本木-夜勤")+COUNTIF('8月'!D27:E27,"六本木ー夜勤")+COUNTIF('8月'!I27:J27,"六本木ー夜勤")+COUNTIF('8月'!N27:O27,"六本木ー夜勤")+COUNTIF('8月'!S27:T27,"六本木ー夜勤")+COUNTIF('8月'!X27:Y27,"六本木ー夜勤")+COUNTIF('8月'!AC27:AD27,"六本木ー夜勤")+COUNTIF('8月'!AH27:AI27,"六本木ー夜勤")+COUNTIF('8月'!AM27:AN27,"六本木ー夜勤")+COUNTIF('8月'!AR27:AS27,"六本木ー夜勤")+COUNTIF('8月'!AW27:AX27,"六本木ー夜勤")+COUNTIF('8月'!BB27:BC27,"六本木ー夜勤")+COUNTIF('8月'!BG27:BH27,"六本木ー夜勤")+COUNTIF('8月'!BL27:BM27,"六本木ー夜勤")+COUNTIF('8月'!BQ27:BR27,"六本木ー夜勤")+COUNTIF('8月'!BV27:BW27,"六本木ー夜勤")+COUNTIF('8月'!CA27:CB27,"六本木ー夜勤")+COUNTIF('8月'!CF27:CG27,"六本木ー夜勤")+COUNTIF('8月'!CK27:CL27,"六本木ー夜勤")+COUNTIF('8月'!CP27:CQ27,"六本木ー夜勤")+COUNTIF('8月'!CU27:CV27,"六本木ー夜勤")+COUNTIF('8月'!CZ27:DA27,"六本木ー夜勤")+COUNTIF('8月'!DE27:DF27,"六本木ー夜勤")+COUNTIF('8月'!DJ27:DK27,"六本木ー夜勤")+COUNTIF('8月'!DO27:DP27,"六本木ー夜勤")+COUNTIF('8月'!DT27:DU27,"六本木ー夜勤")+COUNTIF('8月'!DY27:DZ27,"六本木ー夜勤")+COUNTIF('8月'!ED27:EE27,"六本木ー夜勤")+COUNTIF('8月'!EI27:EJ27,"六本木ー夜勤")+COUNTIF('8月'!EN27:EO27,"六本木ー夜勤")+COUNTIF('8月'!ES27:ET27,"六本木ー夜勤")</f>
        <v>0</v>
      </c>
      <c r="K288" s="76">
        <f t="shared" si="88"/>
        <v>0</v>
      </c>
      <c r="L288" s="76">
        <f>COUNTIF('8月'!D27:E27,L$263)+COUNTIF('8月'!I27:J27,L$263)+COUNTIF('8月'!N27:O27,L$263)+COUNTIF('8月'!S27:T27,L$263)+COUNTIF('8月'!X27:Y27,L$263)+COUNTIF('8月'!AC27:AD27,L$263)+COUNTIF('8月'!AH27:AI27,L$263)+COUNTIF('8月'!AM27:AN27,L$263)+COUNTIF('8月'!AR27:AS27,L$263)+COUNTIF('8月'!AW27:AX27,L$263)+COUNTIF('8月'!BB27:BC27,L$263)+COUNTIF('8月'!BG27:BH27,L$263)+COUNTIF('8月'!BL27:BM27,L$263)+COUNTIF('8月'!BQ27:BR27,L$263)+COUNTIF('8月'!BV27:BW27,L$263)+COUNTIF('8月'!CA27:CB27,L$263)+COUNTIF('8月'!CF27:CG27,L$263)+COUNTIF('8月'!CK27:CL27,L$263)+COUNTIF('8月'!CP27:CQ27,L$263)+COUNTIF('8月'!CU27:CV27,L$263)+COUNTIF('8月'!CZ27:DA27,L$263)+COUNTIF('8月'!DE27:DF27,L$263)+COUNTIF('8月'!DJ27:DK27,L$263)+COUNTIF('8月'!DO27:DP27,L$263)+COUNTIF('8月'!DT27:DU27,L$263)+COUNTIF('8月'!DY27:DZ27,L$263)+COUNTIF('8月'!ED27:EE27,L$263)+COUNTIF('8月'!EI27:EJ27,L$263)+COUNTIF('8月'!EN27:EO27,L$263)+COUNTIF('8月'!ES27:ET27,L$263)</f>
        <v>0</v>
      </c>
      <c r="M288" s="76">
        <f t="shared" si="89"/>
        <v>0</v>
      </c>
      <c r="N288" s="76">
        <f>COUNTIF('8月'!D27:E27,N$263)+COUNTIF('8月'!I27:J27,N$263)+COUNTIF('8月'!N27:O27,N$263)+COUNTIF('8月'!S27:T27,N$263)+COUNTIF('8月'!X27:Y27,N$263)+COUNTIF('8月'!AC27:AD27,N$263)+COUNTIF('8月'!AH27:AI27,N$263)+COUNTIF('8月'!AM27:AN27,N$263)+COUNTIF('8月'!AR27:AS27,N$263)+COUNTIF('8月'!AW27:AX27,N$263)+COUNTIF('8月'!BB27:BC27,N$263)+COUNTIF('8月'!BG27:BH27,N$263)+COUNTIF('8月'!BL27:BM27,N$263)+COUNTIF('8月'!BQ27:BR27,N$263)+COUNTIF('8月'!BV27:BW27,N$263)+COUNTIF('8月'!CA27:CB27,N$263)+COUNTIF('8月'!CF27:CG27,N$263)+COUNTIF('8月'!CK27:CL27,N$263)+COUNTIF('8月'!CP27:CQ27,N$263)+COUNTIF('8月'!CU27:CV27,N$263)+COUNTIF('8月'!CZ27:DA27,N$263)+COUNTIF('8月'!DE27:DF27,N$263)+COUNTIF('8月'!DJ27:DK27,N$263)+COUNTIF('8月'!DO27:DP27,N$263)+COUNTIF('8月'!DT27:DU27,N$263)+COUNTIF('8月'!DY27:DZ27,N$263)+COUNTIF('8月'!ED27:EE27,N$263)+COUNTIF('8月'!EI27:EJ27,N$263)+COUNTIF('8月'!EN27:EO27,N$263)+COUNTIF('8月'!ES27:ET27,N$263)+COUNTIF('8月'!D27:E27,"三軒茶屋－夜勤")+COUNTIF('8月'!I27:J27,"三軒茶屋－夜勤")+COUNTIF('8月'!N27:O27,"三軒茶屋－夜勤")+COUNTIF('8月'!S27:T27,"三軒茶屋－夜勤")+COUNTIF('8月'!X27:Y27,"三軒茶屋－夜勤")+COUNTIF('8月'!AC27:AD27,"三軒茶屋－夜勤")+COUNTIF('8月'!AH27:AI27,"三軒茶屋－夜勤")+COUNTIF('8月'!AM27:AN27,"三軒茶屋－夜勤")+COUNTIF('8月'!AR27:AS27,"三軒茶屋－夜勤")+COUNTIF('8月'!AW27:AX27,"三軒茶屋－夜勤")+COUNTIF('8月'!BB27:BC27,"三軒茶屋－夜勤")+COUNTIF('8月'!BG27:BH27,"三軒茶屋－夜勤")+COUNTIF('8月'!BL27:BM27,"三軒茶屋－夜勤")+COUNTIF('8月'!BQ27:BR27,"三軒茶屋－夜勤")+COUNTIF('8月'!BV27:BW27,"三軒茶屋－夜勤")+COUNTIF('8月'!CA27:CB27,"三軒茶屋－夜勤")+COUNTIF('8月'!CF27:CG27,"三軒茶屋－夜勤")+COUNTIF('8月'!CK27:CL27,"三軒茶屋－夜勤")+COUNTIF('8月'!CP27:CQ27,"三軒茶屋－夜勤")+COUNTIF('8月'!CU27:CV27,"三軒茶屋－夜勤")+COUNTIF('8月'!CZ27:DA27,"三軒茶屋－夜勤")+COUNTIF('8月'!DE27:DF27,"三軒茶屋－夜勤")+COUNTIF('8月'!DJ27:DK27,"三軒茶屋－夜勤")+COUNTIF('8月'!DO27:DP27,"三軒茶屋－夜勤")+COUNTIF('8月'!DT27:DU27,"三軒茶屋－夜勤")+COUNTIF('8月'!DY27:DZ27,"三軒茶屋－夜勤")+COUNTIF('8月'!ED27:EE27,"三軒茶屋－夜勤")+COUNTIF('8月'!EI27:EJ27,"三軒茶屋－夜勤")+COUNTIF('8月'!EN27:EO27,"三軒茶屋－夜勤")+COUNTIF('8月'!ES27:ET27,"三軒茶屋－夜勤")</f>
        <v>0</v>
      </c>
      <c r="O288" s="76">
        <f t="shared" si="90"/>
        <v>0</v>
      </c>
      <c r="P288" s="76">
        <f>COUNTIF('8月'!D27:E27,P$263)+COUNTIF('8月'!I27:J27,P$263)+COUNTIF('8月'!N27:O27,P$263)+COUNTIF('8月'!S27:T27,P$263)+COUNTIF('8月'!X27:Y27,P$263)+COUNTIF('8月'!AC27:AD27,P$263)+COUNTIF('8月'!AH27:AI27,P$263)+COUNTIF('8月'!AM27:AN27,P$263)+COUNTIF('8月'!AR27:AS27,P$263)+COUNTIF('8月'!AW27:AX27,P$263)+COUNTIF('8月'!BB27:BC27,P$263)+COUNTIF('8月'!BG27:BH27,P$263)+COUNTIF('8月'!BL27:BM27,P$263)+COUNTIF('8月'!BQ27:BR27,P$263)+COUNTIF('8月'!BV27:BW27,P$263)+COUNTIF('8月'!CA27:CB27,P$263)+COUNTIF('8月'!CF27:CG27,P$263)+COUNTIF('8月'!CK27:CL27,P$263)+COUNTIF('8月'!CP27:CQ27,P$263)+COUNTIF('8月'!CU27:CV27,P$263)+COUNTIF('8月'!CZ27:DA27,P$263)+COUNTIF('8月'!DE27:DF27,P$263)+COUNTIF('8月'!DJ27:DK27,P$263)+COUNTIF('8月'!DO27:DP27,P$263)+COUNTIF('8月'!DT27:DU27,P$263)+COUNTIF('8月'!DY27:DZ27,P$263)+COUNTIF('8月'!ED27:EE27,P$263)+COUNTIF('8月'!EI27:EJ27,P$263)+COUNTIF('8月'!EN27:EO27,P$263)+COUNTIF('8月'!ES27:ET27,P$263)+COUNTIF('8月'!D27:E27,"荻窪ー夜勤")+COUNTIF('8月'!I27:J27,"荻窪ー夜勤")+COUNTIF('8月'!N27:O27,"荻窪ー夜勤")+COUNTIF('8月'!S27:T27,"荻窪ー夜勤")+COUNTIF('8月'!X27:Y27,"荻窪ー夜勤")+COUNTIF('8月'!AC27:AD27,"荻窪ー夜勤")+COUNTIF('8月'!AH27:AI27,"荻窪ー夜勤")+COUNTIF('8月'!AM27:AN27,"荻窪ー夜勤")+COUNTIF('8月'!AR27:AS27,"荻窪ー夜勤")+COUNTIF('8月'!AW27:AX27,"荻窪ー夜勤")+COUNTIF('8月'!BB27:BC27,"荻窪ー夜勤")+COUNTIF('8月'!BG27:BH27,"荻窪ー夜勤")+COUNTIF('8月'!BL27:BM27,"荻窪ー夜勤")+COUNTIF('8月'!BQ27:BR27,"荻窪ー夜勤")+COUNTIF('8月'!BV27:BW27,"荻窪ー夜勤")+COUNTIF('8月'!CA27:CB27,"荻窪ー夜勤")+COUNTIF('8月'!CF27:CG27,"荻窪ー夜勤")+COUNTIF('8月'!CK27:CL27,"荻窪ー夜勤")+COUNTIF('8月'!CP27:CQ27,"荻窪ー夜勤")+COUNTIF('8月'!CU27:CV27,"荻窪ー夜勤")+COUNTIF('8月'!CZ27:DA27,"荻窪ー夜勤")+COUNTIF('8月'!DE27:DF27,"荻窪ー夜勤")+COUNTIF('8月'!DJ27:DK27,"荻窪ー夜勤")+COUNTIF('8月'!DO27:DP27,"荻窪ー夜勤")+COUNTIF('8月'!DT27:DU27,"荻窪ー夜勤")+COUNTIF('8月'!DY27:DZ27,"荻窪ー夜勤")+COUNTIF('8月'!ED27:EE27,"荻窪ー夜勤")+COUNTIF('8月'!EI27:EJ27,"荻窪ー夜勤")+COUNTIF('8月'!EN27:EO27,"荻窪ー夜勤")+COUNTIF('8月'!ES27:ET27,"荻窪ー夜勤")</f>
        <v>0</v>
      </c>
      <c r="Q288" s="76">
        <f t="shared" si="91"/>
        <v>0</v>
      </c>
      <c r="R288" s="76">
        <f>COUNTIF('8月'!D27:E27,R$263)+COUNTIF('8月'!I27:J27,R$263)+COUNTIF('8月'!N27:O27,R$263)+COUNTIF('8月'!S27:T27,R$263)+COUNTIF('8月'!X27:Y27,R$263)+COUNTIF('8月'!AC27:AD27,R$263)+COUNTIF('8月'!AH27:AI27,R$263)+COUNTIF('8月'!AM27:AN27,R$263)+COUNTIF('8月'!AR27:AS27,R$263)+COUNTIF('8月'!AW27:AX27,R$263)+COUNTIF('8月'!BB27:BC27,R$263)+COUNTIF('8月'!BG27:BH27,R$263)+COUNTIF('8月'!BL27:BM27,R$263)+COUNTIF('8月'!BQ27:BR27,R$263)+COUNTIF('8月'!BV27:BW27,R$263)+COUNTIF('8月'!CA27:CB27,R$263)+COUNTIF('8月'!CF27:CG27,R$263)+COUNTIF('8月'!CK27:CL27,R$263)+COUNTIF('8月'!CP27:CQ27,R$263)+COUNTIF('8月'!CU27:CV27,R$263)+COUNTIF('8月'!CZ27:DA27,R$263)+COUNTIF('8月'!DE27:DF27,R$263)+COUNTIF('8月'!DJ27:DK27,R$263)+COUNTIF('8月'!DO27:DP27,R$263)+COUNTIF('8月'!DT27:DU27,R$263)+COUNTIF('8月'!DY27:DZ27,R$263)+COUNTIF('8月'!ED27:EE27,R$263)+COUNTIF('8月'!EI27:EJ27,R$263)+COUNTIF('8月'!EN27:EO27,R$263)+COUNTIF('8月'!ES27:ET27,R$263)</f>
        <v>0</v>
      </c>
      <c r="S288" s="76">
        <f t="shared" si="92"/>
        <v>0</v>
      </c>
      <c r="T288" s="76">
        <f>COUNTIF('8月'!D27:E27,T$263)+COUNTIF('8月'!I27:J27,T$263)+COUNTIF('8月'!N27:O27,T$263)+COUNTIF('8月'!S27:T27,T$263)+COUNTIF('8月'!X27:Y27,T$263)+COUNTIF('8月'!AC27:AD27,T$263)+COUNTIF('8月'!AH27:AI27,T$263)+COUNTIF('8月'!AM27:AN27,T$263)+COUNTIF('8月'!AR27:AS27,T$263)+COUNTIF('8月'!AW27:AX27,T$263)+COUNTIF('8月'!BB27:BC27,T$263)+COUNTIF('8月'!BG27:BH27,T$263)+COUNTIF('8月'!BL27:BM27,T$263)+COUNTIF('8月'!BQ27:BR27,T$263)+COUNTIF('8月'!BV27:BW27,T$263)+COUNTIF('8月'!CA27:CB27,T$263)+COUNTIF('8月'!CF27:CG27,T$263)+COUNTIF('8月'!CK27:CL27,T$263)+COUNTIF('8月'!CP27:CQ27,T$263)+COUNTIF('8月'!CU27:CV27,T$263)+COUNTIF('8月'!CZ27:DA27,T$263)+COUNTIF('8月'!DE27:DF27,T$263)+COUNTIF('8月'!DJ27:DK27,T$263)+COUNTIF('8月'!DO27:DP27,T$263)+COUNTIF('8月'!DT27:DU27,T$263)+COUNTIF('8月'!DY27:DZ27,T$263)+COUNTIF('8月'!ED27:EE27,T$263)+COUNTIF('8月'!EI27:EJ27,T$263)+COUNTIF('8月'!EN27:EO27,T$263)+COUNTIF('8月'!ES27:ET27,T$263)</f>
        <v>0</v>
      </c>
      <c r="U288" s="76">
        <f t="shared" si="93"/>
        <v>0</v>
      </c>
      <c r="V288" s="76">
        <f>COUNTIF('8月'!D27:E27,V$263)+COUNTIF('8月'!I27:J27,V$263)+COUNTIF('8月'!N27:O27,V$263)+COUNTIF('8月'!S27:T27,V$263)+COUNTIF('8月'!X27:Y27,V$263)+COUNTIF('8月'!AC27:AD27,V$263)+COUNTIF('8月'!AH27:AI27,V$263)+COUNTIF('8月'!AM27:AN27,V$263)+COUNTIF('8月'!AR27:AS27,V$263)+COUNTIF('8月'!AW27:AX27,V$263)+COUNTIF('8月'!BB27:BC27,V$263)+COUNTIF('8月'!BG27:BH27,V$263)+COUNTIF('8月'!BL27:BM27,V$263)+COUNTIF('8月'!BQ27:BR27,V$263)+COUNTIF('8月'!BV27:BW27,V$263)+COUNTIF('8月'!CA27:CB27,V$263)+COUNTIF('8月'!CF27:CG27,V$263)+COUNTIF('8月'!CK27:CL27,V$263)+COUNTIF('8月'!CP27:CQ27,V$263)+COUNTIF('8月'!CU27:CV27,V$263)+COUNTIF('8月'!CZ27:DA27,V$263)+COUNTIF('8月'!DE27:DF27,V$263)+COUNTIF('8月'!DJ27:DK27,V$263)+COUNTIF('8月'!DO27:DP27,V$263)+COUNTIF('8月'!DT27:DU27,V$263)+COUNTIF('8月'!DY27:DZ27,V$263)+COUNTIF('8月'!ED27:EE27,V$263)+COUNTIF('8月'!EI27:EJ27,V$263)+COUNTIF('8月'!EN27:EO27,V$263)+COUNTIF('8月'!ES27:ET27,V$263)</f>
        <v>0</v>
      </c>
      <c r="W288" s="76">
        <f t="shared" si="94"/>
        <v>0</v>
      </c>
      <c r="X288" s="76">
        <f>COUNTIF('8月'!D27:E27,X$263)+COUNTIF('8月'!I27:J27,X$263)+COUNTIF('8月'!N27:O27,X$263)+COUNTIF('8月'!S27:T27,X$263)+COUNTIF('8月'!X27:Y27,X$263)+COUNTIF('8月'!AC27:AD27,X$263)+COUNTIF('8月'!AH27:AI27,X$263)+COUNTIF('8月'!AM27:AN27,X$263)+COUNTIF('8月'!AR27:AS27,X$263)+COUNTIF('8月'!AW27:AX27,X$263)+COUNTIF('8月'!BB27:BC27,X$263)+COUNTIF('8月'!BG27:BH27,X$263)+COUNTIF('8月'!BL27:BM27,X$263)+COUNTIF('8月'!BQ27:BR27,X$263)+COUNTIF('8月'!BV27:BW27,X$263)+COUNTIF('8月'!CA27:CB27,X$263)+COUNTIF('8月'!CF27:CG27,X$263)+COUNTIF('8月'!CK27:CL27,X$263)+COUNTIF('8月'!CP27:CQ27,X$263)+COUNTIF('8月'!CU27:CV27,X$263)+COUNTIF('8月'!CZ27:DA27,X$263)+COUNTIF('8月'!DE27:DF27,X$263)+COUNTIF('8月'!DJ27:DK27,X$263)+COUNTIF('8月'!DO27:DP27,X$263)+COUNTIF('8月'!DT27:DU27,X$263)+COUNTIF('8月'!DY27:DZ27,X$263)+COUNTIF('8月'!ED27:EE27,X$263)+COUNTIF('8月'!EI27:EJ27,X$263)+COUNTIF('8月'!EN27:EO27,X$263)+COUNTIF('8月'!ES27:ET27,X$263)</f>
        <v>0</v>
      </c>
      <c r="Y288" s="76">
        <f t="shared" si="95"/>
        <v>0</v>
      </c>
    </row>
    <row r="289" spans="1:25" ht="18" customHeight="1">
      <c r="A289" s="76">
        <v>25</v>
      </c>
      <c r="B289" s="76">
        <f>COUNTIF('8月'!D28:E28,B$263)+COUNTIF('8月'!I28:J28,B$263)+COUNTIF('8月'!N28:O28,B$263)+COUNTIF('8月'!S28:T28,B$263)+COUNTIF('8月'!X28:Y28,B$263)+COUNTIF('8月'!AC28:AD28,B$263)+COUNTIF('8月'!AH28:AI28,B$263)+COUNTIF('8月'!AM28:AN28,B$263)+COUNTIF('8月'!AR28:AS28,B$263)+COUNTIF('8月'!AW28:AX28,B$263)+COUNTIF('8月'!BB28:BC28,B$263)+COUNTIF('8月'!BG28:BH28,B$263)+COUNTIF('8月'!BL28:BM28,B$263)+COUNTIF('8月'!BQ28:BR28,B$263)+COUNTIF('8月'!BV28:BW28,B$263)+COUNTIF('8月'!CA28:CB28,B$263)+COUNTIF('8月'!CF28:CG28,B$263)+COUNTIF('8月'!CK28:CL28,B$263)+COUNTIF('8月'!CP28:CQ28,B$263)+COUNTIF('8月'!CU28:CV28,B$263)+COUNTIF('8月'!CZ28:DA28,B$263)+COUNTIF('8月'!DE28:DF28,B$263)+COUNTIF('8月'!DJ28:DK28,B$263)+COUNTIF('8月'!DO28:DP28,B$263)+COUNTIF('8月'!DT28:DU28,B$263)+COUNTIF('8月'!DY28:DZ28,B$263)+COUNTIF('8月'!ED28:EE28,B$263)+COUNTIF('8月'!EI28:EJ28,B$263)+COUNTIF('8月'!EN28:EO28,B$263)+COUNTIF('8月'!ES28:ET28,B$263)</f>
        <v>0</v>
      </c>
      <c r="C289" s="76">
        <f t="shared" si="84"/>
        <v>0</v>
      </c>
      <c r="D289" s="76">
        <f>COUNTIF('8月'!D28:E28,D$263)+COUNTIF('8月'!I28:J28,D$263)+COUNTIF('8月'!N28:O28,D$263)+COUNTIF('8月'!S28:T28,D$263)+COUNTIF('8月'!X28:Y28,D$263)+COUNTIF('8月'!AC28:AD28,D$263)+COUNTIF('8月'!AH28:AI28,D$263)+COUNTIF('8月'!AM28:AN28,D$263)+COUNTIF('8月'!AR28:AS28,D$263)+COUNTIF('8月'!AW28:AX28,D$263)+COUNTIF('8月'!BB28:BC28,D$263)+COUNTIF('8月'!BG28:BH28,D$263)+COUNTIF('8月'!BL28:BM28,D$263)+COUNTIF('8月'!BQ28:BR28,D$263)+COUNTIF('8月'!BV28:BW28,D$263)+COUNTIF('8月'!CA28:CB28,D$263)+COUNTIF('8月'!CF28:CG28,D$263)+COUNTIF('8月'!CK28:CL28,D$263)+COUNTIF('8月'!CP28:CQ28,D$263)+COUNTIF('8月'!CU28:CV28,D$263)+COUNTIF('8月'!CZ28:DA28,D$263)+COUNTIF('8月'!DE28:DF28,D$263)+COUNTIF('8月'!DJ28:DK28,D$263)+COUNTIF('8月'!DO28:DP28,D$263)+COUNTIF('8月'!DT28:DU28,D$263)+COUNTIF('8月'!DY28:DZ28,D$263)+COUNTIF('8月'!ED28:EE28,D$263)+COUNTIF('8月'!EI28:EJ28,D$263)+COUNTIF('8月'!EN28:EO28,D$263)+COUNTIF('8月'!ES28:ET28,D$263)</f>
        <v>0</v>
      </c>
      <c r="E289" s="76">
        <f t="shared" si="85"/>
        <v>0</v>
      </c>
      <c r="F289" s="76">
        <f>COUNTIF('8月'!D28:E28,F$263)+COUNTIF('8月'!I28:J28,F$263)+COUNTIF('8月'!N28:O28,F$263)+COUNTIF('8月'!S28:T28,F$263)+COUNTIF('8月'!X28:Y28,F$263)+COUNTIF('8月'!AC28:AD28,F$263)+COUNTIF('8月'!AH28:AI28,F$263)+COUNTIF('8月'!AM28:AN28,F$263)+COUNTIF('8月'!AR28:AS28,F$263)+COUNTIF('8月'!AW28:AX28,F$263)+COUNTIF('8月'!BB28:BC28,F$263)+COUNTIF('8月'!BG28:BH28,F$263)+COUNTIF('8月'!BL28:BM28,F$263)+COUNTIF('8月'!BQ28:BR28,F$263)+COUNTIF('8月'!BV28:BW28,F$263)+COUNTIF('8月'!CA28:CB28,F$263)+COUNTIF('8月'!CF28:CG28,F$263)+COUNTIF('8月'!CK28:CL28,F$263)+COUNTIF('8月'!CP28:CQ28,F$263)+COUNTIF('8月'!CU28:CV28,F$263)+COUNTIF('8月'!CZ28:DA28,F$263)+COUNTIF('8月'!DE28:DF28,F$263)+COUNTIF('8月'!DJ28:DK28,F$263)+COUNTIF('8月'!DO28:DP28,F$263)+COUNTIF('8月'!DT28:DU28,F$263)+COUNTIF('8月'!DY28:DZ28,F$263)+COUNTIF('8月'!ED28:EE28,F$263)+COUNTIF('8月'!EI28:EJ28,F$263)+COUNTIF('8月'!EN28:EO28,F$263)+COUNTIF('8月'!ES28:ET28,F$263)</f>
        <v>0</v>
      </c>
      <c r="G289" s="76">
        <f t="shared" si="86"/>
        <v>0</v>
      </c>
      <c r="H289" s="76">
        <f>COUNTIF('8月'!D28:E28,H$263)+COUNTIF('8月'!I28:J28,H$263)+COUNTIF('8月'!N28:O28,H$263)+COUNTIF('8月'!S28:T28,H$263)+COUNTIF('8月'!X28:Y28,H$263)+COUNTIF('8月'!AC28:AD28,H$263)+COUNTIF('8月'!AH28:AI28,H$263)+COUNTIF('8月'!AM28:AN28,H$263)+COUNTIF('8月'!AR28:AS28,H$263)+COUNTIF('8月'!AW28:AX28,H$263)+COUNTIF('8月'!BB28:BC28,H$263)+COUNTIF('8月'!BG28:BH28,H$263)+COUNTIF('8月'!BL28:BM28,H$263)+COUNTIF('8月'!BQ28:BR28,H$263)+COUNTIF('8月'!BV28:BW28,H$263)+COUNTIF('8月'!CA28:CB28,H$263)+COUNTIF('8月'!CF28:CG28,H$263)+COUNTIF('8月'!CK28:CL28,H$263)+COUNTIF('8月'!CP28:CQ28,H$263)+COUNTIF('8月'!CU28:CV28,H$263)+COUNTIF('8月'!CZ28:DA28,H$263)+COUNTIF('8月'!DE28:DF28,H$263)+COUNTIF('8月'!DJ28:DK28,H$263)+COUNTIF('8月'!DO28:DP28,H$263)+COUNTIF('8月'!DT28:DU28,H$263)+COUNTIF('8月'!DY28:DZ28,H$263)+COUNTIF('8月'!ED28:EE28,H$263)+COUNTIF('8月'!EI28:EJ28,H$263)+COUNTIF('8月'!EN28:EO28,H$263)+COUNTIF('8月'!ES28:ET28,H$263)+COUNTIF('8月'!D28:E28,"渋谷-夜勤")+COUNTIF('8月'!I28:J28,"渋谷-夜勤")+COUNTIF('8月'!N28:O28,"渋谷-夜勤")+COUNTIF('8月'!S28:T28,"渋谷-夜勤")+COUNTIF('8月'!X28:Y28,"渋谷-夜勤")+COUNTIF('8月'!AC28:AD28,"渋谷-夜勤")+COUNTIF('8月'!AH28:AI28,"渋谷-夜勤")+COUNTIF('8月'!AM28:AN28,"渋谷-夜勤")+COUNTIF('8月'!AR28:AS28,"渋谷-夜勤")+COUNTIF('8月'!AW28:AX28,"渋谷-夜勤")+COUNTIF('8月'!BB28:BC28,"渋谷-夜勤")+COUNTIF('8月'!BG28:BH28,"渋谷-夜勤")+COUNTIF('8月'!BL28:BM28,"渋谷-夜勤")+COUNTIF('8月'!BQ28:BR28,"渋谷-夜勤")+COUNTIF('8月'!BV28:BW28,"渋谷-夜勤")+COUNTIF('8月'!CA28:CB28,"渋谷-夜勤")+COUNTIF('8月'!CF28:CG28,"渋谷-夜勤")+COUNTIF('8月'!CK28:CL28,"渋谷-夜勤")+COUNTIF('8月'!CP28:CQ28,"渋谷-夜勤")+COUNTIF('8月'!CU28:CV28,"渋谷-夜勤")+COUNTIF('8月'!CZ28:DA28,"渋谷-夜勤")+COUNTIF('8月'!DE28:DF28,"渋谷-夜勤")+COUNTIF('8月'!DJ28:DK28,"渋谷-夜勤")+COUNTIF('8月'!DO28:DP28,"渋谷-夜勤")+COUNTIF('8月'!DT28:DU28,"渋谷-夜勤")+COUNTIF('8月'!DY28:DZ28,"渋谷-夜勤")+COUNTIF('8月'!ED28:EE28,"渋谷-夜勤")+COUNTIF('8月'!EI28:EJ28,"渋谷-夜勤")+COUNTIF('8月'!EN28:EO28,"渋谷-夜勤")+COUNTIF('8月'!ES28:ET28,"渋谷-夜勤")</f>
        <v>0</v>
      </c>
      <c r="I289" s="76">
        <f t="shared" si="87"/>
        <v>0</v>
      </c>
      <c r="J289" s="76">
        <f>COUNTIF('8月'!D28:E28,J$263)+COUNTIF('8月'!I28:J28,J$263)+COUNTIF('8月'!N28:O28,J$263)+COUNTIF('8月'!S28:T28,J$263)+COUNTIF('8月'!X28:Y28,J$263)+COUNTIF('8月'!AC28:AD28,J$263)+COUNTIF('8月'!AH28:AI28,J$263)+COUNTIF('8月'!AM28:AN28,J$263)+COUNTIF('8月'!AR28:AS28,J$263)+COUNTIF('8月'!AW28:AX28,J$263)+COUNTIF('8月'!BB28:BC28,J$263)+COUNTIF('8月'!BG28:BH28,J$263)+COUNTIF('8月'!BL28:BM28,J$263)+COUNTIF('8月'!BQ28:BR28,J$263)+COUNTIF('8月'!BV28:BW28,J$263)+COUNTIF('8月'!CA28:CB28,J$263)+COUNTIF('8月'!CF28:CG28,J$263)+COUNTIF('8月'!CK28:CL28,J$263)+COUNTIF('8月'!CP28:CQ28,J$263)+COUNTIF('8月'!CU28:CV28,J$263)+COUNTIF('8月'!CZ28:DA28,J$263)+COUNTIF('8月'!DE28:DF28,J$263)+COUNTIF('8月'!DJ28:DK28,J$263)+COUNTIF('8月'!DO28:DP28,J$263)+COUNTIF('8月'!DT28:DU28,J$263)+COUNTIF('8月'!DY28:DZ28,J$263)+COUNTIF('8月'!ED28:EE28,J$263)+COUNTIF('8月'!EI28:EJ28,J$263)+COUNTIF('8月'!EN28:EO28,J$263)+COUNTIF('8月'!ES28:ET28,J$263)+COUNTIF('8月'!D28:E28,"六本木-夜勤")+COUNTIF('8月'!I28:J28,"六本木-夜勤")+COUNTIF('8月'!N28:O28,"六本木-夜勤")+COUNTIF('8月'!S28:T28,"六本木-夜勤")+COUNTIF('8月'!X28:Y28,"六本木-夜勤")+COUNTIF('8月'!AC28:AD28,"六本木-夜勤")+COUNTIF('8月'!AH28:AI28,"六本木-夜勤")+COUNTIF('8月'!AM28:AN28,"六本木-夜勤")+COUNTIF('8月'!AR28:AS28,"六本木-夜勤")+COUNTIF('8月'!AW28:AX28,"六本木-夜勤")+COUNTIF('8月'!BB28:BC28,"六本木-夜勤")+COUNTIF('8月'!BG28:BH28,"六本木-夜勤")+COUNTIF('8月'!BL28:BM28,"六本木-夜勤")+COUNTIF('8月'!BQ28:BR28,"六本木-夜勤")+COUNTIF('8月'!BV28:BW28,"六本木-夜勤")+COUNTIF('8月'!CA28:CB28,"六本木-夜勤")+COUNTIF('8月'!CF28:CG28,"六本木-夜勤")+COUNTIF('8月'!CK28:CL28,"六本木-夜勤")+COUNTIF('8月'!CP28:CQ28,"六本木-夜勤")+COUNTIF('8月'!CU28:CV28,"六本木-夜勤")+COUNTIF('8月'!CZ28:DA28,"六本木-夜勤")+COUNTIF('8月'!DE28:DF28,"六本木-夜勤")+COUNTIF('8月'!DJ28:DK28,"六本木-夜勤")+COUNTIF('8月'!DO28:DP28,"六本木-夜勤")+COUNTIF('8月'!DT28:DU28,"六本木-夜勤")+COUNTIF('8月'!DY28:DZ28,"六本木-夜勤")+COUNTIF('8月'!ED28:EE28,"六本木-夜勤")+COUNTIF('8月'!EI28:EJ28,"六本木-夜勤")+COUNTIF('8月'!EN28:EO28,"六本木-夜勤")+COUNTIF('8月'!ES28:ET28,"六本木-夜勤")+COUNTIF('8月'!D28:E28,"六本木ー夜勤")+COUNTIF('8月'!I28:J28,"六本木ー夜勤")+COUNTIF('8月'!N28:O28,"六本木ー夜勤")+COUNTIF('8月'!S28:T28,"六本木ー夜勤")+COUNTIF('8月'!X28:Y28,"六本木ー夜勤")+COUNTIF('8月'!AC28:AD28,"六本木ー夜勤")+COUNTIF('8月'!AH28:AI28,"六本木ー夜勤")+COUNTIF('8月'!AM28:AN28,"六本木ー夜勤")+COUNTIF('8月'!AR28:AS28,"六本木ー夜勤")+COUNTIF('8月'!AW28:AX28,"六本木ー夜勤")+COUNTIF('8月'!BB28:BC28,"六本木ー夜勤")+COUNTIF('8月'!BG28:BH28,"六本木ー夜勤")+COUNTIF('8月'!BL28:BM28,"六本木ー夜勤")+COUNTIF('8月'!BQ28:BR28,"六本木ー夜勤")+COUNTIF('8月'!BV28:BW28,"六本木ー夜勤")+COUNTIF('8月'!CA28:CB28,"六本木ー夜勤")+COUNTIF('8月'!CF28:CG28,"六本木ー夜勤")+COUNTIF('8月'!CK28:CL28,"六本木ー夜勤")+COUNTIF('8月'!CP28:CQ28,"六本木ー夜勤")+COUNTIF('8月'!CU28:CV28,"六本木ー夜勤")+COUNTIF('8月'!CZ28:DA28,"六本木ー夜勤")+COUNTIF('8月'!DE28:DF28,"六本木ー夜勤")+COUNTIF('8月'!DJ28:DK28,"六本木ー夜勤")+COUNTIF('8月'!DO28:DP28,"六本木ー夜勤")+COUNTIF('8月'!DT28:DU28,"六本木ー夜勤")+COUNTIF('8月'!DY28:DZ28,"六本木ー夜勤")+COUNTIF('8月'!ED28:EE28,"六本木ー夜勤")+COUNTIF('8月'!EI28:EJ28,"六本木ー夜勤")+COUNTIF('8月'!EN28:EO28,"六本木ー夜勤")+COUNTIF('8月'!ES28:ET28,"六本木ー夜勤")</f>
        <v>0</v>
      </c>
      <c r="K289" s="76">
        <f t="shared" si="88"/>
        <v>0</v>
      </c>
      <c r="L289" s="76">
        <f>COUNTIF('8月'!D28:E28,L$263)+COUNTIF('8月'!I28:J28,L$263)+COUNTIF('8月'!N28:O28,L$263)+COUNTIF('8月'!S28:T28,L$263)+COUNTIF('8月'!X28:Y28,L$263)+COUNTIF('8月'!AC28:AD28,L$263)+COUNTIF('8月'!AH28:AI28,L$263)+COUNTIF('8月'!AM28:AN28,L$263)+COUNTIF('8月'!AR28:AS28,L$263)+COUNTIF('8月'!AW28:AX28,L$263)+COUNTIF('8月'!BB28:BC28,L$263)+COUNTIF('8月'!BG28:BH28,L$263)+COUNTIF('8月'!BL28:BM28,L$263)+COUNTIF('8月'!BQ28:BR28,L$263)+COUNTIF('8月'!BV28:BW28,L$263)+COUNTIF('8月'!CA28:CB28,L$263)+COUNTIF('8月'!CF28:CG28,L$263)+COUNTIF('8月'!CK28:CL28,L$263)+COUNTIF('8月'!CP28:CQ28,L$263)+COUNTIF('8月'!CU28:CV28,L$263)+COUNTIF('8月'!CZ28:DA28,L$263)+COUNTIF('8月'!DE28:DF28,L$263)+COUNTIF('8月'!DJ28:DK28,L$263)+COUNTIF('8月'!DO28:DP28,L$263)+COUNTIF('8月'!DT28:DU28,L$263)+COUNTIF('8月'!DY28:DZ28,L$263)+COUNTIF('8月'!ED28:EE28,L$263)+COUNTIF('8月'!EI28:EJ28,L$263)+COUNTIF('8月'!EN28:EO28,L$263)+COUNTIF('8月'!ES28:ET28,L$263)</f>
        <v>0</v>
      </c>
      <c r="M289" s="76">
        <f t="shared" si="89"/>
        <v>0</v>
      </c>
      <c r="N289" s="76">
        <f>COUNTIF('8月'!D28:E28,N$263)+COUNTIF('8月'!I28:J28,N$263)+COUNTIF('8月'!N28:O28,N$263)+COUNTIF('8月'!S28:T28,N$263)+COUNTIF('8月'!X28:Y28,N$263)+COUNTIF('8月'!AC28:AD28,N$263)+COUNTIF('8月'!AH28:AI28,N$263)+COUNTIF('8月'!AM28:AN28,N$263)+COUNTIF('8月'!AR28:AS28,N$263)+COUNTIF('8月'!AW28:AX28,N$263)+COUNTIF('8月'!BB28:BC28,N$263)+COUNTIF('8月'!BG28:BH28,N$263)+COUNTIF('8月'!BL28:BM28,N$263)+COUNTIF('8月'!BQ28:BR28,N$263)+COUNTIF('8月'!BV28:BW28,N$263)+COUNTIF('8月'!CA28:CB28,N$263)+COUNTIF('8月'!CF28:CG28,N$263)+COUNTIF('8月'!CK28:CL28,N$263)+COUNTIF('8月'!CP28:CQ28,N$263)+COUNTIF('8月'!CU28:CV28,N$263)+COUNTIF('8月'!CZ28:DA28,N$263)+COUNTIF('8月'!DE28:DF28,N$263)+COUNTIF('8月'!DJ28:DK28,N$263)+COUNTIF('8月'!DO28:DP28,N$263)+COUNTIF('8月'!DT28:DU28,N$263)+COUNTIF('8月'!DY28:DZ28,N$263)+COUNTIF('8月'!ED28:EE28,N$263)+COUNTIF('8月'!EI28:EJ28,N$263)+COUNTIF('8月'!EN28:EO28,N$263)+COUNTIF('8月'!ES28:ET28,N$263)+COUNTIF('8月'!D28:E28,"三軒茶屋－夜勤")+COUNTIF('8月'!I28:J28,"三軒茶屋－夜勤")+COUNTIF('8月'!N28:O28,"三軒茶屋－夜勤")+COUNTIF('8月'!S28:T28,"三軒茶屋－夜勤")+COUNTIF('8月'!X28:Y28,"三軒茶屋－夜勤")+COUNTIF('8月'!AC28:AD28,"三軒茶屋－夜勤")+COUNTIF('8月'!AH28:AI28,"三軒茶屋－夜勤")+COUNTIF('8月'!AM28:AN28,"三軒茶屋－夜勤")+COUNTIF('8月'!AR28:AS28,"三軒茶屋－夜勤")+COUNTIF('8月'!AW28:AX28,"三軒茶屋－夜勤")+COUNTIF('8月'!BB28:BC28,"三軒茶屋－夜勤")+COUNTIF('8月'!BG28:BH28,"三軒茶屋－夜勤")+COUNTIF('8月'!BL28:BM28,"三軒茶屋－夜勤")+COUNTIF('8月'!BQ28:BR28,"三軒茶屋－夜勤")+COUNTIF('8月'!BV28:BW28,"三軒茶屋－夜勤")+COUNTIF('8月'!CA28:CB28,"三軒茶屋－夜勤")+COUNTIF('8月'!CF28:CG28,"三軒茶屋－夜勤")+COUNTIF('8月'!CK28:CL28,"三軒茶屋－夜勤")+COUNTIF('8月'!CP28:CQ28,"三軒茶屋－夜勤")+COUNTIF('8月'!CU28:CV28,"三軒茶屋－夜勤")+COUNTIF('8月'!CZ28:DA28,"三軒茶屋－夜勤")+COUNTIF('8月'!DE28:DF28,"三軒茶屋－夜勤")+COUNTIF('8月'!DJ28:DK28,"三軒茶屋－夜勤")+COUNTIF('8月'!DO28:DP28,"三軒茶屋－夜勤")+COUNTIF('8月'!DT28:DU28,"三軒茶屋－夜勤")+COUNTIF('8月'!DY28:DZ28,"三軒茶屋－夜勤")+COUNTIF('8月'!ED28:EE28,"三軒茶屋－夜勤")+COUNTIF('8月'!EI28:EJ28,"三軒茶屋－夜勤")+COUNTIF('8月'!EN28:EO28,"三軒茶屋－夜勤")+COUNTIF('8月'!ES28:ET28,"三軒茶屋－夜勤")</f>
        <v>0</v>
      </c>
      <c r="O289" s="76">
        <f t="shared" si="90"/>
        <v>0</v>
      </c>
      <c r="P289" s="76">
        <f>COUNTIF('8月'!D28:E28,P$263)+COUNTIF('8月'!I28:J28,P$263)+COUNTIF('8月'!N28:O28,P$263)+COUNTIF('8月'!S28:T28,P$263)+COUNTIF('8月'!X28:Y28,P$263)+COUNTIF('8月'!AC28:AD28,P$263)+COUNTIF('8月'!AH28:AI28,P$263)+COUNTIF('8月'!AM28:AN28,P$263)+COUNTIF('8月'!AR28:AS28,P$263)+COUNTIF('8月'!AW28:AX28,P$263)+COUNTIF('8月'!BB28:BC28,P$263)+COUNTIF('8月'!BG28:BH28,P$263)+COUNTIF('8月'!BL28:BM28,P$263)+COUNTIF('8月'!BQ28:BR28,P$263)+COUNTIF('8月'!BV28:BW28,P$263)+COUNTIF('8月'!CA28:CB28,P$263)+COUNTIF('8月'!CF28:CG28,P$263)+COUNTIF('8月'!CK28:CL28,P$263)+COUNTIF('8月'!CP28:CQ28,P$263)+COUNTIF('8月'!CU28:CV28,P$263)+COUNTIF('8月'!CZ28:DA28,P$263)+COUNTIF('8月'!DE28:DF28,P$263)+COUNTIF('8月'!DJ28:DK28,P$263)+COUNTIF('8月'!DO28:DP28,P$263)+COUNTIF('8月'!DT28:DU28,P$263)+COUNTIF('8月'!DY28:DZ28,P$263)+COUNTIF('8月'!ED28:EE28,P$263)+COUNTIF('8月'!EI28:EJ28,P$263)+COUNTIF('8月'!EN28:EO28,P$263)+COUNTIF('8月'!ES28:ET28,P$263)+COUNTIF('8月'!D28:E28,"荻窪ー夜勤")+COUNTIF('8月'!I28:J28,"荻窪ー夜勤")+COUNTIF('8月'!N28:O28,"荻窪ー夜勤")+COUNTIF('8月'!S28:T28,"荻窪ー夜勤")+COUNTIF('8月'!X28:Y28,"荻窪ー夜勤")+COUNTIF('8月'!AC28:AD28,"荻窪ー夜勤")+COUNTIF('8月'!AH28:AI28,"荻窪ー夜勤")+COUNTIF('8月'!AM28:AN28,"荻窪ー夜勤")+COUNTIF('8月'!AR28:AS28,"荻窪ー夜勤")+COUNTIF('8月'!AW28:AX28,"荻窪ー夜勤")+COUNTIF('8月'!BB28:BC28,"荻窪ー夜勤")+COUNTIF('8月'!BG28:BH28,"荻窪ー夜勤")+COUNTIF('8月'!BL28:BM28,"荻窪ー夜勤")+COUNTIF('8月'!BQ28:BR28,"荻窪ー夜勤")+COUNTIF('8月'!BV28:BW28,"荻窪ー夜勤")+COUNTIF('8月'!CA28:CB28,"荻窪ー夜勤")+COUNTIF('8月'!CF28:CG28,"荻窪ー夜勤")+COUNTIF('8月'!CK28:CL28,"荻窪ー夜勤")+COUNTIF('8月'!CP28:CQ28,"荻窪ー夜勤")+COUNTIF('8月'!CU28:CV28,"荻窪ー夜勤")+COUNTIF('8月'!CZ28:DA28,"荻窪ー夜勤")+COUNTIF('8月'!DE28:DF28,"荻窪ー夜勤")+COUNTIF('8月'!DJ28:DK28,"荻窪ー夜勤")+COUNTIF('8月'!DO28:DP28,"荻窪ー夜勤")+COUNTIF('8月'!DT28:DU28,"荻窪ー夜勤")+COUNTIF('8月'!DY28:DZ28,"荻窪ー夜勤")+COUNTIF('8月'!ED28:EE28,"荻窪ー夜勤")+COUNTIF('8月'!EI28:EJ28,"荻窪ー夜勤")+COUNTIF('8月'!EN28:EO28,"荻窪ー夜勤")+COUNTIF('8月'!ES28:ET28,"荻窪ー夜勤")</f>
        <v>0</v>
      </c>
      <c r="Q289" s="76">
        <f t="shared" si="91"/>
        <v>0</v>
      </c>
      <c r="R289" s="76">
        <f>COUNTIF('8月'!D28:E28,R$263)+COUNTIF('8月'!I28:J28,R$263)+COUNTIF('8月'!N28:O28,R$263)+COUNTIF('8月'!S28:T28,R$263)+COUNTIF('8月'!X28:Y28,R$263)+COUNTIF('8月'!AC28:AD28,R$263)+COUNTIF('8月'!AH28:AI28,R$263)+COUNTIF('8月'!AM28:AN28,R$263)+COUNTIF('8月'!AR28:AS28,R$263)+COUNTIF('8月'!AW28:AX28,R$263)+COUNTIF('8月'!BB28:BC28,R$263)+COUNTIF('8月'!BG28:BH28,R$263)+COUNTIF('8月'!BL28:BM28,R$263)+COUNTIF('8月'!BQ28:BR28,R$263)+COUNTIF('8月'!BV28:BW28,R$263)+COUNTIF('8月'!CA28:CB28,R$263)+COUNTIF('8月'!CF28:CG28,R$263)+COUNTIF('8月'!CK28:CL28,R$263)+COUNTIF('8月'!CP28:CQ28,R$263)+COUNTIF('8月'!CU28:CV28,R$263)+COUNTIF('8月'!CZ28:DA28,R$263)+COUNTIF('8月'!DE28:DF28,R$263)+COUNTIF('8月'!DJ28:DK28,R$263)+COUNTIF('8月'!DO28:DP28,R$263)+COUNTIF('8月'!DT28:DU28,R$263)+COUNTIF('8月'!DY28:DZ28,R$263)+COUNTIF('8月'!ED28:EE28,R$263)+COUNTIF('8月'!EI28:EJ28,R$263)+COUNTIF('8月'!EN28:EO28,R$263)+COUNTIF('8月'!ES28:ET28,R$263)</f>
        <v>0</v>
      </c>
      <c r="S289" s="76">
        <f t="shared" si="92"/>
        <v>0</v>
      </c>
      <c r="T289" s="76">
        <f>COUNTIF('8月'!D28:E28,T$263)+COUNTIF('8月'!I28:J28,T$263)+COUNTIF('8月'!N28:O28,T$263)+COUNTIF('8月'!S28:T28,T$263)+COUNTIF('8月'!X28:Y28,T$263)+COUNTIF('8月'!AC28:AD28,T$263)+COUNTIF('8月'!AH28:AI28,T$263)+COUNTIF('8月'!AM28:AN28,T$263)+COUNTIF('8月'!AR28:AS28,T$263)+COUNTIF('8月'!AW28:AX28,T$263)+COUNTIF('8月'!BB28:BC28,T$263)+COUNTIF('8月'!BG28:BH28,T$263)+COUNTIF('8月'!BL28:BM28,T$263)+COUNTIF('8月'!BQ28:BR28,T$263)+COUNTIF('8月'!BV28:BW28,T$263)+COUNTIF('8月'!CA28:CB28,T$263)+COUNTIF('8月'!CF28:CG28,T$263)+COUNTIF('8月'!CK28:CL28,T$263)+COUNTIF('8月'!CP28:CQ28,T$263)+COUNTIF('8月'!CU28:CV28,T$263)+COUNTIF('8月'!CZ28:DA28,T$263)+COUNTIF('8月'!DE28:DF28,T$263)+COUNTIF('8月'!DJ28:DK28,T$263)+COUNTIF('8月'!DO28:DP28,T$263)+COUNTIF('8月'!DT28:DU28,T$263)+COUNTIF('8月'!DY28:DZ28,T$263)+COUNTIF('8月'!ED28:EE28,T$263)+COUNTIF('8月'!EI28:EJ28,T$263)+COUNTIF('8月'!EN28:EO28,T$263)+COUNTIF('8月'!ES28:ET28,T$263)</f>
        <v>0</v>
      </c>
      <c r="U289" s="76">
        <f t="shared" si="93"/>
        <v>0</v>
      </c>
      <c r="V289" s="76">
        <f>COUNTIF('8月'!D28:E28,V$263)+COUNTIF('8月'!I28:J28,V$263)+COUNTIF('8月'!N28:O28,V$263)+COUNTIF('8月'!S28:T28,V$263)+COUNTIF('8月'!X28:Y28,V$263)+COUNTIF('8月'!AC28:AD28,V$263)+COUNTIF('8月'!AH28:AI28,V$263)+COUNTIF('8月'!AM28:AN28,V$263)+COUNTIF('8月'!AR28:AS28,V$263)+COUNTIF('8月'!AW28:AX28,V$263)+COUNTIF('8月'!BB28:BC28,V$263)+COUNTIF('8月'!BG28:BH28,V$263)+COUNTIF('8月'!BL28:BM28,V$263)+COUNTIF('8月'!BQ28:BR28,V$263)+COUNTIF('8月'!BV28:BW28,V$263)+COUNTIF('8月'!CA28:CB28,V$263)+COUNTIF('8月'!CF28:CG28,V$263)+COUNTIF('8月'!CK28:CL28,V$263)+COUNTIF('8月'!CP28:CQ28,V$263)+COUNTIF('8月'!CU28:CV28,V$263)+COUNTIF('8月'!CZ28:DA28,V$263)+COUNTIF('8月'!DE28:DF28,V$263)+COUNTIF('8月'!DJ28:DK28,V$263)+COUNTIF('8月'!DO28:DP28,V$263)+COUNTIF('8月'!DT28:DU28,V$263)+COUNTIF('8月'!DY28:DZ28,V$263)+COUNTIF('8月'!ED28:EE28,V$263)+COUNTIF('8月'!EI28:EJ28,V$263)+COUNTIF('8月'!EN28:EO28,V$263)+COUNTIF('8月'!ES28:ET28,V$263)</f>
        <v>0</v>
      </c>
      <c r="W289" s="76">
        <f t="shared" si="94"/>
        <v>0</v>
      </c>
      <c r="X289" s="76">
        <f>COUNTIF('8月'!D28:E28,X$263)+COUNTIF('8月'!I28:J28,X$263)+COUNTIF('8月'!N28:O28,X$263)+COUNTIF('8月'!S28:T28,X$263)+COUNTIF('8月'!X28:Y28,X$263)+COUNTIF('8月'!AC28:AD28,X$263)+COUNTIF('8月'!AH28:AI28,X$263)+COUNTIF('8月'!AM28:AN28,X$263)+COUNTIF('8月'!AR28:AS28,X$263)+COUNTIF('8月'!AW28:AX28,X$263)+COUNTIF('8月'!BB28:BC28,X$263)+COUNTIF('8月'!BG28:BH28,X$263)+COUNTIF('8月'!BL28:BM28,X$263)+COUNTIF('8月'!BQ28:BR28,X$263)+COUNTIF('8月'!BV28:BW28,X$263)+COUNTIF('8月'!CA28:CB28,X$263)+COUNTIF('8月'!CF28:CG28,X$263)+COUNTIF('8月'!CK28:CL28,X$263)+COUNTIF('8月'!CP28:CQ28,X$263)+COUNTIF('8月'!CU28:CV28,X$263)+COUNTIF('8月'!CZ28:DA28,X$263)+COUNTIF('8月'!DE28:DF28,X$263)+COUNTIF('8月'!DJ28:DK28,X$263)+COUNTIF('8月'!DO28:DP28,X$263)+COUNTIF('8月'!DT28:DU28,X$263)+COUNTIF('8月'!DY28:DZ28,X$263)+COUNTIF('8月'!ED28:EE28,X$263)+COUNTIF('8月'!EI28:EJ28,X$263)+COUNTIF('8月'!EN28:EO28,X$263)+COUNTIF('8月'!ES28:ET28,X$263)</f>
        <v>0</v>
      </c>
      <c r="Y289" s="76">
        <f t="shared" si="95"/>
        <v>0</v>
      </c>
    </row>
    <row r="290" spans="1:25" ht="18" customHeight="1">
      <c r="A290" s="76">
        <v>26</v>
      </c>
      <c r="B290" s="76">
        <f>COUNTIF('8月'!D29:E29,B$263)+COUNTIF('8月'!I29:J29,B$263)+COUNTIF('8月'!N29:O29,B$263)+COUNTIF('8月'!S29:T29,B$263)+COUNTIF('8月'!X29:Y29,B$263)+COUNTIF('8月'!AC29:AD29,B$263)+COUNTIF('8月'!AH29:AI29,B$263)+COUNTIF('8月'!AM29:AN29,B$263)+COUNTIF('8月'!AR29:AS29,B$263)+COUNTIF('8月'!AW29:AX29,B$263)+COUNTIF('8月'!BB29:BC29,B$263)+COUNTIF('8月'!BG29:BH29,B$263)+COUNTIF('8月'!BL29:BM29,B$263)+COUNTIF('8月'!BQ29:BR29,B$263)+COUNTIF('8月'!BV29:BW29,B$263)+COUNTIF('8月'!CA29:CB29,B$263)+COUNTIF('8月'!CF29:CG29,B$263)+COUNTIF('8月'!CK29:CL29,B$263)+COUNTIF('8月'!CP29:CQ29,B$263)+COUNTIF('8月'!CU29:CV29,B$263)+COUNTIF('8月'!CZ29:DA29,B$263)+COUNTIF('8月'!DE29:DF29,B$263)+COUNTIF('8月'!DJ29:DK29,B$263)+COUNTIF('8月'!DO29:DP29,B$263)+COUNTIF('8月'!DT29:DU29,B$263)+COUNTIF('8月'!DY29:DZ29,B$263)+COUNTIF('8月'!ED29:EE29,B$263)+COUNTIF('8月'!EI29:EJ29,B$263)+COUNTIF('8月'!EN29:EO29,B$263)+COUNTIF('8月'!ES29:ET29,B$263)</f>
        <v>0</v>
      </c>
      <c r="C290" s="76">
        <f t="shared" si="84"/>
        <v>0</v>
      </c>
      <c r="D290" s="76">
        <f>COUNTIF('8月'!D29:E29,D$263)+COUNTIF('8月'!I29:J29,D$263)+COUNTIF('8月'!N29:O29,D$263)+COUNTIF('8月'!S29:T29,D$263)+COUNTIF('8月'!X29:Y29,D$263)+COUNTIF('8月'!AC29:AD29,D$263)+COUNTIF('8月'!AH29:AI29,D$263)+COUNTIF('8月'!AM29:AN29,D$263)+COUNTIF('8月'!AR29:AS29,D$263)+COUNTIF('8月'!AW29:AX29,D$263)+COUNTIF('8月'!BB29:BC29,D$263)+COUNTIF('8月'!BG29:BH29,D$263)+COUNTIF('8月'!BL29:BM29,D$263)+COUNTIF('8月'!BQ29:BR29,D$263)+COUNTIF('8月'!BV29:BW29,D$263)+COUNTIF('8月'!CA29:CB29,D$263)+COUNTIF('8月'!CF29:CG29,D$263)+COUNTIF('8月'!CK29:CL29,D$263)+COUNTIF('8月'!CP29:CQ29,D$263)+COUNTIF('8月'!CU29:CV29,D$263)+COUNTIF('8月'!CZ29:DA29,D$263)+COUNTIF('8月'!DE29:DF29,D$263)+COUNTIF('8月'!DJ29:DK29,D$263)+COUNTIF('8月'!DO29:DP29,D$263)+COUNTIF('8月'!DT29:DU29,D$263)+COUNTIF('8月'!DY29:DZ29,D$263)+COUNTIF('8月'!ED29:EE29,D$263)+COUNTIF('8月'!EI29:EJ29,D$263)+COUNTIF('8月'!EN29:EO29,D$263)+COUNTIF('8月'!ES29:ET29,D$263)</f>
        <v>0</v>
      </c>
      <c r="E290" s="76">
        <f t="shared" si="85"/>
        <v>0</v>
      </c>
      <c r="F290" s="76">
        <f>COUNTIF('8月'!D29:E29,F$263)+COUNTIF('8月'!I29:J29,F$263)+COUNTIF('8月'!N29:O29,F$263)+COUNTIF('8月'!S29:T29,F$263)+COUNTIF('8月'!X29:Y29,F$263)+COUNTIF('8月'!AC29:AD29,F$263)+COUNTIF('8月'!AH29:AI29,F$263)+COUNTIF('8月'!AM29:AN29,F$263)+COUNTIF('8月'!AR29:AS29,F$263)+COUNTIF('8月'!AW29:AX29,F$263)+COUNTIF('8月'!BB29:BC29,F$263)+COUNTIF('8月'!BG29:BH29,F$263)+COUNTIF('8月'!BL29:BM29,F$263)+COUNTIF('8月'!BQ29:BR29,F$263)+COUNTIF('8月'!BV29:BW29,F$263)+COUNTIF('8月'!CA29:CB29,F$263)+COUNTIF('8月'!CF29:CG29,F$263)+COUNTIF('8月'!CK29:CL29,F$263)+COUNTIF('8月'!CP29:CQ29,F$263)+COUNTIF('8月'!CU29:CV29,F$263)+COUNTIF('8月'!CZ29:DA29,F$263)+COUNTIF('8月'!DE29:DF29,F$263)+COUNTIF('8月'!DJ29:DK29,F$263)+COUNTIF('8月'!DO29:DP29,F$263)+COUNTIF('8月'!DT29:DU29,F$263)+COUNTIF('8月'!DY29:DZ29,F$263)+COUNTIF('8月'!ED29:EE29,F$263)+COUNTIF('8月'!EI29:EJ29,F$263)+COUNTIF('8月'!EN29:EO29,F$263)+COUNTIF('8月'!ES29:ET29,F$263)</f>
        <v>0</v>
      </c>
      <c r="G290" s="76">
        <f t="shared" si="86"/>
        <v>0</v>
      </c>
      <c r="H290" s="76">
        <f>COUNTIF('8月'!D29:E29,H$263)+COUNTIF('8月'!I29:J29,H$263)+COUNTIF('8月'!N29:O29,H$263)+COUNTIF('8月'!S29:T29,H$263)+COUNTIF('8月'!X29:Y29,H$263)+COUNTIF('8月'!AC29:AD29,H$263)+COUNTIF('8月'!AH29:AI29,H$263)+COUNTIF('8月'!AM29:AN29,H$263)+COUNTIF('8月'!AR29:AS29,H$263)+COUNTIF('8月'!AW29:AX29,H$263)+COUNTIF('8月'!BB29:BC29,H$263)+COUNTIF('8月'!BG29:BH29,H$263)+COUNTIF('8月'!BL29:BM29,H$263)+COUNTIF('8月'!BQ29:BR29,H$263)+COUNTIF('8月'!BV29:BW29,H$263)+COUNTIF('8月'!CA29:CB29,H$263)+COUNTIF('8月'!CF29:CG29,H$263)+COUNTIF('8月'!CK29:CL29,H$263)+COUNTIF('8月'!CP29:CQ29,H$263)+COUNTIF('8月'!CU29:CV29,H$263)+COUNTIF('8月'!CZ29:DA29,H$263)+COUNTIF('8月'!DE29:DF29,H$263)+COUNTIF('8月'!DJ29:DK29,H$263)+COUNTIF('8月'!DO29:DP29,H$263)+COUNTIF('8月'!DT29:DU29,H$263)+COUNTIF('8月'!DY29:DZ29,H$263)+COUNTIF('8月'!ED29:EE29,H$263)+COUNTIF('8月'!EI29:EJ29,H$263)+COUNTIF('8月'!EN29:EO29,H$263)+COUNTIF('8月'!ES29:ET29,H$263)+COUNTIF('8月'!D29:E29,"渋谷-夜勤")+COUNTIF('8月'!I29:J29,"渋谷-夜勤")+COUNTIF('8月'!N29:O29,"渋谷-夜勤")+COUNTIF('8月'!S29:T29,"渋谷-夜勤")+COUNTIF('8月'!X29:Y29,"渋谷-夜勤")+COUNTIF('8月'!AC29:AD29,"渋谷-夜勤")+COUNTIF('8月'!AH29:AI29,"渋谷-夜勤")+COUNTIF('8月'!AM29:AN29,"渋谷-夜勤")+COUNTIF('8月'!AR29:AS29,"渋谷-夜勤")+COUNTIF('8月'!AW29:AX29,"渋谷-夜勤")+COUNTIF('8月'!BB29:BC29,"渋谷-夜勤")+COUNTIF('8月'!BG29:BH29,"渋谷-夜勤")+COUNTIF('8月'!BL29:BM29,"渋谷-夜勤")+COUNTIF('8月'!BQ29:BR29,"渋谷-夜勤")+COUNTIF('8月'!BV29:BW29,"渋谷-夜勤")+COUNTIF('8月'!CA29:CB29,"渋谷-夜勤")+COUNTIF('8月'!CF29:CG29,"渋谷-夜勤")+COUNTIF('8月'!CK29:CL29,"渋谷-夜勤")+COUNTIF('8月'!CP29:CQ29,"渋谷-夜勤")+COUNTIF('8月'!CU29:CV29,"渋谷-夜勤")+COUNTIF('8月'!CZ29:DA29,"渋谷-夜勤")+COUNTIF('8月'!DE29:DF29,"渋谷-夜勤")+COUNTIF('8月'!DJ29:DK29,"渋谷-夜勤")+COUNTIF('8月'!DO29:DP29,"渋谷-夜勤")+COUNTIF('8月'!DT29:DU29,"渋谷-夜勤")+COUNTIF('8月'!DY29:DZ29,"渋谷-夜勤")+COUNTIF('8月'!ED29:EE29,"渋谷-夜勤")+COUNTIF('8月'!EI29:EJ29,"渋谷-夜勤")+COUNTIF('8月'!EN29:EO29,"渋谷-夜勤")+COUNTIF('8月'!ES29:ET29,"渋谷-夜勤")</f>
        <v>0</v>
      </c>
      <c r="I290" s="76">
        <f t="shared" si="87"/>
        <v>0</v>
      </c>
      <c r="J290" s="76">
        <f>COUNTIF('8月'!D29:E29,J$263)+COUNTIF('8月'!I29:J29,J$263)+COUNTIF('8月'!N29:O29,J$263)+COUNTIF('8月'!S29:T29,J$263)+COUNTIF('8月'!X29:Y29,J$263)+COUNTIF('8月'!AC29:AD29,J$263)+COUNTIF('8月'!AH29:AI29,J$263)+COUNTIF('8月'!AM29:AN29,J$263)+COUNTIF('8月'!AR29:AS29,J$263)+COUNTIF('8月'!AW29:AX29,J$263)+COUNTIF('8月'!BB29:BC29,J$263)+COUNTIF('8月'!BG29:BH29,J$263)+COUNTIF('8月'!BL29:BM29,J$263)+COUNTIF('8月'!BQ29:BR29,J$263)+COUNTIF('8月'!BV29:BW29,J$263)+COUNTIF('8月'!CA29:CB29,J$263)+COUNTIF('8月'!CF29:CG29,J$263)+COUNTIF('8月'!CK29:CL29,J$263)+COUNTIF('8月'!CP29:CQ29,J$263)+COUNTIF('8月'!CU29:CV29,J$263)+COUNTIF('8月'!CZ29:DA29,J$263)+COUNTIF('8月'!DE29:DF29,J$263)+COUNTIF('8月'!DJ29:DK29,J$263)+COUNTIF('8月'!DO29:DP29,J$263)+COUNTIF('8月'!DT29:DU29,J$263)+COUNTIF('8月'!DY29:DZ29,J$263)+COUNTIF('8月'!ED29:EE29,J$263)+COUNTIF('8月'!EI29:EJ29,J$263)+COUNTIF('8月'!EN29:EO29,J$263)+COUNTIF('8月'!ES29:ET29,J$263)+COUNTIF('8月'!D29:E29,"六本木-夜勤")+COUNTIF('8月'!I29:J29,"六本木-夜勤")+COUNTIF('8月'!N29:O29,"六本木-夜勤")+COUNTIF('8月'!S29:T29,"六本木-夜勤")+COUNTIF('8月'!X29:Y29,"六本木-夜勤")+COUNTIF('8月'!AC29:AD29,"六本木-夜勤")+COUNTIF('8月'!AH29:AI29,"六本木-夜勤")+COUNTIF('8月'!AM29:AN29,"六本木-夜勤")+COUNTIF('8月'!AR29:AS29,"六本木-夜勤")+COUNTIF('8月'!AW29:AX29,"六本木-夜勤")+COUNTIF('8月'!BB29:BC29,"六本木-夜勤")+COUNTIF('8月'!BG29:BH29,"六本木-夜勤")+COUNTIF('8月'!BL29:BM29,"六本木-夜勤")+COUNTIF('8月'!BQ29:BR29,"六本木-夜勤")+COUNTIF('8月'!BV29:BW29,"六本木-夜勤")+COUNTIF('8月'!CA29:CB29,"六本木-夜勤")+COUNTIF('8月'!CF29:CG29,"六本木-夜勤")+COUNTIF('8月'!CK29:CL29,"六本木-夜勤")+COUNTIF('8月'!CP29:CQ29,"六本木-夜勤")+COUNTIF('8月'!CU29:CV29,"六本木-夜勤")+COUNTIF('8月'!CZ29:DA29,"六本木-夜勤")+COUNTIF('8月'!DE29:DF29,"六本木-夜勤")+COUNTIF('8月'!DJ29:DK29,"六本木-夜勤")+COUNTIF('8月'!DO29:DP29,"六本木-夜勤")+COUNTIF('8月'!DT29:DU29,"六本木-夜勤")+COUNTIF('8月'!DY29:DZ29,"六本木-夜勤")+COUNTIF('8月'!ED29:EE29,"六本木-夜勤")+COUNTIF('8月'!EI29:EJ29,"六本木-夜勤")+COUNTIF('8月'!EN29:EO29,"六本木-夜勤")+COUNTIF('8月'!ES29:ET29,"六本木-夜勤")+COUNTIF('8月'!D29:E29,"六本木ー夜勤")+COUNTIF('8月'!I29:J29,"六本木ー夜勤")+COUNTIF('8月'!N29:O29,"六本木ー夜勤")+COUNTIF('8月'!S29:T29,"六本木ー夜勤")+COUNTIF('8月'!X29:Y29,"六本木ー夜勤")+COUNTIF('8月'!AC29:AD29,"六本木ー夜勤")+COUNTIF('8月'!AH29:AI29,"六本木ー夜勤")+COUNTIF('8月'!AM29:AN29,"六本木ー夜勤")+COUNTIF('8月'!AR29:AS29,"六本木ー夜勤")+COUNTIF('8月'!AW29:AX29,"六本木ー夜勤")+COUNTIF('8月'!BB29:BC29,"六本木ー夜勤")+COUNTIF('8月'!BG29:BH29,"六本木ー夜勤")+COUNTIF('8月'!BL29:BM29,"六本木ー夜勤")+COUNTIF('8月'!BQ29:BR29,"六本木ー夜勤")+COUNTIF('8月'!BV29:BW29,"六本木ー夜勤")+COUNTIF('8月'!CA29:CB29,"六本木ー夜勤")+COUNTIF('8月'!CF29:CG29,"六本木ー夜勤")+COUNTIF('8月'!CK29:CL29,"六本木ー夜勤")+COUNTIF('8月'!CP29:CQ29,"六本木ー夜勤")+COUNTIF('8月'!CU29:CV29,"六本木ー夜勤")+COUNTIF('8月'!CZ29:DA29,"六本木ー夜勤")+COUNTIF('8月'!DE29:DF29,"六本木ー夜勤")+COUNTIF('8月'!DJ29:DK29,"六本木ー夜勤")+COUNTIF('8月'!DO29:DP29,"六本木ー夜勤")+COUNTIF('8月'!DT29:DU29,"六本木ー夜勤")+COUNTIF('8月'!DY29:DZ29,"六本木ー夜勤")+COUNTIF('8月'!ED29:EE29,"六本木ー夜勤")+COUNTIF('8月'!EI29:EJ29,"六本木ー夜勤")+COUNTIF('8月'!EN29:EO29,"六本木ー夜勤")+COUNTIF('8月'!ES29:ET29,"六本木ー夜勤")</f>
        <v>0</v>
      </c>
      <c r="K290" s="76">
        <f t="shared" si="88"/>
        <v>0</v>
      </c>
      <c r="L290" s="76">
        <f>COUNTIF('8月'!D29:E29,L$263)+COUNTIF('8月'!I29:J29,L$263)+COUNTIF('8月'!N29:O29,L$263)+COUNTIF('8月'!S29:T29,L$263)+COUNTIF('8月'!X29:Y29,L$263)+COUNTIF('8月'!AC29:AD29,L$263)+COUNTIF('8月'!AH29:AI29,L$263)+COUNTIF('8月'!AM29:AN29,L$263)+COUNTIF('8月'!AR29:AS29,L$263)+COUNTIF('8月'!AW29:AX29,L$263)+COUNTIF('8月'!BB29:BC29,L$263)+COUNTIF('8月'!BG29:BH29,L$263)+COUNTIF('8月'!BL29:BM29,L$263)+COUNTIF('8月'!BQ29:BR29,L$263)+COUNTIF('8月'!BV29:BW29,L$263)+COUNTIF('8月'!CA29:CB29,L$263)+COUNTIF('8月'!CF29:CG29,L$263)+COUNTIF('8月'!CK29:CL29,L$263)+COUNTIF('8月'!CP29:CQ29,L$263)+COUNTIF('8月'!CU29:CV29,L$263)+COUNTIF('8月'!CZ29:DA29,L$263)+COUNTIF('8月'!DE29:DF29,L$263)+COUNTIF('8月'!DJ29:DK29,L$263)+COUNTIF('8月'!DO29:DP29,L$263)+COUNTIF('8月'!DT29:DU29,L$263)+COUNTIF('8月'!DY29:DZ29,L$263)+COUNTIF('8月'!ED29:EE29,L$263)+COUNTIF('8月'!EI29:EJ29,L$263)+COUNTIF('8月'!EN29:EO29,L$263)+COUNTIF('8月'!ES29:ET29,L$263)</f>
        <v>0</v>
      </c>
      <c r="M290" s="76">
        <f t="shared" si="89"/>
        <v>0</v>
      </c>
      <c r="N290" s="76">
        <f>COUNTIF('8月'!D29:E29,N$263)+COUNTIF('8月'!I29:J29,N$263)+COUNTIF('8月'!N29:O29,N$263)+COUNTIF('8月'!S29:T29,N$263)+COUNTIF('8月'!X29:Y29,N$263)+COUNTIF('8月'!AC29:AD29,N$263)+COUNTIF('8月'!AH29:AI29,N$263)+COUNTIF('8月'!AM29:AN29,N$263)+COUNTIF('8月'!AR29:AS29,N$263)+COUNTIF('8月'!AW29:AX29,N$263)+COUNTIF('8月'!BB29:BC29,N$263)+COUNTIF('8月'!BG29:BH29,N$263)+COUNTIF('8月'!BL29:BM29,N$263)+COUNTIF('8月'!BQ29:BR29,N$263)+COUNTIF('8月'!BV29:BW29,N$263)+COUNTIF('8月'!CA29:CB29,N$263)+COUNTIF('8月'!CF29:CG29,N$263)+COUNTIF('8月'!CK29:CL29,N$263)+COUNTIF('8月'!CP29:CQ29,N$263)+COUNTIF('8月'!CU29:CV29,N$263)+COUNTIF('8月'!CZ29:DA29,N$263)+COUNTIF('8月'!DE29:DF29,N$263)+COUNTIF('8月'!DJ29:DK29,N$263)+COUNTIF('8月'!DO29:DP29,N$263)+COUNTIF('8月'!DT29:DU29,N$263)+COUNTIF('8月'!DY29:DZ29,N$263)+COUNTIF('8月'!ED29:EE29,N$263)+COUNTIF('8月'!EI29:EJ29,N$263)+COUNTIF('8月'!EN29:EO29,N$263)+COUNTIF('8月'!ES29:ET29,N$263)+COUNTIF('8月'!D29:E29,"三軒茶屋－夜勤")+COUNTIF('8月'!I29:J29,"三軒茶屋－夜勤")+COUNTIF('8月'!N29:O29,"三軒茶屋－夜勤")+COUNTIF('8月'!S29:T29,"三軒茶屋－夜勤")+COUNTIF('8月'!X29:Y29,"三軒茶屋－夜勤")+COUNTIF('8月'!AC29:AD29,"三軒茶屋－夜勤")+COUNTIF('8月'!AH29:AI29,"三軒茶屋－夜勤")+COUNTIF('8月'!AM29:AN29,"三軒茶屋－夜勤")+COUNTIF('8月'!AR29:AS29,"三軒茶屋－夜勤")+COUNTIF('8月'!AW29:AX29,"三軒茶屋－夜勤")+COUNTIF('8月'!BB29:BC29,"三軒茶屋－夜勤")+COUNTIF('8月'!BG29:BH29,"三軒茶屋－夜勤")+COUNTIF('8月'!BL29:BM29,"三軒茶屋－夜勤")+COUNTIF('8月'!BQ29:BR29,"三軒茶屋－夜勤")+COUNTIF('8月'!BV29:BW29,"三軒茶屋－夜勤")+COUNTIF('8月'!CA29:CB29,"三軒茶屋－夜勤")+COUNTIF('8月'!CF29:CG29,"三軒茶屋－夜勤")+COUNTIF('8月'!CK29:CL29,"三軒茶屋－夜勤")+COUNTIF('8月'!CP29:CQ29,"三軒茶屋－夜勤")+COUNTIF('8月'!CU29:CV29,"三軒茶屋－夜勤")+COUNTIF('8月'!CZ29:DA29,"三軒茶屋－夜勤")+COUNTIF('8月'!DE29:DF29,"三軒茶屋－夜勤")+COUNTIF('8月'!DJ29:DK29,"三軒茶屋－夜勤")+COUNTIF('8月'!DO29:DP29,"三軒茶屋－夜勤")+COUNTIF('8月'!DT29:DU29,"三軒茶屋－夜勤")+COUNTIF('8月'!DY29:DZ29,"三軒茶屋－夜勤")+COUNTIF('8月'!ED29:EE29,"三軒茶屋－夜勤")+COUNTIF('8月'!EI29:EJ29,"三軒茶屋－夜勤")+COUNTIF('8月'!EN29:EO29,"三軒茶屋－夜勤")+COUNTIF('8月'!ES29:ET29,"三軒茶屋－夜勤")</f>
        <v>0</v>
      </c>
      <c r="O290" s="76">
        <f t="shared" si="90"/>
        <v>0</v>
      </c>
      <c r="P290" s="76">
        <f>COUNTIF('8月'!D29:E29,P$263)+COUNTIF('8月'!I29:J29,P$263)+COUNTIF('8月'!N29:O29,P$263)+COUNTIF('8月'!S29:T29,P$263)+COUNTIF('8月'!X29:Y29,P$263)+COUNTIF('8月'!AC29:AD29,P$263)+COUNTIF('8月'!AH29:AI29,P$263)+COUNTIF('8月'!AM29:AN29,P$263)+COUNTIF('8月'!AR29:AS29,P$263)+COUNTIF('8月'!AW29:AX29,P$263)+COUNTIF('8月'!BB29:BC29,P$263)+COUNTIF('8月'!BG29:BH29,P$263)+COUNTIF('8月'!BL29:BM29,P$263)+COUNTIF('8月'!BQ29:BR29,P$263)+COUNTIF('8月'!BV29:BW29,P$263)+COUNTIF('8月'!CA29:CB29,P$263)+COUNTIF('8月'!CF29:CG29,P$263)+COUNTIF('8月'!CK29:CL29,P$263)+COUNTIF('8月'!CP29:CQ29,P$263)+COUNTIF('8月'!CU29:CV29,P$263)+COUNTIF('8月'!CZ29:DA29,P$263)+COUNTIF('8月'!DE29:DF29,P$263)+COUNTIF('8月'!DJ29:DK29,P$263)+COUNTIF('8月'!DO29:DP29,P$263)+COUNTIF('8月'!DT29:DU29,P$263)+COUNTIF('8月'!DY29:DZ29,P$263)+COUNTIF('8月'!ED29:EE29,P$263)+COUNTIF('8月'!EI29:EJ29,P$263)+COUNTIF('8月'!EN29:EO29,P$263)+COUNTIF('8月'!ES29:ET29,P$263)+COUNTIF('8月'!D29:E29,"荻窪ー夜勤")+COUNTIF('8月'!I29:J29,"荻窪ー夜勤")+COUNTIF('8月'!N29:O29,"荻窪ー夜勤")+COUNTIF('8月'!S29:T29,"荻窪ー夜勤")+COUNTIF('8月'!X29:Y29,"荻窪ー夜勤")+COUNTIF('8月'!AC29:AD29,"荻窪ー夜勤")+COUNTIF('8月'!AH29:AI29,"荻窪ー夜勤")+COUNTIF('8月'!AM29:AN29,"荻窪ー夜勤")+COUNTIF('8月'!AR29:AS29,"荻窪ー夜勤")+COUNTIF('8月'!AW29:AX29,"荻窪ー夜勤")+COUNTIF('8月'!BB29:BC29,"荻窪ー夜勤")+COUNTIF('8月'!BG29:BH29,"荻窪ー夜勤")+COUNTIF('8月'!BL29:BM29,"荻窪ー夜勤")+COUNTIF('8月'!BQ29:BR29,"荻窪ー夜勤")+COUNTIF('8月'!BV29:BW29,"荻窪ー夜勤")+COUNTIF('8月'!CA29:CB29,"荻窪ー夜勤")+COUNTIF('8月'!CF29:CG29,"荻窪ー夜勤")+COUNTIF('8月'!CK29:CL29,"荻窪ー夜勤")+COUNTIF('8月'!CP29:CQ29,"荻窪ー夜勤")+COUNTIF('8月'!CU29:CV29,"荻窪ー夜勤")+COUNTIF('8月'!CZ29:DA29,"荻窪ー夜勤")+COUNTIF('8月'!DE29:DF29,"荻窪ー夜勤")+COUNTIF('8月'!DJ29:DK29,"荻窪ー夜勤")+COUNTIF('8月'!DO29:DP29,"荻窪ー夜勤")+COUNTIF('8月'!DT29:DU29,"荻窪ー夜勤")+COUNTIF('8月'!DY29:DZ29,"荻窪ー夜勤")+COUNTIF('8月'!ED29:EE29,"荻窪ー夜勤")+COUNTIF('8月'!EI29:EJ29,"荻窪ー夜勤")+COUNTIF('8月'!EN29:EO29,"荻窪ー夜勤")+COUNTIF('8月'!ES29:ET29,"荻窪ー夜勤")</f>
        <v>0</v>
      </c>
      <c r="Q290" s="76">
        <f t="shared" si="91"/>
        <v>0</v>
      </c>
      <c r="R290" s="76">
        <f>COUNTIF('8月'!D29:E29,R$263)+COUNTIF('8月'!I29:J29,R$263)+COUNTIF('8月'!N29:O29,R$263)+COUNTIF('8月'!S29:T29,R$263)+COUNTIF('8月'!X29:Y29,R$263)+COUNTIF('8月'!AC29:AD29,R$263)+COUNTIF('8月'!AH29:AI29,R$263)+COUNTIF('8月'!AM29:AN29,R$263)+COUNTIF('8月'!AR29:AS29,R$263)+COUNTIF('8月'!AW29:AX29,R$263)+COUNTIF('8月'!BB29:BC29,R$263)+COUNTIF('8月'!BG29:BH29,R$263)+COUNTIF('8月'!BL29:BM29,R$263)+COUNTIF('8月'!BQ29:BR29,R$263)+COUNTIF('8月'!BV29:BW29,R$263)+COUNTIF('8月'!CA29:CB29,R$263)+COUNTIF('8月'!CF29:CG29,R$263)+COUNTIF('8月'!CK29:CL29,R$263)+COUNTIF('8月'!CP29:CQ29,R$263)+COUNTIF('8月'!CU29:CV29,R$263)+COUNTIF('8月'!CZ29:DA29,R$263)+COUNTIF('8月'!DE29:DF29,R$263)+COUNTIF('8月'!DJ29:DK29,R$263)+COUNTIF('8月'!DO29:DP29,R$263)+COUNTIF('8月'!DT29:DU29,R$263)+COUNTIF('8月'!DY29:DZ29,R$263)+COUNTIF('8月'!ED29:EE29,R$263)+COUNTIF('8月'!EI29:EJ29,R$263)+COUNTIF('8月'!EN29:EO29,R$263)+COUNTIF('8月'!ES29:ET29,R$263)</f>
        <v>0</v>
      </c>
      <c r="S290" s="76">
        <f t="shared" si="92"/>
        <v>0</v>
      </c>
      <c r="T290" s="76">
        <f>COUNTIF('8月'!D29:E29,T$263)+COUNTIF('8月'!I29:J29,T$263)+COUNTIF('8月'!N29:O29,T$263)+COUNTIF('8月'!S29:T29,T$263)+COUNTIF('8月'!X29:Y29,T$263)+COUNTIF('8月'!AC29:AD29,T$263)+COUNTIF('8月'!AH29:AI29,T$263)+COUNTIF('8月'!AM29:AN29,T$263)+COUNTIF('8月'!AR29:AS29,T$263)+COUNTIF('8月'!AW29:AX29,T$263)+COUNTIF('8月'!BB29:BC29,T$263)+COUNTIF('8月'!BG29:BH29,T$263)+COUNTIF('8月'!BL29:BM29,T$263)+COUNTIF('8月'!BQ29:BR29,T$263)+COUNTIF('8月'!BV29:BW29,T$263)+COUNTIF('8月'!CA29:CB29,T$263)+COUNTIF('8月'!CF29:CG29,T$263)+COUNTIF('8月'!CK29:CL29,T$263)+COUNTIF('8月'!CP29:CQ29,T$263)+COUNTIF('8月'!CU29:CV29,T$263)+COUNTIF('8月'!CZ29:DA29,T$263)+COUNTIF('8月'!DE29:DF29,T$263)+COUNTIF('8月'!DJ29:DK29,T$263)+COUNTIF('8月'!DO29:DP29,T$263)+COUNTIF('8月'!DT29:DU29,T$263)+COUNTIF('8月'!DY29:DZ29,T$263)+COUNTIF('8月'!ED29:EE29,T$263)+COUNTIF('8月'!EI29:EJ29,T$263)+COUNTIF('8月'!EN29:EO29,T$263)+COUNTIF('8月'!ES29:ET29,T$263)</f>
        <v>0</v>
      </c>
      <c r="U290" s="76">
        <f t="shared" si="93"/>
        <v>0</v>
      </c>
      <c r="V290" s="76">
        <f>COUNTIF('8月'!D29:E29,V$263)+COUNTIF('8月'!I29:J29,V$263)+COUNTIF('8月'!N29:O29,V$263)+COUNTIF('8月'!S29:T29,V$263)+COUNTIF('8月'!X29:Y29,V$263)+COUNTIF('8月'!AC29:AD29,V$263)+COUNTIF('8月'!AH29:AI29,V$263)+COUNTIF('8月'!AM29:AN29,V$263)+COUNTIF('8月'!AR29:AS29,V$263)+COUNTIF('8月'!AW29:AX29,V$263)+COUNTIF('8月'!BB29:BC29,V$263)+COUNTIF('8月'!BG29:BH29,V$263)+COUNTIF('8月'!BL29:BM29,V$263)+COUNTIF('8月'!BQ29:BR29,V$263)+COUNTIF('8月'!BV29:BW29,V$263)+COUNTIF('8月'!CA29:CB29,V$263)+COUNTIF('8月'!CF29:CG29,V$263)+COUNTIF('8月'!CK29:CL29,V$263)+COUNTIF('8月'!CP29:CQ29,V$263)+COUNTIF('8月'!CU29:CV29,V$263)+COUNTIF('8月'!CZ29:DA29,V$263)+COUNTIF('8月'!DE29:DF29,V$263)+COUNTIF('8月'!DJ29:DK29,V$263)+COUNTIF('8月'!DO29:DP29,V$263)+COUNTIF('8月'!DT29:DU29,V$263)+COUNTIF('8月'!DY29:DZ29,V$263)+COUNTIF('8月'!ED29:EE29,V$263)+COUNTIF('8月'!EI29:EJ29,V$263)+COUNTIF('8月'!EN29:EO29,V$263)+COUNTIF('8月'!ES29:ET29,V$263)</f>
        <v>0</v>
      </c>
      <c r="W290" s="76">
        <f t="shared" si="94"/>
        <v>0</v>
      </c>
      <c r="X290" s="76">
        <f>COUNTIF('8月'!D29:E29,X$263)+COUNTIF('8月'!I29:J29,X$263)+COUNTIF('8月'!N29:O29,X$263)+COUNTIF('8月'!S29:T29,X$263)+COUNTIF('8月'!X29:Y29,X$263)+COUNTIF('8月'!AC29:AD29,X$263)+COUNTIF('8月'!AH29:AI29,X$263)+COUNTIF('8月'!AM29:AN29,X$263)+COUNTIF('8月'!AR29:AS29,X$263)+COUNTIF('8月'!AW29:AX29,X$263)+COUNTIF('8月'!BB29:BC29,X$263)+COUNTIF('8月'!BG29:BH29,X$263)+COUNTIF('8月'!BL29:BM29,X$263)+COUNTIF('8月'!BQ29:BR29,X$263)+COUNTIF('8月'!BV29:BW29,X$263)+COUNTIF('8月'!CA29:CB29,X$263)+COUNTIF('8月'!CF29:CG29,X$263)+COUNTIF('8月'!CK29:CL29,X$263)+COUNTIF('8月'!CP29:CQ29,X$263)+COUNTIF('8月'!CU29:CV29,X$263)+COUNTIF('8月'!CZ29:DA29,X$263)+COUNTIF('8月'!DE29:DF29,X$263)+COUNTIF('8月'!DJ29:DK29,X$263)+COUNTIF('8月'!DO29:DP29,X$263)+COUNTIF('8月'!DT29:DU29,X$263)+COUNTIF('8月'!DY29:DZ29,X$263)+COUNTIF('8月'!ED29:EE29,X$263)+COUNTIF('8月'!EI29:EJ29,X$263)+COUNTIF('8月'!EN29:EO29,X$263)+COUNTIF('8月'!ES29:ET29,X$263)</f>
        <v>0</v>
      </c>
      <c r="Y290" s="76">
        <f t="shared" si="95"/>
        <v>0</v>
      </c>
    </row>
    <row r="291" spans="1:25" ht="18" customHeight="1">
      <c r="A291" s="76">
        <v>27</v>
      </c>
      <c r="B291" s="76">
        <f>COUNTIF('8月'!D30:E30,B$263)+COUNTIF('8月'!I30:J30,B$263)+COUNTIF('8月'!N30:O30,B$263)+COUNTIF('8月'!S30:T30,B$263)+COUNTIF('8月'!X30:Y30,B$263)+COUNTIF('8月'!AC30:AD30,B$263)+COUNTIF('8月'!AH30:AI30,B$263)+COUNTIF('8月'!AM30:AN30,B$263)+COUNTIF('8月'!AR30:AS30,B$263)+COUNTIF('8月'!AW30:AX30,B$263)+COUNTIF('8月'!BB30:BC30,B$263)+COUNTIF('8月'!BG30:BH30,B$263)+COUNTIF('8月'!BL30:BM30,B$263)+COUNTIF('8月'!BQ30:BR30,B$263)+COUNTIF('8月'!BV30:BW30,B$263)+COUNTIF('8月'!CA30:CB30,B$263)+COUNTIF('8月'!CF30:CG30,B$263)+COUNTIF('8月'!CK30:CL30,B$263)+COUNTIF('8月'!CP30:CQ30,B$263)+COUNTIF('8月'!CU30:CV30,B$263)+COUNTIF('8月'!CZ30:DA30,B$263)+COUNTIF('8月'!DE30:DF30,B$263)+COUNTIF('8月'!DJ30:DK30,B$263)+COUNTIF('8月'!DO30:DP30,B$263)+COUNTIF('8月'!DT30:DU30,B$263)+COUNTIF('8月'!DY30:DZ30,B$263)+COUNTIF('8月'!ED30:EE30,B$263)+COUNTIF('8月'!EI30:EJ30,B$263)+COUNTIF('8月'!EN30:EO30,B$263)+COUNTIF('8月'!ES30:ET30,B$263)</f>
        <v>0</v>
      </c>
      <c r="C291" s="76">
        <f t="shared" si="84"/>
        <v>0</v>
      </c>
      <c r="D291" s="76">
        <f>COUNTIF('8月'!D30:E30,D$263)+COUNTIF('8月'!I30:J30,D$263)+COUNTIF('8月'!N30:O30,D$263)+COUNTIF('8月'!S30:T30,D$263)+COUNTIF('8月'!X30:Y30,D$263)+COUNTIF('8月'!AC30:AD30,D$263)+COUNTIF('8月'!AH30:AI30,D$263)+COUNTIF('8月'!AM30:AN30,D$263)+COUNTIF('8月'!AR30:AS30,D$263)+COUNTIF('8月'!AW30:AX30,D$263)+COUNTIF('8月'!BB30:BC30,D$263)+COUNTIF('8月'!BG30:BH30,D$263)+COUNTIF('8月'!BL30:BM30,D$263)+COUNTIF('8月'!BQ30:BR30,D$263)+COUNTIF('8月'!BV30:BW30,D$263)+COUNTIF('8月'!CA30:CB30,D$263)+COUNTIF('8月'!CF30:CG30,D$263)+COUNTIF('8月'!CK30:CL30,D$263)+COUNTIF('8月'!CP30:CQ30,D$263)+COUNTIF('8月'!CU30:CV30,D$263)+COUNTIF('8月'!CZ30:DA30,D$263)+COUNTIF('8月'!DE30:DF30,D$263)+COUNTIF('8月'!DJ30:DK30,D$263)+COUNTIF('8月'!DO30:DP30,D$263)+COUNTIF('8月'!DT30:DU30,D$263)+COUNTIF('8月'!DY30:DZ30,D$263)+COUNTIF('8月'!ED30:EE30,D$263)+COUNTIF('8月'!EI30:EJ30,D$263)+COUNTIF('8月'!EN30:EO30,D$263)+COUNTIF('8月'!ES30:ET30,D$263)</f>
        <v>0</v>
      </c>
      <c r="E291" s="76">
        <f t="shared" si="85"/>
        <v>0</v>
      </c>
      <c r="F291" s="76">
        <f>COUNTIF('8月'!D30:E30,F$263)+COUNTIF('8月'!I30:J30,F$263)+COUNTIF('8月'!N30:O30,F$263)+COUNTIF('8月'!S30:T30,F$263)+COUNTIF('8月'!X30:Y30,F$263)+COUNTIF('8月'!AC30:AD30,F$263)+COUNTIF('8月'!AH30:AI30,F$263)+COUNTIF('8月'!AM30:AN30,F$263)+COUNTIF('8月'!AR30:AS30,F$263)+COUNTIF('8月'!AW30:AX30,F$263)+COUNTIF('8月'!BB30:BC30,F$263)+COUNTIF('8月'!BG30:BH30,F$263)+COUNTIF('8月'!BL30:BM30,F$263)+COUNTIF('8月'!BQ30:BR30,F$263)+COUNTIF('8月'!BV30:BW30,F$263)+COUNTIF('8月'!CA30:CB30,F$263)+COUNTIF('8月'!CF30:CG30,F$263)+COUNTIF('8月'!CK30:CL30,F$263)+COUNTIF('8月'!CP30:CQ30,F$263)+COUNTIF('8月'!CU30:CV30,F$263)+COUNTIF('8月'!CZ30:DA30,F$263)+COUNTIF('8月'!DE30:DF30,F$263)+COUNTIF('8月'!DJ30:DK30,F$263)+COUNTIF('8月'!DO30:DP30,F$263)+COUNTIF('8月'!DT30:DU30,F$263)+COUNTIF('8月'!DY30:DZ30,F$263)+COUNTIF('8月'!ED30:EE30,F$263)+COUNTIF('8月'!EI30:EJ30,F$263)+COUNTIF('8月'!EN30:EO30,F$263)+COUNTIF('8月'!ES30:ET30,F$263)</f>
        <v>0</v>
      </c>
      <c r="G291" s="76">
        <f t="shared" si="86"/>
        <v>0</v>
      </c>
      <c r="H291" s="76">
        <f>COUNTIF('8月'!D30:E30,H$263)+COUNTIF('8月'!I30:J30,H$263)+COUNTIF('8月'!N30:O30,H$263)+COUNTIF('8月'!S30:T30,H$263)+COUNTIF('8月'!X30:Y30,H$263)+COUNTIF('8月'!AC30:AD30,H$263)+COUNTIF('8月'!AH30:AI30,H$263)+COUNTIF('8月'!AM30:AN30,H$263)+COUNTIF('8月'!AR30:AS30,H$263)+COUNTIF('8月'!AW30:AX30,H$263)+COUNTIF('8月'!BB30:BC30,H$263)+COUNTIF('8月'!BG30:BH30,H$263)+COUNTIF('8月'!BL30:BM30,H$263)+COUNTIF('8月'!BQ30:BR30,H$263)+COUNTIF('8月'!BV30:BW30,H$263)+COUNTIF('8月'!CA30:CB30,H$263)+COUNTIF('8月'!CF30:CG30,H$263)+COUNTIF('8月'!CK30:CL30,H$263)+COUNTIF('8月'!CP30:CQ30,H$263)+COUNTIF('8月'!CU30:CV30,H$263)+COUNTIF('8月'!CZ30:DA30,H$263)+COUNTIF('8月'!DE30:DF30,H$263)+COUNTIF('8月'!DJ30:DK30,H$263)+COUNTIF('8月'!DO30:DP30,H$263)+COUNTIF('8月'!DT30:DU30,H$263)+COUNTIF('8月'!DY30:DZ30,H$263)+COUNTIF('8月'!ED30:EE30,H$263)+COUNTIF('8月'!EI30:EJ30,H$263)+COUNTIF('8月'!EN30:EO30,H$263)+COUNTIF('8月'!ES30:ET30,H$263)+COUNTIF('8月'!D30:E30,"渋谷-夜勤")+COUNTIF('8月'!I30:J30,"渋谷-夜勤")+COUNTIF('8月'!N30:O30,"渋谷-夜勤")+COUNTIF('8月'!S30:T30,"渋谷-夜勤")+COUNTIF('8月'!X30:Y30,"渋谷-夜勤")+COUNTIF('8月'!AC30:AD30,"渋谷-夜勤")+COUNTIF('8月'!AH30:AI30,"渋谷-夜勤")+COUNTIF('8月'!AM30:AN30,"渋谷-夜勤")+COUNTIF('8月'!AR30:AS30,"渋谷-夜勤")+COUNTIF('8月'!AW30:AX30,"渋谷-夜勤")+COUNTIF('8月'!BB30:BC30,"渋谷-夜勤")+COUNTIF('8月'!BG30:BH30,"渋谷-夜勤")+COUNTIF('8月'!BL30:BM30,"渋谷-夜勤")+COUNTIF('8月'!BQ30:BR30,"渋谷-夜勤")+COUNTIF('8月'!BV30:BW30,"渋谷-夜勤")+COUNTIF('8月'!CA30:CB30,"渋谷-夜勤")+COUNTIF('8月'!CF30:CG30,"渋谷-夜勤")+COUNTIF('8月'!CK30:CL30,"渋谷-夜勤")+COUNTIF('8月'!CP30:CQ30,"渋谷-夜勤")+COUNTIF('8月'!CU30:CV30,"渋谷-夜勤")+COUNTIF('8月'!CZ30:DA30,"渋谷-夜勤")+COUNTIF('8月'!DE30:DF30,"渋谷-夜勤")+COUNTIF('8月'!DJ30:DK30,"渋谷-夜勤")+COUNTIF('8月'!DO30:DP30,"渋谷-夜勤")+COUNTIF('8月'!DT30:DU30,"渋谷-夜勤")+COUNTIF('8月'!DY30:DZ30,"渋谷-夜勤")+COUNTIF('8月'!ED30:EE30,"渋谷-夜勤")+COUNTIF('8月'!EI30:EJ30,"渋谷-夜勤")+COUNTIF('8月'!EN30:EO30,"渋谷-夜勤")+COUNTIF('8月'!ES30:ET30,"渋谷-夜勤")</f>
        <v>0</v>
      </c>
      <c r="I291" s="76">
        <f t="shared" si="87"/>
        <v>0</v>
      </c>
      <c r="J291" s="76">
        <f>COUNTIF('8月'!D30:E30,J$263)+COUNTIF('8月'!I30:J30,J$263)+COUNTIF('8月'!N30:O30,J$263)+COUNTIF('8月'!S30:T30,J$263)+COUNTIF('8月'!X30:Y30,J$263)+COUNTIF('8月'!AC30:AD30,J$263)+COUNTIF('8月'!AH30:AI30,J$263)+COUNTIF('8月'!AM30:AN30,J$263)+COUNTIF('8月'!AR30:AS30,J$263)+COUNTIF('8月'!AW30:AX30,J$263)+COUNTIF('8月'!BB30:BC30,J$263)+COUNTIF('8月'!BG30:BH30,J$263)+COUNTIF('8月'!BL30:BM30,J$263)+COUNTIF('8月'!BQ30:BR30,J$263)+COUNTIF('8月'!BV30:BW30,J$263)+COUNTIF('8月'!CA30:CB30,J$263)+COUNTIF('8月'!CF30:CG30,J$263)+COUNTIF('8月'!CK30:CL30,J$263)+COUNTIF('8月'!CP30:CQ30,J$263)+COUNTIF('8月'!CU30:CV30,J$263)+COUNTIF('8月'!CZ30:DA30,J$263)+COUNTIF('8月'!DE30:DF30,J$263)+COUNTIF('8月'!DJ30:DK30,J$263)+COUNTIF('8月'!DO30:DP30,J$263)+COUNTIF('8月'!DT30:DU30,J$263)+COUNTIF('8月'!DY30:DZ30,J$263)+COUNTIF('8月'!ED30:EE30,J$263)+COUNTIF('8月'!EI30:EJ30,J$263)+COUNTIF('8月'!EN30:EO30,J$263)+COUNTIF('8月'!ES30:ET30,J$263)+COUNTIF('8月'!D30:E30,"六本木-夜勤")+COUNTIF('8月'!I30:J30,"六本木-夜勤")+COUNTIF('8月'!N30:O30,"六本木-夜勤")+COUNTIF('8月'!S30:T30,"六本木-夜勤")+COUNTIF('8月'!X30:Y30,"六本木-夜勤")+COUNTIF('8月'!AC30:AD30,"六本木-夜勤")+COUNTIF('8月'!AH30:AI30,"六本木-夜勤")+COUNTIF('8月'!AM30:AN30,"六本木-夜勤")+COUNTIF('8月'!AR30:AS30,"六本木-夜勤")+COUNTIF('8月'!AW30:AX30,"六本木-夜勤")+COUNTIF('8月'!BB30:BC30,"六本木-夜勤")+COUNTIF('8月'!BG30:BH30,"六本木-夜勤")+COUNTIF('8月'!BL30:BM30,"六本木-夜勤")+COUNTIF('8月'!BQ30:BR30,"六本木-夜勤")+COUNTIF('8月'!BV30:BW30,"六本木-夜勤")+COUNTIF('8月'!CA30:CB30,"六本木-夜勤")+COUNTIF('8月'!CF30:CG30,"六本木-夜勤")+COUNTIF('8月'!CK30:CL30,"六本木-夜勤")+COUNTIF('8月'!CP30:CQ30,"六本木-夜勤")+COUNTIF('8月'!CU30:CV30,"六本木-夜勤")+COUNTIF('8月'!CZ30:DA30,"六本木-夜勤")+COUNTIF('8月'!DE30:DF30,"六本木-夜勤")+COUNTIF('8月'!DJ30:DK30,"六本木-夜勤")+COUNTIF('8月'!DO30:DP30,"六本木-夜勤")+COUNTIF('8月'!DT30:DU30,"六本木-夜勤")+COUNTIF('8月'!DY30:DZ30,"六本木-夜勤")+COUNTIF('8月'!ED30:EE30,"六本木-夜勤")+COUNTIF('8月'!EI30:EJ30,"六本木-夜勤")+COUNTIF('8月'!EN30:EO30,"六本木-夜勤")+COUNTIF('8月'!ES30:ET30,"六本木-夜勤")+COUNTIF('8月'!D30:E30,"六本木ー夜勤")+COUNTIF('8月'!I30:J30,"六本木ー夜勤")+COUNTIF('8月'!N30:O30,"六本木ー夜勤")+COUNTIF('8月'!S30:T30,"六本木ー夜勤")+COUNTIF('8月'!X30:Y30,"六本木ー夜勤")+COUNTIF('8月'!AC30:AD30,"六本木ー夜勤")+COUNTIF('8月'!AH30:AI30,"六本木ー夜勤")+COUNTIF('8月'!AM30:AN30,"六本木ー夜勤")+COUNTIF('8月'!AR30:AS30,"六本木ー夜勤")+COUNTIF('8月'!AW30:AX30,"六本木ー夜勤")+COUNTIF('8月'!BB30:BC30,"六本木ー夜勤")+COUNTIF('8月'!BG30:BH30,"六本木ー夜勤")+COUNTIF('8月'!BL30:BM30,"六本木ー夜勤")+COUNTIF('8月'!BQ30:BR30,"六本木ー夜勤")+COUNTIF('8月'!BV30:BW30,"六本木ー夜勤")+COUNTIF('8月'!CA30:CB30,"六本木ー夜勤")+COUNTIF('8月'!CF30:CG30,"六本木ー夜勤")+COUNTIF('8月'!CK30:CL30,"六本木ー夜勤")+COUNTIF('8月'!CP30:CQ30,"六本木ー夜勤")+COUNTIF('8月'!CU30:CV30,"六本木ー夜勤")+COUNTIF('8月'!CZ30:DA30,"六本木ー夜勤")+COUNTIF('8月'!DE30:DF30,"六本木ー夜勤")+COUNTIF('8月'!DJ30:DK30,"六本木ー夜勤")+COUNTIF('8月'!DO30:DP30,"六本木ー夜勤")+COUNTIF('8月'!DT30:DU30,"六本木ー夜勤")+COUNTIF('8月'!DY30:DZ30,"六本木ー夜勤")+COUNTIF('8月'!ED30:EE30,"六本木ー夜勤")+COUNTIF('8月'!EI30:EJ30,"六本木ー夜勤")+COUNTIF('8月'!EN30:EO30,"六本木ー夜勤")+COUNTIF('8月'!ES30:ET30,"六本木ー夜勤")</f>
        <v>0</v>
      </c>
      <c r="K291" s="76">
        <f t="shared" si="88"/>
        <v>0</v>
      </c>
      <c r="L291" s="76">
        <f>COUNTIF('8月'!D30:E30,L$263)+COUNTIF('8月'!I30:J30,L$263)+COUNTIF('8月'!N30:O30,L$263)+COUNTIF('8月'!S30:T30,L$263)+COUNTIF('8月'!X30:Y30,L$263)+COUNTIF('8月'!AC30:AD30,L$263)+COUNTIF('8月'!AH30:AI30,L$263)+COUNTIF('8月'!AM30:AN30,L$263)+COUNTIF('8月'!AR30:AS30,L$263)+COUNTIF('8月'!AW30:AX30,L$263)+COUNTIF('8月'!BB30:BC30,L$263)+COUNTIF('8月'!BG30:BH30,L$263)+COUNTIF('8月'!BL30:BM30,L$263)+COUNTIF('8月'!BQ30:BR30,L$263)+COUNTIF('8月'!BV30:BW30,L$263)+COUNTIF('8月'!CA30:CB30,L$263)+COUNTIF('8月'!CF30:CG30,L$263)+COUNTIF('8月'!CK30:CL30,L$263)+COUNTIF('8月'!CP30:CQ30,L$263)+COUNTIF('8月'!CU30:CV30,L$263)+COUNTIF('8月'!CZ30:DA30,L$263)+COUNTIF('8月'!DE30:DF30,L$263)+COUNTIF('8月'!DJ30:DK30,L$263)+COUNTIF('8月'!DO30:DP30,L$263)+COUNTIF('8月'!DT30:DU30,L$263)+COUNTIF('8月'!DY30:DZ30,L$263)+COUNTIF('8月'!ED30:EE30,L$263)+COUNTIF('8月'!EI30:EJ30,L$263)+COUNTIF('8月'!EN30:EO30,L$263)+COUNTIF('8月'!ES30:ET30,L$263)</f>
        <v>0</v>
      </c>
      <c r="M291" s="76">
        <f t="shared" si="89"/>
        <v>0</v>
      </c>
      <c r="N291" s="76">
        <f>COUNTIF('8月'!D30:E30,N$263)+COUNTIF('8月'!I30:J30,N$263)+COUNTIF('8月'!N30:O30,N$263)+COUNTIF('8月'!S30:T30,N$263)+COUNTIF('8月'!X30:Y30,N$263)+COUNTIF('8月'!AC30:AD30,N$263)+COUNTIF('8月'!AH30:AI30,N$263)+COUNTIF('8月'!AM30:AN30,N$263)+COUNTIF('8月'!AR30:AS30,N$263)+COUNTIF('8月'!AW30:AX30,N$263)+COUNTIF('8月'!BB30:BC30,N$263)+COUNTIF('8月'!BG30:BH30,N$263)+COUNTIF('8月'!BL30:BM30,N$263)+COUNTIF('8月'!BQ30:BR30,N$263)+COUNTIF('8月'!BV30:BW30,N$263)+COUNTIF('8月'!CA30:CB30,N$263)+COUNTIF('8月'!CF30:CG30,N$263)+COUNTIF('8月'!CK30:CL30,N$263)+COUNTIF('8月'!CP30:CQ30,N$263)+COUNTIF('8月'!CU30:CV30,N$263)+COUNTIF('8月'!CZ30:DA30,N$263)+COUNTIF('8月'!DE30:DF30,N$263)+COUNTIF('8月'!DJ30:DK30,N$263)+COUNTIF('8月'!DO30:DP30,N$263)+COUNTIF('8月'!DT30:DU30,N$263)+COUNTIF('8月'!DY30:DZ30,N$263)+COUNTIF('8月'!ED30:EE30,N$263)+COUNTIF('8月'!EI30:EJ30,N$263)+COUNTIF('8月'!EN30:EO30,N$263)+COUNTIF('8月'!ES30:ET30,N$263)+COUNTIF('8月'!D30:E30,"三軒茶屋－夜勤")+COUNTIF('8月'!I30:J30,"三軒茶屋－夜勤")+COUNTIF('8月'!N30:O30,"三軒茶屋－夜勤")+COUNTIF('8月'!S30:T30,"三軒茶屋－夜勤")+COUNTIF('8月'!X30:Y30,"三軒茶屋－夜勤")+COUNTIF('8月'!AC30:AD30,"三軒茶屋－夜勤")+COUNTIF('8月'!AH30:AI30,"三軒茶屋－夜勤")+COUNTIF('8月'!AM30:AN30,"三軒茶屋－夜勤")+COUNTIF('8月'!AR30:AS30,"三軒茶屋－夜勤")+COUNTIF('8月'!AW30:AX30,"三軒茶屋－夜勤")+COUNTIF('8月'!BB30:BC30,"三軒茶屋－夜勤")+COUNTIF('8月'!BG30:BH30,"三軒茶屋－夜勤")+COUNTIF('8月'!BL30:BM30,"三軒茶屋－夜勤")+COUNTIF('8月'!BQ30:BR30,"三軒茶屋－夜勤")+COUNTIF('8月'!BV30:BW30,"三軒茶屋－夜勤")+COUNTIF('8月'!CA30:CB30,"三軒茶屋－夜勤")+COUNTIF('8月'!CF30:CG30,"三軒茶屋－夜勤")+COUNTIF('8月'!CK30:CL30,"三軒茶屋－夜勤")+COUNTIF('8月'!CP30:CQ30,"三軒茶屋－夜勤")+COUNTIF('8月'!CU30:CV30,"三軒茶屋－夜勤")+COUNTIF('8月'!CZ30:DA30,"三軒茶屋－夜勤")+COUNTIF('8月'!DE30:DF30,"三軒茶屋－夜勤")+COUNTIF('8月'!DJ30:DK30,"三軒茶屋－夜勤")+COUNTIF('8月'!DO30:DP30,"三軒茶屋－夜勤")+COUNTIF('8月'!DT30:DU30,"三軒茶屋－夜勤")+COUNTIF('8月'!DY30:DZ30,"三軒茶屋－夜勤")+COUNTIF('8月'!ED30:EE30,"三軒茶屋－夜勤")+COUNTIF('8月'!EI30:EJ30,"三軒茶屋－夜勤")+COUNTIF('8月'!EN30:EO30,"三軒茶屋－夜勤")+COUNTIF('8月'!ES30:ET30,"三軒茶屋－夜勤")</f>
        <v>0</v>
      </c>
      <c r="O291" s="76">
        <f t="shared" si="90"/>
        <v>0</v>
      </c>
      <c r="P291" s="76">
        <f>COUNTIF('8月'!D30:E30,P$263)+COUNTIF('8月'!I30:J30,P$263)+COUNTIF('8月'!N30:O30,P$263)+COUNTIF('8月'!S30:T30,P$263)+COUNTIF('8月'!X30:Y30,P$263)+COUNTIF('8月'!AC30:AD30,P$263)+COUNTIF('8月'!AH30:AI30,P$263)+COUNTIF('8月'!AM30:AN30,P$263)+COUNTIF('8月'!AR30:AS30,P$263)+COUNTIF('8月'!AW30:AX30,P$263)+COUNTIF('8月'!BB30:BC30,P$263)+COUNTIF('8月'!BG30:BH30,P$263)+COUNTIF('8月'!BL30:BM30,P$263)+COUNTIF('8月'!BQ30:BR30,P$263)+COUNTIF('8月'!BV30:BW30,P$263)+COUNTIF('8月'!CA30:CB30,P$263)+COUNTIF('8月'!CF30:CG30,P$263)+COUNTIF('8月'!CK30:CL30,P$263)+COUNTIF('8月'!CP30:CQ30,P$263)+COUNTIF('8月'!CU30:CV30,P$263)+COUNTIF('8月'!CZ30:DA30,P$263)+COUNTIF('8月'!DE30:DF30,P$263)+COUNTIF('8月'!DJ30:DK30,P$263)+COUNTIF('8月'!DO30:DP30,P$263)+COUNTIF('8月'!DT30:DU30,P$263)+COUNTIF('8月'!DY30:DZ30,P$263)+COUNTIF('8月'!ED30:EE30,P$263)+COUNTIF('8月'!EI30:EJ30,P$263)+COUNTIF('8月'!EN30:EO30,P$263)+COUNTIF('8月'!ES30:ET30,P$263)+COUNTIF('8月'!D30:E30,"荻窪ー夜勤")+COUNTIF('8月'!I30:J30,"荻窪ー夜勤")+COUNTIF('8月'!N30:O30,"荻窪ー夜勤")+COUNTIF('8月'!S30:T30,"荻窪ー夜勤")+COUNTIF('8月'!X30:Y30,"荻窪ー夜勤")+COUNTIF('8月'!AC30:AD30,"荻窪ー夜勤")+COUNTIF('8月'!AH30:AI30,"荻窪ー夜勤")+COUNTIF('8月'!AM30:AN30,"荻窪ー夜勤")+COUNTIF('8月'!AR30:AS30,"荻窪ー夜勤")+COUNTIF('8月'!AW30:AX30,"荻窪ー夜勤")+COUNTIF('8月'!BB30:BC30,"荻窪ー夜勤")+COUNTIF('8月'!BG30:BH30,"荻窪ー夜勤")+COUNTIF('8月'!BL30:BM30,"荻窪ー夜勤")+COUNTIF('8月'!BQ30:BR30,"荻窪ー夜勤")+COUNTIF('8月'!BV30:BW30,"荻窪ー夜勤")+COUNTIF('8月'!CA30:CB30,"荻窪ー夜勤")+COUNTIF('8月'!CF30:CG30,"荻窪ー夜勤")+COUNTIF('8月'!CK30:CL30,"荻窪ー夜勤")+COUNTIF('8月'!CP30:CQ30,"荻窪ー夜勤")+COUNTIF('8月'!CU30:CV30,"荻窪ー夜勤")+COUNTIF('8月'!CZ30:DA30,"荻窪ー夜勤")+COUNTIF('8月'!DE30:DF30,"荻窪ー夜勤")+COUNTIF('8月'!DJ30:DK30,"荻窪ー夜勤")+COUNTIF('8月'!DO30:DP30,"荻窪ー夜勤")+COUNTIF('8月'!DT30:DU30,"荻窪ー夜勤")+COUNTIF('8月'!DY30:DZ30,"荻窪ー夜勤")+COUNTIF('8月'!ED30:EE30,"荻窪ー夜勤")+COUNTIF('8月'!EI30:EJ30,"荻窪ー夜勤")+COUNTIF('8月'!EN30:EO30,"荻窪ー夜勤")+COUNTIF('8月'!ES30:ET30,"荻窪ー夜勤")</f>
        <v>0</v>
      </c>
      <c r="Q291" s="76">
        <f t="shared" si="91"/>
        <v>0</v>
      </c>
      <c r="R291" s="76">
        <f>COUNTIF('8月'!D30:E30,R$263)+COUNTIF('8月'!I30:J30,R$263)+COUNTIF('8月'!N30:O30,R$263)+COUNTIF('8月'!S30:T30,R$263)+COUNTIF('8月'!X30:Y30,R$263)+COUNTIF('8月'!AC30:AD30,R$263)+COUNTIF('8月'!AH30:AI30,R$263)+COUNTIF('8月'!AM30:AN30,R$263)+COUNTIF('8月'!AR30:AS30,R$263)+COUNTIF('8月'!AW30:AX30,R$263)+COUNTIF('8月'!BB30:BC30,R$263)+COUNTIF('8月'!BG30:BH30,R$263)+COUNTIF('8月'!BL30:BM30,R$263)+COUNTIF('8月'!BQ30:BR30,R$263)+COUNTIF('8月'!BV30:BW30,R$263)+COUNTIF('8月'!CA30:CB30,R$263)+COUNTIF('8月'!CF30:CG30,R$263)+COUNTIF('8月'!CK30:CL30,R$263)+COUNTIF('8月'!CP30:CQ30,R$263)+COUNTIF('8月'!CU30:CV30,R$263)+COUNTIF('8月'!CZ30:DA30,R$263)+COUNTIF('8月'!DE30:DF30,R$263)+COUNTIF('8月'!DJ30:DK30,R$263)+COUNTIF('8月'!DO30:DP30,R$263)+COUNTIF('8月'!DT30:DU30,R$263)+COUNTIF('8月'!DY30:DZ30,R$263)+COUNTIF('8月'!ED30:EE30,R$263)+COUNTIF('8月'!EI30:EJ30,R$263)+COUNTIF('8月'!EN30:EO30,R$263)+COUNTIF('8月'!ES30:ET30,R$263)</f>
        <v>0</v>
      </c>
      <c r="S291" s="76">
        <f t="shared" si="92"/>
        <v>0</v>
      </c>
      <c r="T291" s="76">
        <f>COUNTIF('8月'!D30:E30,T$263)+COUNTIF('8月'!I30:J30,T$263)+COUNTIF('8月'!N30:O30,T$263)+COUNTIF('8月'!S30:T30,T$263)+COUNTIF('8月'!X30:Y30,T$263)+COUNTIF('8月'!AC30:AD30,T$263)+COUNTIF('8月'!AH30:AI30,T$263)+COUNTIF('8月'!AM30:AN30,T$263)+COUNTIF('8月'!AR30:AS30,T$263)+COUNTIF('8月'!AW30:AX30,T$263)+COUNTIF('8月'!BB30:BC30,T$263)+COUNTIF('8月'!BG30:BH30,T$263)+COUNTIF('8月'!BL30:BM30,T$263)+COUNTIF('8月'!BQ30:BR30,T$263)+COUNTIF('8月'!BV30:BW30,T$263)+COUNTIF('8月'!CA30:CB30,T$263)+COUNTIF('8月'!CF30:CG30,T$263)+COUNTIF('8月'!CK30:CL30,T$263)+COUNTIF('8月'!CP30:CQ30,T$263)+COUNTIF('8月'!CU30:CV30,T$263)+COUNTIF('8月'!CZ30:DA30,T$263)+COUNTIF('8月'!DE30:DF30,T$263)+COUNTIF('8月'!DJ30:DK30,T$263)+COUNTIF('8月'!DO30:DP30,T$263)+COUNTIF('8月'!DT30:DU30,T$263)+COUNTIF('8月'!DY30:DZ30,T$263)+COUNTIF('8月'!ED30:EE30,T$263)+COUNTIF('8月'!EI30:EJ30,T$263)+COUNTIF('8月'!EN30:EO30,T$263)+COUNTIF('8月'!ES30:ET30,T$263)</f>
        <v>0</v>
      </c>
      <c r="U291" s="76">
        <f t="shared" si="93"/>
        <v>0</v>
      </c>
      <c r="V291" s="76">
        <f>COUNTIF('8月'!D30:E30,V$263)+COUNTIF('8月'!I30:J30,V$263)+COUNTIF('8月'!N30:O30,V$263)+COUNTIF('8月'!S30:T30,V$263)+COUNTIF('8月'!X30:Y30,V$263)+COUNTIF('8月'!AC30:AD30,V$263)+COUNTIF('8月'!AH30:AI30,V$263)+COUNTIF('8月'!AM30:AN30,V$263)+COUNTIF('8月'!AR30:AS30,V$263)+COUNTIF('8月'!AW30:AX30,V$263)+COUNTIF('8月'!BB30:BC30,V$263)+COUNTIF('8月'!BG30:BH30,V$263)+COUNTIF('8月'!BL30:BM30,V$263)+COUNTIF('8月'!BQ30:BR30,V$263)+COUNTIF('8月'!BV30:BW30,V$263)+COUNTIF('8月'!CA30:CB30,V$263)+COUNTIF('8月'!CF30:CG30,V$263)+COUNTIF('8月'!CK30:CL30,V$263)+COUNTIF('8月'!CP30:CQ30,V$263)+COUNTIF('8月'!CU30:CV30,V$263)+COUNTIF('8月'!CZ30:DA30,V$263)+COUNTIF('8月'!DE30:DF30,V$263)+COUNTIF('8月'!DJ30:DK30,V$263)+COUNTIF('8月'!DO30:DP30,V$263)+COUNTIF('8月'!DT30:DU30,V$263)+COUNTIF('8月'!DY30:DZ30,V$263)+COUNTIF('8月'!ED30:EE30,V$263)+COUNTIF('8月'!EI30:EJ30,V$263)+COUNTIF('8月'!EN30:EO30,V$263)+COUNTIF('8月'!ES30:ET30,V$263)</f>
        <v>0</v>
      </c>
      <c r="W291" s="76">
        <f t="shared" si="94"/>
        <v>0</v>
      </c>
      <c r="X291" s="76">
        <f>COUNTIF('8月'!D30:E30,X$263)+COUNTIF('8月'!I30:J30,X$263)+COUNTIF('8月'!N30:O30,X$263)+COUNTIF('8月'!S30:T30,X$263)+COUNTIF('8月'!X30:Y30,X$263)+COUNTIF('8月'!AC30:AD30,X$263)+COUNTIF('8月'!AH30:AI30,X$263)+COUNTIF('8月'!AM30:AN30,X$263)+COUNTIF('8月'!AR30:AS30,X$263)+COUNTIF('8月'!AW30:AX30,X$263)+COUNTIF('8月'!BB30:BC30,X$263)+COUNTIF('8月'!BG30:BH30,X$263)+COUNTIF('8月'!BL30:BM30,X$263)+COUNTIF('8月'!BQ30:BR30,X$263)+COUNTIF('8月'!BV30:BW30,X$263)+COUNTIF('8月'!CA30:CB30,X$263)+COUNTIF('8月'!CF30:CG30,X$263)+COUNTIF('8月'!CK30:CL30,X$263)+COUNTIF('8月'!CP30:CQ30,X$263)+COUNTIF('8月'!CU30:CV30,X$263)+COUNTIF('8月'!CZ30:DA30,X$263)+COUNTIF('8月'!DE30:DF30,X$263)+COUNTIF('8月'!DJ30:DK30,X$263)+COUNTIF('8月'!DO30:DP30,X$263)+COUNTIF('8月'!DT30:DU30,X$263)+COUNTIF('8月'!DY30:DZ30,X$263)+COUNTIF('8月'!ED30:EE30,X$263)+COUNTIF('8月'!EI30:EJ30,X$263)+COUNTIF('8月'!EN30:EO30,X$263)+COUNTIF('8月'!ES30:ET30,X$263)</f>
        <v>0</v>
      </c>
      <c r="Y291" s="76">
        <f t="shared" si="95"/>
        <v>0</v>
      </c>
    </row>
    <row r="292" spans="1:25" ht="18" customHeight="1">
      <c r="A292" s="76">
        <v>28</v>
      </c>
      <c r="B292" s="76">
        <f>COUNTIF('8月'!D31:E31,B$263)+COUNTIF('8月'!I31:J31,B$263)+COUNTIF('8月'!N31:O31,B$263)+COUNTIF('8月'!S31:T31,B$263)+COUNTIF('8月'!X31:Y31,B$263)+COUNTIF('8月'!AC31:AD31,B$263)+COUNTIF('8月'!AH31:AI31,B$263)+COUNTIF('8月'!AM31:AN31,B$263)+COUNTIF('8月'!AR31:AS31,B$263)+COUNTIF('8月'!AW31:AX31,B$263)+COUNTIF('8月'!BB31:BC31,B$263)+COUNTIF('8月'!BG31:BH31,B$263)+COUNTIF('8月'!BL31:BM31,B$263)+COUNTIF('8月'!BQ31:BR31,B$263)+COUNTIF('8月'!BV31:BW31,B$263)+COUNTIF('8月'!CA31:CB31,B$263)+COUNTIF('8月'!CF31:CG31,B$263)+COUNTIF('8月'!CK31:CL31,B$263)+COUNTIF('8月'!CP31:CQ31,B$263)+COUNTIF('8月'!CU31:CV31,B$263)+COUNTIF('8月'!CZ31:DA31,B$263)+COUNTIF('8月'!DE31:DF31,B$263)+COUNTIF('8月'!DJ31:DK31,B$263)+COUNTIF('8月'!DO31:DP31,B$263)+COUNTIF('8月'!DT31:DU31,B$263)+COUNTIF('8月'!DY31:DZ31,B$263)+COUNTIF('8月'!ED31:EE31,B$263)+COUNTIF('8月'!EI31:EJ31,B$263)+COUNTIF('8月'!EN31:EO31,B$263)+COUNTIF('8月'!ES31:ET31,B$263)</f>
        <v>0</v>
      </c>
      <c r="C292" s="76">
        <f t="shared" si="84"/>
        <v>0</v>
      </c>
      <c r="D292" s="76">
        <f>COUNTIF('8月'!D31:E31,D$263)+COUNTIF('8月'!I31:J31,D$263)+COUNTIF('8月'!N31:O31,D$263)+COUNTIF('8月'!S31:T31,D$263)+COUNTIF('8月'!X31:Y31,D$263)+COUNTIF('8月'!AC31:AD31,D$263)+COUNTIF('8月'!AH31:AI31,D$263)+COUNTIF('8月'!AM31:AN31,D$263)+COUNTIF('8月'!AR31:AS31,D$263)+COUNTIF('8月'!AW31:AX31,D$263)+COUNTIF('8月'!BB31:BC31,D$263)+COUNTIF('8月'!BG31:BH31,D$263)+COUNTIF('8月'!BL31:BM31,D$263)+COUNTIF('8月'!BQ31:BR31,D$263)+COUNTIF('8月'!BV31:BW31,D$263)+COUNTIF('8月'!CA31:CB31,D$263)+COUNTIF('8月'!CF31:CG31,D$263)+COUNTIF('8月'!CK31:CL31,D$263)+COUNTIF('8月'!CP31:CQ31,D$263)+COUNTIF('8月'!CU31:CV31,D$263)+COUNTIF('8月'!CZ31:DA31,D$263)+COUNTIF('8月'!DE31:DF31,D$263)+COUNTIF('8月'!DJ31:DK31,D$263)+COUNTIF('8月'!DO31:DP31,D$263)+COUNTIF('8月'!DT31:DU31,D$263)+COUNTIF('8月'!DY31:DZ31,D$263)+COUNTIF('8月'!ED31:EE31,D$263)+COUNTIF('8月'!EI31:EJ31,D$263)+COUNTIF('8月'!EN31:EO31,D$263)+COUNTIF('8月'!ES31:ET31,D$263)</f>
        <v>0</v>
      </c>
      <c r="E292" s="76">
        <f t="shared" si="85"/>
        <v>0</v>
      </c>
      <c r="F292" s="76">
        <f>COUNTIF('8月'!D31:E31,F$263)+COUNTIF('8月'!I31:J31,F$263)+COUNTIF('8月'!N31:O31,F$263)+COUNTIF('8月'!S31:T31,F$263)+COUNTIF('8月'!X31:Y31,F$263)+COUNTIF('8月'!AC31:AD31,F$263)+COUNTIF('8月'!AH31:AI31,F$263)+COUNTIF('8月'!AM31:AN31,F$263)+COUNTIF('8月'!AR31:AS31,F$263)+COUNTIF('8月'!AW31:AX31,F$263)+COUNTIF('8月'!BB31:BC31,F$263)+COUNTIF('8月'!BG31:BH31,F$263)+COUNTIF('8月'!BL31:BM31,F$263)+COUNTIF('8月'!BQ31:BR31,F$263)+COUNTIF('8月'!BV31:BW31,F$263)+COUNTIF('8月'!CA31:CB31,F$263)+COUNTIF('8月'!CF31:CG31,F$263)+COUNTIF('8月'!CK31:CL31,F$263)+COUNTIF('8月'!CP31:CQ31,F$263)+COUNTIF('8月'!CU31:CV31,F$263)+COUNTIF('8月'!CZ31:DA31,F$263)+COUNTIF('8月'!DE31:DF31,F$263)+COUNTIF('8月'!DJ31:DK31,F$263)+COUNTIF('8月'!DO31:DP31,F$263)+COUNTIF('8月'!DT31:DU31,F$263)+COUNTIF('8月'!DY31:DZ31,F$263)+COUNTIF('8月'!ED31:EE31,F$263)+COUNTIF('8月'!EI31:EJ31,F$263)+COUNTIF('8月'!EN31:EO31,F$263)+COUNTIF('8月'!ES31:ET31,F$263)</f>
        <v>0</v>
      </c>
      <c r="G292" s="76">
        <f t="shared" si="86"/>
        <v>0</v>
      </c>
      <c r="H292" s="76">
        <f>COUNTIF('8月'!D31:E31,H$263)+COUNTIF('8月'!I31:J31,H$263)+COUNTIF('8月'!N31:O31,H$263)+COUNTIF('8月'!S31:T31,H$263)+COUNTIF('8月'!X31:Y31,H$263)+COUNTIF('8月'!AC31:AD31,H$263)+COUNTIF('8月'!AH31:AI31,H$263)+COUNTIF('8月'!AM31:AN31,H$263)+COUNTIF('8月'!AR31:AS31,H$263)+COUNTIF('8月'!AW31:AX31,H$263)+COUNTIF('8月'!BB31:BC31,H$263)+COUNTIF('8月'!BG31:BH31,H$263)+COUNTIF('8月'!BL31:BM31,H$263)+COUNTIF('8月'!BQ31:BR31,H$263)+COUNTIF('8月'!BV31:BW31,H$263)+COUNTIF('8月'!CA31:CB31,H$263)+COUNTIF('8月'!CF31:CG31,H$263)+COUNTIF('8月'!CK31:CL31,H$263)+COUNTIF('8月'!CP31:CQ31,H$263)+COUNTIF('8月'!CU31:CV31,H$263)+COUNTIF('8月'!CZ31:DA31,H$263)+COUNTIF('8月'!DE31:DF31,H$263)+COUNTIF('8月'!DJ31:DK31,H$263)+COUNTIF('8月'!DO31:DP31,H$263)+COUNTIF('8月'!DT31:DU31,H$263)+COUNTIF('8月'!DY31:DZ31,H$263)+COUNTIF('8月'!ED31:EE31,H$263)+COUNTIF('8月'!EI31:EJ31,H$263)+COUNTIF('8月'!EN31:EO31,H$263)+COUNTIF('8月'!ES31:ET31,H$263)+COUNTIF('8月'!D31:E31,"渋谷-夜勤")+COUNTIF('8月'!I31:J31,"渋谷-夜勤")+COUNTIF('8月'!N31:O31,"渋谷-夜勤")+COUNTIF('8月'!S31:T31,"渋谷-夜勤")+COUNTIF('8月'!X31:Y31,"渋谷-夜勤")+COUNTIF('8月'!AC31:AD31,"渋谷-夜勤")+COUNTIF('8月'!AH31:AI31,"渋谷-夜勤")+COUNTIF('8月'!AM31:AN31,"渋谷-夜勤")+COUNTIF('8月'!AR31:AS31,"渋谷-夜勤")+COUNTIF('8月'!AW31:AX31,"渋谷-夜勤")+COUNTIF('8月'!BB31:BC31,"渋谷-夜勤")+COUNTIF('8月'!BG31:BH31,"渋谷-夜勤")+COUNTIF('8月'!BL31:BM31,"渋谷-夜勤")+COUNTIF('8月'!BQ31:BR31,"渋谷-夜勤")+COUNTIF('8月'!BV31:BW31,"渋谷-夜勤")+COUNTIF('8月'!CA31:CB31,"渋谷-夜勤")+COUNTIF('8月'!CF31:CG31,"渋谷-夜勤")+COUNTIF('8月'!CK31:CL31,"渋谷-夜勤")+COUNTIF('8月'!CP31:CQ31,"渋谷-夜勤")+COUNTIF('8月'!CU31:CV31,"渋谷-夜勤")+COUNTIF('8月'!CZ31:DA31,"渋谷-夜勤")+COUNTIF('8月'!DE31:DF31,"渋谷-夜勤")+COUNTIF('8月'!DJ31:DK31,"渋谷-夜勤")+COUNTIF('8月'!DO31:DP31,"渋谷-夜勤")+COUNTIF('8月'!DT31:DU31,"渋谷-夜勤")+COUNTIF('8月'!DY31:DZ31,"渋谷-夜勤")+COUNTIF('8月'!ED31:EE31,"渋谷-夜勤")+COUNTIF('8月'!EI31:EJ31,"渋谷-夜勤")+COUNTIF('8月'!EN31:EO31,"渋谷-夜勤")+COUNTIF('8月'!ES31:ET31,"渋谷-夜勤")</f>
        <v>0</v>
      </c>
      <c r="I292" s="76">
        <f t="shared" si="87"/>
        <v>0</v>
      </c>
      <c r="J292" s="76">
        <f>COUNTIF('8月'!D31:E31,J$263)+COUNTIF('8月'!I31:J31,J$263)+COUNTIF('8月'!N31:O31,J$263)+COUNTIF('8月'!S31:T31,J$263)+COUNTIF('8月'!X31:Y31,J$263)+COUNTIF('8月'!AC31:AD31,J$263)+COUNTIF('8月'!AH31:AI31,J$263)+COUNTIF('8月'!AM31:AN31,J$263)+COUNTIF('8月'!AR31:AS31,J$263)+COUNTIF('8月'!AW31:AX31,J$263)+COUNTIF('8月'!BB31:BC31,J$263)+COUNTIF('8月'!BG31:BH31,J$263)+COUNTIF('8月'!BL31:BM31,J$263)+COUNTIF('8月'!BQ31:BR31,J$263)+COUNTIF('8月'!BV31:BW31,J$263)+COUNTIF('8月'!CA31:CB31,J$263)+COUNTIF('8月'!CF31:CG31,J$263)+COUNTIF('8月'!CK31:CL31,J$263)+COUNTIF('8月'!CP31:CQ31,J$263)+COUNTIF('8月'!CU31:CV31,J$263)+COUNTIF('8月'!CZ31:DA31,J$263)+COUNTIF('8月'!DE31:DF31,J$263)+COUNTIF('8月'!DJ31:DK31,J$263)+COUNTIF('8月'!DO31:DP31,J$263)+COUNTIF('8月'!DT31:DU31,J$263)+COUNTIF('8月'!DY31:DZ31,J$263)+COUNTIF('8月'!ED31:EE31,J$263)+COUNTIF('8月'!EI31:EJ31,J$263)+COUNTIF('8月'!EN31:EO31,J$263)+COUNTIF('8月'!ES31:ET31,J$263)+COUNTIF('8月'!D31:E31,"六本木-夜勤")+COUNTIF('8月'!I31:J31,"六本木-夜勤")+COUNTIF('8月'!N31:O31,"六本木-夜勤")+COUNTIF('8月'!S31:T31,"六本木-夜勤")+COUNTIF('8月'!X31:Y31,"六本木-夜勤")+COUNTIF('8月'!AC31:AD31,"六本木-夜勤")+COUNTIF('8月'!AH31:AI31,"六本木-夜勤")+COUNTIF('8月'!AM31:AN31,"六本木-夜勤")+COUNTIF('8月'!AR31:AS31,"六本木-夜勤")+COUNTIF('8月'!AW31:AX31,"六本木-夜勤")+COUNTIF('8月'!BB31:BC31,"六本木-夜勤")+COUNTIF('8月'!BG31:BH31,"六本木-夜勤")+COUNTIF('8月'!BL31:BM31,"六本木-夜勤")+COUNTIF('8月'!BQ31:BR31,"六本木-夜勤")+COUNTIF('8月'!BV31:BW31,"六本木-夜勤")+COUNTIF('8月'!CA31:CB31,"六本木-夜勤")+COUNTIF('8月'!CF31:CG31,"六本木-夜勤")+COUNTIF('8月'!CK31:CL31,"六本木-夜勤")+COUNTIF('8月'!CP31:CQ31,"六本木-夜勤")+COUNTIF('8月'!CU31:CV31,"六本木-夜勤")+COUNTIF('8月'!CZ31:DA31,"六本木-夜勤")+COUNTIF('8月'!DE31:DF31,"六本木-夜勤")+COUNTIF('8月'!DJ31:DK31,"六本木-夜勤")+COUNTIF('8月'!DO31:DP31,"六本木-夜勤")+COUNTIF('8月'!DT31:DU31,"六本木-夜勤")+COUNTIF('8月'!DY31:DZ31,"六本木-夜勤")+COUNTIF('8月'!ED31:EE31,"六本木-夜勤")+COUNTIF('8月'!EI31:EJ31,"六本木-夜勤")+COUNTIF('8月'!EN31:EO31,"六本木-夜勤")+COUNTIF('8月'!ES31:ET31,"六本木-夜勤")+COUNTIF('8月'!D31:E31,"六本木ー夜勤")+COUNTIF('8月'!I31:J31,"六本木ー夜勤")+COUNTIF('8月'!N31:O31,"六本木ー夜勤")+COUNTIF('8月'!S31:T31,"六本木ー夜勤")+COUNTIF('8月'!X31:Y31,"六本木ー夜勤")+COUNTIF('8月'!AC31:AD31,"六本木ー夜勤")+COUNTIF('8月'!AH31:AI31,"六本木ー夜勤")+COUNTIF('8月'!AM31:AN31,"六本木ー夜勤")+COUNTIF('8月'!AR31:AS31,"六本木ー夜勤")+COUNTIF('8月'!AW31:AX31,"六本木ー夜勤")+COUNTIF('8月'!BB31:BC31,"六本木ー夜勤")+COUNTIF('8月'!BG31:BH31,"六本木ー夜勤")+COUNTIF('8月'!BL31:BM31,"六本木ー夜勤")+COUNTIF('8月'!BQ31:BR31,"六本木ー夜勤")+COUNTIF('8月'!BV31:BW31,"六本木ー夜勤")+COUNTIF('8月'!CA31:CB31,"六本木ー夜勤")+COUNTIF('8月'!CF31:CG31,"六本木ー夜勤")+COUNTIF('8月'!CK31:CL31,"六本木ー夜勤")+COUNTIF('8月'!CP31:CQ31,"六本木ー夜勤")+COUNTIF('8月'!CU31:CV31,"六本木ー夜勤")+COUNTIF('8月'!CZ31:DA31,"六本木ー夜勤")+COUNTIF('8月'!DE31:DF31,"六本木ー夜勤")+COUNTIF('8月'!DJ31:DK31,"六本木ー夜勤")+COUNTIF('8月'!DO31:DP31,"六本木ー夜勤")+COUNTIF('8月'!DT31:DU31,"六本木ー夜勤")+COUNTIF('8月'!DY31:DZ31,"六本木ー夜勤")+COUNTIF('8月'!ED31:EE31,"六本木ー夜勤")+COUNTIF('8月'!EI31:EJ31,"六本木ー夜勤")+COUNTIF('8月'!EN31:EO31,"六本木ー夜勤")+COUNTIF('8月'!ES31:ET31,"六本木ー夜勤")</f>
        <v>0</v>
      </c>
      <c r="K292" s="76">
        <f t="shared" si="88"/>
        <v>0</v>
      </c>
      <c r="L292" s="76">
        <f>COUNTIF('8月'!D31:E31,L$263)+COUNTIF('8月'!I31:J31,L$263)+COUNTIF('8月'!N31:O31,L$263)+COUNTIF('8月'!S31:T31,L$263)+COUNTIF('8月'!X31:Y31,L$263)+COUNTIF('8月'!AC31:AD31,L$263)+COUNTIF('8月'!AH31:AI31,L$263)+COUNTIF('8月'!AM31:AN31,L$263)+COUNTIF('8月'!AR31:AS31,L$263)+COUNTIF('8月'!AW31:AX31,L$263)+COUNTIF('8月'!BB31:BC31,L$263)+COUNTIF('8月'!BG31:BH31,L$263)+COUNTIF('8月'!BL31:BM31,L$263)+COUNTIF('8月'!BQ31:BR31,L$263)+COUNTIF('8月'!BV31:BW31,L$263)+COUNTIF('8月'!CA31:CB31,L$263)+COUNTIF('8月'!CF31:CG31,L$263)+COUNTIF('8月'!CK31:CL31,L$263)+COUNTIF('8月'!CP31:CQ31,L$263)+COUNTIF('8月'!CU31:CV31,L$263)+COUNTIF('8月'!CZ31:DA31,L$263)+COUNTIF('8月'!DE31:DF31,L$263)+COUNTIF('8月'!DJ31:DK31,L$263)+COUNTIF('8月'!DO31:DP31,L$263)+COUNTIF('8月'!DT31:DU31,L$263)+COUNTIF('8月'!DY31:DZ31,L$263)+COUNTIF('8月'!ED31:EE31,L$263)+COUNTIF('8月'!EI31:EJ31,L$263)+COUNTIF('8月'!EN31:EO31,L$263)+COUNTIF('8月'!ES31:ET31,L$263)</f>
        <v>0</v>
      </c>
      <c r="M292" s="76">
        <f t="shared" si="89"/>
        <v>0</v>
      </c>
      <c r="N292" s="76">
        <f>COUNTIF('8月'!D31:E31,N$263)+COUNTIF('8月'!I31:J31,N$263)+COUNTIF('8月'!N31:O31,N$263)+COUNTIF('8月'!S31:T31,N$263)+COUNTIF('8月'!X31:Y31,N$263)+COUNTIF('8月'!AC31:AD31,N$263)+COUNTIF('8月'!AH31:AI31,N$263)+COUNTIF('8月'!AM31:AN31,N$263)+COUNTIF('8月'!AR31:AS31,N$263)+COUNTIF('8月'!AW31:AX31,N$263)+COUNTIF('8月'!BB31:BC31,N$263)+COUNTIF('8月'!BG31:BH31,N$263)+COUNTIF('8月'!BL31:BM31,N$263)+COUNTIF('8月'!BQ31:BR31,N$263)+COUNTIF('8月'!BV31:BW31,N$263)+COUNTIF('8月'!CA31:CB31,N$263)+COUNTIF('8月'!CF31:CG31,N$263)+COUNTIF('8月'!CK31:CL31,N$263)+COUNTIF('8月'!CP31:CQ31,N$263)+COUNTIF('8月'!CU31:CV31,N$263)+COUNTIF('8月'!CZ31:DA31,N$263)+COUNTIF('8月'!DE31:DF31,N$263)+COUNTIF('8月'!DJ31:DK31,N$263)+COUNTIF('8月'!DO31:DP31,N$263)+COUNTIF('8月'!DT31:DU31,N$263)+COUNTIF('8月'!DY31:DZ31,N$263)+COUNTIF('8月'!ED31:EE31,N$263)+COUNTIF('8月'!EI31:EJ31,N$263)+COUNTIF('8月'!EN31:EO31,N$263)+COUNTIF('8月'!ES31:ET31,N$263)+COUNTIF('8月'!D31:E31,"三軒茶屋－夜勤")+COUNTIF('8月'!I31:J31,"三軒茶屋－夜勤")+COUNTIF('8月'!N31:O31,"三軒茶屋－夜勤")+COUNTIF('8月'!S31:T31,"三軒茶屋－夜勤")+COUNTIF('8月'!X31:Y31,"三軒茶屋－夜勤")+COUNTIF('8月'!AC31:AD31,"三軒茶屋－夜勤")+COUNTIF('8月'!AH31:AI31,"三軒茶屋－夜勤")+COUNTIF('8月'!AM31:AN31,"三軒茶屋－夜勤")+COUNTIF('8月'!AR31:AS31,"三軒茶屋－夜勤")+COUNTIF('8月'!AW31:AX31,"三軒茶屋－夜勤")+COUNTIF('8月'!BB31:BC31,"三軒茶屋－夜勤")+COUNTIF('8月'!BG31:BH31,"三軒茶屋－夜勤")+COUNTIF('8月'!BL31:BM31,"三軒茶屋－夜勤")+COUNTIF('8月'!BQ31:BR31,"三軒茶屋－夜勤")+COUNTIF('8月'!BV31:BW31,"三軒茶屋－夜勤")+COUNTIF('8月'!CA31:CB31,"三軒茶屋－夜勤")+COUNTIF('8月'!CF31:CG31,"三軒茶屋－夜勤")+COUNTIF('8月'!CK31:CL31,"三軒茶屋－夜勤")+COUNTIF('8月'!CP31:CQ31,"三軒茶屋－夜勤")+COUNTIF('8月'!CU31:CV31,"三軒茶屋－夜勤")+COUNTIF('8月'!CZ31:DA31,"三軒茶屋－夜勤")+COUNTIF('8月'!DE31:DF31,"三軒茶屋－夜勤")+COUNTIF('8月'!DJ31:DK31,"三軒茶屋－夜勤")+COUNTIF('8月'!DO31:DP31,"三軒茶屋－夜勤")+COUNTIF('8月'!DT31:DU31,"三軒茶屋－夜勤")+COUNTIF('8月'!DY31:DZ31,"三軒茶屋－夜勤")+COUNTIF('8月'!ED31:EE31,"三軒茶屋－夜勤")+COUNTIF('8月'!EI31:EJ31,"三軒茶屋－夜勤")+COUNTIF('8月'!EN31:EO31,"三軒茶屋－夜勤")+COUNTIF('8月'!ES31:ET31,"三軒茶屋－夜勤")</f>
        <v>0</v>
      </c>
      <c r="O292" s="76">
        <f t="shared" si="90"/>
        <v>0</v>
      </c>
      <c r="P292" s="76">
        <f>COUNTIF('8月'!D31:E31,P$263)+COUNTIF('8月'!I31:J31,P$263)+COUNTIF('8月'!N31:O31,P$263)+COUNTIF('8月'!S31:T31,P$263)+COUNTIF('8月'!X31:Y31,P$263)+COUNTIF('8月'!AC31:AD31,P$263)+COUNTIF('8月'!AH31:AI31,P$263)+COUNTIF('8月'!AM31:AN31,P$263)+COUNTIF('8月'!AR31:AS31,P$263)+COUNTIF('8月'!AW31:AX31,P$263)+COUNTIF('8月'!BB31:BC31,P$263)+COUNTIF('8月'!BG31:BH31,P$263)+COUNTIF('8月'!BL31:BM31,P$263)+COUNTIF('8月'!BQ31:BR31,P$263)+COUNTIF('8月'!BV31:BW31,P$263)+COUNTIF('8月'!CA31:CB31,P$263)+COUNTIF('8月'!CF31:CG31,P$263)+COUNTIF('8月'!CK31:CL31,P$263)+COUNTIF('8月'!CP31:CQ31,P$263)+COUNTIF('8月'!CU31:CV31,P$263)+COUNTIF('8月'!CZ31:DA31,P$263)+COUNTIF('8月'!DE31:DF31,P$263)+COUNTIF('8月'!DJ31:DK31,P$263)+COUNTIF('8月'!DO31:DP31,P$263)+COUNTIF('8月'!DT31:DU31,P$263)+COUNTIF('8月'!DY31:DZ31,P$263)+COUNTIF('8月'!ED31:EE31,P$263)+COUNTIF('8月'!EI31:EJ31,P$263)+COUNTIF('8月'!EN31:EO31,P$263)+COUNTIF('8月'!ES31:ET31,P$263)+COUNTIF('8月'!D31:E31,"荻窪ー夜勤")+COUNTIF('8月'!I31:J31,"荻窪ー夜勤")+COUNTIF('8月'!N31:O31,"荻窪ー夜勤")+COUNTIF('8月'!S31:T31,"荻窪ー夜勤")+COUNTIF('8月'!X31:Y31,"荻窪ー夜勤")+COUNTIF('8月'!AC31:AD31,"荻窪ー夜勤")+COUNTIF('8月'!AH31:AI31,"荻窪ー夜勤")+COUNTIF('8月'!AM31:AN31,"荻窪ー夜勤")+COUNTIF('8月'!AR31:AS31,"荻窪ー夜勤")+COUNTIF('8月'!AW31:AX31,"荻窪ー夜勤")+COUNTIF('8月'!BB31:BC31,"荻窪ー夜勤")+COUNTIF('8月'!BG31:BH31,"荻窪ー夜勤")+COUNTIF('8月'!BL31:BM31,"荻窪ー夜勤")+COUNTIF('8月'!BQ31:BR31,"荻窪ー夜勤")+COUNTIF('8月'!BV31:BW31,"荻窪ー夜勤")+COUNTIF('8月'!CA31:CB31,"荻窪ー夜勤")+COUNTIF('8月'!CF31:CG31,"荻窪ー夜勤")+COUNTIF('8月'!CK31:CL31,"荻窪ー夜勤")+COUNTIF('8月'!CP31:CQ31,"荻窪ー夜勤")+COUNTIF('8月'!CU31:CV31,"荻窪ー夜勤")+COUNTIF('8月'!CZ31:DA31,"荻窪ー夜勤")+COUNTIF('8月'!DE31:DF31,"荻窪ー夜勤")+COUNTIF('8月'!DJ31:DK31,"荻窪ー夜勤")+COUNTIF('8月'!DO31:DP31,"荻窪ー夜勤")+COUNTIF('8月'!DT31:DU31,"荻窪ー夜勤")+COUNTIF('8月'!DY31:DZ31,"荻窪ー夜勤")+COUNTIF('8月'!ED31:EE31,"荻窪ー夜勤")+COUNTIF('8月'!EI31:EJ31,"荻窪ー夜勤")+COUNTIF('8月'!EN31:EO31,"荻窪ー夜勤")+COUNTIF('8月'!ES31:ET31,"荻窪ー夜勤")</f>
        <v>0</v>
      </c>
      <c r="Q292" s="76">
        <f t="shared" si="91"/>
        <v>0</v>
      </c>
      <c r="R292" s="76">
        <f>COUNTIF('8月'!D31:E31,R$263)+COUNTIF('8月'!I31:J31,R$263)+COUNTIF('8月'!N31:O31,R$263)+COUNTIF('8月'!S31:T31,R$263)+COUNTIF('8月'!X31:Y31,R$263)+COUNTIF('8月'!AC31:AD31,R$263)+COUNTIF('8月'!AH31:AI31,R$263)+COUNTIF('8月'!AM31:AN31,R$263)+COUNTIF('8月'!AR31:AS31,R$263)+COUNTIF('8月'!AW31:AX31,R$263)+COUNTIF('8月'!BB31:BC31,R$263)+COUNTIF('8月'!BG31:BH31,R$263)+COUNTIF('8月'!BL31:BM31,R$263)+COUNTIF('8月'!BQ31:BR31,R$263)+COUNTIF('8月'!BV31:BW31,R$263)+COUNTIF('8月'!CA31:CB31,R$263)+COUNTIF('8月'!CF31:CG31,R$263)+COUNTIF('8月'!CK31:CL31,R$263)+COUNTIF('8月'!CP31:CQ31,R$263)+COUNTIF('8月'!CU31:CV31,R$263)+COUNTIF('8月'!CZ31:DA31,R$263)+COUNTIF('8月'!DE31:DF31,R$263)+COUNTIF('8月'!DJ31:DK31,R$263)+COUNTIF('8月'!DO31:DP31,R$263)+COUNTIF('8月'!DT31:DU31,R$263)+COUNTIF('8月'!DY31:DZ31,R$263)+COUNTIF('8月'!ED31:EE31,R$263)+COUNTIF('8月'!EI31:EJ31,R$263)+COUNTIF('8月'!EN31:EO31,R$263)+COUNTIF('8月'!ES31:ET31,R$263)</f>
        <v>0</v>
      </c>
      <c r="S292" s="76">
        <f t="shared" si="92"/>
        <v>0</v>
      </c>
      <c r="T292" s="76">
        <f>COUNTIF('8月'!D31:E31,T$263)+COUNTIF('8月'!I31:J31,T$263)+COUNTIF('8月'!N31:O31,T$263)+COUNTIF('8月'!S31:T31,T$263)+COUNTIF('8月'!X31:Y31,T$263)+COUNTIF('8月'!AC31:AD31,T$263)+COUNTIF('8月'!AH31:AI31,T$263)+COUNTIF('8月'!AM31:AN31,T$263)+COUNTIF('8月'!AR31:AS31,T$263)+COUNTIF('8月'!AW31:AX31,T$263)+COUNTIF('8月'!BB31:BC31,T$263)+COUNTIF('8月'!BG31:BH31,T$263)+COUNTIF('8月'!BL31:BM31,T$263)+COUNTIF('8月'!BQ31:BR31,T$263)+COUNTIF('8月'!BV31:BW31,T$263)+COUNTIF('8月'!CA31:CB31,T$263)+COUNTIF('8月'!CF31:CG31,T$263)+COUNTIF('8月'!CK31:CL31,T$263)+COUNTIF('8月'!CP31:CQ31,T$263)+COUNTIF('8月'!CU31:CV31,T$263)+COUNTIF('8月'!CZ31:DA31,T$263)+COUNTIF('8月'!DE31:DF31,T$263)+COUNTIF('8月'!DJ31:DK31,T$263)+COUNTIF('8月'!DO31:DP31,T$263)+COUNTIF('8月'!DT31:DU31,T$263)+COUNTIF('8月'!DY31:DZ31,T$263)+COUNTIF('8月'!ED31:EE31,T$263)+COUNTIF('8月'!EI31:EJ31,T$263)+COUNTIF('8月'!EN31:EO31,T$263)+COUNTIF('8月'!ES31:ET31,T$263)</f>
        <v>0</v>
      </c>
      <c r="U292" s="76">
        <f t="shared" si="93"/>
        <v>0</v>
      </c>
      <c r="V292" s="76">
        <f>COUNTIF('8月'!D31:E31,V$263)+COUNTIF('8月'!I31:J31,V$263)+COUNTIF('8月'!N31:O31,V$263)+COUNTIF('8月'!S31:T31,V$263)+COUNTIF('8月'!X31:Y31,V$263)+COUNTIF('8月'!AC31:AD31,V$263)+COUNTIF('8月'!AH31:AI31,V$263)+COUNTIF('8月'!AM31:AN31,V$263)+COUNTIF('8月'!AR31:AS31,V$263)+COUNTIF('8月'!AW31:AX31,V$263)+COUNTIF('8月'!BB31:BC31,V$263)+COUNTIF('8月'!BG31:BH31,V$263)+COUNTIF('8月'!BL31:BM31,V$263)+COUNTIF('8月'!BQ31:BR31,V$263)+COUNTIF('8月'!BV31:BW31,V$263)+COUNTIF('8月'!CA31:CB31,V$263)+COUNTIF('8月'!CF31:CG31,V$263)+COUNTIF('8月'!CK31:CL31,V$263)+COUNTIF('8月'!CP31:CQ31,V$263)+COUNTIF('8月'!CU31:CV31,V$263)+COUNTIF('8月'!CZ31:DA31,V$263)+COUNTIF('8月'!DE31:DF31,V$263)+COUNTIF('8月'!DJ31:DK31,V$263)+COUNTIF('8月'!DO31:DP31,V$263)+COUNTIF('8月'!DT31:DU31,V$263)+COUNTIF('8月'!DY31:DZ31,V$263)+COUNTIF('8月'!ED31:EE31,V$263)+COUNTIF('8月'!EI31:EJ31,V$263)+COUNTIF('8月'!EN31:EO31,V$263)+COUNTIF('8月'!ES31:ET31,V$263)</f>
        <v>0</v>
      </c>
      <c r="W292" s="76">
        <f t="shared" si="94"/>
        <v>0</v>
      </c>
      <c r="X292" s="76">
        <f>COUNTIF('8月'!D31:E31,X$263)+COUNTIF('8月'!I31:J31,X$263)+COUNTIF('8月'!N31:O31,X$263)+COUNTIF('8月'!S31:T31,X$263)+COUNTIF('8月'!X31:Y31,X$263)+COUNTIF('8月'!AC31:AD31,X$263)+COUNTIF('8月'!AH31:AI31,X$263)+COUNTIF('8月'!AM31:AN31,X$263)+COUNTIF('8月'!AR31:AS31,X$263)+COUNTIF('8月'!AW31:AX31,X$263)+COUNTIF('8月'!BB31:BC31,X$263)+COUNTIF('8月'!BG31:BH31,X$263)+COUNTIF('8月'!BL31:BM31,X$263)+COUNTIF('8月'!BQ31:BR31,X$263)+COUNTIF('8月'!BV31:BW31,X$263)+COUNTIF('8月'!CA31:CB31,X$263)+COUNTIF('8月'!CF31:CG31,X$263)+COUNTIF('8月'!CK31:CL31,X$263)+COUNTIF('8月'!CP31:CQ31,X$263)+COUNTIF('8月'!CU31:CV31,X$263)+COUNTIF('8月'!CZ31:DA31,X$263)+COUNTIF('8月'!DE31:DF31,X$263)+COUNTIF('8月'!DJ31:DK31,X$263)+COUNTIF('8月'!DO31:DP31,X$263)+COUNTIF('8月'!DT31:DU31,X$263)+COUNTIF('8月'!DY31:DZ31,X$263)+COUNTIF('8月'!ED31:EE31,X$263)+COUNTIF('8月'!EI31:EJ31,X$263)+COUNTIF('8月'!EN31:EO31,X$263)+COUNTIF('8月'!ES31:ET31,X$263)</f>
        <v>0</v>
      </c>
      <c r="Y292" s="76">
        <f t="shared" si="95"/>
        <v>0</v>
      </c>
    </row>
    <row r="293" spans="1:25" ht="18" customHeight="1">
      <c r="A293" s="76">
        <v>29</v>
      </c>
      <c r="B293" s="76">
        <f>COUNTIF('8月'!D32:E32,B$263)+COUNTIF('8月'!I32:J32,B$263)+COUNTIF('8月'!N32:O32,B$263)+COUNTIF('8月'!S32:T32,B$263)+COUNTIF('8月'!X32:Y32,B$263)+COUNTIF('8月'!AC32:AD32,B$263)+COUNTIF('8月'!AH32:AI32,B$263)+COUNTIF('8月'!AM32:AN32,B$263)+COUNTIF('8月'!AR32:AS32,B$263)+COUNTIF('8月'!AW32:AX32,B$263)+COUNTIF('8月'!BB32:BC32,B$263)+COUNTIF('8月'!BG32:BH32,B$263)+COUNTIF('8月'!BL32:BM32,B$263)+COUNTIF('8月'!BQ32:BR32,B$263)+COUNTIF('8月'!BV32:BW32,B$263)+COUNTIF('8月'!CA32:CB32,B$263)+COUNTIF('8月'!CF32:CG32,B$263)+COUNTIF('8月'!CK32:CL32,B$263)+COUNTIF('8月'!CP32:CQ32,B$263)+COUNTIF('8月'!CU32:CV32,B$263)+COUNTIF('8月'!CZ32:DA32,B$263)+COUNTIF('8月'!DE32:DF32,B$263)+COUNTIF('8月'!DJ32:DK32,B$263)+COUNTIF('8月'!DO32:DP32,B$263)+COUNTIF('8月'!DT32:DU32,B$263)+COUNTIF('8月'!DY32:DZ32,B$263)+COUNTIF('8月'!ED32:EE32,B$263)+COUNTIF('8月'!EI32:EJ32,B$263)+COUNTIF('8月'!EN32:EO32,B$263)+COUNTIF('8月'!ES32:ET32,B$263)</f>
        <v>0</v>
      </c>
      <c r="C293" s="76">
        <f t="shared" si="84"/>
        <v>0</v>
      </c>
      <c r="D293" s="76">
        <f>COUNTIF('8月'!D32:E32,D$263)+COUNTIF('8月'!I32:J32,D$263)+COUNTIF('8月'!N32:O32,D$263)+COUNTIF('8月'!S32:T32,D$263)+COUNTIF('8月'!X32:Y32,D$263)+COUNTIF('8月'!AC32:AD32,D$263)+COUNTIF('8月'!AH32:AI32,D$263)+COUNTIF('8月'!AM32:AN32,D$263)+COUNTIF('8月'!AR32:AS32,D$263)+COUNTIF('8月'!AW32:AX32,D$263)+COUNTIF('8月'!BB32:BC32,D$263)+COUNTIF('8月'!BG32:BH32,D$263)+COUNTIF('8月'!BL32:BM32,D$263)+COUNTIF('8月'!BQ32:BR32,D$263)+COUNTIF('8月'!BV32:BW32,D$263)+COUNTIF('8月'!CA32:CB32,D$263)+COUNTIF('8月'!CF32:CG32,D$263)+COUNTIF('8月'!CK32:CL32,D$263)+COUNTIF('8月'!CP32:CQ32,D$263)+COUNTIF('8月'!CU32:CV32,D$263)+COUNTIF('8月'!CZ32:DA32,D$263)+COUNTIF('8月'!DE32:DF32,D$263)+COUNTIF('8月'!DJ32:DK32,D$263)+COUNTIF('8月'!DO32:DP32,D$263)+COUNTIF('8月'!DT32:DU32,D$263)+COUNTIF('8月'!DY32:DZ32,D$263)+COUNTIF('8月'!ED32:EE32,D$263)+COUNTIF('8月'!EI32:EJ32,D$263)+COUNTIF('8月'!EN32:EO32,D$263)+COUNTIF('8月'!ES32:ET32,D$263)</f>
        <v>0</v>
      </c>
      <c r="E293" s="76">
        <f t="shared" si="85"/>
        <v>0</v>
      </c>
      <c r="F293" s="76">
        <f>COUNTIF('8月'!D32:E32,F$263)+COUNTIF('8月'!I32:J32,F$263)+COUNTIF('8月'!N32:O32,F$263)+COUNTIF('8月'!S32:T32,F$263)+COUNTIF('8月'!X32:Y32,F$263)+COUNTIF('8月'!AC32:AD32,F$263)+COUNTIF('8月'!AH32:AI32,F$263)+COUNTIF('8月'!AM32:AN32,F$263)+COUNTIF('8月'!AR32:AS32,F$263)+COUNTIF('8月'!AW32:AX32,F$263)+COUNTIF('8月'!BB32:BC32,F$263)+COUNTIF('8月'!BG32:BH32,F$263)+COUNTIF('8月'!BL32:BM32,F$263)+COUNTIF('8月'!BQ32:BR32,F$263)+COUNTIF('8月'!BV32:BW32,F$263)+COUNTIF('8月'!CA32:CB32,F$263)+COUNTIF('8月'!CF32:CG32,F$263)+COUNTIF('8月'!CK32:CL32,F$263)+COUNTIF('8月'!CP32:CQ32,F$263)+COUNTIF('8月'!CU32:CV32,F$263)+COUNTIF('8月'!CZ32:DA32,F$263)+COUNTIF('8月'!DE32:DF32,F$263)+COUNTIF('8月'!DJ32:DK32,F$263)+COUNTIF('8月'!DO32:DP32,F$263)+COUNTIF('8月'!DT32:DU32,F$263)+COUNTIF('8月'!DY32:DZ32,F$263)+COUNTIF('8月'!ED32:EE32,F$263)+COUNTIF('8月'!EI32:EJ32,F$263)+COUNTIF('8月'!EN32:EO32,F$263)+COUNTIF('8月'!ES32:ET32,F$263)</f>
        <v>0</v>
      </c>
      <c r="G293" s="76">
        <f t="shared" si="86"/>
        <v>0</v>
      </c>
      <c r="H293" s="76">
        <f>COUNTIF('8月'!D32:E32,H$263)+COUNTIF('8月'!I32:J32,H$263)+COUNTIF('8月'!N32:O32,H$263)+COUNTIF('8月'!S32:T32,H$263)+COUNTIF('8月'!X32:Y32,H$263)+COUNTIF('8月'!AC32:AD32,H$263)+COUNTIF('8月'!AH32:AI32,H$263)+COUNTIF('8月'!AM32:AN32,H$263)+COUNTIF('8月'!AR32:AS32,H$263)+COUNTIF('8月'!AW32:AX32,H$263)+COUNTIF('8月'!BB32:BC32,H$263)+COUNTIF('8月'!BG32:BH32,H$263)+COUNTIF('8月'!BL32:BM32,H$263)+COUNTIF('8月'!BQ32:BR32,H$263)+COUNTIF('8月'!BV32:BW32,H$263)+COUNTIF('8月'!CA32:CB32,H$263)+COUNTIF('8月'!CF32:CG32,H$263)+COUNTIF('8月'!CK32:CL32,H$263)+COUNTIF('8月'!CP32:CQ32,H$263)+COUNTIF('8月'!CU32:CV32,H$263)+COUNTIF('8月'!CZ32:DA32,H$263)+COUNTIF('8月'!DE32:DF32,H$263)+COUNTIF('8月'!DJ32:DK32,H$263)+COUNTIF('8月'!DO32:DP32,H$263)+COUNTIF('8月'!DT32:DU32,H$263)+COUNTIF('8月'!DY32:DZ32,H$263)+COUNTIF('8月'!ED32:EE32,H$263)+COUNTIF('8月'!EI32:EJ32,H$263)+COUNTIF('8月'!EN32:EO32,H$263)+COUNTIF('8月'!ES32:ET32,H$263)+COUNTIF('8月'!D32:E32,"渋谷-夜勤")+COUNTIF('8月'!I32:J32,"渋谷-夜勤")+COUNTIF('8月'!N32:O32,"渋谷-夜勤")+COUNTIF('8月'!S32:T32,"渋谷-夜勤")+COUNTIF('8月'!X32:Y32,"渋谷-夜勤")+COUNTIF('8月'!AC32:AD32,"渋谷-夜勤")+COUNTIF('8月'!AH32:AI32,"渋谷-夜勤")+COUNTIF('8月'!AM32:AN32,"渋谷-夜勤")+COUNTIF('8月'!AR32:AS32,"渋谷-夜勤")+COUNTIF('8月'!AW32:AX32,"渋谷-夜勤")+COUNTIF('8月'!BB32:BC32,"渋谷-夜勤")+COUNTIF('8月'!BG32:BH32,"渋谷-夜勤")+COUNTIF('8月'!BL32:BM32,"渋谷-夜勤")+COUNTIF('8月'!BQ32:BR32,"渋谷-夜勤")+COUNTIF('8月'!BV32:BW32,"渋谷-夜勤")+COUNTIF('8月'!CA32:CB32,"渋谷-夜勤")+COUNTIF('8月'!CF32:CG32,"渋谷-夜勤")+COUNTIF('8月'!CK32:CL32,"渋谷-夜勤")+COUNTIF('8月'!CP32:CQ32,"渋谷-夜勤")+COUNTIF('8月'!CU32:CV32,"渋谷-夜勤")+COUNTIF('8月'!CZ32:DA32,"渋谷-夜勤")+COUNTIF('8月'!DE32:DF32,"渋谷-夜勤")+COUNTIF('8月'!DJ32:DK32,"渋谷-夜勤")+COUNTIF('8月'!DO32:DP32,"渋谷-夜勤")+COUNTIF('8月'!DT32:DU32,"渋谷-夜勤")+COUNTIF('8月'!DY32:DZ32,"渋谷-夜勤")+COUNTIF('8月'!ED32:EE32,"渋谷-夜勤")+COUNTIF('8月'!EI32:EJ32,"渋谷-夜勤")+COUNTIF('8月'!EN32:EO32,"渋谷-夜勤")+COUNTIF('8月'!ES32:ET32,"渋谷-夜勤")</f>
        <v>0</v>
      </c>
      <c r="I293" s="76">
        <f t="shared" si="87"/>
        <v>0</v>
      </c>
      <c r="J293" s="76">
        <f>COUNTIF('8月'!D32:E32,J$263)+COUNTIF('8月'!I32:J32,J$263)+COUNTIF('8月'!N32:O32,J$263)+COUNTIF('8月'!S32:T32,J$263)+COUNTIF('8月'!X32:Y32,J$263)+COUNTIF('8月'!AC32:AD32,J$263)+COUNTIF('8月'!AH32:AI32,J$263)+COUNTIF('8月'!AM32:AN32,J$263)+COUNTIF('8月'!AR32:AS32,J$263)+COUNTIF('8月'!AW32:AX32,J$263)+COUNTIF('8月'!BB32:BC32,J$263)+COUNTIF('8月'!BG32:BH32,J$263)+COUNTIF('8月'!BL32:BM32,J$263)+COUNTIF('8月'!BQ32:BR32,J$263)+COUNTIF('8月'!BV32:BW32,J$263)+COUNTIF('8月'!CA32:CB32,J$263)+COUNTIF('8月'!CF32:CG32,J$263)+COUNTIF('8月'!CK32:CL32,J$263)+COUNTIF('8月'!CP32:CQ32,J$263)+COUNTIF('8月'!CU32:CV32,J$263)+COUNTIF('8月'!CZ32:DA32,J$263)+COUNTIF('8月'!DE32:DF32,J$263)+COUNTIF('8月'!DJ32:DK32,J$263)+COUNTIF('8月'!DO32:DP32,J$263)+COUNTIF('8月'!DT32:DU32,J$263)+COUNTIF('8月'!DY32:DZ32,J$263)+COUNTIF('8月'!ED32:EE32,J$263)+COUNTIF('8月'!EI32:EJ32,J$263)+COUNTIF('8月'!EN32:EO32,J$263)+COUNTIF('8月'!ES32:ET32,J$263)+COUNTIF('8月'!D32:E32,"六本木-夜勤")+COUNTIF('8月'!I32:J32,"六本木-夜勤")+COUNTIF('8月'!N32:O32,"六本木-夜勤")+COUNTIF('8月'!S32:T32,"六本木-夜勤")+COUNTIF('8月'!X32:Y32,"六本木-夜勤")+COUNTIF('8月'!AC32:AD32,"六本木-夜勤")+COUNTIF('8月'!AH32:AI32,"六本木-夜勤")+COUNTIF('8月'!AM32:AN32,"六本木-夜勤")+COUNTIF('8月'!AR32:AS32,"六本木-夜勤")+COUNTIF('8月'!AW32:AX32,"六本木-夜勤")+COUNTIF('8月'!BB32:BC32,"六本木-夜勤")+COUNTIF('8月'!BG32:BH32,"六本木-夜勤")+COUNTIF('8月'!BL32:BM32,"六本木-夜勤")+COUNTIF('8月'!BQ32:BR32,"六本木-夜勤")+COUNTIF('8月'!BV32:BW32,"六本木-夜勤")+COUNTIF('8月'!CA32:CB32,"六本木-夜勤")+COUNTIF('8月'!CF32:CG32,"六本木-夜勤")+COUNTIF('8月'!CK32:CL32,"六本木-夜勤")+COUNTIF('8月'!CP32:CQ32,"六本木-夜勤")+COUNTIF('8月'!CU32:CV32,"六本木-夜勤")+COUNTIF('8月'!CZ32:DA32,"六本木-夜勤")+COUNTIF('8月'!DE32:DF32,"六本木-夜勤")+COUNTIF('8月'!DJ32:DK32,"六本木-夜勤")+COUNTIF('8月'!DO32:DP32,"六本木-夜勤")+COUNTIF('8月'!DT32:DU32,"六本木-夜勤")+COUNTIF('8月'!DY32:DZ32,"六本木-夜勤")+COUNTIF('8月'!ED32:EE32,"六本木-夜勤")+COUNTIF('8月'!EI32:EJ32,"六本木-夜勤")+COUNTIF('8月'!EN32:EO32,"六本木-夜勤")+COUNTIF('8月'!ES32:ET32,"六本木-夜勤")+COUNTIF('8月'!D32:E32,"六本木ー夜勤")+COUNTIF('8月'!I32:J32,"六本木ー夜勤")+COUNTIF('8月'!N32:O32,"六本木ー夜勤")+COUNTIF('8月'!S32:T32,"六本木ー夜勤")+COUNTIF('8月'!X32:Y32,"六本木ー夜勤")+COUNTIF('8月'!AC32:AD32,"六本木ー夜勤")+COUNTIF('8月'!AH32:AI32,"六本木ー夜勤")+COUNTIF('8月'!AM32:AN32,"六本木ー夜勤")+COUNTIF('8月'!AR32:AS32,"六本木ー夜勤")+COUNTIF('8月'!AW32:AX32,"六本木ー夜勤")+COUNTIF('8月'!BB32:BC32,"六本木ー夜勤")+COUNTIF('8月'!BG32:BH32,"六本木ー夜勤")+COUNTIF('8月'!BL32:BM32,"六本木ー夜勤")+COUNTIF('8月'!BQ32:BR32,"六本木ー夜勤")+COUNTIF('8月'!BV32:BW32,"六本木ー夜勤")+COUNTIF('8月'!CA32:CB32,"六本木ー夜勤")+COUNTIF('8月'!CF32:CG32,"六本木ー夜勤")+COUNTIF('8月'!CK32:CL32,"六本木ー夜勤")+COUNTIF('8月'!CP32:CQ32,"六本木ー夜勤")+COUNTIF('8月'!CU32:CV32,"六本木ー夜勤")+COUNTIF('8月'!CZ32:DA32,"六本木ー夜勤")+COUNTIF('8月'!DE32:DF32,"六本木ー夜勤")+COUNTIF('8月'!DJ32:DK32,"六本木ー夜勤")+COUNTIF('8月'!DO32:DP32,"六本木ー夜勤")+COUNTIF('8月'!DT32:DU32,"六本木ー夜勤")+COUNTIF('8月'!DY32:DZ32,"六本木ー夜勤")+COUNTIF('8月'!ED32:EE32,"六本木ー夜勤")+COUNTIF('8月'!EI32:EJ32,"六本木ー夜勤")+COUNTIF('8月'!EN32:EO32,"六本木ー夜勤")+COUNTIF('8月'!ES32:ET32,"六本木ー夜勤")</f>
        <v>0</v>
      </c>
      <c r="K293" s="76">
        <f t="shared" si="88"/>
        <v>0</v>
      </c>
      <c r="L293" s="76">
        <f>COUNTIF('8月'!D32:E32,L$263)+COUNTIF('8月'!I32:J32,L$263)+COUNTIF('8月'!N32:O32,L$263)+COUNTIF('8月'!S32:T32,L$263)+COUNTIF('8月'!X32:Y32,L$263)+COUNTIF('8月'!AC32:AD32,L$263)+COUNTIF('8月'!AH32:AI32,L$263)+COUNTIF('8月'!AM32:AN32,L$263)+COUNTIF('8月'!AR32:AS32,L$263)+COUNTIF('8月'!AW32:AX32,L$263)+COUNTIF('8月'!BB32:BC32,L$263)+COUNTIF('8月'!BG32:BH32,L$263)+COUNTIF('8月'!BL32:BM32,L$263)+COUNTIF('8月'!BQ32:BR32,L$263)+COUNTIF('8月'!BV32:BW32,L$263)+COUNTIF('8月'!CA32:CB32,L$263)+COUNTIF('8月'!CF32:CG32,L$263)+COUNTIF('8月'!CK32:CL32,L$263)+COUNTIF('8月'!CP32:CQ32,L$263)+COUNTIF('8月'!CU32:CV32,L$263)+COUNTIF('8月'!CZ32:DA32,L$263)+COUNTIF('8月'!DE32:DF32,L$263)+COUNTIF('8月'!DJ32:DK32,L$263)+COUNTIF('8月'!DO32:DP32,L$263)+COUNTIF('8月'!DT32:DU32,L$263)+COUNTIF('8月'!DY32:DZ32,L$263)+COUNTIF('8月'!ED32:EE32,L$263)+COUNTIF('8月'!EI32:EJ32,L$263)+COUNTIF('8月'!EN32:EO32,L$263)+COUNTIF('8月'!ES32:ET32,L$263)</f>
        <v>0</v>
      </c>
      <c r="M293" s="76">
        <f t="shared" si="89"/>
        <v>0</v>
      </c>
      <c r="N293" s="76">
        <f>COUNTIF('8月'!D32:E32,N$263)+COUNTIF('8月'!I32:J32,N$263)+COUNTIF('8月'!N32:O32,N$263)+COUNTIF('8月'!S32:T32,N$263)+COUNTIF('8月'!X32:Y32,N$263)+COUNTIF('8月'!AC32:AD32,N$263)+COUNTIF('8月'!AH32:AI32,N$263)+COUNTIF('8月'!AM32:AN32,N$263)+COUNTIF('8月'!AR32:AS32,N$263)+COUNTIF('8月'!AW32:AX32,N$263)+COUNTIF('8月'!BB32:BC32,N$263)+COUNTIF('8月'!BG32:BH32,N$263)+COUNTIF('8月'!BL32:BM32,N$263)+COUNTIF('8月'!BQ32:BR32,N$263)+COUNTIF('8月'!BV32:BW32,N$263)+COUNTIF('8月'!CA32:CB32,N$263)+COUNTIF('8月'!CF32:CG32,N$263)+COUNTIF('8月'!CK32:CL32,N$263)+COUNTIF('8月'!CP32:CQ32,N$263)+COUNTIF('8月'!CU32:CV32,N$263)+COUNTIF('8月'!CZ32:DA32,N$263)+COUNTIF('8月'!DE32:DF32,N$263)+COUNTIF('8月'!DJ32:DK32,N$263)+COUNTIF('8月'!DO32:DP32,N$263)+COUNTIF('8月'!DT32:DU32,N$263)+COUNTIF('8月'!DY32:DZ32,N$263)+COUNTIF('8月'!ED32:EE32,N$263)+COUNTIF('8月'!EI32:EJ32,N$263)+COUNTIF('8月'!EN32:EO32,N$263)+COUNTIF('8月'!ES32:ET32,N$263)+COUNTIF('8月'!D32:E32,"三軒茶屋－夜勤")+COUNTIF('8月'!I32:J32,"三軒茶屋－夜勤")+COUNTIF('8月'!N32:O32,"三軒茶屋－夜勤")+COUNTIF('8月'!S32:T32,"三軒茶屋－夜勤")+COUNTIF('8月'!X32:Y32,"三軒茶屋－夜勤")+COUNTIF('8月'!AC32:AD32,"三軒茶屋－夜勤")+COUNTIF('8月'!AH32:AI32,"三軒茶屋－夜勤")+COUNTIF('8月'!AM32:AN32,"三軒茶屋－夜勤")+COUNTIF('8月'!AR32:AS32,"三軒茶屋－夜勤")+COUNTIF('8月'!AW32:AX32,"三軒茶屋－夜勤")+COUNTIF('8月'!BB32:BC32,"三軒茶屋－夜勤")+COUNTIF('8月'!BG32:BH32,"三軒茶屋－夜勤")+COUNTIF('8月'!BL32:BM32,"三軒茶屋－夜勤")+COUNTIF('8月'!BQ32:BR32,"三軒茶屋－夜勤")+COUNTIF('8月'!BV32:BW32,"三軒茶屋－夜勤")+COUNTIF('8月'!CA32:CB32,"三軒茶屋－夜勤")+COUNTIF('8月'!CF32:CG32,"三軒茶屋－夜勤")+COUNTIF('8月'!CK32:CL32,"三軒茶屋－夜勤")+COUNTIF('8月'!CP32:CQ32,"三軒茶屋－夜勤")+COUNTIF('8月'!CU32:CV32,"三軒茶屋－夜勤")+COUNTIF('8月'!CZ32:DA32,"三軒茶屋－夜勤")+COUNTIF('8月'!DE32:DF32,"三軒茶屋－夜勤")+COUNTIF('8月'!DJ32:DK32,"三軒茶屋－夜勤")+COUNTIF('8月'!DO32:DP32,"三軒茶屋－夜勤")+COUNTIF('8月'!DT32:DU32,"三軒茶屋－夜勤")+COUNTIF('8月'!DY32:DZ32,"三軒茶屋－夜勤")+COUNTIF('8月'!ED32:EE32,"三軒茶屋－夜勤")+COUNTIF('8月'!EI32:EJ32,"三軒茶屋－夜勤")+COUNTIF('8月'!EN32:EO32,"三軒茶屋－夜勤")+COUNTIF('8月'!ES32:ET32,"三軒茶屋－夜勤")</f>
        <v>0</v>
      </c>
      <c r="O293" s="76">
        <f t="shared" si="90"/>
        <v>0</v>
      </c>
      <c r="P293" s="76">
        <f>COUNTIF('8月'!D32:E32,P$263)+COUNTIF('8月'!I32:J32,P$263)+COUNTIF('8月'!N32:O32,P$263)+COUNTIF('8月'!S32:T32,P$263)+COUNTIF('8月'!X32:Y32,P$263)+COUNTIF('8月'!AC32:AD32,P$263)+COUNTIF('8月'!AH32:AI32,P$263)+COUNTIF('8月'!AM32:AN32,P$263)+COUNTIF('8月'!AR32:AS32,P$263)+COUNTIF('8月'!AW32:AX32,P$263)+COUNTIF('8月'!BB32:BC32,P$263)+COUNTIF('8月'!BG32:BH32,P$263)+COUNTIF('8月'!BL32:BM32,P$263)+COUNTIF('8月'!BQ32:BR32,P$263)+COUNTIF('8月'!BV32:BW32,P$263)+COUNTIF('8月'!CA32:CB32,P$263)+COUNTIF('8月'!CF32:CG32,P$263)+COUNTIF('8月'!CK32:CL32,P$263)+COUNTIF('8月'!CP32:CQ32,P$263)+COUNTIF('8月'!CU32:CV32,P$263)+COUNTIF('8月'!CZ32:DA32,P$263)+COUNTIF('8月'!DE32:DF32,P$263)+COUNTIF('8月'!DJ32:DK32,P$263)+COUNTIF('8月'!DO32:DP32,P$263)+COUNTIF('8月'!DT32:DU32,P$263)+COUNTIF('8月'!DY32:DZ32,P$263)+COUNTIF('8月'!ED32:EE32,P$263)+COUNTIF('8月'!EI32:EJ32,P$263)+COUNTIF('8月'!EN32:EO32,P$263)+COUNTIF('8月'!ES32:ET32,P$263)+COUNTIF('8月'!D32:E32,"荻窪ー夜勤")+COUNTIF('8月'!I32:J32,"荻窪ー夜勤")+COUNTIF('8月'!N32:O32,"荻窪ー夜勤")+COUNTIF('8月'!S32:T32,"荻窪ー夜勤")+COUNTIF('8月'!X32:Y32,"荻窪ー夜勤")+COUNTIF('8月'!AC32:AD32,"荻窪ー夜勤")+COUNTIF('8月'!AH32:AI32,"荻窪ー夜勤")+COUNTIF('8月'!AM32:AN32,"荻窪ー夜勤")+COUNTIF('8月'!AR32:AS32,"荻窪ー夜勤")+COUNTIF('8月'!AW32:AX32,"荻窪ー夜勤")+COUNTIF('8月'!BB32:BC32,"荻窪ー夜勤")+COUNTIF('8月'!BG32:BH32,"荻窪ー夜勤")+COUNTIF('8月'!BL32:BM32,"荻窪ー夜勤")+COUNTIF('8月'!BQ32:BR32,"荻窪ー夜勤")+COUNTIF('8月'!BV32:BW32,"荻窪ー夜勤")+COUNTIF('8月'!CA32:CB32,"荻窪ー夜勤")+COUNTIF('8月'!CF32:CG32,"荻窪ー夜勤")+COUNTIF('8月'!CK32:CL32,"荻窪ー夜勤")+COUNTIF('8月'!CP32:CQ32,"荻窪ー夜勤")+COUNTIF('8月'!CU32:CV32,"荻窪ー夜勤")+COUNTIF('8月'!CZ32:DA32,"荻窪ー夜勤")+COUNTIF('8月'!DE32:DF32,"荻窪ー夜勤")+COUNTIF('8月'!DJ32:DK32,"荻窪ー夜勤")+COUNTIF('8月'!DO32:DP32,"荻窪ー夜勤")+COUNTIF('8月'!DT32:DU32,"荻窪ー夜勤")+COUNTIF('8月'!DY32:DZ32,"荻窪ー夜勤")+COUNTIF('8月'!ED32:EE32,"荻窪ー夜勤")+COUNTIF('8月'!EI32:EJ32,"荻窪ー夜勤")+COUNTIF('8月'!EN32:EO32,"荻窪ー夜勤")+COUNTIF('8月'!ES32:ET32,"荻窪ー夜勤")</f>
        <v>0</v>
      </c>
      <c r="Q293" s="76">
        <f t="shared" si="91"/>
        <v>0</v>
      </c>
      <c r="R293" s="76">
        <f>COUNTIF('8月'!D32:E32,R$263)+COUNTIF('8月'!I32:J32,R$263)+COUNTIF('8月'!N32:O32,R$263)+COUNTIF('8月'!S32:T32,R$263)+COUNTIF('8月'!X32:Y32,R$263)+COUNTIF('8月'!AC32:AD32,R$263)+COUNTIF('8月'!AH32:AI32,R$263)+COUNTIF('8月'!AM32:AN32,R$263)+COUNTIF('8月'!AR32:AS32,R$263)+COUNTIF('8月'!AW32:AX32,R$263)+COUNTIF('8月'!BB32:BC32,R$263)+COUNTIF('8月'!BG32:BH32,R$263)+COUNTIF('8月'!BL32:BM32,R$263)+COUNTIF('8月'!BQ32:BR32,R$263)+COUNTIF('8月'!BV32:BW32,R$263)+COUNTIF('8月'!CA32:CB32,R$263)+COUNTIF('8月'!CF32:CG32,R$263)+COUNTIF('8月'!CK32:CL32,R$263)+COUNTIF('8月'!CP32:CQ32,R$263)+COUNTIF('8月'!CU32:CV32,R$263)+COUNTIF('8月'!CZ32:DA32,R$263)+COUNTIF('8月'!DE32:DF32,R$263)+COUNTIF('8月'!DJ32:DK32,R$263)+COUNTIF('8月'!DO32:DP32,R$263)+COUNTIF('8月'!DT32:DU32,R$263)+COUNTIF('8月'!DY32:DZ32,R$263)+COUNTIF('8月'!ED32:EE32,R$263)+COUNTIF('8月'!EI32:EJ32,R$263)+COUNTIF('8月'!EN32:EO32,R$263)+COUNTIF('8月'!ES32:ET32,R$263)</f>
        <v>0</v>
      </c>
      <c r="S293" s="76">
        <f t="shared" si="92"/>
        <v>0</v>
      </c>
      <c r="T293" s="76">
        <f>COUNTIF('8月'!D32:E32,T$263)+COUNTIF('8月'!I32:J32,T$263)+COUNTIF('8月'!N32:O32,T$263)+COUNTIF('8月'!S32:T32,T$263)+COUNTIF('8月'!X32:Y32,T$263)+COUNTIF('8月'!AC32:AD32,T$263)+COUNTIF('8月'!AH32:AI32,T$263)+COUNTIF('8月'!AM32:AN32,T$263)+COUNTIF('8月'!AR32:AS32,T$263)+COUNTIF('8月'!AW32:AX32,T$263)+COUNTIF('8月'!BB32:BC32,T$263)+COUNTIF('8月'!BG32:BH32,T$263)+COUNTIF('8月'!BL32:BM32,T$263)+COUNTIF('8月'!BQ32:BR32,T$263)+COUNTIF('8月'!BV32:BW32,T$263)+COUNTIF('8月'!CA32:CB32,T$263)+COUNTIF('8月'!CF32:CG32,T$263)+COUNTIF('8月'!CK32:CL32,T$263)+COUNTIF('8月'!CP32:CQ32,T$263)+COUNTIF('8月'!CU32:CV32,T$263)+COUNTIF('8月'!CZ32:DA32,T$263)+COUNTIF('8月'!DE32:DF32,T$263)+COUNTIF('8月'!DJ32:DK32,T$263)+COUNTIF('8月'!DO32:DP32,T$263)+COUNTIF('8月'!DT32:DU32,T$263)+COUNTIF('8月'!DY32:DZ32,T$263)+COUNTIF('8月'!ED32:EE32,T$263)+COUNTIF('8月'!EI32:EJ32,T$263)+COUNTIF('8月'!EN32:EO32,T$263)+COUNTIF('8月'!ES32:ET32,T$263)</f>
        <v>0</v>
      </c>
      <c r="U293" s="76">
        <f t="shared" si="93"/>
        <v>0</v>
      </c>
      <c r="V293" s="76">
        <f>COUNTIF('8月'!D32:E32,V$263)+COUNTIF('8月'!I32:J32,V$263)+COUNTIF('8月'!N32:O32,V$263)+COUNTIF('8月'!S32:T32,V$263)+COUNTIF('8月'!X32:Y32,V$263)+COUNTIF('8月'!AC32:AD32,V$263)+COUNTIF('8月'!AH32:AI32,V$263)+COUNTIF('8月'!AM32:AN32,V$263)+COUNTIF('8月'!AR32:AS32,V$263)+COUNTIF('8月'!AW32:AX32,V$263)+COUNTIF('8月'!BB32:BC32,V$263)+COUNTIF('8月'!BG32:BH32,V$263)+COUNTIF('8月'!BL32:BM32,V$263)+COUNTIF('8月'!BQ32:BR32,V$263)+COUNTIF('8月'!BV32:BW32,V$263)+COUNTIF('8月'!CA32:CB32,V$263)+COUNTIF('8月'!CF32:CG32,V$263)+COUNTIF('8月'!CK32:CL32,V$263)+COUNTIF('8月'!CP32:CQ32,V$263)+COUNTIF('8月'!CU32:CV32,V$263)+COUNTIF('8月'!CZ32:DA32,V$263)+COUNTIF('8月'!DE32:DF32,V$263)+COUNTIF('8月'!DJ32:DK32,V$263)+COUNTIF('8月'!DO32:DP32,V$263)+COUNTIF('8月'!DT32:DU32,V$263)+COUNTIF('8月'!DY32:DZ32,V$263)+COUNTIF('8月'!ED32:EE32,V$263)+COUNTIF('8月'!EI32:EJ32,V$263)+COUNTIF('8月'!EN32:EO32,V$263)+COUNTIF('8月'!ES32:ET32,V$263)</f>
        <v>0</v>
      </c>
      <c r="W293" s="76">
        <f t="shared" si="94"/>
        <v>0</v>
      </c>
      <c r="X293" s="76">
        <f>COUNTIF('8月'!D32:E32,X$263)+COUNTIF('8月'!I32:J32,X$263)+COUNTIF('8月'!N32:O32,X$263)+COUNTIF('8月'!S32:T32,X$263)+COUNTIF('8月'!X32:Y32,X$263)+COUNTIF('8月'!AC32:AD32,X$263)+COUNTIF('8月'!AH32:AI32,X$263)+COUNTIF('8月'!AM32:AN32,X$263)+COUNTIF('8月'!AR32:AS32,X$263)+COUNTIF('8月'!AW32:AX32,X$263)+COUNTIF('8月'!BB32:BC32,X$263)+COUNTIF('8月'!BG32:BH32,X$263)+COUNTIF('8月'!BL32:BM32,X$263)+COUNTIF('8月'!BQ32:BR32,X$263)+COUNTIF('8月'!BV32:BW32,X$263)+COUNTIF('8月'!CA32:CB32,X$263)+COUNTIF('8月'!CF32:CG32,X$263)+COUNTIF('8月'!CK32:CL32,X$263)+COUNTIF('8月'!CP32:CQ32,X$263)+COUNTIF('8月'!CU32:CV32,X$263)+COUNTIF('8月'!CZ32:DA32,X$263)+COUNTIF('8月'!DE32:DF32,X$263)+COUNTIF('8月'!DJ32:DK32,X$263)+COUNTIF('8月'!DO32:DP32,X$263)+COUNTIF('8月'!DT32:DU32,X$263)+COUNTIF('8月'!DY32:DZ32,X$263)+COUNTIF('8月'!ED32:EE32,X$263)+COUNTIF('8月'!EI32:EJ32,X$263)+COUNTIF('8月'!EN32:EO32,X$263)+COUNTIF('8月'!ES32:ET32,X$263)</f>
        <v>0</v>
      </c>
      <c r="Y293" s="76">
        <f t="shared" si="95"/>
        <v>0</v>
      </c>
    </row>
    <row r="294" spans="1:25" ht="18" customHeight="1">
      <c r="A294" s="76">
        <v>30</v>
      </c>
      <c r="B294" s="76">
        <f>COUNTIF('8月'!D33:E33,B$263)+COUNTIF('8月'!I33:J33,B$263)+COUNTIF('8月'!N33:O33,B$263)+COUNTIF('8月'!S33:T33,B$263)+COUNTIF('8月'!X33:Y33,B$263)+COUNTIF('8月'!AC33:AD33,B$263)+COUNTIF('8月'!AH33:AI33,B$263)+COUNTIF('8月'!AM33:AN33,B$263)+COUNTIF('8月'!AR33:AS33,B$263)+COUNTIF('8月'!AW33:AX33,B$263)+COUNTIF('8月'!BB33:BC33,B$263)+COUNTIF('8月'!BG33:BH33,B$263)+COUNTIF('8月'!BL33:BM33,B$263)+COUNTIF('8月'!BQ33:BR33,B$263)+COUNTIF('8月'!BV33:BW33,B$263)+COUNTIF('8月'!CA33:CB33,B$263)+COUNTIF('8月'!CF33:CG33,B$263)+COUNTIF('8月'!CK33:CL33,B$263)+COUNTIF('8月'!CP33:CQ33,B$263)+COUNTIF('8月'!CU33:CV33,B$263)+COUNTIF('8月'!CZ33:DA33,B$263)+COUNTIF('8月'!DE33:DF33,B$263)+COUNTIF('8月'!DJ33:DK33,B$263)+COUNTIF('8月'!DO33:DP33,B$263)+COUNTIF('8月'!DT33:DU33,B$263)+COUNTIF('8月'!DY33:DZ33,B$263)+COUNTIF('8月'!ED33:EE33,B$263)+COUNTIF('8月'!EI33:EJ33,B$263)+COUNTIF('8月'!EN33:EO33,B$263)+COUNTIF('8月'!ES33:ET33,B$263)</f>
        <v>0</v>
      </c>
      <c r="C294" s="76">
        <f t="shared" si="84"/>
        <v>0</v>
      </c>
      <c r="D294" s="76">
        <f>COUNTIF('8月'!D33:E33,D$263)+COUNTIF('8月'!I33:J33,D$263)+COUNTIF('8月'!N33:O33,D$263)+COUNTIF('8月'!S33:T33,D$263)+COUNTIF('8月'!X33:Y33,D$263)+COUNTIF('8月'!AC33:AD33,D$263)+COUNTIF('8月'!AH33:AI33,D$263)+COUNTIF('8月'!AM33:AN33,D$263)+COUNTIF('8月'!AR33:AS33,D$263)+COUNTIF('8月'!AW33:AX33,D$263)+COUNTIF('8月'!BB33:BC33,D$263)+COUNTIF('8月'!BG33:BH33,D$263)+COUNTIF('8月'!BL33:BM33,D$263)+COUNTIF('8月'!BQ33:BR33,D$263)+COUNTIF('8月'!BV33:BW33,D$263)+COUNTIF('8月'!CA33:CB33,D$263)+COUNTIF('8月'!CF33:CG33,D$263)+COUNTIF('8月'!CK33:CL33,D$263)+COUNTIF('8月'!CP33:CQ33,D$263)+COUNTIF('8月'!CU33:CV33,D$263)+COUNTIF('8月'!CZ33:DA33,D$263)+COUNTIF('8月'!DE33:DF33,D$263)+COUNTIF('8月'!DJ33:DK33,D$263)+COUNTIF('8月'!DO33:DP33,D$263)+COUNTIF('8月'!DT33:DU33,D$263)+COUNTIF('8月'!DY33:DZ33,D$263)+COUNTIF('8月'!ED33:EE33,D$263)+COUNTIF('8月'!EI33:EJ33,D$263)+COUNTIF('8月'!EN33:EO33,D$263)+COUNTIF('8月'!ES33:ET33,D$263)</f>
        <v>0</v>
      </c>
      <c r="E294" s="76">
        <f t="shared" si="85"/>
        <v>0</v>
      </c>
      <c r="F294" s="76">
        <f>COUNTIF('8月'!D33:E33,F$263)+COUNTIF('8月'!I33:J33,F$263)+COUNTIF('8月'!N33:O33,F$263)+COUNTIF('8月'!S33:T33,F$263)+COUNTIF('8月'!X33:Y33,F$263)+COUNTIF('8月'!AC33:AD33,F$263)+COUNTIF('8月'!AH33:AI33,F$263)+COUNTIF('8月'!AM33:AN33,F$263)+COUNTIF('8月'!AR33:AS33,F$263)+COUNTIF('8月'!AW33:AX33,F$263)+COUNTIF('8月'!BB33:BC33,F$263)+COUNTIF('8月'!BG33:BH33,F$263)+COUNTIF('8月'!BL33:BM33,F$263)+COUNTIF('8月'!BQ33:BR33,F$263)+COUNTIF('8月'!BV33:BW33,F$263)+COUNTIF('8月'!CA33:CB33,F$263)+COUNTIF('8月'!CF33:CG33,F$263)+COUNTIF('8月'!CK33:CL33,F$263)+COUNTIF('8月'!CP33:CQ33,F$263)+COUNTIF('8月'!CU33:CV33,F$263)+COUNTIF('8月'!CZ33:DA33,F$263)+COUNTIF('8月'!DE33:DF33,F$263)+COUNTIF('8月'!DJ33:DK33,F$263)+COUNTIF('8月'!DO33:DP33,F$263)+COUNTIF('8月'!DT33:DU33,F$263)+COUNTIF('8月'!DY33:DZ33,F$263)+COUNTIF('8月'!ED33:EE33,F$263)+COUNTIF('8月'!EI33:EJ33,F$263)+COUNTIF('8月'!EN33:EO33,F$263)+COUNTIF('8月'!ES33:ET33,F$263)</f>
        <v>0</v>
      </c>
      <c r="G294" s="76">
        <f t="shared" si="86"/>
        <v>0</v>
      </c>
      <c r="H294" s="76">
        <f>COUNTIF('8月'!D33:E33,H$263)+COUNTIF('8月'!I33:J33,H$263)+COUNTIF('8月'!N33:O33,H$263)+COUNTIF('8月'!S33:T33,H$263)+COUNTIF('8月'!X33:Y33,H$263)+COUNTIF('8月'!AC33:AD33,H$263)+COUNTIF('8月'!AH33:AI33,H$263)+COUNTIF('8月'!AM33:AN33,H$263)+COUNTIF('8月'!AR33:AS33,H$263)+COUNTIF('8月'!AW33:AX33,H$263)+COUNTIF('8月'!BB33:BC33,H$263)+COUNTIF('8月'!BG33:BH33,H$263)+COUNTIF('8月'!BL33:BM33,H$263)+COUNTIF('8月'!BQ33:BR33,H$263)+COUNTIF('8月'!BV33:BW33,H$263)+COUNTIF('8月'!CA33:CB33,H$263)+COUNTIF('8月'!CF33:CG33,H$263)+COUNTIF('8月'!CK33:CL33,H$263)+COUNTIF('8月'!CP33:CQ33,H$263)+COUNTIF('8月'!CU33:CV33,H$263)+COUNTIF('8月'!CZ33:DA33,H$263)+COUNTIF('8月'!DE33:DF33,H$263)+COUNTIF('8月'!DJ33:DK33,H$263)+COUNTIF('8月'!DO33:DP33,H$263)+COUNTIF('8月'!DT33:DU33,H$263)+COUNTIF('8月'!DY33:DZ33,H$263)+COUNTIF('8月'!ED33:EE33,H$263)+COUNTIF('8月'!EI33:EJ33,H$263)+COUNTIF('8月'!EN33:EO33,H$263)+COUNTIF('8月'!ES33:ET33,H$263)+COUNTIF('8月'!D33:E33,"渋谷-夜勤")+COUNTIF('8月'!I33:J33,"渋谷-夜勤")+COUNTIF('8月'!N33:O33,"渋谷-夜勤")+COUNTIF('8月'!S33:T33,"渋谷-夜勤")+COUNTIF('8月'!X33:Y33,"渋谷-夜勤")+COUNTIF('8月'!AC33:AD33,"渋谷-夜勤")+COUNTIF('8月'!AH33:AI33,"渋谷-夜勤")+COUNTIF('8月'!AM33:AN33,"渋谷-夜勤")+COUNTIF('8月'!AR33:AS33,"渋谷-夜勤")+COUNTIF('8月'!AW33:AX33,"渋谷-夜勤")+COUNTIF('8月'!BB33:BC33,"渋谷-夜勤")+COUNTIF('8月'!BG33:BH33,"渋谷-夜勤")+COUNTIF('8月'!BL33:BM33,"渋谷-夜勤")+COUNTIF('8月'!BQ33:BR33,"渋谷-夜勤")+COUNTIF('8月'!BV33:BW33,"渋谷-夜勤")+COUNTIF('8月'!CA33:CB33,"渋谷-夜勤")+COUNTIF('8月'!CF33:CG33,"渋谷-夜勤")+COUNTIF('8月'!CK33:CL33,"渋谷-夜勤")+COUNTIF('8月'!CP33:CQ33,"渋谷-夜勤")+COUNTIF('8月'!CU33:CV33,"渋谷-夜勤")+COUNTIF('8月'!CZ33:DA33,"渋谷-夜勤")+COUNTIF('8月'!DE33:DF33,"渋谷-夜勤")+COUNTIF('8月'!DJ33:DK33,"渋谷-夜勤")+COUNTIF('8月'!DO33:DP33,"渋谷-夜勤")+COUNTIF('8月'!DT33:DU33,"渋谷-夜勤")+COUNTIF('8月'!DY33:DZ33,"渋谷-夜勤")+COUNTIF('8月'!ED33:EE33,"渋谷-夜勤")+COUNTIF('8月'!EI33:EJ33,"渋谷-夜勤")+COUNTIF('8月'!EN33:EO33,"渋谷-夜勤")+COUNTIF('8月'!ES33:ET33,"渋谷-夜勤")</f>
        <v>0</v>
      </c>
      <c r="I294" s="76">
        <f t="shared" si="87"/>
        <v>0</v>
      </c>
      <c r="J294" s="76">
        <f>COUNTIF('8月'!D33:E33,J$263)+COUNTIF('8月'!I33:J33,J$263)+COUNTIF('8月'!N33:O33,J$263)+COUNTIF('8月'!S33:T33,J$263)+COUNTIF('8月'!X33:Y33,J$263)+COUNTIF('8月'!AC33:AD33,J$263)+COUNTIF('8月'!AH33:AI33,J$263)+COUNTIF('8月'!AM33:AN33,J$263)+COUNTIF('8月'!AR33:AS33,J$263)+COUNTIF('8月'!AW33:AX33,J$263)+COUNTIF('8月'!BB33:BC33,J$263)+COUNTIF('8月'!BG33:BH33,J$263)+COUNTIF('8月'!BL33:BM33,J$263)+COUNTIF('8月'!BQ33:BR33,J$263)+COUNTIF('8月'!BV33:BW33,J$263)+COUNTIF('8月'!CA33:CB33,J$263)+COUNTIF('8月'!CF33:CG33,J$263)+COUNTIF('8月'!CK33:CL33,J$263)+COUNTIF('8月'!CP33:CQ33,J$263)+COUNTIF('8月'!CU33:CV33,J$263)+COUNTIF('8月'!CZ33:DA33,J$263)+COUNTIF('8月'!DE33:DF33,J$263)+COUNTIF('8月'!DJ33:DK33,J$263)+COUNTIF('8月'!DO33:DP33,J$263)+COUNTIF('8月'!DT33:DU33,J$263)+COUNTIF('8月'!DY33:DZ33,J$263)+COUNTIF('8月'!ED33:EE33,J$263)+COUNTIF('8月'!EI33:EJ33,J$263)+COUNTIF('8月'!EN33:EO33,J$263)+COUNTIF('8月'!ES33:ET33,J$263)+COUNTIF('8月'!D33:E33,"六本木-夜勤")+COUNTIF('8月'!I33:J33,"六本木-夜勤")+COUNTIF('8月'!N33:O33,"六本木-夜勤")+COUNTIF('8月'!S33:T33,"六本木-夜勤")+COUNTIF('8月'!X33:Y33,"六本木-夜勤")+COUNTIF('8月'!AC33:AD33,"六本木-夜勤")+COUNTIF('8月'!AH33:AI33,"六本木-夜勤")+COUNTIF('8月'!AM33:AN33,"六本木-夜勤")+COUNTIF('8月'!AR33:AS33,"六本木-夜勤")+COUNTIF('8月'!AW33:AX33,"六本木-夜勤")+COUNTIF('8月'!BB33:BC33,"六本木-夜勤")+COUNTIF('8月'!BG33:BH33,"六本木-夜勤")+COUNTIF('8月'!BL33:BM33,"六本木-夜勤")+COUNTIF('8月'!BQ33:BR33,"六本木-夜勤")+COUNTIF('8月'!BV33:BW33,"六本木-夜勤")+COUNTIF('8月'!CA33:CB33,"六本木-夜勤")+COUNTIF('8月'!CF33:CG33,"六本木-夜勤")+COUNTIF('8月'!CK33:CL33,"六本木-夜勤")+COUNTIF('8月'!CP33:CQ33,"六本木-夜勤")+COUNTIF('8月'!CU33:CV33,"六本木-夜勤")+COUNTIF('8月'!CZ33:DA33,"六本木-夜勤")+COUNTIF('8月'!DE33:DF33,"六本木-夜勤")+COUNTIF('8月'!DJ33:DK33,"六本木-夜勤")+COUNTIF('8月'!DO33:DP33,"六本木-夜勤")+COUNTIF('8月'!DT33:DU33,"六本木-夜勤")+COUNTIF('8月'!DY33:DZ33,"六本木-夜勤")+COUNTIF('8月'!ED33:EE33,"六本木-夜勤")+COUNTIF('8月'!EI33:EJ33,"六本木-夜勤")+COUNTIF('8月'!EN33:EO33,"六本木-夜勤")+COUNTIF('8月'!ES33:ET33,"六本木-夜勤")+COUNTIF('8月'!D33:E33,"六本木ー夜勤")+COUNTIF('8月'!I33:J33,"六本木ー夜勤")+COUNTIF('8月'!N33:O33,"六本木ー夜勤")+COUNTIF('8月'!S33:T33,"六本木ー夜勤")+COUNTIF('8月'!X33:Y33,"六本木ー夜勤")+COUNTIF('8月'!AC33:AD33,"六本木ー夜勤")+COUNTIF('8月'!AH33:AI33,"六本木ー夜勤")+COUNTIF('8月'!AM33:AN33,"六本木ー夜勤")+COUNTIF('8月'!AR33:AS33,"六本木ー夜勤")+COUNTIF('8月'!AW33:AX33,"六本木ー夜勤")+COUNTIF('8月'!BB33:BC33,"六本木ー夜勤")+COUNTIF('8月'!BG33:BH33,"六本木ー夜勤")+COUNTIF('8月'!BL33:BM33,"六本木ー夜勤")+COUNTIF('8月'!BQ33:BR33,"六本木ー夜勤")+COUNTIF('8月'!BV33:BW33,"六本木ー夜勤")+COUNTIF('8月'!CA33:CB33,"六本木ー夜勤")+COUNTIF('8月'!CF33:CG33,"六本木ー夜勤")+COUNTIF('8月'!CK33:CL33,"六本木ー夜勤")+COUNTIF('8月'!CP33:CQ33,"六本木ー夜勤")+COUNTIF('8月'!CU33:CV33,"六本木ー夜勤")+COUNTIF('8月'!CZ33:DA33,"六本木ー夜勤")+COUNTIF('8月'!DE33:DF33,"六本木ー夜勤")+COUNTIF('8月'!DJ33:DK33,"六本木ー夜勤")+COUNTIF('8月'!DO33:DP33,"六本木ー夜勤")+COUNTIF('8月'!DT33:DU33,"六本木ー夜勤")+COUNTIF('8月'!DY33:DZ33,"六本木ー夜勤")+COUNTIF('8月'!ED33:EE33,"六本木ー夜勤")+COUNTIF('8月'!EI33:EJ33,"六本木ー夜勤")+COUNTIF('8月'!EN33:EO33,"六本木ー夜勤")+COUNTIF('8月'!ES33:ET33,"六本木ー夜勤")</f>
        <v>0</v>
      </c>
      <c r="K294" s="76">
        <f t="shared" si="88"/>
        <v>0</v>
      </c>
      <c r="L294" s="76">
        <f>COUNTIF('8月'!D33:E33,L$263)+COUNTIF('8月'!I33:J33,L$263)+COUNTIF('8月'!N33:O33,L$263)+COUNTIF('8月'!S33:T33,L$263)+COUNTIF('8月'!X33:Y33,L$263)+COUNTIF('8月'!AC33:AD33,L$263)+COUNTIF('8月'!AH33:AI33,L$263)+COUNTIF('8月'!AM33:AN33,L$263)+COUNTIF('8月'!AR33:AS33,L$263)+COUNTIF('8月'!AW33:AX33,L$263)+COUNTIF('8月'!BB33:BC33,L$263)+COUNTIF('8月'!BG33:BH33,L$263)+COUNTIF('8月'!BL33:BM33,L$263)+COUNTIF('8月'!BQ33:BR33,L$263)+COUNTIF('8月'!BV33:BW33,L$263)+COUNTIF('8月'!CA33:CB33,L$263)+COUNTIF('8月'!CF33:CG33,L$263)+COUNTIF('8月'!CK33:CL33,L$263)+COUNTIF('8月'!CP33:CQ33,L$263)+COUNTIF('8月'!CU33:CV33,L$263)+COUNTIF('8月'!CZ33:DA33,L$263)+COUNTIF('8月'!DE33:DF33,L$263)+COUNTIF('8月'!DJ33:DK33,L$263)+COUNTIF('8月'!DO33:DP33,L$263)+COUNTIF('8月'!DT33:DU33,L$263)+COUNTIF('8月'!DY33:DZ33,L$263)+COUNTIF('8月'!ED33:EE33,L$263)+COUNTIF('8月'!EI33:EJ33,L$263)+COUNTIF('8月'!EN33:EO33,L$263)+COUNTIF('8月'!ES33:ET33,L$263)</f>
        <v>0</v>
      </c>
      <c r="M294" s="76">
        <f t="shared" si="89"/>
        <v>0</v>
      </c>
      <c r="N294" s="76">
        <f>COUNTIF('8月'!D33:E33,N$263)+COUNTIF('8月'!I33:J33,N$263)+COUNTIF('8月'!N33:O33,N$263)+COUNTIF('8月'!S33:T33,N$263)+COUNTIF('8月'!X33:Y33,N$263)+COUNTIF('8月'!AC33:AD33,N$263)+COUNTIF('8月'!AH33:AI33,N$263)+COUNTIF('8月'!AM33:AN33,N$263)+COUNTIF('8月'!AR33:AS33,N$263)+COUNTIF('8月'!AW33:AX33,N$263)+COUNTIF('8月'!BB33:BC33,N$263)+COUNTIF('8月'!BG33:BH33,N$263)+COUNTIF('8月'!BL33:BM33,N$263)+COUNTIF('8月'!BQ33:BR33,N$263)+COUNTIF('8月'!BV33:BW33,N$263)+COUNTIF('8月'!CA33:CB33,N$263)+COUNTIF('8月'!CF33:CG33,N$263)+COUNTIF('8月'!CK33:CL33,N$263)+COUNTIF('8月'!CP33:CQ33,N$263)+COUNTIF('8月'!CU33:CV33,N$263)+COUNTIF('8月'!CZ33:DA33,N$263)+COUNTIF('8月'!DE33:DF33,N$263)+COUNTIF('8月'!DJ33:DK33,N$263)+COUNTIF('8月'!DO33:DP33,N$263)+COUNTIF('8月'!DT33:DU33,N$263)+COUNTIF('8月'!DY33:DZ33,N$263)+COUNTIF('8月'!ED33:EE33,N$263)+COUNTIF('8月'!EI33:EJ33,N$263)+COUNTIF('8月'!EN33:EO33,N$263)+COUNTIF('8月'!ES33:ET33,N$263)+COUNTIF('8月'!D33:E33,"三軒茶屋－夜勤")+COUNTIF('8月'!I33:J33,"三軒茶屋－夜勤")+COUNTIF('8月'!N33:O33,"三軒茶屋－夜勤")+COUNTIF('8月'!S33:T33,"三軒茶屋－夜勤")+COUNTIF('8月'!X33:Y33,"三軒茶屋－夜勤")+COUNTIF('8月'!AC33:AD33,"三軒茶屋－夜勤")+COUNTIF('8月'!AH33:AI33,"三軒茶屋－夜勤")+COUNTIF('8月'!AM33:AN33,"三軒茶屋－夜勤")+COUNTIF('8月'!AR33:AS33,"三軒茶屋－夜勤")+COUNTIF('8月'!AW33:AX33,"三軒茶屋－夜勤")+COUNTIF('8月'!BB33:BC33,"三軒茶屋－夜勤")+COUNTIF('8月'!BG33:BH33,"三軒茶屋－夜勤")+COUNTIF('8月'!BL33:BM33,"三軒茶屋－夜勤")+COUNTIF('8月'!BQ33:BR33,"三軒茶屋－夜勤")+COUNTIF('8月'!BV33:BW33,"三軒茶屋－夜勤")+COUNTIF('8月'!CA33:CB33,"三軒茶屋－夜勤")+COUNTIF('8月'!CF33:CG33,"三軒茶屋－夜勤")+COUNTIF('8月'!CK33:CL33,"三軒茶屋－夜勤")+COUNTIF('8月'!CP33:CQ33,"三軒茶屋－夜勤")+COUNTIF('8月'!CU33:CV33,"三軒茶屋－夜勤")+COUNTIF('8月'!CZ33:DA33,"三軒茶屋－夜勤")+COUNTIF('8月'!DE33:DF33,"三軒茶屋－夜勤")+COUNTIF('8月'!DJ33:DK33,"三軒茶屋－夜勤")+COUNTIF('8月'!DO33:DP33,"三軒茶屋－夜勤")+COUNTIF('8月'!DT33:DU33,"三軒茶屋－夜勤")+COUNTIF('8月'!DY33:DZ33,"三軒茶屋－夜勤")+COUNTIF('8月'!ED33:EE33,"三軒茶屋－夜勤")+COUNTIF('8月'!EI33:EJ33,"三軒茶屋－夜勤")+COUNTIF('8月'!EN33:EO33,"三軒茶屋－夜勤")+COUNTIF('8月'!ES33:ET33,"三軒茶屋－夜勤")</f>
        <v>0</v>
      </c>
      <c r="O294" s="76">
        <f t="shared" si="90"/>
        <v>0</v>
      </c>
      <c r="P294" s="76">
        <f>COUNTIF('8月'!D33:E33,P$263)+COUNTIF('8月'!I33:J33,P$263)+COUNTIF('8月'!N33:O33,P$263)+COUNTIF('8月'!S33:T33,P$263)+COUNTIF('8月'!X33:Y33,P$263)+COUNTIF('8月'!AC33:AD33,P$263)+COUNTIF('8月'!AH33:AI33,P$263)+COUNTIF('8月'!AM33:AN33,P$263)+COUNTIF('8月'!AR33:AS33,P$263)+COUNTIF('8月'!AW33:AX33,P$263)+COUNTIF('8月'!BB33:BC33,P$263)+COUNTIF('8月'!BG33:BH33,P$263)+COUNTIF('8月'!BL33:BM33,P$263)+COUNTIF('8月'!BQ33:BR33,P$263)+COUNTIF('8月'!BV33:BW33,P$263)+COUNTIF('8月'!CA33:CB33,P$263)+COUNTIF('8月'!CF33:CG33,P$263)+COUNTIF('8月'!CK33:CL33,P$263)+COUNTIF('8月'!CP33:CQ33,P$263)+COUNTIF('8月'!CU33:CV33,P$263)+COUNTIF('8月'!CZ33:DA33,P$263)+COUNTIF('8月'!DE33:DF33,P$263)+COUNTIF('8月'!DJ33:DK33,P$263)+COUNTIF('8月'!DO33:DP33,P$263)+COUNTIF('8月'!DT33:DU33,P$263)+COUNTIF('8月'!DY33:DZ33,P$263)+COUNTIF('8月'!ED33:EE33,P$263)+COUNTIF('8月'!EI33:EJ33,P$263)+COUNTIF('8月'!EN33:EO33,P$263)+COUNTIF('8月'!ES33:ET33,P$263)+COUNTIF('8月'!D33:E33,"荻窪ー夜勤")+COUNTIF('8月'!I33:J33,"荻窪ー夜勤")+COUNTIF('8月'!N33:O33,"荻窪ー夜勤")+COUNTIF('8月'!S33:T33,"荻窪ー夜勤")+COUNTIF('8月'!X33:Y33,"荻窪ー夜勤")+COUNTIF('8月'!AC33:AD33,"荻窪ー夜勤")+COUNTIF('8月'!AH33:AI33,"荻窪ー夜勤")+COUNTIF('8月'!AM33:AN33,"荻窪ー夜勤")+COUNTIF('8月'!AR33:AS33,"荻窪ー夜勤")+COUNTIF('8月'!AW33:AX33,"荻窪ー夜勤")+COUNTIF('8月'!BB33:BC33,"荻窪ー夜勤")+COUNTIF('8月'!BG33:BH33,"荻窪ー夜勤")+COUNTIF('8月'!BL33:BM33,"荻窪ー夜勤")+COUNTIF('8月'!BQ33:BR33,"荻窪ー夜勤")+COUNTIF('8月'!BV33:BW33,"荻窪ー夜勤")+COUNTIF('8月'!CA33:CB33,"荻窪ー夜勤")+COUNTIF('8月'!CF33:CG33,"荻窪ー夜勤")+COUNTIF('8月'!CK33:CL33,"荻窪ー夜勤")+COUNTIF('8月'!CP33:CQ33,"荻窪ー夜勤")+COUNTIF('8月'!CU33:CV33,"荻窪ー夜勤")+COUNTIF('8月'!CZ33:DA33,"荻窪ー夜勤")+COUNTIF('8月'!DE33:DF33,"荻窪ー夜勤")+COUNTIF('8月'!DJ33:DK33,"荻窪ー夜勤")+COUNTIF('8月'!DO33:DP33,"荻窪ー夜勤")+COUNTIF('8月'!DT33:DU33,"荻窪ー夜勤")+COUNTIF('8月'!DY33:DZ33,"荻窪ー夜勤")+COUNTIF('8月'!ED33:EE33,"荻窪ー夜勤")+COUNTIF('8月'!EI33:EJ33,"荻窪ー夜勤")+COUNTIF('8月'!EN33:EO33,"荻窪ー夜勤")+COUNTIF('8月'!ES33:ET33,"荻窪ー夜勤")</f>
        <v>0</v>
      </c>
      <c r="Q294" s="76">
        <f t="shared" si="91"/>
        <v>0</v>
      </c>
      <c r="R294" s="76">
        <f>COUNTIF('8月'!D33:E33,R$263)+COUNTIF('8月'!I33:J33,R$263)+COUNTIF('8月'!N33:O33,R$263)+COUNTIF('8月'!S33:T33,R$263)+COUNTIF('8月'!X33:Y33,R$263)+COUNTIF('8月'!AC33:AD33,R$263)+COUNTIF('8月'!AH33:AI33,R$263)+COUNTIF('8月'!AM33:AN33,R$263)+COUNTIF('8月'!AR33:AS33,R$263)+COUNTIF('8月'!AW33:AX33,R$263)+COUNTIF('8月'!BB33:BC33,R$263)+COUNTIF('8月'!BG33:BH33,R$263)+COUNTIF('8月'!BL33:BM33,R$263)+COUNTIF('8月'!BQ33:BR33,R$263)+COUNTIF('8月'!BV33:BW33,R$263)+COUNTIF('8月'!CA33:CB33,R$263)+COUNTIF('8月'!CF33:CG33,R$263)+COUNTIF('8月'!CK33:CL33,R$263)+COUNTIF('8月'!CP33:CQ33,R$263)+COUNTIF('8月'!CU33:CV33,R$263)+COUNTIF('8月'!CZ33:DA33,R$263)+COUNTIF('8月'!DE33:DF33,R$263)+COUNTIF('8月'!DJ33:DK33,R$263)+COUNTIF('8月'!DO33:DP33,R$263)+COUNTIF('8月'!DT33:DU33,R$263)+COUNTIF('8月'!DY33:DZ33,R$263)+COUNTIF('8月'!ED33:EE33,R$263)+COUNTIF('8月'!EI33:EJ33,R$263)+COUNTIF('8月'!EN33:EO33,R$263)+COUNTIF('8月'!ES33:ET33,R$263)</f>
        <v>0</v>
      </c>
      <c r="S294" s="76">
        <f t="shared" si="92"/>
        <v>0</v>
      </c>
      <c r="T294" s="76">
        <f>COUNTIF('8月'!D33:E33,T$263)+COUNTIF('8月'!I33:J33,T$263)+COUNTIF('8月'!N33:O33,T$263)+COUNTIF('8月'!S33:T33,T$263)+COUNTIF('8月'!X33:Y33,T$263)+COUNTIF('8月'!AC33:AD33,T$263)+COUNTIF('8月'!AH33:AI33,T$263)+COUNTIF('8月'!AM33:AN33,T$263)+COUNTIF('8月'!AR33:AS33,T$263)+COUNTIF('8月'!AW33:AX33,T$263)+COUNTIF('8月'!BB33:BC33,T$263)+COUNTIF('8月'!BG33:BH33,T$263)+COUNTIF('8月'!BL33:BM33,T$263)+COUNTIF('8月'!BQ33:BR33,T$263)+COUNTIF('8月'!BV33:BW33,T$263)+COUNTIF('8月'!CA33:CB33,T$263)+COUNTIF('8月'!CF33:CG33,T$263)+COUNTIF('8月'!CK33:CL33,T$263)+COUNTIF('8月'!CP33:CQ33,T$263)+COUNTIF('8月'!CU33:CV33,T$263)+COUNTIF('8月'!CZ33:DA33,T$263)+COUNTIF('8月'!DE33:DF33,T$263)+COUNTIF('8月'!DJ33:DK33,T$263)+COUNTIF('8月'!DO33:DP33,T$263)+COUNTIF('8月'!DT33:DU33,T$263)+COUNTIF('8月'!DY33:DZ33,T$263)+COUNTIF('8月'!ED33:EE33,T$263)+COUNTIF('8月'!EI33:EJ33,T$263)+COUNTIF('8月'!EN33:EO33,T$263)+COUNTIF('8月'!ES33:ET33,T$263)</f>
        <v>0</v>
      </c>
      <c r="U294" s="76">
        <f t="shared" si="93"/>
        <v>0</v>
      </c>
      <c r="V294" s="76">
        <f>COUNTIF('8月'!D33:E33,V$263)+COUNTIF('8月'!I33:J33,V$263)+COUNTIF('8月'!N33:O33,V$263)+COUNTIF('8月'!S33:T33,V$263)+COUNTIF('8月'!X33:Y33,V$263)+COUNTIF('8月'!AC33:AD33,V$263)+COUNTIF('8月'!AH33:AI33,V$263)+COUNTIF('8月'!AM33:AN33,V$263)+COUNTIF('8月'!AR33:AS33,V$263)+COUNTIF('8月'!AW33:AX33,V$263)+COUNTIF('8月'!BB33:BC33,V$263)+COUNTIF('8月'!BG33:BH33,V$263)+COUNTIF('8月'!BL33:BM33,V$263)+COUNTIF('8月'!BQ33:BR33,V$263)+COUNTIF('8月'!BV33:BW33,V$263)+COUNTIF('8月'!CA33:CB33,V$263)+COUNTIF('8月'!CF33:CG33,V$263)+COUNTIF('8月'!CK33:CL33,V$263)+COUNTIF('8月'!CP33:CQ33,V$263)+COUNTIF('8月'!CU33:CV33,V$263)+COUNTIF('8月'!CZ33:DA33,V$263)+COUNTIF('8月'!DE33:DF33,V$263)+COUNTIF('8月'!DJ33:DK33,V$263)+COUNTIF('8月'!DO33:DP33,V$263)+COUNTIF('8月'!DT33:DU33,V$263)+COUNTIF('8月'!DY33:DZ33,V$263)+COUNTIF('8月'!ED33:EE33,V$263)+COUNTIF('8月'!EI33:EJ33,V$263)+COUNTIF('8月'!EN33:EO33,V$263)+COUNTIF('8月'!ES33:ET33,V$263)</f>
        <v>0</v>
      </c>
      <c r="W294" s="76">
        <f t="shared" si="94"/>
        <v>0</v>
      </c>
      <c r="X294" s="76">
        <f>COUNTIF('8月'!D33:E33,X$263)+COUNTIF('8月'!I33:J33,X$263)+COUNTIF('8月'!N33:O33,X$263)+COUNTIF('8月'!S33:T33,X$263)+COUNTIF('8月'!X33:Y33,X$263)+COUNTIF('8月'!AC33:AD33,X$263)+COUNTIF('8月'!AH33:AI33,X$263)+COUNTIF('8月'!AM33:AN33,X$263)+COUNTIF('8月'!AR33:AS33,X$263)+COUNTIF('8月'!AW33:AX33,X$263)+COUNTIF('8月'!BB33:BC33,X$263)+COUNTIF('8月'!BG33:BH33,X$263)+COUNTIF('8月'!BL33:BM33,X$263)+COUNTIF('8月'!BQ33:BR33,X$263)+COUNTIF('8月'!BV33:BW33,X$263)+COUNTIF('8月'!CA33:CB33,X$263)+COUNTIF('8月'!CF33:CG33,X$263)+COUNTIF('8月'!CK33:CL33,X$263)+COUNTIF('8月'!CP33:CQ33,X$263)+COUNTIF('8月'!CU33:CV33,X$263)+COUNTIF('8月'!CZ33:DA33,X$263)+COUNTIF('8月'!DE33:DF33,X$263)+COUNTIF('8月'!DJ33:DK33,X$263)+COUNTIF('8月'!DO33:DP33,X$263)+COUNTIF('8月'!DT33:DU33,X$263)+COUNTIF('8月'!DY33:DZ33,X$263)+COUNTIF('8月'!ED33:EE33,X$263)+COUNTIF('8月'!EI33:EJ33,X$263)+COUNTIF('8月'!EN33:EO33,X$263)+COUNTIF('8月'!ES33:ET33,X$263)</f>
        <v>0</v>
      </c>
      <c r="Y294" s="76">
        <f t="shared" si="95"/>
        <v>0</v>
      </c>
    </row>
    <row r="295" spans="1:25" ht="18" customHeight="1">
      <c r="A295" s="76">
        <v>31</v>
      </c>
      <c r="B295" s="76">
        <f>COUNTIF('8月'!D34:E34,B$263)+COUNTIF('8月'!I34:J34,B$263)+COUNTIF('8月'!N34:O34,B$263)+COUNTIF('8月'!S34:T34,B$263)+COUNTIF('8月'!X34:Y34,B$263)+COUNTIF('8月'!AC34:AD34,B$263)+COUNTIF('8月'!AH34:AI34,B$263)+COUNTIF('8月'!AM34:AN34,B$263)+COUNTIF('8月'!AR34:AS34,B$263)+COUNTIF('8月'!AW34:AX34,B$263)+COUNTIF('8月'!BB34:BC34,B$263)+COUNTIF('8月'!BG34:BH34,B$263)+COUNTIF('8月'!BL34:BM34,B$263)+COUNTIF('8月'!BQ34:BR34,B$263)+COUNTIF('8月'!BV34:BW34,B$263)+COUNTIF('8月'!CA34:CB34,B$263)+COUNTIF('8月'!CF34:CG34,B$263)+COUNTIF('8月'!CK34:CL34,B$263)+COUNTIF('8月'!CP34:CQ34,B$263)+COUNTIF('8月'!CU34:CV34,B$263)+COUNTIF('8月'!CZ34:DA34,B$263)+COUNTIF('8月'!DE34:DF34,B$263)+COUNTIF('8月'!DJ34:DK34,B$263)+COUNTIF('8月'!DO34:DP34,B$263)+COUNTIF('8月'!DT34:DU34,B$263)+COUNTIF('8月'!DY34:DZ34,B$263)+COUNTIF('8月'!ED34:EE34,B$263)+COUNTIF('8月'!EI34:EJ34,B$263)+COUNTIF('8月'!EN34:EO34,B$263)+COUNTIF('8月'!ES34:ET34,B$263)</f>
        <v>0</v>
      </c>
      <c r="C295" s="76">
        <f t="shared" si="84"/>
        <v>0</v>
      </c>
      <c r="D295" s="76">
        <f>COUNTIF('8月'!D34:E34,D$263)+COUNTIF('8月'!I34:J34,D$263)+COUNTIF('8月'!N34:O34,D$263)+COUNTIF('8月'!S34:T34,D$263)+COUNTIF('8月'!X34:Y34,D$263)+COUNTIF('8月'!AC34:AD34,D$263)+COUNTIF('8月'!AH34:AI34,D$263)+COUNTIF('8月'!AM34:AN34,D$263)+COUNTIF('8月'!AR34:AS34,D$263)+COUNTIF('8月'!AW34:AX34,D$263)+COUNTIF('8月'!BB34:BC34,D$263)+COUNTIF('8月'!BG34:BH34,D$263)+COUNTIF('8月'!BL34:BM34,D$263)+COUNTIF('8月'!BQ34:BR34,D$263)+COUNTIF('8月'!BV34:BW34,D$263)+COUNTIF('8月'!CA34:CB34,D$263)+COUNTIF('8月'!CF34:CG34,D$263)+COUNTIF('8月'!CK34:CL34,D$263)+COUNTIF('8月'!CP34:CQ34,D$263)+COUNTIF('8月'!CU34:CV34,D$263)+COUNTIF('8月'!CZ34:DA34,D$263)+COUNTIF('8月'!DE34:DF34,D$263)+COUNTIF('8月'!DJ34:DK34,D$263)+COUNTIF('8月'!DO34:DP34,D$263)+COUNTIF('8月'!DT34:DU34,D$263)+COUNTIF('8月'!DY34:DZ34,D$263)+COUNTIF('8月'!ED34:EE34,D$263)+COUNTIF('8月'!EI34:EJ34,D$263)+COUNTIF('8月'!EN34:EO34,D$263)+COUNTIF('8月'!ES34:ET34,D$263)</f>
        <v>0</v>
      </c>
      <c r="E295" s="76">
        <f t="shared" si="85"/>
        <v>0</v>
      </c>
      <c r="F295" s="76">
        <f>COUNTIF('8月'!D34:E34,F$263)+COUNTIF('8月'!I34:J34,F$263)+COUNTIF('8月'!N34:O34,F$263)+COUNTIF('8月'!S34:T34,F$263)+COUNTIF('8月'!X34:Y34,F$263)+COUNTIF('8月'!AC34:AD34,F$263)+COUNTIF('8月'!AH34:AI34,F$263)+COUNTIF('8月'!AM34:AN34,F$263)+COUNTIF('8月'!AR34:AS34,F$263)+COUNTIF('8月'!AW34:AX34,F$263)+COUNTIF('8月'!BB34:BC34,F$263)+COUNTIF('8月'!BG34:BH34,F$263)+COUNTIF('8月'!BL34:BM34,F$263)+COUNTIF('8月'!BQ34:BR34,F$263)+COUNTIF('8月'!BV34:BW34,F$263)+COUNTIF('8月'!CA34:CB34,F$263)+COUNTIF('8月'!CF34:CG34,F$263)+COUNTIF('8月'!CK34:CL34,F$263)+COUNTIF('8月'!CP34:CQ34,F$263)+COUNTIF('8月'!CU34:CV34,F$263)+COUNTIF('8月'!CZ34:DA34,F$263)+COUNTIF('8月'!DE34:DF34,F$263)+COUNTIF('8月'!DJ34:DK34,F$263)+COUNTIF('8月'!DO34:DP34,F$263)+COUNTIF('8月'!DT34:DU34,F$263)+COUNTIF('8月'!DY34:DZ34,F$263)+COUNTIF('8月'!ED34:EE34,F$263)+COUNTIF('8月'!EI34:EJ34,F$263)+COUNTIF('8月'!EN34:EO34,F$263)+COUNTIF('8月'!ES34:ET34,F$263)</f>
        <v>0</v>
      </c>
      <c r="G295" s="76">
        <f t="shared" si="86"/>
        <v>0</v>
      </c>
      <c r="H295" s="76">
        <f>COUNTIF('8月'!D34:E34,H$263)+COUNTIF('8月'!I34:J34,H$263)+COUNTIF('8月'!N34:O34,H$263)+COUNTIF('8月'!S34:T34,H$263)+COUNTIF('8月'!X34:Y34,H$263)+COUNTIF('8月'!AC34:AD34,H$263)+COUNTIF('8月'!AH34:AI34,H$263)+COUNTIF('8月'!AM34:AN34,H$263)+COUNTIF('8月'!AR34:AS34,H$263)+COUNTIF('8月'!AW34:AX34,H$263)+COUNTIF('8月'!BB34:BC34,H$263)+COUNTIF('8月'!BG34:BH34,H$263)+COUNTIF('8月'!BL34:BM34,H$263)+COUNTIF('8月'!BQ34:BR34,H$263)+COUNTIF('8月'!BV34:BW34,H$263)+COUNTIF('8月'!CA34:CB34,H$263)+COUNTIF('8月'!CF34:CG34,H$263)+COUNTIF('8月'!CK34:CL34,H$263)+COUNTIF('8月'!CP34:CQ34,H$263)+COUNTIF('8月'!CU34:CV34,H$263)+COUNTIF('8月'!CZ34:DA34,H$263)+COUNTIF('8月'!DE34:DF34,H$263)+COUNTIF('8月'!DJ34:DK34,H$263)+COUNTIF('8月'!DO34:DP34,H$263)+COUNTIF('8月'!DT34:DU34,H$263)+COUNTIF('8月'!DY34:DZ34,H$263)+COUNTIF('8月'!ED34:EE34,H$263)+COUNTIF('8月'!EI34:EJ34,H$263)+COUNTIF('8月'!EN34:EO34,H$263)+COUNTIF('8月'!ES34:ET34,H$263)+COUNTIF('8月'!D34:E34,"渋谷-夜勤")+COUNTIF('8月'!I34:J34,"渋谷-夜勤")+COUNTIF('8月'!N34:O34,"渋谷-夜勤")+COUNTIF('8月'!S34:T34,"渋谷-夜勤")+COUNTIF('8月'!X34:Y34,"渋谷-夜勤")+COUNTIF('8月'!AC34:AD34,"渋谷-夜勤")+COUNTIF('8月'!AH34:AI34,"渋谷-夜勤")+COUNTIF('8月'!AM34:AN34,"渋谷-夜勤")+COUNTIF('8月'!AR34:AS34,"渋谷-夜勤")+COUNTIF('8月'!AW34:AX34,"渋谷-夜勤")+COUNTIF('8月'!BB34:BC34,"渋谷-夜勤")+COUNTIF('8月'!BG34:BH34,"渋谷-夜勤")+COUNTIF('8月'!BL34:BM34,"渋谷-夜勤")+COUNTIF('8月'!BQ34:BR34,"渋谷-夜勤")+COUNTIF('8月'!BV34:BW34,"渋谷-夜勤")+COUNTIF('8月'!CA34:CB34,"渋谷-夜勤")+COUNTIF('8月'!CF34:CG34,"渋谷-夜勤")+COUNTIF('8月'!CK34:CL34,"渋谷-夜勤")+COUNTIF('8月'!CP34:CQ34,"渋谷-夜勤")+COUNTIF('8月'!CU34:CV34,"渋谷-夜勤")+COUNTIF('8月'!CZ34:DA34,"渋谷-夜勤")+COUNTIF('8月'!DE34:DF34,"渋谷-夜勤")+COUNTIF('8月'!DJ34:DK34,"渋谷-夜勤")+COUNTIF('8月'!DO34:DP34,"渋谷-夜勤")+COUNTIF('8月'!DT34:DU34,"渋谷-夜勤")+COUNTIF('8月'!DY34:DZ34,"渋谷-夜勤")+COUNTIF('8月'!ED34:EE34,"渋谷-夜勤")+COUNTIF('8月'!EI34:EJ34,"渋谷-夜勤")+COUNTIF('8月'!EN34:EO34,"渋谷-夜勤")+COUNTIF('8月'!ES34:ET34,"渋谷-夜勤")</f>
        <v>0</v>
      </c>
      <c r="I295" s="76">
        <f t="shared" si="87"/>
        <v>0</v>
      </c>
      <c r="J295" s="76">
        <f>COUNTIF('8月'!D34:E34,J$263)+COUNTIF('8月'!I34:J34,J$263)+COUNTIF('8月'!N34:O34,J$263)+COUNTIF('8月'!S34:T34,J$263)+COUNTIF('8月'!X34:Y34,J$263)+COUNTIF('8月'!AC34:AD34,J$263)+COUNTIF('8月'!AH34:AI34,J$263)+COUNTIF('8月'!AM34:AN34,J$263)+COUNTIF('8月'!AR34:AS34,J$263)+COUNTIF('8月'!AW34:AX34,J$263)+COUNTIF('8月'!BB34:BC34,J$263)+COUNTIF('8月'!BG34:BH34,J$263)+COUNTIF('8月'!BL34:BM34,J$263)+COUNTIF('8月'!BQ34:BR34,J$263)+COUNTIF('8月'!BV34:BW34,J$263)+COUNTIF('8月'!CA34:CB34,J$263)+COUNTIF('8月'!CF34:CG34,J$263)+COUNTIF('8月'!CK34:CL34,J$263)+COUNTIF('8月'!CP34:CQ34,J$263)+COUNTIF('8月'!CU34:CV34,J$263)+COUNTIF('8月'!CZ34:DA34,J$263)+COUNTIF('8月'!DE34:DF34,J$263)+COUNTIF('8月'!DJ34:DK34,J$263)+COUNTIF('8月'!DO34:DP34,J$263)+COUNTIF('8月'!DT34:DU34,J$263)+COUNTIF('8月'!DY34:DZ34,J$263)+COUNTIF('8月'!ED34:EE34,J$263)+COUNTIF('8月'!EI34:EJ34,J$263)+COUNTIF('8月'!EN34:EO34,J$263)+COUNTIF('8月'!ES34:ET34,J$263)+COUNTIF('8月'!D34:E34,"六本木-夜勤")+COUNTIF('8月'!I34:J34,"六本木-夜勤")+COUNTIF('8月'!N34:O34,"六本木-夜勤")+COUNTIF('8月'!S34:T34,"六本木-夜勤")+COUNTIF('8月'!X34:Y34,"六本木-夜勤")+COUNTIF('8月'!AC34:AD34,"六本木-夜勤")+COUNTIF('8月'!AH34:AI34,"六本木-夜勤")+COUNTIF('8月'!AM34:AN34,"六本木-夜勤")+COUNTIF('8月'!AR34:AS34,"六本木-夜勤")+COUNTIF('8月'!AW34:AX34,"六本木-夜勤")+COUNTIF('8月'!BB34:BC34,"六本木-夜勤")+COUNTIF('8月'!BG34:BH34,"六本木-夜勤")+COUNTIF('8月'!BL34:BM34,"六本木-夜勤")+COUNTIF('8月'!BQ34:BR34,"六本木-夜勤")+COUNTIF('8月'!BV34:BW34,"六本木-夜勤")+COUNTIF('8月'!CA34:CB34,"六本木-夜勤")+COUNTIF('8月'!CF34:CG34,"六本木-夜勤")+COUNTIF('8月'!CK34:CL34,"六本木-夜勤")+COUNTIF('8月'!CP34:CQ34,"六本木-夜勤")+COUNTIF('8月'!CU34:CV34,"六本木-夜勤")+COUNTIF('8月'!CZ34:DA34,"六本木-夜勤")+COUNTIF('8月'!DE34:DF34,"六本木-夜勤")+COUNTIF('8月'!DJ34:DK34,"六本木-夜勤")+COUNTIF('8月'!DO34:DP34,"六本木-夜勤")+COUNTIF('8月'!DT34:DU34,"六本木-夜勤")+COUNTIF('8月'!DY34:DZ34,"六本木-夜勤")+COUNTIF('8月'!ED34:EE34,"六本木-夜勤")+COUNTIF('8月'!EI34:EJ34,"六本木-夜勤")+COUNTIF('8月'!EN34:EO34,"六本木-夜勤")+COUNTIF('8月'!ES34:ET34,"六本木-夜勤")+COUNTIF('8月'!D34:E34,"六本木ー夜勤")+COUNTIF('8月'!I34:J34,"六本木ー夜勤")+COUNTIF('8月'!N34:O34,"六本木ー夜勤")+COUNTIF('8月'!S34:T34,"六本木ー夜勤")+COUNTIF('8月'!X34:Y34,"六本木ー夜勤")+COUNTIF('8月'!AC34:AD34,"六本木ー夜勤")+COUNTIF('8月'!AH34:AI34,"六本木ー夜勤")+COUNTIF('8月'!AM34:AN34,"六本木ー夜勤")+COUNTIF('8月'!AR34:AS34,"六本木ー夜勤")+COUNTIF('8月'!AW34:AX34,"六本木ー夜勤")+COUNTIF('8月'!BB34:BC34,"六本木ー夜勤")+COUNTIF('8月'!BG34:BH34,"六本木ー夜勤")+COUNTIF('8月'!BL34:BM34,"六本木ー夜勤")+COUNTIF('8月'!BQ34:BR34,"六本木ー夜勤")+COUNTIF('8月'!BV34:BW34,"六本木ー夜勤")+COUNTIF('8月'!CA34:CB34,"六本木ー夜勤")+COUNTIF('8月'!CF34:CG34,"六本木ー夜勤")+COUNTIF('8月'!CK34:CL34,"六本木ー夜勤")+COUNTIF('8月'!CP34:CQ34,"六本木ー夜勤")+COUNTIF('8月'!CU34:CV34,"六本木ー夜勤")+COUNTIF('8月'!CZ34:DA34,"六本木ー夜勤")+COUNTIF('8月'!DE34:DF34,"六本木ー夜勤")+COUNTIF('8月'!DJ34:DK34,"六本木ー夜勤")+COUNTIF('8月'!DO34:DP34,"六本木ー夜勤")+COUNTIF('8月'!DT34:DU34,"六本木ー夜勤")+COUNTIF('8月'!DY34:DZ34,"六本木ー夜勤")+COUNTIF('8月'!ED34:EE34,"六本木ー夜勤")+COUNTIF('8月'!EI34:EJ34,"六本木ー夜勤")+COUNTIF('8月'!EN34:EO34,"六本木ー夜勤")+COUNTIF('8月'!ES34:ET34,"六本木ー夜勤")</f>
        <v>0</v>
      </c>
      <c r="K295" s="76">
        <f t="shared" si="88"/>
        <v>0</v>
      </c>
      <c r="L295" s="76">
        <f>COUNTIF('8月'!D34:E34,L$263)+COUNTIF('8月'!I34:J34,L$263)+COUNTIF('8月'!N34:O34,L$263)+COUNTIF('8月'!S34:T34,L$263)+COUNTIF('8月'!X34:Y34,L$263)+COUNTIF('8月'!AC34:AD34,L$263)+COUNTIF('8月'!AH34:AI34,L$263)+COUNTIF('8月'!AM34:AN34,L$263)+COUNTIF('8月'!AR34:AS34,L$263)+COUNTIF('8月'!AW34:AX34,L$263)+COUNTIF('8月'!BB34:BC34,L$263)+COUNTIF('8月'!BG34:BH34,L$263)+COUNTIF('8月'!BL34:BM34,L$263)+COUNTIF('8月'!BQ34:BR34,L$263)+COUNTIF('8月'!BV34:BW34,L$263)+COUNTIF('8月'!CA34:CB34,L$263)+COUNTIF('8月'!CF34:CG34,L$263)+COUNTIF('8月'!CK34:CL34,L$263)+COUNTIF('8月'!CP34:CQ34,L$263)+COUNTIF('8月'!CU34:CV34,L$263)+COUNTIF('8月'!CZ34:DA34,L$263)+COUNTIF('8月'!DE34:DF34,L$263)+COUNTIF('8月'!DJ34:DK34,L$263)+COUNTIF('8月'!DO34:DP34,L$263)+COUNTIF('8月'!DT34:DU34,L$263)+COUNTIF('8月'!DY34:DZ34,L$263)+COUNTIF('8月'!ED34:EE34,L$263)+COUNTIF('8月'!EI34:EJ34,L$263)+COUNTIF('8月'!EN34:EO34,L$263)+COUNTIF('8月'!ES34:ET34,L$263)</f>
        <v>0</v>
      </c>
      <c r="M295" s="76">
        <f t="shared" si="89"/>
        <v>0</v>
      </c>
      <c r="N295" s="76">
        <f>COUNTIF('8月'!D34:E34,N$263)+COUNTIF('8月'!I34:J34,N$263)+COUNTIF('8月'!N34:O34,N$263)+COUNTIF('8月'!S34:T34,N$263)+COUNTIF('8月'!X34:Y34,N$263)+COUNTIF('8月'!AC34:AD34,N$263)+COUNTIF('8月'!AH34:AI34,N$263)+COUNTIF('8月'!AM34:AN34,N$263)+COUNTIF('8月'!AR34:AS34,N$263)+COUNTIF('8月'!AW34:AX34,N$263)+COUNTIF('8月'!BB34:BC34,N$263)+COUNTIF('8月'!BG34:BH34,N$263)+COUNTIF('8月'!BL34:BM34,N$263)+COUNTIF('8月'!BQ34:BR34,N$263)+COUNTIF('8月'!BV34:BW34,N$263)+COUNTIF('8月'!CA34:CB34,N$263)+COUNTIF('8月'!CF34:CG34,N$263)+COUNTIF('8月'!CK34:CL34,N$263)+COUNTIF('8月'!CP34:CQ34,N$263)+COUNTIF('8月'!CU34:CV34,N$263)+COUNTIF('8月'!CZ34:DA34,N$263)+COUNTIF('8月'!DE34:DF34,N$263)+COUNTIF('8月'!DJ34:DK34,N$263)+COUNTIF('8月'!DO34:DP34,N$263)+COUNTIF('8月'!DT34:DU34,N$263)+COUNTIF('8月'!DY34:DZ34,N$263)+COUNTIF('8月'!ED34:EE34,N$263)+COUNTIF('8月'!EI34:EJ34,N$263)+COUNTIF('8月'!EN34:EO34,N$263)+COUNTIF('8月'!ES34:ET34,N$263)+COUNTIF('8月'!D34:E34,"三軒茶屋－夜勤")+COUNTIF('8月'!I34:J34,"三軒茶屋－夜勤")+COUNTIF('8月'!N34:O34,"三軒茶屋－夜勤")+COUNTIF('8月'!S34:T34,"三軒茶屋－夜勤")+COUNTIF('8月'!X34:Y34,"三軒茶屋－夜勤")+COUNTIF('8月'!AC34:AD34,"三軒茶屋－夜勤")+COUNTIF('8月'!AH34:AI34,"三軒茶屋－夜勤")+COUNTIF('8月'!AM34:AN34,"三軒茶屋－夜勤")+COUNTIF('8月'!AR34:AS34,"三軒茶屋－夜勤")+COUNTIF('8月'!AW34:AX34,"三軒茶屋－夜勤")+COUNTIF('8月'!BB34:BC34,"三軒茶屋－夜勤")+COUNTIF('8月'!BG34:BH34,"三軒茶屋－夜勤")+COUNTIF('8月'!BL34:BM34,"三軒茶屋－夜勤")+COUNTIF('8月'!BQ34:BR34,"三軒茶屋－夜勤")+COUNTIF('8月'!BV34:BW34,"三軒茶屋－夜勤")+COUNTIF('8月'!CA34:CB34,"三軒茶屋－夜勤")+COUNTIF('8月'!CF34:CG34,"三軒茶屋－夜勤")+COUNTIF('8月'!CK34:CL34,"三軒茶屋－夜勤")+COUNTIF('8月'!CP34:CQ34,"三軒茶屋－夜勤")+COUNTIF('8月'!CU34:CV34,"三軒茶屋－夜勤")+COUNTIF('8月'!CZ34:DA34,"三軒茶屋－夜勤")+COUNTIF('8月'!DE34:DF34,"三軒茶屋－夜勤")+COUNTIF('8月'!DJ34:DK34,"三軒茶屋－夜勤")+COUNTIF('8月'!DO34:DP34,"三軒茶屋－夜勤")+COUNTIF('8月'!DT34:DU34,"三軒茶屋－夜勤")+COUNTIF('8月'!DY34:DZ34,"三軒茶屋－夜勤")+COUNTIF('8月'!ED34:EE34,"三軒茶屋－夜勤")+COUNTIF('8月'!EI34:EJ34,"三軒茶屋－夜勤")+COUNTIF('8月'!EN34:EO34,"三軒茶屋－夜勤")+COUNTIF('8月'!ES34:ET34,"三軒茶屋－夜勤")</f>
        <v>0</v>
      </c>
      <c r="O295" s="76">
        <f t="shared" si="90"/>
        <v>0</v>
      </c>
      <c r="P295" s="76">
        <f>COUNTIF('8月'!D34:E34,P$263)+COUNTIF('8月'!I34:J34,P$263)+COUNTIF('8月'!N34:O34,P$263)+COUNTIF('8月'!S34:T34,P$263)+COUNTIF('8月'!X34:Y34,P$263)+COUNTIF('8月'!AC34:AD34,P$263)+COUNTIF('8月'!AH34:AI34,P$263)+COUNTIF('8月'!AM34:AN34,P$263)+COUNTIF('8月'!AR34:AS34,P$263)+COUNTIF('8月'!AW34:AX34,P$263)+COUNTIF('8月'!BB34:BC34,P$263)+COUNTIF('8月'!BG34:BH34,P$263)+COUNTIF('8月'!BL34:BM34,P$263)+COUNTIF('8月'!BQ34:BR34,P$263)+COUNTIF('8月'!BV34:BW34,P$263)+COUNTIF('8月'!CA34:CB34,P$263)+COUNTIF('8月'!CF34:CG34,P$263)+COUNTIF('8月'!CK34:CL34,P$263)+COUNTIF('8月'!CP34:CQ34,P$263)+COUNTIF('8月'!CU34:CV34,P$263)+COUNTIF('8月'!CZ34:DA34,P$263)+COUNTIF('8月'!DE34:DF34,P$263)+COUNTIF('8月'!DJ34:DK34,P$263)+COUNTIF('8月'!DO34:DP34,P$263)+COUNTIF('8月'!DT34:DU34,P$263)+COUNTIF('8月'!DY34:DZ34,P$263)+COUNTIF('8月'!ED34:EE34,P$263)+COUNTIF('8月'!EI34:EJ34,P$263)+COUNTIF('8月'!EN34:EO34,P$263)+COUNTIF('8月'!ES34:ET34,P$263)+COUNTIF('8月'!D34:E34,"荻窪ー夜勤")+COUNTIF('8月'!I34:J34,"荻窪ー夜勤")+COUNTIF('8月'!N34:O34,"荻窪ー夜勤")+COUNTIF('8月'!S34:T34,"荻窪ー夜勤")+COUNTIF('8月'!X34:Y34,"荻窪ー夜勤")+COUNTIF('8月'!AC34:AD34,"荻窪ー夜勤")+COUNTIF('8月'!AH34:AI34,"荻窪ー夜勤")+COUNTIF('8月'!AM34:AN34,"荻窪ー夜勤")+COUNTIF('8月'!AR34:AS34,"荻窪ー夜勤")+COUNTIF('8月'!AW34:AX34,"荻窪ー夜勤")+COUNTIF('8月'!BB34:BC34,"荻窪ー夜勤")+COUNTIF('8月'!BG34:BH34,"荻窪ー夜勤")+COUNTIF('8月'!BL34:BM34,"荻窪ー夜勤")+COUNTIF('8月'!BQ34:BR34,"荻窪ー夜勤")+COUNTIF('8月'!BV34:BW34,"荻窪ー夜勤")+COUNTIF('8月'!CA34:CB34,"荻窪ー夜勤")+COUNTIF('8月'!CF34:CG34,"荻窪ー夜勤")+COUNTIF('8月'!CK34:CL34,"荻窪ー夜勤")+COUNTIF('8月'!CP34:CQ34,"荻窪ー夜勤")+COUNTIF('8月'!CU34:CV34,"荻窪ー夜勤")+COUNTIF('8月'!CZ34:DA34,"荻窪ー夜勤")+COUNTIF('8月'!DE34:DF34,"荻窪ー夜勤")+COUNTIF('8月'!DJ34:DK34,"荻窪ー夜勤")+COUNTIF('8月'!DO34:DP34,"荻窪ー夜勤")+COUNTIF('8月'!DT34:DU34,"荻窪ー夜勤")+COUNTIF('8月'!DY34:DZ34,"荻窪ー夜勤")+COUNTIF('8月'!ED34:EE34,"荻窪ー夜勤")+COUNTIF('8月'!EI34:EJ34,"荻窪ー夜勤")+COUNTIF('8月'!EN34:EO34,"荻窪ー夜勤")+COUNTIF('8月'!ES34:ET34,"荻窪ー夜勤")</f>
        <v>0</v>
      </c>
      <c r="Q295" s="76">
        <f t="shared" si="91"/>
        <v>0</v>
      </c>
      <c r="R295" s="76">
        <f>COUNTIF('8月'!D34:E34,R$263)+COUNTIF('8月'!I34:J34,R$263)+COUNTIF('8月'!N34:O34,R$263)+COUNTIF('8月'!S34:T34,R$263)+COUNTIF('8月'!X34:Y34,R$263)+COUNTIF('8月'!AC34:AD34,R$263)+COUNTIF('8月'!AH34:AI34,R$263)+COUNTIF('8月'!AM34:AN34,R$263)+COUNTIF('8月'!AR34:AS34,R$263)+COUNTIF('8月'!AW34:AX34,R$263)+COUNTIF('8月'!BB34:BC34,R$263)+COUNTIF('8月'!BG34:BH34,R$263)+COUNTIF('8月'!BL34:BM34,R$263)+COUNTIF('8月'!BQ34:BR34,R$263)+COUNTIF('8月'!BV34:BW34,R$263)+COUNTIF('8月'!CA34:CB34,R$263)+COUNTIF('8月'!CF34:CG34,R$263)+COUNTIF('8月'!CK34:CL34,R$263)+COUNTIF('8月'!CP34:CQ34,R$263)+COUNTIF('8月'!CU34:CV34,R$263)+COUNTIF('8月'!CZ34:DA34,R$263)+COUNTIF('8月'!DE34:DF34,R$263)+COUNTIF('8月'!DJ34:DK34,R$263)+COUNTIF('8月'!DO34:DP34,R$263)+COUNTIF('8月'!DT34:DU34,R$263)+COUNTIF('8月'!DY34:DZ34,R$263)+COUNTIF('8月'!ED34:EE34,R$263)+COUNTIF('8月'!EI34:EJ34,R$263)+COUNTIF('8月'!EN34:EO34,R$263)+COUNTIF('8月'!ES34:ET34,R$263)</f>
        <v>0</v>
      </c>
      <c r="S295" s="76">
        <f t="shared" si="92"/>
        <v>0</v>
      </c>
      <c r="T295" s="76">
        <f>COUNTIF('8月'!D34:E34,T$263)+COUNTIF('8月'!I34:J34,T$263)+COUNTIF('8月'!N34:O34,T$263)+COUNTIF('8月'!S34:T34,T$263)+COUNTIF('8月'!X34:Y34,T$263)+COUNTIF('8月'!AC34:AD34,T$263)+COUNTIF('8月'!AH34:AI34,T$263)+COUNTIF('8月'!AM34:AN34,T$263)+COUNTIF('8月'!AR34:AS34,T$263)+COUNTIF('8月'!AW34:AX34,T$263)+COUNTIF('8月'!BB34:BC34,T$263)+COUNTIF('8月'!BG34:BH34,T$263)+COUNTIF('8月'!BL34:BM34,T$263)+COUNTIF('8月'!BQ34:BR34,T$263)+COUNTIF('8月'!BV34:BW34,T$263)+COUNTIF('8月'!CA34:CB34,T$263)+COUNTIF('8月'!CF34:CG34,T$263)+COUNTIF('8月'!CK34:CL34,T$263)+COUNTIF('8月'!CP34:CQ34,T$263)+COUNTIF('8月'!CU34:CV34,T$263)+COUNTIF('8月'!CZ34:DA34,T$263)+COUNTIF('8月'!DE34:DF34,T$263)+COUNTIF('8月'!DJ34:DK34,T$263)+COUNTIF('8月'!DO34:DP34,T$263)+COUNTIF('8月'!DT34:DU34,T$263)+COUNTIF('8月'!DY34:DZ34,T$263)+COUNTIF('8月'!ED34:EE34,T$263)+COUNTIF('8月'!EI34:EJ34,T$263)+COUNTIF('8月'!EN34:EO34,T$263)+COUNTIF('8月'!ES34:ET34,T$263)</f>
        <v>0</v>
      </c>
      <c r="U295" s="76">
        <f t="shared" si="93"/>
        <v>0</v>
      </c>
      <c r="V295" s="76">
        <f>COUNTIF('8月'!D34:E34,V$263)+COUNTIF('8月'!I34:J34,V$263)+COUNTIF('8月'!N34:O34,V$263)+COUNTIF('8月'!S34:T34,V$263)+COUNTIF('8月'!X34:Y34,V$263)+COUNTIF('8月'!AC34:AD34,V$263)+COUNTIF('8月'!AH34:AI34,V$263)+COUNTIF('8月'!AM34:AN34,V$263)+COUNTIF('8月'!AR34:AS34,V$263)+COUNTIF('8月'!AW34:AX34,V$263)+COUNTIF('8月'!BB34:BC34,V$263)+COUNTIF('8月'!BG34:BH34,V$263)+COUNTIF('8月'!BL34:BM34,V$263)+COUNTIF('8月'!BQ34:BR34,V$263)+COUNTIF('8月'!BV34:BW34,V$263)+COUNTIF('8月'!CA34:CB34,V$263)+COUNTIF('8月'!CF34:CG34,V$263)+COUNTIF('8月'!CK34:CL34,V$263)+COUNTIF('8月'!CP34:CQ34,V$263)+COUNTIF('8月'!CU34:CV34,V$263)+COUNTIF('8月'!CZ34:DA34,V$263)+COUNTIF('8月'!DE34:DF34,V$263)+COUNTIF('8月'!DJ34:DK34,V$263)+COUNTIF('8月'!DO34:DP34,V$263)+COUNTIF('8月'!DT34:DU34,V$263)+COUNTIF('8月'!DY34:DZ34,V$263)+COUNTIF('8月'!ED34:EE34,V$263)+COUNTIF('8月'!EI34:EJ34,V$263)+COUNTIF('8月'!EN34:EO34,V$263)+COUNTIF('8月'!ES34:ET34,V$263)</f>
        <v>0</v>
      </c>
      <c r="W295" s="76">
        <f t="shared" si="94"/>
        <v>0</v>
      </c>
      <c r="X295" s="76">
        <f>COUNTIF('8月'!D34:E34,X$263)+COUNTIF('8月'!I34:J34,X$263)+COUNTIF('8月'!N34:O34,X$263)+COUNTIF('8月'!S34:T34,X$263)+COUNTIF('8月'!X34:Y34,X$263)+COUNTIF('8月'!AC34:AD34,X$263)+COUNTIF('8月'!AH34:AI34,X$263)+COUNTIF('8月'!AM34:AN34,X$263)+COUNTIF('8月'!AR34:AS34,X$263)+COUNTIF('8月'!AW34:AX34,X$263)+COUNTIF('8月'!BB34:BC34,X$263)+COUNTIF('8月'!BG34:BH34,X$263)+COUNTIF('8月'!BL34:BM34,X$263)+COUNTIF('8月'!BQ34:BR34,X$263)+COUNTIF('8月'!BV34:BW34,X$263)+COUNTIF('8月'!CA34:CB34,X$263)+COUNTIF('8月'!CF34:CG34,X$263)+COUNTIF('8月'!CK34:CL34,X$263)+COUNTIF('8月'!CP34:CQ34,X$263)+COUNTIF('8月'!CU34:CV34,X$263)+COUNTIF('8月'!CZ34:DA34,X$263)+COUNTIF('8月'!DE34:DF34,X$263)+COUNTIF('8月'!DJ34:DK34,X$263)+COUNTIF('8月'!DO34:DP34,X$263)+COUNTIF('8月'!DT34:DU34,X$263)+COUNTIF('8月'!DY34:DZ34,X$263)+COUNTIF('8月'!ED34:EE34,X$263)+COUNTIF('8月'!EI34:EJ34,X$263)+COUNTIF('8月'!EN34:EO34,X$263)+COUNTIF('8月'!ES34:ET34,X$263)</f>
        <v>0</v>
      </c>
      <c r="Y295" s="76">
        <f t="shared" si="95"/>
        <v>0</v>
      </c>
    </row>
    <row r="296" spans="1:25" ht="21.95" customHeight="1">
      <c r="A296" s="65" t="s">
        <v>116</v>
      </c>
      <c r="B296" s="65">
        <f>SUM(B265:B295)</f>
        <v>0</v>
      </c>
      <c r="C296" s="65"/>
      <c r="D296" s="65">
        <f>SUM(D265:D295)</f>
        <v>0</v>
      </c>
      <c r="E296" s="65"/>
      <c r="F296" s="65">
        <f>SUM(F265:F295)</f>
        <v>0</v>
      </c>
      <c r="G296" s="65"/>
      <c r="H296" s="65">
        <f>SUM(H265:H295)</f>
        <v>0</v>
      </c>
      <c r="I296" s="65"/>
      <c r="J296" s="65">
        <f>SUM(J265:J295)</f>
        <v>0</v>
      </c>
      <c r="K296" s="65"/>
      <c r="L296" s="65">
        <f>SUM(L265:L295)</f>
        <v>0</v>
      </c>
      <c r="M296" s="65"/>
      <c r="N296" s="65">
        <f>SUM(N265:N295)</f>
        <v>0</v>
      </c>
      <c r="O296" s="65"/>
      <c r="P296" s="65">
        <f>SUM(P265:P295)</f>
        <v>0</v>
      </c>
      <c r="Q296" s="65"/>
      <c r="R296" s="65">
        <f>SUM(R265:R295)</f>
        <v>0</v>
      </c>
      <c r="S296" s="65"/>
      <c r="T296" s="65">
        <f>SUM(T265:T295)</f>
        <v>0</v>
      </c>
      <c r="U296" s="65"/>
      <c r="V296" s="65">
        <f>SUM(V265:V295)</f>
        <v>0</v>
      </c>
      <c r="W296" s="65"/>
      <c r="X296" s="65">
        <f>SUM(X265:X295)</f>
        <v>0</v>
      </c>
      <c r="Y296" s="65"/>
    </row>
    <row r="297" spans="1:25" ht="21.95" customHeight="1">
      <c r="A297" s="65" t="s">
        <v>117</v>
      </c>
      <c r="B297" s="65">
        <f>SUM('8月'!H4:H34)+SUM('8月'!M4:M34)+SUM('8月'!R4:R34)+SUM('8月'!W4:W34)+SUM('8月'!AB4:AB34)+SUM('8月'!AG4:AG34)+SUM('8月'!AL4:AL34)+SUM('8月'!AQ4:AQ34)+SUM('8月'!AV4:AV34)+SUM('8月'!BA4:BA34)+SUM('8月'!BF4:BF34)+SUM('8月'!BK4:BK34)+SUM('8月'!BP4:BP34)+SUM('8月'!BU4:BU34)+SUM('8月'!BZ4:BZ34)+SUM('8月'!CE4:CE34)+SUM('8月'!CJ4:CJ34)+SUM('8月'!CO4:CO34)+SUM('8月'!CT4:CT34)+SUM('8月'!CY4:CY34)+SUM('8月'!DD4:DD34)+SUM('8月'!DI4:DI34)+SUM('8月'!DN4:DN34)+SUM('8月'!DS4:DS34)+SUM('8月'!DX4:DX34)+SUM('8月'!EC4:EC34)+SUM('8月'!EH4:EH34)+SUM('8月'!EM4:EM34)+SUM('8月'!ER4:ER34)+SUM('8月'!EW4:EW34)</f>
        <v>0</v>
      </c>
      <c r="C297" s="127" t="s">
        <v>118</v>
      </c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</row>
    <row r="298" spans="1:25" ht="9.9499999999999993" customHeight="1"/>
    <row r="299" spans="1:25" ht="21.95" customHeight="1">
      <c r="A299" s="112" t="str">
        <f>対象年度&amp;"年 9月分  30日締め"</f>
        <v>2026年 9月分  30日締め</v>
      </c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</row>
    <row r="300" spans="1:25" ht="21.95" customHeight="1">
      <c r="A300" s="60" t="s">
        <v>113</v>
      </c>
      <c r="B300" s="123" t="str">
        <f>IFERROR(現場マスタ!$C$4,"")</f>
        <v>新宿</v>
      </c>
      <c r="C300" s="123"/>
      <c r="D300" s="123" t="str">
        <f>IFERROR(現場マスタ!$C$5,"")</f>
        <v>赤坂</v>
      </c>
      <c r="E300" s="123"/>
      <c r="F300" s="123" t="str">
        <f>IFERROR(現場マスタ!$C$6,"")</f>
        <v>渋谷ヒカリエ</v>
      </c>
      <c r="G300" s="123"/>
      <c r="H300" s="123" t="str">
        <f>IFERROR(現場マスタ!$C$7,"")</f>
        <v>六本木ヒルズ</v>
      </c>
      <c r="I300" s="123"/>
      <c r="J300" s="123" t="str">
        <f>IFERROR(現場マスタ!$C$10,"")</f>
        <v>有給</v>
      </c>
      <c r="K300" s="123"/>
      <c r="L300" s="123">
        <f>IFERROR(現場マスタ!$C$12,"")</f>
        <v>0</v>
      </c>
      <c r="M300" s="123"/>
      <c r="N300" s="123">
        <f>IFERROR(現場マスタ!$C$16,"")</f>
        <v>0</v>
      </c>
      <c r="O300" s="123"/>
      <c r="P300" s="123">
        <f>IFERROR(現場マスタ!$C$17,"")</f>
        <v>0</v>
      </c>
      <c r="Q300" s="123"/>
      <c r="R300" s="123">
        <f>IFERROR(現場マスタ!$C$18,"")</f>
        <v>0</v>
      </c>
      <c r="S300" s="123"/>
      <c r="T300" s="123">
        <f>IFERROR(現場マスタ!$C$20,"")</f>
        <v>0</v>
      </c>
      <c r="U300" s="123"/>
      <c r="V300" s="123">
        <f>IFERROR(現場マスタ!$C$21,"")</f>
        <v>0</v>
      </c>
      <c r="W300" s="123"/>
      <c r="X300" s="123">
        <f>IFERROR(現場マスタ!$C$22,"")</f>
        <v>0</v>
      </c>
      <c r="Y300" s="123"/>
    </row>
    <row r="301" spans="1:25" ht="20.100000000000001" customHeight="1">
      <c r="A301" s="60" t="s">
        <v>4</v>
      </c>
      <c r="B301" s="65" t="s">
        <v>114</v>
      </c>
      <c r="C301" s="65" t="s">
        <v>115</v>
      </c>
      <c r="D301" s="65" t="s">
        <v>114</v>
      </c>
      <c r="E301" s="65" t="s">
        <v>115</v>
      </c>
      <c r="F301" s="65" t="s">
        <v>114</v>
      </c>
      <c r="G301" s="65" t="s">
        <v>115</v>
      </c>
      <c r="H301" s="65" t="s">
        <v>114</v>
      </c>
      <c r="I301" s="65" t="s">
        <v>115</v>
      </c>
      <c r="J301" s="65" t="s">
        <v>114</v>
      </c>
      <c r="K301" s="65" t="s">
        <v>115</v>
      </c>
      <c r="L301" s="65" t="s">
        <v>114</v>
      </c>
      <c r="M301" s="65" t="s">
        <v>115</v>
      </c>
      <c r="N301" s="65" t="s">
        <v>114</v>
      </c>
      <c r="O301" s="65" t="s">
        <v>115</v>
      </c>
      <c r="P301" s="65" t="s">
        <v>114</v>
      </c>
      <c r="Q301" s="65" t="s">
        <v>115</v>
      </c>
      <c r="R301" s="65" t="s">
        <v>114</v>
      </c>
      <c r="S301" s="65" t="s">
        <v>115</v>
      </c>
      <c r="T301" s="65" t="s">
        <v>114</v>
      </c>
      <c r="U301" s="65" t="s">
        <v>115</v>
      </c>
      <c r="V301" s="65" t="s">
        <v>114</v>
      </c>
      <c r="W301" s="65" t="s">
        <v>115</v>
      </c>
      <c r="X301" s="65" t="s">
        <v>114</v>
      </c>
      <c r="Y301" s="65" t="s">
        <v>115</v>
      </c>
    </row>
    <row r="302" spans="1:25" ht="18" customHeight="1">
      <c r="A302" s="76">
        <v>1</v>
      </c>
      <c r="B302" s="76">
        <f>COUNTIF('9月'!D4:E4,B$300)+COUNTIF('9月'!I4:J4,B$300)+COUNTIF('9月'!N4:O4,B$300)+COUNTIF('9月'!S4:T4,B$300)+COUNTIF('9月'!X4:Y4,B$300)+COUNTIF('9月'!AC4:AD4,B$300)+COUNTIF('9月'!AH4:AI4,B$300)+COUNTIF('9月'!AM4:AN4,B$300)+COUNTIF('9月'!AR4:AS4,B$300)+COUNTIF('9月'!AW4:AX4,B$300)+COUNTIF('9月'!BB4:BC4,B$300)+COUNTIF('9月'!BG4:BH4,B$300)+COUNTIF('9月'!BL4:BM4,B$300)+COUNTIF('9月'!BQ4:BR4,B$300)+COUNTIF('9月'!BV4:BW4,B$300)+COUNTIF('9月'!CA4:CB4,B$300)+COUNTIF('9月'!CF4:CG4,B$300)+COUNTIF('9月'!CK4:CL4,B$300)+COUNTIF('9月'!CP4:CQ4,B$300)+COUNTIF('9月'!CU4:CV4,B$300)+COUNTIF('9月'!CZ4:DA4,B$300)+COUNTIF('9月'!DE4:DF4,B$300)+COUNTIF('9月'!DJ4:DK4,B$300)+COUNTIF('9月'!DO4:DP4,B$300)+COUNTIF('9月'!DT4:DU4,B$300)+COUNTIF('9月'!DY4:DZ4,B$300)+COUNTIF('9月'!ED4:EE4,B$300)+COUNTIF('9月'!EI4:EJ4,B$300)+COUNTIF('9月'!EN4:EO4,B$300)+COUNTIF('9月'!ES4:ET4,B$300)</f>
        <v>0</v>
      </c>
      <c r="C302" s="76">
        <f>IF(B302=0,0,B302)</f>
        <v>0</v>
      </c>
      <c r="D302" s="76">
        <f>COUNTIF('9月'!D4:E4,D$300)+COUNTIF('9月'!I4:J4,D$300)+COUNTIF('9月'!N4:O4,D$300)+COUNTIF('9月'!S4:T4,D$300)+COUNTIF('9月'!X4:Y4,D$300)+COUNTIF('9月'!AC4:AD4,D$300)+COUNTIF('9月'!AH4:AI4,D$300)+COUNTIF('9月'!AM4:AN4,D$300)+COUNTIF('9月'!AR4:AS4,D$300)+COUNTIF('9月'!AW4:AX4,D$300)+COUNTIF('9月'!BB4:BC4,D$300)+COUNTIF('9月'!BG4:BH4,D$300)+COUNTIF('9月'!BL4:BM4,D$300)+COUNTIF('9月'!BQ4:BR4,D$300)+COUNTIF('9月'!BV4:BW4,D$300)+COUNTIF('9月'!CA4:CB4,D$300)+COUNTIF('9月'!CF4:CG4,D$300)+COUNTIF('9月'!CK4:CL4,D$300)+COUNTIF('9月'!CP4:CQ4,D$300)+COUNTIF('9月'!CU4:CV4,D$300)+COUNTIF('9月'!CZ4:DA4,D$300)+COUNTIF('9月'!DE4:DF4,D$300)+COUNTIF('9月'!DJ4:DK4,D$300)+COUNTIF('9月'!DO4:DP4,D$300)+COUNTIF('9月'!DT4:DU4,D$300)+COUNTIF('9月'!DY4:DZ4,D$300)+COUNTIF('9月'!ED4:EE4,D$300)+COUNTIF('9月'!EI4:EJ4,D$300)+COUNTIF('9月'!EN4:EO4,D$300)+COUNTIF('9月'!ES4:ET4,D$300)</f>
        <v>0</v>
      </c>
      <c r="E302" s="76">
        <f>IF(D302=0,0,D302)</f>
        <v>0</v>
      </c>
      <c r="F302" s="76">
        <f>COUNTIF('9月'!D4:E4,F$300)+COUNTIF('9月'!I4:J4,F$300)+COUNTIF('9月'!N4:O4,F$300)+COUNTIF('9月'!S4:T4,F$300)+COUNTIF('9月'!X4:Y4,F$300)+COUNTIF('9月'!AC4:AD4,F$300)+COUNTIF('9月'!AH4:AI4,F$300)+COUNTIF('9月'!AM4:AN4,F$300)+COUNTIF('9月'!AR4:AS4,F$300)+COUNTIF('9月'!AW4:AX4,F$300)+COUNTIF('9月'!BB4:BC4,F$300)+COUNTIF('9月'!BG4:BH4,F$300)+COUNTIF('9月'!BL4:BM4,F$300)+COUNTIF('9月'!BQ4:BR4,F$300)+COUNTIF('9月'!BV4:BW4,F$300)+COUNTIF('9月'!CA4:CB4,F$300)+COUNTIF('9月'!CF4:CG4,F$300)+COUNTIF('9月'!CK4:CL4,F$300)+COUNTIF('9月'!CP4:CQ4,F$300)+COUNTIF('9月'!CU4:CV4,F$300)+COUNTIF('9月'!CZ4:DA4,F$300)+COUNTIF('9月'!DE4:DF4,F$300)+COUNTIF('9月'!DJ4:DK4,F$300)+COUNTIF('9月'!DO4:DP4,F$300)+COUNTIF('9月'!DT4:DU4,F$300)+COUNTIF('9月'!DY4:DZ4,F$300)+COUNTIF('9月'!ED4:EE4,F$300)+COUNTIF('9月'!EI4:EJ4,F$300)+COUNTIF('9月'!EN4:EO4,F$300)+COUNTIF('9月'!ES4:ET4,F$300)</f>
        <v>0</v>
      </c>
      <c r="G302" s="76">
        <f>IF(F302=0,0,F302)</f>
        <v>0</v>
      </c>
      <c r="H302" s="76">
        <f>COUNTIF('9月'!D4:E4,H$300)+COUNTIF('9月'!I4:J4,H$300)+COUNTIF('9月'!N4:O4,H$300)+COUNTIF('9月'!S4:T4,H$300)+COUNTIF('9月'!X4:Y4,H$300)+COUNTIF('9月'!AC4:AD4,H$300)+COUNTIF('9月'!AH4:AI4,H$300)+COUNTIF('9月'!AM4:AN4,H$300)+COUNTIF('9月'!AR4:AS4,H$300)+COUNTIF('9月'!AW4:AX4,H$300)+COUNTIF('9月'!BB4:BC4,H$300)+COUNTIF('9月'!BG4:BH4,H$300)+COUNTIF('9月'!BL4:BM4,H$300)+COUNTIF('9月'!BQ4:BR4,H$300)+COUNTIF('9月'!BV4:BW4,H$300)+COUNTIF('9月'!CA4:CB4,H$300)+COUNTIF('9月'!CF4:CG4,H$300)+COUNTIF('9月'!CK4:CL4,H$300)+COUNTIF('9月'!CP4:CQ4,H$300)+COUNTIF('9月'!CU4:CV4,H$300)+COUNTIF('9月'!CZ4:DA4,H$300)+COUNTIF('9月'!DE4:DF4,H$300)+COUNTIF('9月'!DJ4:DK4,H$300)+COUNTIF('9月'!DO4:DP4,H$300)+COUNTIF('9月'!DT4:DU4,H$300)+COUNTIF('9月'!DY4:DZ4,H$300)+COUNTIF('9月'!ED4:EE4,H$300)+COUNTIF('9月'!EI4:EJ4,H$300)+COUNTIF('9月'!EN4:EO4,H$300)+COUNTIF('9月'!ES4:ET4,H$300)+COUNTIF('9月'!D4:E4,"渋谷-夜勤")+COUNTIF('9月'!I4:J4,"渋谷-夜勤")+COUNTIF('9月'!N4:O4,"渋谷-夜勤")+COUNTIF('9月'!S4:T4,"渋谷-夜勤")+COUNTIF('9月'!X4:Y4,"渋谷-夜勤")+COUNTIF('9月'!AC4:AD4,"渋谷-夜勤")+COUNTIF('9月'!AH4:AI4,"渋谷-夜勤")+COUNTIF('9月'!AM4:AN4,"渋谷-夜勤")+COUNTIF('9月'!AR4:AS4,"渋谷-夜勤")+COUNTIF('9月'!AW4:AX4,"渋谷-夜勤")+COUNTIF('9月'!BB4:BC4,"渋谷-夜勤")+COUNTIF('9月'!BG4:BH4,"渋谷-夜勤")+COUNTIF('9月'!BL4:BM4,"渋谷-夜勤")+COUNTIF('9月'!BQ4:BR4,"渋谷-夜勤")+COUNTIF('9月'!BV4:BW4,"渋谷-夜勤")+COUNTIF('9月'!CA4:CB4,"渋谷-夜勤")+COUNTIF('9月'!CF4:CG4,"渋谷-夜勤")+COUNTIF('9月'!CK4:CL4,"渋谷-夜勤")+COUNTIF('9月'!CP4:CQ4,"渋谷-夜勤")+COUNTIF('9月'!CU4:CV4,"渋谷-夜勤")+COUNTIF('9月'!CZ4:DA4,"渋谷-夜勤")+COUNTIF('9月'!DE4:DF4,"渋谷-夜勤")+COUNTIF('9月'!DJ4:DK4,"渋谷-夜勤")+COUNTIF('9月'!DO4:DP4,"渋谷-夜勤")+COUNTIF('9月'!DT4:DU4,"渋谷-夜勤")+COUNTIF('9月'!DY4:DZ4,"渋谷-夜勤")+COUNTIF('9月'!ED4:EE4,"渋谷-夜勤")+COUNTIF('9月'!EI4:EJ4,"渋谷-夜勤")+COUNTIF('9月'!EN4:EO4,"渋谷-夜勤")+COUNTIF('9月'!ES4:ET4,"渋谷-夜勤")</f>
        <v>0</v>
      </c>
      <c r="I302" s="76">
        <f>IF(H302=0,0,H302)</f>
        <v>0</v>
      </c>
      <c r="J302" s="76">
        <f>COUNTIF('9月'!D4:E4,J$300)+COUNTIF('9月'!I4:J4,J$300)+COUNTIF('9月'!N4:O4,J$300)+COUNTIF('9月'!S4:T4,J$300)+COUNTIF('9月'!X4:Y4,J$300)+COUNTIF('9月'!AC4:AD4,J$300)+COUNTIF('9月'!AH4:AI4,J$300)+COUNTIF('9月'!AM4:AN4,J$300)+COUNTIF('9月'!AR4:AS4,J$300)+COUNTIF('9月'!AW4:AX4,J$300)+COUNTIF('9月'!BB4:BC4,J$300)+COUNTIF('9月'!BG4:BH4,J$300)+COUNTIF('9月'!BL4:BM4,J$300)+COUNTIF('9月'!BQ4:BR4,J$300)+COUNTIF('9月'!BV4:BW4,J$300)+COUNTIF('9月'!CA4:CB4,J$300)+COUNTIF('9月'!CF4:CG4,J$300)+COUNTIF('9月'!CK4:CL4,J$300)+COUNTIF('9月'!CP4:CQ4,J$300)+COUNTIF('9月'!CU4:CV4,J$300)+COUNTIF('9月'!CZ4:DA4,J$300)+COUNTIF('9月'!DE4:DF4,J$300)+COUNTIF('9月'!DJ4:DK4,J$300)+COUNTIF('9月'!DO4:DP4,J$300)+COUNTIF('9月'!DT4:DU4,J$300)+COUNTIF('9月'!DY4:DZ4,J$300)+COUNTIF('9月'!ED4:EE4,J$300)+COUNTIF('9月'!EI4:EJ4,J$300)+COUNTIF('9月'!EN4:EO4,J$300)+COUNTIF('9月'!ES4:ET4,J$300)+COUNTIF('9月'!D4:E4,"六本木-夜勤")+COUNTIF('9月'!I4:J4,"六本木-夜勤")+COUNTIF('9月'!N4:O4,"六本木-夜勤")+COUNTIF('9月'!S4:T4,"六本木-夜勤")+COUNTIF('9月'!X4:Y4,"六本木-夜勤")+COUNTIF('9月'!AC4:AD4,"六本木-夜勤")+COUNTIF('9月'!AH4:AI4,"六本木-夜勤")+COUNTIF('9月'!AM4:AN4,"六本木-夜勤")+COUNTIF('9月'!AR4:AS4,"六本木-夜勤")+COUNTIF('9月'!AW4:AX4,"六本木-夜勤")+COUNTIF('9月'!BB4:BC4,"六本木-夜勤")+COUNTIF('9月'!BG4:BH4,"六本木-夜勤")+COUNTIF('9月'!BL4:BM4,"六本木-夜勤")+COUNTIF('9月'!BQ4:BR4,"六本木-夜勤")+COUNTIF('9月'!BV4:BW4,"六本木-夜勤")+COUNTIF('9月'!CA4:CB4,"六本木-夜勤")+COUNTIF('9月'!CF4:CG4,"六本木-夜勤")+COUNTIF('9月'!CK4:CL4,"六本木-夜勤")+COUNTIF('9月'!CP4:CQ4,"六本木-夜勤")+COUNTIF('9月'!CU4:CV4,"六本木-夜勤")+COUNTIF('9月'!CZ4:DA4,"六本木-夜勤")+COUNTIF('9月'!DE4:DF4,"六本木-夜勤")+COUNTIF('9月'!DJ4:DK4,"六本木-夜勤")+COUNTIF('9月'!DO4:DP4,"六本木-夜勤")+COUNTIF('9月'!DT4:DU4,"六本木-夜勤")+COUNTIF('9月'!DY4:DZ4,"六本木-夜勤")+COUNTIF('9月'!ED4:EE4,"六本木-夜勤")+COUNTIF('9月'!EI4:EJ4,"六本木-夜勤")+COUNTIF('9月'!EN4:EO4,"六本木-夜勤")+COUNTIF('9月'!ES4:ET4,"六本木-夜勤")+COUNTIF('9月'!D4:E4,"六本木ー夜勤")+COUNTIF('9月'!I4:J4,"六本木ー夜勤")+COUNTIF('9月'!N4:O4,"六本木ー夜勤")+COUNTIF('9月'!S4:T4,"六本木ー夜勤")+COUNTIF('9月'!X4:Y4,"六本木ー夜勤")+COUNTIF('9月'!AC4:AD4,"六本木ー夜勤")+COUNTIF('9月'!AH4:AI4,"六本木ー夜勤")+COUNTIF('9月'!AM4:AN4,"六本木ー夜勤")+COUNTIF('9月'!AR4:AS4,"六本木ー夜勤")+COUNTIF('9月'!AW4:AX4,"六本木ー夜勤")+COUNTIF('9月'!BB4:BC4,"六本木ー夜勤")+COUNTIF('9月'!BG4:BH4,"六本木ー夜勤")+COUNTIF('9月'!BL4:BM4,"六本木ー夜勤")+COUNTIF('9月'!BQ4:BR4,"六本木ー夜勤")+COUNTIF('9月'!BV4:BW4,"六本木ー夜勤")+COUNTIF('9月'!CA4:CB4,"六本木ー夜勤")+COUNTIF('9月'!CF4:CG4,"六本木ー夜勤")+COUNTIF('9月'!CK4:CL4,"六本木ー夜勤")+COUNTIF('9月'!CP4:CQ4,"六本木ー夜勤")+COUNTIF('9月'!CU4:CV4,"六本木ー夜勤")+COUNTIF('9月'!CZ4:DA4,"六本木ー夜勤")+COUNTIF('9月'!DE4:DF4,"六本木ー夜勤")+COUNTIF('9月'!DJ4:DK4,"六本木ー夜勤")+COUNTIF('9月'!DO4:DP4,"六本木ー夜勤")+COUNTIF('9月'!DT4:DU4,"六本木ー夜勤")+COUNTIF('9月'!DY4:DZ4,"六本木ー夜勤")+COUNTIF('9月'!ED4:EE4,"六本木ー夜勤")+COUNTIF('9月'!EI4:EJ4,"六本木ー夜勤")+COUNTIF('9月'!EN4:EO4,"六本木ー夜勤")+COUNTIF('9月'!ES4:ET4,"六本木ー夜勤")</f>
        <v>0</v>
      </c>
      <c r="K302" s="76">
        <f>IF(J302=0,0,J302)</f>
        <v>0</v>
      </c>
      <c r="L302" s="76">
        <f>COUNTIF('9月'!D4:E4,L$300)+COUNTIF('9月'!I4:J4,L$300)+COUNTIF('9月'!N4:O4,L$300)+COUNTIF('9月'!S4:T4,L$300)+COUNTIF('9月'!X4:Y4,L$300)+COUNTIF('9月'!AC4:AD4,L$300)+COUNTIF('9月'!AH4:AI4,L$300)+COUNTIF('9月'!AM4:AN4,L$300)+COUNTIF('9月'!AR4:AS4,L$300)+COUNTIF('9月'!AW4:AX4,L$300)+COUNTIF('9月'!BB4:BC4,L$300)+COUNTIF('9月'!BG4:BH4,L$300)+COUNTIF('9月'!BL4:BM4,L$300)+COUNTIF('9月'!BQ4:BR4,L$300)+COUNTIF('9月'!BV4:BW4,L$300)+COUNTIF('9月'!CA4:CB4,L$300)+COUNTIF('9月'!CF4:CG4,L$300)+COUNTIF('9月'!CK4:CL4,L$300)+COUNTIF('9月'!CP4:CQ4,L$300)+COUNTIF('9月'!CU4:CV4,L$300)+COUNTIF('9月'!CZ4:DA4,L$300)+COUNTIF('9月'!DE4:DF4,L$300)+COUNTIF('9月'!DJ4:DK4,L$300)+COUNTIF('9月'!DO4:DP4,L$300)+COUNTIF('9月'!DT4:DU4,L$300)+COUNTIF('9月'!DY4:DZ4,L$300)+COUNTIF('9月'!ED4:EE4,L$300)+COUNTIF('9月'!EI4:EJ4,L$300)+COUNTIF('9月'!EN4:EO4,L$300)+COUNTIF('9月'!ES4:ET4,L$300)</f>
        <v>0</v>
      </c>
      <c r="M302" s="76">
        <f>IF(L302=0,0,L302)</f>
        <v>0</v>
      </c>
      <c r="N302" s="76">
        <f>COUNTIF('9月'!D4:E4,N$300)+COUNTIF('9月'!I4:J4,N$300)+COUNTIF('9月'!N4:O4,N$300)+COUNTIF('9月'!S4:T4,N$300)+COUNTIF('9月'!X4:Y4,N$300)+COUNTIF('9月'!AC4:AD4,N$300)+COUNTIF('9月'!AH4:AI4,N$300)+COUNTIF('9月'!AM4:AN4,N$300)+COUNTIF('9月'!AR4:AS4,N$300)+COUNTIF('9月'!AW4:AX4,N$300)+COUNTIF('9月'!BB4:BC4,N$300)+COUNTIF('9月'!BG4:BH4,N$300)+COUNTIF('9月'!BL4:BM4,N$300)+COUNTIF('9月'!BQ4:BR4,N$300)+COUNTIF('9月'!BV4:BW4,N$300)+COUNTIF('9月'!CA4:CB4,N$300)+COUNTIF('9月'!CF4:CG4,N$300)+COUNTIF('9月'!CK4:CL4,N$300)+COUNTIF('9月'!CP4:CQ4,N$300)+COUNTIF('9月'!CU4:CV4,N$300)+COUNTIF('9月'!CZ4:DA4,N$300)+COUNTIF('9月'!DE4:DF4,N$300)+COUNTIF('9月'!DJ4:DK4,N$300)+COUNTIF('9月'!DO4:DP4,N$300)+COUNTIF('9月'!DT4:DU4,N$300)+COUNTIF('9月'!DY4:DZ4,N$300)+COUNTIF('9月'!ED4:EE4,N$300)+COUNTIF('9月'!EI4:EJ4,N$300)+COUNTIF('9月'!EN4:EO4,N$300)+COUNTIF('9月'!ES4:ET4,N$300)+COUNTIF('9月'!D4:E4,"三軒茶屋－夜勤")+COUNTIF('9月'!I4:J4,"三軒茶屋－夜勤")+COUNTIF('9月'!N4:O4,"三軒茶屋－夜勤")+COUNTIF('9月'!S4:T4,"三軒茶屋－夜勤")+COUNTIF('9月'!X4:Y4,"三軒茶屋－夜勤")+COUNTIF('9月'!AC4:AD4,"三軒茶屋－夜勤")+COUNTIF('9月'!AH4:AI4,"三軒茶屋－夜勤")+COUNTIF('9月'!AM4:AN4,"三軒茶屋－夜勤")+COUNTIF('9月'!AR4:AS4,"三軒茶屋－夜勤")+COUNTIF('9月'!AW4:AX4,"三軒茶屋－夜勤")+COUNTIF('9月'!BB4:BC4,"三軒茶屋－夜勤")+COUNTIF('9月'!BG4:BH4,"三軒茶屋－夜勤")+COUNTIF('9月'!BL4:BM4,"三軒茶屋－夜勤")+COUNTIF('9月'!BQ4:BR4,"三軒茶屋－夜勤")+COUNTIF('9月'!BV4:BW4,"三軒茶屋－夜勤")+COUNTIF('9月'!CA4:CB4,"三軒茶屋－夜勤")+COUNTIF('9月'!CF4:CG4,"三軒茶屋－夜勤")+COUNTIF('9月'!CK4:CL4,"三軒茶屋－夜勤")+COUNTIF('9月'!CP4:CQ4,"三軒茶屋－夜勤")+COUNTIF('9月'!CU4:CV4,"三軒茶屋－夜勤")+COUNTIF('9月'!CZ4:DA4,"三軒茶屋－夜勤")+COUNTIF('9月'!DE4:DF4,"三軒茶屋－夜勤")+COUNTIF('9月'!DJ4:DK4,"三軒茶屋－夜勤")+COUNTIF('9月'!DO4:DP4,"三軒茶屋－夜勤")+COUNTIF('9月'!DT4:DU4,"三軒茶屋－夜勤")+COUNTIF('9月'!DY4:DZ4,"三軒茶屋－夜勤")+COUNTIF('9月'!ED4:EE4,"三軒茶屋－夜勤")+COUNTIF('9月'!EI4:EJ4,"三軒茶屋－夜勤")+COUNTIF('9月'!EN4:EO4,"三軒茶屋－夜勤")+COUNTIF('9月'!ES4:ET4,"三軒茶屋－夜勤")</f>
        <v>0</v>
      </c>
      <c r="O302" s="76">
        <f>IF(N302=0,0,N302)</f>
        <v>0</v>
      </c>
      <c r="P302" s="76">
        <f>COUNTIF('9月'!D4:E4,P$300)+COUNTIF('9月'!I4:J4,P$300)+COUNTIF('9月'!N4:O4,P$300)+COUNTIF('9月'!S4:T4,P$300)+COUNTIF('9月'!X4:Y4,P$300)+COUNTIF('9月'!AC4:AD4,P$300)+COUNTIF('9月'!AH4:AI4,P$300)+COUNTIF('9月'!AM4:AN4,P$300)+COUNTIF('9月'!AR4:AS4,P$300)+COUNTIF('9月'!AW4:AX4,P$300)+COUNTIF('9月'!BB4:BC4,P$300)+COUNTIF('9月'!BG4:BH4,P$300)+COUNTIF('9月'!BL4:BM4,P$300)+COUNTIF('9月'!BQ4:BR4,P$300)+COUNTIF('9月'!BV4:BW4,P$300)+COUNTIF('9月'!CA4:CB4,P$300)+COUNTIF('9月'!CF4:CG4,P$300)+COUNTIF('9月'!CK4:CL4,P$300)+COUNTIF('9月'!CP4:CQ4,P$300)+COUNTIF('9月'!CU4:CV4,P$300)+COUNTIF('9月'!CZ4:DA4,P$300)+COUNTIF('9月'!DE4:DF4,P$300)+COUNTIF('9月'!DJ4:DK4,P$300)+COUNTIF('9月'!DO4:DP4,P$300)+COUNTIF('9月'!DT4:DU4,P$300)+COUNTIF('9月'!DY4:DZ4,P$300)+COUNTIF('9月'!ED4:EE4,P$300)+COUNTIF('9月'!EI4:EJ4,P$300)+COUNTIF('9月'!EN4:EO4,P$300)+COUNTIF('9月'!ES4:ET4,P$300)+COUNTIF('9月'!D4:E4,"荻窪ー夜勤")+COUNTIF('9月'!I4:J4,"荻窪ー夜勤")+COUNTIF('9月'!N4:O4,"荻窪ー夜勤")+COUNTIF('9月'!S4:T4,"荻窪ー夜勤")+COUNTIF('9月'!X4:Y4,"荻窪ー夜勤")+COUNTIF('9月'!AC4:AD4,"荻窪ー夜勤")+COUNTIF('9月'!AH4:AI4,"荻窪ー夜勤")+COUNTIF('9月'!AM4:AN4,"荻窪ー夜勤")+COUNTIF('9月'!AR4:AS4,"荻窪ー夜勤")+COUNTIF('9月'!AW4:AX4,"荻窪ー夜勤")+COUNTIF('9月'!BB4:BC4,"荻窪ー夜勤")+COUNTIF('9月'!BG4:BH4,"荻窪ー夜勤")+COUNTIF('9月'!BL4:BM4,"荻窪ー夜勤")+COUNTIF('9月'!BQ4:BR4,"荻窪ー夜勤")+COUNTIF('9月'!BV4:BW4,"荻窪ー夜勤")+COUNTIF('9月'!CA4:CB4,"荻窪ー夜勤")+COUNTIF('9月'!CF4:CG4,"荻窪ー夜勤")+COUNTIF('9月'!CK4:CL4,"荻窪ー夜勤")+COUNTIF('9月'!CP4:CQ4,"荻窪ー夜勤")+COUNTIF('9月'!CU4:CV4,"荻窪ー夜勤")+COUNTIF('9月'!CZ4:DA4,"荻窪ー夜勤")+COUNTIF('9月'!DE4:DF4,"荻窪ー夜勤")+COUNTIF('9月'!DJ4:DK4,"荻窪ー夜勤")+COUNTIF('9月'!DO4:DP4,"荻窪ー夜勤")+COUNTIF('9月'!DT4:DU4,"荻窪ー夜勤")+COUNTIF('9月'!DY4:DZ4,"荻窪ー夜勤")+COUNTIF('9月'!ED4:EE4,"荻窪ー夜勤")+COUNTIF('9月'!EI4:EJ4,"荻窪ー夜勤")+COUNTIF('9月'!EN4:EO4,"荻窪ー夜勤")+COUNTIF('9月'!ES4:ET4,"荻窪ー夜勤")</f>
        <v>0</v>
      </c>
      <c r="Q302" s="76">
        <f>IF(P302=0,0,P302)</f>
        <v>0</v>
      </c>
      <c r="R302" s="76">
        <f>COUNTIF('9月'!D4:E4,R$300)+COUNTIF('9月'!I4:J4,R$300)+COUNTIF('9月'!N4:O4,R$300)+COUNTIF('9月'!S4:T4,R$300)+COUNTIF('9月'!X4:Y4,R$300)+COUNTIF('9月'!AC4:AD4,R$300)+COUNTIF('9月'!AH4:AI4,R$300)+COUNTIF('9月'!AM4:AN4,R$300)+COUNTIF('9月'!AR4:AS4,R$300)+COUNTIF('9月'!AW4:AX4,R$300)+COUNTIF('9月'!BB4:BC4,R$300)+COUNTIF('9月'!BG4:BH4,R$300)+COUNTIF('9月'!BL4:BM4,R$300)+COUNTIF('9月'!BQ4:BR4,R$300)+COUNTIF('9月'!BV4:BW4,R$300)+COUNTIF('9月'!CA4:CB4,R$300)+COUNTIF('9月'!CF4:CG4,R$300)+COUNTIF('9月'!CK4:CL4,R$300)+COUNTIF('9月'!CP4:CQ4,R$300)+COUNTIF('9月'!CU4:CV4,R$300)+COUNTIF('9月'!CZ4:DA4,R$300)+COUNTIF('9月'!DE4:DF4,R$300)+COUNTIF('9月'!DJ4:DK4,R$300)+COUNTIF('9月'!DO4:DP4,R$300)+COUNTIF('9月'!DT4:DU4,R$300)+COUNTIF('9月'!DY4:DZ4,R$300)+COUNTIF('9月'!ED4:EE4,R$300)+COUNTIF('9月'!EI4:EJ4,R$300)+COUNTIF('9月'!EN4:EO4,R$300)+COUNTIF('9月'!ES4:ET4,R$300)</f>
        <v>0</v>
      </c>
      <c r="S302" s="76">
        <f>IF(R302=0,0,R302)</f>
        <v>0</v>
      </c>
      <c r="T302" s="76">
        <f>COUNTIF('9月'!D4:E4,T$300)+COUNTIF('9月'!I4:J4,T$300)+COUNTIF('9月'!N4:O4,T$300)+COUNTIF('9月'!S4:T4,T$300)+COUNTIF('9月'!X4:Y4,T$300)+COUNTIF('9月'!AC4:AD4,T$300)+COUNTIF('9月'!AH4:AI4,T$300)+COUNTIF('9月'!AM4:AN4,T$300)+COUNTIF('9月'!AR4:AS4,T$300)+COUNTIF('9月'!AW4:AX4,T$300)+COUNTIF('9月'!BB4:BC4,T$300)+COUNTIF('9月'!BG4:BH4,T$300)+COUNTIF('9月'!BL4:BM4,T$300)+COUNTIF('9月'!BQ4:BR4,T$300)+COUNTIF('9月'!BV4:BW4,T$300)+COUNTIF('9月'!CA4:CB4,T$300)+COUNTIF('9月'!CF4:CG4,T$300)+COUNTIF('9月'!CK4:CL4,T$300)+COUNTIF('9月'!CP4:CQ4,T$300)+COUNTIF('9月'!CU4:CV4,T$300)+COUNTIF('9月'!CZ4:DA4,T$300)+COUNTIF('9月'!DE4:DF4,T$300)+COUNTIF('9月'!DJ4:DK4,T$300)+COUNTIF('9月'!DO4:DP4,T$300)+COUNTIF('9月'!DT4:DU4,T$300)+COUNTIF('9月'!DY4:DZ4,T$300)+COUNTIF('9月'!ED4:EE4,T$300)+COUNTIF('9月'!EI4:EJ4,T$300)+COUNTIF('9月'!EN4:EO4,T$300)+COUNTIF('9月'!ES4:ET4,T$300)</f>
        <v>0</v>
      </c>
      <c r="U302" s="76">
        <f>IF(T302=0,0,T302)</f>
        <v>0</v>
      </c>
      <c r="V302" s="76">
        <f>COUNTIF('9月'!D4:E4,V$300)+COUNTIF('9月'!I4:J4,V$300)+COUNTIF('9月'!N4:O4,V$300)+COUNTIF('9月'!S4:T4,V$300)+COUNTIF('9月'!X4:Y4,V$300)+COUNTIF('9月'!AC4:AD4,V$300)+COUNTIF('9月'!AH4:AI4,V$300)+COUNTIF('9月'!AM4:AN4,V$300)+COUNTIF('9月'!AR4:AS4,V$300)+COUNTIF('9月'!AW4:AX4,V$300)+COUNTIF('9月'!BB4:BC4,V$300)+COUNTIF('9月'!BG4:BH4,V$300)+COUNTIF('9月'!BL4:BM4,V$300)+COUNTIF('9月'!BQ4:BR4,V$300)+COUNTIF('9月'!BV4:BW4,V$300)+COUNTIF('9月'!CA4:CB4,V$300)+COUNTIF('9月'!CF4:CG4,V$300)+COUNTIF('9月'!CK4:CL4,V$300)+COUNTIF('9月'!CP4:CQ4,V$300)+COUNTIF('9月'!CU4:CV4,V$300)+COUNTIF('9月'!CZ4:DA4,V$300)+COUNTIF('9月'!DE4:DF4,V$300)+COUNTIF('9月'!DJ4:DK4,V$300)+COUNTIF('9月'!DO4:DP4,V$300)+COUNTIF('9月'!DT4:DU4,V$300)+COUNTIF('9月'!DY4:DZ4,V$300)+COUNTIF('9月'!ED4:EE4,V$300)+COUNTIF('9月'!EI4:EJ4,V$300)+COUNTIF('9月'!EN4:EO4,V$300)+COUNTIF('9月'!ES4:ET4,V$300)</f>
        <v>0</v>
      </c>
      <c r="W302" s="76">
        <f>IF(V302=0,0,V302)</f>
        <v>0</v>
      </c>
      <c r="X302" s="76">
        <f>COUNTIF('9月'!D4:E4,X$300)+COUNTIF('9月'!I4:J4,X$300)+COUNTIF('9月'!N4:O4,X$300)+COUNTIF('9月'!S4:T4,X$300)+COUNTIF('9月'!X4:Y4,X$300)+COUNTIF('9月'!AC4:AD4,X$300)+COUNTIF('9月'!AH4:AI4,X$300)+COUNTIF('9月'!AM4:AN4,X$300)+COUNTIF('9月'!AR4:AS4,X$300)+COUNTIF('9月'!AW4:AX4,X$300)+COUNTIF('9月'!BB4:BC4,X$300)+COUNTIF('9月'!BG4:BH4,X$300)+COUNTIF('9月'!BL4:BM4,X$300)+COUNTIF('9月'!BQ4:BR4,X$300)+COUNTIF('9月'!BV4:BW4,X$300)+COUNTIF('9月'!CA4:CB4,X$300)+COUNTIF('9月'!CF4:CG4,X$300)+COUNTIF('9月'!CK4:CL4,X$300)+COUNTIF('9月'!CP4:CQ4,X$300)+COUNTIF('9月'!CU4:CV4,X$300)+COUNTIF('9月'!CZ4:DA4,X$300)+COUNTIF('9月'!DE4:DF4,X$300)+COUNTIF('9月'!DJ4:DK4,X$300)+COUNTIF('9月'!DO4:DP4,X$300)+COUNTIF('9月'!DT4:DU4,X$300)+COUNTIF('9月'!DY4:DZ4,X$300)+COUNTIF('9月'!ED4:EE4,X$300)+COUNTIF('9月'!EI4:EJ4,X$300)+COUNTIF('9月'!EN4:EO4,X$300)+COUNTIF('9月'!ES4:ET4,X$300)</f>
        <v>0</v>
      </c>
      <c r="Y302" s="76">
        <f>IF(X302=0,0,X302)</f>
        <v>0</v>
      </c>
    </row>
    <row r="303" spans="1:25" ht="18" customHeight="1">
      <c r="A303" s="76">
        <v>2</v>
      </c>
      <c r="B303" s="76">
        <f>COUNTIF('9月'!D5:E5,B$300)+COUNTIF('9月'!I5:J5,B$300)+COUNTIF('9月'!N5:O5,B$300)+COUNTIF('9月'!S5:T5,B$300)+COUNTIF('9月'!X5:Y5,B$300)+COUNTIF('9月'!AC5:AD5,B$300)+COUNTIF('9月'!AH5:AI5,B$300)+COUNTIF('9月'!AM5:AN5,B$300)+COUNTIF('9月'!AR5:AS5,B$300)+COUNTIF('9月'!AW5:AX5,B$300)+COUNTIF('9月'!BB5:BC5,B$300)+COUNTIF('9月'!BG5:BH5,B$300)+COUNTIF('9月'!BL5:BM5,B$300)+COUNTIF('9月'!BQ5:BR5,B$300)+COUNTIF('9月'!BV5:BW5,B$300)+COUNTIF('9月'!CA5:CB5,B$300)+COUNTIF('9月'!CF5:CG5,B$300)+COUNTIF('9月'!CK5:CL5,B$300)+COUNTIF('9月'!CP5:CQ5,B$300)+COUNTIF('9月'!CU5:CV5,B$300)+COUNTIF('9月'!CZ5:DA5,B$300)+COUNTIF('9月'!DE5:DF5,B$300)+COUNTIF('9月'!DJ5:DK5,B$300)+COUNTIF('9月'!DO5:DP5,B$300)+COUNTIF('9月'!DT5:DU5,B$300)+COUNTIF('9月'!DY5:DZ5,B$300)+COUNTIF('9月'!ED5:EE5,B$300)+COUNTIF('9月'!EI5:EJ5,B$300)+COUNTIF('9月'!EN5:EO5,B$300)+COUNTIF('9月'!ES5:ET5,B$300)</f>
        <v>0</v>
      </c>
      <c r="C303" s="76">
        <f t="shared" ref="C303:C332" si="96">IF(B303=0,C302,C302+B303)</f>
        <v>0</v>
      </c>
      <c r="D303" s="76">
        <f>COUNTIF('9月'!D5:E5,D$300)+COUNTIF('9月'!I5:J5,D$300)+COUNTIF('9月'!N5:O5,D$300)+COUNTIF('9月'!S5:T5,D$300)+COUNTIF('9月'!X5:Y5,D$300)+COUNTIF('9月'!AC5:AD5,D$300)+COUNTIF('9月'!AH5:AI5,D$300)+COUNTIF('9月'!AM5:AN5,D$300)+COUNTIF('9月'!AR5:AS5,D$300)+COUNTIF('9月'!AW5:AX5,D$300)+COUNTIF('9月'!BB5:BC5,D$300)+COUNTIF('9月'!BG5:BH5,D$300)+COUNTIF('9月'!BL5:BM5,D$300)+COUNTIF('9月'!BQ5:BR5,D$300)+COUNTIF('9月'!BV5:BW5,D$300)+COUNTIF('9月'!CA5:CB5,D$300)+COUNTIF('9月'!CF5:CG5,D$300)+COUNTIF('9月'!CK5:CL5,D$300)+COUNTIF('9月'!CP5:CQ5,D$300)+COUNTIF('9月'!CU5:CV5,D$300)+COUNTIF('9月'!CZ5:DA5,D$300)+COUNTIF('9月'!DE5:DF5,D$300)+COUNTIF('9月'!DJ5:DK5,D$300)+COUNTIF('9月'!DO5:DP5,D$300)+COUNTIF('9月'!DT5:DU5,D$300)+COUNTIF('9月'!DY5:DZ5,D$300)+COUNTIF('9月'!ED5:EE5,D$300)+COUNTIF('9月'!EI5:EJ5,D$300)+COUNTIF('9月'!EN5:EO5,D$300)+COUNTIF('9月'!ES5:ET5,D$300)</f>
        <v>0</v>
      </c>
      <c r="E303" s="76">
        <f t="shared" ref="E303:E332" si="97">IF(D303=0,E302,E302+D303)</f>
        <v>0</v>
      </c>
      <c r="F303" s="76">
        <f>COUNTIF('9月'!D5:E5,F$300)+COUNTIF('9月'!I5:J5,F$300)+COUNTIF('9月'!N5:O5,F$300)+COUNTIF('9月'!S5:T5,F$300)+COUNTIF('9月'!X5:Y5,F$300)+COUNTIF('9月'!AC5:AD5,F$300)+COUNTIF('9月'!AH5:AI5,F$300)+COUNTIF('9月'!AM5:AN5,F$300)+COUNTIF('9月'!AR5:AS5,F$300)+COUNTIF('9月'!AW5:AX5,F$300)+COUNTIF('9月'!BB5:BC5,F$300)+COUNTIF('9月'!BG5:BH5,F$300)+COUNTIF('9月'!BL5:BM5,F$300)+COUNTIF('9月'!BQ5:BR5,F$300)+COUNTIF('9月'!BV5:BW5,F$300)+COUNTIF('9月'!CA5:CB5,F$300)+COUNTIF('9月'!CF5:CG5,F$300)+COUNTIF('9月'!CK5:CL5,F$300)+COUNTIF('9月'!CP5:CQ5,F$300)+COUNTIF('9月'!CU5:CV5,F$300)+COUNTIF('9月'!CZ5:DA5,F$300)+COUNTIF('9月'!DE5:DF5,F$300)+COUNTIF('9月'!DJ5:DK5,F$300)+COUNTIF('9月'!DO5:DP5,F$300)+COUNTIF('9月'!DT5:DU5,F$300)+COUNTIF('9月'!DY5:DZ5,F$300)+COUNTIF('9月'!ED5:EE5,F$300)+COUNTIF('9月'!EI5:EJ5,F$300)+COUNTIF('9月'!EN5:EO5,F$300)+COUNTIF('9月'!ES5:ET5,F$300)</f>
        <v>0</v>
      </c>
      <c r="G303" s="76">
        <f t="shared" ref="G303:G332" si="98">IF(F303=0,G302,G302+F303)</f>
        <v>0</v>
      </c>
      <c r="H303" s="76">
        <f>COUNTIF('9月'!D5:E5,H$300)+COUNTIF('9月'!I5:J5,H$300)+COUNTIF('9月'!N5:O5,H$300)+COUNTIF('9月'!S5:T5,H$300)+COUNTIF('9月'!X5:Y5,H$300)+COUNTIF('9月'!AC5:AD5,H$300)+COUNTIF('9月'!AH5:AI5,H$300)+COUNTIF('9月'!AM5:AN5,H$300)+COUNTIF('9月'!AR5:AS5,H$300)+COUNTIF('9月'!AW5:AX5,H$300)+COUNTIF('9月'!BB5:BC5,H$300)+COUNTIF('9月'!BG5:BH5,H$300)+COUNTIF('9月'!BL5:BM5,H$300)+COUNTIF('9月'!BQ5:BR5,H$300)+COUNTIF('9月'!BV5:BW5,H$300)+COUNTIF('9月'!CA5:CB5,H$300)+COUNTIF('9月'!CF5:CG5,H$300)+COUNTIF('9月'!CK5:CL5,H$300)+COUNTIF('9月'!CP5:CQ5,H$300)+COUNTIF('9月'!CU5:CV5,H$300)+COUNTIF('9月'!CZ5:DA5,H$300)+COUNTIF('9月'!DE5:DF5,H$300)+COUNTIF('9月'!DJ5:DK5,H$300)+COUNTIF('9月'!DO5:DP5,H$300)+COUNTIF('9月'!DT5:DU5,H$300)+COUNTIF('9月'!DY5:DZ5,H$300)+COUNTIF('9月'!ED5:EE5,H$300)+COUNTIF('9月'!EI5:EJ5,H$300)+COUNTIF('9月'!EN5:EO5,H$300)+COUNTIF('9月'!ES5:ET5,H$300)+COUNTIF('9月'!D5:E5,"渋谷-夜勤")+COUNTIF('9月'!I5:J5,"渋谷-夜勤")+COUNTIF('9月'!N5:O5,"渋谷-夜勤")+COUNTIF('9月'!S5:T5,"渋谷-夜勤")+COUNTIF('9月'!X5:Y5,"渋谷-夜勤")+COUNTIF('9月'!AC5:AD5,"渋谷-夜勤")+COUNTIF('9月'!AH5:AI5,"渋谷-夜勤")+COUNTIF('9月'!AM5:AN5,"渋谷-夜勤")+COUNTIF('9月'!AR5:AS5,"渋谷-夜勤")+COUNTIF('9月'!AW5:AX5,"渋谷-夜勤")+COUNTIF('9月'!BB5:BC5,"渋谷-夜勤")+COUNTIF('9月'!BG5:BH5,"渋谷-夜勤")+COUNTIF('9月'!BL5:BM5,"渋谷-夜勤")+COUNTIF('9月'!BQ5:BR5,"渋谷-夜勤")+COUNTIF('9月'!BV5:BW5,"渋谷-夜勤")+COUNTIF('9月'!CA5:CB5,"渋谷-夜勤")+COUNTIF('9月'!CF5:CG5,"渋谷-夜勤")+COUNTIF('9月'!CK5:CL5,"渋谷-夜勤")+COUNTIF('9月'!CP5:CQ5,"渋谷-夜勤")+COUNTIF('9月'!CU5:CV5,"渋谷-夜勤")+COUNTIF('9月'!CZ5:DA5,"渋谷-夜勤")+COUNTIF('9月'!DE5:DF5,"渋谷-夜勤")+COUNTIF('9月'!DJ5:DK5,"渋谷-夜勤")+COUNTIF('9月'!DO5:DP5,"渋谷-夜勤")+COUNTIF('9月'!DT5:DU5,"渋谷-夜勤")+COUNTIF('9月'!DY5:DZ5,"渋谷-夜勤")+COUNTIF('9月'!ED5:EE5,"渋谷-夜勤")+COUNTIF('9月'!EI5:EJ5,"渋谷-夜勤")+COUNTIF('9月'!EN5:EO5,"渋谷-夜勤")+COUNTIF('9月'!ES5:ET5,"渋谷-夜勤")</f>
        <v>0</v>
      </c>
      <c r="I303" s="76">
        <f t="shared" ref="I303:I332" si="99">IF(H303=0,I302,I302+H303)</f>
        <v>0</v>
      </c>
      <c r="J303" s="76">
        <f>COUNTIF('9月'!D5:E5,J$300)+COUNTIF('9月'!I5:J5,J$300)+COUNTIF('9月'!N5:O5,J$300)+COUNTIF('9月'!S5:T5,J$300)+COUNTIF('9月'!X5:Y5,J$300)+COUNTIF('9月'!AC5:AD5,J$300)+COUNTIF('9月'!AH5:AI5,J$300)+COUNTIF('9月'!AM5:AN5,J$300)+COUNTIF('9月'!AR5:AS5,J$300)+COUNTIF('9月'!AW5:AX5,J$300)+COUNTIF('9月'!BB5:BC5,J$300)+COUNTIF('9月'!BG5:BH5,J$300)+COUNTIF('9月'!BL5:BM5,J$300)+COUNTIF('9月'!BQ5:BR5,J$300)+COUNTIF('9月'!BV5:BW5,J$300)+COUNTIF('9月'!CA5:CB5,J$300)+COUNTIF('9月'!CF5:CG5,J$300)+COUNTIF('9月'!CK5:CL5,J$300)+COUNTIF('9月'!CP5:CQ5,J$300)+COUNTIF('9月'!CU5:CV5,J$300)+COUNTIF('9月'!CZ5:DA5,J$300)+COUNTIF('9月'!DE5:DF5,J$300)+COUNTIF('9月'!DJ5:DK5,J$300)+COUNTIF('9月'!DO5:DP5,J$300)+COUNTIF('9月'!DT5:DU5,J$300)+COUNTIF('9月'!DY5:DZ5,J$300)+COUNTIF('9月'!ED5:EE5,J$300)+COUNTIF('9月'!EI5:EJ5,J$300)+COUNTIF('9月'!EN5:EO5,J$300)+COUNTIF('9月'!ES5:ET5,J$300)+COUNTIF('9月'!D5:E5,"六本木-夜勤")+COUNTIF('9月'!I5:J5,"六本木-夜勤")+COUNTIF('9月'!N5:O5,"六本木-夜勤")+COUNTIF('9月'!S5:T5,"六本木-夜勤")+COUNTIF('9月'!X5:Y5,"六本木-夜勤")+COUNTIF('9月'!AC5:AD5,"六本木-夜勤")+COUNTIF('9月'!AH5:AI5,"六本木-夜勤")+COUNTIF('9月'!AM5:AN5,"六本木-夜勤")+COUNTIF('9月'!AR5:AS5,"六本木-夜勤")+COUNTIF('9月'!AW5:AX5,"六本木-夜勤")+COUNTIF('9月'!BB5:BC5,"六本木-夜勤")+COUNTIF('9月'!BG5:BH5,"六本木-夜勤")+COUNTIF('9月'!BL5:BM5,"六本木-夜勤")+COUNTIF('9月'!BQ5:BR5,"六本木-夜勤")+COUNTIF('9月'!BV5:BW5,"六本木-夜勤")+COUNTIF('9月'!CA5:CB5,"六本木-夜勤")+COUNTIF('9月'!CF5:CG5,"六本木-夜勤")+COUNTIF('9月'!CK5:CL5,"六本木-夜勤")+COUNTIF('9月'!CP5:CQ5,"六本木-夜勤")+COUNTIF('9月'!CU5:CV5,"六本木-夜勤")+COUNTIF('9月'!CZ5:DA5,"六本木-夜勤")+COUNTIF('9月'!DE5:DF5,"六本木-夜勤")+COUNTIF('9月'!DJ5:DK5,"六本木-夜勤")+COUNTIF('9月'!DO5:DP5,"六本木-夜勤")+COUNTIF('9月'!DT5:DU5,"六本木-夜勤")+COUNTIF('9月'!DY5:DZ5,"六本木-夜勤")+COUNTIF('9月'!ED5:EE5,"六本木-夜勤")+COUNTIF('9月'!EI5:EJ5,"六本木-夜勤")+COUNTIF('9月'!EN5:EO5,"六本木-夜勤")+COUNTIF('9月'!ES5:ET5,"六本木-夜勤")+COUNTIF('9月'!D5:E5,"六本木ー夜勤")+COUNTIF('9月'!I5:J5,"六本木ー夜勤")+COUNTIF('9月'!N5:O5,"六本木ー夜勤")+COUNTIF('9月'!S5:T5,"六本木ー夜勤")+COUNTIF('9月'!X5:Y5,"六本木ー夜勤")+COUNTIF('9月'!AC5:AD5,"六本木ー夜勤")+COUNTIF('9月'!AH5:AI5,"六本木ー夜勤")+COUNTIF('9月'!AM5:AN5,"六本木ー夜勤")+COUNTIF('9月'!AR5:AS5,"六本木ー夜勤")+COUNTIF('9月'!AW5:AX5,"六本木ー夜勤")+COUNTIF('9月'!BB5:BC5,"六本木ー夜勤")+COUNTIF('9月'!BG5:BH5,"六本木ー夜勤")+COUNTIF('9月'!BL5:BM5,"六本木ー夜勤")+COUNTIF('9月'!BQ5:BR5,"六本木ー夜勤")+COUNTIF('9月'!BV5:BW5,"六本木ー夜勤")+COUNTIF('9月'!CA5:CB5,"六本木ー夜勤")+COUNTIF('9月'!CF5:CG5,"六本木ー夜勤")+COUNTIF('9月'!CK5:CL5,"六本木ー夜勤")+COUNTIF('9月'!CP5:CQ5,"六本木ー夜勤")+COUNTIF('9月'!CU5:CV5,"六本木ー夜勤")+COUNTIF('9月'!CZ5:DA5,"六本木ー夜勤")+COUNTIF('9月'!DE5:DF5,"六本木ー夜勤")+COUNTIF('9月'!DJ5:DK5,"六本木ー夜勤")+COUNTIF('9月'!DO5:DP5,"六本木ー夜勤")+COUNTIF('9月'!DT5:DU5,"六本木ー夜勤")+COUNTIF('9月'!DY5:DZ5,"六本木ー夜勤")+COUNTIF('9月'!ED5:EE5,"六本木ー夜勤")+COUNTIF('9月'!EI5:EJ5,"六本木ー夜勤")+COUNTIF('9月'!EN5:EO5,"六本木ー夜勤")+COUNTIF('9月'!ES5:ET5,"六本木ー夜勤")</f>
        <v>0</v>
      </c>
      <c r="K303" s="76">
        <f t="shared" ref="K303:K332" si="100">IF(J303=0,K302,K302+J303)</f>
        <v>0</v>
      </c>
      <c r="L303" s="76">
        <f>COUNTIF('9月'!D5:E5,L$300)+COUNTIF('9月'!I5:J5,L$300)+COUNTIF('9月'!N5:O5,L$300)+COUNTIF('9月'!S5:T5,L$300)+COUNTIF('9月'!X5:Y5,L$300)+COUNTIF('9月'!AC5:AD5,L$300)+COUNTIF('9月'!AH5:AI5,L$300)+COUNTIF('9月'!AM5:AN5,L$300)+COUNTIF('9月'!AR5:AS5,L$300)+COUNTIF('9月'!AW5:AX5,L$300)+COUNTIF('9月'!BB5:BC5,L$300)+COUNTIF('9月'!BG5:BH5,L$300)+COUNTIF('9月'!BL5:BM5,L$300)+COUNTIF('9月'!BQ5:BR5,L$300)+COUNTIF('9月'!BV5:BW5,L$300)+COUNTIF('9月'!CA5:CB5,L$300)+COUNTIF('9月'!CF5:CG5,L$300)+COUNTIF('9月'!CK5:CL5,L$300)+COUNTIF('9月'!CP5:CQ5,L$300)+COUNTIF('9月'!CU5:CV5,L$300)+COUNTIF('9月'!CZ5:DA5,L$300)+COUNTIF('9月'!DE5:DF5,L$300)+COUNTIF('9月'!DJ5:DK5,L$300)+COUNTIF('9月'!DO5:DP5,L$300)+COUNTIF('9月'!DT5:DU5,L$300)+COUNTIF('9月'!DY5:DZ5,L$300)+COUNTIF('9月'!ED5:EE5,L$300)+COUNTIF('9月'!EI5:EJ5,L$300)+COUNTIF('9月'!EN5:EO5,L$300)+COUNTIF('9月'!ES5:ET5,L$300)</f>
        <v>0</v>
      </c>
      <c r="M303" s="76">
        <f t="shared" ref="M303:M332" si="101">IF(L303=0,M302,M302+L303)</f>
        <v>0</v>
      </c>
      <c r="N303" s="76">
        <f>COUNTIF('9月'!D5:E5,N$300)+COUNTIF('9月'!I5:J5,N$300)+COUNTIF('9月'!N5:O5,N$300)+COUNTIF('9月'!S5:T5,N$300)+COUNTIF('9月'!X5:Y5,N$300)+COUNTIF('9月'!AC5:AD5,N$300)+COUNTIF('9月'!AH5:AI5,N$300)+COUNTIF('9月'!AM5:AN5,N$300)+COUNTIF('9月'!AR5:AS5,N$300)+COUNTIF('9月'!AW5:AX5,N$300)+COUNTIF('9月'!BB5:BC5,N$300)+COUNTIF('9月'!BG5:BH5,N$300)+COUNTIF('9月'!BL5:BM5,N$300)+COUNTIF('9月'!BQ5:BR5,N$300)+COUNTIF('9月'!BV5:BW5,N$300)+COUNTIF('9月'!CA5:CB5,N$300)+COUNTIF('9月'!CF5:CG5,N$300)+COUNTIF('9月'!CK5:CL5,N$300)+COUNTIF('9月'!CP5:CQ5,N$300)+COUNTIF('9月'!CU5:CV5,N$300)+COUNTIF('9月'!CZ5:DA5,N$300)+COUNTIF('9月'!DE5:DF5,N$300)+COUNTIF('9月'!DJ5:DK5,N$300)+COUNTIF('9月'!DO5:DP5,N$300)+COUNTIF('9月'!DT5:DU5,N$300)+COUNTIF('9月'!DY5:DZ5,N$300)+COUNTIF('9月'!ED5:EE5,N$300)+COUNTIF('9月'!EI5:EJ5,N$300)+COUNTIF('9月'!EN5:EO5,N$300)+COUNTIF('9月'!ES5:ET5,N$300)+COUNTIF('9月'!D5:E5,"三軒茶屋－夜勤")+COUNTIF('9月'!I5:J5,"三軒茶屋－夜勤")+COUNTIF('9月'!N5:O5,"三軒茶屋－夜勤")+COUNTIF('9月'!S5:T5,"三軒茶屋－夜勤")+COUNTIF('9月'!X5:Y5,"三軒茶屋－夜勤")+COUNTIF('9月'!AC5:AD5,"三軒茶屋－夜勤")+COUNTIF('9月'!AH5:AI5,"三軒茶屋－夜勤")+COUNTIF('9月'!AM5:AN5,"三軒茶屋－夜勤")+COUNTIF('9月'!AR5:AS5,"三軒茶屋－夜勤")+COUNTIF('9月'!AW5:AX5,"三軒茶屋－夜勤")+COUNTIF('9月'!BB5:BC5,"三軒茶屋－夜勤")+COUNTIF('9月'!BG5:BH5,"三軒茶屋－夜勤")+COUNTIF('9月'!BL5:BM5,"三軒茶屋－夜勤")+COUNTIF('9月'!BQ5:BR5,"三軒茶屋－夜勤")+COUNTIF('9月'!BV5:BW5,"三軒茶屋－夜勤")+COUNTIF('9月'!CA5:CB5,"三軒茶屋－夜勤")+COUNTIF('9月'!CF5:CG5,"三軒茶屋－夜勤")+COUNTIF('9月'!CK5:CL5,"三軒茶屋－夜勤")+COUNTIF('9月'!CP5:CQ5,"三軒茶屋－夜勤")+COUNTIF('9月'!CU5:CV5,"三軒茶屋－夜勤")+COUNTIF('9月'!CZ5:DA5,"三軒茶屋－夜勤")+COUNTIF('9月'!DE5:DF5,"三軒茶屋－夜勤")+COUNTIF('9月'!DJ5:DK5,"三軒茶屋－夜勤")+COUNTIF('9月'!DO5:DP5,"三軒茶屋－夜勤")+COUNTIF('9月'!DT5:DU5,"三軒茶屋－夜勤")+COUNTIF('9月'!DY5:DZ5,"三軒茶屋－夜勤")+COUNTIF('9月'!ED5:EE5,"三軒茶屋－夜勤")+COUNTIF('9月'!EI5:EJ5,"三軒茶屋－夜勤")+COUNTIF('9月'!EN5:EO5,"三軒茶屋－夜勤")+COUNTIF('9月'!ES5:ET5,"三軒茶屋－夜勤")</f>
        <v>0</v>
      </c>
      <c r="O303" s="76">
        <f t="shared" ref="O303:O332" si="102">IF(N303=0,O302,O302+N303)</f>
        <v>0</v>
      </c>
      <c r="P303" s="76">
        <f>COUNTIF('9月'!D5:E5,P$300)+COUNTIF('9月'!I5:J5,P$300)+COUNTIF('9月'!N5:O5,P$300)+COUNTIF('9月'!S5:T5,P$300)+COUNTIF('9月'!X5:Y5,P$300)+COUNTIF('9月'!AC5:AD5,P$300)+COUNTIF('9月'!AH5:AI5,P$300)+COUNTIF('9月'!AM5:AN5,P$300)+COUNTIF('9月'!AR5:AS5,P$300)+COUNTIF('9月'!AW5:AX5,P$300)+COUNTIF('9月'!BB5:BC5,P$300)+COUNTIF('9月'!BG5:BH5,P$300)+COUNTIF('9月'!BL5:BM5,P$300)+COUNTIF('9月'!BQ5:BR5,P$300)+COUNTIF('9月'!BV5:BW5,P$300)+COUNTIF('9月'!CA5:CB5,P$300)+COUNTIF('9月'!CF5:CG5,P$300)+COUNTIF('9月'!CK5:CL5,P$300)+COUNTIF('9月'!CP5:CQ5,P$300)+COUNTIF('9月'!CU5:CV5,P$300)+COUNTIF('9月'!CZ5:DA5,P$300)+COUNTIF('9月'!DE5:DF5,P$300)+COUNTIF('9月'!DJ5:DK5,P$300)+COUNTIF('9月'!DO5:DP5,P$300)+COUNTIF('9月'!DT5:DU5,P$300)+COUNTIF('9月'!DY5:DZ5,P$300)+COUNTIF('9月'!ED5:EE5,P$300)+COUNTIF('9月'!EI5:EJ5,P$300)+COUNTIF('9月'!EN5:EO5,P$300)+COUNTIF('9月'!ES5:ET5,P$300)+COUNTIF('9月'!D5:E5,"荻窪ー夜勤")+COUNTIF('9月'!I5:J5,"荻窪ー夜勤")+COUNTIF('9月'!N5:O5,"荻窪ー夜勤")+COUNTIF('9月'!S5:T5,"荻窪ー夜勤")+COUNTIF('9月'!X5:Y5,"荻窪ー夜勤")+COUNTIF('9月'!AC5:AD5,"荻窪ー夜勤")+COUNTIF('9月'!AH5:AI5,"荻窪ー夜勤")+COUNTIF('9月'!AM5:AN5,"荻窪ー夜勤")+COUNTIF('9月'!AR5:AS5,"荻窪ー夜勤")+COUNTIF('9月'!AW5:AX5,"荻窪ー夜勤")+COUNTIF('9月'!BB5:BC5,"荻窪ー夜勤")+COUNTIF('9月'!BG5:BH5,"荻窪ー夜勤")+COUNTIF('9月'!BL5:BM5,"荻窪ー夜勤")+COUNTIF('9月'!BQ5:BR5,"荻窪ー夜勤")+COUNTIF('9月'!BV5:BW5,"荻窪ー夜勤")+COUNTIF('9月'!CA5:CB5,"荻窪ー夜勤")+COUNTIF('9月'!CF5:CG5,"荻窪ー夜勤")+COUNTIF('9月'!CK5:CL5,"荻窪ー夜勤")+COUNTIF('9月'!CP5:CQ5,"荻窪ー夜勤")+COUNTIF('9月'!CU5:CV5,"荻窪ー夜勤")+COUNTIF('9月'!CZ5:DA5,"荻窪ー夜勤")+COUNTIF('9月'!DE5:DF5,"荻窪ー夜勤")+COUNTIF('9月'!DJ5:DK5,"荻窪ー夜勤")+COUNTIF('9月'!DO5:DP5,"荻窪ー夜勤")+COUNTIF('9月'!DT5:DU5,"荻窪ー夜勤")+COUNTIF('9月'!DY5:DZ5,"荻窪ー夜勤")+COUNTIF('9月'!ED5:EE5,"荻窪ー夜勤")+COUNTIF('9月'!EI5:EJ5,"荻窪ー夜勤")+COUNTIF('9月'!EN5:EO5,"荻窪ー夜勤")+COUNTIF('9月'!ES5:ET5,"荻窪ー夜勤")</f>
        <v>0</v>
      </c>
      <c r="Q303" s="76">
        <f t="shared" ref="Q303:Q332" si="103">IF(P303=0,Q302,Q302+P303)</f>
        <v>0</v>
      </c>
      <c r="R303" s="76">
        <f>COUNTIF('9月'!D5:E5,R$300)+COUNTIF('9月'!I5:J5,R$300)+COUNTIF('9月'!N5:O5,R$300)+COUNTIF('9月'!S5:T5,R$300)+COUNTIF('9月'!X5:Y5,R$300)+COUNTIF('9月'!AC5:AD5,R$300)+COUNTIF('9月'!AH5:AI5,R$300)+COUNTIF('9月'!AM5:AN5,R$300)+COUNTIF('9月'!AR5:AS5,R$300)+COUNTIF('9月'!AW5:AX5,R$300)+COUNTIF('9月'!BB5:BC5,R$300)+COUNTIF('9月'!BG5:BH5,R$300)+COUNTIF('9月'!BL5:BM5,R$300)+COUNTIF('9月'!BQ5:BR5,R$300)+COUNTIF('9月'!BV5:BW5,R$300)+COUNTIF('9月'!CA5:CB5,R$300)+COUNTIF('9月'!CF5:CG5,R$300)+COUNTIF('9月'!CK5:CL5,R$300)+COUNTIF('9月'!CP5:CQ5,R$300)+COUNTIF('9月'!CU5:CV5,R$300)+COUNTIF('9月'!CZ5:DA5,R$300)+COUNTIF('9月'!DE5:DF5,R$300)+COUNTIF('9月'!DJ5:DK5,R$300)+COUNTIF('9月'!DO5:DP5,R$300)+COUNTIF('9月'!DT5:DU5,R$300)+COUNTIF('9月'!DY5:DZ5,R$300)+COUNTIF('9月'!ED5:EE5,R$300)+COUNTIF('9月'!EI5:EJ5,R$300)+COUNTIF('9月'!EN5:EO5,R$300)+COUNTIF('9月'!ES5:ET5,R$300)</f>
        <v>0</v>
      </c>
      <c r="S303" s="76">
        <f t="shared" ref="S303:S332" si="104">IF(R303=0,S302,S302+R303)</f>
        <v>0</v>
      </c>
      <c r="T303" s="76">
        <f>COUNTIF('9月'!D5:E5,T$300)+COUNTIF('9月'!I5:J5,T$300)+COUNTIF('9月'!N5:O5,T$300)+COUNTIF('9月'!S5:T5,T$300)+COUNTIF('9月'!X5:Y5,T$300)+COUNTIF('9月'!AC5:AD5,T$300)+COUNTIF('9月'!AH5:AI5,T$300)+COUNTIF('9月'!AM5:AN5,T$300)+COUNTIF('9月'!AR5:AS5,T$300)+COUNTIF('9月'!AW5:AX5,T$300)+COUNTIF('9月'!BB5:BC5,T$300)+COUNTIF('9月'!BG5:BH5,T$300)+COUNTIF('9月'!BL5:BM5,T$300)+COUNTIF('9月'!BQ5:BR5,T$300)+COUNTIF('9月'!BV5:BW5,T$300)+COUNTIF('9月'!CA5:CB5,T$300)+COUNTIF('9月'!CF5:CG5,T$300)+COUNTIF('9月'!CK5:CL5,T$300)+COUNTIF('9月'!CP5:CQ5,T$300)+COUNTIF('9月'!CU5:CV5,T$300)+COUNTIF('9月'!CZ5:DA5,T$300)+COUNTIF('9月'!DE5:DF5,T$300)+COUNTIF('9月'!DJ5:DK5,T$300)+COUNTIF('9月'!DO5:DP5,T$300)+COUNTIF('9月'!DT5:DU5,T$300)+COUNTIF('9月'!DY5:DZ5,T$300)+COUNTIF('9月'!ED5:EE5,T$300)+COUNTIF('9月'!EI5:EJ5,T$300)+COUNTIF('9月'!EN5:EO5,T$300)+COUNTIF('9月'!ES5:ET5,T$300)</f>
        <v>0</v>
      </c>
      <c r="U303" s="76">
        <f t="shared" ref="U303:U332" si="105">IF(T303=0,U302,U302+T303)</f>
        <v>0</v>
      </c>
      <c r="V303" s="76">
        <f>COUNTIF('9月'!D5:E5,V$300)+COUNTIF('9月'!I5:J5,V$300)+COUNTIF('9月'!N5:O5,V$300)+COUNTIF('9月'!S5:T5,V$300)+COUNTIF('9月'!X5:Y5,V$300)+COUNTIF('9月'!AC5:AD5,V$300)+COUNTIF('9月'!AH5:AI5,V$300)+COUNTIF('9月'!AM5:AN5,V$300)+COUNTIF('9月'!AR5:AS5,V$300)+COUNTIF('9月'!AW5:AX5,V$300)+COUNTIF('9月'!BB5:BC5,V$300)+COUNTIF('9月'!BG5:BH5,V$300)+COUNTIF('9月'!BL5:BM5,V$300)+COUNTIF('9月'!BQ5:BR5,V$300)+COUNTIF('9月'!BV5:BW5,V$300)+COUNTIF('9月'!CA5:CB5,V$300)+COUNTIF('9月'!CF5:CG5,V$300)+COUNTIF('9月'!CK5:CL5,V$300)+COUNTIF('9月'!CP5:CQ5,V$300)+COUNTIF('9月'!CU5:CV5,V$300)+COUNTIF('9月'!CZ5:DA5,V$300)+COUNTIF('9月'!DE5:DF5,V$300)+COUNTIF('9月'!DJ5:DK5,V$300)+COUNTIF('9月'!DO5:DP5,V$300)+COUNTIF('9月'!DT5:DU5,V$300)+COUNTIF('9月'!DY5:DZ5,V$300)+COUNTIF('9月'!ED5:EE5,V$300)+COUNTIF('9月'!EI5:EJ5,V$300)+COUNTIF('9月'!EN5:EO5,V$300)+COUNTIF('9月'!ES5:ET5,V$300)</f>
        <v>0</v>
      </c>
      <c r="W303" s="76">
        <f t="shared" ref="W303:W332" si="106">IF(V303=0,W302,W302+V303)</f>
        <v>0</v>
      </c>
      <c r="X303" s="76">
        <f>COUNTIF('9月'!D5:E5,X$300)+COUNTIF('9月'!I5:J5,X$300)+COUNTIF('9月'!N5:O5,X$300)+COUNTIF('9月'!S5:T5,X$300)+COUNTIF('9月'!X5:Y5,X$300)+COUNTIF('9月'!AC5:AD5,X$300)+COUNTIF('9月'!AH5:AI5,X$300)+COUNTIF('9月'!AM5:AN5,X$300)+COUNTIF('9月'!AR5:AS5,X$300)+COUNTIF('9月'!AW5:AX5,X$300)+COUNTIF('9月'!BB5:BC5,X$300)+COUNTIF('9月'!BG5:BH5,X$300)+COUNTIF('9月'!BL5:BM5,X$300)+COUNTIF('9月'!BQ5:BR5,X$300)+COUNTIF('9月'!BV5:BW5,X$300)+COUNTIF('9月'!CA5:CB5,X$300)+COUNTIF('9月'!CF5:CG5,X$300)+COUNTIF('9月'!CK5:CL5,X$300)+COUNTIF('9月'!CP5:CQ5,X$300)+COUNTIF('9月'!CU5:CV5,X$300)+COUNTIF('9月'!CZ5:DA5,X$300)+COUNTIF('9月'!DE5:DF5,X$300)+COUNTIF('9月'!DJ5:DK5,X$300)+COUNTIF('9月'!DO5:DP5,X$300)+COUNTIF('9月'!DT5:DU5,X$300)+COUNTIF('9月'!DY5:DZ5,X$300)+COUNTIF('9月'!ED5:EE5,X$300)+COUNTIF('9月'!EI5:EJ5,X$300)+COUNTIF('9月'!EN5:EO5,X$300)+COUNTIF('9月'!ES5:ET5,X$300)</f>
        <v>0</v>
      </c>
      <c r="Y303" s="76">
        <f t="shared" ref="Y303:Y332" si="107">IF(X303=0,Y302,Y302+X303)</f>
        <v>0</v>
      </c>
    </row>
    <row r="304" spans="1:25" ht="18" customHeight="1">
      <c r="A304" s="76">
        <v>3</v>
      </c>
      <c r="B304" s="76">
        <f>COUNTIF('9月'!D6:E6,B$300)+COUNTIF('9月'!I6:J6,B$300)+COUNTIF('9月'!N6:O6,B$300)+COUNTIF('9月'!S6:T6,B$300)+COUNTIF('9月'!X6:Y6,B$300)+COUNTIF('9月'!AC6:AD6,B$300)+COUNTIF('9月'!AH6:AI6,B$300)+COUNTIF('9月'!AM6:AN6,B$300)+COUNTIF('9月'!AR6:AS6,B$300)+COUNTIF('9月'!AW6:AX6,B$300)+COUNTIF('9月'!BB6:BC6,B$300)+COUNTIF('9月'!BG6:BH6,B$300)+COUNTIF('9月'!BL6:BM6,B$300)+COUNTIF('9月'!BQ6:BR6,B$300)+COUNTIF('9月'!BV6:BW6,B$300)+COUNTIF('9月'!CA6:CB6,B$300)+COUNTIF('9月'!CF6:CG6,B$300)+COUNTIF('9月'!CK6:CL6,B$300)+COUNTIF('9月'!CP6:CQ6,B$300)+COUNTIF('9月'!CU6:CV6,B$300)+COUNTIF('9月'!CZ6:DA6,B$300)+COUNTIF('9月'!DE6:DF6,B$300)+COUNTIF('9月'!DJ6:DK6,B$300)+COUNTIF('9月'!DO6:DP6,B$300)+COUNTIF('9月'!DT6:DU6,B$300)+COUNTIF('9月'!DY6:DZ6,B$300)+COUNTIF('9月'!ED6:EE6,B$300)+COUNTIF('9月'!EI6:EJ6,B$300)+COUNTIF('9月'!EN6:EO6,B$300)+COUNTIF('9月'!ES6:ET6,B$300)</f>
        <v>0</v>
      </c>
      <c r="C304" s="76">
        <f t="shared" si="96"/>
        <v>0</v>
      </c>
      <c r="D304" s="76">
        <f>COUNTIF('9月'!D6:E6,D$300)+COUNTIF('9月'!I6:J6,D$300)+COUNTIF('9月'!N6:O6,D$300)+COUNTIF('9月'!S6:T6,D$300)+COUNTIF('9月'!X6:Y6,D$300)+COUNTIF('9月'!AC6:AD6,D$300)+COUNTIF('9月'!AH6:AI6,D$300)+COUNTIF('9月'!AM6:AN6,D$300)+COUNTIF('9月'!AR6:AS6,D$300)+COUNTIF('9月'!AW6:AX6,D$300)+COUNTIF('9月'!BB6:BC6,D$300)+COUNTIF('9月'!BG6:BH6,D$300)+COUNTIF('9月'!BL6:BM6,D$300)+COUNTIF('9月'!BQ6:BR6,D$300)+COUNTIF('9月'!BV6:BW6,D$300)+COUNTIF('9月'!CA6:CB6,D$300)+COUNTIF('9月'!CF6:CG6,D$300)+COUNTIF('9月'!CK6:CL6,D$300)+COUNTIF('9月'!CP6:CQ6,D$300)+COUNTIF('9月'!CU6:CV6,D$300)+COUNTIF('9月'!CZ6:DA6,D$300)+COUNTIF('9月'!DE6:DF6,D$300)+COUNTIF('9月'!DJ6:DK6,D$300)+COUNTIF('9月'!DO6:DP6,D$300)+COUNTIF('9月'!DT6:DU6,D$300)+COUNTIF('9月'!DY6:DZ6,D$300)+COUNTIF('9月'!ED6:EE6,D$300)+COUNTIF('9月'!EI6:EJ6,D$300)+COUNTIF('9月'!EN6:EO6,D$300)+COUNTIF('9月'!ES6:ET6,D$300)</f>
        <v>0</v>
      </c>
      <c r="E304" s="76">
        <f t="shared" si="97"/>
        <v>0</v>
      </c>
      <c r="F304" s="76">
        <f>COUNTIF('9月'!D6:E6,F$300)+COUNTIF('9月'!I6:J6,F$300)+COUNTIF('9月'!N6:O6,F$300)+COUNTIF('9月'!S6:T6,F$300)+COUNTIF('9月'!X6:Y6,F$300)+COUNTIF('9月'!AC6:AD6,F$300)+COUNTIF('9月'!AH6:AI6,F$300)+COUNTIF('9月'!AM6:AN6,F$300)+COUNTIF('9月'!AR6:AS6,F$300)+COUNTIF('9月'!AW6:AX6,F$300)+COUNTIF('9月'!BB6:BC6,F$300)+COUNTIF('9月'!BG6:BH6,F$300)+COUNTIF('9月'!BL6:BM6,F$300)+COUNTIF('9月'!BQ6:BR6,F$300)+COUNTIF('9月'!BV6:BW6,F$300)+COUNTIF('9月'!CA6:CB6,F$300)+COUNTIF('9月'!CF6:CG6,F$300)+COUNTIF('9月'!CK6:CL6,F$300)+COUNTIF('9月'!CP6:CQ6,F$300)+COUNTIF('9月'!CU6:CV6,F$300)+COUNTIF('9月'!CZ6:DA6,F$300)+COUNTIF('9月'!DE6:DF6,F$300)+COUNTIF('9月'!DJ6:DK6,F$300)+COUNTIF('9月'!DO6:DP6,F$300)+COUNTIF('9月'!DT6:DU6,F$300)+COUNTIF('9月'!DY6:DZ6,F$300)+COUNTIF('9月'!ED6:EE6,F$300)+COUNTIF('9月'!EI6:EJ6,F$300)+COUNTIF('9月'!EN6:EO6,F$300)+COUNTIF('9月'!ES6:ET6,F$300)</f>
        <v>0</v>
      </c>
      <c r="G304" s="76">
        <f t="shared" si="98"/>
        <v>0</v>
      </c>
      <c r="H304" s="76">
        <f>COUNTIF('9月'!D6:E6,H$300)+COUNTIF('9月'!I6:J6,H$300)+COUNTIF('9月'!N6:O6,H$300)+COUNTIF('9月'!S6:T6,H$300)+COUNTIF('9月'!X6:Y6,H$300)+COUNTIF('9月'!AC6:AD6,H$300)+COUNTIF('9月'!AH6:AI6,H$300)+COUNTIF('9月'!AM6:AN6,H$300)+COUNTIF('9月'!AR6:AS6,H$300)+COUNTIF('9月'!AW6:AX6,H$300)+COUNTIF('9月'!BB6:BC6,H$300)+COUNTIF('9月'!BG6:BH6,H$300)+COUNTIF('9月'!BL6:BM6,H$300)+COUNTIF('9月'!BQ6:BR6,H$300)+COUNTIF('9月'!BV6:BW6,H$300)+COUNTIF('9月'!CA6:CB6,H$300)+COUNTIF('9月'!CF6:CG6,H$300)+COUNTIF('9月'!CK6:CL6,H$300)+COUNTIF('9月'!CP6:CQ6,H$300)+COUNTIF('9月'!CU6:CV6,H$300)+COUNTIF('9月'!CZ6:DA6,H$300)+COUNTIF('9月'!DE6:DF6,H$300)+COUNTIF('9月'!DJ6:DK6,H$300)+COUNTIF('9月'!DO6:DP6,H$300)+COUNTIF('9月'!DT6:DU6,H$300)+COUNTIF('9月'!DY6:DZ6,H$300)+COUNTIF('9月'!ED6:EE6,H$300)+COUNTIF('9月'!EI6:EJ6,H$300)+COUNTIF('9月'!EN6:EO6,H$300)+COUNTIF('9月'!ES6:ET6,H$300)+COUNTIF('9月'!D6:E6,"渋谷-夜勤")+COUNTIF('9月'!I6:J6,"渋谷-夜勤")+COUNTIF('9月'!N6:O6,"渋谷-夜勤")+COUNTIF('9月'!S6:T6,"渋谷-夜勤")+COUNTIF('9月'!X6:Y6,"渋谷-夜勤")+COUNTIF('9月'!AC6:AD6,"渋谷-夜勤")+COUNTIF('9月'!AH6:AI6,"渋谷-夜勤")+COUNTIF('9月'!AM6:AN6,"渋谷-夜勤")+COUNTIF('9月'!AR6:AS6,"渋谷-夜勤")+COUNTIF('9月'!AW6:AX6,"渋谷-夜勤")+COUNTIF('9月'!BB6:BC6,"渋谷-夜勤")+COUNTIF('9月'!BG6:BH6,"渋谷-夜勤")+COUNTIF('9月'!BL6:BM6,"渋谷-夜勤")+COUNTIF('9月'!BQ6:BR6,"渋谷-夜勤")+COUNTIF('9月'!BV6:BW6,"渋谷-夜勤")+COUNTIF('9月'!CA6:CB6,"渋谷-夜勤")+COUNTIF('9月'!CF6:CG6,"渋谷-夜勤")+COUNTIF('9月'!CK6:CL6,"渋谷-夜勤")+COUNTIF('9月'!CP6:CQ6,"渋谷-夜勤")+COUNTIF('9月'!CU6:CV6,"渋谷-夜勤")+COUNTIF('9月'!CZ6:DA6,"渋谷-夜勤")+COUNTIF('9月'!DE6:DF6,"渋谷-夜勤")+COUNTIF('9月'!DJ6:DK6,"渋谷-夜勤")+COUNTIF('9月'!DO6:DP6,"渋谷-夜勤")+COUNTIF('9月'!DT6:DU6,"渋谷-夜勤")+COUNTIF('9月'!DY6:DZ6,"渋谷-夜勤")+COUNTIF('9月'!ED6:EE6,"渋谷-夜勤")+COUNTIF('9月'!EI6:EJ6,"渋谷-夜勤")+COUNTIF('9月'!EN6:EO6,"渋谷-夜勤")+COUNTIF('9月'!ES6:ET6,"渋谷-夜勤")</f>
        <v>0</v>
      </c>
      <c r="I304" s="76">
        <f t="shared" si="99"/>
        <v>0</v>
      </c>
      <c r="J304" s="76">
        <f>COUNTIF('9月'!D6:E6,J$300)+COUNTIF('9月'!I6:J6,J$300)+COUNTIF('9月'!N6:O6,J$300)+COUNTIF('9月'!S6:T6,J$300)+COUNTIF('9月'!X6:Y6,J$300)+COUNTIF('9月'!AC6:AD6,J$300)+COUNTIF('9月'!AH6:AI6,J$300)+COUNTIF('9月'!AM6:AN6,J$300)+COUNTIF('9月'!AR6:AS6,J$300)+COUNTIF('9月'!AW6:AX6,J$300)+COUNTIF('9月'!BB6:BC6,J$300)+COUNTIF('9月'!BG6:BH6,J$300)+COUNTIF('9月'!BL6:BM6,J$300)+COUNTIF('9月'!BQ6:BR6,J$300)+COUNTIF('9月'!BV6:BW6,J$300)+COUNTIF('9月'!CA6:CB6,J$300)+COUNTIF('9月'!CF6:CG6,J$300)+COUNTIF('9月'!CK6:CL6,J$300)+COUNTIF('9月'!CP6:CQ6,J$300)+COUNTIF('9月'!CU6:CV6,J$300)+COUNTIF('9月'!CZ6:DA6,J$300)+COUNTIF('9月'!DE6:DF6,J$300)+COUNTIF('9月'!DJ6:DK6,J$300)+COUNTIF('9月'!DO6:DP6,J$300)+COUNTIF('9月'!DT6:DU6,J$300)+COUNTIF('9月'!DY6:DZ6,J$300)+COUNTIF('9月'!ED6:EE6,J$300)+COUNTIF('9月'!EI6:EJ6,J$300)+COUNTIF('9月'!EN6:EO6,J$300)+COUNTIF('9月'!ES6:ET6,J$300)+COUNTIF('9月'!D6:E6,"六本木-夜勤")+COUNTIF('9月'!I6:J6,"六本木-夜勤")+COUNTIF('9月'!N6:O6,"六本木-夜勤")+COUNTIF('9月'!S6:T6,"六本木-夜勤")+COUNTIF('9月'!X6:Y6,"六本木-夜勤")+COUNTIF('9月'!AC6:AD6,"六本木-夜勤")+COUNTIF('9月'!AH6:AI6,"六本木-夜勤")+COUNTIF('9月'!AM6:AN6,"六本木-夜勤")+COUNTIF('9月'!AR6:AS6,"六本木-夜勤")+COUNTIF('9月'!AW6:AX6,"六本木-夜勤")+COUNTIF('9月'!BB6:BC6,"六本木-夜勤")+COUNTIF('9月'!BG6:BH6,"六本木-夜勤")+COUNTIF('9月'!BL6:BM6,"六本木-夜勤")+COUNTIF('9月'!BQ6:BR6,"六本木-夜勤")+COUNTIF('9月'!BV6:BW6,"六本木-夜勤")+COUNTIF('9月'!CA6:CB6,"六本木-夜勤")+COUNTIF('9月'!CF6:CG6,"六本木-夜勤")+COUNTIF('9月'!CK6:CL6,"六本木-夜勤")+COUNTIF('9月'!CP6:CQ6,"六本木-夜勤")+COUNTIF('9月'!CU6:CV6,"六本木-夜勤")+COUNTIF('9月'!CZ6:DA6,"六本木-夜勤")+COUNTIF('9月'!DE6:DF6,"六本木-夜勤")+COUNTIF('9月'!DJ6:DK6,"六本木-夜勤")+COUNTIF('9月'!DO6:DP6,"六本木-夜勤")+COUNTIF('9月'!DT6:DU6,"六本木-夜勤")+COUNTIF('9月'!DY6:DZ6,"六本木-夜勤")+COUNTIF('9月'!ED6:EE6,"六本木-夜勤")+COUNTIF('9月'!EI6:EJ6,"六本木-夜勤")+COUNTIF('9月'!EN6:EO6,"六本木-夜勤")+COUNTIF('9月'!ES6:ET6,"六本木-夜勤")+COUNTIF('9月'!D6:E6,"六本木ー夜勤")+COUNTIF('9月'!I6:J6,"六本木ー夜勤")+COUNTIF('9月'!N6:O6,"六本木ー夜勤")+COUNTIF('9月'!S6:T6,"六本木ー夜勤")+COUNTIF('9月'!X6:Y6,"六本木ー夜勤")+COUNTIF('9月'!AC6:AD6,"六本木ー夜勤")+COUNTIF('9月'!AH6:AI6,"六本木ー夜勤")+COUNTIF('9月'!AM6:AN6,"六本木ー夜勤")+COUNTIF('9月'!AR6:AS6,"六本木ー夜勤")+COUNTIF('9月'!AW6:AX6,"六本木ー夜勤")+COUNTIF('9月'!BB6:BC6,"六本木ー夜勤")+COUNTIF('9月'!BG6:BH6,"六本木ー夜勤")+COUNTIF('9月'!BL6:BM6,"六本木ー夜勤")+COUNTIF('9月'!BQ6:BR6,"六本木ー夜勤")+COUNTIF('9月'!BV6:BW6,"六本木ー夜勤")+COUNTIF('9月'!CA6:CB6,"六本木ー夜勤")+COUNTIF('9月'!CF6:CG6,"六本木ー夜勤")+COUNTIF('9月'!CK6:CL6,"六本木ー夜勤")+COUNTIF('9月'!CP6:CQ6,"六本木ー夜勤")+COUNTIF('9月'!CU6:CV6,"六本木ー夜勤")+COUNTIF('9月'!CZ6:DA6,"六本木ー夜勤")+COUNTIF('9月'!DE6:DF6,"六本木ー夜勤")+COUNTIF('9月'!DJ6:DK6,"六本木ー夜勤")+COUNTIF('9月'!DO6:DP6,"六本木ー夜勤")+COUNTIF('9月'!DT6:DU6,"六本木ー夜勤")+COUNTIF('9月'!DY6:DZ6,"六本木ー夜勤")+COUNTIF('9月'!ED6:EE6,"六本木ー夜勤")+COUNTIF('9月'!EI6:EJ6,"六本木ー夜勤")+COUNTIF('9月'!EN6:EO6,"六本木ー夜勤")+COUNTIF('9月'!ES6:ET6,"六本木ー夜勤")</f>
        <v>0</v>
      </c>
      <c r="K304" s="76">
        <f t="shared" si="100"/>
        <v>0</v>
      </c>
      <c r="L304" s="76">
        <f>COUNTIF('9月'!D6:E6,L$300)+COUNTIF('9月'!I6:J6,L$300)+COUNTIF('9月'!N6:O6,L$300)+COUNTIF('9月'!S6:T6,L$300)+COUNTIF('9月'!X6:Y6,L$300)+COUNTIF('9月'!AC6:AD6,L$300)+COUNTIF('9月'!AH6:AI6,L$300)+COUNTIF('9月'!AM6:AN6,L$300)+COUNTIF('9月'!AR6:AS6,L$300)+COUNTIF('9月'!AW6:AX6,L$300)+COUNTIF('9月'!BB6:BC6,L$300)+COUNTIF('9月'!BG6:BH6,L$300)+COUNTIF('9月'!BL6:BM6,L$300)+COUNTIF('9月'!BQ6:BR6,L$300)+COUNTIF('9月'!BV6:BW6,L$300)+COUNTIF('9月'!CA6:CB6,L$300)+COUNTIF('9月'!CF6:CG6,L$300)+COUNTIF('9月'!CK6:CL6,L$300)+COUNTIF('9月'!CP6:CQ6,L$300)+COUNTIF('9月'!CU6:CV6,L$300)+COUNTIF('9月'!CZ6:DA6,L$300)+COUNTIF('9月'!DE6:DF6,L$300)+COUNTIF('9月'!DJ6:DK6,L$300)+COUNTIF('9月'!DO6:DP6,L$300)+COUNTIF('9月'!DT6:DU6,L$300)+COUNTIF('9月'!DY6:DZ6,L$300)+COUNTIF('9月'!ED6:EE6,L$300)+COUNTIF('9月'!EI6:EJ6,L$300)+COUNTIF('9月'!EN6:EO6,L$300)+COUNTIF('9月'!ES6:ET6,L$300)</f>
        <v>0</v>
      </c>
      <c r="M304" s="76">
        <f t="shared" si="101"/>
        <v>0</v>
      </c>
      <c r="N304" s="76">
        <f>COUNTIF('9月'!D6:E6,N$300)+COUNTIF('9月'!I6:J6,N$300)+COUNTIF('9月'!N6:O6,N$300)+COUNTIF('9月'!S6:T6,N$300)+COUNTIF('9月'!X6:Y6,N$300)+COUNTIF('9月'!AC6:AD6,N$300)+COUNTIF('9月'!AH6:AI6,N$300)+COUNTIF('9月'!AM6:AN6,N$300)+COUNTIF('9月'!AR6:AS6,N$300)+COUNTIF('9月'!AW6:AX6,N$300)+COUNTIF('9月'!BB6:BC6,N$300)+COUNTIF('9月'!BG6:BH6,N$300)+COUNTIF('9月'!BL6:BM6,N$300)+COUNTIF('9月'!BQ6:BR6,N$300)+COUNTIF('9月'!BV6:BW6,N$300)+COUNTIF('9月'!CA6:CB6,N$300)+COUNTIF('9月'!CF6:CG6,N$300)+COUNTIF('9月'!CK6:CL6,N$300)+COUNTIF('9月'!CP6:CQ6,N$300)+COUNTIF('9月'!CU6:CV6,N$300)+COUNTIF('9月'!CZ6:DA6,N$300)+COUNTIF('9月'!DE6:DF6,N$300)+COUNTIF('9月'!DJ6:DK6,N$300)+COUNTIF('9月'!DO6:DP6,N$300)+COUNTIF('9月'!DT6:DU6,N$300)+COUNTIF('9月'!DY6:DZ6,N$300)+COUNTIF('9月'!ED6:EE6,N$300)+COUNTIF('9月'!EI6:EJ6,N$300)+COUNTIF('9月'!EN6:EO6,N$300)+COUNTIF('9月'!ES6:ET6,N$300)+COUNTIF('9月'!D6:E6,"三軒茶屋－夜勤")+COUNTIF('9月'!I6:J6,"三軒茶屋－夜勤")+COUNTIF('9月'!N6:O6,"三軒茶屋－夜勤")+COUNTIF('9月'!S6:T6,"三軒茶屋－夜勤")+COUNTIF('9月'!X6:Y6,"三軒茶屋－夜勤")+COUNTIF('9月'!AC6:AD6,"三軒茶屋－夜勤")+COUNTIF('9月'!AH6:AI6,"三軒茶屋－夜勤")+COUNTIF('9月'!AM6:AN6,"三軒茶屋－夜勤")+COUNTIF('9月'!AR6:AS6,"三軒茶屋－夜勤")+COUNTIF('9月'!AW6:AX6,"三軒茶屋－夜勤")+COUNTIF('9月'!BB6:BC6,"三軒茶屋－夜勤")+COUNTIF('9月'!BG6:BH6,"三軒茶屋－夜勤")+COUNTIF('9月'!BL6:BM6,"三軒茶屋－夜勤")+COUNTIF('9月'!BQ6:BR6,"三軒茶屋－夜勤")+COUNTIF('9月'!BV6:BW6,"三軒茶屋－夜勤")+COUNTIF('9月'!CA6:CB6,"三軒茶屋－夜勤")+COUNTIF('9月'!CF6:CG6,"三軒茶屋－夜勤")+COUNTIF('9月'!CK6:CL6,"三軒茶屋－夜勤")+COUNTIF('9月'!CP6:CQ6,"三軒茶屋－夜勤")+COUNTIF('9月'!CU6:CV6,"三軒茶屋－夜勤")+COUNTIF('9月'!CZ6:DA6,"三軒茶屋－夜勤")+COUNTIF('9月'!DE6:DF6,"三軒茶屋－夜勤")+COUNTIF('9月'!DJ6:DK6,"三軒茶屋－夜勤")+COUNTIF('9月'!DO6:DP6,"三軒茶屋－夜勤")+COUNTIF('9月'!DT6:DU6,"三軒茶屋－夜勤")+COUNTIF('9月'!DY6:DZ6,"三軒茶屋－夜勤")+COUNTIF('9月'!ED6:EE6,"三軒茶屋－夜勤")+COUNTIF('9月'!EI6:EJ6,"三軒茶屋－夜勤")+COUNTIF('9月'!EN6:EO6,"三軒茶屋－夜勤")+COUNTIF('9月'!ES6:ET6,"三軒茶屋－夜勤")</f>
        <v>0</v>
      </c>
      <c r="O304" s="76">
        <f t="shared" si="102"/>
        <v>0</v>
      </c>
      <c r="P304" s="76">
        <f>COUNTIF('9月'!D6:E6,P$300)+COUNTIF('9月'!I6:J6,P$300)+COUNTIF('9月'!N6:O6,P$300)+COUNTIF('9月'!S6:T6,P$300)+COUNTIF('9月'!X6:Y6,P$300)+COUNTIF('9月'!AC6:AD6,P$300)+COUNTIF('9月'!AH6:AI6,P$300)+COUNTIF('9月'!AM6:AN6,P$300)+COUNTIF('9月'!AR6:AS6,P$300)+COUNTIF('9月'!AW6:AX6,P$300)+COUNTIF('9月'!BB6:BC6,P$300)+COUNTIF('9月'!BG6:BH6,P$300)+COUNTIF('9月'!BL6:BM6,P$300)+COUNTIF('9月'!BQ6:BR6,P$300)+COUNTIF('9月'!BV6:BW6,P$300)+COUNTIF('9月'!CA6:CB6,P$300)+COUNTIF('9月'!CF6:CG6,P$300)+COUNTIF('9月'!CK6:CL6,P$300)+COUNTIF('9月'!CP6:CQ6,P$300)+COUNTIF('9月'!CU6:CV6,P$300)+COUNTIF('9月'!CZ6:DA6,P$300)+COUNTIF('9月'!DE6:DF6,P$300)+COUNTIF('9月'!DJ6:DK6,P$300)+COUNTIF('9月'!DO6:DP6,P$300)+COUNTIF('9月'!DT6:DU6,P$300)+COUNTIF('9月'!DY6:DZ6,P$300)+COUNTIF('9月'!ED6:EE6,P$300)+COUNTIF('9月'!EI6:EJ6,P$300)+COUNTIF('9月'!EN6:EO6,P$300)+COUNTIF('9月'!ES6:ET6,P$300)+COUNTIF('9月'!D6:E6,"荻窪ー夜勤")+COUNTIF('9月'!I6:J6,"荻窪ー夜勤")+COUNTIF('9月'!N6:O6,"荻窪ー夜勤")+COUNTIF('9月'!S6:T6,"荻窪ー夜勤")+COUNTIF('9月'!X6:Y6,"荻窪ー夜勤")+COUNTIF('9月'!AC6:AD6,"荻窪ー夜勤")+COUNTIF('9月'!AH6:AI6,"荻窪ー夜勤")+COUNTIF('9月'!AM6:AN6,"荻窪ー夜勤")+COUNTIF('9月'!AR6:AS6,"荻窪ー夜勤")+COUNTIF('9月'!AW6:AX6,"荻窪ー夜勤")+COUNTIF('9月'!BB6:BC6,"荻窪ー夜勤")+COUNTIF('9月'!BG6:BH6,"荻窪ー夜勤")+COUNTIF('9月'!BL6:BM6,"荻窪ー夜勤")+COUNTIF('9月'!BQ6:BR6,"荻窪ー夜勤")+COUNTIF('9月'!BV6:BW6,"荻窪ー夜勤")+COUNTIF('9月'!CA6:CB6,"荻窪ー夜勤")+COUNTIF('9月'!CF6:CG6,"荻窪ー夜勤")+COUNTIF('9月'!CK6:CL6,"荻窪ー夜勤")+COUNTIF('9月'!CP6:CQ6,"荻窪ー夜勤")+COUNTIF('9月'!CU6:CV6,"荻窪ー夜勤")+COUNTIF('9月'!CZ6:DA6,"荻窪ー夜勤")+COUNTIF('9月'!DE6:DF6,"荻窪ー夜勤")+COUNTIF('9月'!DJ6:DK6,"荻窪ー夜勤")+COUNTIF('9月'!DO6:DP6,"荻窪ー夜勤")+COUNTIF('9月'!DT6:DU6,"荻窪ー夜勤")+COUNTIF('9月'!DY6:DZ6,"荻窪ー夜勤")+COUNTIF('9月'!ED6:EE6,"荻窪ー夜勤")+COUNTIF('9月'!EI6:EJ6,"荻窪ー夜勤")+COUNTIF('9月'!EN6:EO6,"荻窪ー夜勤")+COUNTIF('9月'!ES6:ET6,"荻窪ー夜勤")</f>
        <v>0</v>
      </c>
      <c r="Q304" s="76">
        <f t="shared" si="103"/>
        <v>0</v>
      </c>
      <c r="R304" s="76">
        <f>COUNTIF('9月'!D6:E6,R$300)+COUNTIF('9月'!I6:J6,R$300)+COUNTIF('9月'!N6:O6,R$300)+COUNTIF('9月'!S6:T6,R$300)+COUNTIF('9月'!X6:Y6,R$300)+COUNTIF('9月'!AC6:AD6,R$300)+COUNTIF('9月'!AH6:AI6,R$300)+COUNTIF('9月'!AM6:AN6,R$300)+COUNTIF('9月'!AR6:AS6,R$300)+COUNTIF('9月'!AW6:AX6,R$300)+COUNTIF('9月'!BB6:BC6,R$300)+COUNTIF('9月'!BG6:BH6,R$300)+COUNTIF('9月'!BL6:BM6,R$300)+COUNTIF('9月'!BQ6:BR6,R$300)+COUNTIF('9月'!BV6:BW6,R$300)+COUNTIF('9月'!CA6:CB6,R$300)+COUNTIF('9月'!CF6:CG6,R$300)+COUNTIF('9月'!CK6:CL6,R$300)+COUNTIF('9月'!CP6:CQ6,R$300)+COUNTIF('9月'!CU6:CV6,R$300)+COUNTIF('9月'!CZ6:DA6,R$300)+COUNTIF('9月'!DE6:DF6,R$300)+COUNTIF('9月'!DJ6:DK6,R$300)+COUNTIF('9月'!DO6:DP6,R$300)+COUNTIF('9月'!DT6:DU6,R$300)+COUNTIF('9月'!DY6:DZ6,R$300)+COUNTIF('9月'!ED6:EE6,R$300)+COUNTIF('9月'!EI6:EJ6,R$300)+COUNTIF('9月'!EN6:EO6,R$300)+COUNTIF('9月'!ES6:ET6,R$300)</f>
        <v>0</v>
      </c>
      <c r="S304" s="76">
        <f t="shared" si="104"/>
        <v>0</v>
      </c>
      <c r="T304" s="76">
        <f>COUNTIF('9月'!D6:E6,T$300)+COUNTIF('9月'!I6:J6,T$300)+COUNTIF('9月'!N6:O6,T$300)+COUNTIF('9月'!S6:T6,T$300)+COUNTIF('9月'!X6:Y6,T$300)+COUNTIF('9月'!AC6:AD6,T$300)+COUNTIF('9月'!AH6:AI6,T$300)+COUNTIF('9月'!AM6:AN6,T$300)+COUNTIF('9月'!AR6:AS6,T$300)+COUNTIF('9月'!AW6:AX6,T$300)+COUNTIF('9月'!BB6:BC6,T$300)+COUNTIF('9月'!BG6:BH6,T$300)+COUNTIF('9月'!BL6:BM6,T$300)+COUNTIF('9月'!BQ6:BR6,T$300)+COUNTIF('9月'!BV6:BW6,T$300)+COUNTIF('9月'!CA6:CB6,T$300)+COUNTIF('9月'!CF6:CG6,T$300)+COUNTIF('9月'!CK6:CL6,T$300)+COUNTIF('9月'!CP6:CQ6,T$300)+COUNTIF('9月'!CU6:CV6,T$300)+COUNTIF('9月'!CZ6:DA6,T$300)+COUNTIF('9月'!DE6:DF6,T$300)+COUNTIF('9月'!DJ6:DK6,T$300)+COUNTIF('9月'!DO6:DP6,T$300)+COUNTIF('9月'!DT6:DU6,T$300)+COUNTIF('9月'!DY6:DZ6,T$300)+COUNTIF('9月'!ED6:EE6,T$300)+COUNTIF('9月'!EI6:EJ6,T$300)+COUNTIF('9月'!EN6:EO6,T$300)+COUNTIF('9月'!ES6:ET6,T$300)</f>
        <v>0</v>
      </c>
      <c r="U304" s="76">
        <f t="shared" si="105"/>
        <v>0</v>
      </c>
      <c r="V304" s="76">
        <f>COUNTIF('9月'!D6:E6,V$300)+COUNTIF('9月'!I6:J6,V$300)+COUNTIF('9月'!N6:O6,V$300)+COUNTIF('9月'!S6:T6,V$300)+COUNTIF('9月'!X6:Y6,V$300)+COUNTIF('9月'!AC6:AD6,V$300)+COUNTIF('9月'!AH6:AI6,V$300)+COUNTIF('9月'!AM6:AN6,V$300)+COUNTIF('9月'!AR6:AS6,V$300)+COUNTIF('9月'!AW6:AX6,V$300)+COUNTIF('9月'!BB6:BC6,V$300)+COUNTIF('9月'!BG6:BH6,V$300)+COUNTIF('9月'!BL6:BM6,V$300)+COUNTIF('9月'!BQ6:BR6,V$300)+COUNTIF('9月'!BV6:BW6,V$300)+COUNTIF('9月'!CA6:CB6,V$300)+COUNTIF('9月'!CF6:CG6,V$300)+COUNTIF('9月'!CK6:CL6,V$300)+COUNTIF('9月'!CP6:CQ6,V$300)+COUNTIF('9月'!CU6:CV6,V$300)+COUNTIF('9月'!CZ6:DA6,V$300)+COUNTIF('9月'!DE6:DF6,V$300)+COUNTIF('9月'!DJ6:DK6,V$300)+COUNTIF('9月'!DO6:DP6,V$300)+COUNTIF('9月'!DT6:DU6,V$300)+COUNTIF('9月'!DY6:DZ6,V$300)+COUNTIF('9月'!ED6:EE6,V$300)+COUNTIF('9月'!EI6:EJ6,V$300)+COUNTIF('9月'!EN6:EO6,V$300)+COUNTIF('9月'!ES6:ET6,V$300)</f>
        <v>0</v>
      </c>
      <c r="W304" s="76">
        <f t="shared" si="106"/>
        <v>0</v>
      </c>
      <c r="X304" s="76">
        <f>COUNTIF('9月'!D6:E6,X$300)+COUNTIF('9月'!I6:J6,X$300)+COUNTIF('9月'!N6:O6,X$300)+COUNTIF('9月'!S6:T6,X$300)+COUNTIF('9月'!X6:Y6,X$300)+COUNTIF('9月'!AC6:AD6,X$300)+COUNTIF('9月'!AH6:AI6,X$300)+COUNTIF('9月'!AM6:AN6,X$300)+COUNTIF('9月'!AR6:AS6,X$300)+COUNTIF('9月'!AW6:AX6,X$300)+COUNTIF('9月'!BB6:BC6,X$300)+COUNTIF('9月'!BG6:BH6,X$300)+COUNTIF('9月'!BL6:BM6,X$300)+COUNTIF('9月'!BQ6:BR6,X$300)+COUNTIF('9月'!BV6:BW6,X$300)+COUNTIF('9月'!CA6:CB6,X$300)+COUNTIF('9月'!CF6:CG6,X$300)+COUNTIF('9月'!CK6:CL6,X$300)+COUNTIF('9月'!CP6:CQ6,X$300)+COUNTIF('9月'!CU6:CV6,X$300)+COUNTIF('9月'!CZ6:DA6,X$300)+COUNTIF('9月'!DE6:DF6,X$300)+COUNTIF('9月'!DJ6:DK6,X$300)+COUNTIF('9月'!DO6:DP6,X$300)+COUNTIF('9月'!DT6:DU6,X$300)+COUNTIF('9月'!DY6:DZ6,X$300)+COUNTIF('9月'!ED6:EE6,X$300)+COUNTIF('9月'!EI6:EJ6,X$300)+COUNTIF('9月'!EN6:EO6,X$300)+COUNTIF('9月'!ES6:ET6,X$300)</f>
        <v>0</v>
      </c>
      <c r="Y304" s="76">
        <f t="shared" si="107"/>
        <v>0</v>
      </c>
    </row>
    <row r="305" spans="1:25" ht="18" customHeight="1">
      <c r="A305" s="76">
        <v>4</v>
      </c>
      <c r="B305" s="76">
        <f>COUNTIF('9月'!D7:E7,B$300)+COUNTIF('9月'!I7:J7,B$300)+COUNTIF('9月'!N7:O7,B$300)+COUNTIF('9月'!S7:T7,B$300)+COUNTIF('9月'!X7:Y7,B$300)+COUNTIF('9月'!AC7:AD7,B$300)+COUNTIF('9月'!AH7:AI7,B$300)+COUNTIF('9月'!AM7:AN7,B$300)+COUNTIF('9月'!AR7:AS7,B$300)+COUNTIF('9月'!AW7:AX7,B$300)+COUNTIF('9月'!BB7:BC7,B$300)+COUNTIF('9月'!BG7:BH7,B$300)+COUNTIF('9月'!BL7:BM7,B$300)+COUNTIF('9月'!BQ7:BR7,B$300)+COUNTIF('9月'!BV7:BW7,B$300)+COUNTIF('9月'!CA7:CB7,B$300)+COUNTIF('9月'!CF7:CG7,B$300)+COUNTIF('9月'!CK7:CL7,B$300)+COUNTIF('9月'!CP7:CQ7,B$300)+COUNTIF('9月'!CU7:CV7,B$300)+COUNTIF('9月'!CZ7:DA7,B$300)+COUNTIF('9月'!DE7:DF7,B$300)+COUNTIF('9月'!DJ7:DK7,B$300)+COUNTIF('9月'!DO7:DP7,B$300)+COUNTIF('9月'!DT7:DU7,B$300)+COUNTIF('9月'!DY7:DZ7,B$300)+COUNTIF('9月'!ED7:EE7,B$300)+COUNTIF('9月'!EI7:EJ7,B$300)+COUNTIF('9月'!EN7:EO7,B$300)+COUNTIF('9月'!ES7:ET7,B$300)</f>
        <v>0</v>
      </c>
      <c r="C305" s="76">
        <f t="shared" si="96"/>
        <v>0</v>
      </c>
      <c r="D305" s="76">
        <f>COUNTIF('9月'!D7:E7,D$300)+COUNTIF('9月'!I7:J7,D$300)+COUNTIF('9月'!N7:O7,D$300)+COUNTIF('9月'!S7:T7,D$300)+COUNTIF('9月'!X7:Y7,D$300)+COUNTIF('9月'!AC7:AD7,D$300)+COUNTIF('9月'!AH7:AI7,D$300)+COUNTIF('9月'!AM7:AN7,D$300)+COUNTIF('9月'!AR7:AS7,D$300)+COUNTIF('9月'!AW7:AX7,D$300)+COUNTIF('9月'!BB7:BC7,D$300)+COUNTIF('9月'!BG7:BH7,D$300)+COUNTIF('9月'!BL7:BM7,D$300)+COUNTIF('9月'!BQ7:BR7,D$300)+COUNTIF('9月'!BV7:BW7,D$300)+COUNTIF('9月'!CA7:CB7,D$300)+COUNTIF('9月'!CF7:CG7,D$300)+COUNTIF('9月'!CK7:CL7,D$300)+COUNTIF('9月'!CP7:CQ7,D$300)+COUNTIF('9月'!CU7:CV7,D$300)+COUNTIF('9月'!CZ7:DA7,D$300)+COUNTIF('9月'!DE7:DF7,D$300)+COUNTIF('9月'!DJ7:DK7,D$300)+COUNTIF('9月'!DO7:DP7,D$300)+COUNTIF('9月'!DT7:DU7,D$300)+COUNTIF('9月'!DY7:DZ7,D$300)+COUNTIF('9月'!ED7:EE7,D$300)+COUNTIF('9月'!EI7:EJ7,D$300)+COUNTIF('9月'!EN7:EO7,D$300)+COUNTIF('9月'!ES7:ET7,D$300)</f>
        <v>0</v>
      </c>
      <c r="E305" s="76">
        <f t="shared" si="97"/>
        <v>0</v>
      </c>
      <c r="F305" s="76">
        <f>COUNTIF('9月'!D7:E7,F$300)+COUNTIF('9月'!I7:J7,F$300)+COUNTIF('9月'!N7:O7,F$300)+COUNTIF('9月'!S7:T7,F$300)+COUNTIF('9月'!X7:Y7,F$300)+COUNTIF('9月'!AC7:AD7,F$300)+COUNTIF('9月'!AH7:AI7,F$300)+COUNTIF('9月'!AM7:AN7,F$300)+COUNTIF('9月'!AR7:AS7,F$300)+COUNTIF('9月'!AW7:AX7,F$300)+COUNTIF('9月'!BB7:BC7,F$300)+COUNTIF('9月'!BG7:BH7,F$300)+COUNTIF('9月'!BL7:BM7,F$300)+COUNTIF('9月'!BQ7:BR7,F$300)+COUNTIF('9月'!BV7:BW7,F$300)+COUNTIF('9月'!CA7:CB7,F$300)+COUNTIF('9月'!CF7:CG7,F$300)+COUNTIF('9月'!CK7:CL7,F$300)+COUNTIF('9月'!CP7:CQ7,F$300)+COUNTIF('9月'!CU7:CV7,F$300)+COUNTIF('9月'!CZ7:DA7,F$300)+COUNTIF('9月'!DE7:DF7,F$300)+COUNTIF('9月'!DJ7:DK7,F$300)+COUNTIF('9月'!DO7:DP7,F$300)+COUNTIF('9月'!DT7:DU7,F$300)+COUNTIF('9月'!DY7:DZ7,F$300)+COUNTIF('9月'!ED7:EE7,F$300)+COUNTIF('9月'!EI7:EJ7,F$300)+COUNTIF('9月'!EN7:EO7,F$300)+COUNTIF('9月'!ES7:ET7,F$300)</f>
        <v>0</v>
      </c>
      <c r="G305" s="76">
        <f t="shared" si="98"/>
        <v>0</v>
      </c>
      <c r="H305" s="76">
        <f>COUNTIF('9月'!D7:E7,H$300)+COUNTIF('9月'!I7:J7,H$300)+COUNTIF('9月'!N7:O7,H$300)+COUNTIF('9月'!S7:T7,H$300)+COUNTIF('9月'!X7:Y7,H$300)+COUNTIF('9月'!AC7:AD7,H$300)+COUNTIF('9月'!AH7:AI7,H$300)+COUNTIF('9月'!AM7:AN7,H$300)+COUNTIF('9月'!AR7:AS7,H$300)+COUNTIF('9月'!AW7:AX7,H$300)+COUNTIF('9月'!BB7:BC7,H$300)+COUNTIF('9月'!BG7:BH7,H$300)+COUNTIF('9月'!BL7:BM7,H$300)+COUNTIF('9月'!BQ7:BR7,H$300)+COUNTIF('9月'!BV7:BW7,H$300)+COUNTIF('9月'!CA7:CB7,H$300)+COUNTIF('9月'!CF7:CG7,H$300)+COUNTIF('9月'!CK7:CL7,H$300)+COUNTIF('9月'!CP7:CQ7,H$300)+COUNTIF('9月'!CU7:CV7,H$300)+COUNTIF('9月'!CZ7:DA7,H$300)+COUNTIF('9月'!DE7:DF7,H$300)+COUNTIF('9月'!DJ7:DK7,H$300)+COUNTIF('9月'!DO7:DP7,H$300)+COUNTIF('9月'!DT7:DU7,H$300)+COUNTIF('9月'!DY7:DZ7,H$300)+COUNTIF('9月'!ED7:EE7,H$300)+COUNTIF('9月'!EI7:EJ7,H$300)+COUNTIF('9月'!EN7:EO7,H$300)+COUNTIF('9月'!ES7:ET7,H$300)+COUNTIF('9月'!D7:E7,"渋谷-夜勤")+COUNTIF('9月'!I7:J7,"渋谷-夜勤")+COUNTIF('9月'!N7:O7,"渋谷-夜勤")+COUNTIF('9月'!S7:T7,"渋谷-夜勤")+COUNTIF('9月'!X7:Y7,"渋谷-夜勤")+COUNTIF('9月'!AC7:AD7,"渋谷-夜勤")+COUNTIF('9月'!AH7:AI7,"渋谷-夜勤")+COUNTIF('9月'!AM7:AN7,"渋谷-夜勤")+COUNTIF('9月'!AR7:AS7,"渋谷-夜勤")+COUNTIF('9月'!AW7:AX7,"渋谷-夜勤")+COUNTIF('9月'!BB7:BC7,"渋谷-夜勤")+COUNTIF('9月'!BG7:BH7,"渋谷-夜勤")+COUNTIF('9月'!BL7:BM7,"渋谷-夜勤")+COUNTIF('9月'!BQ7:BR7,"渋谷-夜勤")+COUNTIF('9月'!BV7:BW7,"渋谷-夜勤")+COUNTIF('9月'!CA7:CB7,"渋谷-夜勤")+COUNTIF('9月'!CF7:CG7,"渋谷-夜勤")+COUNTIF('9月'!CK7:CL7,"渋谷-夜勤")+COUNTIF('9月'!CP7:CQ7,"渋谷-夜勤")+COUNTIF('9月'!CU7:CV7,"渋谷-夜勤")+COUNTIF('9月'!CZ7:DA7,"渋谷-夜勤")+COUNTIF('9月'!DE7:DF7,"渋谷-夜勤")+COUNTIF('9月'!DJ7:DK7,"渋谷-夜勤")+COUNTIF('9月'!DO7:DP7,"渋谷-夜勤")+COUNTIF('9月'!DT7:DU7,"渋谷-夜勤")+COUNTIF('9月'!DY7:DZ7,"渋谷-夜勤")+COUNTIF('9月'!ED7:EE7,"渋谷-夜勤")+COUNTIF('9月'!EI7:EJ7,"渋谷-夜勤")+COUNTIF('9月'!EN7:EO7,"渋谷-夜勤")+COUNTIF('9月'!ES7:ET7,"渋谷-夜勤")</f>
        <v>0</v>
      </c>
      <c r="I305" s="76">
        <f t="shared" si="99"/>
        <v>0</v>
      </c>
      <c r="J305" s="76">
        <f>COUNTIF('9月'!D7:E7,J$300)+COUNTIF('9月'!I7:J7,J$300)+COUNTIF('9月'!N7:O7,J$300)+COUNTIF('9月'!S7:T7,J$300)+COUNTIF('9月'!X7:Y7,J$300)+COUNTIF('9月'!AC7:AD7,J$300)+COUNTIF('9月'!AH7:AI7,J$300)+COUNTIF('9月'!AM7:AN7,J$300)+COUNTIF('9月'!AR7:AS7,J$300)+COUNTIF('9月'!AW7:AX7,J$300)+COUNTIF('9月'!BB7:BC7,J$300)+COUNTIF('9月'!BG7:BH7,J$300)+COUNTIF('9月'!BL7:BM7,J$300)+COUNTIF('9月'!BQ7:BR7,J$300)+COUNTIF('9月'!BV7:BW7,J$300)+COUNTIF('9月'!CA7:CB7,J$300)+COUNTIF('9月'!CF7:CG7,J$300)+COUNTIF('9月'!CK7:CL7,J$300)+COUNTIF('9月'!CP7:CQ7,J$300)+COUNTIF('9月'!CU7:CV7,J$300)+COUNTIF('9月'!CZ7:DA7,J$300)+COUNTIF('9月'!DE7:DF7,J$300)+COUNTIF('9月'!DJ7:DK7,J$300)+COUNTIF('9月'!DO7:DP7,J$300)+COUNTIF('9月'!DT7:DU7,J$300)+COUNTIF('9月'!DY7:DZ7,J$300)+COUNTIF('9月'!ED7:EE7,J$300)+COUNTIF('9月'!EI7:EJ7,J$300)+COUNTIF('9月'!EN7:EO7,J$300)+COUNTIF('9月'!ES7:ET7,J$300)+COUNTIF('9月'!D7:E7,"六本木-夜勤")+COUNTIF('9月'!I7:J7,"六本木-夜勤")+COUNTIF('9月'!N7:O7,"六本木-夜勤")+COUNTIF('9月'!S7:T7,"六本木-夜勤")+COUNTIF('9月'!X7:Y7,"六本木-夜勤")+COUNTIF('9月'!AC7:AD7,"六本木-夜勤")+COUNTIF('9月'!AH7:AI7,"六本木-夜勤")+COUNTIF('9月'!AM7:AN7,"六本木-夜勤")+COUNTIF('9月'!AR7:AS7,"六本木-夜勤")+COUNTIF('9月'!AW7:AX7,"六本木-夜勤")+COUNTIF('9月'!BB7:BC7,"六本木-夜勤")+COUNTIF('9月'!BG7:BH7,"六本木-夜勤")+COUNTIF('9月'!BL7:BM7,"六本木-夜勤")+COUNTIF('9月'!BQ7:BR7,"六本木-夜勤")+COUNTIF('9月'!BV7:BW7,"六本木-夜勤")+COUNTIF('9月'!CA7:CB7,"六本木-夜勤")+COUNTIF('9月'!CF7:CG7,"六本木-夜勤")+COUNTIF('9月'!CK7:CL7,"六本木-夜勤")+COUNTIF('9月'!CP7:CQ7,"六本木-夜勤")+COUNTIF('9月'!CU7:CV7,"六本木-夜勤")+COUNTIF('9月'!CZ7:DA7,"六本木-夜勤")+COUNTIF('9月'!DE7:DF7,"六本木-夜勤")+COUNTIF('9月'!DJ7:DK7,"六本木-夜勤")+COUNTIF('9月'!DO7:DP7,"六本木-夜勤")+COUNTIF('9月'!DT7:DU7,"六本木-夜勤")+COUNTIF('9月'!DY7:DZ7,"六本木-夜勤")+COUNTIF('9月'!ED7:EE7,"六本木-夜勤")+COUNTIF('9月'!EI7:EJ7,"六本木-夜勤")+COUNTIF('9月'!EN7:EO7,"六本木-夜勤")+COUNTIF('9月'!ES7:ET7,"六本木-夜勤")+COUNTIF('9月'!D7:E7,"六本木ー夜勤")+COUNTIF('9月'!I7:J7,"六本木ー夜勤")+COUNTIF('9月'!N7:O7,"六本木ー夜勤")+COUNTIF('9月'!S7:T7,"六本木ー夜勤")+COUNTIF('9月'!X7:Y7,"六本木ー夜勤")+COUNTIF('9月'!AC7:AD7,"六本木ー夜勤")+COUNTIF('9月'!AH7:AI7,"六本木ー夜勤")+COUNTIF('9月'!AM7:AN7,"六本木ー夜勤")+COUNTIF('9月'!AR7:AS7,"六本木ー夜勤")+COUNTIF('9月'!AW7:AX7,"六本木ー夜勤")+COUNTIF('9月'!BB7:BC7,"六本木ー夜勤")+COUNTIF('9月'!BG7:BH7,"六本木ー夜勤")+COUNTIF('9月'!BL7:BM7,"六本木ー夜勤")+COUNTIF('9月'!BQ7:BR7,"六本木ー夜勤")+COUNTIF('9月'!BV7:BW7,"六本木ー夜勤")+COUNTIF('9月'!CA7:CB7,"六本木ー夜勤")+COUNTIF('9月'!CF7:CG7,"六本木ー夜勤")+COUNTIF('9月'!CK7:CL7,"六本木ー夜勤")+COUNTIF('9月'!CP7:CQ7,"六本木ー夜勤")+COUNTIF('9月'!CU7:CV7,"六本木ー夜勤")+COUNTIF('9月'!CZ7:DA7,"六本木ー夜勤")+COUNTIF('9月'!DE7:DF7,"六本木ー夜勤")+COUNTIF('9月'!DJ7:DK7,"六本木ー夜勤")+COUNTIF('9月'!DO7:DP7,"六本木ー夜勤")+COUNTIF('9月'!DT7:DU7,"六本木ー夜勤")+COUNTIF('9月'!DY7:DZ7,"六本木ー夜勤")+COUNTIF('9月'!ED7:EE7,"六本木ー夜勤")+COUNTIF('9月'!EI7:EJ7,"六本木ー夜勤")+COUNTIF('9月'!EN7:EO7,"六本木ー夜勤")+COUNTIF('9月'!ES7:ET7,"六本木ー夜勤")</f>
        <v>0</v>
      </c>
      <c r="K305" s="76">
        <f t="shared" si="100"/>
        <v>0</v>
      </c>
      <c r="L305" s="76">
        <f>COUNTIF('9月'!D7:E7,L$300)+COUNTIF('9月'!I7:J7,L$300)+COUNTIF('9月'!N7:O7,L$300)+COUNTIF('9月'!S7:T7,L$300)+COUNTIF('9月'!X7:Y7,L$300)+COUNTIF('9月'!AC7:AD7,L$300)+COUNTIF('9月'!AH7:AI7,L$300)+COUNTIF('9月'!AM7:AN7,L$300)+COUNTIF('9月'!AR7:AS7,L$300)+COUNTIF('9月'!AW7:AX7,L$300)+COUNTIF('9月'!BB7:BC7,L$300)+COUNTIF('9月'!BG7:BH7,L$300)+COUNTIF('9月'!BL7:BM7,L$300)+COUNTIF('9月'!BQ7:BR7,L$300)+COUNTIF('9月'!BV7:BW7,L$300)+COUNTIF('9月'!CA7:CB7,L$300)+COUNTIF('9月'!CF7:CG7,L$300)+COUNTIF('9月'!CK7:CL7,L$300)+COUNTIF('9月'!CP7:CQ7,L$300)+COUNTIF('9月'!CU7:CV7,L$300)+COUNTIF('9月'!CZ7:DA7,L$300)+COUNTIF('9月'!DE7:DF7,L$300)+COUNTIF('9月'!DJ7:DK7,L$300)+COUNTIF('9月'!DO7:DP7,L$300)+COUNTIF('9月'!DT7:DU7,L$300)+COUNTIF('9月'!DY7:DZ7,L$300)+COUNTIF('9月'!ED7:EE7,L$300)+COUNTIF('9月'!EI7:EJ7,L$300)+COUNTIF('9月'!EN7:EO7,L$300)+COUNTIF('9月'!ES7:ET7,L$300)</f>
        <v>0</v>
      </c>
      <c r="M305" s="76">
        <f t="shared" si="101"/>
        <v>0</v>
      </c>
      <c r="N305" s="76">
        <f>COUNTIF('9月'!D7:E7,N$300)+COUNTIF('9月'!I7:J7,N$300)+COUNTIF('9月'!N7:O7,N$300)+COUNTIF('9月'!S7:T7,N$300)+COUNTIF('9月'!X7:Y7,N$300)+COUNTIF('9月'!AC7:AD7,N$300)+COUNTIF('9月'!AH7:AI7,N$300)+COUNTIF('9月'!AM7:AN7,N$300)+COUNTIF('9月'!AR7:AS7,N$300)+COUNTIF('9月'!AW7:AX7,N$300)+COUNTIF('9月'!BB7:BC7,N$300)+COUNTIF('9月'!BG7:BH7,N$300)+COUNTIF('9月'!BL7:BM7,N$300)+COUNTIF('9月'!BQ7:BR7,N$300)+COUNTIF('9月'!BV7:BW7,N$300)+COUNTIF('9月'!CA7:CB7,N$300)+COUNTIF('9月'!CF7:CG7,N$300)+COUNTIF('9月'!CK7:CL7,N$300)+COUNTIF('9月'!CP7:CQ7,N$300)+COUNTIF('9月'!CU7:CV7,N$300)+COUNTIF('9月'!CZ7:DA7,N$300)+COUNTIF('9月'!DE7:DF7,N$300)+COUNTIF('9月'!DJ7:DK7,N$300)+COUNTIF('9月'!DO7:DP7,N$300)+COUNTIF('9月'!DT7:DU7,N$300)+COUNTIF('9月'!DY7:DZ7,N$300)+COUNTIF('9月'!ED7:EE7,N$300)+COUNTIF('9月'!EI7:EJ7,N$300)+COUNTIF('9月'!EN7:EO7,N$300)+COUNTIF('9月'!ES7:ET7,N$300)+COUNTIF('9月'!D7:E7,"三軒茶屋－夜勤")+COUNTIF('9月'!I7:J7,"三軒茶屋－夜勤")+COUNTIF('9月'!N7:O7,"三軒茶屋－夜勤")+COUNTIF('9月'!S7:T7,"三軒茶屋－夜勤")+COUNTIF('9月'!X7:Y7,"三軒茶屋－夜勤")+COUNTIF('9月'!AC7:AD7,"三軒茶屋－夜勤")+COUNTIF('9月'!AH7:AI7,"三軒茶屋－夜勤")+COUNTIF('9月'!AM7:AN7,"三軒茶屋－夜勤")+COUNTIF('9月'!AR7:AS7,"三軒茶屋－夜勤")+COUNTIF('9月'!AW7:AX7,"三軒茶屋－夜勤")+COUNTIF('9月'!BB7:BC7,"三軒茶屋－夜勤")+COUNTIF('9月'!BG7:BH7,"三軒茶屋－夜勤")+COUNTIF('9月'!BL7:BM7,"三軒茶屋－夜勤")+COUNTIF('9月'!BQ7:BR7,"三軒茶屋－夜勤")+COUNTIF('9月'!BV7:BW7,"三軒茶屋－夜勤")+COUNTIF('9月'!CA7:CB7,"三軒茶屋－夜勤")+COUNTIF('9月'!CF7:CG7,"三軒茶屋－夜勤")+COUNTIF('9月'!CK7:CL7,"三軒茶屋－夜勤")+COUNTIF('9月'!CP7:CQ7,"三軒茶屋－夜勤")+COUNTIF('9月'!CU7:CV7,"三軒茶屋－夜勤")+COUNTIF('9月'!CZ7:DA7,"三軒茶屋－夜勤")+COUNTIF('9月'!DE7:DF7,"三軒茶屋－夜勤")+COUNTIF('9月'!DJ7:DK7,"三軒茶屋－夜勤")+COUNTIF('9月'!DO7:DP7,"三軒茶屋－夜勤")+COUNTIF('9月'!DT7:DU7,"三軒茶屋－夜勤")+COUNTIF('9月'!DY7:DZ7,"三軒茶屋－夜勤")+COUNTIF('9月'!ED7:EE7,"三軒茶屋－夜勤")+COUNTIF('9月'!EI7:EJ7,"三軒茶屋－夜勤")+COUNTIF('9月'!EN7:EO7,"三軒茶屋－夜勤")+COUNTIF('9月'!ES7:ET7,"三軒茶屋－夜勤")</f>
        <v>0</v>
      </c>
      <c r="O305" s="76">
        <f t="shared" si="102"/>
        <v>0</v>
      </c>
      <c r="P305" s="76">
        <f>COUNTIF('9月'!D7:E7,P$300)+COUNTIF('9月'!I7:J7,P$300)+COUNTIF('9月'!N7:O7,P$300)+COUNTIF('9月'!S7:T7,P$300)+COUNTIF('9月'!X7:Y7,P$300)+COUNTIF('9月'!AC7:AD7,P$300)+COUNTIF('9月'!AH7:AI7,P$300)+COUNTIF('9月'!AM7:AN7,P$300)+COUNTIF('9月'!AR7:AS7,P$300)+COUNTIF('9月'!AW7:AX7,P$300)+COUNTIF('9月'!BB7:BC7,P$300)+COUNTIF('9月'!BG7:BH7,P$300)+COUNTIF('9月'!BL7:BM7,P$300)+COUNTIF('9月'!BQ7:BR7,P$300)+COUNTIF('9月'!BV7:BW7,P$300)+COUNTIF('9月'!CA7:CB7,P$300)+COUNTIF('9月'!CF7:CG7,P$300)+COUNTIF('9月'!CK7:CL7,P$300)+COUNTIF('9月'!CP7:CQ7,P$300)+COUNTIF('9月'!CU7:CV7,P$300)+COUNTIF('9月'!CZ7:DA7,P$300)+COUNTIF('9月'!DE7:DF7,P$300)+COUNTIF('9月'!DJ7:DK7,P$300)+COUNTIF('9月'!DO7:DP7,P$300)+COUNTIF('9月'!DT7:DU7,P$300)+COUNTIF('9月'!DY7:DZ7,P$300)+COUNTIF('9月'!ED7:EE7,P$300)+COUNTIF('9月'!EI7:EJ7,P$300)+COUNTIF('9月'!EN7:EO7,P$300)+COUNTIF('9月'!ES7:ET7,P$300)+COUNTIF('9月'!D7:E7,"荻窪ー夜勤")+COUNTIF('9月'!I7:J7,"荻窪ー夜勤")+COUNTIF('9月'!N7:O7,"荻窪ー夜勤")+COUNTIF('9月'!S7:T7,"荻窪ー夜勤")+COUNTIF('9月'!X7:Y7,"荻窪ー夜勤")+COUNTIF('9月'!AC7:AD7,"荻窪ー夜勤")+COUNTIF('9月'!AH7:AI7,"荻窪ー夜勤")+COUNTIF('9月'!AM7:AN7,"荻窪ー夜勤")+COUNTIF('9月'!AR7:AS7,"荻窪ー夜勤")+COUNTIF('9月'!AW7:AX7,"荻窪ー夜勤")+COUNTIF('9月'!BB7:BC7,"荻窪ー夜勤")+COUNTIF('9月'!BG7:BH7,"荻窪ー夜勤")+COUNTIF('9月'!BL7:BM7,"荻窪ー夜勤")+COUNTIF('9月'!BQ7:BR7,"荻窪ー夜勤")+COUNTIF('9月'!BV7:BW7,"荻窪ー夜勤")+COUNTIF('9月'!CA7:CB7,"荻窪ー夜勤")+COUNTIF('9月'!CF7:CG7,"荻窪ー夜勤")+COUNTIF('9月'!CK7:CL7,"荻窪ー夜勤")+COUNTIF('9月'!CP7:CQ7,"荻窪ー夜勤")+COUNTIF('9月'!CU7:CV7,"荻窪ー夜勤")+COUNTIF('9月'!CZ7:DA7,"荻窪ー夜勤")+COUNTIF('9月'!DE7:DF7,"荻窪ー夜勤")+COUNTIF('9月'!DJ7:DK7,"荻窪ー夜勤")+COUNTIF('9月'!DO7:DP7,"荻窪ー夜勤")+COUNTIF('9月'!DT7:DU7,"荻窪ー夜勤")+COUNTIF('9月'!DY7:DZ7,"荻窪ー夜勤")+COUNTIF('9月'!ED7:EE7,"荻窪ー夜勤")+COUNTIF('9月'!EI7:EJ7,"荻窪ー夜勤")+COUNTIF('9月'!EN7:EO7,"荻窪ー夜勤")+COUNTIF('9月'!ES7:ET7,"荻窪ー夜勤")</f>
        <v>0</v>
      </c>
      <c r="Q305" s="76">
        <f t="shared" si="103"/>
        <v>0</v>
      </c>
      <c r="R305" s="76">
        <f>COUNTIF('9月'!D7:E7,R$300)+COUNTIF('9月'!I7:J7,R$300)+COUNTIF('9月'!N7:O7,R$300)+COUNTIF('9月'!S7:T7,R$300)+COUNTIF('9月'!X7:Y7,R$300)+COUNTIF('9月'!AC7:AD7,R$300)+COUNTIF('9月'!AH7:AI7,R$300)+COUNTIF('9月'!AM7:AN7,R$300)+COUNTIF('9月'!AR7:AS7,R$300)+COUNTIF('9月'!AW7:AX7,R$300)+COUNTIF('9月'!BB7:BC7,R$300)+COUNTIF('9月'!BG7:BH7,R$300)+COUNTIF('9月'!BL7:BM7,R$300)+COUNTIF('9月'!BQ7:BR7,R$300)+COUNTIF('9月'!BV7:BW7,R$300)+COUNTIF('9月'!CA7:CB7,R$300)+COUNTIF('9月'!CF7:CG7,R$300)+COUNTIF('9月'!CK7:CL7,R$300)+COUNTIF('9月'!CP7:CQ7,R$300)+COUNTIF('9月'!CU7:CV7,R$300)+COUNTIF('9月'!CZ7:DA7,R$300)+COUNTIF('9月'!DE7:DF7,R$300)+COUNTIF('9月'!DJ7:DK7,R$300)+COUNTIF('9月'!DO7:DP7,R$300)+COUNTIF('9月'!DT7:DU7,R$300)+COUNTIF('9月'!DY7:DZ7,R$300)+COUNTIF('9月'!ED7:EE7,R$300)+COUNTIF('9月'!EI7:EJ7,R$300)+COUNTIF('9月'!EN7:EO7,R$300)+COUNTIF('9月'!ES7:ET7,R$300)</f>
        <v>0</v>
      </c>
      <c r="S305" s="76">
        <f t="shared" si="104"/>
        <v>0</v>
      </c>
      <c r="T305" s="76">
        <f>COUNTIF('9月'!D7:E7,T$300)+COUNTIF('9月'!I7:J7,T$300)+COUNTIF('9月'!N7:O7,T$300)+COUNTIF('9月'!S7:T7,T$300)+COUNTIF('9月'!X7:Y7,T$300)+COUNTIF('9月'!AC7:AD7,T$300)+COUNTIF('9月'!AH7:AI7,T$300)+COUNTIF('9月'!AM7:AN7,T$300)+COUNTIF('9月'!AR7:AS7,T$300)+COUNTIF('9月'!AW7:AX7,T$300)+COUNTIF('9月'!BB7:BC7,T$300)+COUNTIF('9月'!BG7:BH7,T$300)+COUNTIF('9月'!BL7:BM7,T$300)+COUNTIF('9月'!BQ7:BR7,T$300)+COUNTIF('9月'!BV7:BW7,T$300)+COUNTIF('9月'!CA7:CB7,T$300)+COUNTIF('9月'!CF7:CG7,T$300)+COUNTIF('9月'!CK7:CL7,T$300)+COUNTIF('9月'!CP7:CQ7,T$300)+COUNTIF('9月'!CU7:CV7,T$300)+COUNTIF('9月'!CZ7:DA7,T$300)+COUNTIF('9月'!DE7:DF7,T$300)+COUNTIF('9月'!DJ7:DK7,T$300)+COUNTIF('9月'!DO7:DP7,T$300)+COUNTIF('9月'!DT7:DU7,T$300)+COUNTIF('9月'!DY7:DZ7,T$300)+COUNTIF('9月'!ED7:EE7,T$300)+COUNTIF('9月'!EI7:EJ7,T$300)+COUNTIF('9月'!EN7:EO7,T$300)+COUNTIF('9月'!ES7:ET7,T$300)</f>
        <v>0</v>
      </c>
      <c r="U305" s="76">
        <f t="shared" si="105"/>
        <v>0</v>
      </c>
      <c r="V305" s="76">
        <f>COUNTIF('9月'!D7:E7,V$300)+COUNTIF('9月'!I7:J7,V$300)+COUNTIF('9月'!N7:O7,V$300)+COUNTIF('9月'!S7:T7,V$300)+COUNTIF('9月'!X7:Y7,V$300)+COUNTIF('9月'!AC7:AD7,V$300)+COUNTIF('9月'!AH7:AI7,V$300)+COUNTIF('9月'!AM7:AN7,V$300)+COUNTIF('9月'!AR7:AS7,V$300)+COUNTIF('9月'!AW7:AX7,V$300)+COUNTIF('9月'!BB7:BC7,V$300)+COUNTIF('9月'!BG7:BH7,V$300)+COUNTIF('9月'!BL7:BM7,V$300)+COUNTIF('9月'!BQ7:BR7,V$300)+COUNTIF('9月'!BV7:BW7,V$300)+COUNTIF('9月'!CA7:CB7,V$300)+COUNTIF('9月'!CF7:CG7,V$300)+COUNTIF('9月'!CK7:CL7,V$300)+COUNTIF('9月'!CP7:CQ7,V$300)+COUNTIF('9月'!CU7:CV7,V$300)+COUNTIF('9月'!CZ7:DA7,V$300)+COUNTIF('9月'!DE7:DF7,V$300)+COUNTIF('9月'!DJ7:DK7,V$300)+COUNTIF('9月'!DO7:DP7,V$300)+COUNTIF('9月'!DT7:DU7,V$300)+COUNTIF('9月'!DY7:DZ7,V$300)+COUNTIF('9月'!ED7:EE7,V$300)+COUNTIF('9月'!EI7:EJ7,V$300)+COUNTIF('9月'!EN7:EO7,V$300)+COUNTIF('9月'!ES7:ET7,V$300)</f>
        <v>0</v>
      </c>
      <c r="W305" s="76">
        <f t="shared" si="106"/>
        <v>0</v>
      </c>
      <c r="X305" s="76">
        <f>COUNTIF('9月'!D7:E7,X$300)+COUNTIF('9月'!I7:J7,X$300)+COUNTIF('9月'!N7:O7,X$300)+COUNTIF('9月'!S7:T7,X$300)+COUNTIF('9月'!X7:Y7,X$300)+COUNTIF('9月'!AC7:AD7,X$300)+COUNTIF('9月'!AH7:AI7,X$300)+COUNTIF('9月'!AM7:AN7,X$300)+COUNTIF('9月'!AR7:AS7,X$300)+COUNTIF('9月'!AW7:AX7,X$300)+COUNTIF('9月'!BB7:BC7,X$300)+COUNTIF('9月'!BG7:BH7,X$300)+COUNTIF('9月'!BL7:BM7,X$300)+COUNTIF('9月'!BQ7:BR7,X$300)+COUNTIF('9月'!BV7:BW7,X$300)+COUNTIF('9月'!CA7:CB7,X$300)+COUNTIF('9月'!CF7:CG7,X$300)+COUNTIF('9月'!CK7:CL7,X$300)+COUNTIF('9月'!CP7:CQ7,X$300)+COUNTIF('9月'!CU7:CV7,X$300)+COUNTIF('9月'!CZ7:DA7,X$300)+COUNTIF('9月'!DE7:DF7,X$300)+COUNTIF('9月'!DJ7:DK7,X$300)+COUNTIF('9月'!DO7:DP7,X$300)+COUNTIF('9月'!DT7:DU7,X$300)+COUNTIF('9月'!DY7:DZ7,X$300)+COUNTIF('9月'!ED7:EE7,X$300)+COUNTIF('9月'!EI7:EJ7,X$300)+COUNTIF('9月'!EN7:EO7,X$300)+COUNTIF('9月'!ES7:ET7,X$300)</f>
        <v>0</v>
      </c>
      <c r="Y305" s="76">
        <f t="shared" si="107"/>
        <v>0</v>
      </c>
    </row>
    <row r="306" spans="1:25" ht="18" customHeight="1">
      <c r="A306" s="76">
        <v>5</v>
      </c>
      <c r="B306" s="76">
        <f>COUNTIF('9月'!D8:E8,B$300)+COUNTIF('9月'!I8:J8,B$300)+COUNTIF('9月'!N8:O8,B$300)+COUNTIF('9月'!S8:T8,B$300)+COUNTIF('9月'!X8:Y8,B$300)+COUNTIF('9月'!AC8:AD8,B$300)+COUNTIF('9月'!AH8:AI8,B$300)+COUNTIF('9月'!AM8:AN8,B$300)+COUNTIF('9月'!AR8:AS8,B$300)+COUNTIF('9月'!AW8:AX8,B$300)+COUNTIF('9月'!BB8:BC8,B$300)+COUNTIF('9月'!BG8:BH8,B$300)+COUNTIF('9月'!BL8:BM8,B$300)+COUNTIF('9月'!BQ8:BR8,B$300)+COUNTIF('9月'!BV8:BW8,B$300)+COUNTIF('9月'!CA8:CB8,B$300)+COUNTIF('9月'!CF8:CG8,B$300)+COUNTIF('9月'!CK8:CL8,B$300)+COUNTIF('9月'!CP8:CQ8,B$300)+COUNTIF('9月'!CU8:CV8,B$300)+COUNTIF('9月'!CZ8:DA8,B$300)+COUNTIF('9月'!DE8:DF8,B$300)+COUNTIF('9月'!DJ8:DK8,B$300)+COUNTIF('9月'!DO8:DP8,B$300)+COUNTIF('9月'!DT8:DU8,B$300)+COUNTIF('9月'!DY8:DZ8,B$300)+COUNTIF('9月'!ED8:EE8,B$300)+COUNTIF('9月'!EI8:EJ8,B$300)+COUNTIF('9月'!EN8:EO8,B$300)+COUNTIF('9月'!ES8:ET8,B$300)</f>
        <v>0</v>
      </c>
      <c r="C306" s="76">
        <f t="shared" si="96"/>
        <v>0</v>
      </c>
      <c r="D306" s="76">
        <f>COUNTIF('9月'!D8:E8,D$300)+COUNTIF('9月'!I8:J8,D$300)+COUNTIF('9月'!N8:O8,D$300)+COUNTIF('9月'!S8:T8,D$300)+COUNTIF('9月'!X8:Y8,D$300)+COUNTIF('9月'!AC8:AD8,D$300)+COUNTIF('9月'!AH8:AI8,D$300)+COUNTIF('9月'!AM8:AN8,D$300)+COUNTIF('9月'!AR8:AS8,D$300)+COUNTIF('9月'!AW8:AX8,D$300)+COUNTIF('9月'!BB8:BC8,D$300)+COUNTIF('9月'!BG8:BH8,D$300)+COUNTIF('9月'!BL8:BM8,D$300)+COUNTIF('9月'!BQ8:BR8,D$300)+COUNTIF('9月'!BV8:BW8,D$300)+COUNTIF('9月'!CA8:CB8,D$300)+COUNTIF('9月'!CF8:CG8,D$300)+COUNTIF('9月'!CK8:CL8,D$300)+COUNTIF('9月'!CP8:CQ8,D$300)+COUNTIF('9月'!CU8:CV8,D$300)+COUNTIF('9月'!CZ8:DA8,D$300)+COUNTIF('9月'!DE8:DF8,D$300)+COUNTIF('9月'!DJ8:DK8,D$300)+COUNTIF('9月'!DO8:DP8,D$300)+COUNTIF('9月'!DT8:DU8,D$300)+COUNTIF('9月'!DY8:DZ8,D$300)+COUNTIF('9月'!ED8:EE8,D$300)+COUNTIF('9月'!EI8:EJ8,D$300)+COUNTIF('9月'!EN8:EO8,D$300)+COUNTIF('9月'!ES8:ET8,D$300)</f>
        <v>0</v>
      </c>
      <c r="E306" s="76">
        <f t="shared" si="97"/>
        <v>0</v>
      </c>
      <c r="F306" s="76">
        <f>COUNTIF('9月'!D8:E8,F$300)+COUNTIF('9月'!I8:J8,F$300)+COUNTIF('9月'!N8:O8,F$300)+COUNTIF('9月'!S8:T8,F$300)+COUNTIF('9月'!X8:Y8,F$300)+COUNTIF('9月'!AC8:AD8,F$300)+COUNTIF('9月'!AH8:AI8,F$300)+COUNTIF('9月'!AM8:AN8,F$300)+COUNTIF('9月'!AR8:AS8,F$300)+COUNTIF('9月'!AW8:AX8,F$300)+COUNTIF('9月'!BB8:BC8,F$300)+COUNTIF('9月'!BG8:BH8,F$300)+COUNTIF('9月'!BL8:BM8,F$300)+COUNTIF('9月'!BQ8:BR8,F$300)+COUNTIF('9月'!BV8:BW8,F$300)+COUNTIF('9月'!CA8:CB8,F$300)+COUNTIF('9月'!CF8:CG8,F$300)+COUNTIF('9月'!CK8:CL8,F$300)+COUNTIF('9月'!CP8:CQ8,F$300)+COUNTIF('9月'!CU8:CV8,F$300)+COUNTIF('9月'!CZ8:DA8,F$300)+COUNTIF('9月'!DE8:DF8,F$300)+COUNTIF('9月'!DJ8:DK8,F$300)+COUNTIF('9月'!DO8:DP8,F$300)+COUNTIF('9月'!DT8:DU8,F$300)+COUNTIF('9月'!DY8:DZ8,F$300)+COUNTIF('9月'!ED8:EE8,F$300)+COUNTIF('9月'!EI8:EJ8,F$300)+COUNTIF('9月'!EN8:EO8,F$300)+COUNTIF('9月'!ES8:ET8,F$300)</f>
        <v>0</v>
      </c>
      <c r="G306" s="76">
        <f t="shared" si="98"/>
        <v>0</v>
      </c>
      <c r="H306" s="76">
        <f>COUNTIF('9月'!D8:E8,H$300)+COUNTIF('9月'!I8:J8,H$300)+COUNTIF('9月'!N8:O8,H$300)+COUNTIF('9月'!S8:T8,H$300)+COUNTIF('9月'!X8:Y8,H$300)+COUNTIF('9月'!AC8:AD8,H$300)+COUNTIF('9月'!AH8:AI8,H$300)+COUNTIF('9月'!AM8:AN8,H$300)+COUNTIF('9月'!AR8:AS8,H$300)+COUNTIF('9月'!AW8:AX8,H$300)+COUNTIF('9月'!BB8:BC8,H$300)+COUNTIF('9月'!BG8:BH8,H$300)+COUNTIF('9月'!BL8:BM8,H$300)+COUNTIF('9月'!BQ8:BR8,H$300)+COUNTIF('9月'!BV8:BW8,H$300)+COUNTIF('9月'!CA8:CB8,H$300)+COUNTIF('9月'!CF8:CG8,H$300)+COUNTIF('9月'!CK8:CL8,H$300)+COUNTIF('9月'!CP8:CQ8,H$300)+COUNTIF('9月'!CU8:CV8,H$300)+COUNTIF('9月'!CZ8:DA8,H$300)+COUNTIF('9月'!DE8:DF8,H$300)+COUNTIF('9月'!DJ8:DK8,H$300)+COUNTIF('9月'!DO8:DP8,H$300)+COUNTIF('9月'!DT8:DU8,H$300)+COUNTIF('9月'!DY8:DZ8,H$300)+COUNTIF('9月'!ED8:EE8,H$300)+COUNTIF('9月'!EI8:EJ8,H$300)+COUNTIF('9月'!EN8:EO8,H$300)+COUNTIF('9月'!ES8:ET8,H$300)+COUNTIF('9月'!D8:E8,"渋谷-夜勤")+COUNTIF('9月'!I8:J8,"渋谷-夜勤")+COUNTIF('9月'!N8:O8,"渋谷-夜勤")+COUNTIF('9月'!S8:T8,"渋谷-夜勤")+COUNTIF('9月'!X8:Y8,"渋谷-夜勤")+COUNTIF('9月'!AC8:AD8,"渋谷-夜勤")+COUNTIF('9月'!AH8:AI8,"渋谷-夜勤")+COUNTIF('9月'!AM8:AN8,"渋谷-夜勤")+COUNTIF('9月'!AR8:AS8,"渋谷-夜勤")+COUNTIF('9月'!AW8:AX8,"渋谷-夜勤")+COUNTIF('9月'!BB8:BC8,"渋谷-夜勤")+COUNTIF('9月'!BG8:BH8,"渋谷-夜勤")+COUNTIF('9月'!BL8:BM8,"渋谷-夜勤")+COUNTIF('9月'!BQ8:BR8,"渋谷-夜勤")+COUNTIF('9月'!BV8:BW8,"渋谷-夜勤")+COUNTIF('9月'!CA8:CB8,"渋谷-夜勤")+COUNTIF('9月'!CF8:CG8,"渋谷-夜勤")+COUNTIF('9月'!CK8:CL8,"渋谷-夜勤")+COUNTIF('9月'!CP8:CQ8,"渋谷-夜勤")+COUNTIF('9月'!CU8:CV8,"渋谷-夜勤")+COUNTIF('9月'!CZ8:DA8,"渋谷-夜勤")+COUNTIF('9月'!DE8:DF8,"渋谷-夜勤")+COUNTIF('9月'!DJ8:DK8,"渋谷-夜勤")+COUNTIF('9月'!DO8:DP8,"渋谷-夜勤")+COUNTIF('9月'!DT8:DU8,"渋谷-夜勤")+COUNTIF('9月'!DY8:DZ8,"渋谷-夜勤")+COUNTIF('9月'!ED8:EE8,"渋谷-夜勤")+COUNTIF('9月'!EI8:EJ8,"渋谷-夜勤")+COUNTIF('9月'!EN8:EO8,"渋谷-夜勤")+COUNTIF('9月'!ES8:ET8,"渋谷-夜勤")</f>
        <v>0</v>
      </c>
      <c r="I306" s="76">
        <f t="shared" si="99"/>
        <v>0</v>
      </c>
      <c r="J306" s="76">
        <f>COUNTIF('9月'!D8:E8,J$300)+COUNTIF('9月'!I8:J8,J$300)+COUNTIF('9月'!N8:O8,J$300)+COUNTIF('9月'!S8:T8,J$300)+COUNTIF('9月'!X8:Y8,J$300)+COUNTIF('9月'!AC8:AD8,J$300)+COUNTIF('9月'!AH8:AI8,J$300)+COUNTIF('9月'!AM8:AN8,J$300)+COUNTIF('9月'!AR8:AS8,J$300)+COUNTIF('9月'!AW8:AX8,J$300)+COUNTIF('9月'!BB8:BC8,J$300)+COUNTIF('9月'!BG8:BH8,J$300)+COUNTIF('9月'!BL8:BM8,J$300)+COUNTIF('9月'!BQ8:BR8,J$300)+COUNTIF('9月'!BV8:BW8,J$300)+COUNTIF('9月'!CA8:CB8,J$300)+COUNTIF('9月'!CF8:CG8,J$300)+COUNTIF('9月'!CK8:CL8,J$300)+COUNTIF('9月'!CP8:CQ8,J$300)+COUNTIF('9月'!CU8:CV8,J$300)+COUNTIF('9月'!CZ8:DA8,J$300)+COUNTIF('9月'!DE8:DF8,J$300)+COUNTIF('9月'!DJ8:DK8,J$300)+COUNTIF('9月'!DO8:DP8,J$300)+COUNTIF('9月'!DT8:DU8,J$300)+COUNTIF('9月'!DY8:DZ8,J$300)+COUNTIF('9月'!ED8:EE8,J$300)+COUNTIF('9月'!EI8:EJ8,J$300)+COUNTIF('9月'!EN8:EO8,J$300)+COUNTIF('9月'!ES8:ET8,J$300)+COUNTIF('9月'!D8:E8,"六本木-夜勤")+COUNTIF('9月'!I8:J8,"六本木-夜勤")+COUNTIF('9月'!N8:O8,"六本木-夜勤")+COUNTIF('9月'!S8:T8,"六本木-夜勤")+COUNTIF('9月'!X8:Y8,"六本木-夜勤")+COUNTIF('9月'!AC8:AD8,"六本木-夜勤")+COUNTIF('9月'!AH8:AI8,"六本木-夜勤")+COUNTIF('9月'!AM8:AN8,"六本木-夜勤")+COUNTIF('9月'!AR8:AS8,"六本木-夜勤")+COUNTIF('9月'!AW8:AX8,"六本木-夜勤")+COUNTIF('9月'!BB8:BC8,"六本木-夜勤")+COUNTIF('9月'!BG8:BH8,"六本木-夜勤")+COUNTIF('9月'!BL8:BM8,"六本木-夜勤")+COUNTIF('9月'!BQ8:BR8,"六本木-夜勤")+COUNTIF('9月'!BV8:BW8,"六本木-夜勤")+COUNTIF('9月'!CA8:CB8,"六本木-夜勤")+COUNTIF('9月'!CF8:CG8,"六本木-夜勤")+COUNTIF('9月'!CK8:CL8,"六本木-夜勤")+COUNTIF('9月'!CP8:CQ8,"六本木-夜勤")+COUNTIF('9月'!CU8:CV8,"六本木-夜勤")+COUNTIF('9月'!CZ8:DA8,"六本木-夜勤")+COUNTIF('9月'!DE8:DF8,"六本木-夜勤")+COUNTIF('9月'!DJ8:DK8,"六本木-夜勤")+COUNTIF('9月'!DO8:DP8,"六本木-夜勤")+COUNTIF('9月'!DT8:DU8,"六本木-夜勤")+COUNTIF('9月'!DY8:DZ8,"六本木-夜勤")+COUNTIF('9月'!ED8:EE8,"六本木-夜勤")+COUNTIF('9月'!EI8:EJ8,"六本木-夜勤")+COUNTIF('9月'!EN8:EO8,"六本木-夜勤")+COUNTIF('9月'!ES8:ET8,"六本木-夜勤")+COUNTIF('9月'!D8:E8,"六本木ー夜勤")+COUNTIF('9月'!I8:J8,"六本木ー夜勤")+COUNTIF('9月'!N8:O8,"六本木ー夜勤")+COUNTIF('9月'!S8:T8,"六本木ー夜勤")+COUNTIF('9月'!X8:Y8,"六本木ー夜勤")+COUNTIF('9月'!AC8:AD8,"六本木ー夜勤")+COUNTIF('9月'!AH8:AI8,"六本木ー夜勤")+COUNTIF('9月'!AM8:AN8,"六本木ー夜勤")+COUNTIF('9月'!AR8:AS8,"六本木ー夜勤")+COUNTIF('9月'!AW8:AX8,"六本木ー夜勤")+COUNTIF('9月'!BB8:BC8,"六本木ー夜勤")+COUNTIF('9月'!BG8:BH8,"六本木ー夜勤")+COUNTIF('9月'!BL8:BM8,"六本木ー夜勤")+COUNTIF('9月'!BQ8:BR8,"六本木ー夜勤")+COUNTIF('9月'!BV8:BW8,"六本木ー夜勤")+COUNTIF('9月'!CA8:CB8,"六本木ー夜勤")+COUNTIF('9月'!CF8:CG8,"六本木ー夜勤")+COUNTIF('9月'!CK8:CL8,"六本木ー夜勤")+COUNTIF('9月'!CP8:CQ8,"六本木ー夜勤")+COUNTIF('9月'!CU8:CV8,"六本木ー夜勤")+COUNTIF('9月'!CZ8:DA8,"六本木ー夜勤")+COUNTIF('9月'!DE8:DF8,"六本木ー夜勤")+COUNTIF('9月'!DJ8:DK8,"六本木ー夜勤")+COUNTIF('9月'!DO8:DP8,"六本木ー夜勤")+COUNTIF('9月'!DT8:DU8,"六本木ー夜勤")+COUNTIF('9月'!DY8:DZ8,"六本木ー夜勤")+COUNTIF('9月'!ED8:EE8,"六本木ー夜勤")+COUNTIF('9月'!EI8:EJ8,"六本木ー夜勤")+COUNTIF('9月'!EN8:EO8,"六本木ー夜勤")+COUNTIF('9月'!ES8:ET8,"六本木ー夜勤")</f>
        <v>0</v>
      </c>
      <c r="K306" s="76">
        <f t="shared" si="100"/>
        <v>0</v>
      </c>
      <c r="L306" s="76">
        <f>COUNTIF('9月'!D8:E8,L$300)+COUNTIF('9月'!I8:J8,L$300)+COUNTIF('9月'!N8:O8,L$300)+COUNTIF('9月'!S8:T8,L$300)+COUNTIF('9月'!X8:Y8,L$300)+COUNTIF('9月'!AC8:AD8,L$300)+COUNTIF('9月'!AH8:AI8,L$300)+COUNTIF('9月'!AM8:AN8,L$300)+COUNTIF('9月'!AR8:AS8,L$300)+COUNTIF('9月'!AW8:AX8,L$300)+COUNTIF('9月'!BB8:BC8,L$300)+COUNTIF('9月'!BG8:BH8,L$300)+COUNTIF('9月'!BL8:BM8,L$300)+COUNTIF('9月'!BQ8:BR8,L$300)+COUNTIF('9月'!BV8:BW8,L$300)+COUNTIF('9月'!CA8:CB8,L$300)+COUNTIF('9月'!CF8:CG8,L$300)+COUNTIF('9月'!CK8:CL8,L$300)+COUNTIF('9月'!CP8:CQ8,L$300)+COUNTIF('9月'!CU8:CV8,L$300)+COUNTIF('9月'!CZ8:DA8,L$300)+COUNTIF('9月'!DE8:DF8,L$300)+COUNTIF('9月'!DJ8:DK8,L$300)+COUNTIF('9月'!DO8:DP8,L$300)+COUNTIF('9月'!DT8:DU8,L$300)+COUNTIF('9月'!DY8:DZ8,L$300)+COUNTIF('9月'!ED8:EE8,L$300)+COUNTIF('9月'!EI8:EJ8,L$300)+COUNTIF('9月'!EN8:EO8,L$300)+COUNTIF('9月'!ES8:ET8,L$300)</f>
        <v>0</v>
      </c>
      <c r="M306" s="76">
        <f t="shared" si="101"/>
        <v>0</v>
      </c>
      <c r="N306" s="76">
        <f>COUNTIF('9月'!D8:E8,N$300)+COUNTIF('9月'!I8:J8,N$300)+COUNTIF('9月'!N8:O8,N$300)+COUNTIF('9月'!S8:T8,N$300)+COUNTIF('9月'!X8:Y8,N$300)+COUNTIF('9月'!AC8:AD8,N$300)+COUNTIF('9月'!AH8:AI8,N$300)+COUNTIF('9月'!AM8:AN8,N$300)+COUNTIF('9月'!AR8:AS8,N$300)+COUNTIF('9月'!AW8:AX8,N$300)+COUNTIF('9月'!BB8:BC8,N$300)+COUNTIF('9月'!BG8:BH8,N$300)+COUNTIF('9月'!BL8:BM8,N$300)+COUNTIF('9月'!BQ8:BR8,N$300)+COUNTIF('9月'!BV8:BW8,N$300)+COUNTIF('9月'!CA8:CB8,N$300)+COUNTIF('9月'!CF8:CG8,N$300)+COUNTIF('9月'!CK8:CL8,N$300)+COUNTIF('9月'!CP8:CQ8,N$300)+COUNTIF('9月'!CU8:CV8,N$300)+COUNTIF('9月'!CZ8:DA8,N$300)+COUNTIF('9月'!DE8:DF8,N$300)+COUNTIF('9月'!DJ8:DK8,N$300)+COUNTIF('9月'!DO8:DP8,N$300)+COUNTIF('9月'!DT8:DU8,N$300)+COUNTIF('9月'!DY8:DZ8,N$300)+COUNTIF('9月'!ED8:EE8,N$300)+COUNTIF('9月'!EI8:EJ8,N$300)+COUNTIF('9月'!EN8:EO8,N$300)+COUNTIF('9月'!ES8:ET8,N$300)+COUNTIF('9月'!D8:E8,"三軒茶屋－夜勤")+COUNTIF('9月'!I8:J8,"三軒茶屋－夜勤")+COUNTIF('9月'!N8:O8,"三軒茶屋－夜勤")+COUNTIF('9月'!S8:T8,"三軒茶屋－夜勤")+COUNTIF('9月'!X8:Y8,"三軒茶屋－夜勤")+COUNTIF('9月'!AC8:AD8,"三軒茶屋－夜勤")+COUNTIF('9月'!AH8:AI8,"三軒茶屋－夜勤")+COUNTIF('9月'!AM8:AN8,"三軒茶屋－夜勤")+COUNTIF('9月'!AR8:AS8,"三軒茶屋－夜勤")+COUNTIF('9月'!AW8:AX8,"三軒茶屋－夜勤")+COUNTIF('9月'!BB8:BC8,"三軒茶屋－夜勤")+COUNTIF('9月'!BG8:BH8,"三軒茶屋－夜勤")+COUNTIF('9月'!BL8:BM8,"三軒茶屋－夜勤")+COUNTIF('9月'!BQ8:BR8,"三軒茶屋－夜勤")+COUNTIF('9月'!BV8:BW8,"三軒茶屋－夜勤")+COUNTIF('9月'!CA8:CB8,"三軒茶屋－夜勤")+COUNTIF('9月'!CF8:CG8,"三軒茶屋－夜勤")+COUNTIF('9月'!CK8:CL8,"三軒茶屋－夜勤")+COUNTIF('9月'!CP8:CQ8,"三軒茶屋－夜勤")+COUNTIF('9月'!CU8:CV8,"三軒茶屋－夜勤")+COUNTIF('9月'!CZ8:DA8,"三軒茶屋－夜勤")+COUNTIF('9月'!DE8:DF8,"三軒茶屋－夜勤")+COUNTIF('9月'!DJ8:DK8,"三軒茶屋－夜勤")+COUNTIF('9月'!DO8:DP8,"三軒茶屋－夜勤")+COUNTIF('9月'!DT8:DU8,"三軒茶屋－夜勤")+COUNTIF('9月'!DY8:DZ8,"三軒茶屋－夜勤")+COUNTIF('9月'!ED8:EE8,"三軒茶屋－夜勤")+COUNTIF('9月'!EI8:EJ8,"三軒茶屋－夜勤")+COUNTIF('9月'!EN8:EO8,"三軒茶屋－夜勤")+COUNTIF('9月'!ES8:ET8,"三軒茶屋－夜勤")</f>
        <v>0</v>
      </c>
      <c r="O306" s="76">
        <f t="shared" si="102"/>
        <v>0</v>
      </c>
      <c r="P306" s="76">
        <f>COUNTIF('9月'!D8:E8,P$300)+COUNTIF('9月'!I8:J8,P$300)+COUNTIF('9月'!N8:O8,P$300)+COUNTIF('9月'!S8:T8,P$300)+COUNTIF('9月'!X8:Y8,P$300)+COUNTIF('9月'!AC8:AD8,P$300)+COUNTIF('9月'!AH8:AI8,P$300)+COUNTIF('9月'!AM8:AN8,P$300)+COUNTIF('9月'!AR8:AS8,P$300)+COUNTIF('9月'!AW8:AX8,P$300)+COUNTIF('9月'!BB8:BC8,P$300)+COUNTIF('9月'!BG8:BH8,P$300)+COUNTIF('9月'!BL8:BM8,P$300)+COUNTIF('9月'!BQ8:BR8,P$300)+COUNTIF('9月'!BV8:BW8,P$300)+COUNTIF('9月'!CA8:CB8,P$300)+COUNTIF('9月'!CF8:CG8,P$300)+COUNTIF('9月'!CK8:CL8,P$300)+COUNTIF('9月'!CP8:CQ8,P$300)+COUNTIF('9月'!CU8:CV8,P$300)+COUNTIF('9月'!CZ8:DA8,P$300)+COUNTIF('9月'!DE8:DF8,P$300)+COUNTIF('9月'!DJ8:DK8,P$300)+COUNTIF('9月'!DO8:DP8,P$300)+COUNTIF('9月'!DT8:DU8,P$300)+COUNTIF('9月'!DY8:DZ8,P$300)+COUNTIF('9月'!ED8:EE8,P$300)+COUNTIF('9月'!EI8:EJ8,P$300)+COUNTIF('9月'!EN8:EO8,P$300)+COUNTIF('9月'!ES8:ET8,P$300)+COUNTIF('9月'!D8:E8,"荻窪ー夜勤")+COUNTIF('9月'!I8:J8,"荻窪ー夜勤")+COUNTIF('9月'!N8:O8,"荻窪ー夜勤")+COUNTIF('9月'!S8:T8,"荻窪ー夜勤")+COUNTIF('9月'!X8:Y8,"荻窪ー夜勤")+COUNTIF('9月'!AC8:AD8,"荻窪ー夜勤")+COUNTIF('9月'!AH8:AI8,"荻窪ー夜勤")+COUNTIF('9月'!AM8:AN8,"荻窪ー夜勤")+COUNTIF('9月'!AR8:AS8,"荻窪ー夜勤")+COUNTIF('9月'!AW8:AX8,"荻窪ー夜勤")+COUNTIF('9月'!BB8:BC8,"荻窪ー夜勤")+COUNTIF('9月'!BG8:BH8,"荻窪ー夜勤")+COUNTIF('9月'!BL8:BM8,"荻窪ー夜勤")+COUNTIF('9月'!BQ8:BR8,"荻窪ー夜勤")+COUNTIF('9月'!BV8:BW8,"荻窪ー夜勤")+COUNTIF('9月'!CA8:CB8,"荻窪ー夜勤")+COUNTIF('9月'!CF8:CG8,"荻窪ー夜勤")+COUNTIF('9月'!CK8:CL8,"荻窪ー夜勤")+COUNTIF('9月'!CP8:CQ8,"荻窪ー夜勤")+COUNTIF('9月'!CU8:CV8,"荻窪ー夜勤")+COUNTIF('9月'!CZ8:DA8,"荻窪ー夜勤")+COUNTIF('9月'!DE8:DF8,"荻窪ー夜勤")+COUNTIF('9月'!DJ8:DK8,"荻窪ー夜勤")+COUNTIF('9月'!DO8:DP8,"荻窪ー夜勤")+COUNTIF('9月'!DT8:DU8,"荻窪ー夜勤")+COUNTIF('9月'!DY8:DZ8,"荻窪ー夜勤")+COUNTIF('9月'!ED8:EE8,"荻窪ー夜勤")+COUNTIF('9月'!EI8:EJ8,"荻窪ー夜勤")+COUNTIF('9月'!EN8:EO8,"荻窪ー夜勤")+COUNTIF('9月'!ES8:ET8,"荻窪ー夜勤")</f>
        <v>0</v>
      </c>
      <c r="Q306" s="76">
        <f t="shared" si="103"/>
        <v>0</v>
      </c>
      <c r="R306" s="76">
        <f>COUNTIF('9月'!D8:E8,R$300)+COUNTIF('9月'!I8:J8,R$300)+COUNTIF('9月'!N8:O8,R$300)+COUNTIF('9月'!S8:T8,R$300)+COUNTIF('9月'!X8:Y8,R$300)+COUNTIF('9月'!AC8:AD8,R$300)+COUNTIF('9月'!AH8:AI8,R$300)+COUNTIF('9月'!AM8:AN8,R$300)+COUNTIF('9月'!AR8:AS8,R$300)+COUNTIF('9月'!AW8:AX8,R$300)+COUNTIF('9月'!BB8:BC8,R$300)+COUNTIF('9月'!BG8:BH8,R$300)+COUNTIF('9月'!BL8:BM8,R$300)+COUNTIF('9月'!BQ8:BR8,R$300)+COUNTIF('9月'!BV8:BW8,R$300)+COUNTIF('9月'!CA8:CB8,R$300)+COUNTIF('9月'!CF8:CG8,R$300)+COUNTIF('9月'!CK8:CL8,R$300)+COUNTIF('9月'!CP8:CQ8,R$300)+COUNTIF('9月'!CU8:CV8,R$300)+COUNTIF('9月'!CZ8:DA8,R$300)+COUNTIF('9月'!DE8:DF8,R$300)+COUNTIF('9月'!DJ8:DK8,R$300)+COUNTIF('9月'!DO8:DP8,R$300)+COUNTIF('9月'!DT8:DU8,R$300)+COUNTIF('9月'!DY8:DZ8,R$300)+COUNTIF('9月'!ED8:EE8,R$300)+COUNTIF('9月'!EI8:EJ8,R$300)+COUNTIF('9月'!EN8:EO8,R$300)+COUNTIF('9月'!ES8:ET8,R$300)</f>
        <v>0</v>
      </c>
      <c r="S306" s="76">
        <f t="shared" si="104"/>
        <v>0</v>
      </c>
      <c r="T306" s="76">
        <f>COUNTIF('9月'!D8:E8,T$300)+COUNTIF('9月'!I8:J8,T$300)+COUNTIF('9月'!N8:O8,T$300)+COUNTIF('9月'!S8:T8,T$300)+COUNTIF('9月'!X8:Y8,T$300)+COUNTIF('9月'!AC8:AD8,T$300)+COUNTIF('9月'!AH8:AI8,T$300)+COUNTIF('9月'!AM8:AN8,T$300)+COUNTIF('9月'!AR8:AS8,T$300)+COUNTIF('9月'!AW8:AX8,T$300)+COUNTIF('9月'!BB8:BC8,T$300)+COUNTIF('9月'!BG8:BH8,T$300)+COUNTIF('9月'!BL8:BM8,T$300)+COUNTIF('9月'!BQ8:BR8,T$300)+COUNTIF('9月'!BV8:BW8,T$300)+COUNTIF('9月'!CA8:CB8,T$300)+COUNTIF('9月'!CF8:CG8,T$300)+COUNTIF('9月'!CK8:CL8,T$300)+COUNTIF('9月'!CP8:CQ8,T$300)+COUNTIF('9月'!CU8:CV8,T$300)+COUNTIF('9月'!CZ8:DA8,T$300)+COUNTIF('9月'!DE8:DF8,T$300)+COUNTIF('9月'!DJ8:DK8,T$300)+COUNTIF('9月'!DO8:DP8,T$300)+COUNTIF('9月'!DT8:DU8,T$300)+COUNTIF('9月'!DY8:DZ8,T$300)+COUNTIF('9月'!ED8:EE8,T$300)+COUNTIF('9月'!EI8:EJ8,T$300)+COUNTIF('9月'!EN8:EO8,T$300)+COUNTIF('9月'!ES8:ET8,T$300)</f>
        <v>0</v>
      </c>
      <c r="U306" s="76">
        <f t="shared" si="105"/>
        <v>0</v>
      </c>
      <c r="V306" s="76">
        <f>COUNTIF('9月'!D8:E8,V$300)+COUNTIF('9月'!I8:J8,V$300)+COUNTIF('9月'!N8:O8,V$300)+COUNTIF('9月'!S8:T8,V$300)+COUNTIF('9月'!X8:Y8,V$300)+COUNTIF('9月'!AC8:AD8,V$300)+COUNTIF('9月'!AH8:AI8,V$300)+COUNTIF('9月'!AM8:AN8,V$300)+COUNTIF('9月'!AR8:AS8,V$300)+COUNTIF('9月'!AW8:AX8,V$300)+COUNTIF('9月'!BB8:BC8,V$300)+COUNTIF('9月'!BG8:BH8,V$300)+COUNTIF('9月'!BL8:BM8,V$300)+COUNTIF('9月'!BQ8:BR8,V$300)+COUNTIF('9月'!BV8:BW8,V$300)+COUNTIF('9月'!CA8:CB8,V$300)+COUNTIF('9月'!CF8:CG8,V$300)+COUNTIF('9月'!CK8:CL8,V$300)+COUNTIF('9月'!CP8:CQ8,V$300)+COUNTIF('9月'!CU8:CV8,V$300)+COUNTIF('9月'!CZ8:DA8,V$300)+COUNTIF('9月'!DE8:DF8,V$300)+COUNTIF('9月'!DJ8:DK8,V$300)+COUNTIF('9月'!DO8:DP8,V$300)+COUNTIF('9月'!DT8:DU8,V$300)+COUNTIF('9月'!DY8:DZ8,V$300)+COUNTIF('9月'!ED8:EE8,V$300)+COUNTIF('9月'!EI8:EJ8,V$300)+COUNTIF('9月'!EN8:EO8,V$300)+COUNTIF('9月'!ES8:ET8,V$300)</f>
        <v>0</v>
      </c>
      <c r="W306" s="76">
        <f t="shared" si="106"/>
        <v>0</v>
      </c>
      <c r="X306" s="76">
        <f>COUNTIF('9月'!D8:E8,X$300)+COUNTIF('9月'!I8:J8,X$300)+COUNTIF('9月'!N8:O8,X$300)+COUNTIF('9月'!S8:T8,X$300)+COUNTIF('9月'!X8:Y8,X$300)+COUNTIF('9月'!AC8:AD8,X$300)+COUNTIF('9月'!AH8:AI8,X$300)+COUNTIF('9月'!AM8:AN8,X$300)+COUNTIF('9月'!AR8:AS8,X$300)+COUNTIF('9月'!AW8:AX8,X$300)+COUNTIF('9月'!BB8:BC8,X$300)+COUNTIF('9月'!BG8:BH8,X$300)+COUNTIF('9月'!BL8:BM8,X$300)+COUNTIF('9月'!BQ8:BR8,X$300)+COUNTIF('9月'!BV8:BW8,X$300)+COUNTIF('9月'!CA8:CB8,X$300)+COUNTIF('9月'!CF8:CG8,X$300)+COUNTIF('9月'!CK8:CL8,X$300)+COUNTIF('9月'!CP8:CQ8,X$300)+COUNTIF('9月'!CU8:CV8,X$300)+COUNTIF('9月'!CZ8:DA8,X$300)+COUNTIF('9月'!DE8:DF8,X$300)+COUNTIF('9月'!DJ8:DK8,X$300)+COUNTIF('9月'!DO8:DP8,X$300)+COUNTIF('9月'!DT8:DU8,X$300)+COUNTIF('9月'!DY8:DZ8,X$300)+COUNTIF('9月'!ED8:EE8,X$300)+COUNTIF('9月'!EI8:EJ8,X$300)+COUNTIF('9月'!EN8:EO8,X$300)+COUNTIF('9月'!ES8:ET8,X$300)</f>
        <v>0</v>
      </c>
      <c r="Y306" s="76">
        <f t="shared" si="107"/>
        <v>0</v>
      </c>
    </row>
    <row r="307" spans="1:25" ht="18" customHeight="1">
      <c r="A307" s="76">
        <v>6</v>
      </c>
      <c r="B307" s="76">
        <f>COUNTIF('9月'!D9:E9,B$300)+COUNTIF('9月'!I9:J9,B$300)+COUNTIF('9月'!N9:O9,B$300)+COUNTIF('9月'!S9:T9,B$300)+COUNTIF('9月'!X9:Y9,B$300)+COUNTIF('9月'!AC9:AD9,B$300)+COUNTIF('9月'!AH9:AI9,B$300)+COUNTIF('9月'!AM9:AN9,B$300)+COUNTIF('9月'!AR9:AS9,B$300)+COUNTIF('9月'!AW9:AX9,B$300)+COUNTIF('9月'!BB9:BC9,B$300)+COUNTIF('9月'!BG9:BH9,B$300)+COUNTIF('9月'!BL9:BM9,B$300)+COUNTIF('9月'!BQ9:BR9,B$300)+COUNTIF('9月'!BV9:BW9,B$300)+COUNTIF('9月'!CA9:CB9,B$300)+COUNTIF('9月'!CF9:CG9,B$300)+COUNTIF('9月'!CK9:CL9,B$300)+COUNTIF('9月'!CP9:CQ9,B$300)+COUNTIF('9月'!CU9:CV9,B$300)+COUNTIF('9月'!CZ9:DA9,B$300)+COUNTIF('9月'!DE9:DF9,B$300)+COUNTIF('9月'!DJ9:DK9,B$300)+COUNTIF('9月'!DO9:DP9,B$300)+COUNTIF('9月'!DT9:DU9,B$300)+COUNTIF('9月'!DY9:DZ9,B$300)+COUNTIF('9月'!ED9:EE9,B$300)+COUNTIF('9月'!EI9:EJ9,B$300)+COUNTIF('9月'!EN9:EO9,B$300)+COUNTIF('9月'!ES9:ET9,B$300)</f>
        <v>0</v>
      </c>
      <c r="C307" s="76">
        <f t="shared" si="96"/>
        <v>0</v>
      </c>
      <c r="D307" s="76">
        <f>COUNTIF('9月'!D9:E9,D$300)+COUNTIF('9月'!I9:J9,D$300)+COUNTIF('9月'!N9:O9,D$300)+COUNTIF('9月'!S9:T9,D$300)+COUNTIF('9月'!X9:Y9,D$300)+COUNTIF('9月'!AC9:AD9,D$300)+COUNTIF('9月'!AH9:AI9,D$300)+COUNTIF('9月'!AM9:AN9,D$300)+COUNTIF('9月'!AR9:AS9,D$300)+COUNTIF('9月'!AW9:AX9,D$300)+COUNTIF('9月'!BB9:BC9,D$300)+COUNTIF('9月'!BG9:BH9,D$300)+COUNTIF('9月'!BL9:BM9,D$300)+COUNTIF('9月'!BQ9:BR9,D$300)+COUNTIF('9月'!BV9:BW9,D$300)+COUNTIF('9月'!CA9:CB9,D$300)+COUNTIF('9月'!CF9:CG9,D$300)+COUNTIF('9月'!CK9:CL9,D$300)+COUNTIF('9月'!CP9:CQ9,D$300)+COUNTIF('9月'!CU9:CV9,D$300)+COUNTIF('9月'!CZ9:DA9,D$300)+COUNTIF('9月'!DE9:DF9,D$300)+COUNTIF('9月'!DJ9:DK9,D$300)+COUNTIF('9月'!DO9:DP9,D$300)+COUNTIF('9月'!DT9:DU9,D$300)+COUNTIF('9月'!DY9:DZ9,D$300)+COUNTIF('9月'!ED9:EE9,D$300)+COUNTIF('9月'!EI9:EJ9,D$300)+COUNTIF('9月'!EN9:EO9,D$300)+COUNTIF('9月'!ES9:ET9,D$300)</f>
        <v>0</v>
      </c>
      <c r="E307" s="76">
        <f t="shared" si="97"/>
        <v>0</v>
      </c>
      <c r="F307" s="76">
        <f>COUNTIF('9月'!D9:E9,F$300)+COUNTIF('9月'!I9:J9,F$300)+COUNTIF('9月'!N9:O9,F$300)+COUNTIF('9月'!S9:T9,F$300)+COUNTIF('9月'!X9:Y9,F$300)+COUNTIF('9月'!AC9:AD9,F$300)+COUNTIF('9月'!AH9:AI9,F$300)+COUNTIF('9月'!AM9:AN9,F$300)+COUNTIF('9月'!AR9:AS9,F$300)+COUNTIF('9月'!AW9:AX9,F$300)+COUNTIF('9月'!BB9:BC9,F$300)+COUNTIF('9月'!BG9:BH9,F$300)+COUNTIF('9月'!BL9:BM9,F$300)+COUNTIF('9月'!BQ9:BR9,F$300)+COUNTIF('9月'!BV9:BW9,F$300)+COUNTIF('9月'!CA9:CB9,F$300)+COUNTIF('9月'!CF9:CG9,F$300)+COUNTIF('9月'!CK9:CL9,F$300)+COUNTIF('9月'!CP9:CQ9,F$300)+COUNTIF('9月'!CU9:CV9,F$300)+COUNTIF('9月'!CZ9:DA9,F$300)+COUNTIF('9月'!DE9:DF9,F$300)+COUNTIF('9月'!DJ9:DK9,F$300)+COUNTIF('9月'!DO9:DP9,F$300)+COUNTIF('9月'!DT9:DU9,F$300)+COUNTIF('9月'!DY9:DZ9,F$300)+COUNTIF('9月'!ED9:EE9,F$300)+COUNTIF('9月'!EI9:EJ9,F$300)+COUNTIF('9月'!EN9:EO9,F$300)+COUNTIF('9月'!ES9:ET9,F$300)</f>
        <v>0</v>
      </c>
      <c r="G307" s="76">
        <f t="shared" si="98"/>
        <v>0</v>
      </c>
      <c r="H307" s="76">
        <f>COUNTIF('9月'!D9:E9,H$300)+COUNTIF('9月'!I9:J9,H$300)+COUNTIF('9月'!N9:O9,H$300)+COUNTIF('9月'!S9:T9,H$300)+COUNTIF('9月'!X9:Y9,H$300)+COUNTIF('9月'!AC9:AD9,H$300)+COUNTIF('9月'!AH9:AI9,H$300)+COUNTIF('9月'!AM9:AN9,H$300)+COUNTIF('9月'!AR9:AS9,H$300)+COUNTIF('9月'!AW9:AX9,H$300)+COUNTIF('9月'!BB9:BC9,H$300)+COUNTIF('9月'!BG9:BH9,H$300)+COUNTIF('9月'!BL9:BM9,H$300)+COUNTIF('9月'!BQ9:BR9,H$300)+COUNTIF('9月'!BV9:BW9,H$300)+COUNTIF('9月'!CA9:CB9,H$300)+COUNTIF('9月'!CF9:CG9,H$300)+COUNTIF('9月'!CK9:CL9,H$300)+COUNTIF('9月'!CP9:CQ9,H$300)+COUNTIF('9月'!CU9:CV9,H$300)+COUNTIF('9月'!CZ9:DA9,H$300)+COUNTIF('9月'!DE9:DF9,H$300)+COUNTIF('9月'!DJ9:DK9,H$300)+COUNTIF('9月'!DO9:DP9,H$300)+COUNTIF('9月'!DT9:DU9,H$300)+COUNTIF('9月'!DY9:DZ9,H$300)+COUNTIF('9月'!ED9:EE9,H$300)+COUNTIF('9月'!EI9:EJ9,H$300)+COUNTIF('9月'!EN9:EO9,H$300)+COUNTIF('9月'!ES9:ET9,H$300)+COUNTIF('9月'!D9:E9,"渋谷-夜勤")+COUNTIF('9月'!I9:J9,"渋谷-夜勤")+COUNTIF('9月'!N9:O9,"渋谷-夜勤")+COUNTIF('9月'!S9:T9,"渋谷-夜勤")+COUNTIF('9月'!X9:Y9,"渋谷-夜勤")+COUNTIF('9月'!AC9:AD9,"渋谷-夜勤")+COUNTIF('9月'!AH9:AI9,"渋谷-夜勤")+COUNTIF('9月'!AM9:AN9,"渋谷-夜勤")+COUNTIF('9月'!AR9:AS9,"渋谷-夜勤")+COUNTIF('9月'!AW9:AX9,"渋谷-夜勤")+COUNTIF('9月'!BB9:BC9,"渋谷-夜勤")+COUNTIF('9月'!BG9:BH9,"渋谷-夜勤")+COUNTIF('9月'!BL9:BM9,"渋谷-夜勤")+COUNTIF('9月'!BQ9:BR9,"渋谷-夜勤")+COUNTIF('9月'!BV9:BW9,"渋谷-夜勤")+COUNTIF('9月'!CA9:CB9,"渋谷-夜勤")+COUNTIF('9月'!CF9:CG9,"渋谷-夜勤")+COUNTIF('9月'!CK9:CL9,"渋谷-夜勤")+COUNTIF('9月'!CP9:CQ9,"渋谷-夜勤")+COUNTIF('9月'!CU9:CV9,"渋谷-夜勤")+COUNTIF('9月'!CZ9:DA9,"渋谷-夜勤")+COUNTIF('9月'!DE9:DF9,"渋谷-夜勤")+COUNTIF('9月'!DJ9:DK9,"渋谷-夜勤")+COUNTIF('9月'!DO9:DP9,"渋谷-夜勤")+COUNTIF('9月'!DT9:DU9,"渋谷-夜勤")+COUNTIF('9月'!DY9:DZ9,"渋谷-夜勤")+COUNTIF('9月'!ED9:EE9,"渋谷-夜勤")+COUNTIF('9月'!EI9:EJ9,"渋谷-夜勤")+COUNTIF('9月'!EN9:EO9,"渋谷-夜勤")+COUNTIF('9月'!ES9:ET9,"渋谷-夜勤")</f>
        <v>0</v>
      </c>
      <c r="I307" s="76">
        <f t="shared" si="99"/>
        <v>0</v>
      </c>
      <c r="J307" s="76">
        <f>COUNTIF('9月'!D9:E9,J$300)+COUNTIF('9月'!I9:J9,J$300)+COUNTIF('9月'!N9:O9,J$300)+COUNTIF('9月'!S9:T9,J$300)+COUNTIF('9月'!X9:Y9,J$300)+COUNTIF('9月'!AC9:AD9,J$300)+COUNTIF('9月'!AH9:AI9,J$300)+COUNTIF('9月'!AM9:AN9,J$300)+COUNTIF('9月'!AR9:AS9,J$300)+COUNTIF('9月'!AW9:AX9,J$300)+COUNTIF('9月'!BB9:BC9,J$300)+COUNTIF('9月'!BG9:BH9,J$300)+COUNTIF('9月'!BL9:BM9,J$300)+COUNTIF('9月'!BQ9:BR9,J$300)+COUNTIF('9月'!BV9:BW9,J$300)+COUNTIF('9月'!CA9:CB9,J$300)+COUNTIF('9月'!CF9:CG9,J$300)+COUNTIF('9月'!CK9:CL9,J$300)+COUNTIF('9月'!CP9:CQ9,J$300)+COUNTIF('9月'!CU9:CV9,J$300)+COUNTIF('9月'!CZ9:DA9,J$300)+COUNTIF('9月'!DE9:DF9,J$300)+COUNTIF('9月'!DJ9:DK9,J$300)+COUNTIF('9月'!DO9:DP9,J$300)+COUNTIF('9月'!DT9:DU9,J$300)+COUNTIF('9月'!DY9:DZ9,J$300)+COUNTIF('9月'!ED9:EE9,J$300)+COUNTIF('9月'!EI9:EJ9,J$300)+COUNTIF('9月'!EN9:EO9,J$300)+COUNTIF('9月'!ES9:ET9,J$300)+COUNTIF('9月'!D9:E9,"六本木-夜勤")+COUNTIF('9月'!I9:J9,"六本木-夜勤")+COUNTIF('9月'!N9:O9,"六本木-夜勤")+COUNTIF('9月'!S9:T9,"六本木-夜勤")+COUNTIF('9月'!X9:Y9,"六本木-夜勤")+COUNTIF('9月'!AC9:AD9,"六本木-夜勤")+COUNTIF('9月'!AH9:AI9,"六本木-夜勤")+COUNTIF('9月'!AM9:AN9,"六本木-夜勤")+COUNTIF('9月'!AR9:AS9,"六本木-夜勤")+COUNTIF('9月'!AW9:AX9,"六本木-夜勤")+COUNTIF('9月'!BB9:BC9,"六本木-夜勤")+COUNTIF('9月'!BG9:BH9,"六本木-夜勤")+COUNTIF('9月'!BL9:BM9,"六本木-夜勤")+COUNTIF('9月'!BQ9:BR9,"六本木-夜勤")+COUNTIF('9月'!BV9:BW9,"六本木-夜勤")+COUNTIF('9月'!CA9:CB9,"六本木-夜勤")+COUNTIF('9月'!CF9:CG9,"六本木-夜勤")+COUNTIF('9月'!CK9:CL9,"六本木-夜勤")+COUNTIF('9月'!CP9:CQ9,"六本木-夜勤")+COUNTIF('9月'!CU9:CV9,"六本木-夜勤")+COUNTIF('9月'!CZ9:DA9,"六本木-夜勤")+COUNTIF('9月'!DE9:DF9,"六本木-夜勤")+COUNTIF('9月'!DJ9:DK9,"六本木-夜勤")+COUNTIF('9月'!DO9:DP9,"六本木-夜勤")+COUNTIF('9月'!DT9:DU9,"六本木-夜勤")+COUNTIF('9月'!DY9:DZ9,"六本木-夜勤")+COUNTIF('9月'!ED9:EE9,"六本木-夜勤")+COUNTIF('9月'!EI9:EJ9,"六本木-夜勤")+COUNTIF('9月'!EN9:EO9,"六本木-夜勤")+COUNTIF('9月'!ES9:ET9,"六本木-夜勤")+COUNTIF('9月'!D9:E9,"六本木ー夜勤")+COUNTIF('9月'!I9:J9,"六本木ー夜勤")+COUNTIF('9月'!N9:O9,"六本木ー夜勤")+COUNTIF('9月'!S9:T9,"六本木ー夜勤")+COUNTIF('9月'!X9:Y9,"六本木ー夜勤")+COUNTIF('9月'!AC9:AD9,"六本木ー夜勤")+COUNTIF('9月'!AH9:AI9,"六本木ー夜勤")+COUNTIF('9月'!AM9:AN9,"六本木ー夜勤")+COUNTIF('9月'!AR9:AS9,"六本木ー夜勤")+COUNTIF('9月'!AW9:AX9,"六本木ー夜勤")+COUNTIF('9月'!BB9:BC9,"六本木ー夜勤")+COUNTIF('9月'!BG9:BH9,"六本木ー夜勤")+COUNTIF('9月'!BL9:BM9,"六本木ー夜勤")+COUNTIF('9月'!BQ9:BR9,"六本木ー夜勤")+COUNTIF('9月'!BV9:BW9,"六本木ー夜勤")+COUNTIF('9月'!CA9:CB9,"六本木ー夜勤")+COUNTIF('9月'!CF9:CG9,"六本木ー夜勤")+COUNTIF('9月'!CK9:CL9,"六本木ー夜勤")+COUNTIF('9月'!CP9:CQ9,"六本木ー夜勤")+COUNTIF('9月'!CU9:CV9,"六本木ー夜勤")+COUNTIF('9月'!CZ9:DA9,"六本木ー夜勤")+COUNTIF('9月'!DE9:DF9,"六本木ー夜勤")+COUNTIF('9月'!DJ9:DK9,"六本木ー夜勤")+COUNTIF('9月'!DO9:DP9,"六本木ー夜勤")+COUNTIF('9月'!DT9:DU9,"六本木ー夜勤")+COUNTIF('9月'!DY9:DZ9,"六本木ー夜勤")+COUNTIF('9月'!ED9:EE9,"六本木ー夜勤")+COUNTIF('9月'!EI9:EJ9,"六本木ー夜勤")+COUNTIF('9月'!EN9:EO9,"六本木ー夜勤")+COUNTIF('9月'!ES9:ET9,"六本木ー夜勤")</f>
        <v>0</v>
      </c>
      <c r="K307" s="76">
        <f t="shared" si="100"/>
        <v>0</v>
      </c>
      <c r="L307" s="76">
        <f>COUNTIF('9月'!D9:E9,L$300)+COUNTIF('9月'!I9:J9,L$300)+COUNTIF('9月'!N9:O9,L$300)+COUNTIF('9月'!S9:T9,L$300)+COUNTIF('9月'!X9:Y9,L$300)+COUNTIF('9月'!AC9:AD9,L$300)+COUNTIF('9月'!AH9:AI9,L$300)+COUNTIF('9月'!AM9:AN9,L$300)+COUNTIF('9月'!AR9:AS9,L$300)+COUNTIF('9月'!AW9:AX9,L$300)+COUNTIF('9月'!BB9:BC9,L$300)+COUNTIF('9月'!BG9:BH9,L$300)+COUNTIF('9月'!BL9:BM9,L$300)+COUNTIF('9月'!BQ9:BR9,L$300)+COUNTIF('9月'!BV9:BW9,L$300)+COUNTIF('9月'!CA9:CB9,L$300)+COUNTIF('9月'!CF9:CG9,L$300)+COUNTIF('9月'!CK9:CL9,L$300)+COUNTIF('9月'!CP9:CQ9,L$300)+COUNTIF('9月'!CU9:CV9,L$300)+COUNTIF('9月'!CZ9:DA9,L$300)+COUNTIF('9月'!DE9:DF9,L$300)+COUNTIF('9月'!DJ9:DK9,L$300)+COUNTIF('9月'!DO9:DP9,L$300)+COUNTIF('9月'!DT9:DU9,L$300)+COUNTIF('9月'!DY9:DZ9,L$300)+COUNTIF('9月'!ED9:EE9,L$300)+COUNTIF('9月'!EI9:EJ9,L$300)+COUNTIF('9月'!EN9:EO9,L$300)+COUNTIF('9月'!ES9:ET9,L$300)</f>
        <v>0</v>
      </c>
      <c r="M307" s="76">
        <f t="shared" si="101"/>
        <v>0</v>
      </c>
      <c r="N307" s="76">
        <f>COUNTIF('9月'!D9:E9,N$300)+COUNTIF('9月'!I9:J9,N$300)+COUNTIF('9月'!N9:O9,N$300)+COUNTIF('9月'!S9:T9,N$300)+COUNTIF('9月'!X9:Y9,N$300)+COUNTIF('9月'!AC9:AD9,N$300)+COUNTIF('9月'!AH9:AI9,N$300)+COUNTIF('9月'!AM9:AN9,N$300)+COUNTIF('9月'!AR9:AS9,N$300)+COUNTIF('9月'!AW9:AX9,N$300)+COUNTIF('9月'!BB9:BC9,N$300)+COUNTIF('9月'!BG9:BH9,N$300)+COUNTIF('9月'!BL9:BM9,N$300)+COUNTIF('9月'!BQ9:BR9,N$300)+COUNTIF('9月'!BV9:BW9,N$300)+COUNTIF('9月'!CA9:CB9,N$300)+COUNTIF('9月'!CF9:CG9,N$300)+COUNTIF('9月'!CK9:CL9,N$300)+COUNTIF('9月'!CP9:CQ9,N$300)+COUNTIF('9月'!CU9:CV9,N$300)+COUNTIF('9月'!CZ9:DA9,N$300)+COUNTIF('9月'!DE9:DF9,N$300)+COUNTIF('9月'!DJ9:DK9,N$300)+COUNTIF('9月'!DO9:DP9,N$300)+COUNTIF('9月'!DT9:DU9,N$300)+COUNTIF('9月'!DY9:DZ9,N$300)+COUNTIF('9月'!ED9:EE9,N$300)+COUNTIF('9月'!EI9:EJ9,N$300)+COUNTIF('9月'!EN9:EO9,N$300)+COUNTIF('9月'!ES9:ET9,N$300)+COUNTIF('9月'!D9:E9,"三軒茶屋－夜勤")+COUNTIF('9月'!I9:J9,"三軒茶屋－夜勤")+COUNTIF('9月'!N9:O9,"三軒茶屋－夜勤")+COUNTIF('9月'!S9:T9,"三軒茶屋－夜勤")+COUNTIF('9月'!X9:Y9,"三軒茶屋－夜勤")+COUNTIF('9月'!AC9:AD9,"三軒茶屋－夜勤")+COUNTIF('9月'!AH9:AI9,"三軒茶屋－夜勤")+COUNTIF('9月'!AM9:AN9,"三軒茶屋－夜勤")+COUNTIF('9月'!AR9:AS9,"三軒茶屋－夜勤")+COUNTIF('9月'!AW9:AX9,"三軒茶屋－夜勤")+COUNTIF('9月'!BB9:BC9,"三軒茶屋－夜勤")+COUNTIF('9月'!BG9:BH9,"三軒茶屋－夜勤")+COUNTIF('9月'!BL9:BM9,"三軒茶屋－夜勤")+COUNTIF('9月'!BQ9:BR9,"三軒茶屋－夜勤")+COUNTIF('9月'!BV9:BW9,"三軒茶屋－夜勤")+COUNTIF('9月'!CA9:CB9,"三軒茶屋－夜勤")+COUNTIF('9月'!CF9:CG9,"三軒茶屋－夜勤")+COUNTIF('9月'!CK9:CL9,"三軒茶屋－夜勤")+COUNTIF('9月'!CP9:CQ9,"三軒茶屋－夜勤")+COUNTIF('9月'!CU9:CV9,"三軒茶屋－夜勤")+COUNTIF('9月'!CZ9:DA9,"三軒茶屋－夜勤")+COUNTIF('9月'!DE9:DF9,"三軒茶屋－夜勤")+COUNTIF('9月'!DJ9:DK9,"三軒茶屋－夜勤")+COUNTIF('9月'!DO9:DP9,"三軒茶屋－夜勤")+COUNTIF('9月'!DT9:DU9,"三軒茶屋－夜勤")+COUNTIF('9月'!DY9:DZ9,"三軒茶屋－夜勤")+COUNTIF('9月'!ED9:EE9,"三軒茶屋－夜勤")+COUNTIF('9月'!EI9:EJ9,"三軒茶屋－夜勤")+COUNTIF('9月'!EN9:EO9,"三軒茶屋－夜勤")+COUNTIF('9月'!ES9:ET9,"三軒茶屋－夜勤")</f>
        <v>0</v>
      </c>
      <c r="O307" s="76">
        <f t="shared" si="102"/>
        <v>0</v>
      </c>
      <c r="P307" s="76">
        <f>COUNTIF('9月'!D9:E9,P$300)+COUNTIF('9月'!I9:J9,P$300)+COUNTIF('9月'!N9:O9,P$300)+COUNTIF('9月'!S9:T9,P$300)+COUNTIF('9月'!X9:Y9,P$300)+COUNTIF('9月'!AC9:AD9,P$300)+COUNTIF('9月'!AH9:AI9,P$300)+COUNTIF('9月'!AM9:AN9,P$300)+COUNTIF('9月'!AR9:AS9,P$300)+COUNTIF('9月'!AW9:AX9,P$300)+COUNTIF('9月'!BB9:BC9,P$300)+COUNTIF('9月'!BG9:BH9,P$300)+COUNTIF('9月'!BL9:BM9,P$300)+COUNTIF('9月'!BQ9:BR9,P$300)+COUNTIF('9月'!BV9:BW9,P$300)+COUNTIF('9月'!CA9:CB9,P$300)+COUNTIF('9月'!CF9:CG9,P$300)+COUNTIF('9月'!CK9:CL9,P$300)+COUNTIF('9月'!CP9:CQ9,P$300)+COUNTIF('9月'!CU9:CV9,P$300)+COUNTIF('9月'!CZ9:DA9,P$300)+COUNTIF('9月'!DE9:DF9,P$300)+COUNTIF('9月'!DJ9:DK9,P$300)+COUNTIF('9月'!DO9:DP9,P$300)+COUNTIF('9月'!DT9:DU9,P$300)+COUNTIF('9月'!DY9:DZ9,P$300)+COUNTIF('9月'!ED9:EE9,P$300)+COUNTIF('9月'!EI9:EJ9,P$300)+COUNTIF('9月'!EN9:EO9,P$300)+COUNTIF('9月'!ES9:ET9,P$300)+COUNTIF('9月'!D9:E9,"荻窪ー夜勤")+COUNTIF('9月'!I9:J9,"荻窪ー夜勤")+COUNTIF('9月'!N9:O9,"荻窪ー夜勤")+COUNTIF('9月'!S9:T9,"荻窪ー夜勤")+COUNTIF('9月'!X9:Y9,"荻窪ー夜勤")+COUNTIF('9月'!AC9:AD9,"荻窪ー夜勤")+COUNTIF('9月'!AH9:AI9,"荻窪ー夜勤")+COUNTIF('9月'!AM9:AN9,"荻窪ー夜勤")+COUNTIF('9月'!AR9:AS9,"荻窪ー夜勤")+COUNTIF('9月'!AW9:AX9,"荻窪ー夜勤")+COUNTIF('9月'!BB9:BC9,"荻窪ー夜勤")+COUNTIF('9月'!BG9:BH9,"荻窪ー夜勤")+COUNTIF('9月'!BL9:BM9,"荻窪ー夜勤")+COUNTIF('9月'!BQ9:BR9,"荻窪ー夜勤")+COUNTIF('9月'!BV9:BW9,"荻窪ー夜勤")+COUNTIF('9月'!CA9:CB9,"荻窪ー夜勤")+COUNTIF('9月'!CF9:CG9,"荻窪ー夜勤")+COUNTIF('9月'!CK9:CL9,"荻窪ー夜勤")+COUNTIF('9月'!CP9:CQ9,"荻窪ー夜勤")+COUNTIF('9月'!CU9:CV9,"荻窪ー夜勤")+COUNTIF('9月'!CZ9:DA9,"荻窪ー夜勤")+COUNTIF('9月'!DE9:DF9,"荻窪ー夜勤")+COUNTIF('9月'!DJ9:DK9,"荻窪ー夜勤")+COUNTIF('9月'!DO9:DP9,"荻窪ー夜勤")+COUNTIF('9月'!DT9:DU9,"荻窪ー夜勤")+COUNTIF('9月'!DY9:DZ9,"荻窪ー夜勤")+COUNTIF('9月'!ED9:EE9,"荻窪ー夜勤")+COUNTIF('9月'!EI9:EJ9,"荻窪ー夜勤")+COUNTIF('9月'!EN9:EO9,"荻窪ー夜勤")+COUNTIF('9月'!ES9:ET9,"荻窪ー夜勤")</f>
        <v>0</v>
      </c>
      <c r="Q307" s="76">
        <f t="shared" si="103"/>
        <v>0</v>
      </c>
      <c r="R307" s="76">
        <f>COUNTIF('9月'!D9:E9,R$300)+COUNTIF('9月'!I9:J9,R$300)+COUNTIF('9月'!N9:O9,R$300)+COUNTIF('9月'!S9:T9,R$300)+COUNTIF('9月'!X9:Y9,R$300)+COUNTIF('9月'!AC9:AD9,R$300)+COUNTIF('9月'!AH9:AI9,R$300)+COUNTIF('9月'!AM9:AN9,R$300)+COUNTIF('9月'!AR9:AS9,R$300)+COUNTIF('9月'!AW9:AX9,R$300)+COUNTIF('9月'!BB9:BC9,R$300)+COUNTIF('9月'!BG9:BH9,R$300)+COUNTIF('9月'!BL9:BM9,R$300)+COUNTIF('9月'!BQ9:BR9,R$300)+COUNTIF('9月'!BV9:BW9,R$300)+COUNTIF('9月'!CA9:CB9,R$300)+COUNTIF('9月'!CF9:CG9,R$300)+COUNTIF('9月'!CK9:CL9,R$300)+COUNTIF('9月'!CP9:CQ9,R$300)+COUNTIF('9月'!CU9:CV9,R$300)+COUNTIF('9月'!CZ9:DA9,R$300)+COUNTIF('9月'!DE9:DF9,R$300)+COUNTIF('9月'!DJ9:DK9,R$300)+COUNTIF('9月'!DO9:DP9,R$300)+COUNTIF('9月'!DT9:DU9,R$300)+COUNTIF('9月'!DY9:DZ9,R$300)+COUNTIF('9月'!ED9:EE9,R$300)+COUNTIF('9月'!EI9:EJ9,R$300)+COUNTIF('9月'!EN9:EO9,R$300)+COUNTIF('9月'!ES9:ET9,R$300)</f>
        <v>0</v>
      </c>
      <c r="S307" s="76">
        <f t="shared" si="104"/>
        <v>0</v>
      </c>
      <c r="T307" s="76">
        <f>COUNTIF('9月'!D9:E9,T$300)+COUNTIF('9月'!I9:J9,T$300)+COUNTIF('9月'!N9:O9,T$300)+COUNTIF('9月'!S9:T9,T$300)+COUNTIF('9月'!X9:Y9,T$300)+COUNTIF('9月'!AC9:AD9,T$300)+COUNTIF('9月'!AH9:AI9,T$300)+COUNTIF('9月'!AM9:AN9,T$300)+COUNTIF('9月'!AR9:AS9,T$300)+COUNTIF('9月'!AW9:AX9,T$300)+COUNTIF('9月'!BB9:BC9,T$300)+COUNTIF('9月'!BG9:BH9,T$300)+COUNTIF('9月'!BL9:BM9,T$300)+COUNTIF('9月'!BQ9:BR9,T$300)+COUNTIF('9月'!BV9:BW9,T$300)+COUNTIF('9月'!CA9:CB9,T$300)+COUNTIF('9月'!CF9:CG9,T$300)+COUNTIF('9月'!CK9:CL9,T$300)+COUNTIF('9月'!CP9:CQ9,T$300)+COUNTIF('9月'!CU9:CV9,T$300)+COUNTIF('9月'!CZ9:DA9,T$300)+COUNTIF('9月'!DE9:DF9,T$300)+COUNTIF('9月'!DJ9:DK9,T$300)+COUNTIF('9月'!DO9:DP9,T$300)+COUNTIF('9月'!DT9:DU9,T$300)+COUNTIF('9月'!DY9:DZ9,T$300)+COUNTIF('9月'!ED9:EE9,T$300)+COUNTIF('9月'!EI9:EJ9,T$300)+COUNTIF('9月'!EN9:EO9,T$300)+COUNTIF('9月'!ES9:ET9,T$300)</f>
        <v>0</v>
      </c>
      <c r="U307" s="76">
        <f t="shared" si="105"/>
        <v>0</v>
      </c>
      <c r="V307" s="76">
        <f>COUNTIF('9月'!D9:E9,V$300)+COUNTIF('9月'!I9:J9,V$300)+COUNTIF('9月'!N9:O9,V$300)+COUNTIF('9月'!S9:T9,V$300)+COUNTIF('9月'!X9:Y9,V$300)+COUNTIF('9月'!AC9:AD9,V$300)+COUNTIF('9月'!AH9:AI9,V$300)+COUNTIF('9月'!AM9:AN9,V$300)+COUNTIF('9月'!AR9:AS9,V$300)+COUNTIF('9月'!AW9:AX9,V$300)+COUNTIF('9月'!BB9:BC9,V$300)+COUNTIF('9月'!BG9:BH9,V$300)+COUNTIF('9月'!BL9:BM9,V$300)+COUNTIF('9月'!BQ9:BR9,V$300)+COUNTIF('9月'!BV9:BW9,V$300)+COUNTIF('9月'!CA9:CB9,V$300)+COUNTIF('9月'!CF9:CG9,V$300)+COUNTIF('9月'!CK9:CL9,V$300)+COUNTIF('9月'!CP9:CQ9,V$300)+COUNTIF('9月'!CU9:CV9,V$300)+COUNTIF('9月'!CZ9:DA9,V$300)+COUNTIF('9月'!DE9:DF9,V$300)+COUNTIF('9月'!DJ9:DK9,V$300)+COUNTIF('9月'!DO9:DP9,V$300)+COUNTIF('9月'!DT9:DU9,V$300)+COUNTIF('9月'!DY9:DZ9,V$300)+COUNTIF('9月'!ED9:EE9,V$300)+COUNTIF('9月'!EI9:EJ9,V$300)+COUNTIF('9月'!EN9:EO9,V$300)+COUNTIF('9月'!ES9:ET9,V$300)</f>
        <v>0</v>
      </c>
      <c r="W307" s="76">
        <f t="shared" si="106"/>
        <v>0</v>
      </c>
      <c r="X307" s="76">
        <f>COUNTIF('9月'!D9:E9,X$300)+COUNTIF('9月'!I9:J9,X$300)+COUNTIF('9月'!N9:O9,X$300)+COUNTIF('9月'!S9:T9,X$300)+COUNTIF('9月'!X9:Y9,X$300)+COUNTIF('9月'!AC9:AD9,X$300)+COUNTIF('9月'!AH9:AI9,X$300)+COUNTIF('9月'!AM9:AN9,X$300)+COUNTIF('9月'!AR9:AS9,X$300)+COUNTIF('9月'!AW9:AX9,X$300)+COUNTIF('9月'!BB9:BC9,X$300)+COUNTIF('9月'!BG9:BH9,X$300)+COUNTIF('9月'!BL9:BM9,X$300)+COUNTIF('9月'!BQ9:BR9,X$300)+COUNTIF('9月'!BV9:BW9,X$300)+COUNTIF('9月'!CA9:CB9,X$300)+COUNTIF('9月'!CF9:CG9,X$300)+COUNTIF('9月'!CK9:CL9,X$300)+COUNTIF('9月'!CP9:CQ9,X$300)+COUNTIF('9月'!CU9:CV9,X$300)+COUNTIF('9月'!CZ9:DA9,X$300)+COUNTIF('9月'!DE9:DF9,X$300)+COUNTIF('9月'!DJ9:DK9,X$300)+COUNTIF('9月'!DO9:DP9,X$300)+COUNTIF('9月'!DT9:DU9,X$300)+COUNTIF('9月'!DY9:DZ9,X$300)+COUNTIF('9月'!ED9:EE9,X$300)+COUNTIF('9月'!EI9:EJ9,X$300)+COUNTIF('9月'!EN9:EO9,X$300)+COUNTIF('9月'!ES9:ET9,X$300)</f>
        <v>0</v>
      </c>
      <c r="Y307" s="76">
        <f t="shared" si="107"/>
        <v>0</v>
      </c>
    </row>
    <row r="308" spans="1:25" ht="18" customHeight="1">
      <c r="A308" s="76">
        <v>7</v>
      </c>
      <c r="B308" s="76">
        <f>COUNTIF('9月'!D10:E10,B$300)+COUNTIF('9月'!I10:J10,B$300)+COUNTIF('9月'!N10:O10,B$300)+COUNTIF('9月'!S10:T10,B$300)+COUNTIF('9月'!X10:Y10,B$300)+COUNTIF('9月'!AC10:AD10,B$300)+COUNTIF('9月'!AH10:AI10,B$300)+COUNTIF('9月'!AM10:AN10,B$300)+COUNTIF('9月'!AR10:AS10,B$300)+COUNTIF('9月'!AW10:AX10,B$300)+COUNTIF('9月'!BB10:BC10,B$300)+COUNTIF('9月'!BG10:BH10,B$300)+COUNTIF('9月'!BL10:BM10,B$300)+COUNTIF('9月'!BQ10:BR10,B$300)+COUNTIF('9月'!BV10:BW10,B$300)+COUNTIF('9月'!CA10:CB10,B$300)+COUNTIF('9月'!CF10:CG10,B$300)+COUNTIF('9月'!CK10:CL10,B$300)+COUNTIF('9月'!CP10:CQ10,B$300)+COUNTIF('9月'!CU10:CV10,B$300)+COUNTIF('9月'!CZ10:DA10,B$300)+COUNTIF('9月'!DE10:DF10,B$300)+COUNTIF('9月'!DJ10:DK10,B$300)+COUNTIF('9月'!DO10:DP10,B$300)+COUNTIF('9月'!DT10:DU10,B$300)+COUNTIF('9月'!DY10:DZ10,B$300)+COUNTIF('9月'!ED10:EE10,B$300)+COUNTIF('9月'!EI10:EJ10,B$300)+COUNTIF('9月'!EN10:EO10,B$300)+COUNTIF('9月'!ES10:ET10,B$300)</f>
        <v>0</v>
      </c>
      <c r="C308" s="76">
        <f t="shared" si="96"/>
        <v>0</v>
      </c>
      <c r="D308" s="76">
        <f>COUNTIF('9月'!D10:E10,D$300)+COUNTIF('9月'!I10:J10,D$300)+COUNTIF('9月'!N10:O10,D$300)+COUNTIF('9月'!S10:T10,D$300)+COUNTIF('9月'!X10:Y10,D$300)+COUNTIF('9月'!AC10:AD10,D$300)+COUNTIF('9月'!AH10:AI10,D$300)+COUNTIF('9月'!AM10:AN10,D$300)+COUNTIF('9月'!AR10:AS10,D$300)+COUNTIF('9月'!AW10:AX10,D$300)+COUNTIF('9月'!BB10:BC10,D$300)+COUNTIF('9月'!BG10:BH10,D$300)+COUNTIF('9月'!BL10:BM10,D$300)+COUNTIF('9月'!BQ10:BR10,D$300)+COUNTIF('9月'!BV10:BW10,D$300)+COUNTIF('9月'!CA10:CB10,D$300)+COUNTIF('9月'!CF10:CG10,D$300)+COUNTIF('9月'!CK10:CL10,D$300)+COUNTIF('9月'!CP10:CQ10,D$300)+COUNTIF('9月'!CU10:CV10,D$300)+COUNTIF('9月'!CZ10:DA10,D$300)+COUNTIF('9月'!DE10:DF10,D$300)+COUNTIF('9月'!DJ10:DK10,D$300)+COUNTIF('9月'!DO10:DP10,D$300)+COUNTIF('9月'!DT10:DU10,D$300)+COUNTIF('9月'!DY10:DZ10,D$300)+COUNTIF('9月'!ED10:EE10,D$300)+COUNTIF('9月'!EI10:EJ10,D$300)+COUNTIF('9月'!EN10:EO10,D$300)+COUNTIF('9月'!ES10:ET10,D$300)</f>
        <v>0</v>
      </c>
      <c r="E308" s="76">
        <f t="shared" si="97"/>
        <v>0</v>
      </c>
      <c r="F308" s="76">
        <f>COUNTIF('9月'!D10:E10,F$300)+COUNTIF('9月'!I10:J10,F$300)+COUNTIF('9月'!N10:O10,F$300)+COUNTIF('9月'!S10:T10,F$300)+COUNTIF('9月'!X10:Y10,F$300)+COUNTIF('9月'!AC10:AD10,F$300)+COUNTIF('9月'!AH10:AI10,F$300)+COUNTIF('9月'!AM10:AN10,F$300)+COUNTIF('9月'!AR10:AS10,F$300)+COUNTIF('9月'!AW10:AX10,F$300)+COUNTIF('9月'!BB10:BC10,F$300)+COUNTIF('9月'!BG10:BH10,F$300)+COUNTIF('9月'!BL10:BM10,F$300)+COUNTIF('9月'!BQ10:BR10,F$300)+COUNTIF('9月'!BV10:BW10,F$300)+COUNTIF('9月'!CA10:CB10,F$300)+COUNTIF('9月'!CF10:CG10,F$300)+COUNTIF('9月'!CK10:CL10,F$300)+COUNTIF('9月'!CP10:CQ10,F$300)+COUNTIF('9月'!CU10:CV10,F$300)+COUNTIF('9月'!CZ10:DA10,F$300)+COUNTIF('9月'!DE10:DF10,F$300)+COUNTIF('9月'!DJ10:DK10,F$300)+COUNTIF('9月'!DO10:DP10,F$300)+COUNTIF('9月'!DT10:DU10,F$300)+COUNTIF('9月'!DY10:DZ10,F$300)+COUNTIF('9月'!ED10:EE10,F$300)+COUNTIF('9月'!EI10:EJ10,F$300)+COUNTIF('9月'!EN10:EO10,F$300)+COUNTIF('9月'!ES10:ET10,F$300)</f>
        <v>0</v>
      </c>
      <c r="G308" s="76">
        <f t="shared" si="98"/>
        <v>0</v>
      </c>
      <c r="H308" s="76">
        <f>COUNTIF('9月'!D10:E10,H$300)+COUNTIF('9月'!I10:J10,H$300)+COUNTIF('9月'!N10:O10,H$300)+COUNTIF('9月'!S10:T10,H$300)+COUNTIF('9月'!X10:Y10,H$300)+COUNTIF('9月'!AC10:AD10,H$300)+COUNTIF('9月'!AH10:AI10,H$300)+COUNTIF('9月'!AM10:AN10,H$300)+COUNTIF('9月'!AR10:AS10,H$300)+COUNTIF('9月'!AW10:AX10,H$300)+COUNTIF('9月'!BB10:BC10,H$300)+COUNTIF('9月'!BG10:BH10,H$300)+COUNTIF('9月'!BL10:BM10,H$300)+COUNTIF('9月'!BQ10:BR10,H$300)+COUNTIF('9月'!BV10:BW10,H$300)+COUNTIF('9月'!CA10:CB10,H$300)+COUNTIF('9月'!CF10:CG10,H$300)+COUNTIF('9月'!CK10:CL10,H$300)+COUNTIF('9月'!CP10:CQ10,H$300)+COUNTIF('9月'!CU10:CV10,H$300)+COUNTIF('9月'!CZ10:DA10,H$300)+COUNTIF('9月'!DE10:DF10,H$300)+COUNTIF('9月'!DJ10:DK10,H$300)+COUNTIF('9月'!DO10:DP10,H$300)+COUNTIF('9月'!DT10:DU10,H$300)+COUNTIF('9月'!DY10:DZ10,H$300)+COUNTIF('9月'!ED10:EE10,H$300)+COUNTIF('9月'!EI10:EJ10,H$300)+COUNTIF('9月'!EN10:EO10,H$300)+COUNTIF('9月'!ES10:ET10,H$300)+COUNTIF('9月'!D10:E10,"渋谷-夜勤")+COUNTIF('9月'!I10:J10,"渋谷-夜勤")+COUNTIF('9月'!N10:O10,"渋谷-夜勤")+COUNTIF('9月'!S10:T10,"渋谷-夜勤")+COUNTIF('9月'!X10:Y10,"渋谷-夜勤")+COUNTIF('9月'!AC10:AD10,"渋谷-夜勤")+COUNTIF('9月'!AH10:AI10,"渋谷-夜勤")+COUNTIF('9月'!AM10:AN10,"渋谷-夜勤")+COUNTIF('9月'!AR10:AS10,"渋谷-夜勤")+COUNTIF('9月'!AW10:AX10,"渋谷-夜勤")+COUNTIF('9月'!BB10:BC10,"渋谷-夜勤")+COUNTIF('9月'!BG10:BH10,"渋谷-夜勤")+COUNTIF('9月'!BL10:BM10,"渋谷-夜勤")+COUNTIF('9月'!BQ10:BR10,"渋谷-夜勤")+COUNTIF('9月'!BV10:BW10,"渋谷-夜勤")+COUNTIF('9月'!CA10:CB10,"渋谷-夜勤")+COUNTIF('9月'!CF10:CG10,"渋谷-夜勤")+COUNTIF('9月'!CK10:CL10,"渋谷-夜勤")+COUNTIF('9月'!CP10:CQ10,"渋谷-夜勤")+COUNTIF('9月'!CU10:CV10,"渋谷-夜勤")+COUNTIF('9月'!CZ10:DA10,"渋谷-夜勤")+COUNTIF('9月'!DE10:DF10,"渋谷-夜勤")+COUNTIF('9月'!DJ10:DK10,"渋谷-夜勤")+COUNTIF('9月'!DO10:DP10,"渋谷-夜勤")+COUNTIF('9月'!DT10:DU10,"渋谷-夜勤")+COUNTIF('9月'!DY10:DZ10,"渋谷-夜勤")+COUNTIF('9月'!ED10:EE10,"渋谷-夜勤")+COUNTIF('9月'!EI10:EJ10,"渋谷-夜勤")+COUNTIF('9月'!EN10:EO10,"渋谷-夜勤")+COUNTIF('9月'!ES10:ET10,"渋谷-夜勤")</f>
        <v>0</v>
      </c>
      <c r="I308" s="76">
        <f t="shared" si="99"/>
        <v>0</v>
      </c>
      <c r="J308" s="76">
        <f>COUNTIF('9月'!D10:E10,J$300)+COUNTIF('9月'!I10:J10,J$300)+COUNTIF('9月'!N10:O10,J$300)+COUNTIF('9月'!S10:T10,J$300)+COUNTIF('9月'!X10:Y10,J$300)+COUNTIF('9月'!AC10:AD10,J$300)+COUNTIF('9月'!AH10:AI10,J$300)+COUNTIF('9月'!AM10:AN10,J$300)+COUNTIF('9月'!AR10:AS10,J$300)+COUNTIF('9月'!AW10:AX10,J$300)+COUNTIF('9月'!BB10:BC10,J$300)+COUNTIF('9月'!BG10:BH10,J$300)+COUNTIF('9月'!BL10:BM10,J$300)+COUNTIF('9月'!BQ10:BR10,J$300)+COUNTIF('9月'!BV10:BW10,J$300)+COUNTIF('9月'!CA10:CB10,J$300)+COUNTIF('9月'!CF10:CG10,J$300)+COUNTIF('9月'!CK10:CL10,J$300)+COUNTIF('9月'!CP10:CQ10,J$300)+COUNTIF('9月'!CU10:CV10,J$300)+COUNTIF('9月'!CZ10:DA10,J$300)+COUNTIF('9月'!DE10:DF10,J$300)+COUNTIF('9月'!DJ10:DK10,J$300)+COUNTIF('9月'!DO10:DP10,J$300)+COUNTIF('9月'!DT10:DU10,J$300)+COUNTIF('9月'!DY10:DZ10,J$300)+COUNTIF('9月'!ED10:EE10,J$300)+COUNTIF('9月'!EI10:EJ10,J$300)+COUNTIF('9月'!EN10:EO10,J$300)+COUNTIF('9月'!ES10:ET10,J$300)+COUNTIF('9月'!D10:E10,"六本木-夜勤")+COUNTIF('9月'!I10:J10,"六本木-夜勤")+COUNTIF('9月'!N10:O10,"六本木-夜勤")+COUNTIF('9月'!S10:T10,"六本木-夜勤")+COUNTIF('9月'!X10:Y10,"六本木-夜勤")+COUNTIF('9月'!AC10:AD10,"六本木-夜勤")+COUNTIF('9月'!AH10:AI10,"六本木-夜勤")+COUNTIF('9月'!AM10:AN10,"六本木-夜勤")+COUNTIF('9月'!AR10:AS10,"六本木-夜勤")+COUNTIF('9月'!AW10:AX10,"六本木-夜勤")+COUNTIF('9月'!BB10:BC10,"六本木-夜勤")+COUNTIF('9月'!BG10:BH10,"六本木-夜勤")+COUNTIF('9月'!BL10:BM10,"六本木-夜勤")+COUNTIF('9月'!BQ10:BR10,"六本木-夜勤")+COUNTIF('9月'!BV10:BW10,"六本木-夜勤")+COUNTIF('9月'!CA10:CB10,"六本木-夜勤")+COUNTIF('9月'!CF10:CG10,"六本木-夜勤")+COUNTIF('9月'!CK10:CL10,"六本木-夜勤")+COUNTIF('9月'!CP10:CQ10,"六本木-夜勤")+COUNTIF('9月'!CU10:CV10,"六本木-夜勤")+COUNTIF('9月'!CZ10:DA10,"六本木-夜勤")+COUNTIF('9月'!DE10:DF10,"六本木-夜勤")+COUNTIF('9月'!DJ10:DK10,"六本木-夜勤")+COUNTIF('9月'!DO10:DP10,"六本木-夜勤")+COUNTIF('9月'!DT10:DU10,"六本木-夜勤")+COUNTIF('9月'!DY10:DZ10,"六本木-夜勤")+COUNTIF('9月'!ED10:EE10,"六本木-夜勤")+COUNTIF('9月'!EI10:EJ10,"六本木-夜勤")+COUNTIF('9月'!EN10:EO10,"六本木-夜勤")+COUNTIF('9月'!ES10:ET10,"六本木-夜勤")+COUNTIF('9月'!D10:E10,"六本木ー夜勤")+COUNTIF('9月'!I10:J10,"六本木ー夜勤")+COUNTIF('9月'!N10:O10,"六本木ー夜勤")+COUNTIF('9月'!S10:T10,"六本木ー夜勤")+COUNTIF('9月'!X10:Y10,"六本木ー夜勤")+COUNTIF('9月'!AC10:AD10,"六本木ー夜勤")+COUNTIF('9月'!AH10:AI10,"六本木ー夜勤")+COUNTIF('9月'!AM10:AN10,"六本木ー夜勤")+COUNTIF('9月'!AR10:AS10,"六本木ー夜勤")+COUNTIF('9月'!AW10:AX10,"六本木ー夜勤")+COUNTIF('9月'!BB10:BC10,"六本木ー夜勤")+COUNTIF('9月'!BG10:BH10,"六本木ー夜勤")+COUNTIF('9月'!BL10:BM10,"六本木ー夜勤")+COUNTIF('9月'!BQ10:BR10,"六本木ー夜勤")+COUNTIF('9月'!BV10:BW10,"六本木ー夜勤")+COUNTIF('9月'!CA10:CB10,"六本木ー夜勤")+COUNTIF('9月'!CF10:CG10,"六本木ー夜勤")+COUNTIF('9月'!CK10:CL10,"六本木ー夜勤")+COUNTIF('9月'!CP10:CQ10,"六本木ー夜勤")+COUNTIF('9月'!CU10:CV10,"六本木ー夜勤")+COUNTIF('9月'!CZ10:DA10,"六本木ー夜勤")+COUNTIF('9月'!DE10:DF10,"六本木ー夜勤")+COUNTIF('9月'!DJ10:DK10,"六本木ー夜勤")+COUNTIF('9月'!DO10:DP10,"六本木ー夜勤")+COUNTIF('9月'!DT10:DU10,"六本木ー夜勤")+COUNTIF('9月'!DY10:DZ10,"六本木ー夜勤")+COUNTIF('9月'!ED10:EE10,"六本木ー夜勤")+COUNTIF('9月'!EI10:EJ10,"六本木ー夜勤")+COUNTIF('9月'!EN10:EO10,"六本木ー夜勤")+COUNTIF('9月'!ES10:ET10,"六本木ー夜勤")</f>
        <v>0</v>
      </c>
      <c r="K308" s="76">
        <f t="shared" si="100"/>
        <v>0</v>
      </c>
      <c r="L308" s="76">
        <f>COUNTIF('9月'!D10:E10,L$300)+COUNTIF('9月'!I10:J10,L$300)+COUNTIF('9月'!N10:O10,L$300)+COUNTIF('9月'!S10:T10,L$300)+COUNTIF('9月'!X10:Y10,L$300)+COUNTIF('9月'!AC10:AD10,L$300)+COUNTIF('9月'!AH10:AI10,L$300)+COUNTIF('9月'!AM10:AN10,L$300)+COUNTIF('9月'!AR10:AS10,L$300)+COUNTIF('9月'!AW10:AX10,L$300)+COUNTIF('9月'!BB10:BC10,L$300)+COUNTIF('9月'!BG10:BH10,L$300)+COUNTIF('9月'!BL10:BM10,L$300)+COUNTIF('9月'!BQ10:BR10,L$300)+COUNTIF('9月'!BV10:BW10,L$300)+COUNTIF('9月'!CA10:CB10,L$300)+COUNTIF('9月'!CF10:CG10,L$300)+COUNTIF('9月'!CK10:CL10,L$300)+COUNTIF('9月'!CP10:CQ10,L$300)+COUNTIF('9月'!CU10:CV10,L$300)+COUNTIF('9月'!CZ10:DA10,L$300)+COUNTIF('9月'!DE10:DF10,L$300)+COUNTIF('9月'!DJ10:DK10,L$300)+COUNTIF('9月'!DO10:DP10,L$300)+COUNTIF('9月'!DT10:DU10,L$300)+COUNTIF('9月'!DY10:DZ10,L$300)+COUNTIF('9月'!ED10:EE10,L$300)+COUNTIF('9月'!EI10:EJ10,L$300)+COUNTIF('9月'!EN10:EO10,L$300)+COUNTIF('9月'!ES10:ET10,L$300)</f>
        <v>0</v>
      </c>
      <c r="M308" s="76">
        <f t="shared" si="101"/>
        <v>0</v>
      </c>
      <c r="N308" s="76">
        <f>COUNTIF('9月'!D10:E10,N$300)+COUNTIF('9月'!I10:J10,N$300)+COUNTIF('9月'!N10:O10,N$300)+COUNTIF('9月'!S10:T10,N$300)+COUNTIF('9月'!X10:Y10,N$300)+COUNTIF('9月'!AC10:AD10,N$300)+COUNTIF('9月'!AH10:AI10,N$300)+COUNTIF('9月'!AM10:AN10,N$300)+COUNTIF('9月'!AR10:AS10,N$300)+COUNTIF('9月'!AW10:AX10,N$300)+COUNTIF('9月'!BB10:BC10,N$300)+COUNTIF('9月'!BG10:BH10,N$300)+COUNTIF('9月'!BL10:BM10,N$300)+COUNTIF('9月'!BQ10:BR10,N$300)+COUNTIF('9月'!BV10:BW10,N$300)+COUNTIF('9月'!CA10:CB10,N$300)+COUNTIF('9月'!CF10:CG10,N$300)+COUNTIF('9月'!CK10:CL10,N$300)+COUNTIF('9月'!CP10:CQ10,N$300)+COUNTIF('9月'!CU10:CV10,N$300)+COUNTIF('9月'!CZ10:DA10,N$300)+COUNTIF('9月'!DE10:DF10,N$300)+COUNTIF('9月'!DJ10:DK10,N$300)+COUNTIF('9月'!DO10:DP10,N$300)+COUNTIF('9月'!DT10:DU10,N$300)+COUNTIF('9月'!DY10:DZ10,N$300)+COUNTIF('9月'!ED10:EE10,N$300)+COUNTIF('9月'!EI10:EJ10,N$300)+COUNTIF('9月'!EN10:EO10,N$300)+COUNTIF('9月'!ES10:ET10,N$300)+COUNTIF('9月'!D10:E10,"三軒茶屋－夜勤")+COUNTIF('9月'!I10:J10,"三軒茶屋－夜勤")+COUNTIF('9月'!N10:O10,"三軒茶屋－夜勤")+COUNTIF('9月'!S10:T10,"三軒茶屋－夜勤")+COUNTIF('9月'!X10:Y10,"三軒茶屋－夜勤")+COUNTIF('9月'!AC10:AD10,"三軒茶屋－夜勤")+COUNTIF('9月'!AH10:AI10,"三軒茶屋－夜勤")+COUNTIF('9月'!AM10:AN10,"三軒茶屋－夜勤")+COUNTIF('9月'!AR10:AS10,"三軒茶屋－夜勤")+COUNTIF('9月'!AW10:AX10,"三軒茶屋－夜勤")+COUNTIF('9月'!BB10:BC10,"三軒茶屋－夜勤")+COUNTIF('9月'!BG10:BH10,"三軒茶屋－夜勤")+COUNTIF('9月'!BL10:BM10,"三軒茶屋－夜勤")+COUNTIF('9月'!BQ10:BR10,"三軒茶屋－夜勤")+COUNTIF('9月'!BV10:BW10,"三軒茶屋－夜勤")+COUNTIF('9月'!CA10:CB10,"三軒茶屋－夜勤")+COUNTIF('9月'!CF10:CG10,"三軒茶屋－夜勤")+COUNTIF('9月'!CK10:CL10,"三軒茶屋－夜勤")+COUNTIF('9月'!CP10:CQ10,"三軒茶屋－夜勤")+COUNTIF('9月'!CU10:CV10,"三軒茶屋－夜勤")+COUNTIF('9月'!CZ10:DA10,"三軒茶屋－夜勤")+COUNTIF('9月'!DE10:DF10,"三軒茶屋－夜勤")+COUNTIF('9月'!DJ10:DK10,"三軒茶屋－夜勤")+COUNTIF('9月'!DO10:DP10,"三軒茶屋－夜勤")+COUNTIF('9月'!DT10:DU10,"三軒茶屋－夜勤")+COUNTIF('9月'!DY10:DZ10,"三軒茶屋－夜勤")+COUNTIF('9月'!ED10:EE10,"三軒茶屋－夜勤")+COUNTIF('9月'!EI10:EJ10,"三軒茶屋－夜勤")+COUNTIF('9月'!EN10:EO10,"三軒茶屋－夜勤")+COUNTIF('9月'!ES10:ET10,"三軒茶屋－夜勤")</f>
        <v>0</v>
      </c>
      <c r="O308" s="76">
        <f t="shared" si="102"/>
        <v>0</v>
      </c>
      <c r="P308" s="76">
        <f>COUNTIF('9月'!D10:E10,P$300)+COUNTIF('9月'!I10:J10,P$300)+COUNTIF('9月'!N10:O10,P$300)+COUNTIF('9月'!S10:T10,P$300)+COUNTIF('9月'!X10:Y10,P$300)+COUNTIF('9月'!AC10:AD10,P$300)+COUNTIF('9月'!AH10:AI10,P$300)+COUNTIF('9月'!AM10:AN10,P$300)+COUNTIF('9月'!AR10:AS10,P$300)+COUNTIF('9月'!AW10:AX10,P$300)+COUNTIF('9月'!BB10:BC10,P$300)+COUNTIF('9月'!BG10:BH10,P$300)+COUNTIF('9月'!BL10:BM10,P$300)+COUNTIF('9月'!BQ10:BR10,P$300)+COUNTIF('9月'!BV10:BW10,P$300)+COUNTIF('9月'!CA10:CB10,P$300)+COUNTIF('9月'!CF10:CG10,P$300)+COUNTIF('9月'!CK10:CL10,P$300)+COUNTIF('9月'!CP10:CQ10,P$300)+COUNTIF('9月'!CU10:CV10,P$300)+COUNTIF('9月'!CZ10:DA10,P$300)+COUNTIF('9月'!DE10:DF10,P$300)+COUNTIF('9月'!DJ10:DK10,P$300)+COUNTIF('9月'!DO10:DP10,P$300)+COUNTIF('9月'!DT10:DU10,P$300)+COUNTIF('9月'!DY10:DZ10,P$300)+COUNTIF('9月'!ED10:EE10,P$300)+COUNTIF('9月'!EI10:EJ10,P$300)+COUNTIF('9月'!EN10:EO10,P$300)+COUNTIF('9月'!ES10:ET10,P$300)+COUNTIF('9月'!D10:E10,"荻窪ー夜勤")+COUNTIF('9月'!I10:J10,"荻窪ー夜勤")+COUNTIF('9月'!N10:O10,"荻窪ー夜勤")+COUNTIF('9月'!S10:T10,"荻窪ー夜勤")+COUNTIF('9月'!X10:Y10,"荻窪ー夜勤")+COUNTIF('9月'!AC10:AD10,"荻窪ー夜勤")+COUNTIF('9月'!AH10:AI10,"荻窪ー夜勤")+COUNTIF('9月'!AM10:AN10,"荻窪ー夜勤")+COUNTIF('9月'!AR10:AS10,"荻窪ー夜勤")+COUNTIF('9月'!AW10:AX10,"荻窪ー夜勤")+COUNTIF('9月'!BB10:BC10,"荻窪ー夜勤")+COUNTIF('9月'!BG10:BH10,"荻窪ー夜勤")+COUNTIF('9月'!BL10:BM10,"荻窪ー夜勤")+COUNTIF('9月'!BQ10:BR10,"荻窪ー夜勤")+COUNTIF('9月'!BV10:BW10,"荻窪ー夜勤")+COUNTIF('9月'!CA10:CB10,"荻窪ー夜勤")+COUNTIF('9月'!CF10:CG10,"荻窪ー夜勤")+COUNTIF('9月'!CK10:CL10,"荻窪ー夜勤")+COUNTIF('9月'!CP10:CQ10,"荻窪ー夜勤")+COUNTIF('9月'!CU10:CV10,"荻窪ー夜勤")+COUNTIF('9月'!CZ10:DA10,"荻窪ー夜勤")+COUNTIF('9月'!DE10:DF10,"荻窪ー夜勤")+COUNTIF('9月'!DJ10:DK10,"荻窪ー夜勤")+COUNTIF('9月'!DO10:DP10,"荻窪ー夜勤")+COUNTIF('9月'!DT10:DU10,"荻窪ー夜勤")+COUNTIF('9月'!DY10:DZ10,"荻窪ー夜勤")+COUNTIF('9月'!ED10:EE10,"荻窪ー夜勤")+COUNTIF('9月'!EI10:EJ10,"荻窪ー夜勤")+COUNTIF('9月'!EN10:EO10,"荻窪ー夜勤")+COUNTIF('9月'!ES10:ET10,"荻窪ー夜勤")</f>
        <v>0</v>
      </c>
      <c r="Q308" s="76">
        <f t="shared" si="103"/>
        <v>0</v>
      </c>
      <c r="R308" s="76">
        <f>COUNTIF('9月'!D10:E10,R$300)+COUNTIF('9月'!I10:J10,R$300)+COUNTIF('9月'!N10:O10,R$300)+COUNTIF('9月'!S10:T10,R$300)+COUNTIF('9月'!X10:Y10,R$300)+COUNTIF('9月'!AC10:AD10,R$300)+COUNTIF('9月'!AH10:AI10,R$300)+COUNTIF('9月'!AM10:AN10,R$300)+COUNTIF('9月'!AR10:AS10,R$300)+COUNTIF('9月'!AW10:AX10,R$300)+COUNTIF('9月'!BB10:BC10,R$300)+COUNTIF('9月'!BG10:BH10,R$300)+COUNTIF('9月'!BL10:BM10,R$300)+COUNTIF('9月'!BQ10:BR10,R$300)+COUNTIF('9月'!BV10:BW10,R$300)+COUNTIF('9月'!CA10:CB10,R$300)+COUNTIF('9月'!CF10:CG10,R$300)+COUNTIF('9月'!CK10:CL10,R$300)+COUNTIF('9月'!CP10:CQ10,R$300)+COUNTIF('9月'!CU10:CV10,R$300)+COUNTIF('9月'!CZ10:DA10,R$300)+COUNTIF('9月'!DE10:DF10,R$300)+COUNTIF('9月'!DJ10:DK10,R$300)+COUNTIF('9月'!DO10:DP10,R$300)+COUNTIF('9月'!DT10:DU10,R$300)+COUNTIF('9月'!DY10:DZ10,R$300)+COUNTIF('9月'!ED10:EE10,R$300)+COUNTIF('9月'!EI10:EJ10,R$300)+COUNTIF('9月'!EN10:EO10,R$300)+COUNTIF('9月'!ES10:ET10,R$300)</f>
        <v>0</v>
      </c>
      <c r="S308" s="76">
        <f t="shared" si="104"/>
        <v>0</v>
      </c>
      <c r="T308" s="76">
        <f>COUNTIF('9月'!D10:E10,T$300)+COUNTIF('9月'!I10:J10,T$300)+COUNTIF('9月'!N10:O10,T$300)+COUNTIF('9月'!S10:T10,T$300)+COUNTIF('9月'!X10:Y10,T$300)+COUNTIF('9月'!AC10:AD10,T$300)+COUNTIF('9月'!AH10:AI10,T$300)+COUNTIF('9月'!AM10:AN10,T$300)+COUNTIF('9月'!AR10:AS10,T$300)+COUNTIF('9月'!AW10:AX10,T$300)+COUNTIF('9月'!BB10:BC10,T$300)+COUNTIF('9月'!BG10:BH10,T$300)+COUNTIF('9月'!BL10:BM10,T$300)+COUNTIF('9月'!BQ10:BR10,T$300)+COUNTIF('9月'!BV10:BW10,T$300)+COUNTIF('9月'!CA10:CB10,T$300)+COUNTIF('9月'!CF10:CG10,T$300)+COUNTIF('9月'!CK10:CL10,T$300)+COUNTIF('9月'!CP10:CQ10,T$300)+COUNTIF('9月'!CU10:CV10,T$300)+COUNTIF('9月'!CZ10:DA10,T$300)+COUNTIF('9月'!DE10:DF10,T$300)+COUNTIF('9月'!DJ10:DK10,T$300)+COUNTIF('9月'!DO10:DP10,T$300)+COUNTIF('9月'!DT10:DU10,T$300)+COUNTIF('9月'!DY10:DZ10,T$300)+COUNTIF('9月'!ED10:EE10,T$300)+COUNTIF('9月'!EI10:EJ10,T$300)+COUNTIF('9月'!EN10:EO10,T$300)+COUNTIF('9月'!ES10:ET10,T$300)</f>
        <v>0</v>
      </c>
      <c r="U308" s="76">
        <f t="shared" si="105"/>
        <v>0</v>
      </c>
      <c r="V308" s="76">
        <f>COUNTIF('9月'!D10:E10,V$300)+COUNTIF('9月'!I10:J10,V$300)+COUNTIF('9月'!N10:O10,V$300)+COUNTIF('9月'!S10:T10,V$300)+COUNTIF('9月'!X10:Y10,V$300)+COUNTIF('9月'!AC10:AD10,V$300)+COUNTIF('9月'!AH10:AI10,V$300)+COUNTIF('9月'!AM10:AN10,V$300)+COUNTIF('9月'!AR10:AS10,V$300)+COUNTIF('9月'!AW10:AX10,V$300)+COUNTIF('9月'!BB10:BC10,V$300)+COUNTIF('9月'!BG10:BH10,V$300)+COUNTIF('9月'!BL10:BM10,V$300)+COUNTIF('9月'!BQ10:BR10,V$300)+COUNTIF('9月'!BV10:BW10,V$300)+COUNTIF('9月'!CA10:CB10,V$300)+COUNTIF('9月'!CF10:CG10,V$300)+COUNTIF('9月'!CK10:CL10,V$300)+COUNTIF('9月'!CP10:CQ10,V$300)+COUNTIF('9月'!CU10:CV10,V$300)+COUNTIF('9月'!CZ10:DA10,V$300)+COUNTIF('9月'!DE10:DF10,V$300)+COUNTIF('9月'!DJ10:DK10,V$300)+COUNTIF('9月'!DO10:DP10,V$300)+COUNTIF('9月'!DT10:DU10,V$300)+COUNTIF('9月'!DY10:DZ10,V$300)+COUNTIF('9月'!ED10:EE10,V$300)+COUNTIF('9月'!EI10:EJ10,V$300)+COUNTIF('9月'!EN10:EO10,V$300)+COUNTIF('9月'!ES10:ET10,V$300)</f>
        <v>0</v>
      </c>
      <c r="W308" s="76">
        <f t="shared" si="106"/>
        <v>0</v>
      </c>
      <c r="X308" s="76">
        <f>COUNTIF('9月'!D10:E10,X$300)+COUNTIF('9月'!I10:J10,X$300)+COUNTIF('9月'!N10:O10,X$300)+COUNTIF('9月'!S10:T10,X$300)+COUNTIF('9月'!X10:Y10,X$300)+COUNTIF('9月'!AC10:AD10,X$300)+COUNTIF('9月'!AH10:AI10,X$300)+COUNTIF('9月'!AM10:AN10,X$300)+COUNTIF('9月'!AR10:AS10,X$300)+COUNTIF('9月'!AW10:AX10,X$300)+COUNTIF('9月'!BB10:BC10,X$300)+COUNTIF('9月'!BG10:BH10,X$300)+COUNTIF('9月'!BL10:BM10,X$300)+COUNTIF('9月'!BQ10:BR10,X$300)+COUNTIF('9月'!BV10:BW10,X$300)+COUNTIF('9月'!CA10:CB10,X$300)+COUNTIF('9月'!CF10:CG10,X$300)+COUNTIF('9月'!CK10:CL10,X$300)+COUNTIF('9月'!CP10:CQ10,X$300)+COUNTIF('9月'!CU10:CV10,X$300)+COUNTIF('9月'!CZ10:DA10,X$300)+COUNTIF('9月'!DE10:DF10,X$300)+COUNTIF('9月'!DJ10:DK10,X$300)+COUNTIF('9月'!DO10:DP10,X$300)+COUNTIF('9月'!DT10:DU10,X$300)+COUNTIF('9月'!DY10:DZ10,X$300)+COUNTIF('9月'!ED10:EE10,X$300)+COUNTIF('9月'!EI10:EJ10,X$300)+COUNTIF('9月'!EN10:EO10,X$300)+COUNTIF('9月'!ES10:ET10,X$300)</f>
        <v>0</v>
      </c>
      <c r="Y308" s="76">
        <f t="shared" si="107"/>
        <v>0</v>
      </c>
    </row>
    <row r="309" spans="1:25" ht="18" customHeight="1">
      <c r="A309" s="76">
        <v>8</v>
      </c>
      <c r="B309" s="76">
        <f>COUNTIF('9月'!D11:E11,B$300)+COUNTIF('9月'!I11:J11,B$300)+COUNTIF('9月'!N11:O11,B$300)+COUNTIF('9月'!S11:T11,B$300)+COUNTIF('9月'!X11:Y11,B$300)+COUNTIF('9月'!AC11:AD11,B$300)+COUNTIF('9月'!AH11:AI11,B$300)+COUNTIF('9月'!AM11:AN11,B$300)+COUNTIF('9月'!AR11:AS11,B$300)+COUNTIF('9月'!AW11:AX11,B$300)+COUNTIF('9月'!BB11:BC11,B$300)+COUNTIF('9月'!BG11:BH11,B$300)+COUNTIF('9月'!BL11:BM11,B$300)+COUNTIF('9月'!BQ11:BR11,B$300)+COUNTIF('9月'!BV11:BW11,B$300)+COUNTIF('9月'!CA11:CB11,B$300)+COUNTIF('9月'!CF11:CG11,B$300)+COUNTIF('9月'!CK11:CL11,B$300)+COUNTIF('9月'!CP11:CQ11,B$300)+COUNTIF('9月'!CU11:CV11,B$300)+COUNTIF('9月'!CZ11:DA11,B$300)+COUNTIF('9月'!DE11:DF11,B$300)+COUNTIF('9月'!DJ11:DK11,B$300)+COUNTIF('9月'!DO11:DP11,B$300)+COUNTIF('9月'!DT11:DU11,B$300)+COUNTIF('9月'!DY11:DZ11,B$300)+COUNTIF('9月'!ED11:EE11,B$300)+COUNTIF('9月'!EI11:EJ11,B$300)+COUNTIF('9月'!EN11:EO11,B$300)+COUNTIF('9月'!ES11:ET11,B$300)</f>
        <v>0</v>
      </c>
      <c r="C309" s="76">
        <f t="shared" si="96"/>
        <v>0</v>
      </c>
      <c r="D309" s="76">
        <f>COUNTIF('9月'!D11:E11,D$300)+COUNTIF('9月'!I11:J11,D$300)+COUNTIF('9月'!N11:O11,D$300)+COUNTIF('9月'!S11:T11,D$300)+COUNTIF('9月'!X11:Y11,D$300)+COUNTIF('9月'!AC11:AD11,D$300)+COUNTIF('9月'!AH11:AI11,D$300)+COUNTIF('9月'!AM11:AN11,D$300)+COUNTIF('9月'!AR11:AS11,D$300)+COUNTIF('9月'!AW11:AX11,D$300)+COUNTIF('9月'!BB11:BC11,D$300)+COUNTIF('9月'!BG11:BH11,D$300)+COUNTIF('9月'!BL11:BM11,D$300)+COUNTIF('9月'!BQ11:BR11,D$300)+COUNTIF('9月'!BV11:BW11,D$300)+COUNTIF('9月'!CA11:CB11,D$300)+COUNTIF('9月'!CF11:CG11,D$300)+COUNTIF('9月'!CK11:CL11,D$300)+COUNTIF('9月'!CP11:CQ11,D$300)+COUNTIF('9月'!CU11:CV11,D$300)+COUNTIF('9月'!CZ11:DA11,D$300)+COUNTIF('9月'!DE11:DF11,D$300)+COUNTIF('9月'!DJ11:DK11,D$300)+COUNTIF('9月'!DO11:DP11,D$300)+COUNTIF('9月'!DT11:DU11,D$300)+COUNTIF('9月'!DY11:DZ11,D$300)+COUNTIF('9月'!ED11:EE11,D$300)+COUNTIF('9月'!EI11:EJ11,D$300)+COUNTIF('9月'!EN11:EO11,D$300)+COUNTIF('9月'!ES11:ET11,D$300)</f>
        <v>0</v>
      </c>
      <c r="E309" s="76">
        <f t="shared" si="97"/>
        <v>0</v>
      </c>
      <c r="F309" s="76">
        <f>COUNTIF('9月'!D11:E11,F$300)+COUNTIF('9月'!I11:J11,F$300)+COUNTIF('9月'!N11:O11,F$300)+COUNTIF('9月'!S11:T11,F$300)+COUNTIF('9月'!X11:Y11,F$300)+COUNTIF('9月'!AC11:AD11,F$300)+COUNTIF('9月'!AH11:AI11,F$300)+COUNTIF('9月'!AM11:AN11,F$300)+COUNTIF('9月'!AR11:AS11,F$300)+COUNTIF('9月'!AW11:AX11,F$300)+COUNTIF('9月'!BB11:BC11,F$300)+COUNTIF('9月'!BG11:BH11,F$300)+COUNTIF('9月'!BL11:BM11,F$300)+COUNTIF('9月'!BQ11:BR11,F$300)+COUNTIF('9月'!BV11:BW11,F$300)+COUNTIF('9月'!CA11:CB11,F$300)+COUNTIF('9月'!CF11:CG11,F$300)+COUNTIF('9月'!CK11:CL11,F$300)+COUNTIF('9月'!CP11:CQ11,F$300)+COUNTIF('9月'!CU11:CV11,F$300)+COUNTIF('9月'!CZ11:DA11,F$300)+COUNTIF('9月'!DE11:DF11,F$300)+COUNTIF('9月'!DJ11:DK11,F$300)+COUNTIF('9月'!DO11:DP11,F$300)+COUNTIF('9月'!DT11:DU11,F$300)+COUNTIF('9月'!DY11:DZ11,F$300)+COUNTIF('9月'!ED11:EE11,F$300)+COUNTIF('9月'!EI11:EJ11,F$300)+COUNTIF('9月'!EN11:EO11,F$300)+COUNTIF('9月'!ES11:ET11,F$300)</f>
        <v>0</v>
      </c>
      <c r="G309" s="76">
        <f t="shared" si="98"/>
        <v>0</v>
      </c>
      <c r="H309" s="76">
        <f>COUNTIF('9月'!D11:E11,H$300)+COUNTIF('9月'!I11:J11,H$300)+COUNTIF('9月'!N11:O11,H$300)+COUNTIF('9月'!S11:T11,H$300)+COUNTIF('9月'!X11:Y11,H$300)+COUNTIF('9月'!AC11:AD11,H$300)+COUNTIF('9月'!AH11:AI11,H$300)+COUNTIF('9月'!AM11:AN11,H$300)+COUNTIF('9月'!AR11:AS11,H$300)+COUNTIF('9月'!AW11:AX11,H$300)+COUNTIF('9月'!BB11:BC11,H$300)+COUNTIF('9月'!BG11:BH11,H$300)+COUNTIF('9月'!BL11:BM11,H$300)+COUNTIF('9月'!BQ11:BR11,H$300)+COUNTIF('9月'!BV11:BW11,H$300)+COUNTIF('9月'!CA11:CB11,H$300)+COUNTIF('9月'!CF11:CG11,H$300)+COUNTIF('9月'!CK11:CL11,H$300)+COUNTIF('9月'!CP11:CQ11,H$300)+COUNTIF('9月'!CU11:CV11,H$300)+COUNTIF('9月'!CZ11:DA11,H$300)+COUNTIF('9月'!DE11:DF11,H$300)+COUNTIF('9月'!DJ11:DK11,H$300)+COUNTIF('9月'!DO11:DP11,H$300)+COUNTIF('9月'!DT11:DU11,H$300)+COUNTIF('9月'!DY11:DZ11,H$300)+COUNTIF('9月'!ED11:EE11,H$300)+COUNTIF('9月'!EI11:EJ11,H$300)+COUNTIF('9月'!EN11:EO11,H$300)+COUNTIF('9月'!ES11:ET11,H$300)+COUNTIF('9月'!D11:E11,"渋谷-夜勤")+COUNTIF('9月'!I11:J11,"渋谷-夜勤")+COUNTIF('9月'!N11:O11,"渋谷-夜勤")+COUNTIF('9月'!S11:T11,"渋谷-夜勤")+COUNTIF('9月'!X11:Y11,"渋谷-夜勤")+COUNTIF('9月'!AC11:AD11,"渋谷-夜勤")+COUNTIF('9月'!AH11:AI11,"渋谷-夜勤")+COUNTIF('9月'!AM11:AN11,"渋谷-夜勤")+COUNTIF('9月'!AR11:AS11,"渋谷-夜勤")+COUNTIF('9月'!AW11:AX11,"渋谷-夜勤")+COUNTIF('9月'!BB11:BC11,"渋谷-夜勤")+COUNTIF('9月'!BG11:BH11,"渋谷-夜勤")+COUNTIF('9月'!BL11:BM11,"渋谷-夜勤")+COUNTIF('9月'!BQ11:BR11,"渋谷-夜勤")+COUNTIF('9月'!BV11:BW11,"渋谷-夜勤")+COUNTIF('9月'!CA11:CB11,"渋谷-夜勤")+COUNTIF('9月'!CF11:CG11,"渋谷-夜勤")+COUNTIF('9月'!CK11:CL11,"渋谷-夜勤")+COUNTIF('9月'!CP11:CQ11,"渋谷-夜勤")+COUNTIF('9月'!CU11:CV11,"渋谷-夜勤")+COUNTIF('9月'!CZ11:DA11,"渋谷-夜勤")+COUNTIF('9月'!DE11:DF11,"渋谷-夜勤")+COUNTIF('9月'!DJ11:DK11,"渋谷-夜勤")+COUNTIF('9月'!DO11:DP11,"渋谷-夜勤")+COUNTIF('9月'!DT11:DU11,"渋谷-夜勤")+COUNTIF('9月'!DY11:DZ11,"渋谷-夜勤")+COUNTIF('9月'!ED11:EE11,"渋谷-夜勤")+COUNTIF('9月'!EI11:EJ11,"渋谷-夜勤")+COUNTIF('9月'!EN11:EO11,"渋谷-夜勤")+COUNTIF('9月'!ES11:ET11,"渋谷-夜勤")</f>
        <v>0</v>
      </c>
      <c r="I309" s="76">
        <f t="shared" si="99"/>
        <v>0</v>
      </c>
      <c r="J309" s="76">
        <f>COUNTIF('9月'!D11:E11,J$300)+COUNTIF('9月'!I11:J11,J$300)+COUNTIF('9月'!N11:O11,J$300)+COUNTIF('9月'!S11:T11,J$300)+COUNTIF('9月'!X11:Y11,J$300)+COUNTIF('9月'!AC11:AD11,J$300)+COUNTIF('9月'!AH11:AI11,J$300)+COUNTIF('9月'!AM11:AN11,J$300)+COUNTIF('9月'!AR11:AS11,J$300)+COUNTIF('9月'!AW11:AX11,J$300)+COUNTIF('9月'!BB11:BC11,J$300)+COUNTIF('9月'!BG11:BH11,J$300)+COUNTIF('9月'!BL11:BM11,J$300)+COUNTIF('9月'!BQ11:BR11,J$300)+COUNTIF('9月'!BV11:BW11,J$300)+COUNTIF('9月'!CA11:CB11,J$300)+COUNTIF('9月'!CF11:CG11,J$300)+COUNTIF('9月'!CK11:CL11,J$300)+COUNTIF('9月'!CP11:CQ11,J$300)+COUNTIF('9月'!CU11:CV11,J$300)+COUNTIF('9月'!CZ11:DA11,J$300)+COUNTIF('9月'!DE11:DF11,J$300)+COUNTIF('9月'!DJ11:DK11,J$300)+COUNTIF('9月'!DO11:DP11,J$300)+COUNTIF('9月'!DT11:DU11,J$300)+COUNTIF('9月'!DY11:DZ11,J$300)+COUNTIF('9月'!ED11:EE11,J$300)+COUNTIF('9月'!EI11:EJ11,J$300)+COUNTIF('9月'!EN11:EO11,J$300)+COUNTIF('9月'!ES11:ET11,J$300)+COUNTIF('9月'!D11:E11,"六本木-夜勤")+COUNTIF('9月'!I11:J11,"六本木-夜勤")+COUNTIF('9月'!N11:O11,"六本木-夜勤")+COUNTIF('9月'!S11:T11,"六本木-夜勤")+COUNTIF('9月'!X11:Y11,"六本木-夜勤")+COUNTIF('9月'!AC11:AD11,"六本木-夜勤")+COUNTIF('9月'!AH11:AI11,"六本木-夜勤")+COUNTIF('9月'!AM11:AN11,"六本木-夜勤")+COUNTIF('9月'!AR11:AS11,"六本木-夜勤")+COUNTIF('9月'!AW11:AX11,"六本木-夜勤")+COUNTIF('9月'!BB11:BC11,"六本木-夜勤")+COUNTIF('9月'!BG11:BH11,"六本木-夜勤")+COUNTIF('9月'!BL11:BM11,"六本木-夜勤")+COUNTIF('9月'!BQ11:BR11,"六本木-夜勤")+COUNTIF('9月'!BV11:BW11,"六本木-夜勤")+COUNTIF('9月'!CA11:CB11,"六本木-夜勤")+COUNTIF('9月'!CF11:CG11,"六本木-夜勤")+COUNTIF('9月'!CK11:CL11,"六本木-夜勤")+COUNTIF('9月'!CP11:CQ11,"六本木-夜勤")+COUNTIF('9月'!CU11:CV11,"六本木-夜勤")+COUNTIF('9月'!CZ11:DA11,"六本木-夜勤")+COUNTIF('9月'!DE11:DF11,"六本木-夜勤")+COUNTIF('9月'!DJ11:DK11,"六本木-夜勤")+COUNTIF('9月'!DO11:DP11,"六本木-夜勤")+COUNTIF('9月'!DT11:DU11,"六本木-夜勤")+COUNTIF('9月'!DY11:DZ11,"六本木-夜勤")+COUNTIF('9月'!ED11:EE11,"六本木-夜勤")+COUNTIF('9月'!EI11:EJ11,"六本木-夜勤")+COUNTIF('9月'!EN11:EO11,"六本木-夜勤")+COUNTIF('9月'!ES11:ET11,"六本木-夜勤")+COUNTIF('9月'!D11:E11,"六本木ー夜勤")+COUNTIF('9月'!I11:J11,"六本木ー夜勤")+COUNTIF('9月'!N11:O11,"六本木ー夜勤")+COUNTIF('9月'!S11:T11,"六本木ー夜勤")+COUNTIF('9月'!X11:Y11,"六本木ー夜勤")+COUNTIF('9月'!AC11:AD11,"六本木ー夜勤")+COUNTIF('9月'!AH11:AI11,"六本木ー夜勤")+COUNTIF('9月'!AM11:AN11,"六本木ー夜勤")+COUNTIF('9月'!AR11:AS11,"六本木ー夜勤")+COUNTIF('9月'!AW11:AX11,"六本木ー夜勤")+COUNTIF('9月'!BB11:BC11,"六本木ー夜勤")+COUNTIF('9月'!BG11:BH11,"六本木ー夜勤")+COUNTIF('9月'!BL11:BM11,"六本木ー夜勤")+COUNTIF('9月'!BQ11:BR11,"六本木ー夜勤")+COUNTIF('9月'!BV11:BW11,"六本木ー夜勤")+COUNTIF('9月'!CA11:CB11,"六本木ー夜勤")+COUNTIF('9月'!CF11:CG11,"六本木ー夜勤")+COUNTIF('9月'!CK11:CL11,"六本木ー夜勤")+COUNTIF('9月'!CP11:CQ11,"六本木ー夜勤")+COUNTIF('9月'!CU11:CV11,"六本木ー夜勤")+COUNTIF('9月'!CZ11:DA11,"六本木ー夜勤")+COUNTIF('9月'!DE11:DF11,"六本木ー夜勤")+COUNTIF('9月'!DJ11:DK11,"六本木ー夜勤")+COUNTIF('9月'!DO11:DP11,"六本木ー夜勤")+COUNTIF('9月'!DT11:DU11,"六本木ー夜勤")+COUNTIF('9月'!DY11:DZ11,"六本木ー夜勤")+COUNTIF('9月'!ED11:EE11,"六本木ー夜勤")+COUNTIF('9月'!EI11:EJ11,"六本木ー夜勤")+COUNTIF('9月'!EN11:EO11,"六本木ー夜勤")+COUNTIF('9月'!ES11:ET11,"六本木ー夜勤")</f>
        <v>0</v>
      </c>
      <c r="K309" s="76">
        <f t="shared" si="100"/>
        <v>0</v>
      </c>
      <c r="L309" s="76">
        <f>COUNTIF('9月'!D11:E11,L$300)+COUNTIF('9月'!I11:J11,L$300)+COUNTIF('9月'!N11:O11,L$300)+COUNTIF('9月'!S11:T11,L$300)+COUNTIF('9月'!X11:Y11,L$300)+COUNTIF('9月'!AC11:AD11,L$300)+COUNTIF('9月'!AH11:AI11,L$300)+COUNTIF('9月'!AM11:AN11,L$300)+COUNTIF('9月'!AR11:AS11,L$300)+COUNTIF('9月'!AW11:AX11,L$300)+COUNTIF('9月'!BB11:BC11,L$300)+COUNTIF('9月'!BG11:BH11,L$300)+COUNTIF('9月'!BL11:BM11,L$300)+COUNTIF('9月'!BQ11:BR11,L$300)+COUNTIF('9月'!BV11:BW11,L$300)+COUNTIF('9月'!CA11:CB11,L$300)+COUNTIF('9月'!CF11:CG11,L$300)+COUNTIF('9月'!CK11:CL11,L$300)+COUNTIF('9月'!CP11:CQ11,L$300)+COUNTIF('9月'!CU11:CV11,L$300)+COUNTIF('9月'!CZ11:DA11,L$300)+COUNTIF('9月'!DE11:DF11,L$300)+COUNTIF('9月'!DJ11:DK11,L$300)+COUNTIF('9月'!DO11:DP11,L$300)+COUNTIF('9月'!DT11:DU11,L$300)+COUNTIF('9月'!DY11:DZ11,L$300)+COUNTIF('9月'!ED11:EE11,L$300)+COUNTIF('9月'!EI11:EJ11,L$300)+COUNTIF('9月'!EN11:EO11,L$300)+COUNTIF('9月'!ES11:ET11,L$300)</f>
        <v>0</v>
      </c>
      <c r="M309" s="76">
        <f t="shared" si="101"/>
        <v>0</v>
      </c>
      <c r="N309" s="76">
        <f>COUNTIF('9月'!D11:E11,N$300)+COUNTIF('9月'!I11:J11,N$300)+COUNTIF('9月'!N11:O11,N$300)+COUNTIF('9月'!S11:T11,N$300)+COUNTIF('9月'!X11:Y11,N$300)+COUNTIF('9月'!AC11:AD11,N$300)+COUNTIF('9月'!AH11:AI11,N$300)+COUNTIF('9月'!AM11:AN11,N$300)+COUNTIF('9月'!AR11:AS11,N$300)+COUNTIF('9月'!AW11:AX11,N$300)+COUNTIF('9月'!BB11:BC11,N$300)+COUNTIF('9月'!BG11:BH11,N$300)+COUNTIF('9月'!BL11:BM11,N$300)+COUNTIF('9月'!BQ11:BR11,N$300)+COUNTIF('9月'!BV11:BW11,N$300)+COUNTIF('9月'!CA11:CB11,N$300)+COUNTIF('9月'!CF11:CG11,N$300)+COUNTIF('9月'!CK11:CL11,N$300)+COUNTIF('9月'!CP11:CQ11,N$300)+COUNTIF('9月'!CU11:CV11,N$300)+COUNTIF('9月'!CZ11:DA11,N$300)+COUNTIF('9月'!DE11:DF11,N$300)+COUNTIF('9月'!DJ11:DK11,N$300)+COUNTIF('9月'!DO11:DP11,N$300)+COUNTIF('9月'!DT11:DU11,N$300)+COUNTIF('9月'!DY11:DZ11,N$300)+COUNTIF('9月'!ED11:EE11,N$300)+COUNTIF('9月'!EI11:EJ11,N$300)+COUNTIF('9月'!EN11:EO11,N$300)+COUNTIF('9月'!ES11:ET11,N$300)+COUNTIF('9月'!D11:E11,"三軒茶屋－夜勤")+COUNTIF('9月'!I11:J11,"三軒茶屋－夜勤")+COUNTIF('9月'!N11:O11,"三軒茶屋－夜勤")+COUNTIF('9月'!S11:T11,"三軒茶屋－夜勤")+COUNTIF('9月'!X11:Y11,"三軒茶屋－夜勤")+COUNTIF('9月'!AC11:AD11,"三軒茶屋－夜勤")+COUNTIF('9月'!AH11:AI11,"三軒茶屋－夜勤")+COUNTIF('9月'!AM11:AN11,"三軒茶屋－夜勤")+COUNTIF('9月'!AR11:AS11,"三軒茶屋－夜勤")+COUNTIF('9月'!AW11:AX11,"三軒茶屋－夜勤")+COUNTIF('9月'!BB11:BC11,"三軒茶屋－夜勤")+COUNTIF('9月'!BG11:BH11,"三軒茶屋－夜勤")+COUNTIF('9月'!BL11:BM11,"三軒茶屋－夜勤")+COUNTIF('9月'!BQ11:BR11,"三軒茶屋－夜勤")+COUNTIF('9月'!BV11:BW11,"三軒茶屋－夜勤")+COUNTIF('9月'!CA11:CB11,"三軒茶屋－夜勤")+COUNTIF('9月'!CF11:CG11,"三軒茶屋－夜勤")+COUNTIF('9月'!CK11:CL11,"三軒茶屋－夜勤")+COUNTIF('9月'!CP11:CQ11,"三軒茶屋－夜勤")+COUNTIF('9月'!CU11:CV11,"三軒茶屋－夜勤")+COUNTIF('9月'!CZ11:DA11,"三軒茶屋－夜勤")+COUNTIF('9月'!DE11:DF11,"三軒茶屋－夜勤")+COUNTIF('9月'!DJ11:DK11,"三軒茶屋－夜勤")+COUNTIF('9月'!DO11:DP11,"三軒茶屋－夜勤")+COUNTIF('9月'!DT11:DU11,"三軒茶屋－夜勤")+COUNTIF('9月'!DY11:DZ11,"三軒茶屋－夜勤")+COUNTIF('9月'!ED11:EE11,"三軒茶屋－夜勤")+COUNTIF('9月'!EI11:EJ11,"三軒茶屋－夜勤")+COUNTIF('9月'!EN11:EO11,"三軒茶屋－夜勤")+COUNTIF('9月'!ES11:ET11,"三軒茶屋－夜勤")</f>
        <v>0</v>
      </c>
      <c r="O309" s="76">
        <f t="shared" si="102"/>
        <v>0</v>
      </c>
      <c r="P309" s="76">
        <f>COUNTIF('9月'!D11:E11,P$300)+COUNTIF('9月'!I11:J11,P$300)+COUNTIF('9月'!N11:O11,P$300)+COUNTIF('9月'!S11:T11,P$300)+COUNTIF('9月'!X11:Y11,P$300)+COUNTIF('9月'!AC11:AD11,P$300)+COUNTIF('9月'!AH11:AI11,P$300)+COUNTIF('9月'!AM11:AN11,P$300)+COUNTIF('9月'!AR11:AS11,P$300)+COUNTIF('9月'!AW11:AX11,P$300)+COUNTIF('9月'!BB11:BC11,P$300)+COUNTIF('9月'!BG11:BH11,P$300)+COUNTIF('9月'!BL11:BM11,P$300)+COUNTIF('9月'!BQ11:BR11,P$300)+COUNTIF('9月'!BV11:BW11,P$300)+COUNTIF('9月'!CA11:CB11,P$300)+COUNTIF('9月'!CF11:CG11,P$300)+COUNTIF('9月'!CK11:CL11,P$300)+COUNTIF('9月'!CP11:CQ11,P$300)+COUNTIF('9月'!CU11:CV11,P$300)+COUNTIF('9月'!CZ11:DA11,P$300)+COUNTIF('9月'!DE11:DF11,P$300)+COUNTIF('9月'!DJ11:DK11,P$300)+COUNTIF('9月'!DO11:DP11,P$300)+COUNTIF('9月'!DT11:DU11,P$300)+COUNTIF('9月'!DY11:DZ11,P$300)+COUNTIF('9月'!ED11:EE11,P$300)+COUNTIF('9月'!EI11:EJ11,P$300)+COUNTIF('9月'!EN11:EO11,P$300)+COUNTIF('9月'!ES11:ET11,P$300)+COUNTIF('9月'!D11:E11,"荻窪ー夜勤")+COUNTIF('9月'!I11:J11,"荻窪ー夜勤")+COUNTIF('9月'!N11:O11,"荻窪ー夜勤")+COUNTIF('9月'!S11:T11,"荻窪ー夜勤")+COUNTIF('9月'!X11:Y11,"荻窪ー夜勤")+COUNTIF('9月'!AC11:AD11,"荻窪ー夜勤")+COUNTIF('9月'!AH11:AI11,"荻窪ー夜勤")+COUNTIF('9月'!AM11:AN11,"荻窪ー夜勤")+COUNTIF('9月'!AR11:AS11,"荻窪ー夜勤")+COUNTIF('9月'!AW11:AX11,"荻窪ー夜勤")+COUNTIF('9月'!BB11:BC11,"荻窪ー夜勤")+COUNTIF('9月'!BG11:BH11,"荻窪ー夜勤")+COUNTIF('9月'!BL11:BM11,"荻窪ー夜勤")+COUNTIF('9月'!BQ11:BR11,"荻窪ー夜勤")+COUNTIF('9月'!BV11:BW11,"荻窪ー夜勤")+COUNTIF('9月'!CA11:CB11,"荻窪ー夜勤")+COUNTIF('9月'!CF11:CG11,"荻窪ー夜勤")+COUNTIF('9月'!CK11:CL11,"荻窪ー夜勤")+COUNTIF('9月'!CP11:CQ11,"荻窪ー夜勤")+COUNTIF('9月'!CU11:CV11,"荻窪ー夜勤")+COUNTIF('9月'!CZ11:DA11,"荻窪ー夜勤")+COUNTIF('9月'!DE11:DF11,"荻窪ー夜勤")+COUNTIF('9月'!DJ11:DK11,"荻窪ー夜勤")+COUNTIF('9月'!DO11:DP11,"荻窪ー夜勤")+COUNTIF('9月'!DT11:DU11,"荻窪ー夜勤")+COUNTIF('9月'!DY11:DZ11,"荻窪ー夜勤")+COUNTIF('9月'!ED11:EE11,"荻窪ー夜勤")+COUNTIF('9月'!EI11:EJ11,"荻窪ー夜勤")+COUNTIF('9月'!EN11:EO11,"荻窪ー夜勤")+COUNTIF('9月'!ES11:ET11,"荻窪ー夜勤")</f>
        <v>0</v>
      </c>
      <c r="Q309" s="76">
        <f t="shared" si="103"/>
        <v>0</v>
      </c>
      <c r="R309" s="76">
        <f>COUNTIF('9月'!D11:E11,R$300)+COUNTIF('9月'!I11:J11,R$300)+COUNTIF('9月'!N11:O11,R$300)+COUNTIF('9月'!S11:T11,R$300)+COUNTIF('9月'!X11:Y11,R$300)+COUNTIF('9月'!AC11:AD11,R$300)+COUNTIF('9月'!AH11:AI11,R$300)+COUNTIF('9月'!AM11:AN11,R$300)+COUNTIF('9月'!AR11:AS11,R$300)+COUNTIF('9月'!AW11:AX11,R$300)+COUNTIF('9月'!BB11:BC11,R$300)+COUNTIF('9月'!BG11:BH11,R$300)+COUNTIF('9月'!BL11:BM11,R$300)+COUNTIF('9月'!BQ11:BR11,R$300)+COUNTIF('9月'!BV11:BW11,R$300)+COUNTIF('9月'!CA11:CB11,R$300)+COUNTIF('9月'!CF11:CG11,R$300)+COUNTIF('9月'!CK11:CL11,R$300)+COUNTIF('9月'!CP11:CQ11,R$300)+COUNTIF('9月'!CU11:CV11,R$300)+COUNTIF('9月'!CZ11:DA11,R$300)+COUNTIF('9月'!DE11:DF11,R$300)+COUNTIF('9月'!DJ11:DK11,R$300)+COUNTIF('9月'!DO11:DP11,R$300)+COUNTIF('9月'!DT11:DU11,R$300)+COUNTIF('9月'!DY11:DZ11,R$300)+COUNTIF('9月'!ED11:EE11,R$300)+COUNTIF('9月'!EI11:EJ11,R$300)+COUNTIF('9月'!EN11:EO11,R$300)+COUNTIF('9月'!ES11:ET11,R$300)</f>
        <v>0</v>
      </c>
      <c r="S309" s="76">
        <f t="shared" si="104"/>
        <v>0</v>
      </c>
      <c r="T309" s="76">
        <f>COUNTIF('9月'!D11:E11,T$300)+COUNTIF('9月'!I11:J11,T$300)+COUNTIF('9月'!N11:O11,T$300)+COUNTIF('9月'!S11:T11,T$300)+COUNTIF('9月'!X11:Y11,T$300)+COUNTIF('9月'!AC11:AD11,T$300)+COUNTIF('9月'!AH11:AI11,T$300)+COUNTIF('9月'!AM11:AN11,T$300)+COUNTIF('9月'!AR11:AS11,T$300)+COUNTIF('9月'!AW11:AX11,T$300)+COUNTIF('9月'!BB11:BC11,T$300)+COUNTIF('9月'!BG11:BH11,T$300)+COUNTIF('9月'!BL11:BM11,T$300)+COUNTIF('9月'!BQ11:BR11,T$300)+COUNTIF('9月'!BV11:BW11,T$300)+COUNTIF('9月'!CA11:CB11,T$300)+COUNTIF('9月'!CF11:CG11,T$300)+COUNTIF('9月'!CK11:CL11,T$300)+COUNTIF('9月'!CP11:CQ11,T$300)+COUNTIF('9月'!CU11:CV11,T$300)+COUNTIF('9月'!CZ11:DA11,T$300)+COUNTIF('9月'!DE11:DF11,T$300)+COUNTIF('9月'!DJ11:DK11,T$300)+COUNTIF('9月'!DO11:DP11,T$300)+COUNTIF('9月'!DT11:DU11,T$300)+COUNTIF('9月'!DY11:DZ11,T$300)+COUNTIF('9月'!ED11:EE11,T$300)+COUNTIF('9月'!EI11:EJ11,T$300)+COUNTIF('9月'!EN11:EO11,T$300)+COUNTIF('9月'!ES11:ET11,T$300)</f>
        <v>0</v>
      </c>
      <c r="U309" s="76">
        <f t="shared" si="105"/>
        <v>0</v>
      </c>
      <c r="V309" s="76">
        <f>COUNTIF('9月'!D11:E11,V$300)+COUNTIF('9月'!I11:J11,V$300)+COUNTIF('9月'!N11:O11,V$300)+COUNTIF('9月'!S11:T11,V$300)+COUNTIF('9月'!X11:Y11,V$300)+COUNTIF('9月'!AC11:AD11,V$300)+COUNTIF('9月'!AH11:AI11,V$300)+COUNTIF('9月'!AM11:AN11,V$300)+COUNTIF('9月'!AR11:AS11,V$300)+COUNTIF('9月'!AW11:AX11,V$300)+COUNTIF('9月'!BB11:BC11,V$300)+COUNTIF('9月'!BG11:BH11,V$300)+COUNTIF('9月'!BL11:BM11,V$300)+COUNTIF('9月'!BQ11:BR11,V$300)+COUNTIF('9月'!BV11:BW11,V$300)+COUNTIF('9月'!CA11:CB11,V$300)+COUNTIF('9月'!CF11:CG11,V$300)+COUNTIF('9月'!CK11:CL11,V$300)+COUNTIF('9月'!CP11:CQ11,V$300)+COUNTIF('9月'!CU11:CV11,V$300)+COUNTIF('9月'!CZ11:DA11,V$300)+COUNTIF('9月'!DE11:DF11,V$300)+COUNTIF('9月'!DJ11:DK11,V$300)+COUNTIF('9月'!DO11:DP11,V$300)+COUNTIF('9月'!DT11:DU11,V$300)+COUNTIF('9月'!DY11:DZ11,V$300)+COUNTIF('9月'!ED11:EE11,V$300)+COUNTIF('9月'!EI11:EJ11,V$300)+COUNTIF('9月'!EN11:EO11,V$300)+COUNTIF('9月'!ES11:ET11,V$300)</f>
        <v>0</v>
      </c>
      <c r="W309" s="76">
        <f t="shared" si="106"/>
        <v>0</v>
      </c>
      <c r="X309" s="76">
        <f>COUNTIF('9月'!D11:E11,X$300)+COUNTIF('9月'!I11:J11,X$300)+COUNTIF('9月'!N11:O11,X$300)+COUNTIF('9月'!S11:T11,X$300)+COUNTIF('9月'!X11:Y11,X$300)+COUNTIF('9月'!AC11:AD11,X$300)+COUNTIF('9月'!AH11:AI11,X$300)+COUNTIF('9月'!AM11:AN11,X$300)+COUNTIF('9月'!AR11:AS11,X$300)+COUNTIF('9月'!AW11:AX11,X$300)+COUNTIF('9月'!BB11:BC11,X$300)+COUNTIF('9月'!BG11:BH11,X$300)+COUNTIF('9月'!BL11:BM11,X$300)+COUNTIF('9月'!BQ11:BR11,X$300)+COUNTIF('9月'!BV11:BW11,X$300)+COUNTIF('9月'!CA11:CB11,X$300)+COUNTIF('9月'!CF11:CG11,X$300)+COUNTIF('9月'!CK11:CL11,X$300)+COUNTIF('9月'!CP11:CQ11,X$300)+COUNTIF('9月'!CU11:CV11,X$300)+COUNTIF('9月'!CZ11:DA11,X$300)+COUNTIF('9月'!DE11:DF11,X$300)+COUNTIF('9月'!DJ11:DK11,X$300)+COUNTIF('9月'!DO11:DP11,X$300)+COUNTIF('9月'!DT11:DU11,X$300)+COUNTIF('9月'!DY11:DZ11,X$300)+COUNTIF('9月'!ED11:EE11,X$300)+COUNTIF('9月'!EI11:EJ11,X$300)+COUNTIF('9月'!EN11:EO11,X$300)+COUNTIF('9月'!ES11:ET11,X$300)</f>
        <v>0</v>
      </c>
      <c r="Y309" s="76">
        <f t="shared" si="107"/>
        <v>0</v>
      </c>
    </row>
    <row r="310" spans="1:25" ht="18" customHeight="1">
      <c r="A310" s="76">
        <v>9</v>
      </c>
      <c r="B310" s="76">
        <f>COUNTIF('9月'!D12:E12,B$300)+COUNTIF('9月'!I12:J12,B$300)+COUNTIF('9月'!N12:O12,B$300)+COUNTIF('9月'!S12:T12,B$300)+COUNTIF('9月'!X12:Y12,B$300)+COUNTIF('9月'!AC12:AD12,B$300)+COUNTIF('9月'!AH12:AI12,B$300)+COUNTIF('9月'!AM12:AN12,B$300)+COUNTIF('9月'!AR12:AS12,B$300)+COUNTIF('9月'!AW12:AX12,B$300)+COUNTIF('9月'!BB12:BC12,B$300)+COUNTIF('9月'!BG12:BH12,B$300)+COUNTIF('9月'!BL12:BM12,B$300)+COUNTIF('9月'!BQ12:BR12,B$300)+COUNTIF('9月'!BV12:BW12,B$300)+COUNTIF('9月'!CA12:CB12,B$300)+COUNTIF('9月'!CF12:CG12,B$300)+COUNTIF('9月'!CK12:CL12,B$300)+COUNTIF('9月'!CP12:CQ12,B$300)+COUNTIF('9月'!CU12:CV12,B$300)+COUNTIF('9月'!CZ12:DA12,B$300)+COUNTIF('9月'!DE12:DF12,B$300)+COUNTIF('9月'!DJ12:DK12,B$300)+COUNTIF('9月'!DO12:DP12,B$300)+COUNTIF('9月'!DT12:DU12,B$300)+COUNTIF('9月'!DY12:DZ12,B$300)+COUNTIF('9月'!ED12:EE12,B$300)+COUNTIF('9月'!EI12:EJ12,B$300)+COUNTIF('9月'!EN12:EO12,B$300)+COUNTIF('9月'!ES12:ET12,B$300)</f>
        <v>0</v>
      </c>
      <c r="C310" s="76">
        <f t="shared" si="96"/>
        <v>0</v>
      </c>
      <c r="D310" s="76">
        <f>COUNTIF('9月'!D12:E12,D$300)+COUNTIF('9月'!I12:J12,D$300)+COUNTIF('9月'!N12:O12,D$300)+COUNTIF('9月'!S12:T12,D$300)+COUNTIF('9月'!X12:Y12,D$300)+COUNTIF('9月'!AC12:AD12,D$300)+COUNTIF('9月'!AH12:AI12,D$300)+COUNTIF('9月'!AM12:AN12,D$300)+COUNTIF('9月'!AR12:AS12,D$300)+COUNTIF('9月'!AW12:AX12,D$300)+COUNTIF('9月'!BB12:BC12,D$300)+COUNTIF('9月'!BG12:BH12,D$300)+COUNTIF('9月'!BL12:BM12,D$300)+COUNTIF('9月'!BQ12:BR12,D$300)+COUNTIF('9月'!BV12:BW12,D$300)+COUNTIF('9月'!CA12:CB12,D$300)+COUNTIF('9月'!CF12:CG12,D$300)+COUNTIF('9月'!CK12:CL12,D$300)+COUNTIF('9月'!CP12:CQ12,D$300)+COUNTIF('9月'!CU12:CV12,D$300)+COUNTIF('9月'!CZ12:DA12,D$300)+COUNTIF('9月'!DE12:DF12,D$300)+COUNTIF('9月'!DJ12:DK12,D$300)+COUNTIF('9月'!DO12:DP12,D$300)+COUNTIF('9月'!DT12:DU12,D$300)+COUNTIF('9月'!DY12:DZ12,D$300)+COUNTIF('9月'!ED12:EE12,D$300)+COUNTIF('9月'!EI12:EJ12,D$300)+COUNTIF('9月'!EN12:EO12,D$300)+COUNTIF('9月'!ES12:ET12,D$300)</f>
        <v>0</v>
      </c>
      <c r="E310" s="76">
        <f t="shared" si="97"/>
        <v>0</v>
      </c>
      <c r="F310" s="76">
        <f>COUNTIF('9月'!D12:E12,F$300)+COUNTIF('9月'!I12:J12,F$300)+COUNTIF('9月'!N12:O12,F$300)+COUNTIF('9月'!S12:T12,F$300)+COUNTIF('9月'!X12:Y12,F$300)+COUNTIF('9月'!AC12:AD12,F$300)+COUNTIF('9月'!AH12:AI12,F$300)+COUNTIF('9月'!AM12:AN12,F$300)+COUNTIF('9月'!AR12:AS12,F$300)+COUNTIF('9月'!AW12:AX12,F$300)+COUNTIF('9月'!BB12:BC12,F$300)+COUNTIF('9月'!BG12:BH12,F$300)+COUNTIF('9月'!BL12:BM12,F$300)+COUNTIF('9月'!BQ12:BR12,F$300)+COUNTIF('9月'!BV12:BW12,F$300)+COUNTIF('9月'!CA12:CB12,F$300)+COUNTIF('9月'!CF12:CG12,F$300)+COUNTIF('9月'!CK12:CL12,F$300)+COUNTIF('9月'!CP12:CQ12,F$300)+COUNTIF('9月'!CU12:CV12,F$300)+COUNTIF('9月'!CZ12:DA12,F$300)+COUNTIF('9月'!DE12:DF12,F$300)+COUNTIF('9月'!DJ12:DK12,F$300)+COUNTIF('9月'!DO12:DP12,F$300)+COUNTIF('9月'!DT12:DU12,F$300)+COUNTIF('9月'!DY12:DZ12,F$300)+COUNTIF('9月'!ED12:EE12,F$300)+COUNTIF('9月'!EI12:EJ12,F$300)+COUNTIF('9月'!EN12:EO12,F$300)+COUNTIF('9月'!ES12:ET12,F$300)</f>
        <v>0</v>
      </c>
      <c r="G310" s="76">
        <f t="shared" si="98"/>
        <v>0</v>
      </c>
      <c r="H310" s="76">
        <f>COUNTIF('9月'!D12:E12,H$300)+COUNTIF('9月'!I12:J12,H$300)+COUNTIF('9月'!N12:O12,H$300)+COUNTIF('9月'!S12:T12,H$300)+COUNTIF('9月'!X12:Y12,H$300)+COUNTIF('9月'!AC12:AD12,H$300)+COUNTIF('9月'!AH12:AI12,H$300)+COUNTIF('9月'!AM12:AN12,H$300)+COUNTIF('9月'!AR12:AS12,H$300)+COUNTIF('9月'!AW12:AX12,H$300)+COUNTIF('9月'!BB12:BC12,H$300)+COUNTIF('9月'!BG12:BH12,H$300)+COUNTIF('9月'!BL12:BM12,H$300)+COUNTIF('9月'!BQ12:BR12,H$300)+COUNTIF('9月'!BV12:BW12,H$300)+COUNTIF('9月'!CA12:CB12,H$300)+COUNTIF('9月'!CF12:CG12,H$300)+COUNTIF('9月'!CK12:CL12,H$300)+COUNTIF('9月'!CP12:CQ12,H$300)+COUNTIF('9月'!CU12:CV12,H$300)+COUNTIF('9月'!CZ12:DA12,H$300)+COUNTIF('9月'!DE12:DF12,H$300)+COUNTIF('9月'!DJ12:DK12,H$300)+COUNTIF('9月'!DO12:DP12,H$300)+COUNTIF('9月'!DT12:DU12,H$300)+COUNTIF('9月'!DY12:DZ12,H$300)+COUNTIF('9月'!ED12:EE12,H$300)+COUNTIF('9月'!EI12:EJ12,H$300)+COUNTIF('9月'!EN12:EO12,H$300)+COUNTIF('9月'!ES12:ET12,H$300)+COUNTIF('9月'!D12:E12,"渋谷-夜勤")+COUNTIF('9月'!I12:J12,"渋谷-夜勤")+COUNTIF('9月'!N12:O12,"渋谷-夜勤")+COUNTIF('9月'!S12:T12,"渋谷-夜勤")+COUNTIF('9月'!X12:Y12,"渋谷-夜勤")+COUNTIF('9月'!AC12:AD12,"渋谷-夜勤")+COUNTIF('9月'!AH12:AI12,"渋谷-夜勤")+COUNTIF('9月'!AM12:AN12,"渋谷-夜勤")+COUNTIF('9月'!AR12:AS12,"渋谷-夜勤")+COUNTIF('9月'!AW12:AX12,"渋谷-夜勤")+COUNTIF('9月'!BB12:BC12,"渋谷-夜勤")+COUNTIF('9月'!BG12:BH12,"渋谷-夜勤")+COUNTIF('9月'!BL12:BM12,"渋谷-夜勤")+COUNTIF('9月'!BQ12:BR12,"渋谷-夜勤")+COUNTIF('9月'!BV12:BW12,"渋谷-夜勤")+COUNTIF('9月'!CA12:CB12,"渋谷-夜勤")+COUNTIF('9月'!CF12:CG12,"渋谷-夜勤")+COUNTIF('9月'!CK12:CL12,"渋谷-夜勤")+COUNTIF('9月'!CP12:CQ12,"渋谷-夜勤")+COUNTIF('9月'!CU12:CV12,"渋谷-夜勤")+COUNTIF('9月'!CZ12:DA12,"渋谷-夜勤")+COUNTIF('9月'!DE12:DF12,"渋谷-夜勤")+COUNTIF('9月'!DJ12:DK12,"渋谷-夜勤")+COUNTIF('9月'!DO12:DP12,"渋谷-夜勤")+COUNTIF('9月'!DT12:DU12,"渋谷-夜勤")+COUNTIF('9月'!DY12:DZ12,"渋谷-夜勤")+COUNTIF('9月'!ED12:EE12,"渋谷-夜勤")+COUNTIF('9月'!EI12:EJ12,"渋谷-夜勤")+COUNTIF('9月'!EN12:EO12,"渋谷-夜勤")+COUNTIF('9月'!ES12:ET12,"渋谷-夜勤")</f>
        <v>0</v>
      </c>
      <c r="I310" s="76">
        <f t="shared" si="99"/>
        <v>0</v>
      </c>
      <c r="J310" s="76">
        <f>COUNTIF('9月'!D12:E12,J$300)+COUNTIF('9月'!I12:J12,J$300)+COUNTIF('9月'!N12:O12,J$300)+COUNTIF('9月'!S12:T12,J$300)+COUNTIF('9月'!X12:Y12,J$300)+COUNTIF('9月'!AC12:AD12,J$300)+COUNTIF('9月'!AH12:AI12,J$300)+COUNTIF('9月'!AM12:AN12,J$300)+COUNTIF('9月'!AR12:AS12,J$300)+COUNTIF('9月'!AW12:AX12,J$300)+COUNTIF('9月'!BB12:BC12,J$300)+COUNTIF('9月'!BG12:BH12,J$300)+COUNTIF('9月'!BL12:BM12,J$300)+COUNTIF('9月'!BQ12:BR12,J$300)+COUNTIF('9月'!BV12:BW12,J$300)+COUNTIF('9月'!CA12:CB12,J$300)+COUNTIF('9月'!CF12:CG12,J$300)+COUNTIF('9月'!CK12:CL12,J$300)+COUNTIF('9月'!CP12:CQ12,J$300)+COUNTIF('9月'!CU12:CV12,J$300)+COUNTIF('9月'!CZ12:DA12,J$300)+COUNTIF('9月'!DE12:DF12,J$300)+COUNTIF('9月'!DJ12:DK12,J$300)+COUNTIF('9月'!DO12:DP12,J$300)+COUNTIF('9月'!DT12:DU12,J$300)+COUNTIF('9月'!DY12:DZ12,J$300)+COUNTIF('9月'!ED12:EE12,J$300)+COUNTIF('9月'!EI12:EJ12,J$300)+COUNTIF('9月'!EN12:EO12,J$300)+COUNTIF('9月'!ES12:ET12,J$300)+COUNTIF('9月'!D12:E12,"六本木-夜勤")+COUNTIF('9月'!I12:J12,"六本木-夜勤")+COUNTIF('9月'!N12:O12,"六本木-夜勤")+COUNTIF('9月'!S12:T12,"六本木-夜勤")+COUNTIF('9月'!X12:Y12,"六本木-夜勤")+COUNTIF('9月'!AC12:AD12,"六本木-夜勤")+COUNTIF('9月'!AH12:AI12,"六本木-夜勤")+COUNTIF('9月'!AM12:AN12,"六本木-夜勤")+COUNTIF('9月'!AR12:AS12,"六本木-夜勤")+COUNTIF('9月'!AW12:AX12,"六本木-夜勤")+COUNTIF('9月'!BB12:BC12,"六本木-夜勤")+COUNTIF('9月'!BG12:BH12,"六本木-夜勤")+COUNTIF('9月'!BL12:BM12,"六本木-夜勤")+COUNTIF('9月'!BQ12:BR12,"六本木-夜勤")+COUNTIF('9月'!BV12:BW12,"六本木-夜勤")+COUNTIF('9月'!CA12:CB12,"六本木-夜勤")+COUNTIF('9月'!CF12:CG12,"六本木-夜勤")+COUNTIF('9月'!CK12:CL12,"六本木-夜勤")+COUNTIF('9月'!CP12:CQ12,"六本木-夜勤")+COUNTIF('9月'!CU12:CV12,"六本木-夜勤")+COUNTIF('9月'!CZ12:DA12,"六本木-夜勤")+COUNTIF('9月'!DE12:DF12,"六本木-夜勤")+COUNTIF('9月'!DJ12:DK12,"六本木-夜勤")+COUNTIF('9月'!DO12:DP12,"六本木-夜勤")+COUNTIF('9月'!DT12:DU12,"六本木-夜勤")+COUNTIF('9月'!DY12:DZ12,"六本木-夜勤")+COUNTIF('9月'!ED12:EE12,"六本木-夜勤")+COUNTIF('9月'!EI12:EJ12,"六本木-夜勤")+COUNTIF('9月'!EN12:EO12,"六本木-夜勤")+COUNTIF('9月'!ES12:ET12,"六本木-夜勤")+COUNTIF('9月'!D12:E12,"六本木ー夜勤")+COUNTIF('9月'!I12:J12,"六本木ー夜勤")+COUNTIF('9月'!N12:O12,"六本木ー夜勤")+COUNTIF('9月'!S12:T12,"六本木ー夜勤")+COUNTIF('9月'!X12:Y12,"六本木ー夜勤")+COUNTIF('9月'!AC12:AD12,"六本木ー夜勤")+COUNTIF('9月'!AH12:AI12,"六本木ー夜勤")+COUNTIF('9月'!AM12:AN12,"六本木ー夜勤")+COUNTIF('9月'!AR12:AS12,"六本木ー夜勤")+COUNTIF('9月'!AW12:AX12,"六本木ー夜勤")+COUNTIF('9月'!BB12:BC12,"六本木ー夜勤")+COUNTIF('9月'!BG12:BH12,"六本木ー夜勤")+COUNTIF('9月'!BL12:BM12,"六本木ー夜勤")+COUNTIF('9月'!BQ12:BR12,"六本木ー夜勤")+COUNTIF('9月'!BV12:BW12,"六本木ー夜勤")+COUNTIF('9月'!CA12:CB12,"六本木ー夜勤")+COUNTIF('9月'!CF12:CG12,"六本木ー夜勤")+COUNTIF('9月'!CK12:CL12,"六本木ー夜勤")+COUNTIF('9月'!CP12:CQ12,"六本木ー夜勤")+COUNTIF('9月'!CU12:CV12,"六本木ー夜勤")+COUNTIF('9月'!CZ12:DA12,"六本木ー夜勤")+COUNTIF('9月'!DE12:DF12,"六本木ー夜勤")+COUNTIF('9月'!DJ12:DK12,"六本木ー夜勤")+COUNTIF('9月'!DO12:DP12,"六本木ー夜勤")+COUNTIF('9月'!DT12:DU12,"六本木ー夜勤")+COUNTIF('9月'!DY12:DZ12,"六本木ー夜勤")+COUNTIF('9月'!ED12:EE12,"六本木ー夜勤")+COUNTIF('9月'!EI12:EJ12,"六本木ー夜勤")+COUNTIF('9月'!EN12:EO12,"六本木ー夜勤")+COUNTIF('9月'!ES12:ET12,"六本木ー夜勤")</f>
        <v>0</v>
      </c>
      <c r="K310" s="76">
        <f t="shared" si="100"/>
        <v>0</v>
      </c>
      <c r="L310" s="76">
        <f>COUNTIF('9月'!D12:E12,L$300)+COUNTIF('9月'!I12:J12,L$300)+COUNTIF('9月'!N12:O12,L$300)+COUNTIF('9月'!S12:T12,L$300)+COUNTIF('9月'!X12:Y12,L$300)+COUNTIF('9月'!AC12:AD12,L$300)+COUNTIF('9月'!AH12:AI12,L$300)+COUNTIF('9月'!AM12:AN12,L$300)+COUNTIF('9月'!AR12:AS12,L$300)+COUNTIF('9月'!AW12:AX12,L$300)+COUNTIF('9月'!BB12:BC12,L$300)+COUNTIF('9月'!BG12:BH12,L$300)+COUNTIF('9月'!BL12:BM12,L$300)+COUNTIF('9月'!BQ12:BR12,L$300)+COUNTIF('9月'!BV12:BW12,L$300)+COUNTIF('9月'!CA12:CB12,L$300)+COUNTIF('9月'!CF12:CG12,L$300)+COUNTIF('9月'!CK12:CL12,L$300)+COUNTIF('9月'!CP12:CQ12,L$300)+COUNTIF('9月'!CU12:CV12,L$300)+COUNTIF('9月'!CZ12:DA12,L$300)+COUNTIF('9月'!DE12:DF12,L$300)+COUNTIF('9月'!DJ12:DK12,L$300)+COUNTIF('9月'!DO12:DP12,L$300)+COUNTIF('9月'!DT12:DU12,L$300)+COUNTIF('9月'!DY12:DZ12,L$300)+COUNTIF('9月'!ED12:EE12,L$300)+COUNTIF('9月'!EI12:EJ12,L$300)+COUNTIF('9月'!EN12:EO12,L$300)+COUNTIF('9月'!ES12:ET12,L$300)</f>
        <v>0</v>
      </c>
      <c r="M310" s="76">
        <f t="shared" si="101"/>
        <v>0</v>
      </c>
      <c r="N310" s="76">
        <f>COUNTIF('9月'!D12:E12,N$300)+COUNTIF('9月'!I12:J12,N$300)+COUNTIF('9月'!N12:O12,N$300)+COUNTIF('9月'!S12:T12,N$300)+COUNTIF('9月'!X12:Y12,N$300)+COUNTIF('9月'!AC12:AD12,N$300)+COUNTIF('9月'!AH12:AI12,N$300)+COUNTIF('9月'!AM12:AN12,N$300)+COUNTIF('9月'!AR12:AS12,N$300)+COUNTIF('9月'!AW12:AX12,N$300)+COUNTIF('9月'!BB12:BC12,N$300)+COUNTIF('9月'!BG12:BH12,N$300)+COUNTIF('9月'!BL12:BM12,N$300)+COUNTIF('9月'!BQ12:BR12,N$300)+COUNTIF('9月'!BV12:BW12,N$300)+COUNTIF('9月'!CA12:CB12,N$300)+COUNTIF('9月'!CF12:CG12,N$300)+COUNTIF('9月'!CK12:CL12,N$300)+COUNTIF('9月'!CP12:CQ12,N$300)+COUNTIF('9月'!CU12:CV12,N$300)+COUNTIF('9月'!CZ12:DA12,N$300)+COUNTIF('9月'!DE12:DF12,N$300)+COUNTIF('9月'!DJ12:DK12,N$300)+COUNTIF('9月'!DO12:DP12,N$300)+COUNTIF('9月'!DT12:DU12,N$300)+COUNTIF('9月'!DY12:DZ12,N$300)+COUNTIF('9月'!ED12:EE12,N$300)+COUNTIF('9月'!EI12:EJ12,N$300)+COUNTIF('9月'!EN12:EO12,N$300)+COUNTIF('9月'!ES12:ET12,N$300)+COUNTIF('9月'!D12:E12,"三軒茶屋－夜勤")+COUNTIF('9月'!I12:J12,"三軒茶屋－夜勤")+COUNTIF('9月'!N12:O12,"三軒茶屋－夜勤")+COUNTIF('9月'!S12:T12,"三軒茶屋－夜勤")+COUNTIF('9月'!X12:Y12,"三軒茶屋－夜勤")+COUNTIF('9月'!AC12:AD12,"三軒茶屋－夜勤")+COUNTIF('9月'!AH12:AI12,"三軒茶屋－夜勤")+COUNTIF('9月'!AM12:AN12,"三軒茶屋－夜勤")+COUNTIF('9月'!AR12:AS12,"三軒茶屋－夜勤")+COUNTIF('9月'!AW12:AX12,"三軒茶屋－夜勤")+COUNTIF('9月'!BB12:BC12,"三軒茶屋－夜勤")+COUNTIF('9月'!BG12:BH12,"三軒茶屋－夜勤")+COUNTIF('9月'!BL12:BM12,"三軒茶屋－夜勤")+COUNTIF('9月'!BQ12:BR12,"三軒茶屋－夜勤")+COUNTIF('9月'!BV12:BW12,"三軒茶屋－夜勤")+COUNTIF('9月'!CA12:CB12,"三軒茶屋－夜勤")+COUNTIF('9月'!CF12:CG12,"三軒茶屋－夜勤")+COUNTIF('9月'!CK12:CL12,"三軒茶屋－夜勤")+COUNTIF('9月'!CP12:CQ12,"三軒茶屋－夜勤")+COUNTIF('9月'!CU12:CV12,"三軒茶屋－夜勤")+COUNTIF('9月'!CZ12:DA12,"三軒茶屋－夜勤")+COUNTIF('9月'!DE12:DF12,"三軒茶屋－夜勤")+COUNTIF('9月'!DJ12:DK12,"三軒茶屋－夜勤")+COUNTIF('9月'!DO12:DP12,"三軒茶屋－夜勤")+COUNTIF('9月'!DT12:DU12,"三軒茶屋－夜勤")+COUNTIF('9月'!DY12:DZ12,"三軒茶屋－夜勤")+COUNTIF('9月'!ED12:EE12,"三軒茶屋－夜勤")+COUNTIF('9月'!EI12:EJ12,"三軒茶屋－夜勤")+COUNTIF('9月'!EN12:EO12,"三軒茶屋－夜勤")+COUNTIF('9月'!ES12:ET12,"三軒茶屋－夜勤")</f>
        <v>0</v>
      </c>
      <c r="O310" s="76">
        <f t="shared" si="102"/>
        <v>0</v>
      </c>
      <c r="P310" s="76">
        <f>COUNTIF('9月'!D12:E12,P$300)+COUNTIF('9月'!I12:J12,P$300)+COUNTIF('9月'!N12:O12,P$300)+COUNTIF('9月'!S12:T12,P$300)+COUNTIF('9月'!X12:Y12,P$300)+COUNTIF('9月'!AC12:AD12,P$300)+COUNTIF('9月'!AH12:AI12,P$300)+COUNTIF('9月'!AM12:AN12,P$300)+COUNTIF('9月'!AR12:AS12,P$300)+COUNTIF('9月'!AW12:AX12,P$300)+COUNTIF('9月'!BB12:BC12,P$300)+COUNTIF('9月'!BG12:BH12,P$300)+COUNTIF('9月'!BL12:BM12,P$300)+COUNTIF('9月'!BQ12:BR12,P$300)+COUNTIF('9月'!BV12:BW12,P$300)+COUNTIF('9月'!CA12:CB12,P$300)+COUNTIF('9月'!CF12:CG12,P$300)+COUNTIF('9月'!CK12:CL12,P$300)+COUNTIF('9月'!CP12:CQ12,P$300)+COUNTIF('9月'!CU12:CV12,P$300)+COUNTIF('9月'!CZ12:DA12,P$300)+COUNTIF('9月'!DE12:DF12,P$300)+COUNTIF('9月'!DJ12:DK12,P$300)+COUNTIF('9月'!DO12:DP12,P$300)+COUNTIF('9月'!DT12:DU12,P$300)+COUNTIF('9月'!DY12:DZ12,P$300)+COUNTIF('9月'!ED12:EE12,P$300)+COUNTIF('9月'!EI12:EJ12,P$300)+COUNTIF('9月'!EN12:EO12,P$300)+COUNTIF('9月'!ES12:ET12,P$300)+COUNTIF('9月'!D12:E12,"荻窪ー夜勤")+COUNTIF('9月'!I12:J12,"荻窪ー夜勤")+COUNTIF('9月'!N12:O12,"荻窪ー夜勤")+COUNTIF('9月'!S12:T12,"荻窪ー夜勤")+COUNTIF('9月'!X12:Y12,"荻窪ー夜勤")+COUNTIF('9月'!AC12:AD12,"荻窪ー夜勤")+COUNTIF('9月'!AH12:AI12,"荻窪ー夜勤")+COUNTIF('9月'!AM12:AN12,"荻窪ー夜勤")+COUNTIF('9月'!AR12:AS12,"荻窪ー夜勤")+COUNTIF('9月'!AW12:AX12,"荻窪ー夜勤")+COUNTIF('9月'!BB12:BC12,"荻窪ー夜勤")+COUNTIF('9月'!BG12:BH12,"荻窪ー夜勤")+COUNTIF('9月'!BL12:BM12,"荻窪ー夜勤")+COUNTIF('9月'!BQ12:BR12,"荻窪ー夜勤")+COUNTIF('9月'!BV12:BW12,"荻窪ー夜勤")+COUNTIF('9月'!CA12:CB12,"荻窪ー夜勤")+COUNTIF('9月'!CF12:CG12,"荻窪ー夜勤")+COUNTIF('9月'!CK12:CL12,"荻窪ー夜勤")+COUNTIF('9月'!CP12:CQ12,"荻窪ー夜勤")+COUNTIF('9月'!CU12:CV12,"荻窪ー夜勤")+COUNTIF('9月'!CZ12:DA12,"荻窪ー夜勤")+COUNTIF('9月'!DE12:DF12,"荻窪ー夜勤")+COUNTIF('9月'!DJ12:DK12,"荻窪ー夜勤")+COUNTIF('9月'!DO12:DP12,"荻窪ー夜勤")+COUNTIF('9月'!DT12:DU12,"荻窪ー夜勤")+COUNTIF('9月'!DY12:DZ12,"荻窪ー夜勤")+COUNTIF('9月'!ED12:EE12,"荻窪ー夜勤")+COUNTIF('9月'!EI12:EJ12,"荻窪ー夜勤")+COUNTIF('9月'!EN12:EO12,"荻窪ー夜勤")+COUNTIF('9月'!ES12:ET12,"荻窪ー夜勤")</f>
        <v>0</v>
      </c>
      <c r="Q310" s="76">
        <f t="shared" si="103"/>
        <v>0</v>
      </c>
      <c r="R310" s="76">
        <f>COUNTIF('9月'!D12:E12,R$300)+COUNTIF('9月'!I12:J12,R$300)+COUNTIF('9月'!N12:O12,R$300)+COUNTIF('9月'!S12:T12,R$300)+COUNTIF('9月'!X12:Y12,R$300)+COUNTIF('9月'!AC12:AD12,R$300)+COUNTIF('9月'!AH12:AI12,R$300)+COUNTIF('9月'!AM12:AN12,R$300)+COUNTIF('9月'!AR12:AS12,R$300)+COUNTIF('9月'!AW12:AX12,R$300)+COUNTIF('9月'!BB12:BC12,R$300)+COUNTIF('9月'!BG12:BH12,R$300)+COUNTIF('9月'!BL12:BM12,R$300)+COUNTIF('9月'!BQ12:BR12,R$300)+COUNTIF('9月'!BV12:BW12,R$300)+COUNTIF('9月'!CA12:CB12,R$300)+COUNTIF('9月'!CF12:CG12,R$300)+COUNTIF('9月'!CK12:CL12,R$300)+COUNTIF('9月'!CP12:CQ12,R$300)+COUNTIF('9月'!CU12:CV12,R$300)+COUNTIF('9月'!CZ12:DA12,R$300)+COUNTIF('9月'!DE12:DF12,R$300)+COUNTIF('9月'!DJ12:DK12,R$300)+COUNTIF('9月'!DO12:DP12,R$300)+COUNTIF('9月'!DT12:DU12,R$300)+COUNTIF('9月'!DY12:DZ12,R$300)+COUNTIF('9月'!ED12:EE12,R$300)+COUNTIF('9月'!EI12:EJ12,R$300)+COUNTIF('9月'!EN12:EO12,R$300)+COUNTIF('9月'!ES12:ET12,R$300)</f>
        <v>0</v>
      </c>
      <c r="S310" s="76">
        <f t="shared" si="104"/>
        <v>0</v>
      </c>
      <c r="T310" s="76">
        <f>COUNTIF('9月'!D12:E12,T$300)+COUNTIF('9月'!I12:J12,T$300)+COUNTIF('9月'!N12:O12,T$300)+COUNTIF('9月'!S12:T12,T$300)+COUNTIF('9月'!X12:Y12,T$300)+COUNTIF('9月'!AC12:AD12,T$300)+COUNTIF('9月'!AH12:AI12,T$300)+COUNTIF('9月'!AM12:AN12,T$300)+COUNTIF('9月'!AR12:AS12,T$300)+COUNTIF('9月'!AW12:AX12,T$300)+COUNTIF('9月'!BB12:BC12,T$300)+COUNTIF('9月'!BG12:BH12,T$300)+COUNTIF('9月'!BL12:BM12,T$300)+COUNTIF('9月'!BQ12:BR12,T$300)+COUNTIF('9月'!BV12:BW12,T$300)+COUNTIF('9月'!CA12:CB12,T$300)+COUNTIF('9月'!CF12:CG12,T$300)+COUNTIF('9月'!CK12:CL12,T$300)+COUNTIF('9月'!CP12:CQ12,T$300)+COUNTIF('9月'!CU12:CV12,T$300)+COUNTIF('9月'!CZ12:DA12,T$300)+COUNTIF('9月'!DE12:DF12,T$300)+COUNTIF('9月'!DJ12:DK12,T$300)+COUNTIF('9月'!DO12:DP12,T$300)+COUNTIF('9月'!DT12:DU12,T$300)+COUNTIF('9月'!DY12:DZ12,T$300)+COUNTIF('9月'!ED12:EE12,T$300)+COUNTIF('9月'!EI12:EJ12,T$300)+COUNTIF('9月'!EN12:EO12,T$300)+COUNTIF('9月'!ES12:ET12,T$300)</f>
        <v>0</v>
      </c>
      <c r="U310" s="76">
        <f t="shared" si="105"/>
        <v>0</v>
      </c>
      <c r="V310" s="76">
        <f>COUNTIF('9月'!D12:E12,V$300)+COUNTIF('9月'!I12:J12,V$300)+COUNTIF('9月'!N12:O12,V$300)+COUNTIF('9月'!S12:T12,V$300)+COUNTIF('9月'!X12:Y12,V$300)+COUNTIF('9月'!AC12:AD12,V$300)+COUNTIF('9月'!AH12:AI12,V$300)+COUNTIF('9月'!AM12:AN12,V$300)+COUNTIF('9月'!AR12:AS12,V$300)+COUNTIF('9月'!AW12:AX12,V$300)+COUNTIF('9月'!BB12:BC12,V$300)+COUNTIF('9月'!BG12:BH12,V$300)+COUNTIF('9月'!BL12:BM12,V$300)+COUNTIF('9月'!BQ12:BR12,V$300)+COUNTIF('9月'!BV12:BW12,V$300)+COUNTIF('9月'!CA12:CB12,V$300)+COUNTIF('9月'!CF12:CG12,V$300)+COUNTIF('9月'!CK12:CL12,V$300)+COUNTIF('9月'!CP12:CQ12,V$300)+COUNTIF('9月'!CU12:CV12,V$300)+COUNTIF('9月'!CZ12:DA12,V$300)+COUNTIF('9月'!DE12:DF12,V$300)+COUNTIF('9月'!DJ12:DK12,V$300)+COUNTIF('9月'!DO12:DP12,V$300)+COUNTIF('9月'!DT12:DU12,V$300)+COUNTIF('9月'!DY12:DZ12,V$300)+COUNTIF('9月'!ED12:EE12,V$300)+COUNTIF('9月'!EI12:EJ12,V$300)+COUNTIF('9月'!EN12:EO12,V$300)+COUNTIF('9月'!ES12:ET12,V$300)</f>
        <v>0</v>
      </c>
      <c r="W310" s="76">
        <f t="shared" si="106"/>
        <v>0</v>
      </c>
      <c r="X310" s="76">
        <f>COUNTIF('9月'!D12:E12,X$300)+COUNTIF('9月'!I12:J12,X$300)+COUNTIF('9月'!N12:O12,X$300)+COUNTIF('9月'!S12:T12,X$300)+COUNTIF('9月'!X12:Y12,X$300)+COUNTIF('9月'!AC12:AD12,X$300)+COUNTIF('9月'!AH12:AI12,X$300)+COUNTIF('9月'!AM12:AN12,X$300)+COUNTIF('9月'!AR12:AS12,X$300)+COUNTIF('9月'!AW12:AX12,X$300)+COUNTIF('9月'!BB12:BC12,X$300)+COUNTIF('9月'!BG12:BH12,X$300)+COUNTIF('9月'!BL12:BM12,X$300)+COUNTIF('9月'!BQ12:BR12,X$300)+COUNTIF('9月'!BV12:BW12,X$300)+COUNTIF('9月'!CA12:CB12,X$300)+COUNTIF('9月'!CF12:CG12,X$300)+COUNTIF('9月'!CK12:CL12,X$300)+COUNTIF('9月'!CP12:CQ12,X$300)+COUNTIF('9月'!CU12:CV12,X$300)+COUNTIF('9月'!CZ12:DA12,X$300)+COUNTIF('9月'!DE12:DF12,X$300)+COUNTIF('9月'!DJ12:DK12,X$300)+COUNTIF('9月'!DO12:DP12,X$300)+COUNTIF('9月'!DT12:DU12,X$300)+COUNTIF('9月'!DY12:DZ12,X$300)+COUNTIF('9月'!ED12:EE12,X$300)+COUNTIF('9月'!EI12:EJ12,X$300)+COUNTIF('9月'!EN12:EO12,X$300)+COUNTIF('9月'!ES12:ET12,X$300)</f>
        <v>0</v>
      </c>
      <c r="Y310" s="76">
        <f t="shared" si="107"/>
        <v>0</v>
      </c>
    </row>
    <row r="311" spans="1:25" ht="18" customHeight="1">
      <c r="A311" s="76">
        <v>10</v>
      </c>
      <c r="B311" s="76">
        <f>COUNTIF('9月'!D13:E13,B$300)+COUNTIF('9月'!I13:J13,B$300)+COUNTIF('9月'!N13:O13,B$300)+COUNTIF('9月'!S13:T13,B$300)+COUNTIF('9月'!X13:Y13,B$300)+COUNTIF('9月'!AC13:AD13,B$300)+COUNTIF('9月'!AH13:AI13,B$300)+COUNTIF('9月'!AM13:AN13,B$300)+COUNTIF('9月'!AR13:AS13,B$300)+COUNTIF('9月'!AW13:AX13,B$300)+COUNTIF('9月'!BB13:BC13,B$300)+COUNTIF('9月'!BG13:BH13,B$300)+COUNTIF('9月'!BL13:BM13,B$300)+COUNTIF('9月'!BQ13:BR13,B$300)+COUNTIF('9月'!BV13:BW13,B$300)+COUNTIF('9月'!CA13:CB13,B$300)+COUNTIF('9月'!CF13:CG13,B$300)+COUNTIF('9月'!CK13:CL13,B$300)+COUNTIF('9月'!CP13:CQ13,B$300)+COUNTIF('9月'!CU13:CV13,B$300)+COUNTIF('9月'!CZ13:DA13,B$300)+COUNTIF('9月'!DE13:DF13,B$300)+COUNTIF('9月'!DJ13:DK13,B$300)+COUNTIF('9月'!DO13:DP13,B$300)+COUNTIF('9月'!DT13:DU13,B$300)+COUNTIF('9月'!DY13:DZ13,B$300)+COUNTIF('9月'!ED13:EE13,B$300)+COUNTIF('9月'!EI13:EJ13,B$300)+COUNTIF('9月'!EN13:EO13,B$300)+COUNTIF('9月'!ES13:ET13,B$300)</f>
        <v>0</v>
      </c>
      <c r="C311" s="76">
        <f t="shared" si="96"/>
        <v>0</v>
      </c>
      <c r="D311" s="76">
        <f>COUNTIF('9月'!D13:E13,D$300)+COUNTIF('9月'!I13:J13,D$300)+COUNTIF('9月'!N13:O13,D$300)+COUNTIF('9月'!S13:T13,D$300)+COUNTIF('9月'!X13:Y13,D$300)+COUNTIF('9月'!AC13:AD13,D$300)+COUNTIF('9月'!AH13:AI13,D$300)+COUNTIF('9月'!AM13:AN13,D$300)+COUNTIF('9月'!AR13:AS13,D$300)+COUNTIF('9月'!AW13:AX13,D$300)+COUNTIF('9月'!BB13:BC13,D$300)+COUNTIF('9月'!BG13:BH13,D$300)+COUNTIF('9月'!BL13:BM13,D$300)+COUNTIF('9月'!BQ13:BR13,D$300)+COUNTIF('9月'!BV13:BW13,D$300)+COUNTIF('9月'!CA13:CB13,D$300)+COUNTIF('9月'!CF13:CG13,D$300)+COUNTIF('9月'!CK13:CL13,D$300)+COUNTIF('9月'!CP13:CQ13,D$300)+COUNTIF('9月'!CU13:CV13,D$300)+COUNTIF('9月'!CZ13:DA13,D$300)+COUNTIF('9月'!DE13:DF13,D$300)+COUNTIF('9月'!DJ13:DK13,D$300)+COUNTIF('9月'!DO13:DP13,D$300)+COUNTIF('9月'!DT13:DU13,D$300)+COUNTIF('9月'!DY13:DZ13,D$300)+COUNTIF('9月'!ED13:EE13,D$300)+COUNTIF('9月'!EI13:EJ13,D$300)+COUNTIF('9月'!EN13:EO13,D$300)+COUNTIF('9月'!ES13:ET13,D$300)</f>
        <v>0</v>
      </c>
      <c r="E311" s="76">
        <f t="shared" si="97"/>
        <v>0</v>
      </c>
      <c r="F311" s="76">
        <f>COUNTIF('9月'!D13:E13,F$300)+COUNTIF('9月'!I13:J13,F$300)+COUNTIF('9月'!N13:O13,F$300)+COUNTIF('9月'!S13:T13,F$300)+COUNTIF('9月'!X13:Y13,F$300)+COUNTIF('9月'!AC13:AD13,F$300)+COUNTIF('9月'!AH13:AI13,F$300)+COUNTIF('9月'!AM13:AN13,F$300)+COUNTIF('9月'!AR13:AS13,F$300)+COUNTIF('9月'!AW13:AX13,F$300)+COUNTIF('9月'!BB13:BC13,F$300)+COUNTIF('9月'!BG13:BH13,F$300)+COUNTIF('9月'!BL13:BM13,F$300)+COUNTIF('9月'!BQ13:BR13,F$300)+COUNTIF('9月'!BV13:BW13,F$300)+COUNTIF('9月'!CA13:CB13,F$300)+COUNTIF('9月'!CF13:CG13,F$300)+COUNTIF('9月'!CK13:CL13,F$300)+COUNTIF('9月'!CP13:CQ13,F$300)+COUNTIF('9月'!CU13:CV13,F$300)+COUNTIF('9月'!CZ13:DA13,F$300)+COUNTIF('9月'!DE13:DF13,F$300)+COUNTIF('9月'!DJ13:DK13,F$300)+COUNTIF('9月'!DO13:DP13,F$300)+COUNTIF('9月'!DT13:DU13,F$300)+COUNTIF('9月'!DY13:DZ13,F$300)+COUNTIF('9月'!ED13:EE13,F$300)+COUNTIF('9月'!EI13:EJ13,F$300)+COUNTIF('9月'!EN13:EO13,F$300)+COUNTIF('9月'!ES13:ET13,F$300)</f>
        <v>0</v>
      </c>
      <c r="G311" s="76">
        <f t="shared" si="98"/>
        <v>0</v>
      </c>
      <c r="H311" s="76">
        <f>COUNTIF('9月'!D13:E13,H$300)+COUNTIF('9月'!I13:J13,H$300)+COUNTIF('9月'!N13:O13,H$300)+COUNTIF('9月'!S13:T13,H$300)+COUNTIF('9月'!X13:Y13,H$300)+COUNTIF('9月'!AC13:AD13,H$300)+COUNTIF('9月'!AH13:AI13,H$300)+COUNTIF('9月'!AM13:AN13,H$300)+COUNTIF('9月'!AR13:AS13,H$300)+COUNTIF('9月'!AW13:AX13,H$300)+COUNTIF('9月'!BB13:BC13,H$300)+COUNTIF('9月'!BG13:BH13,H$300)+COUNTIF('9月'!BL13:BM13,H$300)+COUNTIF('9月'!BQ13:BR13,H$300)+COUNTIF('9月'!BV13:BW13,H$300)+COUNTIF('9月'!CA13:CB13,H$300)+COUNTIF('9月'!CF13:CG13,H$300)+COUNTIF('9月'!CK13:CL13,H$300)+COUNTIF('9月'!CP13:CQ13,H$300)+COUNTIF('9月'!CU13:CV13,H$300)+COUNTIF('9月'!CZ13:DA13,H$300)+COUNTIF('9月'!DE13:DF13,H$300)+COUNTIF('9月'!DJ13:DK13,H$300)+COUNTIF('9月'!DO13:DP13,H$300)+COUNTIF('9月'!DT13:DU13,H$300)+COUNTIF('9月'!DY13:DZ13,H$300)+COUNTIF('9月'!ED13:EE13,H$300)+COUNTIF('9月'!EI13:EJ13,H$300)+COUNTIF('9月'!EN13:EO13,H$300)+COUNTIF('9月'!ES13:ET13,H$300)+COUNTIF('9月'!D13:E13,"渋谷-夜勤")+COUNTIF('9月'!I13:J13,"渋谷-夜勤")+COUNTIF('9月'!N13:O13,"渋谷-夜勤")+COUNTIF('9月'!S13:T13,"渋谷-夜勤")+COUNTIF('9月'!X13:Y13,"渋谷-夜勤")+COUNTIF('9月'!AC13:AD13,"渋谷-夜勤")+COUNTIF('9月'!AH13:AI13,"渋谷-夜勤")+COUNTIF('9月'!AM13:AN13,"渋谷-夜勤")+COUNTIF('9月'!AR13:AS13,"渋谷-夜勤")+COUNTIF('9月'!AW13:AX13,"渋谷-夜勤")+COUNTIF('9月'!BB13:BC13,"渋谷-夜勤")+COUNTIF('9月'!BG13:BH13,"渋谷-夜勤")+COUNTIF('9月'!BL13:BM13,"渋谷-夜勤")+COUNTIF('9月'!BQ13:BR13,"渋谷-夜勤")+COUNTIF('9月'!BV13:BW13,"渋谷-夜勤")+COUNTIF('9月'!CA13:CB13,"渋谷-夜勤")+COUNTIF('9月'!CF13:CG13,"渋谷-夜勤")+COUNTIF('9月'!CK13:CL13,"渋谷-夜勤")+COUNTIF('9月'!CP13:CQ13,"渋谷-夜勤")+COUNTIF('9月'!CU13:CV13,"渋谷-夜勤")+COUNTIF('9月'!CZ13:DA13,"渋谷-夜勤")+COUNTIF('9月'!DE13:DF13,"渋谷-夜勤")+COUNTIF('9月'!DJ13:DK13,"渋谷-夜勤")+COUNTIF('9月'!DO13:DP13,"渋谷-夜勤")+COUNTIF('9月'!DT13:DU13,"渋谷-夜勤")+COUNTIF('9月'!DY13:DZ13,"渋谷-夜勤")+COUNTIF('9月'!ED13:EE13,"渋谷-夜勤")+COUNTIF('9月'!EI13:EJ13,"渋谷-夜勤")+COUNTIF('9月'!EN13:EO13,"渋谷-夜勤")+COUNTIF('9月'!ES13:ET13,"渋谷-夜勤")</f>
        <v>0</v>
      </c>
      <c r="I311" s="76">
        <f t="shared" si="99"/>
        <v>0</v>
      </c>
      <c r="J311" s="76">
        <f>COUNTIF('9月'!D13:E13,J$300)+COUNTIF('9月'!I13:J13,J$300)+COUNTIF('9月'!N13:O13,J$300)+COUNTIF('9月'!S13:T13,J$300)+COUNTIF('9月'!X13:Y13,J$300)+COUNTIF('9月'!AC13:AD13,J$300)+COUNTIF('9月'!AH13:AI13,J$300)+COUNTIF('9月'!AM13:AN13,J$300)+COUNTIF('9月'!AR13:AS13,J$300)+COUNTIF('9月'!AW13:AX13,J$300)+COUNTIF('9月'!BB13:BC13,J$300)+COUNTIF('9月'!BG13:BH13,J$300)+COUNTIF('9月'!BL13:BM13,J$300)+COUNTIF('9月'!BQ13:BR13,J$300)+COUNTIF('9月'!BV13:BW13,J$300)+COUNTIF('9月'!CA13:CB13,J$300)+COUNTIF('9月'!CF13:CG13,J$300)+COUNTIF('9月'!CK13:CL13,J$300)+COUNTIF('9月'!CP13:CQ13,J$300)+COUNTIF('9月'!CU13:CV13,J$300)+COUNTIF('9月'!CZ13:DA13,J$300)+COUNTIF('9月'!DE13:DF13,J$300)+COUNTIF('9月'!DJ13:DK13,J$300)+COUNTIF('9月'!DO13:DP13,J$300)+COUNTIF('9月'!DT13:DU13,J$300)+COUNTIF('9月'!DY13:DZ13,J$300)+COUNTIF('9月'!ED13:EE13,J$300)+COUNTIF('9月'!EI13:EJ13,J$300)+COUNTIF('9月'!EN13:EO13,J$300)+COUNTIF('9月'!ES13:ET13,J$300)+COUNTIF('9月'!D13:E13,"六本木-夜勤")+COUNTIF('9月'!I13:J13,"六本木-夜勤")+COUNTIF('9月'!N13:O13,"六本木-夜勤")+COUNTIF('9月'!S13:T13,"六本木-夜勤")+COUNTIF('9月'!X13:Y13,"六本木-夜勤")+COUNTIF('9月'!AC13:AD13,"六本木-夜勤")+COUNTIF('9月'!AH13:AI13,"六本木-夜勤")+COUNTIF('9月'!AM13:AN13,"六本木-夜勤")+COUNTIF('9月'!AR13:AS13,"六本木-夜勤")+COUNTIF('9月'!AW13:AX13,"六本木-夜勤")+COUNTIF('9月'!BB13:BC13,"六本木-夜勤")+COUNTIF('9月'!BG13:BH13,"六本木-夜勤")+COUNTIF('9月'!BL13:BM13,"六本木-夜勤")+COUNTIF('9月'!BQ13:BR13,"六本木-夜勤")+COUNTIF('9月'!BV13:BW13,"六本木-夜勤")+COUNTIF('9月'!CA13:CB13,"六本木-夜勤")+COUNTIF('9月'!CF13:CG13,"六本木-夜勤")+COUNTIF('9月'!CK13:CL13,"六本木-夜勤")+COUNTIF('9月'!CP13:CQ13,"六本木-夜勤")+COUNTIF('9月'!CU13:CV13,"六本木-夜勤")+COUNTIF('9月'!CZ13:DA13,"六本木-夜勤")+COUNTIF('9月'!DE13:DF13,"六本木-夜勤")+COUNTIF('9月'!DJ13:DK13,"六本木-夜勤")+COUNTIF('9月'!DO13:DP13,"六本木-夜勤")+COUNTIF('9月'!DT13:DU13,"六本木-夜勤")+COUNTIF('9月'!DY13:DZ13,"六本木-夜勤")+COUNTIF('9月'!ED13:EE13,"六本木-夜勤")+COUNTIF('9月'!EI13:EJ13,"六本木-夜勤")+COUNTIF('9月'!EN13:EO13,"六本木-夜勤")+COUNTIF('9月'!ES13:ET13,"六本木-夜勤")+COUNTIF('9月'!D13:E13,"六本木ー夜勤")+COUNTIF('9月'!I13:J13,"六本木ー夜勤")+COUNTIF('9月'!N13:O13,"六本木ー夜勤")+COUNTIF('9月'!S13:T13,"六本木ー夜勤")+COUNTIF('9月'!X13:Y13,"六本木ー夜勤")+COUNTIF('9月'!AC13:AD13,"六本木ー夜勤")+COUNTIF('9月'!AH13:AI13,"六本木ー夜勤")+COUNTIF('9月'!AM13:AN13,"六本木ー夜勤")+COUNTIF('9月'!AR13:AS13,"六本木ー夜勤")+COUNTIF('9月'!AW13:AX13,"六本木ー夜勤")+COUNTIF('9月'!BB13:BC13,"六本木ー夜勤")+COUNTIF('9月'!BG13:BH13,"六本木ー夜勤")+COUNTIF('9月'!BL13:BM13,"六本木ー夜勤")+COUNTIF('9月'!BQ13:BR13,"六本木ー夜勤")+COUNTIF('9月'!BV13:BW13,"六本木ー夜勤")+COUNTIF('9月'!CA13:CB13,"六本木ー夜勤")+COUNTIF('9月'!CF13:CG13,"六本木ー夜勤")+COUNTIF('9月'!CK13:CL13,"六本木ー夜勤")+COUNTIF('9月'!CP13:CQ13,"六本木ー夜勤")+COUNTIF('9月'!CU13:CV13,"六本木ー夜勤")+COUNTIF('9月'!CZ13:DA13,"六本木ー夜勤")+COUNTIF('9月'!DE13:DF13,"六本木ー夜勤")+COUNTIF('9月'!DJ13:DK13,"六本木ー夜勤")+COUNTIF('9月'!DO13:DP13,"六本木ー夜勤")+COUNTIF('9月'!DT13:DU13,"六本木ー夜勤")+COUNTIF('9月'!DY13:DZ13,"六本木ー夜勤")+COUNTIF('9月'!ED13:EE13,"六本木ー夜勤")+COUNTIF('9月'!EI13:EJ13,"六本木ー夜勤")+COUNTIF('9月'!EN13:EO13,"六本木ー夜勤")+COUNTIF('9月'!ES13:ET13,"六本木ー夜勤")</f>
        <v>0</v>
      </c>
      <c r="K311" s="76">
        <f t="shared" si="100"/>
        <v>0</v>
      </c>
      <c r="L311" s="76">
        <f>COUNTIF('9月'!D13:E13,L$300)+COUNTIF('9月'!I13:J13,L$300)+COUNTIF('9月'!N13:O13,L$300)+COUNTIF('9月'!S13:T13,L$300)+COUNTIF('9月'!X13:Y13,L$300)+COUNTIF('9月'!AC13:AD13,L$300)+COUNTIF('9月'!AH13:AI13,L$300)+COUNTIF('9月'!AM13:AN13,L$300)+COUNTIF('9月'!AR13:AS13,L$300)+COUNTIF('9月'!AW13:AX13,L$300)+COUNTIF('9月'!BB13:BC13,L$300)+COUNTIF('9月'!BG13:BH13,L$300)+COUNTIF('9月'!BL13:BM13,L$300)+COUNTIF('9月'!BQ13:BR13,L$300)+COUNTIF('9月'!BV13:BW13,L$300)+COUNTIF('9月'!CA13:CB13,L$300)+COUNTIF('9月'!CF13:CG13,L$300)+COUNTIF('9月'!CK13:CL13,L$300)+COUNTIF('9月'!CP13:CQ13,L$300)+COUNTIF('9月'!CU13:CV13,L$300)+COUNTIF('9月'!CZ13:DA13,L$300)+COUNTIF('9月'!DE13:DF13,L$300)+COUNTIF('9月'!DJ13:DK13,L$300)+COUNTIF('9月'!DO13:DP13,L$300)+COUNTIF('9月'!DT13:DU13,L$300)+COUNTIF('9月'!DY13:DZ13,L$300)+COUNTIF('9月'!ED13:EE13,L$300)+COUNTIF('9月'!EI13:EJ13,L$300)+COUNTIF('9月'!EN13:EO13,L$300)+COUNTIF('9月'!ES13:ET13,L$300)</f>
        <v>0</v>
      </c>
      <c r="M311" s="76">
        <f t="shared" si="101"/>
        <v>0</v>
      </c>
      <c r="N311" s="76">
        <f>COUNTIF('9月'!D13:E13,N$300)+COUNTIF('9月'!I13:J13,N$300)+COUNTIF('9月'!N13:O13,N$300)+COUNTIF('9月'!S13:T13,N$300)+COUNTIF('9月'!X13:Y13,N$300)+COUNTIF('9月'!AC13:AD13,N$300)+COUNTIF('9月'!AH13:AI13,N$300)+COUNTIF('9月'!AM13:AN13,N$300)+COUNTIF('9月'!AR13:AS13,N$300)+COUNTIF('9月'!AW13:AX13,N$300)+COUNTIF('9月'!BB13:BC13,N$300)+COUNTIF('9月'!BG13:BH13,N$300)+COUNTIF('9月'!BL13:BM13,N$300)+COUNTIF('9月'!BQ13:BR13,N$300)+COUNTIF('9月'!BV13:BW13,N$300)+COUNTIF('9月'!CA13:CB13,N$300)+COUNTIF('9月'!CF13:CG13,N$300)+COUNTIF('9月'!CK13:CL13,N$300)+COUNTIF('9月'!CP13:CQ13,N$300)+COUNTIF('9月'!CU13:CV13,N$300)+COUNTIF('9月'!CZ13:DA13,N$300)+COUNTIF('9月'!DE13:DF13,N$300)+COUNTIF('9月'!DJ13:DK13,N$300)+COUNTIF('9月'!DO13:DP13,N$300)+COUNTIF('9月'!DT13:DU13,N$300)+COUNTIF('9月'!DY13:DZ13,N$300)+COUNTIF('9月'!ED13:EE13,N$300)+COUNTIF('9月'!EI13:EJ13,N$300)+COUNTIF('9月'!EN13:EO13,N$300)+COUNTIF('9月'!ES13:ET13,N$300)+COUNTIF('9月'!D13:E13,"三軒茶屋－夜勤")+COUNTIF('9月'!I13:J13,"三軒茶屋－夜勤")+COUNTIF('9月'!N13:O13,"三軒茶屋－夜勤")+COUNTIF('9月'!S13:T13,"三軒茶屋－夜勤")+COUNTIF('9月'!X13:Y13,"三軒茶屋－夜勤")+COUNTIF('9月'!AC13:AD13,"三軒茶屋－夜勤")+COUNTIF('9月'!AH13:AI13,"三軒茶屋－夜勤")+COUNTIF('9月'!AM13:AN13,"三軒茶屋－夜勤")+COUNTIF('9月'!AR13:AS13,"三軒茶屋－夜勤")+COUNTIF('9月'!AW13:AX13,"三軒茶屋－夜勤")+COUNTIF('9月'!BB13:BC13,"三軒茶屋－夜勤")+COUNTIF('9月'!BG13:BH13,"三軒茶屋－夜勤")+COUNTIF('9月'!BL13:BM13,"三軒茶屋－夜勤")+COUNTIF('9月'!BQ13:BR13,"三軒茶屋－夜勤")+COUNTIF('9月'!BV13:BW13,"三軒茶屋－夜勤")+COUNTIF('9月'!CA13:CB13,"三軒茶屋－夜勤")+COUNTIF('9月'!CF13:CG13,"三軒茶屋－夜勤")+COUNTIF('9月'!CK13:CL13,"三軒茶屋－夜勤")+COUNTIF('9月'!CP13:CQ13,"三軒茶屋－夜勤")+COUNTIF('9月'!CU13:CV13,"三軒茶屋－夜勤")+COUNTIF('9月'!CZ13:DA13,"三軒茶屋－夜勤")+COUNTIF('9月'!DE13:DF13,"三軒茶屋－夜勤")+COUNTIF('9月'!DJ13:DK13,"三軒茶屋－夜勤")+COUNTIF('9月'!DO13:DP13,"三軒茶屋－夜勤")+COUNTIF('9月'!DT13:DU13,"三軒茶屋－夜勤")+COUNTIF('9月'!DY13:DZ13,"三軒茶屋－夜勤")+COUNTIF('9月'!ED13:EE13,"三軒茶屋－夜勤")+COUNTIF('9月'!EI13:EJ13,"三軒茶屋－夜勤")+COUNTIF('9月'!EN13:EO13,"三軒茶屋－夜勤")+COUNTIF('9月'!ES13:ET13,"三軒茶屋－夜勤")</f>
        <v>0</v>
      </c>
      <c r="O311" s="76">
        <f t="shared" si="102"/>
        <v>0</v>
      </c>
      <c r="P311" s="76">
        <f>COUNTIF('9月'!D13:E13,P$300)+COUNTIF('9月'!I13:J13,P$300)+COUNTIF('9月'!N13:O13,P$300)+COUNTIF('9月'!S13:T13,P$300)+COUNTIF('9月'!X13:Y13,P$300)+COUNTIF('9月'!AC13:AD13,P$300)+COUNTIF('9月'!AH13:AI13,P$300)+COUNTIF('9月'!AM13:AN13,P$300)+COUNTIF('9月'!AR13:AS13,P$300)+COUNTIF('9月'!AW13:AX13,P$300)+COUNTIF('9月'!BB13:BC13,P$300)+COUNTIF('9月'!BG13:BH13,P$300)+COUNTIF('9月'!BL13:BM13,P$300)+COUNTIF('9月'!BQ13:BR13,P$300)+COUNTIF('9月'!BV13:BW13,P$300)+COUNTIF('9月'!CA13:CB13,P$300)+COUNTIF('9月'!CF13:CG13,P$300)+COUNTIF('9月'!CK13:CL13,P$300)+COUNTIF('9月'!CP13:CQ13,P$300)+COUNTIF('9月'!CU13:CV13,P$300)+COUNTIF('9月'!CZ13:DA13,P$300)+COUNTIF('9月'!DE13:DF13,P$300)+COUNTIF('9月'!DJ13:DK13,P$300)+COUNTIF('9月'!DO13:DP13,P$300)+COUNTIF('9月'!DT13:DU13,P$300)+COUNTIF('9月'!DY13:DZ13,P$300)+COUNTIF('9月'!ED13:EE13,P$300)+COUNTIF('9月'!EI13:EJ13,P$300)+COUNTIF('9月'!EN13:EO13,P$300)+COUNTIF('9月'!ES13:ET13,P$300)+COUNTIF('9月'!D13:E13,"荻窪ー夜勤")+COUNTIF('9月'!I13:J13,"荻窪ー夜勤")+COUNTIF('9月'!N13:O13,"荻窪ー夜勤")+COUNTIF('9月'!S13:T13,"荻窪ー夜勤")+COUNTIF('9月'!X13:Y13,"荻窪ー夜勤")+COUNTIF('9月'!AC13:AD13,"荻窪ー夜勤")+COUNTIF('9月'!AH13:AI13,"荻窪ー夜勤")+COUNTIF('9月'!AM13:AN13,"荻窪ー夜勤")+COUNTIF('9月'!AR13:AS13,"荻窪ー夜勤")+COUNTIF('9月'!AW13:AX13,"荻窪ー夜勤")+COUNTIF('9月'!BB13:BC13,"荻窪ー夜勤")+COUNTIF('9月'!BG13:BH13,"荻窪ー夜勤")+COUNTIF('9月'!BL13:BM13,"荻窪ー夜勤")+COUNTIF('9月'!BQ13:BR13,"荻窪ー夜勤")+COUNTIF('9月'!BV13:BW13,"荻窪ー夜勤")+COUNTIF('9月'!CA13:CB13,"荻窪ー夜勤")+COUNTIF('9月'!CF13:CG13,"荻窪ー夜勤")+COUNTIF('9月'!CK13:CL13,"荻窪ー夜勤")+COUNTIF('9月'!CP13:CQ13,"荻窪ー夜勤")+COUNTIF('9月'!CU13:CV13,"荻窪ー夜勤")+COUNTIF('9月'!CZ13:DA13,"荻窪ー夜勤")+COUNTIF('9月'!DE13:DF13,"荻窪ー夜勤")+COUNTIF('9月'!DJ13:DK13,"荻窪ー夜勤")+COUNTIF('9月'!DO13:DP13,"荻窪ー夜勤")+COUNTIF('9月'!DT13:DU13,"荻窪ー夜勤")+COUNTIF('9月'!DY13:DZ13,"荻窪ー夜勤")+COUNTIF('9月'!ED13:EE13,"荻窪ー夜勤")+COUNTIF('9月'!EI13:EJ13,"荻窪ー夜勤")+COUNTIF('9月'!EN13:EO13,"荻窪ー夜勤")+COUNTIF('9月'!ES13:ET13,"荻窪ー夜勤")</f>
        <v>0</v>
      </c>
      <c r="Q311" s="76">
        <f t="shared" si="103"/>
        <v>0</v>
      </c>
      <c r="R311" s="76">
        <f>COUNTIF('9月'!D13:E13,R$300)+COUNTIF('9月'!I13:J13,R$300)+COUNTIF('9月'!N13:O13,R$300)+COUNTIF('9月'!S13:T13,R$300)+COUNTIF('9月'!X13:Y13,R$300)+COUNTIF('9月'!AC13:AD13,R$300)+COUNTIF('9月'!AH13:AI13,R$300)+COUNTIF('9月'!AM13:AN13,R$300)+COUNTIF('9月'!AR13:AS13,R$300)+COUNTIF('9月'!AW13:AX13,R$300)+COUNTIF('9月'!BB13:BC13,R$300)+COUNTIF('9月'!BG13:BH13,R$300)+COUNTIF('9月'!BL13:BM13,R$300)+COUNTIF('9月'!BQ13:BR13,R$300)+COUNTIF('9月'!BV13:BW13,R$300)+COUNTIF('9月'!CA13:CB13,R$300)+COUNTIF('9月'!CF13:CG13,R$300)+COUNTIF('9月'!CK13:CL13,R$300)+COUNTIF('9月'!CP13:CQ13,R$300)+COUNTIF('9月'!CU13:CV13,R$300)+COUNTIF('9月'!CZ13:DA13,R$300)+COUNTIF('9月'!DE13:DF13,R$300)+COUNTIF('9月'!DJ13:DK13,R$300)+COUNTIF('9月'!DO13:DP13,R$300)+COUNTIF('9月'!DT13:DU13,R$300)+COUNTIF('9月'!DY13:DZ13,R$300)+COUNTIF('9月'!ED13:EE13,R$300)+COUNTIF('9月'!EI13:EJ13,R$300)+COUNTIF('9月'!EN13:EO13,R$300)+COUNTIF('9月'!ES13:ET13,R$300)</f>
        <v>0</v>
      </c>
      <c r="S311" s="76">
        <f t="shared" si="104"/>
        <v>0</v>
      </c>
      <c r="T311" s="76">
        <f>COUNTIF('9月'!D13:E13,T$300)+COUNTIF('9月'!I13:J13,T$300)+COUNTIF('9月'!N13:O13,T$300)+COUNTIF('9月'!S13:T13,T$300)+COUNTIF('9月'!X13:Y13,T$300)+COUNTIF('9月'!AC13:AD13,T$300)+COUNTIF('9月'!AH13:AI13,T$300)+COUNTIF('9月'!AM13:AN13,T$300)+COUNTIF('9月'!AR13:AS13,T$300)+COUNTIF('9月'!AW13:AX13,T$300)+COUNTIF('9月'!BB13:BC13,T$300)+COUNTIF('9月'!BG13:BH13,T$300)+COUNTIF('9月'!BL13:BM13,T$300)+COUNTIF('9月'!BQ13:BR13,T$300)+COUNTIF('9月'!BV13:BW13,T$300)+COUNTIF('9月'!CA13:CB13,T$300)+COUNTIF('9月'!CF13:CG13,T$300)+COUNTIF('9月'!CK13:CL13,T$300)+COUNTIF('9月'!CP13:CQ13,T$300)+COUNTIF('9月'!CU13:CV13,T$300)+COUNTIF('9月'!CZ13:DA13,T$300)+COUNTIF('9月'!DE13:DF13,T$300)+COUNTIF('9月'!DJ13:DK13,T$300)+COUNTIF('9月'!DO13:DP13,T$300)+COUNTIF('9月'!DT13:DU13,T$300)+COUNTIF('9月'!DY13:DZ13,T$300)+COUNTIF('9月'!ED13:EE13,T$300)+COUNTIF('9月'!EI13:EJ13,T$300)+COUNTIF('9月'!EN13:EO13,T$300)+COUNTIF('9月'!ES13:ET13,T$300)</f>
        <v>0</v>
      </c>
      <c r="U311" s="76">
        <f t="shared" si="105"/>
        <v>0</v>
      </c>
      <c r="V311" s="76">
        <f>COUNTIF('9月'!D13:E13,V$300)+COUNTIF('9月'!I13:J13,V$300)+COUNTIF('9月'!N13:O13,V$300)+COUNTIF('9月'!S13:T13,V$300)+COUNTIF('9月'!X13:Y13,V$300)+COUNTIF('9月'!AC13:AD13,V$300)+COUNTIF('9月'!AH13:AI13,V$300)+COUNTIF('9月'!AM13:AN13,V$300)+COUNTIF('9月'!AR13:AS13,V$300)+COUNTIF('9月'!AW13:AX13,V$300)+COUNTIF('9月'!BB13:BC13,V$300)+COUNTIF('9月'!BG13:BH13,V$300)+COUNTIF('9月'!BL13:BM13,V$300)+COUNTIF('9月'!BQ13:BR13,V$300)+COUNTIF('9月'!BV13:BW13,V$300)+COUNTIF('9月'!CA13:CB13,V$300)+COUNTIF('9月'!CF13:CG13,V$300)+COUNTIF('9月'!CK13:CL13,V$300)+COUNTIF('9月'!CP13:CQ13,V$300)+COUNTIF('9月'!CU13:CV13,V$300)+COUNTIF('9月'!CZ13:DA13,V$300)+COUNTIF('9月'!DE13:DF13,V$300)+COUNTIF('9月'!DJ13:DK13,V$300)+COUNTIF('9月'!DO13:DP13,V$300)+COUNTIF('9月'!DT13:DU13,V$300)+COUNTIF('9月'!DY13:DZ13,V$300)+COUNTIF('9月'!ED13:EE13,V$300)+COUNTIF('9月'!EI13:EJ13,V$300)+COUNTIF('9月'!EN13:EO13,V$300)+COUNTIF('9月'!ES13:ET13,V$300)</f>
        <v>0</v>
      </c>
      <c r="W311" s="76">
        <f t="shared" si="106"/>
        <v>0</v>
      </c>
      <c r="X311" s="76">
        <f>COUNTIF('9月'!D13:E13,X$300)+COUNTIF('9月'!I13:J13,X$300)+COUNTIF('9月'!N13:O13,X$300)+COUNTIF('9月'!S13:T13,X$300)+COUNTIF('9月'!X13:Y13,X$300)+COUNTIF('9月'!AC13:AD13,X$300)+COUNTIF('9月'!AH13:AI13,X$300)+COUNTIF('9月'!AM13:AN13,X$300)+COUNTIF('9月'!AR13:AS13,X$300)+COUNTIF('9月'!AW13:AX13,X$300)+COUNTIF('9月'!BB13:BC13,X$300)+COUNTIF('9月'!BG13:BH13,X$300)+COUNTIF('9月'!BL13:BM13,X$300)+COUNTIF('9月'!BQ13:BR13,X$300)+COUNTIF('9月'!BV13:BW13,X$300)+COUNTIF('9月'!CA13:CB13,X$300)+COUNTIF('9月'!CF13:CG13,X$300)+COUNTIF('9月'!CK13:CL13,X$300)+COUNTIF('9月'!CP13:CQ13,X$300)+COUNTIF('9月'!CU13:CV13,X$300)+COUNTIF('9月'!CZ13:DA13,X$300)+COUNTIF('9月'!DE13:DF13,X$300)+COUNTIF('9月'!DJ13:DK13,X$300)+COUNTIF('9月'!DO13:DP13,X$300)+COUNTIF('9月'!DT13:DU13,X$300)+COUNTIF('9月'!DY13:DZ13,X$300)+COUNTIF('9月'!ED13:EE13,X$300)+COUNTIF('9月'!EI13:EJ13,X$300)+COUNTIF('9月'!EN13:EO13,X$300)+COUNTIF('9月'!ES13:ET13,X$300)</f>
        <v>0</v>
      </c>
      <c r="Y311" s="76">
        <f t="shared" si="107"/>
        <v>0</v>
      </c>
    </row>
    <row r="312" spans="1:25" ht="18" customHeight="1">
      <c r="A312" s="76">
        <v>11</v>
      </c>
      <c r="B312" s="76">
        <f>COUNTIF('9月'!D14:E14,B$300)+COUNTIF('9月'!I14:J14,B$300)+COUNTIF('9月'!N14:O14,B$300)+COUNTIF('9月'!S14:T14,B$300)+COUNTIF('9月'!X14:Y14,B$300)+COUNTIF('9月'!AC14:AD14,B$300)+COUNTIF('9月'!AH14:AI14,B$300)+COUNTIF('9月'!AM14:AN14,B$300)+COUNTIF('9月'!AR14:AS14,B$300)+COUNTIF('9月'!AW14:AX14,B$300)+COUNTIF('9月'!BB14:BC14,B$300)+COUNTIF('9月'!BG14:BH14,B$300)+COUNTIF('9月'!BL14:BM14,B$300)+COUNTIF('9月'!BQ14:BR14,B$300)+COUNTIF('9月'!BV14:BW14,B$300)+COUNTIF('9月'!CA14:CB14,B$300)+COUNTIF('9月'!CF14:CG14,B$300)+COUNTIF('9月'!CK14:CL14,B$300)+COUNTIF('9月'!CP14:CQ14,B$300)+COUNTIF('9月'!CU14:CV14,B$300)+COUNTIF('9月'!CZ14:DA14,B$300)+COUNTIF('9月'!DE14:DF14,B$300)+COUNTIF('9月'!DJ14:DK14,B$300)+COUNTIF('9月'!DO14:DP14,B$300)+COUNTIF('9月'!DT14:DU14,B$300)+COUNTIF('9月'!DY14:DZ14,B$300)+COUNTIF('9月'!ED14:EE14,B$300)+COUNTIF('9月'!EI14:EJ14,B$300)+COUNTIF('9月'!EN14:EO14,B$300)+COUNTIF('9月'!ES14:ET14,B$300)</f>
        <v>0</v>
      </c>
      <c r="C312" s="76">
        <f t="shared" si="96"/>
        <v>0</v>
      </c>
      <c r="D312" s="76">
        <f>COUNTIF('9月'!D14:E14,D$300)+COUNTIF('9月'!I14:J14,D$300)+COUNTIF('9月'!N14:O14,D$300)+COUNTIF('9月'!S14:T14,D$300)+COUNTIF('9月'!X14:Y14,D$300)+COUNTIF('9月'!AC14:AD14,D$300)+COUNTIF('9月'!AH14:AI14,D$300)+COUNTIF('9月'!AM14:AN14,D$300)+COUNTIF('9月'!AR14:AS14,D$300)+COUNTIF('9月'!AW14:AX14,D$300)+COUNTIF('9月'!BB14:BC14,D$300)+COUNTIF('9月'!BG14:BH14,D$300)+COUNTIF('9月'!BL14:BM14,D$300)+COUNTIF('9月'!BQ14:BR14,D$300)+COUNTIF('9月'!BV14:BW14,D$300)+COUNTIF('9月'!CA14:CB14,D$300)+COUNTIF('9月'!CF14:CG14,D$300)+COUNTIF('9月'!CK14:CL14,D$300)+COUNTIF('9月'!CP14:CQ14,D$300)+COUNTIF('9月'!CU14:CV14,D$300)+COUNTIF('9月'!CZ14:DA14,D$300)+COUNTIF('9月'!DE14:DF14,D$300)+COUNTIF('9月'!DJ14:DK14,D$300)+COUNTIF('9月'!DO14:DP14,D$300)+COUNTIF('9月'!DT14:DU14,D$300)+COUNTIF('9月'!DY14:DZ14,D$300)+COUNTIF('9月'!ED14:EE14,D$300)+COUNTIF('9月'!EI14:EJ14,D$300)+COUNTIF('9月'!EN14:EO14,D$300)+COUNTIF('9月'!ES14:ET14,D$300)</f>
        <v>0</v>
      </c>
      <c r="E312" s="76">
        <f t="shared" si="97"/>
        <v>0</v>
      </c>
      <c r="F312" s="76">
        <f>COUNTIF('9月'!D14:E14,F$300)+COUNTIF('9月'!I14:J14,F$300)+COUNTIF('9月'!N14:O14,F$300)+COUNTIF('9月'!S14:T14,F$300)+COUNTIF('9月'!X14:Y14,F$300)+COUNTIF('9月'!AC14:AD14,F$300)+COUNTIF('9月'!AH14:AI14,F$300)+COUNTIF('9月'!AM14:AN14,F$300)+COUNTIF('9月'!AR14:AS14,F$300)+COUNTIF('9月'!AW14:AX14,F$300)+COUNTIF('9月'!BB14:BC14,F$300)+COUNTIF('9月'!BG14:BH14,F$300)+COUNTIF('9月'!BL14:BM14,F$300)+COUNTIF('9月'!BQ14:BR14,F$300)+COUNTIF('9月'!BV14:BW14,F$300)+COUNTIF('9月'!CA14:CB14,F$300)+COUNTIF('9月'!CF14:CG14,F$300)+COUNTIF('9月'!CK14:CL14,F$300)+COUNTIF('9月'!CP14:CQ14,F$300)+COUNTIF('9月'!CU14:CV14,F$300)+COUNTIF('9月'!CZ14:DA14,F$300)+COUNTIF('9月'!DE14:DF14,F$300)+COUNTIF('9月'!DJ14:DK14,F$300)+COUNTIF('9月'!DO14:DP14,F$300)+COUNTIF('9月'!DT14:DU14,F$300)+COUNTIF('9月'!DY14:DZ14,F$300)+COUNTIF('9月'!ED14:EE14,F$300)+COUNTIF('9月'!EI14:EJ14,F$300)+COUNTIF('9月'!EN14:EO14,F$300)+COUNTIF('9月'!ES14:ET14,F$300)</f>
        <v>0</v>
      </c>
      <c r="G312" s="76">
        <f t="shared" si="98"/>
        <v>0</v>
      </c>
      <c r="H312" s="76">
        <f>COUNTIF('9月'!D14:E14,H$300)+COUNTIF('9月'!I14:J14,H$300)+COUNTIF('9月'!N14:O14,H$300)+COUNTIF('9月'!S14:T14,H$300)+COUNTIF('9月'!X14:Y14,H$300)+COUNTIF('9月'!AC14:AD14,H$300)+COUNTIF('9月'!AH14:AI14,H$300)+COUNTIF('9月'!AM14:AN14,H$300)+COUNTIF('9月'!AR14:AS14,H$300)+COUNTIF('9月'!AW14:AX14,H$300)+COUNTIF('9月'!BB14:BC14,H$300)+COUNTIF('9月'!BG14:BH14,H$300)+COUNTIF('9月'!BL14:BM14,H$300)+COUNTIF('9月'!BQ14:BR14,H$300)+COUNTIF('9月'!BV14:BW14,H$300)+COUNTIF('9月'!CA14:CB14,H$300)+COUNTIF('9月'!CF14:CG14,H$300)+COUNTIF('9月'!CK14:CL14,H$300)+COUNTIF('9月'!CP14:CQ14,H$300)+COUNTIF('9月'!CU14:CV14,H$300)+COUNTIF('9月'!CZ14:DA14,H$300)+COUNTIF('9月'!DE14:DF14,H$300)+COUNTIF('9月'!DJ14:DK14,H$300)+COUNTIF('9月'!DO14:DP14,H$300)+COUNTIF('9月'!DT14:DU14,H$300)+COUNTIF('9月'!DY14:DZ14,H$300)+COUNTIF('9月'!ED14:EE14,H$300)+COUNTIF('9月'!EI14:EJ14,H$300)+COUNTIF('9月'!EN14:EO14,H$300)+COUNTIF('9月'!ES14:ET14,H$300)+COUNTIF('9月'!D14:E14,"渋谷-夜勤")+COUNTIF('9月'!I14:J14,"渋谷-夜勤")+COUNTIF('9月'!N14:O14,"渋谷-夜勤")+COUNTIF('9月'!S14:T14,"渋谷-夜勤")+COUNTIF('9月'!X14:Y14,"渋谷-夜勤")+COUNTIF('9月'!AC14:AD14,"渋谷-夜勤")+COUNTIF('9月'!AH14:AI14,"渋谷-夜勤")+COUNTIF('9月'!AM14:AN14,"渋谷-夜勤")+COUNTIF('9月'!AR14:AS14,"渋谷-夜勤")+COUNTIF('9月'!AW14:AX14,"渋谷-夜勤")+COUNTIF('9月'!BB14:BC14,"渋谷-夜勤")+COUNTIF('9月'!BG14:BH14,"渋谷-夜勤")+COUNTIF('9月'!BL14:BM14,"渋谷-夜勤")+COUNTIF('9月'!BQ14:BR14,"渋谷-夜勤")+COUNTIF('9月'!BV14:BW14,"渋谷-夜勤")+COUNTIF('9月'!CA14:CB14,"渋谷-夜勤")+COUNTIF('9月'!CF14:CG14,"渋谷-夜勤")+COUNTIF('9月'!CK14:CL14,"渋谷-夜勤")+COUNTIF('9月'!CP14:CQ14,"渋谷-夜勤")+COUNTIF('9月'!CU14:CV14,"渋谷-夜勤")+COUNTIF('9月'!CZ14:DA14,"渋谷-夜勤")+COUNTIF('9月'!DE14:DF14,"渋谷-夜勤")+COUNTIF('9月'!DJ14:DK14,"渋谷-夜勤")+COUNTIF('9月'!DO14:DP14,"渋谷-夜勤")+COUNTIF('9月'!DT14:DU14,"渋谷-夜勤")+COUNTIF('9月'!DY14:DZ14,"渋谷-夜勤")+COUNTIF('9月'!ED14:EE14,"渋谷-夜勤")+COUNTIF('9月'!EI14:EJ14,"渋谷-夜勤")+COUNTIF('9月'!EN14:EO14,"渋谷-夜勤")+COUNTIF('9月'!ES14:ET14,"渋谷-夜勤")</f>
        <v>0</v>
      </c>
      <c r="I312" s="76">
        <f t="shared" si="99"/>
        <v>0</v>
      </c>
      <c r="J312" s="76">
        <f>COUNTIF('9月'!D14:E14,J$300)+COUNTIF('9月'!I14:J14,J$300)+COUNTIF('9月'!N14:O14,J$300)+COUNTIF('9月'!S14:T14,J$300)+COUNTIF('9月'!X14:Y14,J$300)+COUNTIF('9月'!AC14:AD14,J$300)+COUNTIF('9月'!AH14:AI14,J$300)+COUNTIF('9月'!AM14:AN14,J$300)+COUNTIF('9月'!AR14:AS14,J$300)+COUNTIF('9月'!AW14:AX14,J$300)+COUNTIF('9月'!BB14:BC14,J$300)+COUNTIF('9月'!BG14:BH14,J$300)+COUNTIF('9月'!BL14:BM14,J$300)+COUNTIF('9月'!BQ14:BR14,J$300)+COUNTIF('9月'!BV14:BW14,J$300)+COUNTIF('9月'!CA14:CB14,J$300)+COUNTIF('9月'!CF14:CG14,J$300)+COUNTIF('9月'!CK14:CL14,J$300)+COUNTIF('9月'!CP14:CQ14,J$300)+COUNTIF('9月'!CU14:CV14,J$300)+COUNTIF('9月'!CZ14:DA14,J$300)+COUNTIF('9月'!DE14:DF14,J$300)+COUNTIF('9月'!DJ14:DK14,J$300)+COUNTIF('9月'!DO14:DP14,J$300)+COUNTIF('9月'!DT14:DU14,J$300)+COUNTIF('9月'!DY14:DZ14,J$300)+COUNTIF('9月'!ED14:EE14,J$300)+COUNTIF('9月'!EI14:EJ14,J$300)+COUNTIF('9月'!EN14:EO14,J$300)+COUNTIF('9月'!ES14:ET14,J$300)+COUNTIF('9月'!D14:E14,"六本木-夜勤")+COUNTIF('9月'!I14:J14,"六本木-夜勤")+COUNTIF('9月'!N14:O14,"六本木-夜勤")+COUNTIF('9月'!S14:T14,"六本木-夜勤")+COUNTIF('9月'!X14:Y14,"六本木-夜勤")+COUNTIF('9月'!AC14:AD14,"六本木-夜勤")+COUNTIF('9月'!AH14:AI14,"六本木-夜勤")+COUNTIF('9月'!AM14:AN14,"六本木-夜勤")+COUNTIF('9月'!AR14:AS14,"六本木-夜勤")+COUNTIF('9月'!AW14:AX14,"六本木-夜勤")+COUNTIF('9月'!BB14:BC14,"六本木-夜勤")+COUNTIF('9月'!BG14:BH14,"六本木-夜勤")+COUNTIF('9月'!BL14:BM14,"六本木-夜勤")+COUNTIF('9月'!BQ14:BR14,"六本木-夜勤")+COUNTIF('9月'!BV14:BW14,"六本木-夜勤")+COUNTIF('9月'!CA14:CB14,"六本木-夜勤")+COUNTIF('9月'!CF14:CG14,"六本木-夜勤")+COUNTIF('9月'!CK14:CL14,"六本木-夜勤")+COUNTIF('9月'!CP14:CQ14,"六本木-夜勤")+COUNTIF('9月'!CU14:CV14,"六本木-夜勤")+COUNTIF('9月'!CZ14:DA14,"六本木-夜勤")+COUNTIF('9月'!DE14:DF14,"六本木-夜勤")+COUNTIF('9月'!DJ14:DK14,"六本木-夜勤")+COUNTIF('9月'!DO14:DP14,"六本木-夜勤")+COUNTIF('9月'!DT14:DU14,"六本木-夜勤")+COUNTIF('9月'!DY14:DZ14,"六本木-夜勤")+COUNTIF('9月'!ED14:EE14,"六本木-夜勤")+COUNTIF('9月'!EI14:EJ14,"六本木-夜勤")+COUNTIF('9月'!EN14:EO14,"六本木-夜勤")+COUNTIF('9月'!ES14:ET14,"六本木-夜勤")+COUNTIF('9月'!D14:E14,"六本木ー夜勤")+COUNTIF('9月'!I14:J14,"六本木ー夜勤")+COUNTIF('9月'!N14:O14,"六本木ー夜勤")+COUNTIF('9月'!S14:T14,"六本木ー夜勤")+COUNTIF('9月'!X14:Y14,"六本木ー夜勤")+COUNTIF('9月'!AC14:AD14,"六本木ー夜勤")+COUNTIF('9月'!AH14:AI14,"六本木ー夜勤")+COUNTIF('9月'!AM14:AN14,"六本木ー夜勤")+COUNTIF('9月'!AR14:AS14,"六本木ー夜勤")+COUNTIF('9月'!AW14:AX14,"六本木ー夜勤")+COUNTIF('9月'!BB14:BC14,"六本木ー夜勤")+COUNTIF('9月'!BG14:BH14,"六本木ー夜勤")+COUNTIF('9月'!BL14:BM14,"六本木ー夜勤")+COUNTIF('9月'!BQ14:BR14,"六本木ー夜勤")+COUNTIF('9月'!BV14:BW14,"六本木ー夜勤")+COUNTIF('9月'!CA14:CB14,"六本木ー夜勤")+COUNTIF('9月'!CF14:CG14,"六本木ー夜勤")+COUNTIF('9月'!CK14:CL14,"六本木ー夜勤")+COUNTIF('9月'!CP14:CQ14,"六本木ー夜勤")+COUNTIF('9月'!CU14:CV14,"六本木ー夜勤")+COUNTIF('9月'!CZ14:DA14,"六本木ー夜勤")+COUNTIF('9月'!DE14:DF14,"六本木ー夜勤")+COUNTIF('9月'!DJ14:DK14,"六本木ー夜勤")+COUNTIF('9月'!DO14:DP14,"六本木ー夜勤")+COUNTIF('9月'!DT14:DU14,"六本木ー夜勤")+COUNTIF('9月'!DY14:DZ14,"六本木ー夜勤")+COUNTIF('9月'!ED14:EE14,"六本木ー夜勤")+COUNTIF('9月'!EI14:EJ14,"六本木ー夜勤")+COUNTIF('9月'!EN14:EO14,"六本木ー夜勤")+COUNTIF('9月'!ES14:ET14,"六本木ー夜勤")</f>
        <v>0</v>
      </c>
      <c r="K312" s="76">
        <f t="shared" si="100"/>
        <v>0</v>
      </c>
      <c r="L312" s="76">
        <f>COUNTIF('9月'!D14:E14,L$300)+COUNTIF('9月'!I14:J14,L$300)+COUNTIF('9月'!N14:O14,L$300)+COUNTIF('9月'!S14:T14,L$300)+COUNTIF('9月'!X14:Y14,L$300)+COUNTIF('9月'!AC14:AD14,L$300)+COUNTIF('9月'!AH14:AI14,L$300)+COUNTIF('9月'!AM14:AN14,L$300)+COUNTIF('9月'!AR14:AS14,L$300)+COUNTIF('9月'!AW14:AX14,L$300)+COUNTIF('9月'!BB14:BC14,L$300)+COUNTIF('9月'!BG14:BH14,L$300)+COUNTIF('9月'!BL14:BM14,L$300)+COUNTIF('9月'!BQ14:BR14,L$300)+COUNTIF('9月'!BV14:BW14,L$300)+COUNTIF('9月'!CA14:CB14,L$300)+COUNTIF('9月'!CF14:CG14,L$300)+COUNTIF('9月'!CK14:CL14,L$300)+COUNTIF('9月'!CP14:CQ14,L$300)+COUNTIF('9月'!CU14:CV14,L$300)+COUNTIF('9月'!CZ14:DA14,L$300)+COUNTIF('9月'!DE14:DF14,L$300)+COUNTIF('9月'!DJ14:DK14,L$300)+COUNTIF('9月'!DO14:DP14,L$300)+COUNTIF('9月'!DT14:DU14,L$300)+COUNTIF('9月'!DY14:DZ14,L$300)+COUNTIF('9月'!ED14:EE14,L$300)+COUNTIF('9月'!EI14:EJ14,L$300)+COUNTIF('9月'!EN14:EO14,L$300)+COUNTIF('9月'!ES14:ET14,L$300)</f>
        <v>0</v>
      </c>
      <c r="M312" s="76">
        <f t="shared" si="101"/>
        <v>0</v>
      </c>
      <c r="N312" s="76">
        <f>COUNTIF('9月'!D14:E14,N$300)+COUNTIF('9月'!I14:J14,N$300)+COUNTIF('9月'!N14:O14,N$300)+COUNTIF('9月'!S14:T14,N$300)+COUNTIF('9月'!X14:Y14,N$300)+COUNTIF('9月'!AC14:AD14,N$300)+COUNTIF('9月'!AH14:AI14,N$300)+COUNTIF('9月'!AM14:AN14,N$300)+COUNTIF('9月'!AR14:AS14,N$300)+COUNTIF('9月'!AW14:AX14,N$300)+COUNTIF('9月'!BB14:BC14,N$300)+COUNTIF('9月'!BG14:BH14,N$300)+COUNTIF('9月'!BL14:BM14,N$300)+COUNTIF('9月'!BQ14:BR14,N$300)+COUNTIF('9月'!BV14:BW14,N$300)+COUNTIF('9月'!CA14:CB14,N$300)+COUNTIF('9月'!CF14:CG14,N$300)+COUNTIF('9月'!CK14:CL14,N$300)+COUNTIF('9月'!CP14:CQ14,N$300)+COUNTIF('9月'!CU14:CV14,N$300)+COUNTIF('9月'!CZ14:DA14,N$300)+COUNTIF('9月'!DE14:DF14,N$300)+COUNTIF('9月'!DJ14:DK14,N$300)+COUNTIF('9月'!DO14:DP14,N$300)+COUNTIF('9月'!DT14:DU14,N$300)+COUNTIF('9月'!DY14:DZ14,N$300)+COUNTIF('9月'!ED14:EE14,N$300)+COUNTIF('9月'!EI14:EJ14,N$300)+COUNTIF('9月'!EN14:EO14,N$300)+COUNTIF('9月'!ES14:ET14,N$300)+COUNTIF('9月'!D14:E14,"三軒茶屋－夜勤")+COUNTIF('9月'!I14:J14,"三軒茶屋－夜勤")+COUNTIF('9月'!N14:O14,"三軒茶屋－夜勤")+COUNTIF('9月'!S14:T14,"三軒茶屋－夜勤")+COUNTIF('9月'!X14:Y14,"三軒茶屋－夜勤")+COUNTIF('9月'!AC14:AD14,"三軒茶屋－夜勤")+COUNTIF('9月'!AH14:AI14,"三軒茶屋－夜勤")+COUNTIF('9月'!AM14:AN14,"三軒茶屋－夜勤")+COUNTIF('9月'!AR14:AS14,"三軒茶屋－夜勤")+COUNTIF('9月'!AW14:AX14,"三軒茶屋－夜勤")+COUNTIF('9月'!BB14:BC14,"三軒茶屋－夜勤")+COUNTIF('9月'!BG14:BH14,"三軒茶屋－夜勤")+COUNTIF('9月'!BL14:BM14,"三軒茶屋－夜勤")+COUNTIF('9月'!BQ14:BR14,"三軒茶屋－夜勤")+COUNTIF('9月'!BV14:BW14,"三軒茶屋－夜勤")+COUNTIF('9月'!CA14:CB14,"三軒茶屋－夜勤")+COUNTIF('9月'!CF14:CG14,"三軒茶屋－夜勤")+COUNTIF('9月'!CK14:CL14,"三軒茶屋－夜勤")+COUNTIF('9月'!CP14:CQ14,"三軒茶屋－夜勤")+COUNTIF('9月'!CU14:CV14,"三軒茶屋－夜勤")+COUNTIF('9月'!CZ14:DA14,"三軒茶屋－夜勤")+COUNTIF('9月'!DE14:DF14,"三軒茶屋－夜勤")+COUNTIF('9月'!DJ14:DK14,"三軒茶屋－夜勤")+COUNTIF('9月'!DO14:DP14,"三軒茶屋－夜勤")+COUNTIF('9月'!DT14:DU14,"三軒茶屋－夜勤")+COUNTIF('9月'!DY14:DZ14,"三軒茶屋－夜勤")+COUNTIF('9月'!ED14:EE14,"三軒茶屋－夜勤")+COUNTIF('9月'!EI14:EJ14,"三軒茶屋－夜勤")+COUNTIF('9月'!EN14:EO14,"三軒茶屋－夜勤")+COUNTIF('9月'!ES14:ET14,"三軒茶屋－夜勤")</f>
        <v>0</v>
      </c>
      <c r="O312" s="76">
        <f t="shared" si="102"/>
        <v>0</v>
      </c>
      <c r="P312" s="76">
        <f>COUNTIF('9月'!D14:E14,P$300)+COUNTIF('9月'!I14:J14,P$300)+COUNTIF('9月'!N14:O14,P$300)+COUNTIF('9月'!S14:T14,P$300)+COUNTIF('9月'!X14:Y14,P$300)+COUNTIF('9月'!AC14:AD14,P$300)+COUNTIF('9月'!AH14:AI14,P$300)+COUNTIF('9月'!AM14:AN14,P$300)+COUNTIF('9月'!AR14:AS14,P$300)+COUNTIF('9月'!AW14:AX14,P$300)+COUNTIF('9月'!BB14:BC14,P$300)+COUNTIF('9月'!BG14:BH14,P$300)+COUNTIF('9月'!BL14:BM14,P$300)+COUNTIF('9月'!BQ14:BR14,P$300)+COUNTIF('9月'!BV14:BW14,P$300)+COUNTIF('9月'!CA14:CB14,P$300)+COUNTIF('9月'!CF14:CG14,P$300)+COUNTIF('9月'!CK14:CL14,P$300)+COUNTIF('9月'!CP14:CQ14,P$300)+COUNTIF('9月'!CU14:CV14,P$300)+COUNTIF('9月'!CZ14:DA14,P$300)+COUNTIF('9月'!DE14:DF14,P$300)+COUNTIF('9月'!DJ14:DK14,P$300)+COUNTIF('9月'!DO14:DP14,P$300)+COUNTIF('9月'!DT14:DU14,P$300)+COUNTIF('9月'!DY14:DZ14,P$300)+COUNTIF('9月'!ED14:EE14,P$300)+COUNTIF('9月'!EI14:EJ14,P$300)+COUNTIF('9月'!EN14:EO14,P$300)+COUNTIF('9月'!ES14:ET14,P$300)+COUNTIF('9月'!D14:E14,"荻窪ー夜勤")+COUNTIF('9月'!I14:J14,"荻窪ー夜勤")+COUNTIF('9月'!N14:O14,"荻窪ー夜勤")+COUNTIF('9月'!S14:T14,"荻窪ー夜勤")+COUNTIF('9月'!X14:Y14,"荻窪ー夜勤")+COUNTIF('9月'!AC14:AD14,"荻窪ー夜勤")+COUNTIF('9月'!AH14:AI14,"荻窪ー夜勤")+COUNTIF('9月'!AM14:AN14,"荻窪ー夜勤")+COUNTIF('9月'!AR14:AS14,"荻窪ー夜勤")+COUNTIF('9月'!AW14:AX14,"荻窪ー夜勤")+COUNTIF('9月'!BB14:BC14,"荻窪ー夜勤")+COUNTIF('9月'!BG14:BH14,"荻窪ー夜勤")+COUNTIF('9月'!BL14:BM14,"荻窪ー夜勤")+COUNTIF('9月'!BQ14:BR14,"荻窪ー夜勤")+COUNTIF('9月'!BV14:BW14,"荻窪ー夜勤")+COUNTIF('9月'!CA14:CB14,"荻窪ー夜勤")+COUNTIF('9月'!CF14:CG14,"荻窪ー夜勤")+COUNTIF('9月'!CK14:CL14,"荻窪ー夜勤")+COUNTIF('9月'!CP14:CQ14,"荻窪ー夜勤")+COUNTIF('9月'!CU14:CV14,"荻窪ー夜勤")+COUNTIF('9月'!CZ14:DA14,"荻窪ー夜勤")+COUNTIF('9月'!DE14:DF14,"荻窪ー夜勤")+COUNTIF('9月'!DJ14:DK14,"荻窪ー夜勤")+COUNTIF('9月'!DO14:DP14,"荻窪ー夜勤")+COUNTIF('9月'!DT14:DU14,"荻窪ー夜勤")+COUNTIF('9月'!DY14:DZ14,"荻窪ー夜勤")+COUNTIF('9月'!ED14:EE14,"荻窪ー夜勤")+COUNTIF('9月'!EI14:EJ14,"荻窪ー夜勤")+COUNTIF('9月'!EN14:EO14,"荻窪ー夜勤")+COUNTIF('9月'!ES14:ET14,"荻窪ー夜勤")</f>
        <v>0</v>
      </c>
      <c r="Q312" s="76">
        <f t="shared" si="103"/>
        <v>0</v>
      </c>
      <c r="R312" s="76">
        <f>COUNTIF('9月'!D14:E14,R$300)+COUNTIF('9月'!I14:J14,R$300)+COUNTIF('9月'!N14:O14,R$300)+COUNTIF('9月'!S14:T14,R$300)+COUNTIF('9月'!X14:Y14,R$300)+COUNTIF('9月'!AC14:AD14,R$300)+COUNTIF('9月'!AH14:AI14,R$300)+COUNTIF('9月'!AM14:AN14,R$300)+COUNTIF('9月'!AR14:AS14,R$300)+COUNTIF('9月'!AW14:AX14,R$300)+COUNTIF('9月'!BB14:BC14,R$300)+COUNTIF('9月'!BG14:BH14,R$300)+COUNTIF('9月'!BL14:BM14,R$300)+COUNTIF('9月'!BQ14:BR14,R$300)+COUNTIF('9月'!BV14:BW14,R$300)+COUNTIF('9月'!CA14:CB14,R$300)+COUNTIF('9月'!CF14:CG14,R$300)+COUNTIF('9月'!CK14:CL14,R$300)+COUNTIF('9月'!CP14:CQ14,R$300)+COUNTIF('9月'!CU14:CV14,R$300)+COUNTIF('9月'!CZ14:DA14,R$300)+COUNTIF('9月'!DE14:DF14,R$300)+COUNTIF('9月'!DJ14:DK14,R$300)+COUNTIF('9月'!DO14:DP14,R$300)+COUNTIF('9月'!DT14:DU14,R$300)+COUNTIF('9月'!DY14:DZ14,R$300)+COUNTIF('9月'!ED14:EE14,R$300)+COUNTIF('9月'!EI14:EJ14,R$300)+COUNTIF('9月'!EN14:EO14,R$300)+COUNTIF('9月'!ES14:ET14,R$300)</f>
        <v>0</v>
      </c>
      <c r="S312" s="76">
        <f t="shared" si="104"/>
        <v>0</v>
      </c>
      <c r="T312" s="76">
        <f>COUNTIF('9月'!D14:E14,T$300)+COUNTIF('9月'!I14:J14,T$300)+COUNTIF('9月'!N14:O14,T$300)+COUNTIF('9月'!S14:T14,T$300)+COUNTIF('9月'!X14:Y14,T$300)+COUNTIF('9月'!AC14:AD14,T$300)+COUNTIF('9月'!AH14:AI14,T$300)+COUNTIF('9月'!AM14:AN14,T$300)+COUNTIF('9月'!AR14:AS14,T$300)+COUNTIF('9月'!AW14:AX14,T$300)+COUNTIF('9月'!BB14:BC14,T$300)+COUNTIF('9月'!BG14:BH14,T$300)+COUNTIF('9月'!BL14:BM14,T$300)+COUNTIF('9月'!BQ14:BR14,T$300)+COUNTIF('9月'!BV14:BW14,T$300)+COUNTIF('9月'!CA14:CB14,T$300)+COUNTIF('9月'!CF14:CG14,T$300)+COUNTIF('9月'!CK14:CL14,T$300)+COUNTIF('9月'!CP14:CQ14,T$300)+COUNTIF('9月'!CU14:CV14,T$300)+COUNTIF('9月'!CZ14:DA14,T$300)+COUNTIF('9月'!DE14:DF14,T$300)+COUNTIF('9月'!DJ14:DK14,T$300)+COUNTIF('9月'!DO14:DP14,T$300)+COUNTIF('9月'!DT14:DU14,T$300)+COUNTIF('9月'!DY14:DZ14,T$300)+COUNTIF('9月'!ED14:EE14,T$300)+COUNTIF('9月'!EI14:EJ14,T$300)+COUNTIF('9月'!EN14:EO14,T$300)+COUNTIF('9月'!ES14:ET14,T$300)</f>
        <v>0</v>
      </c>
      <c r="U312" s="76">
        <f t="shared" si="105"/>
        <v>0</v>
      </c>
      <c r="V312" s="76">
        <f>COUNTIF('9月'!D14:E14,V$300)+COUNTIF('9月'!I14:J14,V$300)+COUNTIF('9月'!N14:O14,V$300)+COUNTIF('9月'!S14:T14,V$300)+COUNTIF('9月'!X14:Y14,V$300)+COUNTIF('9月'!AC14:AD14,V$300)+COUNTIF('9月'!AH14:AI14,V$300)+COUNTIF('9月'!AM14:AN14,V$300)+COUNTIF('9月'!AR14:AS14,V$300)+COUNTIF('9月'!AW14:AX14,V$300)+COUNTIF('9月'!BB14:BC14,V$300)+COUNTIF('9月'!BG14:BH14,V$300)+COUNTIF('9月'!BL14:BM14,V$300)+COUNTIF('9月'!BQ14:BR14,V$300)+COUNTIF('9月'!BV14:BW14,V$300)+COUNTIF('9月'!CA14:CB14,V$300)+COUNTIF('9月'!CF14:CG14,V$300)+COUNTIF('9月'!CK14:CL14,V$300)+COUNTIF('9月'!CP14:CQ14,V$300)+COUNTIF('9月'!CU14:CV14,V$300)+COUNTIF('9月'!CZ14:DA14,V$300)+COUNTIF('9月'!DE14:DF14,V$300)+COUNTIF('9月'!DJ14:DK14,V$300)+COUNTIF('9月'!DO14:DP14,V$300)+COUNTIF('9月'!DT14:DU14,V$300)+COUNTIF('9月'!DY14:DZ14,V$300)+COUNTIF('9月'!ED14:EE14,V$300)+COUNTIF('9月'!EI14:EJ14,V$300)+COUNTIF('9月'!EN14:EO14,V$300)+COUNTIF('9月'!ES14:ET14,V$300)</f>
        <v>0</v>
      </c>
      <c r="W312" s="76">
        <f t="shared" si="106"/>
        <v>0</v>
      </c>
      <c r="X312" s="76">
        <f>COUNTIF('9月'!D14:E14,X$300)+COUNTIF('9月'!I14:J14,X$300)+COUNTIF('9月'!N14:O14,X$300)+COUNTIF('9月'!S14:T14,X$300)+COUNTIF('9月'!X14:Y14,X$300)+COUNTIF('9月'!AC14:AD14,X$300)+COUNTIF('9月'!AH14:AI14,X$300)+COUNTIF('9月'!AM14:AN14,X$300)+COUNTIF('9月'!AR14:AS14,X$300)+COUNTIF('9月'!AW14:AX14,X$300)+COUNTIF('9月'!BB14:BC14,X$300)+COUNTIF('9月'!BG14:BH14,X$300)+COUNTIF('9月'!BL14:BM14,X$300)+COUNTIF('9月'!BQ14:BR14,X$300)+COUNTIF('9月'!BV14:BW14,X$300)+COUNTIF('9月'!CA14:CB14,X$300)+COUNTIF('9月'!CF14:CG14,X$300)+COUNTIF('9月'!CK14:CL14,X$300)+COUNTIF('9月'!CP14:CQ14,X$300)+COUNTIF('9月'!CU14:CV14,X$300)+COUNTIF('9月'!CZ14:DA14,X$300)+COUNTIF('9月'!DE14:DF14,X$300)+COUNTIF('9月'!DJ14:DK14,X$300)+COUNTIF('9月'!DO14:DP14,X$300)+COUNTIF('9月'!DT14:DU14,X$300)+COUNTIF('9月'!DY14:DZ14,X$300)+COUNTIF('9月'!ED14:EE14,X$300)+COUNTIF('9月'!EI14:EJ14,X$300)+COUNTIF('9月'!EN14:EO14,X$300)+COUNTIF('9月'!ES14:ET14,X$300)</f>
        <v>0</v>
      </c>
      <c r="Y312" s="76">
        <f t="shared" si="107"/>
        <v>0</v>
      </c>
    </row>
    <row r="313" spans="1:25" ht="18" customHeight="1">
      <c r="A313" s="76">
        <v>12</v>
      </c>
      <c r="B313" s="76">
        <f>COUNTIF('9月'!D15:E15,B$300)+COUNTIF('9月'!I15:J15,B$300)+COUNTIF('9月'!N15:O15,B$300)+COUNTIF('9月'!S15:T15,B$300)+COUNTIF('9月'!X15:Y15,B$300)+COUNTIF('9月'!AC15:AD15,B$300)+COUNTIF('9月'!AH15:AI15,B$300)+COUNTIF('9月'!AM15:AN15,B$300)+COUNTIF('9月'!AR15:AS15,B$300)+COUNTIF('9月'!AW15:AX15,B$300)+COUNTIF('9月'!BB15:BC15,B$300)+COUNTIF('9月'!BG15:BH15,B$300)+COUNTIF('9月'!BL15:BM15,B$300)+COUNTIF('9月'!BQ15:BR15,B$300)+COUNTIF('9月'!BV15:BW15,B$300)+COUNTIF('9月'!CA15:CB15,B$300)+COUNTIF('9月'!CF15:CG15,B$300)+COUNTIF('9月'!CK15:CL15,B$300)+COUNTIF('9月'!CP15:CQ15,B$300)+COUNTIF('9月'!CU15:CV15,B$300)+COUNTIF('9月'!CZ15:DA15,B$300)+COUNTIF('9月'!DE15:DF15,B$300)+COUNTIF('9月'!DJ15:DK15,B$300)+COUNTIF('9月'!DO15:DP15,B$300)+COUNTIF('9月'!DT15:DU15,B$300)+COUNTIF('9月'!DY15:DZ15,B$300)+COUNTIF('9月'!ED15:EE15,B$300)+COUNTIF('9月'!EI15:EJ15,B$300)+COUNTIF('9月'!EN15:EO15,B$300)+COUNTIF('9月'!ES15:ET15,B$300)</f>
        <v>0</v>
      </c>
      <c r="C313" s="76">
        <f t="shared" si="96"/>
        <v>0</v>
      </c>
      <c r="D313" s="76">
        <f>COUNTIF('9月'!D15:E15,D$300)+COUNTIF('9月'!I15:J15,D$300)+COUNTIF('9月'!N15:O15,D$300)+COUNTIF('9月'!S15:T15,D$300)+COUNTIF('9月'!X15:Y15,D$300)+COUNTIF('9月'!AC15:AD15,D$300)+COUNTIF('9月'!AH15:AI15,D$300)+COUNTIF('9月'!AM15:AN15,D$300)+COUNTIF('9月'!AR15:AS15,D$300)+COUNTIF('9月'!AW15:AX15,D$300)+COUNTIF('9月'!BB15:BC15,D$300)+COUNTIF('9月'!BG15:BH15,D$300)+COUNTIF('9月'!BL15:BM15,D$300)+COUNTIF('9月'!BQ15:BR15,D$300)+COUNTIF('9月'!BV15:BW15,D$300)+COUNTIF('9月'!CA15:CB15,D$300)+COUNTIF('9月'!CF15:CG15,D$300)+COUNTIF('9月'!CK15:CL15,D$300)+COUNTIF('9月'!CP15:CQ15,D$300)+COUNTIF('9月'!CU15:CV15,D$300)+COUNTIF('9月'!CZ15:DA15,D$300)+COUNTIF('9月'!DE15:DF15,D$300)+COUNTIF('9月'!DJ15:DK15,D$300)+COUNTIF('9月'!DO15:DP15,D$300)+COUNTIF('9月'!DT15:DU15,D$300)+COUNTIF('9月'!DY15:DZ15,D$300)+COUNTIF('9月'!ED15:EE15,D$300)+COUNTIF('9月'!EI15:EJ15,D$300)+COUNTIF('9月'!EN15:EO15,D$300)+COUNTIF('9月'!ES15:ET15,D$300)</f>
        <v>0</v>
      </c>
      <c r="E313" s="76">
        <f t="shared" si="97"/>
        <v>0</v>
      </c>
      <c r="F313" s="76">
        <f>COUNTIF('9月'!D15:E15,F$300)+COUNTIF('9月'!I15:J15,F$300)+COUNTIF('9月'!N15:O15,F$300)+COUNTIF('9月'!S15:T15,F$300)+COUNTIF('9月'!X15:Y15,F$300)+COUNTIF('9月'!AC15:AD15,F$300)+COUNTIF('9月'!AH15:AI15,F$300)+COUNTIF('9月'!AM15:AN15,F$300)+COUNTIF('9月'!AR15:AS15,F$300)+COUNTIF('9月'!AW15:AX15,F$300)+COUNTIF('9月'!BB15:BC15,F$300)+COUNTIF('9月'!BG15:BH15,F$300)+COUNTIF('9月'!BL15:BM15,F$300)+COUNTIF('9月'!BQ15:BR15,F$300)+COUNTIF('9月'!BV15:BW15,F$300)+COUNTIF('9月'!CA15:CB15,F$300)+COUNTIF('9月'!CF15:CG15,F$300)+COUNTIF('9月'!CK15:CL15,F$300)+COUNTIF('9月'!CP15:CQ15,F$300)+COUNTIF('9月'!CU15:CV15,F$300)+COUNTIF('9月'!CZ15:DA15,F$300)+COUNTIF('9月'!DE15:DF15,F$300)+COUNTIF('9月'!DJ15:DK15,F$300)+COUNTIF('9月'!DO15:DP15,F$300)+COUNTIF('9月'!DT15:DU15,F$300)+COUNTIF('9月'!DY15:DZ15,F$300)+COUNTIF('9月'!ED15:EE15,F$300)+COUNTIF('9月'!EI15:EJ15,F$300)+COUNTIF('9月'!EN15:EO15,F$300)+COUNTIF('9月'!ES15:ET15,F$300)</f>
        <v>0</v>
      </c>
      <c r="G313" s="76">
        <f t="shared" si="98"/>
        <v>0</v>
      </c>
      <c r="H313" s="76">
        <f>COUNTIF('9月'!D15:E15,H$300)+COUNTIF('9月'!I15:J15,H$300)+COUNTIF('9月'!N15:O15,H$300)+COUNTIF('9月'!S15:T15,H$300)+COUNTIF('9月'!X15:Y15,H$300)+COUNTIF('9月'!AC15:AD15,H$300)+COUNTIF('9月'!AH15:AI15,H$300)+COUNTIF('9月'!AM15:AN15,H$300)+COUNTIF('9月'!AR15:AS15,H$300)+COUNTIF('9月'!AW15:AX15,H$300)+COUNTIF('9月'!BB15:BC15,H$300)+COUNTIF('9月'!BG15:BH15,H$300)+COUNTIF('9月'!BL15:BM15,H$300)+COUNTIF('9月'!BQ15:BR15,H$300)+COUNTIF('9月'!BV15:BW15,H$300)+COUNTIF('9月'!CA15:CB15,H$300)+COUNTIF('9月'!CF15:CG15,H$300)+COUNTIF('9月'!CK15:CL15,H$300)+COUNTIF('9月'!CP15:CQ15,H$300)+COUNTIF('9月'!CU15:CV15,H$300)+COUNTIF('9月'!CZ15:DA15,H$300)+COUNTIF('9月'!DE15:DF15,H$300)+COUNTIF('9月'!DJ15:DK15,H$300)+COUNTIF('9月'!DO15:DP15,H$300)+COUNTIF('9月'!DT15:DU15,H$300)+COUNTIF('9月'!DY15:DZ15,H$300)+COUNTIF('9月'!ED15:EE15,H$300)+COUNTIF('9月'!EI15:EJ15,H$300)+COUNTIF('9月'!EN15:EO15,H$300)+COUNTIF('9月'!ES15:ET15,H$300)+COUNTIF('9月'!D15:E15,"渋谷-夜勤")+COUNTIF('9月'!I15:J15,"渋谷-夜勤")+COUNTIF('9月'!N15:O15,"渋谷-夜勤")+COUNTIF('9月'!S15:T15,"渋谷-夜勤")+COUNTIF('9月'!X15:Y15,"渋谷-夜勤")+COUNTIF('9月'!AC15:AD15,"渋谷-夜勤")+COUNTIF('9月'!AH15:AI15,"渋谷-夜勤")+COUNTIF('9月'!AM15:AN15,"渋谷-夜勤")+COUNTIF('9月'!AR15:AS15,"渋谷-夜勤")+COUNTIF('9月'!AW15:AX15,"渋谷-夜勤")+COUNTIF('9月'!BB15:BC15,"渋谷-夜勤")+COUNTIF('9月'!BG15:BH15,"渋谷-夜勤")+COUNTIF('9月'!BL15:BM15,"渋谷-夜勤")+COUNTIF('9月'!BQ15:BR15,"渋谷-夜勤")+COUNTIF('9月'!BV15:BW15,"渋谷-夜勤")+COUNTIF('9月'!CA15:CB15,"渋谷-夜勤")+COUNTIF('9月'!CF15:CG15,"渋谷-夜勤")+COUNTIF('9月'!CK15:CL15,"渋谷-夜勤")+COUNTIF('9月'!CP15:CQ15,"渋谷-夜勤")+COUNTIF('9月'!CU15:CV15,"渋谷-夜勤")+COUNTIF('9月'!CZ15:DA15,"渋谷-夜勤")+COUNTIF('9月'!DE15:DF15,"渋谷-夜勤")+COUNTIF('9月'!DJ15:DK15,"渋谷-夜勤")+COUNTIF('9月'!DO15:DP15,"渋谷-夜勤")+COUNTIF('9月'!DT15:DU15,"渋谷-夜勤")+COUNTIF('9月'!DY15:DZ15,"渋谷-夜勤")+COUNTIF('9月'!ED15:EE15,"渋谷-夜勤")+COUNTIF('9月'!EI15:EJ15,"渋谷-夜勤")+COUNTIF('9月'!EN15:EO15,"渋谷-夜勤")+COUNTIF('9月'!ES15:ET15,"渋谷-夜勤")</f>
        <v>0</v>
      </c>
      <c r="I313" s="76">
        <f t="shared" si="99"/>
        <v>0</v>
      </c>
      <c r="J313" s="76">
        <f>COUNTIF('9月'!D15:E15,J$300)+COUNTIF('9月'!I15:J15,J$300)+COUNTIF('9月'!N15:O15,J$300)+COUNTIF('9月'!S15:T15,J$300)+COUNTIF('9月'!X15:Y15,J$300)+COUNTIF('9月'!AC15:AD15,J$300)+COUNTIF('9月'!AH15:AI15,J$300)+COUNTIF('9月'!AM15:AN15,J$300)+COUNTIF('9月'!AR15:AS15,J$300)+COUNTIF('9月'!AW15:AX15,J$300)+COUNTIF('9月'!BB15:BC15,J$300)+COUNTIF('9月'!BG15:BH15,J$300)+COUNTIF('9月'!BL15:BM15,J$300)+COUNTIF('9月'!BQ15:BR15,J$300)+COUNTIF('9月'!BV15:BW15,J$300)+COUNTIF('9月'!CA15:CB15,J$300)+COUNTIF('9月'!CF15:CG15,J$300)+COUNTIF('9月'!CK15:CL15,J$300)+COUNTIF('9月'!CP15:CQ15,J$300)+COUNTIF('9月'!CU15:CV15,J$300)+COUNTIF('9月'!CZ15:DA15,J$300)+COUNTIF('9月'!DE15:DF15,J$300)+COUNTIF('9月'!DJ15:DK15,J$300)+COUNTIF('9月'!DO15:DP15,J$300)+COUNTIF('9月'!DT15:DU15,J$300)+COUNTIF('9月'!DY15:DZ15,J$300)+COUNTIF('9月'!ED15:EE15,J$300)+COUNTIF('9月'!EI15:EJ15,J$300)+COUNTIF('9月'!EN15:EO15,J$300)+COUNTIF('9月'!ES15:ET15,J$300)+COUNTIF('9月'!D15:E15,"六本木-夜勤")+COUNTIF('9月'!I15:J15,"六本木-夜勤")+COUNTIF('9月'!N15:O15,"六本木-夜勤")+COUNTIF('9月'!S15:T15,"六本木-夜勤")+COUNTIF('9月'!X15:Y15,"六本木-夜勤")+COUNTIF('9月'!AC15:AD15,"六本木-夜勤")+COUNTIF('9月'!AH15:AI15,"六本木-夜勤")+COUNTIF('9月'!AM15:AN15,"六本木-夜勤")+COUNTIF('9月'!AR15:AS15,"六本木-夜勤")+COUNTIF('9月'!AW15:AX15,"六本木-夜勤")+COUNTIF('9月'!BB15:BC15,"六本木-夜勤")+COUNTIF('9月'!BG15:BH15,"六本木-夜勤")+COUNTIF('9月'!BL15:BM15,"六本木-夜勤")+COUNTIF('9月'!BQ15:BR15,"六本木-夜勤")+COUNTIF('9月'!BV15:BW15,"六本木-夜勤")+COUNTIF('9月'!CA15:CB15,"六本木-夜勤")+COUNTIF('9月'!CF15:CG15,"六本木-夜勤")+COUNTIF('9月'!CK15:CL15,"六本木-夜勤")+COUNTIF('9月'!CP15:CQ15,"六本木-夜勤")+COUNTIF('9月'!CU15:CV15,"六本木-夜勤")+COUNTIF('9月'!CZ15:DA15,"六本木-夜勤")+COUNTIF('9月'!DE15:DF15,"六本木-夜勤")+COUNTIF('9月'!DJ15:DK15,"六本木-夜勤")+COUNTIF('9月'!DO15:DP15,"六本木-夜勤")+COUNTIF('9月'!DT15:DU15,"六本木-夜勤")+COUNTIF('9月'!DY15:DZ15,"六本木-夜勤")+COUNTIF('9月'!ED15:EE15,"六本木-夜勤")+COUNTIF('9月'!EI15:EJ15,"六本木-夜勤")+COUNTIF('9月'!EN15:EO15,"六本木-夜勤")+COUNTIF('9月'!ES15:ET15,"六本木-夜勤")+COUNTIF('9月'!D15:E15,"六本木ー夜勤")+COUNTIF('9月'!I15:J15,"六本木ー夜勤")+COUNTIF('9月'!N15:O15,"六本木ー夜勤")+COUNTIF('9月'!S15:T15,"六本木ー夜勤")+COUNTIF('9月'!X15:Y15,"六本木ー夜勤")+COUNTIF('9月'!AC15:AD15,"六本木ー夜勤")+COUNTIF('9月'!AH15:AI15,"六本木ー夜勤")+COUNTIF('9月'!AM15:AN15,"六本木ー夜勤")+COUNTIF('9月'!AR15:AS15,"六本木ー夜勤")+COUNTIF('9月'!AW15:AX15,"六本木ー夜勤")+COUNTIF('9月'!BB15:BC15,"六本木ー夜勤")+COUNTIF('9月'!BG15:BH15,"六本木ー夜勤")+COUNTIF('9月'!BL15:BM15,"六本木ー夜勤")+COUNTIF('9月'!BQ15:BR15,"六本木ー夜勤")+COUNTIF('9月'!BV15:BW15,"六本木ー夜勤")+COUNTIF('9月'!CA15:CB15,"六本木ー夜勤")+COUNTIF('9月'!CF15:CG15,"六本木ー夜勤")+COUNTIF('9月'!CK15:CL15,"六本木ー夜勤")+COUNTIF('9月'!CP15:CQ15,"六本木ー夜勤")+COUNTIF('9月'!CU15:CV15,"六本木ー夜勤")+COUNTIF('9月'!CZ15:DA15,"六本木ー夜勤")+COUNTIF('9月'!DE15:DF15,"六本木ー夜勤")+COUNTIF('9月'!DJ15:DK15,"六本木ー夜勤")+COUNTIF('9月'!DO15:DP15,"六本木ー夜勤")+COUNTIF('9月'!DT15:DU15,"六本木ー夜勤")+COUNTIF('9月'!DY15:DZ15,"六本木ー夜勤")+COUNTIF('9月'!ED15:EE15,"六本木ー夜勤")+COUNTIF('9月'!EI15:EJ15,"六本木ー夜勤")+COUNTIF('9月'!EN15:EO15,"六本木ー夜勤")+COUNTIF('9月'!ES15:ET15,"六本木ー夜勤")</f>
        <v>0</v>
      </c>
      <c r="K313" s="76">
        <f t="shared" si="100"/>
        <v>0</v>
      </c>
      <c r="L313" s="76">
        <f>COUNTIF('9月'!D15:E15,L$300)+COUNTIF('9月'!I15:J15,L$300)+COUNTIF('9月'!N15:O15,L$300)+COUNTIF('9月'!S15:T15,L$300)+COUNTIF('9月'!X15:Y15,L$300)+COUNTIF('9月'!AC15:AD15,L$300)+COUNTIF('9月'!AH15:AI15,L$300)+COUNTIF('9月'!AM15:AN15,L$300)+COUNTIF('9月'!AR15:AS15,L$300)+COUNTIF('9月'!AW15:AX15,L$300)+COUNTIF('9月'!BB15:BC15,L$300)+COUNTIF('9月'!BG15:BH15,L$300)+COUNTIF('9月'!BL15:BM15,L$300)+COUNTIF('9月'!BQ15:BR15,L$300)+COUNTIF('9月'!BV15:BW15,L$300)+COUNTIF('9月'!CA15:CB15,L$300)+COUNTIF('9月'!CF15:CG15,L$300)+COUNTIF('9月'!CK15:CL15,L$300)+COUNTIF('9月'!CP15:CQ15,L$300)+COUNTIF('9月'!CU15:CV15,L$300)+COUNTIF('9月'!CZ15:DA15,L$300)+COUNTIF('9月'!DE15:DF15,L$300)+COUNTIF('9月'!DJ15:DK15,L$300)+COUNTIF('9月'!DO15:DP15,L$300)+COUNTIF('9月'!DT15:DU15,L$300)+COUNTIF('9月'!DY15:DZ15,L$300)+COUNTIF('9月'!ED15:EE15,L$300)+COUNTIF('9月'!EI15:EJ15,L$300)+COUNTIF('9月'!EN15:EO15,L$300)+COUNTIF('9月'!ES15:ET15,L$300)</f>
        <v>0</v>
      </c>
      <c r="M313" s="76">
        <f t="shared" si="101"/>
        <v>0</v>
      </c>
      <c r="N313" s="76">
        <f>COUNTIF('9月'!D15:E15,N$300)+COUNTIF('9月'!I15:J15,N$300)+COUNTIF('9月'!N15:O15,N$300)+COUNTIF('9月'!S15:T15,N$300)+COUNTIF('9月'!X15:Y15,N$300)+COUNTIF('9月'!AC15:AD15,N$300)+COUNTIF('9月'!AH15:AI15,N$300)+COUNTIF('9月'!AM15:AN15,N$300)+COUNTIF('9月'!AR15:AS15,N$300)+COUNTIF('9月'!AW15:AX15,N$300)+COUNTIF('9月'!BB15:BC15,N$300)+COUNTIF('9月'!BG15:BH15,N$300)+COUNTIF('9月'!BL15:BM15,N$300)+COUNTIF('9月'!BQ15:BR15,N$300)+COUNTIF('9月'!BV15:BW15,N$300)+COUNTIF('9月'!CA15:CB15,N$300)+COUNTIF('9月'!CF15:CG15,N$300)+COUNTIF('9月'!CK15:CL15,N$300)+COUNTIF('9月'!CP15:CQ15,N$300)+COUNTIF('9月'!CU15:CV15,N$300)+COUNTIF('9月'!CZ15:DA15,N$300)+COUNTIF('9月'!DE15:DF15,N$300)+COUNTIF('9月'!DJ15:DK15,N$300)+COUNTIF('9月'!DO15:DP15,N$300)+COUNTIF('9月'!DT15:DU15,N$300)+COUNTIF('9月'!DY15:DZ15,N$300)+COUNTIF('9月'!ED15:EE15,N$300)+COUNTIF('9月'!EI15:EJ15,N$300)+COUNTIF('9月'!EN15:EO15,N$300)+COUNTIF('9月'!ES15:ET15,N$300)+COUNTIF('9月'!D15:E15,"三軒茶屋－夜勤")+COUNTIF('9月'!I15:J15,"三軒茶屋－夜勤")+COUNTIF('9月'!N15:O15,"三軒茶屋－夜勤")+COUNTIF('9月'!S15:T15,"三軒茶屋－夜勤")+COUNTIF('9月'!X15:Y15,"三軒茶屋－夜勤")+COUNTIF('9月'!AC15:AD15,"三軒茶屋－夜勤")+COUNTIF('9月'!AH15:AI15,"三軒茶屋－夜勤")+COUNTIF('9月'!AM15:AN15,"三軒茶屋－夜勤")+COUNTIF('9月'!AR15:AS15,"三軒茶屋－夜勤")+COUNTIF('9月'!AW15:AX15,"三軒茶屋－夜勤")+COUNTIF('9月'!BB15:BC15,"三軒茶屋－夜勤")+COUNTIF('9月'!BG15:BH15,"三軒茶屋－夜勤")+COUNTIF('9月'!BL15:BM15,"三軒茶屋－夜勤")+COUNTIF('9月'!BQ15:BR15,"三軒茶屋－夜勤")+COUNTIF('9月'!BV15:BW15,"三軒茶屋－夜勤")+COUNTIF('9月'!CA15:CB15,"三軒茶屋－夜勤")+COUNTIF('9月'!CF15:CG15,"三軒茶屋－夜勤")+COUNTIF('9月'!CK15:CL15,"三軒茶屋－夜勤")+COUNTIF('9月'!CP15:CQ15,"三軒茶屋－夜勤")+COUNTIF('9月'!CU15:CV15,"三軒茶屋－夜勤")+COUNTIF('9月'!CZ15:DA15,"三軒茶屋－夜勤")+COUNTIF('9月'!DE15:DF15,"三軒茶屋－夜勤")+COUNTIF('9月'!DJ15:DK15,"三軒茶屋－夜勤")+COUNTIF('9月'!DO15:DP15,"三軒茶屋－夜勤")+COUNTIF('9月'!DT15:DU15,"三軒茶屋－夜勤")+COUNTIF('9月'!DY15:DZ15,"三軒茶屋－夜勤")+COUNTIF('9月'!ED15:EE15,"三軒茶屋－夜勤")+COUNTIF('9月'!EI15:EJ15,"三軒茶屋－夜勤")+COUNTIF('9月'!EN15:EO15,"三軒茶屋－夜勤")+COUNTIF('9月'!ES15:ET15,"三軒茶屋－夜勤")</f>
        <v>0</v>
      </c>
      <c r="O313" s="76">
        <f t="shared" si="102"/>
        <v>0</v>
      </c>
      <c r="P313" s="76">
        <f>COUNTIF('9月'!D15:E15,P$300)+COUNTIF('9月'!I15:J15,P$300)+COUNTIF('9月'!N15:O15,P$300)+COUNTIF('9月'!S15:T15,P$300)+COUNTIF('9月'!X15:Y15,P$300)+COUNTIF('9月'!AC15:AD15,P$300)+COUNTIF('9月'!AH15:AI15,P$300)+COUNTIF('9月'!AM15:AN15,P$300)+COUNTIF('9月'!AR15:AS15,P$300)+COUNTIF('9月'!AW15:AX15,P$300)+COUNTIF('9月'!BB15:BC15,P$300)+COUNTIF('9月'!BG15:BH15,P$300)+COUNTIF('9月'!BL15:BM15,P$300)+COUNTIF('9月'!BQ15:BR15,P$300)+COUNTIF('9月'!BV15:BW15,P$300)+COUNTIF('9月'!CA15:CB15,P$300)+COUNTIF('9月'!CF15:CG15,P$300)+COUNTIF('9月'!CK15:CL15,P$300)+COUNTIF('9月'!CP15:CQ15,P$300)+COUNTIF('9月'!CU15:CV15,P$300)+COUNTIF('9月'!CZ15:DA15,P$300)+COUNTIF('9月'!DE15:DF15,P$300)+COUNTIF('9月'!DJ15:DK15,P$300)+COUNTIF('9月'!DO15:DP15,P$300)+COUNTIF('9月'!DT15:DU15,P$300)+COUNTIF('9月'!DY15:DZ15,P$300)+COUNTIF('9月'!ED15:EE15,P$300)+COUNTIF('9月'!EI15:EJ15,P$300)+COUNTIF('9月'!EN15:EO15,P$300)+COUNTIF('9月'!ES15:ET15,P$300)+COUNTIF('9月'!D15:E15,"荻窪ー夜勤")+COUNTIF('9月'!I15:J15,"荻窪ー夜勤")+COUNTIF('9月'!N15:O15,"荻窪ー夜勤")+COUNTIF('9月'!S15:T15,"荻窪ー夜勤")+COUNTIF('9月'!X15:Y15,"荻窪ー夜勤")+COUNTIF('9月'!AC15:AD15,"荻窪ー夜勤")+COUNTIF('9月'!AH15:AI15,"荻窪ー夜勤")+COUNTIF('9月'!AM15:AN15,"荻窪ー夜勤")+COUNTIF('9月'!AR15:AS15,"荻窪ー夜勤")+COUNTIF('9月'!AW15:AX15,"荻窪ー夜勤")+COUNTIF('9月'!BB15:BC15,"荻窪ー夜勤")+COUNTIF('9月'!BG15:BH15,"荻窪ー夜勤")+COUNTIF('9月'!BL15:BM15,"荻窪ー夜勤")+COUNTIF('9月'!BQ15:BR15,"荻窪ー夜勤")+COUNTIF('9月'!BV15:BW15,"荻窪ー夜勤")+COUNTIF('9月'!CA15:CB15,"荻窪ー夜勤")+COUNTIF('9月'!CF15:CG15,"荻窪ー夜勤")+COUNTIF('9月'!CK15:CL15,"荻窪ー夜勤")+COUNTIF('9月'!CP15:CQ15,"荻窪ー夜勤")+COUNTIF('9月'!CU15:CV15,"荻窪ー夜勤")+COUNTIF('9月'!CZ15:DA15,"荻窪ー夜勤")+COUNTIF('9月'!DE15:DF15,"荻窪ー夜勤")+COUNTIF('9月'!DJ15:DK15,"荻窪ー夜勤")+COUNTIF('9月'!DO15:DP15,"荻窪ー夜勤")+COUNTIF('9月'!DT15:DU15,"荻窪ー夜勤")+COUNTIF('9月'!DY15:DZ15,"荻窪ー夜勤")+COUNTIF('9月'!ED15:EE15,"荻窪ー夜勤")+COUNTIF('9月'!EI15:EJ15,"荻窪ー夜勤")+COUNTIF('9月'!EN15:EO15,"荻窪ー夜勤")+COUNTIF('9月'!ES15:ET15,"荻窪ー夜勤")</f>
        <v>0</v>
      </c>
      <c r="Q313" s="76">
        <f t="shared" si="103"/>
        <v>0</v>
      </c>
      <c r="R313" s="76">
        <f>COUNTIF('9月'!D15:E15,R$300)+COUNTIF('9月'!I15:J15,R$300)+COUNTIF('9月'!N15:O15,R$300)+COUNTIF('9月'!S15:T15,R$300)+COUNTIF('9月'!X15:Y15,R$300)+COUNTIF('9月'!AC15:AD15,R$300)+COUNTIF('9月'!AH15:AI15,R$300)+COUNTIF('9月'!AM15:AN15,R$300)+COUNTIF('9月'!AR15:AS15,R$300)+COUNTIF('9月'!AW15:AX15,R$300)+COUNTIF('9月'!BB15:BC15,R$300)+COUNTIF('9月'!BG15:BH15,R$300)+COUNTIF('9月'!BL15:BM15,R$300)+COUNTIF('9月'!BQ15:BR15,R$300)+COUNTIF('9月'!BV15:BW15,R$300)+COUNTIF('9月'!CA15:CB15,R$300)+COUNTIF('9月'!CF15:CG15,R$300)+COUNTIF('9月'!CK15:CL15,R$300)+COUNTIF('9月'!CP15:CQ15,R$300)+COUNTIF('9月'!CU15:CV15,R$300)+COUNTIF('9月'!CZ15:DA15,R$300)+COUNTIF('9月'!DE15:DF15,R$300)+COUNTIF('9月'!DJ15:DK15,R$300)+COUNTIF('9月'!DO15:DP15,R$300)+COUNTIF('9月'!DT15:DU15,R$300)+COUNTIF('9月'!DY15:DZ15,R$300)+COUNTIF('9月'!ED15:EE15,R$300)+COUNTIF('9月'!EI15:EJ15,R$300)+COUNTIF('9月'!EN15:EO15,R$300)+COUNTIF('9月'!ES15:ET15,R$300)</f>
        <v>0</v>
      </c>
      <c r="S313" s="76">
        <f t="shared" si="104"/>
        <v>0</v>
      </c>
      <c r="T313" s="76">
        <f>COUNTIF('9月'!D15:E15,T$300)+COUNTIF('9月'!I15:J15,T$300)+COUNTIF('9月'!N15:O15,T$300)+COUNTIF('9月'!S15:T15,T$300)+COUNTIF('9月'!X15:Y15,T$300)+COUNTIF('9月'!AC15:AD15,T$300)+COUNTIF('9月'!AH15:AI15,T$300)+COUNTIF('9月'!AM15:AN15,T$300)+COUNTIF('9月'!AR15:AS15,T$300)+COUNTIF('9月'!AW15:AX15,T$300)+COUNTIF('9月'!BB15:BC15,T$300)+COUNTIF('9月'!BG15:BH15,T$300)+COUNTIF('9月'!BL15:BM15,T$300)+COUNTIF('9月'!BQ15:BR15,T$300)+COUNTIF('9月'!BV15:BW15,T$300)+COUNTIF('9月'!CA15:CB15,T$300)+COUNTIF('9月'!CF15:CG15,T$300)+COUNTIF('9月'!CK15:CL15,T$300)+COUNTIF('9月'!CP15:CQ15,T$300)+COUNTIF('9月'!CU15:CV15,T$300)+COUNTIF('9月'!CZ15:DA15,T$300)+COUNTIF('9月'!DE15:DF15,T$300)+COUNTIF('9月'!DJ15:DK15,T$300)+COUNTIF('9月'!DO15:DP15,T$300)+COUNTIF('9月'!DT15:DU15,T$300)+COUNTIF('9月'!DY15:DZ15,T$300)+COUNTIF('9月'!ED15:EE15,T$300)+COUNTIF('9月'!EI15:EJ15,T$300)+COUNTIF('9月'!EN15:EO15,T$300)+COUNTIF('9月'!ES15:ET15,T$300)</f>
        <v>0</v>
      </c>
      <c r="U313" s="76">
        <f t="shared" si="105"/>
        <v>0</v>
      </c>
      <c r="V313" s="76">
        <f>COUNTIF('9月'!D15:E15,V$300)+COUNTIF('9月'!I15:J15,V$300)+COUNTIF('9月'!N15:O15,V$300)+COUNTIF('9月'!S15:T15,V$300)+COUNTIF('9月'!X15:Y15,V$300)+COUNTIF('9月'!AC15:AD15,V$300)+COUNTIF('9月'!AH15:AI15,V$300)+COUNTIF('9月'!AM15:AN15,V$300)+COUNTIF('9月'!AR15:AS15,V$300)+COUNTIF('9月'!AW15:AX15,V$300)+COUNTIF('9月'!BB15:BC15,V$300)+COUNTIF('9月'!BG15:BH15,V$300)+COUNTIF('9月'!BL15:BM15,V$300)+COUNTIF('9月'!BQ15:BR15,V$300)+COUNTIF('9月'!BV15:BW15,V$300)+COUNTIF('9月'!CA15:CB15,V$300)+COUNTIF('9月'!CF15:CG15,V$300)+COUNTIF('9月'!CK15:CL15,V$300)+COUNTIF('9月'!CP15:CQ15,V$300)+COUNTIF('9月'!CU15:CV15,V$300)+COUNTIF('9月'!CZ15:DA15,V$300)+COUNTIF('9月'!DE15:DF15,V$300)+COUNTIF('9月'!DJ15:DK15,V$300)+COUNTIF('9月'!DO15:DP15,V$300)+COUNTIF('9月'!DT15:DU15,V$300)+COUNTIF('9月'!DY15:DZ15,V$300)+COUNTIF('9月'!ED15:EE15,V$300)+COUNTIF('9月'!EI15:EJ15,V$300)+COUNTIF('9月'!EN15:EO15,V$300)+COUNTIF('9月'!ES15:ET15,V$300)</f>
        <v>0</v>
      </c>
      <c r="W313" s="76">
        <f t="shared" si="106"/>
        <v>0</v>
      </c>
      <c r="X313" s="76">
        <f>COUNTIF('9月'!D15:E15,X$300)+COUNTIF('9月'!I15:J15,X$300)+COUNTIF('9月'!N15:O15,X$300)+COUNTIF('9月'!S15:T15,X$300)+COUNTIF('9月'!X15:Y15,X$300)+COUNTIF('9月'!AC15:AD15,X$300)+COUNTIF('9月'!AH15:AI15,X$300)+COUNTIF('9月'!AM15:AN15,X$300)+COUNTIF('9月'!AR15:AS15,X$300)+COUNTIF('9月'!AW15:AX15,X$300)+COUNTIF('9月'!BB15:BC15,X$300)+COUNTIF('9月'!BG15:BH15,X$300)+COUNTIF('9月'!BL15:BM15,X$300)+COUNTIF('9月'!BQ15:BR15,X$300)+COUNTIF('9月'!BV15:BW15,X$300)+COUNTIF('9月'!CA15:CB15,X$300)+COUNTIF('9月'!CF15:CG15,X$300)+COUNTIF('9月'!CK15:CL15,X$300)+COUNTIF('9月'!CP15:CQ15,X$300)+COUNTIF('9月'!CU15:CV15,X$300)+COUNTIF('9月'!CZ15:DA15,X$300)+COUNTIF('9月'!DE15:DF15,X$300)+COUNTIF('9月'!DJ15:DK15,X$300)+COUNTIF('9月'!DO15:DP15,X$300)+COUNTIF('9月'!DT15:DU15,X$300)+COUNTIF('9月'!DY15:DZ15,X$300)+COUNTIF('9月'!ED15:EE15,X$300)+COUNTIF('9月'!EI15:EJ15,X$300)+COUNTIF('9月'!EN15:EO15,X$300)+COUNTIF('9月'!ES15:ET15,X$300)</f>
        <v>0</v>
      </c>
      <c r="Y313" s="76">
        <f t="shared" si="107"/>
        <v>0</v>
      </c>
    </row>
    <row r="314" spans="1:25" ht="18" customHeight="1">
      <c r="A314" s="76">
        <v>13</v>
      </c>
      <c r="B314" s="76">
        <f>COUNTIF('9月'!D16:E16,B$300)+COUNTIF('9月'!I16:J16,B$300)+COUNTIF('9月'!N16:O16,B$300)+COUNTIF('9月'!S16:T16,B$300)+COUNTIF('9月'!X16:Y16,B$300)+COUNTIF('9月'!AC16:AD16,B$300)+COUNTIF('9月'!AH16:AI16,B$300)+COUNTIF('9月'!AM16:AN16,B$300)+COUNTIF('9月'!AR16:AS16,B$300)+COUNTIF('9月'!AW16:AX16,B$300)+COUNTIF('9月'!BB16:BC16,B$300)+COUNTIF('9月'!BG16:BH16,B$300)+COUNTIF('9月'!BL16:BM16,B$300)+COUNTIF('9月'!BQ16:BR16,B$300)+COUNTIF('9月'!BV16:BW16,B$300)+COUNTIF('9月'!CA16:CB16,B$300)+COUNTIF('9月'!CF16:CG16,B$300)+COUNTIF('9月'!CK16:CL16,B$300)+COUNTIF('9月'!CP16:CQ16,B$300)+COUNTIF('9月'!CU16:CV16,B$300)+COUNTIF('9月'!CZ16:DA16,B$300)+COUNTIF('9月'!DE16:DF16,B$300)+COUNTIF('9月'!DJ16:DK16,B$300)+COUNTIF('9月'!DO16:DP16,B$300)+COUNTIF('9月'!DT16:DU16,B$300)+COUNTIF('9月'!DY16:DZ16,B$300)+COUNTIF('9月'!ED16:EE16,B$300)+COUNTIF('9月'!EI16:EJ16,B$300)+COUNTIF('9月'!EN16:EO16,B$300)+COUNTIF('9月'!ES16:ET16,B$300)</f>
        <v>0</v>
      </c>
      <c r="C314" s="76">
        <f t="shared" si="96"/>
        <v>0</v>
      </c>
      <c r="D314" s="76">
        <f>COUNTIF('9月'!D16:E16,D$300)+COUNTIF('9月'!I16:J16,D$300)+COUNTIF('9月'!N16:O16,D$300)+COUNTIF('9月'!S16:T16,D$300)+COUNTIF('9月'!X16:Y16,D$300)+COUNTIF('9月'!AC16:AD16,D$300)+COUNTIF('9月'!AH16:AI16,D$300)+COUNTIF('9月'!AM16:AN16,D$300)+COUNTIF('9月'!AR16:AS16,D$300)+COUNTIF('9月'!AW16:AX16,D$300)+COUNTIF('9月'!BB16:BC16,D$300)+COUNTIF('9月'!BG16:BH16,D$300)+COUNTIF('9月'!BL16:BM16,D$300)+COUNTIF('9月'!BQ16:BR16,D$300)+COUNTIF('9月'!BV16:BW16,D$300)+COUNTIF('9月'!CA16:CB16,D$300)+COUNTIF('9月'!CF16:CG16,D$300)+COUNTIF('9月'!CK16:CL16,D$300)+COUNTIF('9月'!CP16:CQ16,D$300)+COUNTIF('9月'!CU16:CV16,D$300)+COUNTIF('9月'!CZ16:DA16,D$300)+COUNTIF('9月'!DE16:DF16,D$300)+COUNTIF('9月'!DJ16:DK16,D$300)+COUNTIF('9月'!DO16:DP16,D$300)+COUNTIF('9月'!DT16:DU16,D$300)+COUNTIF('9月'!DY16:DZ16,D$300)+COUNTIF('9月'!ED16:EE16,D$300)+COUNTIF('9月'!EI16:EJ16,D$300)+COUNTIF('9月'!EN16:EO16,D$300)+COUNTIF('9月'!ES16:ET16,D$300)</f>
        <v>0</v>
      </c>
      <c r="E314" s="76">
        <f t="shared" si="97"/>
        <v>0</v>
      </c>
      <c r="F314" s="76">
        <f>COUNTIF('9月'!D16:E16,F$300)+COUNTIF('9月'!I16:J16,F$300)+COUNTIF('9月'!N16:O16,F$300)+COUNTIF('9月'!S16:T16,F$300)+COUNTIF('9月'!X16:Y16,F$300)+COUNTIF('9月'!AC16:AD16,F$300)+COUNTIF('9月'!AH16:AI16,F$300)+COUNTIF('9月'!AM16:AN16,F$300)+COUNTIF('9月'!AR16:AS16,F$300)+COUNTIF('9月'!AW16:AX16,F$300)+COUNTIF('9月'!BB16:BC16,F$300)+COUNTIF('9月'!BG16:BH16,F$300)+COUNTIF('9月'!BL16:BM16,F$300)+COUNTIF('9月'!BQ16:BR16,F$300)+COUNTIF('9月'!BV16:BW16,F$300)+COUNTIF('9月'!CA16:CB16,F$300)+COUNTIF('9月'!CF16:CG16,F$300)+COUNTIF('9月'!CK16:CL16,F$300)+COUNTIF('9月'!CP16:CQ16,F$300)+COUNTIF('9月'!CU16:CV16,F$300)+COUNTIF('9月'!CZ16:DA16,F$300)+COUNTIF('9月'!DE16:DF16,F$300)+COUNTIF('9月'!DJ16:DK16,F$300)+COUNTIF('9月'!DO16:DP16,F$300)+COUNTIF('9月'!DT16:DU16,F$300)+COUNTIF('9月'!DY16:DZ16,F$300)+COUNTIF('9月'!ED16:EE16,F$300)+COUNTIF('9月'!EI16:EJ16,F$300)+COUNTIF('9月'!EN16:EO16,F$300)+COUNTIF('9月'!ES16:ET16,F$300)</f>
        <v>0</v>
      </c>
      <c r="G314" s="76">
        <f t="shared" si="98"/>
        <v>0</v>
      </c>
      <c r="H314" s="76">
        <f>COUNTIF('9月'!D16:E16,H$300)+COUNTIF('9月'!I16:J16,H$300)+COUNTIF('9月'!N16:O16,H$300)+COUNTIF('9月'!S16:T16,H$300)+COUNTIF('9月'!X16:Y16,H$300)+COUNTIF('9月'!AC16:AD16,H$300)+COUNTIF('9月'!AH16:AI16,H$300)+COUNTIF('9月'!AM16:AN16,H$300)+COUNTIF('9月'!AR16:AS16,H$300)+COUNTIF('9月'!AW16:AX16,H$300)+COUNTIF('9月'!BB16:BC16,H$300)+COUNTIF('9月'!BG16:BH16,H$300)+COUNTIF('9月'!BL16:BM16,H$300)+COUNTIF('9月'!BQ16:BR16,H$300)+COUNTIF('9月'!BV16:BW16,H$300)+COUNTIF('9月'!CA16:CB16,H$300)+COUNTIF('9月'!CF16:CG16,H$300)+COUNTIF('9月'!CK16:CL16,H$300)+COUNTIF('9月'!CP16:CQ16,H$300)+COUNTIF('9月'!CU16:CV16,H$300)+COUNTIF('9月'!CZ16:DA16,H$300)+COUNTIF('9月'!DE16:DF16,H$300)+COUNTIF('9月'!DJ16:DK16,H$300)+COUNTIF('9月'!DO16:DP16,H$300)+COUNTIF('9月'!DT16:DU16,H$300)+COUNTIF('9月'!DY16:DZ16,H$300)+COUNTIF('9月'!ED16:EE16,H$300)+COUNTIF('9月'!EI16:EJ16,H$300)+COUNTIF('9月'!EN16:EO16,H$300)+COUNTIF('9月'!ES16:ET16,H$300)+COUNTIF('9月'!D16:E16,"渋谷-夜勤")+COUNTIF('9月'!I16:J16,"渋谷-夜勤")+COUNTIF('9月'!N16:O16,"渋谷-夜勤")+COUNTIF('9月'!S16:T16,"渋谷-夜勤")+COUNTIF('9月'!X16:Y16,"渋谷-夜勤")+COUNTIF('9月'!AC16:AD16,"渋谷-夜勤")+COUNTIF('9月'!AH16:AI16,"渋谷-夜勤")+COUNTIF('9月'!AM16:AN16,"渋谷-夜勤")+COUNTIF('9月'!AR16:AS16,"渋谷-夜勤")+COUNTIF('9月'!AW16:AX16,"渋谷-夜勤")+COUNTIF('9月'!BB16:BC16,"渋谷-夜勤")+COUNTIF('9月'!BG16:BH16,"渋谷-夜勤")+COUNTIF('9月'!BL16:BM16,"渋谷-夜勤")+COUNTIF('9月'!BQ16:BR16,"渋谷-夜勤")+COUNTIF('9月'!BV16:BW16,"渋谷-夜勤")+COUNTIF('9月'!CA16:CB16,"渋谷-夜勤")+COUNTIF('9月'!CF16:CG16,"渋谷-夜勤")+COUNTIF('9月'!CK16:CL16,"渋谷-夜勤")+COUNTIF('9月'!CP16:CQ16,"渋谷-夜勤")+COUNTIF('9月'!CU16:CV16,"渋谷-夜勤")+COUNTIF('9月'!CZ16:DA16,"渋谷-夜勤")+COUNTIF('9月'!DE16:DF16,"渋谷-夜勤")+COUNTIF('9月'!DJ16:DK16,"渋谷-夜勤")+COUNTIF('9月'!DO16:DP16,"渋谷-夜勤")+COUNTIF('9月'!DT16:DU16,"渋谷-夜勤")+COUNTIF('9月'!DY16:DZ16,"渋谷-夜勤")+COUNTIF('9月'!ED16:EE16,"渋谷-夜勤")+COUNTIF('9月'!EI16:EJ16,"渋谷-夜勤")+COUNTIF('9月'!EN16:EO16,"渋谷-夜勤")+COUNTIF('9月'!ES16:ET16,"渋谷-夜勤")</f>
        <v>0</v>
      </c>
      <c r="I314" s="76">
        <f t="shared" si="99"/>
        <v>0</v>
      </c>
      <c r="J314" s="76">
        <f>COUNTIF('9月'!D16:E16,J$300)+COUNTIF('9月'!I16:J16,J$300)+COUNTIF('9月'!N16:O16,J$300)+COUNTIF('9月'!S16:T16,J$300)+COUNTIF('9月'!X16:Y16,J$300)+COUNTIF('9月'!AC16:AD16,J$300)+COUNTIF('9月'!AH16:AI16,J$300)+COUNTIF('9月'!AM16:AN16,J$300)+COUNTIF('9月'!AR16:AS16,J$300)+COUNTIF('9月'!AW16:AX16,J$300)+COUNTIF('9月'!BB16:BC16,J$300)+COUNTIF('9月'!BG16:BH16,J$300)+COUNTIF('9月'!BL16:BM16,J$300)+COUNTIF('9月'!BQ16:BR16,J$300)+COUNTIF('9月'!BV16:BW16,J$300)+COUNTIF('9月'!CA16:CB16,J$300)+COUNTIF('9月'!CF16:CG16,J$300)+COUNTIF('9月'!CK16:CL16,J$300)+COUNTIF('9月'!CP16:CQ16,J$300)+COUNTIF('9月'!CU16:CV16,J$300)+COUNTIF('9月'!CZ16:DA16,J$300)+COUNTIF('9月'!DE16:DF16,J$300)+COUNTIF('9月'!DJ16:DK16,J$300)+COUNTIF('9月'!DO16:DP16,J$300)+COUNTIF('9月'!DT16:DU16,J$300)+COUNTIF('9月'!DY16:DZ16,J$300)+COUNTIF('9月'!ED16:EE16,J$300)+COUNTIF('9月'!EI16:EJ16,J$300)+COUNTIF('9月'!EN16:EO16,J$300)+COUNTIF('9月'!ES16:ET16,J$300)+COUNTIF('9月'!D16:E16,"六本木-夜勤")+COUNTIF('9月'!I16:J16,"六本木-夜勤")+COUNTIF('9月'!N16:O16,"六本木-夜勤")+COUNTIF('9月'!S16:T16,"六本木-夜勤")+COUNTIF('9月'!X16:Y16,"六本木-夜勤")+COUNTIF('9月'!AC16:AD16,"六本木-夜勤")+COUNTIF('9月'!AH16:AI16,"六本木-夜勤")+COUNTIF('9月'!AM16:AN16,"六本木-夜勤")+COUNTIF('9月'!AR16:AS16,"六本木-夜勤")+COUNTIF('9月'!AW16:AX16,"六本木-夜勤")+COUNTIF('9月'!BB16:BC16,"六本木-夜勤")+COUNTIF('9月'!BG16:BH16,"六本木-夜勤")+COUNTIF('9月'!BL16:BM16,"六本木-夜勤")+COUNTIF('9月'!BQ16:BR16,"六本木-夜勤")+COUNTIF('9月'!BV16:BW16,"六本木-夜勤")+COUNTIF('9月'!CA16:CB16,"六本木-夜勤")+COUNTIF('9月'!CF16:CG16,"六本木-夜勤")+COUNTIF('9月'!CK16:CL16,"六本木-夜勤")+COUNTIF('9月'!CP16:CQ16,"六本木-夜勤")+COUNTIF('9月'!CU16:CV16,"六本木-夜勤")+COUNTIF('9月'!CZ16:DA16,"六本木-夜勤")+COUNTIF('9月'!DE16:DF16,"六本木-夜勤")+COUNTIF('9月'!DJ16:DK16,"六本木-夜勤")+COUNTIF('9月'!DO16:DP16,"六本木-夜勤")+COUNTIF('9月'!DT16:DU16,"六本木-夜勤")+COUNTIF('9月'!DY16:DZ16,"六本木-夜勤")+COUNTIF('9月'!ED16:EE16,"六本木-夜勤")+COUNTIF('9月'!EI16:EJ16,"六本木-夜勤")+COUNTIF('9月'!EN16:EO16,"六本木-夜勤")+COUNTIF('9月'!ES16:ET16,"六本木-夜勤")+COUNTIF('9月'!D16:E16,"六本木ー夜勤")+COUNTIF('9月'!I16:J16,"六本木ー夜勤")+COUNTIF('9月'!N16:O16,"六本木ー夜勤")+COUNTIF('9月'!S16:T16,"六本木ー夜勤")+COUNTIF('9月'!X16:Y16,"六本木ー夜勤")+COUNTIF('9月'!AC16:AD16,"六本木ー夜勤")+COUNTIF('9月'!AH16:AI16,"六本木ー夜勤")+COUNTIF('9月'!AM16:AN16,"六本木ー夜勤")+COUNTIF('9月'!AR16:AS16,"六本木ー夜勤")+COUNTIF('9月'!AW16:AX16,"六本木ー夜勤")+COUNTIF('9月'!BB16:BC16,"六本木ー夜勤")+COUNTIF('9月'!BG16:BH16,"六本木ー夜勤")+COUNTIF('9月'!BL16:BM16,"六本木ー夜勤")+COUNTIF('9月'!BQ16:BR16,"六本木ー夜勤")+COUNTIF('9月'!BV16:BW16,"六本木ー夜勤")+COUNTIF('9月'!CA16:CB16,"六本木ー夜勤")+COUNTIF('9月'!CF16:CG16,"六本木ー夜勤")+COUNTIF('9月'!CK16:CL16,"六本木ー夜勤")+COUNTIF('9月'!CP16:CQ16,"六本木ー夜勤")+COUNTIF('9月'!CU16:CV16,"六本木ー夜勤")+COUNTIF('9月'!CZ16:DA16,"六本木ー夜勤")+COUNTIF('9月'!DE16:DF16,"六本木ー夜勤")+COUNTIF('9月'!DJ16:DK16,"六本木ー夜勤")+COUNTIF('9月'!DO16:DP16,"六本木ー夜勤")+COUNTIF('9月'!DT16:DU16,"六本木ー夜勤")+COUNTIF('9月'!DY16:DZ16,"六本木ー夜勤")+COUNTIF('9月'!ED16:EE16,"六本木ー夜勤")+COUNTIF('9月'!EI16:EJ16,"六本木ー夜勤")+COUNTIF('9月'!EN16:EO16,"六本木ー夜勤")+COUNTIF('9月'!ES16:ET16,"六本木ー夜勤")</f>
        <v>0</v>
      </c>
      <c r="K314" s="76">
        <f t="shared" si="100"/>
        <v>0</v>
      </c>
      <c r="L314" s="76">
        <f>COUNTIF('9月'!D16:E16,L$300)+COUNTIF('9月'!I16:J16,L$300)+COUNTIF('9月'!N16:O16,L$300)+COUNTIF('9月'!S16:T16,L$300)+COUNTIF('9月'!X16:Y16,L$300)+COUNTIF('9月'!AC16:AD16,L$300)+COUNTIF('9月'!AH16:AI16,L$300)+COUNTIF('9月'!AM16:AN16,L$300)+COUNTIF('9月'!AR16:AS16,L$300)+COUNTIF('9月'!AW16:AX16,L$300)+COUNTIF('9月'!BB16:BC16,L$300)+COUNTIF('9月'!BG16:BH16,L$300)+COUNTIF('9月'!BL16:BM16,L$300)+COUNTIF('9月'!BQ16:BR16,L$300)+COUNTIF('9月'!BV16:BW16,L$300)+COUNTIF('9月'!CA16:CB16,L$300)+COUNTIF('9月'!CF16:CG16,L$300)+COUNTIF('9月'!CK16:CL16,L$300)+COUNTIF('9月'!CP16:CQ16,L$300)+COUNTIF('9月'!CU16:CV16,L$300)+COUNTIF('9月'!CZ16:DA16,L$300)+COUNTIF('9月'!DE16:DF16,L$300)+COUNTIF('9月'!DJ16:DK16,L$300)+COUNTIF('9月'!DO16:DP16,L$300)+COUNTIF('9月'!DT16:DU16,L$300)+COUNTIF('9月'!DY16:DZ16,L$300)+COUNTIF('9月'!ED16:EE16,L$300)+COUNTIF('9月'!EI16:EJ16,L$300)+COUNTIF('9月'!EN16:EO16,L$300)+COUNTIF('9月'!ES16:ET16,L$300)</f>
        <v>0</v>
      </c>
      <c r="M314" s="76">
        <f t="shared" si="101"/>
        <v>0</v>
      </c>
      <c r="N314" s="76">
        <f>COUNTIF('9月'!D16:E16,N$300)+COUNTIF('9月'!I16:J16,N$300)+COUNTIF('9月'!N16:O16,N$300)+COUNTIF('9月'!S16:T16,N$300)+COUNTIF('9月'!X16:Y16,N$300)+COUNTIF('9月'!AC16:AD16,N$300)+COUNTIF('9月'!AH16:AI16,N$300)+COUNTIF('9月'!AM16:AN16,N$300)+COUNTIF('9月'!AR16:AS16,N$300)+COUNTIF('9月'!AW16:AX16,N$300)+COUNTIF('9月'!BB16:BC16,N$300)+COUNTIF('9月'!BG16:BH16,N$300)+COUNTIF('9月'!BL16:BM16,N$300)+COUNTIF('9月'!BQ16:BR16,N$300)+COUNTIF('9月'!BV16:BW16,N$300)+COUNTIF('9月'!CA16:CB16,N$300)+COUNTIF('9月'!CF16:CG16,N$300)+COUNTIF('9月'!CK16:CL16,N$300)+COUNTIF('9月'!CP16:CQ16,N$300)+COUNTIF('9月'!CU16:CV16,N$300)+COUNTIF('9月'!CZ16:DA16,N$300)+COUNTIF('9月'!DE16:DF16,N$300)+COUNTIF('9月'!DJ16:DK16,N$300)+COUNTIF('9月'!DO16:DP16,N$300)+COUNTIF('9月'!DT16:DU16,N$300)+COUNTIF('9月'!DY16:DZ16,N$300)+COUNTIF('9月'!ED16:EE16,N$300)+COUNTIF('9月'!EI16:EJ16,N$300)+COUNTIF('9月'!EN16:EO16,N$300)+COUNTIF('9月'!ES16:ET16,N$300)+COUNTIF('9月'!D16:E16,"三軒茶屋－夜勤")+COUNTIF('9月'!I16:J16,"三軒茶屋－夜勤")+COUNTIF('9月'!N16:O16,"三軒茶屋－夜勤")+COUNTIF('9月'!S16:T16,"三軒茶屋－夜勤")+COUNTIF('9月'!X16:Y16,"三軒茶屋－夜勤")+COUNTIF('9月'!AC16:AD16,"三軒茶屋－夜勤")+COUNTIF('9月'!AH16:AI16,"三軒茶屋－夜勤")+COUNTIF('9月'!AM16:AN16,"三軒茶屋－夜勤")+COUNTIF('9月'!AR16:AS16,"三軒茶屋－夜勤")+COUNTIF('9月'!AW16:AX16,"三軒茶屋－夜勤")+COUNTIF('9月'!BB16:BC16,"三軒茶屋－夜勤")+COUNTIF('9月'!BG16:BH16,"三軒茶屋－夜勤")+COUNTIF('9月'!BL16:BM16,"三軒茶屋－夜勤")+COUNTIF('9月'!BQ16:BR16,"三軒茶屋－夜勤")+COUNTIF('9月'!BV16:BW16,"三軒茶屋－夜勤")+COUNTIF('9月'!CA16:CB16,"三軒茶屋－夜勤")+COUNTIF('9月'!CF16:CG16,"三軒茶屋－夜勤")+COUNTIF('9月'!CK16:CL16,"三軒茶屋－夜勤")+COUNTIF('9月'!CP16:CQ16,"三軒茶屋－夜勤")+COUNTIF('9月'!CU16:CV16,"三軒茶屋－夜勤")+COUNTIF('9月'!CZ16:DA16,"三軒茶屋－夜勤")+COUNTIF('9月'!DE16:DF16,"三軒茶屋－夜勤")+COUNTIF('9月'!DJ16:DK16,"三軒茶屋－夜勤")+COUNTIF('9月'!DO16:DP16,"三軒茶屋－夜勤")+COUNTIF('9月'!DT16:DU16,"三軒茶屋－夜勤")+COUNTIF('9月'!DY16:DZ16,"三軒茶屋－夜勤")+COUNTIF('9月'!ED16:EE16,"三軒茶屋－夜勤")+COUNTIF('9月'!EI16:EJ16,"三軒茶屋－夜勤")+COUNTIF('9月'!EN16:EO16,"三軒茶屋－夜勤")+COUNTIF('9月'!ES16:ET16,"三軒茶屋－夜勤")</f>
        <v>0</v>
      </c>
      <c r="O314" s="76">
        <f t="shared" si="102"/>
        <v>0</v>
      </c>
      <c r="P314" s="76">
        <f>COUNTIF('9月'!D16:E16,P$300)+COUNTIF('9月'!I16:J16,P$300)+COUNTIF('9月'!N16:O16,P$300)+COUNTIF('9月'!S16:T16,P$300)+COUNTIF('9月'!X16:Y16,P$300)+COUNTIF('9月'!AC16:AD16,P$300)+COUNTIF('9月'!AH16:AI16,P$300)+COUNTIF('9月'!AM16:AN16,P$300)+COUNTIF('9月'!AR16:AS16,P$300)+COUNTIF('9月'!AW16:AX16,P$300)+COUNTIF('9月'!BB16:BC16,P$300)+COUNTIF('9月'!BG16:BH16,P$300)+COUNTIF('9月'!BL16:BM16,P$300)+COUNTIF('9月'!BQ16:BR16,P$300)+COUNTIF('9月'!BV16:BW16,P$300)+COUNTIF('9月'!CA16:CB16,P$300)+COUNTIF('9月'!CF16:CG16,P$300)+COUNTIF('9月'!CK16:CL16,P$300)+COUNTIF('9月'!CP16:CQ16,P$300)+COUNTIF('9月'!CU16:CV16,P$300)+COUNTIF('9月'!CZ16:DA16,P$300)+COUNTIF('9月'!DE16:DF16,P$300)+COUNTIF('9月'!DJ16:DK16,P$300)+COUNTIF('9月'!DO16:DP16,P$300)+COUNTIF('9月'!DT16:DU16,P$300)+COUNTIF('9月'!DY16:DZ16,P$300)+COUNTIF('9月'!ED16:EE16,P$300)+COUNTIF('9月'!EI16:EJ16,P$300)+COUNTIF('9月'!EN16:EO16,P$300)+COUNTIF('9月'!ES16:ET16,P$300)+COUNTIF('9月'!D16:E16,"荻窪ー夜勤")+COUNTIF('9月'!I16:J16,"荻窪ー夜勤")+COUNTIF('9月'!N16:O16,"荻窪ー夜勤")+COUNTIF('9月'!S16:T16,"荻窪ー夜勤")+COUNTIF('9月'!X16:Y16,"荻窪ー夜勤")+COUNTIF('9月'!AC16:AD16,"荻窪ー夜勤")+COUNTIF('9月'!AH16:AI16,"荻窪ー夜勤")+COUNTIF('9月'!AM16:AN16,"荻窪ー夜勤")+COUNTIF('9月'!AR16:AS16,"荻窪ー夜勤")+COUNTIF('9月'!AW16:AX16,"荻窪ー夜勤")+COUNTIF('9月'!BB16:BC16,"荻窪ー夜勤")+COUNTIF('9月'!BG16:BH16,"荻窪ー夜勤")+COUNTIF('9月'!BL16:BM16,"荻窪ー夜勤")+COUNTIF('9月'!BQ16:BR16,"荻窪ー夜勤")+COUNTIF('9月'!BV16:BW16,"荻窪ー夜勤")+COUNTIF('9月'!CA16:CB16,"荻窪ー夜勤")+COUNTIF('9月'!CF16:CG16,"荻窪ー夜勤")+COUNTIF('9月'!CK16:CL16,"荻窪ー夜勤")+COUNTIF('9月'!CP16:CQ16,"荻窪ー夜勤")+COUNTIF('9月'!CU16:CV16,"荻窪ー夜勤")+COUNTIF('9月'!CZ16:DA16,"荻窪ー夜勤")+COUNTIF('9月'!DE16:DF16,"荻窪ー夜勤")+COUNTIF('9月'!DJ16:DK16,"荻窪ー夜勤")+COUNTIF('9月'!DO16:DP16,"荻窪ー夜勤")+COUNTIF('9月'!DT16:DU16,"荻窪ー夜勤")+COUNTIF('9月'!DY16:DZ16,"荻窪ー夜勤")+COUNTIF('9月'!ED16:EE16,"荻窪ー夜勤")+COUNTIF('9月'!EI16:EJ16,"荻窪ー夜勤")+COUNTIF('9月'!EN16:EO16,"荻窪ー夜勤")+COUNTIF('9月'!ES16:ET16,"荻窪ー夜勤")</f>
        <v>0</v>
      </c>
      <c r="Q314" s="76">
        <f t="shared" si="103"/>
        <v>0</v>
      </c>
      <c r="R314" s="76">
        <f>COUNTIF('9月'!D16:E16,R$300)+COUNTIF('9月'!I16:J16,R$300)+COUNTIF('9月'!N16:O16,R$300)+COUNTIF('9月'!S16:T16,R$300)+COUNTIF('9月'!X16:Y16,R$300)+COUNTIF('9月'!AC16:AD16,R$300)+COUNTIF('9月'!AH16:AI16,R$300)+COUNTIF('9月'!AM16:AN16,R$300)+COUNTIF('9月'!AR16:AS16,R$300)+COUNTIF('9月'!AW16:AX16,R$300)+COUNTIF('9月'!BB16:BC16,R$300)+COUNTIF('9月'!BG16:BH16,R$300)+COUNTIF('9月'!BL16:BM16,R$300)+COUNTIF('9月'!BQ16:BR16,R$300)+COUNTIF('9月'!BV16:BW16,R$300)+COUNTIF('9月'!CA16:CB16,R$300)+COUNTIF('9月'!CF16:CG16,R$300)+COUNTIF('9月'!CK16:CL16,R$300)+COUNTIF('9月'!CP16:CQ16,R$300)+COUNTIF('9月'!CU16:CV16,R$300)+COUNTIF('9月'!CZ16:DA16,R$300)+COUNTIF('9月'!DE16:DF16,R$300)+COUNTIF('9月'!DJ16:DK16,R$300)+COUNTIF('9月'!DO16:DP16,R$300)+COUNTIF('9月'!DT16:DU16,R$300)+COUNTIF('9月'!DY16:DZ16,R$300)+COUNTIF('9月'!ED16:EE16,R$300)+COUNTIF('9月'!EI16:EJ16,R$300)+COUNTIF('9月'!EN16:EO16,R$300)+COUNTIF('9月'!ES16:ET16,R$300)</f>
        <v>0</v>
      </c>
      <c r="S314" s="76">
        <f t="shared" si="104"/>
        <v>0</v>
      </c>
      <c r="T314" s="76">
        <f>COUNTIF('9月'!D16:E16,T$300)+COUNTIF('9月'!I16:J16,T$300)+COUNTIF('9月'!N16:O16,T$300)+COUNTIF('9月'!S16:T16,T$300)+COUNTIF('9月'!X16:Y16,T$300)+COUNTIF('9月'!AC16:AD16,T$300)+COUNTIF('9月'!AH16:AI16,T$300)+COUNTIF('9月'!AM16:AN16,T$300)+COUNTIF('9月'!AR16:AS16,T$300)+COUNTIF('9月'!AW16:AX16,T$300)+COUNTIF('9月'!BB16:BC16,T$300)+COUNTIF('9月'!BG16:BH16,T$300)+COUNTIF('9月'!BL16:BM16,T$300)+COUNTIF('9月'!BQ16:BR16,T$300)+COUNTIF('9月'!BV16:BW16,T$300)+COUNTIF('9月'!CA16:CB16,T$300)+COUNTIF('9月'!CF16:CG16,T$300)+COUNTIF('9月'!CK16:CL16,T$300)+COUNTIF('9月'!CP16:CQ16,T$300)+COUNTIF('9月'!CU16:CV16,T$300)+COUNTIF('9月'!CZ16:DA16,T$300)+COUNTIF('9月'!DE16:DF16,T$300)+COUNTIF('9月'!DJ16:DK16,T$300)+COUNTIF('9月'!DO16:DP16,T$300)+COUNTIF('9月'!DT16:DU16,T$300)+COUNTIF('9月'!DY16:DZ16,T$300)+COUNTIF('9月'!ED16:EE16,T$300)+COUNTIF('9月'!EI16:EJ16,T$300)+COUNTIF('9月'!EN16:EO16,T$300)+COUNTIF('9月'!ES16:ET16,T$300)</f>
        <v>0</v>
      </c>
      <c r="U314" s="76">
        <f t="shared" si="105"/>
        <v>0</v>
      </c>
      <c r="V314" s="76">
        <f>COUNTIF('9月'!D16:E16,V$300)+COUNTIF('9月'!I16:J16,V$300)+COUNTIF('9月'!N16:O16,V$300)+COUNTIF('9月'!S16:T16,V$300)+COUNTIF('9月'!X16:Y16,V$300)+COUNTIF('9月'!AC16:AD16,V$300)+COUNTIF('9月'!AH16:AI16,V$300)+COUNTIF('9月'!AM16:AN16,V$300)+COUNTIF('9月'!AR16:AS16,V$300)+COUNTIF('9月'!AW16:AX16,V$300)+COUNTIF('9月'!BB16:BC16,V$300)+COUNTIF('9月'!BG16:BH16,V$300)+COUNTIF('9月'!BL16:BM16,V$300)+COUNTIF('9月'!BQ16:BR16,V$300)+COUNTIF('9月'!BV16:BW16,V$300)+COUNTIF('9月'!CA16:CB16,V$300)+COUNTIF('9月'!CF16:CG16,V$300)+COUNTIF('9月'!CK16:CL16,V$300)+COUNTIF('9月'!CP16:CQ16,V$300)+COUNTIF('9月'!CU16:CV16,V$300)+COUNTIF('9月'!CZ16:DA16,V$300)+COUNTIF('9月'!DE16:DF16,V$300)+COUNTIF('9月'!DJ16:DK16,V$300)+COUNTIF('9月'!DO16:DP16,V$300)+COUNTIF('9月'!DT16:DU16,V$300)+COUNTIF('9月'!DY16:DZ16,V$300)+COUNTIF('9月'!ED16:EE16,V$300)+COUNTIF('9月'!EI16:EJ16,V$300)+COUNTIF('9月'!EN16:EO16,V$300)+COUNTIF('9月'!ES16:ET16,V$300)</f>
        <v>0</v>
      </c>
      <c r="W314" s="76">
        <f t="shared" si="106"/>
        <v>0</v>
      </c>
      <c r="X314" s="76">
        <f>COUNTIF('9月'!D16:E16,X$300)+COUNTIF('9月'!I16:J16,X$300)+COUNTIF('9月'!N16:O16,X$300)+COUNTIF('9月'!S16:T16,X$300)+COUNTIF('9月'!X16:Y16,X$300)+COUNTIF('9月'!AC16:AD16,X$300)+COUNTIF('9月'!AH16:AI16,X$300)+COUNTIF('9月'!AM16:AN16,X$300)+COUNTIF('9月'!AR16:AS16,X$300)+COUNTIF('9月'!AW16:AX16,X$300)+COUNTIF('9月'!BB16:BC16,X$300)+COUNTIF('9月'!BG16:BH16,X$300)+COUNTIF('9月'!BL16:BM16,X$300)+COUNTIF('9月'!BQ16:BR16,X$300)+COUNTIF('9月'!BV16:BW16,X$300)+COUNTIF('9月'!CA16:CB16,X$300)+COUNTIF('9月'!CF16:CG16,X$300)+COUNTIF('9月'!CK16:CL16,X$300)+COUNTIF('9月'!CP16:CQ16,X$300)+COUNTIF('9月'!CU16:CV16,X$300)+COUNTIF('9月'!CZ16:DA16,X$300)+COUNTIF('9月'!DE16:DF16,X$300)+COUNTIF('9月'!DJ16:DK16,X$300)+COUNTIF('9月'!DO16:DP16,X$300)+COUNTIF('9月'!DT16:DU16,X$300)+COUNTIF('9月'!DY16:DZ16,X$300)+COUNTIF('9月'!ED16:EE16,X$300)+COUNTIF('9月'!EI16:EJ16,X$300)+COUNTIF('9月'!EN16:EO16,X$300)+COUNTIF('9月'!ES16:ET16,X$300)</f>
        <v>0</v>
      </c>
      <c r="Y314" s="76">
        <f t="shared" si="107"/>
        <v>0</v>
      </c>
    </row>
    <row r="315" spans="1:25" ht="18" customHeight="1">
      <c r="A315" s="76">
        <v>14</v>
      </c>
      <c r="B315" s="76">
        <f>COUNTIF('9月'!D17:E17,B$300)+COUNTIF('9月'!I17:J17,B$300)+COUNTIF('9月'!N17:O17,B$300)+COUNTIF('9月'!S17:T17,B$300)+COUNTIF('9月'!X17:Y17,B$300)+COUNTIF('9月'!AC17:AD17,B$300)+COUNTIF('9月'!AH17:AI17,B$300)+COUNTIF('9月'!AM17:AN17,B$300)+COUNTIF('9月'!AR17:AS17,B$300)+COUNTIF('9月'!AW17:AX17,B$300)+COUNTIF('9月'!BB17:BC17,B$300)+COUNTIF('9月'!BG17:BH17,B$300)+COUNTIF('9月'!BL17:BM17,B$300)+COUNTIF('9月'!BQ17:BR17,B$300)+COUNTIF('9月'!BV17:BW17,B$300)+COUNTIF('9月'!CA17:CB17,B$300)+COUNTIF('9月'!CF17:CG17,B$300)+COUNTIF('9月'!CK17:CL17,B$300)+COUNTIF('9月'!CP17:CQ17,B$300)+COUNTIF('9月'!CU17:CV17,B$300)+COUNTIF('9月'!CZ17:DA17,B$300)+COUNTIF('9月'!DE17:DF17,B$300)+COUNTIF('9月'!DJ17:DK17,B$300)+COUNTIF('9月'!DO17:DP17,B$300)+COUNTIF('9月'!DT17:DU17,B$300)+COUNTIF('9月'!DY17:DZ17,B$300)+COUNTIF('9月'!ED17:EE17,B$300)+COUNTIF('9月'!EI17:EJ17,B$300)+COUNTIF('9月'!EN17:EO17,B$300)+COUNTIF('9月'!ES17:ET17,B$300)</f>
        <v>0</v>
      </c>
      <c r="C315" s="76">
        <f t="shared" si="96"/>
        <v>0</v>
      </c>
      <c r="D315" s="76">
        <f>COUNTIF('9月'!D17:E17,D$300)+COUNTIF('9月'!I17:J17,D$300)+COUNTIF('9月'!N17:O17,D$300)+COUNTIF('9月'!S17:T17,D$300)+COUNTIF('9月'!X17:Y17,D$300)+COUNTIF('9月'!AC17:AD17,D$300)+COUNTIF('9月'!AH17:AI17,D$300)+COUNTIF('9月'!AM17:AN17,D$300)+COUNTIF('9月'!AR17:AS17,D$300)+COUNTIF('9月'!AW17:AX17,D$300)+COUNTIF('9月'!BB17:BC17,D$300)+COUNTIF('9月'!BG17:BH17,D$300)+COUNTIF('9月'!BL17:BM17,D$300)+COUNTIF('9月'!BQ17:BR17,D$300)+COUNTIF('9月'!BV17:BW17,D$300)+COUNTIF('9月'!CA17:CB17,D$300)+COUNTIF('9月'!CF17:CG17,D$300)+COUNTIF('9月'!CK17:CL17,D$300)+COUNTIF('9月'!CP17:CQ17,D$300)+COUNTIF('9月'!CU17:CV17,D$300)+COUNTIF('9月'!CZ17:DA17,D$300)+COUNTIF('9月'!DE17:DF17,D$300)+COUNTIF('9月'!DJ17:DK17,D$300)+COUNTIF('9月'!DO17:DP17,D$300)+COUNTIF('9月'!DT17:DU17,D$300)+COUNTIF('9月'!DY17:DZ17,D$300)+COUNTIF('9月'!ED17:EE17,D$300)+COUNTIF('9月'!EI17:EJ17,D$300)+COUNTIF('9月'!EN17:EO17,D$300)+COUNTIF('9月'!ES17:ET17,D$300)</f>
        <v>0</v>
      </c>
      <c r="E315" s="76">
        <f t="shared" si="97"/>
        <v>0</v>
      </c>
      <c r="F315" s="76">
        <f>COUNTIF('9月'!D17:E17,F$300)+COUNTIF('9月'!I17:J17,F$300)+COUNTIF('9月'!N17:O17,F$300)+COUNTIF('9月'!S17:T17,F$300)+COUNTIF('9月'!X17:Y17,F$300)+COUNTIF('9月'!AC17:AD17,F$300)+COUNTIF('9月'!AH17:AI17,F$300)+COUNTIF('9月'!AM17:AN17,F$300)+COUNTIF('9月'!AR17:AS17,F$300)+COUNTIF('9月'!AW17:AX17,F$300)+COUNTIF('9月'!BB17:BC17,F$300)+COUNTIF('9月'!BG17:BH17,F$300)+COUNTIF('9月'!BL17:BM17,F$300)+COUNTIF('9月'!BQ17:BR17,F$300)+COUNTIF('9月'!BV17:BW17,F$300)+COUNTIF('9月'!CA17:CB17,F$300)+COUNTIF('9月'!CF17:CG17,F$300)+COUNTIF('9月'!CK17:CL17,F$300)+COUNTIF('9月'!CP17:CQ17,F$300)+COUNTIF('9月'!CU17:CV17,F$300)+COUNTIF('9月'!CZ17:DA17,F$300)+COUNTIF('9月'!DE17:DF17,F$300)+COUNTIF('9月'!DJ17:DK17,F$300)+COUNTIF('9月'!DO17:DP17,F$300)+COUNTIF('9月'!DT17:DU17,F$300)+COUNTIF('9月'!DY17:DZ17,F$300)+COUNTIF('9月'!ED17:EE17,F$300)+COUNTIF('9月'!EI17:EJ17,F$300)+COUNTIF('9月'!EN17:EO17,F$300)+COUNTIF('9月'!ES17:ET17,F$300)</f>
        <v>0</v>
      </c>
      <c r="G315" s="76">
        <f t="shared" si="98"/>
        <v>0</v>
      </c>
      <c r="H315" s="76">
        <f>COUNTIF('9月'!D17:E17,H$300)+COUNTIF('9月'!I17:J17,H$300)+COUNTIF('9月'!N17:O17,H$300)+COUNTIF('9月'!S17:T17,H$300)+COUNTIF('9月'!X17:Y17,H$300)+COUNTIF('9月'!AC17:AD17,H$300)+COUNTIF('9月'!AH17:AI17,H$300)+COUNTIF('9月'!AM17:AN17,H$300)+COUNTIF('9月'!AR17:AS17,H$300)+COUNTIF('9月'!AW17:AX17,H$300)+COUNTIF('9月'!BB17:BC17,H$300)+COUNTIF('9月'!BG17:BH17,H$300)+COUNTIF('9月'!BL17:BM17,H$300)+COUNTIF('9月'!BQ17:BR17,H$300)+COUNTIF('9月'!BV17:BW17,H$300)+COUNTIF('9月'!CA17:CB17,H$300)+COUNTIF('9月'!CF17:CG17,H$300)+COUNTIF('9月'!CK17:CL17,H$300)+COUNTIF('9月'!CP17:CQ17,H$300)+COUNTIF('9月'!CU17:CV17,H$300)+COUNTIF('9月'!CZ17:DA17,H$300)+COUNTIF('9月'!DE17:DF17,H$300)+COUNTIF('9月'!DJ17:DK17,H$300)+COUNTIF('9月'!DO17:DP17,H$300)+COUNTIF('9月'!DT17:DU17,H$300)+COUNTIF('9月'!DY17:DZ17,H$300)+COUNTIF('9月'!ED17:EE17,H$300)+COUNTIF('9月'!EI17:EJ17,H$300)+COUNTIF('9月'!EN17:EO17,H$300)+COUNTIF('9月'!ES17:ET17,H$300)+COUNTIF('9月'!D17:E17,"渋谷-夜勤")+COUNTIF('9月'!I17:J17,"渋谷-夜勤")+COUNTIF('9月'!N17:O17,"渋谷-夜勤")+COUNTIF('9月'!S17:T17,"渋谷-夜勤")+COUNTIF('9月'!X17:Y17,"渋谷-夜勤")+COUNTIF('9月'!AC17:AD17,"渋谷-夜勤")+COUNTIF('9月'!AH17:AI17,"渋谷-夜勤")+COUNTIF('9月'!AM17:AN17,"渋谷-夜勤")+COUNTIF('9月'!AR17:AS17,"渋谷-夜勤")+COUNTIF('9月'!AW17:AX17,"渋谷-夜勤")+COUNTIF('9月'!BB17:BC17,"渋谷-夜勤")+COUNTIF('9月'!BG17:BH17,"渋谷-夜勤")+COUNTIF('9月'!BL17:BM17,"渋谷-夜勤")+COUNTIF('9月'!BQ17:BR17,"渋谷-夜勤")+COUNTIF('9月'!BV17:BW17,"渋谷-夜勤")+COUNTIF('9月'!CA17:CB17,"渋谷-夜勤")+COUNTIF('9月'!CF17:CG17,"渋谷-夜勤")+COUNTIF('9月'!CK17:CL17,"渋谷-夜勤")+COUNTIF('9月'!CP17:CQ17,"渋谷-夜勤")+COUNTIF('9月'!CU17:CV17,"渋谷-夜勤")+COUNTIF('9月'!CZ17:DA17,"渋谷-夜勤")+COUNTIF('9月'!DE17:DF17,"渋谷-夜勤")+COUNTIF('9月'!DJ17:DK17,"渋谷-夜勤")+COUNTIF('9月'!DO17:DP17,"渋谷-夜勤")+COUNTIF('9月'!DT17:DU17,"渋谷-夜勤")+COUNTIF('9月'!DY17:DZ17,"渋谷-夜勤")+COUNTIF('9月'!ED17:EE17,"渋谷-夜勤")+COUNTIF('9月'!EI17:EJ17,"渋谷-夜勤")+COUNTIF('9月'!EN17:EO17,"渋谷-夜勤")+COUNTIF('9月'!ES17:ET17,"渋谷-夜勤")</f>
        <v>0</v>
      </c>
      <c r="I315" s="76">
        <f t="shared" si="99"/>
        <v>0</v>
      </c>
      <c r="J315" s="76">
        <f>COUNTIF('9月'!D17:E17,J$300)+COUNTIF('9月'!I17:J17,J$300)+COUNTIF('9月'!N17:O17,J$300)+COUNTIF('9月'!S17:T17,J$300)+COUNTIF('9月'!X17:Y17,J$300)+COUNTIF('9月'!AC17:AD17,J$300)+COUNTIF('9月'!AH17:AI17,J$300)+COUNTIF('9月'!AM17:AN17,J$300)+COUNTIF('9月'!AR17:AS17,J$300)+COUNTIF('9月'!AW17:AX17,J$300)+COUNTIF('9月'!BB17:BC17,J$300)+COUNTIF('9月'!BG17:BH17,J$300)+COUNTIF('9月'!BL17:BM17,J$300)+COUNTIF('9月'!BQ17:BR17,J$300)+COUNTIF('9月'!BV17:BW17,J$300)+COUNTIF('9月'!CA17:CB17,J$300)+COUNTIF('9月'!CF17:CG17,J$300)+COUNTIF('9月'!CK17:CL17,J$300)+COUNTIF('9月'!CP17:CQ17,J$300)+COUNTIF('9月'!CU17:CV17,J$300)+COUNTIF('9月'!CZ17:DA17,J$300)+COUNTIF('9月'!DE17:DF17,J$300)+COUNTIF('9月'!DJ17:DK17,J$300)+COUNTIF('9月'!DO17:DP17,J$300)+COUNTIF('9月'!DT17:DU17,J$300)+COUNTIF('9月'!DY17:DZ17,J$300)+COUNTIF('9月'!ED17:EE17,J$300)+COUNTIF('9月'!EI17:EJ17,J$300)+COUNTIF('9月'!EN17:EO17,J$300)+COUNTIF('9月'!ES17:ET17,J$300)+COUNTIF('9月'!D17:E17,"六本木-夜勤")+COUNTIF('9月'!I17:J17,"六本木-夜勤")+COUNTIF('9月'!N17:O17,"六本木-夜勤")+COUNTIF('9月'!S17:T17,"六本木-夜勤")+COUNTIF('9月'!X17:Y17,"六本木-夜勤")+COUNTIF('9月'!AC17:AD17,"六本木-夜勤")+COUNTIF('9月'!AH17:AI17,"六本木-夜勤")+COUNTIF('9月'!AM17:AN17,"六本木-夜勤")+COUNTIF('9月'!AR17:AS17,"六本木-夜勤")+COUNTIF('9月'!AW17:AX17,"六本木-夜勤")+COUNTIF('9月'!BB17:BC17,"六本木-夜勤")+COUNTIF('9月'!BG17:BH17,"六本木-夜勤")+COUNTIF('9月'!BL17:BM17,"六本木-夜勤")+COUNTIF('9月'!BQ17:BR17,"六本木-夜勤")+COUNTIF('9月'!BV17:BW17,"六本木-夜勤")+COUNTIF('9月'!CA17:CB17,"六本木-夜勤")+COUNTIF('9月'!CF17:CG17,"六本木-夜勤")+COUNTIF('9月'!CK17:CL17,"六本木-夜勤")+COUNTIF('9月'!CP17:CQ17,"六本木-夜勤")+COUNTIF('9月'!CU17:CV17,"六本木-夜勤")+COUNTIF('9月'!CZ17:DA17,"六本木-夜勤")+COUNTIF('9月'!DE17:DF17,"六本木-夜勤")+COUNTIF('9月'!DJ17:DK17,"六本木-夜勤")+COUNTIF('9月'!DO17:DP17,"六本木-夜勤")+COUNTIF('9月'!DT17:DU17,"六本木-夜勤")+COUNTIF('9月'!DY17:DZ17,"六本木-夜勤")+COUNTIF('9月'!ED17:EE17,"六本木-夜勤")+COUNTIF('9月'!EI17:EJ17,"六本木-夜勤")+COUNTIF('9月'!EN17:EO17,"六本木-夜勤")+COUNTIF('9月'!ES17:ET17,"六本木-夜勤")+COUNTIF('9月'!D17:E17,"六本木ー夜勤")+COUNTIF('9月'!I17:J17,"六本木ー夜勤")+COUNTIF('9月'!N17:O17,"六本木ー夜勤")+COUNTIF('9月'!S17:T17,"六本木ー夜勤")+COUNTIF('9月'!X17:Y17,"六本木ー夜勤")+COUNTIF('9月'!AC17:AD17,"六本木ー夜勤")+COUNTIF('9月'!AH17:AI17,"六本木ー夜勤")+COUNTIF('9月'!AM17:AN17,"六本木ー夜勤")+COUNTIF('9月'!AR17:AS17,"六本木ー夜勤")+COUNTIF('9月'!AW17:AX17,"六本木ー夜勤")+COUNTIF('9月'!BB17:BC17,"六本木ー夜勤")+COUNTIF('9月'!BG17:BH17,"六本木ー夜勤")+COUNTIF('9月'!BL17:BM17,"六本木ー夜勤")+COUNTIF('9月'!BQ17:BR17,"六本木ー夜勤")+COUNTIF('9月'!BV17:BW17,"六本木ー夜勤")+COUNTIF('9月'!CA17:CB17,"六本木ー夜勤")+COUNTIF('9月'!CF17:CG17,"六本木ー夜勤")+COUNTIF('9月'!CK17:CL17,"六本木ー夜勤")+COUNTIF('9月'!CP17:CQ17,"六本木ー夜勤")+COUNTIF('9月'!CU17:CV17,"六本木ー夜勤")+COUNTIF('9月'!CZ17:DA17,"六本木ー夜勤")+COUNTIF('9月'!DE17:DF17,"六本木ー夜勤")+COUNTIF('9月'!DJ17:DK17,"六本木ー夜勤")+COUNTIF('9月'!DO17:DP17,"六本木ー夜勤")+COUNTIF('9月'!DT17:DU17,"六本木ー夜勤")+COUNTIF('9月'!DY17:DZ17,"六本木ー夜勤")+COUNTIF('9月'!ED17:EE17,"六本木ー夜勤")+COUNTIF('9月'!EI17:EJ17,"六本木ー夜勤")+COUNTIF('9月'!EN17:EO17,"六本木ー夜勤")+COUNTIF('9月'!ES17:ET17,"六本木ー夜勤")</f>
        <v>0</v>
      </c>
      <c r="K315" s="76">
        <f t="shared" si="100"/>
        <v>0</v>
      </c>
      <c r="L315" s="76">
        <f>COUNTIF('9月'!D17:E17,L$300)+COUNTIF('9月'!I17:J17,L$300)+COUNTIF('9月'!N17:O17,L$300)+COUNTIF('9月'!S17:T17,L$300)+COUNTIF('9月'!X17:Y17,L$300)+COUNTIF('9月'!AC17:AD17,L$300)+COUNTIF('9月'!AH17:AI17,L$300)+COUNTIF('9月'!AM17:AN17,L$300)+COUNTIF('9月'!AR17:AS17,L$300)+COUNTIF('9月'!AW17:AX17,L$300)+COUNTIF('9月'!BB17:BC17,L$300)+COUNTIF('9月'!BG17:BH17,L$300)+COUNTIF('9月'!BL17:BM17,L$300)+COUNTIF('9月'!BQ17:BR17,L$300)+COUNTIF('9月'!BV17:BW17,L$300)+COUNTIF('9月'!CA17:CB17,L$300)+COUNTIF('9月'!CF17:CG17,L$300)+COUNTIF('9月'!CK17:CL17,L$300)+COUNTIF('9月'!CP17:CQ17,L$300)+COUNTIF('9月'!CU17:CV17,L$300)+COUNTIF('9月'!CZ17:DA17,L$300)+COUNTIF('9月'!DE17:DF17,L$300)+COUNTIF('9月'!DJ17:DK17,L$300)+COUNTIF('9月'!DO17:DP17,L$300)+COUNTIF('9月'!DT17:DU17,L$300)+COUNTIF('9月'!DY17:DZ17,L$300)+COUNTIF('9月'!ED17:EE17,L$300)+COUNTIF('9月'!EI17:EJ17,L$300)+COUNTIF('9月'!EN17:EO17,L$300)+COUNTIF('9月'!ES17:ET17,L$300)</f>
        <v>0</v>
      </c>
      <c r="M315" s="76">
        <f t="shared" si="101"/>
        <v>0</v>
      </c>
      <c r="N315" s="76">
        <f>COUNTIF('9月'!D17:E17,N$300)+COUNTIF('9月'!I17:J17,N$300)+COUNTIF('9月'!N17:O17,N$300)+COUNTIF('9月'!S17:T17,N$300)+COUNTIF('9月'!X17:Y17,N$300)+COUNTIF('9月'!AC17:AD17,N$300)+COUNTIF('9月'!AH17:AI17,N$300)+COUNTIF('9月'!AM17:AN17,N$300)+COUNTIF('9月'!AR17:AS17,N$300)+COUNTIF('9月'!AW17:AX17,N$300)+COUNTIF('9月'!BB17:BC17,N$300)+COUNTIF('9月'!BG17:BH17,N$300)+COUNTIF('9月'!BL17:BM17,N$300)+COUNTIF('9月'!BQ17:BR17,N$300)+COUNTIF('9月'!BV17:BW17,N$300)+COUNTIF('9月'!CA17:CB17,N$300)+COUNTIF('9月'!CF17:CG17,N$300)+COUNTIF('9月'!CK17:CL17,N$300)+COUNTIF('9月'!CP17:CQ17,N$300)+COUNTIF('9月'!CU17:CV17,N$300)+COUNTIF('9月'!CZ17:DA17,N$300)+COUNTIF('9月'!DE17:DF17,N$300)+COUNTIF('9月'!DJ17:DK17,N$300)+COUNTIF('9月'!DO17:DP17,N$300)+COUNTIF('9月'!DT17:DU17,N$300)+COUNTIF('9月'!DY17:DZ17,N$300)+COUNTIF('9月'!ED17:EE17,N$300)+COUNTIF('9月'!EI17:EJ17,N$300)+COUNTIF('9月'!EN17:EO17,N$300)+COUNTIF('9月'!ES17:ET17,N$300)+COUNTIF('9月'!D17:E17,"三軒茶屋－夜勤")+COUNTIF('9月'!I17:J17,"三軒茶屋－夜勤")+COUNTIF('9月'!N17:O17,"三軒茶屋－夜勤")+COUNTIF('9月'!S17:T17,"三軒茶屋－夜勤")+COUNTIF('9月'!X17:Y17,"三軒茶屋－夜勤")+COUNTIF('9月'!AC17:AD17,"三軒茶屋－夜勤")+COUNTIF('9月'!AH17:AI17,"三軒茶屋－夜勤")+COUNTIF('9月'!AM17:AN17,"三軒茶屋－夜勤")+COUNTIF('9月'!AR17:AS17,"三軒茶屋－夜勤")+COUNTIF('9月'!AW17:AX17,"三軒茶屋－夜勤")+COUNTIF('9月'!BB17:BC17,"三軒茶屋－夜勤")+COUNTIF('9月'!BG17:BH17,"三軒茶屋－夜勤")+COUNTIF('9月'!BL17:BM17,"三軒茶屋－夜勤")+COUNTIF('9月'!BQ17:BR17,"三軒茶屋－夜勤")+COUNTIF('9月'!BV17:BW17,"三軒茶屋－夜勤")+COUNTIF('9月'!CA17:CB17,"三軒茶屋－夜勤")+COUNTIF('9月'!CF17:CG17,"三軒茶屋－夜勤")+COUNTIF('9月'!CK17:CL17,"三軒茶屋－夜勤")+COUNTIF('9月'!CP17:CQ17,"三軒茶屋－夜勤")+COUNTIF('9月'!CU17:CV17,"三軒茶屋－夜勤")+COUNTIF('9月'!CZ17:DA17,"三軒茶屋－夜勤")+COUNTIF('9月'!DE17:DF17,"三軒茶屋－夜勤")+COUNTIF('9月'!DJ17:DK17,"三軒茶屋－夜勤")+COUNTIF('9月'!DO17:DP17,"三軒茶屋－夜勤")+COUNTIF('9月'!DT17:DU17,"三軒茶屋－夜勤")+COUNTIF('9月'!DY17:DZ17,"三軒茶屋－夜勤")+COUNTIF('9月'!ED17:EE17,"三軒茶屋－夜勤")+COUNTIF('9月'!EI17:EJ17,"三軒茶屋－夜勤")+COUNTIF('9月'!EN17:EO17,"三軒茶屋－夜勤")+COUNTIF('9月'!ES17:ET17,"三軒茶屋－夜勤")</f>
        <v>0</v>
      </c>
      <c r="O315" s="76">
        <f t="shared" si="102"/>
        <v>0</v>
      </c>
      <c r="P315" s="76">
        <f>COUNTIF('9月'!D17:E17,P$300)+COUNTIF('9月'!I17:J17,P$300)+COUNTIF('9月'!N17:O17,P$300)+COUNTIF('9月'!S17:T17,P$300)+COUNTIF('9月'!X17:Y17,P$300)+COUNTIF('9月'!AC17:AD17,P$300)+COUNTIF('9月'!AH17:AI17,P$300)+COUNTIF('9月'!AM17:AN17,P$300)+COUNTIF('9月'!AR17:AS17,P$300)+COUNTIF('9月'!AW17:AX17,P$300)+COUNTIF('9月'!BB17:BC17,P$300)+COUNTIF('9月'!BG17:BH17,P$300)+COUNTIF('9月'!BL17:BM17,P$300)+COUNTIF('9月'!BQ17:BR17,P$300)+COUNTIF('9月'!BV17:BW17,P$300)+COUNTIF('9月'!CA17:CB17,P$300)+COUNTIF('9月'!CF17:CG17,P$300)+COUNTIF('9月'!CK17:CL17,P$300)+COUNTIF('9月'!CP17:CQ17,P$300)+COUNTIF('9月'!CU17:CV17,P$300)+COUNTIF('9月'!CZ17:DA17,P$300)+COUNTIF('9月'!DE17:DF17,P$300)+COUNTIF('9月'!DJ17:DK17,P$300)+COUNTIF('9月'!DO17:DP17,P$300)+COUNTIF('9月'!DT17:DU17,P$300)+COUNTIF('9月'!DY17:DZ17,P$300)+COUNTIF('9月'!ED17:EE17,P$300)+COUNTIF('9月'!EI17:EJ17,P$300)+COUNTIF('9月'!EN17:EO17,P$300)+COUNTIF('9月'!ES17:ET17,P$300)+COUNTIF('9月'!D17:E17,"荻窪ー夜勤")+COUNTIF('9月'!I17:J17,"荻窪ー夜勤")+COUNTIF('9月'!N17:O17,"荻窪ー夜勤")+COUNTIF('9月'!S17:T17,"荻窪ー夜勤")+COUNTIF('9月'!X17:Y17,"荻窪ー夜勤")+COUNTIF('9月'!AC17:AD17,"荻窪ー夜勤")+COUNTIF('9月'!AH17:AI17,"荻窪ー夜勤")+COUNTIF('9月'!AM17:AN17,"荻窪ー夜勤")+COUNTIF('9月'!AR17:AS17,"荻窪ー夜勤")+COUNTIF('9月'!AW17:AX17,"荻窪ー夜勤")+COUNTIF('9月'!BB17:BC17,"荻窪ー夜勤")+COUNTIF('9月'!BG17:BH17,"荻窪ー夜勤")+COUNTIF('9月'!BL17:BM17,"荻窪ー夜勤")+COUNTIF('9月'!BQ17:BR17,"荻窪ー夜勤")+COUNTIF('9月'!BV17:BW17,"荻窪ー夜勤")+COUNTIF('9月'!CA17:CB17,"荻窪ー夜勤")+COUNTIF('9月'!CF17:CG17,"荻窪ー夜勤")+COUNTIF('9月'!CK17:CL17,"荻窪ー夜勤")+COUNTIF('9月'!CP17:CQ17,"荻窪ー夜勤")+COUNTIF('9月'!CU17:CV17,"荻窪ー夜勤")+COUNTIF('9月'!CZ17:DA17,"荻窪ー夜勤")+COUNTIF('9月'!DE17:DF17,"荻窪ー夜勤")+COUNTIF('9月'!DJ17:DK17,"荻窪ー夜勤")+COUNTIF('9月'!DO17:DP17,"荻窪ー夜勤")+COUNTIF('9月'!DT17:DU17,"荻窪ー夜勤")+COUNTIF('9月'!DY17:DZ17,"荻窪ー夜勤")+COUNTIF('9月'!ED17:EE17,"荻窪ー夜勤")+COUNTIF('9月'!EI17:EJ17,"荻窪ー夜勤")+COUNTIF('9月'!EN17:EO17,"荻窪ー夜勤")+COUNTIF('9月'!ES17:ET17,"荻窪ー夜勤")</f>
        <v>0</v>
      </c>
      <c r="Q315" s="76">
        <f t="shared" si="103"/>
        <v>0</v>
      </c>
      <c r="R315" s="76">
        <f>COUNTIF('9月'!D17:E17,R$300)+COUNTIF('9月'!I17:J17,R$300)+COUNTIF('9月'!N17:O17,R$300)+COUNTIF('9月'!S17:T17,R$300)+COUNTIF('9月'!X17:Y17,R$300)+COUNTIF('9月'!AC17:AD17,R$300)+COUNTIF('9月'!AH17:AI17,R$300)+COUNTIF('9月'!AM17:AN17,R$300)+COUNTIF('9月'!AR17:AS17,R$300)+COUNTIF('9月'!AW17:AX17,R$300)+COUNTIF('9月'!BB17:BC17,R$300)+COUNTIF('9月'!BG17:BH17,R$300)+COUNTIF('9月'!BL17:BM17,R$300)+COUNTIF('9月'!BQ17:BR17,R$300)+COUNTIF('9月'!BV17:BW17,R$300)+COUNTIF('9月'!CA17:CB17,R$300)+COUNTIF('9月'!CF17:CG17,R$300)+COUNTIF('9月'!CK17:CL17,R$300)+COUNTIF('9月'!CP17:CQ17,R$300)+COUNTIF('9月'!CU17:CV17,R$300)+COUNTIF('9月'!CZ17:DA17,R$300)+COUNTIF('9月'!DE17:DF17,R$300)+COUNTIF('9月'!DJ17:DK17,R$300)+COUNTIF('9月'!DO17:DP17,R$300)+COUNTIF('9月'!DT17:DU17,R$300)+COUNTIF('9月'!DY17:DZ17,R$300)+COUNTIF('9月'!ED17:EE17,R$300)+COUNTIF('9月'!EI17:EJ17,R$300)+COUNTIF('9月'!EN17:EO17,R$300)+COUNTIF('9月'!ES17:ET17,R$300)</f>
        <v>0</v>
      </c>
      <c r="S315" s="76">
        <f t="shared" si="104"/>
        <v>0</v>
      </c>
      <c r="T315" s="76">
        <f>COUNTIF('9月'!D17:E17,T$300)+COUNTIF('9月'!I17:J17,T$300)+COUNTIF('9月'!N17:O17,T$300)+COUNTIF('9月'!S17:T17,T$300)+COUNTIF('9月'!X17:Y17,T$300)+COUNTIF('9月'!AC17:AD17,T$300)+COUNTIF('9月'!AH17:AI17,T$300)+COUNTIF('9月'!AM17:AN17,T$300)+COUNTIF('9月'!AR17:AS17,T$300)+COUNTIF('9月'!AW17:AX17,T$300)+COUNTIF('9月'!BB17:BC17,T$300)+COUNTIF('9月'!BG17:BH17,T$300)+COUNTIF('9月'!BL17:BM17,T$300)+COUNTIF('9月'!BQ17:BR17,T$300)+COUNTIF('9月'!BV17:BW17,T$300)+COUNTIF('9月'!CA17:CB17,T$300)+COUNTIF('9月'!CF17:CG17,T$300)+COUNTIF('9月'!CK17:CL17,T$300)+COUNTIF('9月'!CP17:CQ17,T$300)+COUNTIF('9月'!CU17:CV17,T$300)+COUNTIF('9月'!CZ17:DA17,T$300)+COUNTIF('9月'!DE17:DF17,T$300)+COUNTIF('9月'!DJ17:DK17,T$300)+COUNTIF('9月'!DO17:DP17,T$300)+COUNTIF('9月'!DT17:DU17,T$300)+COUNTIF('9月'!DY17:DZ17,T$300)+COUNTIF('9月'!ED17:EE17,T$300)+COUNTIF('9月'!EI17:EJ17,T$300)+COUNTIF('9月'!EN17:EO17,T$300)+COUNTIF('9月'!ES17:ET17,T$300)</f>
        <v>0</v>
      </c>
      <c r="U315" s="76">
        <f t="shared" si="105"/>
        <v>0</v>
      </c>
      <c r="V315" s="76">
        <f>COUNTIF('9月'!D17:E17,V$300)+COUNTIF('9月'!I17:J17,V$300)+COUNTIF('9月'!N17:O17,V$300)+COUNTIF('9月'!S17:T17,V$300)+COUNTIF('9月'!X17:Y17,V$300)+COUNTIF('9月'!AC17:AD17,V$300)+COUNTIF('9月'!AH17:AI17,V$300)+COUNTIF('9月'!AM17:AN17,V$300)+COUNTIF('9月'!AR17:AS17,V$300)+COUNTIF('9月'!AW17:AX17,V$300)+COUNTIF('9月'!BB17:BC17,V$300)+COUNTIF('9月'!BG17:BH17,V$300)+COUNTIF('9月'!BL17:BM17,V$300)+COUNTIF('9月'!BQ17:BR17,V$300)+COUNTIF('9月'!BV17:BW17,V$300)+COUNTIF('9月'!CA17:CB17,V$300)+COUNTIF('9月'!CF17:CG17,V$300)+COUNTIF('9月'!CK17:CL17,V$300)+COUNTIF('9月'!CP17:CQ17,V$300)+COUNTIF('9月'!CU17:CV17,V$300)+COUNTIF('9月'!CZ17:DA17,V$300)+COUNTIF('9月'!DE17:DF17,V$300)+COUNTIF('9月'!DJ17:DK17,V$300)+COUNTIF('9月'!DO17:DP17,V$300)+COUNTIF('9月'!DT17:DU17,V$300)+COUNTIF('9月'!DY17:DZ17,V$300)+COUNTIF('9月'!ED17:EE17,V$300)+COUNTIF('9月'!EI17:EJ17,V$300)+COUNTIF('9月'!EN17:EO17,V$300)+COUNTIF('9月'!ES17:ET17,V$300)</f>
        <v>0</v>
      </c>
      <c r="W315" s="76">
        <f t="shared" si="106"/>
        <v>0</v>
      </c>
      <c r="X315" s="76">
        <f>COUNTIF('9月'!D17:E17,X$300)+COUNTIF('9月'!I17:J17,X$300)+COUNTIF('9月'!N17:O17,X$300)+COUNTIF('9月'!S17:T17,X$300)+COUNTIF('9月'!X17:Y17,X$300)+COUNTIF('9月'!AC17:AD17,X$300)+COUNTIF('9月'!AH17:AI17,X$300)+COUNTIF('9月'!AM17:AN17,X$300)+COUNTIF('9月'!AR17:AS17,X$300)+COUNTIF('9月'!AW17:AX17,X$300)+COUNTIF('9月'!BB17:BC17,X$300)+COUNTIF('9月'!BG17:BH17,X$300)+COUNTIF('9月'!BL17:BM17,X$300)+COUNTIF('9月'!BQ17:BR17,X$300)+COUNTIF('9月'!BV17:BW17,X$300)+COUNTIF('9月'!CA17:CB17,X$300)+COUNTIF('9月'!CF17:CG17,X$300)+COUNTIF('9月'!CK17:CL17,X$300)+COUNTIF('9月'!CP17:CQ17,X$300)+COUNTIF('9月'!CU17:CV17,X$300)+COUNTIF('9月'!CZ17:DA17,X$300)+COUNTIF('9月'!DE17:DF17,X$300)+COUNTIF('9月'!DJ17:DK17,X$300)+COUNTIF('9月'!DO17:DP17,X$300)+COUNTIF('9月'!DT17:DU17,X$300)+COUNTIF('9月'!DY17:DZ17,X$300)+COUNTIF('9月'!ED17:EE17,X$300)+COUNTIF('9月'!EI17:EJ17,X$300)+COUNTIF('9月'!EN17:EO17,X$300)+COUNTIF('9月'!ES17:ET17,X$300)</f>
        <v>0</v>
      </c>
      <c r="Y315" s="76">
        <f t="shared" si="107"/>
        <v>0</v>
      </c>
    </row>
    <row r="316" spans="1:25" ht="18" customHeight="1">
      <c r="A316" s="76">
        <v>15</v>
      </c>
      <c r="B316" s="76">
        <f>COUNTIF('9月'!D18:E18,B$300)+COUNTIF('9月'!I18:J18,B$300)+COUNTIF('9月'!N18:O18,B$300)+COUNTIF('9月'!S18:T18,B$300)+COUNTIF('9月'!X18:Y18,B$300)+COUNTIF('9月'!AC18:AD18,B$300)+COUNTIF('9月'!AH18:AI18,B$300)+COUNTIF('9月'!AM18:AN18,B$300)+COUNTIF('9月'!AR18:AS18,B$300)+COUNTIF('9月'!AW18:AX18,B$300)+COUNTIF('9月'!BB18:BC18,B$300)+COUNTIF('9月'!BG18:BH18,B$300)+COUNTIF('9月'!BL18:BM18,B$300)+COUNTIF('9月'!BQ18:BR18,B$300)+COUNTIF('9月'!BV18:BW18,B$300)+COUNTIF('9月'!CA18:CB18,B$300)+COUNTIF('9月'!CF18:CG18,B$300)+COUNTIF('9月'!CK18:CL18,B$300)+COUNTIF('9月'!CP18:CQ18,B$300)+COUNTIF('9月'!CU18:CV18,B$300)+COUNTIF('9月'!CZ18:DA18,B$300)+COUNTIF('9月'!DE18:DF18,B$300)+COUNTIF('9月'!DJ18:DK18,B$300)+COUNTIF('9月'!DO18:DP18,B$300)+COUNTIF('9月'!DT18:DU18,B$300)+COUNTIF('9月'!DY18:DZ18,B$300)+COUNTIF('9月'!ED18:EE18,B$300)+COUNTIF('9月'!EI18:EJ18,B$300)+COUNTIF('9月'!EN18:EO18,B$300)+COUNTIF('9月'!ES18:ET18,B$300)</f>
        <v>0</v>
      </c>
      <c r="C316" s="76">
        <f t="shared" si="96"/>
        <v>0</v>
      </c>
      <c r="D316" s="76">
        <f>COUNTIF('9月'!D18:E18,D$300)+COUNTIF('9月'!I18:J18,D$300)+COUNTIF('9月'!N18:O18,D$300)+COUNTIF('9月'!S18:T18,D$300)+COUNTIF('9月'!X18:Y18,D$300)+COUNTIF('9月'!AC18:AD18,D$300)+COUNTIF('9月'!AH18:AI18,D$300)+COUNTIF('9月'!AM18:AN18,D$300)+COUNTIF('9月'!AR18:AS18,D$300)+COUNTIF('9月'!AW18:AX18,D$300)+COUNTIF('9月'!BB18:BC18,D$300)+COUNTIF('9月'!BG18:BH18,D$300)+COUNTIF('9月'!BL18:BM18,D$300)+COUNTIF('9月'!BQ18:BR18,D$300)+COUNTIF('9月'!BV18:BW18,D$300)+COUNTIF('9月'!CA18:CB18,D$300)+COUNTIF('9月'!CF18:CG18,D$300)+COUNTIF('9月'!CK18:CL18,D$300)+COUNTIF('9月'!CP18:CQ18,D$300)+COUNTIF('9月'!CU18:CV18,D$300)+COUNTIF('9月'!CZ18:DA18,D$300)+COUNTIF('9月'!DE18:DF18,D$300)+COUNTIF('9月'!DJ18:DK18,D$300)+COUNTIF('9月'!DO18:DP18,D$300)+COUNTIF('9月'!DT18:DU18,D$300)+COUNTIF('9月'!DY18:DZ18,D$300)+COUNTIF('9月'!ED18:EE18,D$300)+COUNTIF('9月'!EI18:EJ18,D$300)+COUNTIF('9月'!EN18:EO18,D$300)+COUNTIF('9月'!ES18:ET18,D$300)</f>
        <v>0</v>
      </c>
      <c r="E316" s="76">
        <f t="shared" si="97"/>
        <v>0</v>
      </c>
      <c r="F316" s="76">
        <f>COUNTIF('9月'!D18:E18,F$300)+COUNTIF('9月'!I18:J18,F$300)+COUNTIF('9月'!N18:O18,F$300)+COUNTIF('9月'!S18:T18,F$300)+COUNTIF('9月'!X18:Y18,F$300)+COUNTIF('9月'!AC18:AD18,F$300)+COUNTIF('9月'!AH18:AI18,F$300)+COUNTIF('9月'!AM18:AN18,F$300)+COUNTIF('9月'!AR18:AS18,F$300)+COUNTIF('9月'!AW18:AX18,F$300)+COUNTIF('9月'!BB18:BC18,F$300)+COUNTIF('9月'!BG18:BH18,F$300)+COUNTIF('9月'!BL18:BM18,F$300)+COUNTIF('9月'!BQ18:BR18,F$300)+COUNTIF('9月'!BV18:BW18,F$300)+COUNTIF('9月'!CA18:CB18,F$300)+COUNTIF('9月'!CF18:CG18,F$300)+COUNTIF('9月'!CK18:CL18,F$300)+COUNTIF('9月'!CP18:CQ18,F$300)+COUNTIF('9月'!CU18:CV18,F$300)+COUNTIF('9月'!CZ18:DA18,F$300)+COUNTIF('9月'!DE18:DF18,F$300)+COUNTIF('9月'!DJ18:DK18,F$300)+COUNTIF('9月'!DO18:DP18,F$300)+COUNTIF('9月'!DT18:DU18,F$300)+COUNTIF('9月'!DY18:DZ18,F$300)+COUNTIF('9月'!ED18:EE18,F$300)+COUNTIF('9月'!EI18:EJ18,F$300)+COUNTIF('9月'!EN18:EO18,F$300)+COUNTIF('9月'!ES18:ET18,F$300)</f>
        <v>0</v>
      </c>
      <c r="G316" s="76">
        <f t="shared" si="98"/>
        <v>0</v>
      </c>
      <c r="H316" s="76">
        <f>COUNTIF('9月'!D18:E18,H$300)+COUNTIF('9月'!I18:J18,H$300)+COUNTIF('9月'!N18:O18,H$300)+COUNTIF('9月'!S18:T18,H$300)+COUNTIF('9月'!X18:Y18,H$300)+COUNTIF('9月'!AC18:AD18,H$300)+COUNTIF('9月'!AH18:AI18,H$300)+COUNTIF('9月'!AM18:AN18,H$300)+COUNTIF('9月'!AR18:AS18,H$300)+COUNTIF('9月'!AW18:AX18,H$300)+COUNTIF('9月'!BB18:BC18,H$300)+COUNTIF('9月'!BG18:BH18,H$300)+COUNTIF('9月'!BL18:BM18,H$300)+COUNTIF('9月'!BQ18:BR18,H$300)+COUNTIF('9月'!BV18:BW18,H$300)+COUNTIF('9月'!CA18:CB18,H$300)+COUNTIF('9月'!CF18:CG18,H$300)+COUNTIF('9月'!CK18:CL18,H$300)+COUNTIF('9月'!CP18:CQ18,H$300)+COUNTIF('9月'!CU18:CV18,H$300)+COUNTIF('9月'!CZ18:DA18,H$300)+COUNTIF('9月'!DE18:DF18,H$300)+COUNTIF('9月'!DJ18:DK18,H$300)+COUNTIF('9月'!DO18:DP18,H$300)+COUNTIF('9月'!DT18:DU18,H$300)+COUNTIF('9月'!DY18:DZ18,H$300)+COUNTIF('9月'!ED18:EE18,H$300)+COUNTIF('9月'!EI18:EJ18,H$300)+COUNTIF('9月'!EN18:EO18,H$300)+COUNTIF('9月'!ES18:ET18,H$300)+COUNTIF('9月'!D18:E18,"渋谷-夜勤")+COUNTIF('9月'!I18:J18,"渋谷-夜勤")+COUNTIF('9月'!N18:O18,"渋谷-夜勤")+COUNTIF('9月'!S18:T18,"渋谷-夜勤")+COUNTIF('9月'!X18:Y18,"渋谷-夜勤")+COUNTIF('9月'!AC18:AD18,"渋谷-夜勤")+COUNTIF('9月'!AH18:AI18,"渋谷-夜勤")+COUNTIF('9月'!AM18:AN18,"渋谷-夜勤")+COUNTIF('9月'!AR18:AS18,"渋谷-夜勤")+COUNTIF('9月'!AW18:AX18,"渋谷-夜勤")+COUNTIF('9月'!BB18:BC18,"渋谷-夜勤")+COUNTIF('9月'!BG18:BH18,"渋谷-夜勤")+COUNTIF('9月'!BL18:BM18,"渋谷-夜勤")+COUNTIF('9月'!BQ18:BR18,"渋谷-夜勤")+COUNTIF('9月'!BV18:BW18,"渋谷-夜勤")+COUNTIF('9月'!CA18:CB18,"渋谷-夜勤")+COUNTIF('9月'!CF18:CG18,"渋谷-夜勤")+COUNTIF('9月'!CK18:CL18,"渋谷-夜勤")+COUNTIF('9月'!CP18:CQ18,"渋谷-夜勤")+COUNTIF('9月'!CU18:CV18,"渋谷-夜勤")+COUNTIF('9月'!CZ18:DA18,"渋谷-夜勤")+COUNTIF('9月'!DE18:DF18,"渋谷-夜勤")+COUNTIF('9月'!DJ18:DK18,"渋谷-夜勤")+COUNTIF('9月'!DO18:DP18,"渋谷-夜勤")+COUNTIF('9月'!DT18:DU18,"渋谷-夜勤")+COUNTIF('9月'!DY18:DZ18,"渋谷-夜勤")+COUNTIF('9月'!ED18:EE18,"渋谷-夜勤")+COUNTIF('9月'!EI18:EJ18,"渋谷-夜勤")+COUNTIF('9月'!EN18:EO18,"渋谷-夜勤")+COUNTIF('9月'!ES18:ET18,"渋谷-夜勤")</f>
        <v>0</v>
      </c>
      <c r="I316" s="76">
        <f t="shared" si="99"/>
        <v>0</v>
      </c>
      <c r="J316" s="76">
        <f>COUNTIF('9月'!D18:E18,J$300)+COUNTIF('9月'!I18:J18,J$300)+COUNTIF('9月'!N18:O18,J$300)+COUNTIF('9月'!S18:T18,J$300)+COUNTIF('9月'!X18:Y18,J$300)+COUNTIF('9月'!AC18:AD18,J$300)+COUNTIF('9月'!AH18:AI18,J$300)+COUNTIF('9月'!AM18:AN18,J$300)+COUNTIF('9月'!AR18:AS18,J$300)+COUNTIF('9月'!AW18:AX18,J$300)+COUNTIF('9月'!BB18:BC18,J$300)+COUNTIF('9月'!BG18:BH18,J$300)+COUNTIF('9月'!BL18:BM18,J$300)+COUNTIF('9月'!BQ18:BR18,J$300)+COUNTIF('9月'!BV18:BW18,J$300)+COUNTIF('9月'!CA18:CB18,J$300)+COUNTIF('9月'!CF18:CG18,J$300)+COUNTIF('9月'!CK18:CL18,J$300)+COUNTIF('9月'!CP18:CQ18,J$300)+COUNTIF('9月'!CU18:CV18,J$300)+COUNTIF('9月'!CZ18:DA18,J$300)+COUNTIF('9月'!DE18:DF18,J$300)+COUNTIF('9月'!DJ18:DK18,J$300)+COUNTIF('9月'!DO18:DP18,J$300)+COUNTIF('9月'!DT18:DU18,J$300)+COUNTIF('9月'!DY18:DZ18,J$300)+COUNTIF('9月'!ED18:EE18,J$300)+COUNTIF('9月'!EI18:EJ18,J$300)+COUNTIF('9月'!EN18:EO18,J$300)+COUNTIF('9月'!ES18:ET18,J$300)+COUNTIF('9月'!D18:E18,"六本木-夜勤")+COUNTIF('9月'!I18:J18,"六本木-夜勤")+COUNTIF('9月'!N18:O18,"六本木-夜勤")+COUNTIF('9月'!S18:T18,"六本木-夜勤")+COUNTIF('9月'!X18:Y18,"六本木-夜勤")+COUNTIF('9月'!AC18:AD18,"六本木-夜勤")+COUNTIF('9月'!AH18:AI18,"六本木-夜勤")+COUNTIF('9月'!AM18:AN18,"六本木-夜勤")+COUNTIF('9月'!AR18:AS18,"六本木-夜勤")+COUNTIF('9月'!AW18:AX18,"六本木-夜勤")+COUNTIF('9月'!BB18:BC18,"六本木-夜勤")+COUNTIF('9月'!BG18:BH18,"六本木-夜勤")+COUNTIF('9月'!BL18:BM18,"六本木-夜勤")+COUNTIF('9月'!BQ18:BR18,"六本木-夜勤")+COUNTIF('9月'!BV18:BW18,"六本木-夜勤")+COUNTIF('9月'!CA18:CB18,"六本木-夜勤")+COUNTIF('9月'!CF18:CG18,"六本木-夜勤")+COUNTIF('9月'!CK18:CL18,"六本木-夜勤")+COUNTIF('9月'!CP18:CQ18,"六本木-夜勤")+COUNTIF('9月'!CU18:CV18,"六本木-夜勤")+COUNTIF('9月'!CZ18:DA18,"六本木-夜勤")+COUNTIF('9月'!DE18:DF18,"六本木-夜勤")+COUNTIF('9月'!DJ18:DK18,"六本木-夜勤")+COUNTIF('9月'!DO18:DP18,"六本木-夜勤")+COUNTIF('9月'!DT18:DU18,"六本木-夜勤")+COUNTIF('9月'!DY18:DZ18,"六本木-夜勤")+COUNTIF('9月'!ED18:EE18,"六本木-夜勤")+COUNTIF('9月'!EI18:EJ18,"六本木-夜勤")+COUNTIF('9月'!EN18:EO18,"六本木-夜勤")+COUNTIF('9月'!ES18:ET18,"六本木-夜勤")+COUNTIF('9月'!D18:E18,"六本木ー夜勤")+COUNTIF('9月'!I18:J18,"六本木ー夜勤")+COUNTIF('9月'!N18:O18,"六本木ー夜勤")+COUNTIF('9月'!S18:T18,"六本木ー夜勤")+COUNTIF('9月'!X18:Y18,"六本木ー夜勤")+COUNTIF('9月'!AC18:AD18,"六本木ー夜勤")+COUNTIF('9月'!AH18:AI18,"六本木ー夜勤")+COUNTIF('9月'!AM18:AN18,"六本木ー夜勤")+COUNTIF('9月'!AR18:AS18,"六本木ー夜勤")+COUNTIF('9月'!AW18:AX18,"六本木ー夜勤")+COUNTIF('9月'!BB18:BC18,"六本木ー夜勤")+COUNTIF('9月'!BG18:BH18,"六本木ー夜勤")+COUNTIF('9月'!BL18:BM18,"六本木ー夜勤")+COUNTIF('9月'!BQ18:BR18,"六本木ー夜勤")+COUNTIF('9月'!BV18:BW18,"六本木ー夜勤")+COUNTIF('9月'!CA18:CB18,"六本木ー夜勤")+COUNTIF('9月'!CF18:CG18,"六本木ー夜勤")+COUNTIF('9月'!CK18:CL18,"六本木ー夜勤")+COUNTIF('9月'!CP18:CQ18,"六本木ー夜勤")+COUNTIF('9月'!CU18:CV18,"六本木ー夜勤")+COUNTIF('9月'!CZ18:DA18,"六本木ー夜勤")+COUNTIF('9月'!DE18:DF18,"六本木ー夜勤")+COUNTIF('9月'!DJ18:DK18,"六本木ー夜勤")+COUNTIF('9月'!DO18:DP18,"六本木ー夜勤")+COUNTIF('9月'!DT18:DU18,"六本木ー夜勤")+COUNTIF('9月'!DY18:DZ18,"六本木ー夜勤")+COUNTIF('9月'!ED18:EE18,"六本木ー夜勤")+COUNTIF('9月'!EI18:EJ18,"六本木ー夜勤")+COUNTIF('9月'!EN18:EO18,"六本木ー夜勤")+COUNTIF('9月'!ES18:ET18,"六本木ー夜勤")</f>
        <v>0</v>
      </c>
      <c r="K316" s="76">
        <f t="shared" si="100"/>
        <v>0</v>
      </c>
      <c r="L316" s="76">
        <f>COUNTIF('9月'!D18:E18,L$300)+COUNTIF('9月'!I18:J18,L$300)+COUNTIF('9月'!N18:O18,L$300)+COUNTIF('9月'!S18:T18,L$300)+COUNTIF('9月'!X18:Y18,L$300)+COUNTIF('9月'!AC18:AD18,L$300)+COUNTIF('9月'!AH18:AI18,L$300)+COUNTIF('9月'!AM18:AN18,L$300)+COUNTIF('9月'!AR18:AS18,L$300)+COUNTIF('9月'!AW18:AX18,L$300)+COUNTIF('9月'!BB18:BC18,L$300)+COUNTIF('9月'!BG18:BH18,L$300)+COUNTIF('9月'!BL18:BM18,L$300)+COUNTIF('9月'!BQ18:BR18,L$300)+COUNTIF('9月'!BV18:BW18,L$300)+COUNTIF('9月'!CA18:CB18,L$300)+COUNTIF('9月'!CF18:CG18,L$300)+COUNTIF('9月'!CK18:CL18,L$300)+COUNTIF('9月'!CP18:CQ18,L$300)+COUNTIF('9月'!CU18:CV18,L$300)+COUNTIF('9月'!CZ18:DA18,L$300)+COUNTIF('9月'!DE18:DF18,L$300)+COUNTIF('9月'!DJ18:DK18,L$300)+COUNTIF('9月'!DO18:DP18,L$300)+COUNTIF('9月'!DT18:DU18,L$300)+COUNTIF('9月'!DY18:DZ18,L$300)+COUNTIF('9月'!ED18:EE18,L$300)+COUNTIF('9月'!EI18:EJ18,L$300)+COUNTIF('9月'!EN18:EO18,L$300)+COUNTIF('9月'!ES18:ET18,L$300)</f>
        <v>0</v>
      </c>
      <c r="M316" s="76">
        <f t="shared" si="101"/>
        <v>0</v>
      </c>
      <c r="N316" s="76">
        <f>COUNTIF('9月'!D18:E18,N$300)+COUNTIF('9月'!I18:J18,N$300)+COUNTIF('9月'!N18:O18,N$300)+COUNTIF('9月'!S18:T18,N$300)+COUNTIF('9月'!X18:Y18,N$300)+COUNTIF('9月'!AC18:AD18,N$300)+COUNTIF('9月'!AH18:AI18,N$300)+COUNTIF('9月'!AM18:AN18,N$300)+COUNTIF('9月'!AR18:AS18,N$300)+COUNTIF('9月'!AW18:AX18,N$300)+COUNTIF('9月'!BB18:BC18,N$300)+COUNTIF('9月'!BG18:BH18,N$300)+COUNTIF('9月'!BL18:BM18,N$300)+COUNTIF('9月'!BQ18:BR18,N$300)+COUNTIF('9月'!BV18:BW18,N$300)+COUNTIF('9月'!CA18:CB18,N$300)+COUNTIF('9月'!CF18:CG18,N$300)+COUNTIF('9月'!CK18:CL18,N$300)+COUNTIF('9月'!CP18:CQ18,N$300)+COUNTIF('9月'!CU18:CV18,N$300)+COUNTIF('9月'!CZ18:DA18,N$300)+COUNTIF('9月'!DE18:DF18,N$300)+COUNTIF('9月'!DJ18:DK18,N$300)+COUNTIF('9月'!DO18:DP18,N$300)+COUNTIF('9月'!DT18:DU18,N$300)+COUNTIF('9月'!DY18:DZ18,N$300)+COUNTIF('9月'!ED18:EE18,N$300)+COUNTIF('9月'!EI18:EJ18,N$300)+COUNTIF('9月'!EN18:EO18,N$300)+COUNTIF('9月'!ES18:ET18,N$300)+COUNTIF('9月'!D18:E18,"三軒茶屋－夜勤")+COUNTIF('9月'!I18:J18,"三軒茶屋－夜勤")+COUNTIF('9月'!N18:O18,"三軒茶屋－夜勤")+COUNTIF('9月'!S18:T18,"三軒茶屋－夜勤")+COUNTIF('9月'!X18:Y18,"三軒茶屋－夜勤")+COUNTIF('9月'!AC18:AD18,"三軒茶屋－夜勤")+COUNTIF('9月'!AH18:AI18,"三軒茶屋－夜勤")+COUNTIF('9月'!AM18:AN18,"三軒茶屋－夜勤")+COUNTIF('9月'!AR18:AS18,"三軒茶屋－夜勤")+COUNTIF('9月'!AW18:AX18,"三軒茶屋－夜勤")+COUNTIF('9月'!BB18:BC18,"三軒茶屋－夜勤")+COUNTIF('9月'!BG18:BH18,"三軒茶屋－夜勤")+COUNTIF('9月'!BL18:BM18,"三軒茶屋－夜勤")+COUNTIF('9月'!BQ18:BR18,"三軒茶屋－夜勤")+COUNTIF('9月'!BV18:BW18,"三軒茶屋－夜勤")+COUNTIF('9月'!CA18:CB18,"三軒茶屋－夜勤")+COUNTIF('9月'!CF18:CG18,"三軒茶屋－夜勤")+COUNTIF('9月'!CK18:CL18,"三軒茶屋－夜勤")+COUNTIF('9月'!CP18:CQ18,"三軒茶屋－夜勤")+COUNTIF('9月'!CU18:CV18,"三軒茶屋－夜勤")+COUNTIF('9月'!CZ18:DA18,"三軒茶屋－夜勤")+COUNTIF('9月'!DE18:DF18,"三軒茶屋－夜勤")+COUNTIF('9月'!DJ18:DK18,"三軒茶屋－夜勤")+COUNTIF('9月'!DO18:DP18,"三軒茶屋－夜勤")+COUNTIF('9月'!DT18:DU18,"三軒茶屋－夜勤")+COUNTIF('9月'!DY18:DZ18,"三軒茶屋－夜勤")+COUNTIF('9月'!ED18:EE18,"三軒茶屋－夜勤")+COUNTIF('9月'!EI18:EJ18,"三軒茶屋－夜勤")+COUNTIF('9月'!EN18:EO18,"三軒茶屋－夜勤")+COUNTIF('9月'!ES18:ET18,"三軒茶屋－夜勤")</f>
        <v>0</v>
      </c>
      <c r="O316" s="76">
        <f t="shared" si="102"/>
        <v>0</v>
      </c>
      <c r="P316" s="76">
        <f>COUNTIF('9月'!D18:E18,P$300)+COUNTIF('9月'!I18:J18,P$300)+COUNTIF('9月'!N18:O18,P$300)+COUNTIF('9月'!S18:T18,P$300)+COUNTIF('9月'!X18:Y18,P$300)+COUNTIF('9月'!AC18:AD18,P$300)+COUNTIF('9月'!AH18:AI18,P$300)+COUNTIF('9月'!AM18:AN18,P$300)+COUNTIF('9月'!AR18:AS18,P$300)+COUNTIF('9月'!AW18:AX18,P$300)+COUNTIF('9月'!BB18:BC18,P$300)+COUNTIF('9月'!BG18:BH18,P$300)+COUNTIF('9月'!BL18:BM18,P$300)+COUNTIF('9月'!BQ18:BR18,P$300)+COUNTIF('9月'!BV18:BW18,P$300)+COUNTIF('9月'!CA18:CB18,P$300)+COUNTIF('9月'!CF18:CG18,P$300)+COUNTIF('9月'!CK18:CL18,P$300)+COUNTIF('9月'!CP18:CQ18,P$300)+COUNTIF('9月'!CU18:CV18,P$300)+COUNTIF('9月'!CZ18:DA18,P$300)+COUNTIF('9月'!DE18:DF18,P$300)+COUNTIF('9月'!DJ18:DK18,P$300)+COUNTIF('9月'!DO18:DP18,P$300)+COUNTIF('9月'!DT18:DU18,P$300)+COUNTIF('9月'!DY18:DZ18,P$300)+COUNTIF('9月'!ED18:EE18,P$300)+COUNTIF('9月'!EI18:EJ18,P$300)+COUNTIF('9月'!EN18:EO18,P$300)+COUNTIF('9月'!ES18:ET18,P$300)+COUNTIF('9月'!D18:E18,"荻窪ー夜勤")+COUNTIF('9月'!I18:J18,"荻窪ー夜勤")+COUNTIF('9月'!N18:O18,"荻窪ー夜勤")+COUNTIF('9月'!S18:T18,"荻窪ー夜勤")+COUNTIF('9月'!X18:Y18,"荻窪ー夜勤")+COUNTIF('9月'!AC18:AD18,"荻窪ー夜勤")+COUNTIF('9月'!AH18:AI18,"荻窪ー夜勤")+COUNTIF('9月'!AM18:AN18,"荻窪ー夜勤")+COUNTIF('9月'!AR18:AS18,"荻窪ー夜勤")+COUNTIF('9月'!AW18:AX18,"荻窪ー夜勤")+COUNTIF('9月'!BB18:BC18,"荻窪ー夜勤")+COUNTIF('9月'!BG18:BH18,"荻窪ー夜勤")+COUNTIF('9月'!BL18:BM18,"荻窪ー夜勤")+COUNTIF('9月'!BQ18:BR18,"荻窪ー夜勤")+COUNTIF('9月'!BV18:BW18,"荻窪ー夜勤")+COUNTIF('9月'!CA18:CB18,"荻窪ー夜勤")+COUNTIF('9月'!CF18:CG18,"荻窪ー夜勤")+COUNTIF('9月'!CK18:CL18,"荻窪ー夜勤")+COUNTIF('9月'!CP18:CQ18,"荻窪ー夜勤")+COUNTIF('9月'!CU18:CV18,"荻窪ー夜勤")+COUNTIF('9月'!CZ18:DA18,"荻窪ー夜勤")+COUNTIF('9月'!DE18:DF18,"荻窪ー夜勤")+COUNTIF('9月'!DJ18:DK18,"荻窪ー夜勤")+COUNTIF('9月'!DO18:DP18,"荻窪ー夜勤")+COUNTIF('9月'!DT18:DU18,"荻窪ー夜勤")+COUNTIF('9月'!DY18:DZ18,"荻窪ー夜勤")+COUNTIF('9月'!ED18:EE18,"荻窪ー夜勤")+COUNTIF('9月'!EI18:EJ18,"荻窪ー夜勤")+COUNTIF('9月'!EN18:EO18,"荻窪ー夜勤")+COUNTIF('9月'!ES18:ET18,"荻窪ー夜勤")</f>
        <v>0</v>
      </c>
      <c r="Q316" s="76">
        <f t="shared" si="103"/>
        <v>0</v>
      </c>
      <c r="R316" s="76">
        <f>COUNTIF('9月'!D18:E18,R$300)+COUNTIF('9月'!I18:J18,R$300)+COUNTIF('9月'!N18:O18,R$300)+COUNTIF('9月'!S18:T18,R$300)+COUNTIF('9月'!X18:Y18,R$300)+COUNTIF('9月'!AC18:AD18,R$300)+COUNTIF('9月'!AH18:AI18,R$300)+COUNTIF('9月'!AM18:AN18,R$300)+COUNTIF('9月'!AR18:AS18,R$300)+COUNTIF('9月'!AW18:AX18,R$300)+COUNTIF('9月'!BB18:BC18,R$300)+COUNTIF('9月'!BG18:BH18,R$300)+COUNTIF('9月'!BL18:BM18,R$300)+COUNTIF('9月'!BQ18:BR18,R$300)+COUNTIF('9月'!BV18:BW18,R$300)+COUNTIF('9月'!CA18:CB18,R$300)+COUNTIF('9月'!CF18:CG18,R$300)+COUNTIF('9月'!CK18:CL18,R$300)+COUNTIF('9月'!CP18:CQ18,R$300)+COUNTIF('9月'!CU18:CV18,R$300)+COUNTIF('9月'!CZ18:DA18,R$300)+COUNTIF('9月'!DE18:DF18,R$300)+COUNTIF('9月'!DJ18:DK18,R$300)+COUNTIF('9月'!DO18:DP18,R$300)+COUNTIF('9月'!DT18:DU18,R$300)+COUNTIF('9月'!DY18:DZ18,R$300)+COUNTIF('9月'!ED18:EE18,R$300)+COUNTIF('9月'!EI18:EJ18,R$300)+COUNTIF('9月'!EN18:EO18,R$300)+COUNTIF('9月'!ES18:ET18,R$300)</f>
        <v>0</v>
      </c>
      <c r="S316" s="76">
        <f t="shared" si="104"/>
        <v>0</v>
      </c>
      <c r="T316" s="76">
        <f>COUNTIF('9月'!D18:E18,T$300)+COUNTIF('9月'!I18:J18,T$300)+COUNTIF('9月'!N18:O18,T$300)+COUNTIF('9月'!S18:T18,T$300)+COUNTIF('9月'!X18:Y18,T$300)+COUNTIF('9月'!AC18:AD18,T$300)+COUNTIF('9月'!AH18:AI18,T$300)+COUNTIF('9月'!AM18:AN18,T$300)+COUNTIF('9月'!AR18:AS18,T$300)+COUNTIF('9月'!AW18:AX18,T$300)+COUNTIF('9月'!BB18:BC18,T$300)+COUNTIF('9月'!BG18:BH18,T$300)+COUNTIF('9月'!BL18:BM18,T$300)+COUNTIF('9月'!BQ18:BR18,T$300)+COUNTIF('9月'!BV18:BW18,T$300)+COUNTIF('9月'!CA18:CB18,T$300)+COUNTIF('9月'!CF18:CG18,T$300)+COUNTIF('9月'!CK18:CL18,T$300)+COUNTIF('9月'!CP18:CQ18,T$300)+COUNTIF('9月'!CU18:CV18,T$300)+COUNTIF('9月'!CZ18:DA18,T$300)+COUNTIF('9月'!DE18:DF18,T$300)+COUNTIF('9月'!DJ18:DK18,T$300)+COUNTIF('9月'!DO18:DP18,T$300)+COUNTIF('9月'!DT18:DU18,T$300)+COUNTIF('9月'!DY18:DZ18,T$300)+COUNTIF('9月'!ED18:EE18,T$300)+COUNTIF('9月'!EI18:EJ18,T$300)+COUNTIF('9月'!EN18:EO18,T$300)+COUNTIF('9月'!ES18:ET18,T$300)</f>
        <v>0</v>
      </c>
      <c r="U316" s="76">
        <f t="shared" si="105"/>
        <v>0</v>
      </c>
      <c r="V316" s="76">
        <f>COUNTIF('9月'!D18:E18,V$300)+COUNTIF('9月'!I18:J18,V$300)+COUNTIF('9月'!N18:O18,V$300)+COUNTIF('9月'!S18:T18,V$300)+COUNTIF('9月'!X18:Y18,V$300)+COUNTIF('9月'!AC18:AD18,V$300)+COUNTIF('9月'!AH18:AI18,V$300)+COUNTIF('9月'!AM18:AN18,V$300)+COUNTIF('9月'!AR18:AS18,V$300)+COUNTIF('9月'!AW18:AX18,V$300)+COUNTIF('9月'!BB18:BC18,V$300)+COUNTIF('9月'!BG18:BH18,V$300)+COUNTIF('9月'!BL18:BM18,V$300)+COUNTIF('9月'!BQ18:BR18,V$300)+COUNTIF('9月'!BV18:BW18,V$300)+COUNTIF('9月'!CA18:CB18,V$300)+COUNTIF('9月'!CF18:CG18,V$300)+COUNTIF('9月'!CK18:CL18,V$300)+COUNTIF('9月'!CP18:CQ18,V$300)+COUNTIF('9月'!CU18:CV18,V$300)+COUNTIF('9月'!CZ18:DA18,V$300)+COUNTIF('9月'!DE18:DF18,V$300)+COUNTIF('9月'!DJ18:DK18,V$300)+COUNTIF('9月'!DO18:DP18,V$300)+COUNTIF('9月'!DT18:DU18,V$300)+COUNTIF('9月'!DY18:DZ18,V$300)+COUNTIF('9月'!ED18:EE18,V$300)+COUNTIF('9月'!EI18:EJ18,V$300)+COUNTIF('9月'!EN18:EO18,V$300)+COUNTIF('9月'!ES18:ET18,V$300)</f>
        <v>0</v>
      </c>
      <c r="W316" s="76">
        <f t="shared" si="106"/>
        <v>0</v>
      </c>
      <c r="X316" s="76">
        <f>COUNTIF('9月'!D18:E18,X$300)+COUNTIF('9月'!I18:J18,X$300)+COUNTIF('9月'!N18:O18,X$300)+COUNTIF('9月'!S18:T18,X$300)+COUNTIF('9月'!X18:Y18,X$300)+COUNTIF('9月'!AC18:AD18,X$300)+COUNTIF('9月'!AH18:AI18,X$300)+COUNTIF('9月'!AM18:AN18,X$300)+COUNTIF('9月'!AR18:AS18,X$300)+COUNTIF('9月'!AW18:AX18,X$300)+COUNTIF('9月'!BB18:BC18,X$300)+COUNTIF('9月'!BG18:BH18,X$300)+COUNTIF('9月'!BL18:BM18,X$300)+COUNTIF('9月'!BQ18:BR18,X$300)+COUNTIF('9月'!BV18:BW18,X$300)+COUNTIF('9月'!CA18:CB18,X$300)+COUNTIF('9月'!CF18:CG18,X$300)+COUNTIF('9月'!CK18:CL18,X$300)+COUNTIF('9月'!CP18:CQ18,X$300)+COUNTIF('9月'!CU18:CV18,X$300)+COUNTIF('9月'!CZ18:DA18,X$300)+COUNTIF('9月'!DE18:DF18,X$300)+COUNTIF('9月'!DJ18:DK18,X$300)+COUNTIF('9月'!DO18:DP18,X$300)+COUNTIF('9月'!DT18:DU18,X$300)+COUNTIF('9月'!DY18:DZ18,X$300)+COUNTIF('9月'!ED18:EE18,X$300)+COUNTIF('9月'!EI18:EJ18,X$300)+COUNTIF('9月'!EN18:EO18,X$300)+COUNTIF('9月'!ES18:ET18,X$300)</f>
        <v>0</v>
      </c>
      <c r="Y316" s="76">
        <f t="shared" si="107"/>
        <v>0</v>
      </c>
    </row>
    <row r="317" spans="1:25" ht="18" customHeight="1">
      <c r="A317" s="76">
        <v>16</v>
      </c>
      <c r="B317" s="76">
        <f>COUNTIF('9月'!D19:E19,B$300)+COUNTIF('9月'!I19:J19,B$300)+COUNTIF('9月'!N19:O19,B$300)+COUNTIF('9月'!S19:T19,B$300)+COUNTIF('9月'!X19:Y19,B$300)+COUNTIF('9月'!AC19:AD19,B$300)+COUNTIF('9月'!AH19:AI19,B$300)+COUNTIF('9月'!AM19:AN19,B$300)+COUNTIF('9月'!AR19:AS19,B$300)+COUNTIF('9月'!AW19:AX19,B$300)+COUNTIF('9月'!BB19:BC19,B$300)+COUNTIF('9月'!BG19:BH19,B$300)+COUNTIF('9月'!BL19:BM19,B$300)+COUNTIF('9月'!BQ19:BR19,B$300)+COUNTIF('9月'!BV19:BW19,B$300)+COUNTIF('9月'!CA19:CB19,B$300)+COUNTIF('9月'!CF19:CG19,B$300)+COUNTIF('9月'!CK19:CL19,B$300)+COUNTIF('9月'!CP19:CQ19,B$300)+COUNTIF('9月'!CU19:CV19,B$300)+COUNTIF('9月'!CZ19:DA19,B$300)+COUNTIF('9月'!DE19:DF19,B$300)+COUNTIF('9月'!DJ19:DK19,B$300)+COUNTIF('9月'!DO19:DP19,B$300)+COUNTIF('9月'!DT19:DU19,B$300)+COUNTIF('9月'!DY19:DZ19,B$300)+COUNTIF('9月'!ED19:EE19,B$300)+COUNTIF('9月'!EI19:EJ19,B$300)+COUNTIF('9月'!EN19:EO19,B$300)+COUNTIF('9月'!ES19:ET19,B$300)</f>
        <v>0</v>
      </c>
      <c r="C317" s="76">
        <f t="shared" si="96"/>
        <v>0</v>
      </c>
      <c r="D317" s="76">
        <f>COUNTIF('9月'!D19:E19,D$300)+COUNTIF('9月'!I19:J19,D$300)+COUNTIF('9月'!N19:O19,D$300)+COUNTIF('9月'!S19:T19,D$300)+COUNTIF('9月'!X19:Y19,D$300)+COUNTIF('9月'!AC19:AD19,D$300)+COUNTIF('9月'!AH19:AI19,D$300)+COUNTIF('9月'!AM19:AN19,D$300)+COUNTIF('9月'!AR19:AS19,D$300)+COUNTIF('9月'!AW19:AX19,D$300)+COUNTIF('9月'!BB19:BC19,D$300)+COUNTIF('9月'!BG19:BH19,D$300)+COUNTIF('9月'!BL19:BM19,D$300)+COUNTIF('9月'!BQ19:BR19,D$300)+COUNTIF('9月'!BV19:BW19,D$300)+COUNTIF('9月'!CA19:CB19,D$300)+COUNTIF('9月'!CF19:CG19,D$300)+COUNTIF('9月'!CK19:CL19,D$300)+COUNTIF('9月'!CP19:CQ19,D$300)+COUNTIF('9月'!CU19:CV19,D$300)+COUNTIF('9月'!CZ19:DA19,D$300)+COUNTIF('9月'!DE19:DF19,D$300)+COUNTIF('9月'!DJ19:DK19,D$300)+COUNTIF('9月'!DO19:DP19,D$300)+COUNTIF('9月'!DT19:DU19,D$300)+COUNTIF('9月'!DY19:DZ19,D$300)+COUNTIF('9月'!ED19:EE19,D$300)+COUNTIF('9月'!EI19:EJ19,D$300)+COUNTIF('9月'!EN19:EO19,D$300)+COUNTIF('9月'!ES19:ET19,D$300)</f>
        <v>0</v>
      </c>
      <c r="E317" s="76">
        <f t="shared" si="97"/>
        <v>0</v>
      </c>
      <c r="F317" s="76">
        <f>COUNTIF('9月'!D19:E19,F$300)+COUNTIF('9月'!I19:J19,F$300)+COUNTIF('9月'!N19:O19,F$300)+COUNTIF('9月'!S19:T19,F$300)+COUNTIF('9月'!X19:Y19,F$300)+COUNTIF('9月'!AC19:AD19,F$300)+COUNTIF('9月'!AH19:AI19,F$300)+COUNTIF('9月'!AM19:AN19,F$300)+COUNTIF('9月'!AR19:AS19,F$300)+COUNTIF('9月'!AW19:AX19,F$300)+COUNTIF('9月'!BB19:BC19,F$300)+COUNTIF('9月'!BG19:BH19,F$300)+COUNTIF('9月'!BL19:BM19,F$300)+COUNTIF('9月'!BQ19:BR19,F$300)+COUNTIF('9月'!BV19:BW19,F$300)+COUNTIF('9月'!CA19:CB19,F$300)+COUNTIF('9月'!CF19:CG19,F$300)+COUNTIF('9月'!CK19:CL19,F$300)+COUNTIF('9月'!CP19:CQ19,F$300)+COUNTIF('9月'!CU19:CV19,F$300)+COUNTIF('9月'!CZ19:DA19,F$300)+COUNTIF('9月'!DE19:DF19,F$300)+COUNTIF('9月'!DJ19:DK19,F$300)+COUNTIF('9月'!DO19:DP19,F$300)+COUNTIF('9月'!DT19:DU19,F$300)+COUNTIF('9月'!DY19:DZ19,F$300)+COUNTIF('9月'!ED19:EE19,F$300)+COUNTIF('9月'!EI19:EJ19,F$300)+COUNTIF('9月'!EN19:EO19,F$300)+COUNTIF('9月'!ES19:ET19,F$300)</f>
        <v>0</v>
      </c>
      <c r="G317" s="76">
        <f t="shared" si="98"/>
        <v>0</v>
      </c>
      <c r="H317" s="76">
        <f>COUNTIF('9月'!D19:E19,H$300)+COUNTIF('9月'!I19:J19,H$300)+COUNTIF('9月'!N19:O19,H$300)+COUNTIF('9月'!S19:T19,H$300)+COUNTIF('9月'!X19:Y19,H$300)+COUNTIF('9月'!AC19:AD19,H$300)+COUNTIF('9月'!AH19:AI19,H$300)+COUNTIF('9月'!AM19:AN19,H$300)+COUNTIF('9月'!AR19:AS19,H$300)+COUNTIF('9月'!AW19:AX19,H$300)+COUNTIF('9月'!BB19:BC19,H$300)+COUNTIF('9月'!BG19:BH19,H$300)+COUNTIF('9月'!BL19:BM19,H$300)+COUNTIF('9月'!BQ19:BR19,H$300)+COUNTIF('9月'!BV19:BW19,H$300)+COUNTIF('9月'!CA19:CB19,H$300)+COUNTIF('9月'!CF19:CG19,H$300)+COUNTIF('9月'!CK19:CL19,H$300)+COUNTIF('9月'!CP19:CQ19,H$300)+COUNTIF('9月'!CU19:CV19,H$300)+COUNTIF('9月'!CZ19:DA19,H$300)+COUNTIF('9月'!DE19:DF19,H$300)+COUNTIF('9月'!DJ19:DK19,H$300)+COUNTIF('9月'!DO19:DP19,H$300)+COUNTIF('9月'!DT19:DU19,H$300)+COUNTIF('9月'!DY19:DZ19,H$300)+COUNTIF('9月'!ED19:EE19,H$300)+COUNTIF('9月'!EI19:EJ19,H$300)+COUNTIF('9月'!EN19:EO19,H$300)+COUNTIF('9月'!ES19:ET19,H$300)+COUNTIF('9月'!D19:E19,"渋谷-夜勤")+COUNTIF('9月'!I19:J19,"渋谷-夜勤")+COUNTIF('9月'!N19:O19,"渋谷-夜勤")+COUNTIF('9月'!S19:T19,"渋谷-夜勤")+COUNTIF('9月'!X19:Y19,"渋谷-夜勤")+COUNTIF('9月'!AC19:AD19,"渋谷-夜勤")+COUNTIF('9月'!AH19:AI19,"渋谷-夜勤")+COUNTIF('9月'!AM19:AN19,"渋谷-夜勤")+COUNTIF('9月'!AR19:AS19,"渋谷-夜勤")+COUNTIF('9月'!AW19:AX19,"渋谷-夜勤")+COUNTIF('9月'!BB19:BC19,"渋谷-夜勤")+COUNTIF('9月'!BG19:BH19,"渋谷-夜勤")+COUNTIF('9月'!BL19:BM19,"渋谷-夜勤")+COUNTIF('9月'!BQ19:BR19,"渋谷-夜勤")+COUNTIF('9月'!BV19:BW19,"渋谷-夜勤")+COUNTIF('9月'!CA19:CB19,"渋谷-夜勤")+COUNTIF('9月'!CF19:CG19,"渋谷-夜勤")+COUNTIF('9月'!CK19:CL19,"渋谷-夜勤")+COUNTIF('9月'!CP19:CQ19,"渋谷-夜勤")+COUNTIF('9月'!CU19:CV19,"渋谷-夜勤")+COUNTIF('9月'!CZ19:DA19,"渋谷-夜勤")+COUNTIF('9月'!DE19:DF19,"渋谷-夜勤")+COUNTIF('9月'!DJ19:DK19,"渋谷-夜勤")+COUNTIF('9月'!DO19:DP19,"渋谷-夜勤")+COUNTIF('9月'!DT19:DU19,"渋谷-夜勤")+COUNTIF('9月'!DY19:DZ19,"渋谷-夜勤")+COUNTIF('9月'!ED19:EE19,"渋谷-夜勤")+COUNTIF('9月'!EI19:EJ19,"渋谷-夜勤")+COUNTIF('9月'!EN19:EO19,"渋谷-夜勤")+COUNTIF('9月'!ES19:ET19,"渋谷-夜勤")</f>
        <v>0</v>
      </c>
      <c r="I317" s="76">
        <f t="shared" si="99"/>
        <v>0</v>
      </c>
      <c r="J317" s="76">
        <f>COUNTIF('9月'!D19:E19,J$300)+COUNTIF('9月'!I19:J19,J$300)+COUNTIF('9月'!N19:O19,J$300)+COUNTIF('9月'!S19:T19,J$300)+COUNTIF('9月'!X19:Y19,J$300)+COUNTIF('9月'!AC19:AD19,J$300)+COUNTIF('9月'!AH19:AI19,J$300)+COUNTIF('9月'!AM19:AN19,J$300)+COUNTIF('9月'!AR19:AS19,J$300)+COUNTIF('9月'!AW19:AX19,J$300)+COUNTIF('9月'!BB19:BC19,J$300)+COUNTIF('9月'!BG19:BH19,J$300)+COUNTIF('9月'!BL19:BM19,J$300)+COUNTIF('9月'!BQ19:BR19,J$300)+COUNTIF('9月'!BV19:BW19,J$300)+COUNTIF('9月'!CA19:CB19,J$300)+COUNTIF('9月'!CF19:CG19,J$300)+COUNTIF('9月'!CK19:CL19,J$300)+COUNTIF('9月'!CP19:CQ19,J$300)+COUNTIF('9月'!CU19:CV19,J$300)+COUNTIF('9月'!CZ19:DA19,J$300)+COUNTIF('9月'!DE19:DF19,J$300)+COUNTIF('9月'!DJ19:DK19,J$300)+COUNTIF('9月'!DO19:DP19,J$300)+COUNTIF('9月'!DT19:DU19,J$300)+COUNTIF('9月'!DY19:DZ19,J$300)+COUNTIF('9月'!ED19:EE19,J$300)+COUNTIF('9月'!EI19:EJ19,J$300)+COUNTIF('9月'!EN19:EO19,J$300)+COUNTIF('9月'!ES19:ET19,J$300)+COUNTIF('9月'!D19:E19,"六本木-夜勤")+COUNTIF('9月'!I19:J19,"六本木-夜勤")+COUNTIF('9月'!N19:O19,"六本木-夜勤")+COUNTIF('9月'!S19:T19,"六本木-夜勤")+COUNTIF('9月'!X19:Y19,"六本木-夜勤")+COUNTIF('9月'!AC19:AD19,"六本木-夜勤")+COUNTIF('9月'!AH19:AI19,"六本木-夜勤")+COUNTIF('9月'!AM19:AN19,"六本木-夜勤")+COUNTIF('9月'!AR19:AS19,"六本木-夜勤")+COUNTIF('9月'!AW19:AX19,"六本木-夜勤")+COUNTIF('9月'!BB19:BC19,"六本木-夜勤")+COUNTIF('9月'!BG19:BH19,"六本木-夜勤")+COUNTIF('9月'!BL19:BM19,"六本木-夜勤")+COUNTIF('9月'!BQ19:BR19,"六本木-夜勤")+COUNTIF('9月'!BV19:BW19,"六本木-夜勤")+COUNTIF('9月'!CA19:CB19,"六本木-夜勤")+COUNTIF('9月'!CF19:CG19,"六本木-夜勤")+COUNTIF('9月'!CK19:CL19,"六本木-夜勤")+COUNTIF('9月'!CP19:CQ19,"六本木-夜勤")+COUNTIF('9月'!CU19:CV19,"六本木-夜勤")+COUNTIF('9月'!CZ19:DA19,"六本木-夜勤")+COUNTIF('9月'!DE19:DF19,"六本木-夜勤")+COUNTIF('9月'!DJ19:DK19,"六本木-夜勤")+COUNTIF('9月'!DO19:DP19,"六本木-夜勤")+COUNTIF('9月'!DT19:DU19,"六本木-夜勤")+COUNTIF('9月'!DY19:DZ19,"六本木-夜勤")+COUNTIF('9月'!ED19:EE19,"六本木-夜勤")+COUNTIF('9月'!EI19:EJ19,"六本木-夜勤")+COUNTIF('9月'!EN19:EO19,"六本木-夜勤")+COUNTIF('9月'!ES19:ET19,"六本木-夜勤")+COUNTIF('9月'!D19:E19,"六本木ー夜勤")+COUNTIF('9月'!I19:J19,"六本木ー夜勤")+COUNTIF('9月'!N19:O19,"六本木ー夜勤")+COUNTIF('9月'!S19:T19,"六本木ー夜勤")+COUNTIF('9月'!X19:Y19,"六本木ー夜勤")+COUNTIF('9月'!AC19:AD19,"六本木ー夜勤")+COUNTIF('9月'!AH19:AI19,"六本木ー夜勤")+COUNTIF('9月'!AM19:AN19,"六本木ー夜勤")+COUNTIF('9月'!AR19:AS19,"六本木ー夜勤")+COUNTIF('9月'!AW19:AX19,"六本木ー夜勤")+COUNTIF('9月'!BB19:BC19,"六本木ー夜勤")+COUNTIF('9月'!BG19:BH19,"六本木ー夜勤")+COUNTIF('9月'!BL19:BM19,"六本木ー夜勤")+COUNTIF('9月'!BQ19:BR19,"六本木ー夜勤")+COUNTIF('9月'!BV19:BW19,"六本木ー夜勤")+COUNTIF('9月'!CA19:CB19,"六本木ー夜勤")+COUNTIF('9月'!CF19:CG19,"六本木ー夜勤")+COUNTIF('9月'!CK19:CL19,"六本木ー夜勤")+COUNTIF('9月'!CP19:CQ19,"六本木ー夜勤")+COUNTIF('9月'!CU19:CV19,"六本木ー夜勤")+COUNTIF('9月'!CZ19:DA19,"六本木ー夜勤")+COUNTIF('9月'!DE19:DF19,"六本木ー夜勤")+COUNTIF('9月'!DJ19:DK19,"六本木ー夜勤")+COUNTIF('9月'!DO19:DP19,"六本木ー夜勤")+COUNTIF('9月'!DT19:DU19,"六本木ー夜勤")+COUNTIF('9月'!DY19:DZ19,"六本木ー夜勤")+COUNTIF('9月'!ED19:EE19,"六本木ー夜勤")+COUNTIF('9月'!EI19:EJ19,"六本木ー夜勤")+COUNTIF('9月'!EN19:EO19,"六本木ー夜勤")+COUNTIF('9月'!ES19:ET19,"六本木ー夜勤")</f>
        <v>0</v>
      </c>
      <c r="K317" s="76">
        <f t="shared" si="100"/>
        <v>0</v>
      </c>
      <c r="L317" s="76">
        <f>COUNTIF('9月'!D19:E19,L$300)+COUNTIF('9月'!I19:J19,L$300)+COUNTIF('9月'!N19:O19,L$300)+COUNTIF('9月'!S19:T19,L$300)+COUNTIF('9月'!X19:Y19,L$300)+COUNTIF('9月'!AC19:AD19,L$300)+COUNTIF('9月'!AH19:AI19,L$300)+COUNTIF('9月'!AM19:AN19,L$300)+COUNTIF('9月'!AR19:AS19,L$300)+COUNTIF('9月'!AW19:AX19,L$300)+COUNTIF('9月'!BB19:BC19,L$300)+COUNTIF('9月'!BG19:BH19,L$300)+COUNTIF('9月'!BL19:BM19,L$300)+COUNTIF('9月'!BQ19:BR19,L$300)+COUNTIF('9月'!BV19:BW19,L$300)+COUNTIF('9月'!CA19:CB19,L$300)+COUNTIF('9月'!CF19:CG19,L$300)+COUNTIF('9月'!CK19:CL19,L$300)+COUNTIF('9月'!CP19:CQ19,L$300)+COUNTIF('9月'!CU19:CV19,L$300)+COUNTIF('9月'!CZ19:DA19,L$300)+COUNTIF('9月'!DE19:DF19,L$300)+COUNTIF('9月'!DJ19:DK19,L$300)+COUNTIF('9月'!DO19:DP19,L$300)+COUNTIF('9月'!DT19:DU19,L$300)+COUNTIF('9月'!DY19:DZ19,L$300)+COUNTIF('9月'!ED19:EE19,L$300)+COUNTIF('9月'!EI19:EJ19,L$300)+COUNTIF('9月'!EN19:EO19,L$300)+COUNTIF('9月'!ES19:ET19,L$300)</f>
        <v>0</v>
      </c>
      <c r="M317" s="76">
        <f t="shared" si="101"/>
        <v>0</v>
      </c>
      <c r="N317" s="76">
        <f>COUNTIF('9月'!D19:E19,N$300)+COUNTIF('9月'!I19:J19,N$300)+COUNTIF('9月'!N19:O19,N$300)+COUNTIF('9月'!S19:T19,N$300)+COUNTIF('9月'!X19:Y19,N$300)+COUNTIF('9月'!AC19:AD19,N$300)+COUNTIF('9月'!AH19:AI19,N$300)+COUNTIF('9月'!AM19:AN19,N$300)+COUNTIF('9月'!AR19:AS19,N$300)+COUNTIF('9月'!AW19:AX19,N$300)+COUNTIF('9月'!BB19:BC19,N$300)+COUNTIF('9月'!BG19:BH19,N$300)+COUNTIF('9月'!BL19:BM19,N$300)+COUNTIF('9月'!BQ19:BR19,N$300)+COUNTIF('9月'!BV19:BW19,N$300)+COUNTIF('9月'!CA19:CB19,N$300)+COUNTIF('9月'!CF19:CG19,N$300)+COUNTIF('9月'!CK19:CL19,N$300)+COUNTIF('9月'!CP19:CQ19,N$300)+COUNTIF('9月'!CU19:CV19,N$300)+COUNTIF('9月'!CZ19:DA19,N$300)+COUNTIF('9月'!DE19:DF19,N$300)+COUNTIF('9月'!DJ19:DK19,N$300)+COUNTIF('9月'!DO19:DP19,N$300)+COUNTIF('9月'!DT19:DU19,N$300)+COUNTIF('9月'!DY19:DZ19,N$300)+COUNTIF('9月'!ED19:EE19,N$300)+COUNTIF('9月'!EI19:EJ19,N$300)+COUNTIF('9月'!EN19:EO19,N$300)+COUNTIF('9月'!ES19:ET19,N$300)+COUNTIF('9月'!D19:E19,"三軒茶屋－夜勤")+COUNTIF('9月'!I19:J19,"三軒茶屋－夜勤")+COUNTIF('9月'!N19:O19,"三軒茶屋－夜勤")+COUNTIF('9月'!S19:T19,"三軒茶屋－夜勤")+COUNTIF('9月'!X19:Y19,"三軒茶屋－夜勤")+COUNTIF('9月'!AC19:AD19,"三軒茶屋－夜勤")+COUNTIF('9月'!AH19:AI19,"三軒茶屋－夜勤")+COUNTIF('9月'!AM19:AN19,"三軒茶屋－夜勤")+COUNTIF('9月'!AR19:AS19,"三軒茶屋－夜勤")+COUNTIF('9月'!AW19:AX19,"三軒茶屋－夜勤")+COUNTIF('9月'!BB19:BC19,"三軒茶屋－夜勤")+COUNTIF('9月'!BG19:BH19,"三軒茶屋－夜勤")+COUNTIF('9月'!BL19:BM19,"三軒茶屋－夜勤")+COUNTIF('9月'!BQ19:BR19,"三軒茶屋－夜勤")+COUNTIF('9月'!BV19:BW19,"三軒茶屋－夜勤")+COUNTIF('9月'!CA19:CB19,"三軒茶屋－夜勤")+COUNTIF('9月'!CF19:CG19,"三軒茶屋－夜勤")+COUNTIF('9月'!CK19:CL19,"三軒茶屋－夜勤")+COUNTIF('9月'!CP19:CQ19,"三軒茶屋－夜勤")+COUNTIF('9月'!CU19:CV19,"三軒茶屋－夜勤")+COUNTIF('9月'!CZ19:DA19,"三軒茶屋－夜勤")+COUNTIF('9月'!DE19:DF19,"三軒茶屋－夜勤")+COUNTIF('9月'!DJ19:DK19,"三軒茶屋－夜勤")+COUNTIF('9月'!DO19:DP19,"三軒茶屋－夜勤")+COUNTIF('9月'!DT19:DU19,"三軒茶屋－夜勤")+COUNTIF('9月'!DY19:DZ19,"三軒茶屋－夜勤")+COUNTIF('9月'!ED19:EE19,"三軒茶屋－夜勤")+COUNTIF('9月'!EI19:EJ19,"三軒茶屋－夜勤")+COUNTIF('9月'!EN19:EO19,"三軒茶屋－夜勤")+COUNTIF('9月'!ES19:ET19,"三軒茶屋－夜勤")</f>
        <v>0</v>
      </c>
      <c r="O317" s="76">
        <f t="shared" si="102"/>
        <v>0</v>
      </c>
      <c r="P317" s="76">
        <f>COUNTIF('9月'!D19:E19,P$300)+COUNTIF('9月'!I19:J19,P$300)+COUNTIF('9月'!N19:O19,P$300)+COUNTIF('9月'!S19:T19,P$300)+COUNTIF('9月'!X19:Y19,P$300)+COUNTIF('9月'!AC19:AD19,P$300)+COUNTIF('9月'!AH19:AI19,P$300)+COUNTIF('9月'!AM19:AN19,P$300)+COUNTIF('9月'!AR19:AS19,P$300)+COUNTIF('9月'!AW19:AX19,P$300)+COUNTIF('9月'!BB19:BC19,P$300)+COUNTIF('9月'!BG19:BH19,P$300)+COUNTIF('9月'!BL19:BM19,P$300)+COUNTIF('9月'!BQ19:BR19,P$300)+COUNTIF('9月'!BV19:BW19,P$300)+COUNTIF('9月'!CA19:CB19,P$300)+COUNTIF('9月'!CF19:CG19,P$300)+COUNTIF('9月'!CK19:CL19,P$300)+COUNTIF('9月'!CP19:CQ19,P$300)+COUNTIF('9月'!CU19:CV19,P$300)+COUNTIF('9月'!CZ19:DA19,P$300)+COUNTIF('9月'!DE19:DF19,P$300)+COUNTIF('9月'!DJ19:DK19,P$300)+COUNTIF('9月'!DO19:DP19,P$300)+COUNTIF('9月'!DT19:DU19,P$300)+COUNTIF('9月'!DY19:DZ19,P$300)+COUNTIF('9月'!ED19:EE19,P$300)+COUNTIF('9月'!EI19:EJ19,P$300)+COUNTIF('9月'!EN19:EO19,P$300)+COUNTIF('9月'!ES19:ET19,P$300)+COUNTIF('9月'!D19:E19,"荻窪ー夜勤")+COUNTIF('9月'!I19:J19,"荻窪ー夜勤")+COUNTIF('9月'!N19:O19,"荻窪ー夜勤")+COUNTIF('9月'!S19:T19,"荻窪ー夜勤")+COUNTIF('9月'!X19:Y19,"荻窪ー夜勤")+COUNTIF('9月'!AC19:AD19,"荻窪ー夜勤")+COUNTIF('9月'!AH19:AI19,"荻窪ー夜勤")+COUNTIF('9月'!AM19:AN19,"荻窪ー夜勤")+COUNTIF('9月'!AR19:AS19,"荻窪ー夜勤")+COUNTIF('9月'!AW19:AX19,"荻窪ー夜勤")+COUNTIF('9月'!BB19:BC19,"荻窪ー夜勤")+COUNTIF('9月'!BG19:BH19,"荻窪ー夜勤")+COUNTIF('9月'!BL19:BM19,"荻窪ー夜勤")+COUNTIF('9月'!BQ19:BR19,"荻窪ー夜勤")+COUNTIF('9月'!BV19:BW19,"荻窪ー夜勤")+COUNTIF('9月'!CA19:CB19,"荻窪ー夜勤")+COUNTIF('9月'!CF19:CG19,"荻窪ー夜勤")+COUNTIF('9月'!CK19:CL19,"荻窪ー夜勤")+COUNTIF('9月'!CP19:CQ19,"荻窪ー夜勤")+COUNTIF('9月'!CU19:CV19,"荻窪ー夜勤")+COUNTIF('9月'!CZ19:DA19,"荻窪ー夜勤")+COUNTIF('9月'!DE19:DF19,"荻窪ー夜勤")+COUNTIF('9月'!DJ19:DK19,"荻窪ー夜勤")+COUNTIF('9月'!DO19:DP19,"荻窪ー夜勤")+COUNTIF('9月'!DT19:DU19,"荻窪ー夜勤")+COUNTIF('9月'!DY19:DZ19,"荻窪ー夜勤")+COUNTIF('9月'!ED19:EE19,"荻窪ー夜勤")+COUNTIF('9月'!EI19:EJ19,"荻窪ー夜勤")+COUNTIF('9月'!EN19:EO19,"荻窪ー夜勤")+COUNTIF('9月'!ES19:ET19,"荻窪ー夜勤")</f>
        <v>0</v>
      </c>
      <c r="Q317" s="76">
        <f t="shared" si="103"/>
        <v>0</v>
      </c>
      <c r="R317" s="76">
        <f>COUNTIF('9月'!D19:E19,R$300)+COUNTIF('9月'!I19:J19,R$300)+COUNTIF('9月'!N19:O19,R$300)+COUNTIF('9月'!S19:T19,R$300)+COUNTIF('9月'!X19:Y19,R$300)+COUNTIF('9月'!AC19:AD19,R$300)+COUNTIF('9月'!AH19:AI19,R$300)+COUNTIF('9月'!AM19:AN19,R$300)+COUNTIF('9月'!AR19:AS19,R$300)+COUNTIF('9月'!AW19:AX19,R$300)+COUNTIF('9月'!BB19:BC19,R$300)+COUNTIF('9月'!BG19:BH19,R$300)+COUNTIF('9月'!BL19:BM19,R$300)+COUNTIF('9月'!BQ19:BR19,R$300)+COUNTIF('9月'!BV19:BW19,R$300)+COUNTIF('9月'!CA19:CB19,R$300)+COUNTIF('9月'!CF19:CG19,R$300)+COUNTIF('9月'!CK19:CL19,R$300)+COUNTIF('9月'!CP19:CQ19,R$300)+COUNTIF('9月'!CU19:CV19,R$300)+COUNTIF('9月'!CZ19:DA19,R$300)+COUNTIF('9月'!DE19:DF19,R$300)+COUNTIF('9月'!DJ19:DK19,R$300)+COUNTIF('9月'!DO19:DP19,R$300)+COUNTIF('9月'!DT19:DU19,R$300)+COUNTIF('9月'!DY19:DZ19,R$300)+COUNTIF('9月'!ED19:EE19,R$300)+COUNTIF('9月'!EI19:EJ19,R$300)+COUNTIF('9月'!EN19:EO19,R$300)+COUNTIF('9月'!ES19:ET19,R$300)</f>
        <v>0</v>
      </c>
      <c r="S317" s="76">
        <f t="shared" si="104"/>
        <v>0</v>
      </c>
      <c r="T317" s="76">
        <f>COUNTIF('9月'!D19:E19,T$300)+COUNTIF('9月'!I19:J19,T$300)+COUNTIF('9月'!N19:O19,T$300)+COUNTIF('9月'!S19:T19,T$300)+COUNTIF('9月'!X19:Y19,T$300)+COUNTIF('9月'!AC19:AD19,T$300)+COUNTIF('9月'!AH19:AI19,T$300)+COUNTIF('9月'!AM19:AN19,T$300)+COUNTIF('9月'!AR19:AS19,T$300)+COUNTIF('9月'!AW19:AX19,T$300)+COUNTIF('9月'!BB19:BC19,T$300)+COUNTIF('9月'!BG19:BH19,T$300)+COUNTIF('9月'!BL19:BM19,T$300)+COUNTIF('9月'!BQ19:BR19,T$300)+COUNTIF('9月'!BV19:BW19,T$300)+COUNTIF('9月'!CA19:CB19,T$300)+COUNTIF('9月'!CF19:CG19,T$300)+COUNTIF('9月'!CK19:CL19,T$300)+COUNTIF('9月'!CP19:CQ19,T$300)+COUNTIF('9月'!CU19:CV19,T$300)+COUNTIF('9月'!CZ19:DA19,T$300)+COUNTIF('9月'!DE19:DF19,T$300)+COUNTIF('9月'!DJ19:DK19,T$300)+COUNTIF('9月'!DO19:DP19,T$300)+COUNTIF('9月'!DT19:DU19,T$300)+COUNTIF('9月'!DY19:DZ19,T$300)+COUNTIF('9月'!ED19:EE19,T$300)+COUNTIF('9月'!EI19:EJ19,T$300)+COUNTIF('9月'!EN19:EO19,T$300)+COUNTIF('9月'!ES19:ET19,T$300)</f>
        <v>0</v>
      </c>
      <c r="U317" s="76">
        <f t="shared" si="105"/>
        <v>0</v>
      </c>
      <c r="V317" s="76">
        <f>COUNTIF('9月'!D19:E19,V$300)+COUNTIF('9月'!I19:J19,V$300)+COUNTIF('9月'!N19:O19,V$300)+COUNTIF('9月'!S19:T19,V$300)+COUNTIF('9月'!X19:Y19,V$300)+COUNTIF('9月'!AC19:AD19,V$300)+COUNTIF('9月'!AH19:AI19,V$300)+COUNTIF('9月'!AM19:AN19,V$300)+COUNTIF('9月'!AR19:AS19,V$300)+COUNTIF('9月'!AW19:AX19,V$300)+COUNTIF('9月'!BB19:BC19,V$300)+COUNTIF('9月'!BG19:BH19,V$300)+COUNTIF('9月'!BL19:BM19,V$300)+COUNTIF('9月'!BQ19:BR19,V$300)+COUNTIF('9月'!BV19:BW19,V$300)+COUNTIF('9月'!CA19:CB19,V$300)+COUNTIF('9月'!CF19:CG19,V$300)+COUNTIF('9月'!CK19:CL19,V$300)+COUNTIF('9月'!CP19:CQ19,V$300)+COUNTIF('9月'!CU19:CV19,V$300)+COUNTIF('9月'!CZ19:DA19,V$300)+COUNTIF('9月'!DE19:DF19,V$300)+COUNTIF('9月'!DJ19:DK19,V$300)+COUNTIF('9月'!DO19:DP19,V$300)+COUNTIF('9月'!DT19:DU19,V$300)+COUNTIF('9月'!DY19:DZ19,V$300)+COUNTIF('9月'!ED19:EE19,V$300)+COUNTIF('9月'!EI19:EJ19,V$300)+COUNTIF('9月'!EN19:EO19,V$300)+COUNTIF('9月'!ES19:ET19,V$300)</f>
        <v>0</v>
      </c>
      <c r="W317" s="76">
        <f t="shared" si="106"/>
        <v>0</v>
      </c>
      <c r="X317" s="76">
        <f>COUNTIF('9月'!D19:E19,X$300)+COUNTIF('9月'!I19:J19,X$300)+COUNTIF('9月'!N19:O19,X$300)+COUNTIF('9月'!S19:T19,X$300)+COUNTIF('9月'!X19:Y19,X$300)+COUNTIF('9月'!AC19:AD19,X$300)+COUNTIF('9月'!AH19:AI19,X$300)+COUNTIF('9月'!AM19:AN19,X$300)+COUNTIF('9月'!AR19:AS19,X$300)+COUNTIF('9月'!AW19:AX19,X$300)+COUNTIF('9月'!BB19:BC19,X$300)+COUNTIF('9月'!BG19:BH19,X$300)+COUNTIF('9月'!BL19:BM19,X$300)+COUNTIF('9月'!BQ19:BR19,X$300)+COUNTIF('9月'!BV19:BW19,X$300)+COUNTIF('9月'!CA19:CB19,X$300)+COUNTIF('9月'!CF19:CG19,X$300)+COUNTIF('9月'!CK19:CL19,X$300)+COUNTIF('9月'!CP19:CQ19,X$300)+COUNTIF('9月'!CU19:CV19,X$300)+COUNTIF('9月'!CZ19:DA19,X$300)+COUNTIF('9月'!DE19:DF19,X$300)+COUNTIF('9月'!DJ19:DK19,X$300)+COUNTIF('9月'!DO19:DP19,X$300)+COUNTIF('9月'!DT19:DU19,X$300)+COUNTIF('9月'!DY19:DZ19,X$300)+COUNTIF('9月'!ED19:EE19,X$300)+COUNTIF('9月'!EI19:EJ19,X$300)+COUNTIF('9月'!EN19:EO19,X$300)+COUNTIF('9月'!ES19:ET19,X$300)</f>
        <v>0</v>
      </c>
      <c r="Y317" s="76">
        <f t="shared" si="107"/>
        <v>0</v>
      </c>
    </row>
    <row r="318" spans="1:25" ht="18" customHeight="1">
      <c r="A318" s="76">
        <v>17</v>
      </c>
      <c r="B318" s="76">
        <f>COUNTIF('9月'!D20:E20,B$300)+COUNTIF('9月'!I20:J20,B$300)+COUNTIF('9月'!N20:O20,B$300)+COUNTIF('9月'!S20:T20,B$300)+COUNTIF('9月'!X20:Y20,B$300)+COUNTIF('9月'!AC20:AD20,B$300)+COUNTIF('9月'!AH20:AI20,B$300)+COUNTIF('9月'!AM20:AN20,B$300)+COUNTIF('9月'!AR20:AS20,B$300)+COUNTIF('9月'!AW20:AX20,B$300)+COUNTIF('9月'!BB20:BC20,B$300)+COUNTIF('9月'!BG20:BH20,B$300)+COUNTIF('9月'!BL20:BM20,B$300)+COUNTIF('9月'!BQ20:BR20,B$300)+COUNTIF('9月'!BV20:BW20,B$300)+COUNTIF('9月'!CA20:CB20,B$300)+COUNTIF('9月'!CF20:CG20,B$300)+COUNTIF('9月'!CK20:CL20,B$300)+COUNTIF('9月'!CP20:CQ20,B$300)+COUNTIF('9月'!CU20:CV20,B$300)+COUNTIF('9月'!CZ20:DA20,B$300)+COUNTIF('9月'!DE20:DF20,B$300)+COUNTIF('9月'!DJ20:DK20,B$300)+COUNTIF('9月'!DO20:DP20,B$300)+COUNTIF('9月'!DT20:DU20,B$300)+COUNTIF('9月'!DY20:DZ20,B$300)+COUNTIF('9月'!ED20:EE20,B$300)+COUNTIF('9月'!EI20:EJ20,B$300)+COUNTIF('9月'!EN20:EO20,B$300)+COUNTIF('9月'!ES20:ET20,B$300)</f>
        <v>0</v>
      </c>
      <c r="C318" s="76">
        <f t="shared" si="96"/>
        <v>0</v>
      </c>
      <c r="D318" s="76">
        <f>COUNTIF('9月'!D20:E20,D$300)+COUNTIF('9月'!I20:J20,D$300)+COUNTIF('9月'!N20:O20,D$300)+COUNTIF('9月'!S20:T20,D$300)+COUNTIF('9月'!X20:Y20,D$300)+COUNTIF('9月'!AC20:AD20,D$300)+COUNTIF('9月'!AH20:AI20,D$300)+COUNTIF('9月'!AM20:AN20,D$300)+COUNTIF('9月'!AR20:AS20,D$300)+COUNTIF('9月'!AW20:AX20,D$300)+COUNTIF('9月'!BB20:BC20,D$300)+COUNTIF('9月'!BG20:BH20,D$300)+COUNTIF('9月'!BL20:BM20,D$300)+COUNTIF('9月'!BQ20:BR20,D$300)+COUNTIF('9月'!BV20:BW20,D$300)+COUNTIF('9月'!CA20:CB20,D$300)+COUNTIF('9月'!CF20:CG20,D$300)+COUNTIF('9月'!CK20:CL20,D$300)+COUNTIF('9月'!CP20:CQ20,D$300)+COUNTIF('9月'!CU20:CV20,D$300)+COUNTIF('9月'!CZ20:DA20,D$300)+COUNTIF('9月'!DE20:DF20,D$300)+COUNTIF('9月'!DJ20:DK20,D$300)+COUNTIF('9月'!DO20:DP20,D$300)+COUNTIF('9月'!DT20:DU20,D$300)+COUNTIF('9月'!DY20:DZ20,D$300)+COUNTIF('9月'!ED20:EE20,D$300)+COUNTIF('9月'!EI20:EJ20,D$300)+COUNTIF('9月'!EN20:EO20,D$300)+COUNTIF('9月'!ES20:ET20,D$300)</f>
        <v>0</v>
      </c>
      <c r="E318" s="76">
        <f t="shared" si="97"/>
        <v>0</v>
      </c>
      <c r="F318" s="76">
        <f>COUNTIF('9月'!D20:E20,F$300)+COUNTIF('9月'!I20:J20,F$300)+COUNTIF('9月'!N20:O20,F$300)+COUNTIF('9月'!S20:T20,F$300)+COUNTIF('9月'!X20:Y20,F$300)+COUNTIF('9月'!AC20:AD20,F$300)+COUNTIF('9月'!AH20:AI20,F$300)+COUNTIF('9月'!AM20:AN20,F$300)+COUNTIF('9月'!AR20:AS20,F$300)+COUNTIF('9月'!AW20:AX20,F$300)+COUNTIF('9月'!BB20:BC20,F$300)+COUNTIF('9月'!BG20:BH20,F$300)+COUNTIF('9月'!BL20:BM20,F$300)+COUNTIF('9月'!BQ20:BR20,F$300)+COUNTIF('9月'!BV20:BW20,F$300)+COUNTIF('9月'!CA20:CB20,F$300)+COUNTIF('9月'!CF20:CG20,F$300)+COUNTIF('9月'!CK20:CL20,F$300)+COUNTIF('9月'!CP20:CQ20,F$300)+COUNTIF('9月'!CU20:CV20,F$300)+COUNTIF('9月'!CZ20:DA20,F$300)+COUNTIF('9月'!DE20:DF20,F$300)+COUNTIF('9月'!DJ20:DK20,F$300)+COUNTIF('9月'!DO20:DP20,F$300)+COUNTIF('9月'!DT20:DU20,F$300)+COUNTIF('9月'!DY20:DZ20,F$300)+COUNTIF('9月'!ED20:EE20,F$300)+COUNTIF('9月'!EI20:EJ20,F$300)+COUNTIF('9月'!EN20:EO20,F$300)+COUNTIF('9月'!ES20:ET20,F$300)</f>
        <v>0</v>
      </c>
      <c r="G318" s="76">
        <f t="shared" si="98"/>
        <v>0</v>
      </c>
      <c r="H318" s="76">
        <f>COUNTIF('9月'!D20:E20,H$300)+COUNTIF('9月'!I20:J20,H$300)+COUNTIF('9月'!N20:O20,H$300)+COUNTIF('9月'!S20:T20,H$300)+COUNTIF('9月'!X20:Y20,H$300)+COUNTIF('9月'!AC20:AD20,H$300)+COUNTIF('9月'!AH20:AI20,H$300)+COUNTIF('9月'!AM20:AN20,H$300)+COUNTIF('9月'!AR20:AS20,H$300)+COUNTIF('9月'!AW20:AX20,H$300)+COUNTIF('9月'!BB20:BC20,H$300)+COUNTIF('9月'!BG20:BH20,H$300)+COUNTIF('9月'!BL20:BM20,H$300)+COUNTIF('9月'!BQ20:BR20,H$300)+COUNTIF('9月'!BV20:BW20,H$300)+COUNTIF('9月'!CA20:CB20,H$300)+COUNTIF('9月'!CF20:CG20,H$300)+COUNTIF('9月'!CK20:CL20,H$300)+COUNTIF('9月'!CP20:CQ20,H$300)+COUNTIF('9月'!CU20:CV20,H$300)+COUNTIF('9月'!CZ20:DA20,H$300)+COUNTIF('9月'!DE20:DF20,H$300)+COUNTIF('9月'!DJ20:DK20,H$300)+COUNTIF('9月'!DO20:DP20,H$300)+COUNTIF('9月'!DT20:DU20,H$300)+COUNTIF('9月'!DY20:DZ20,H$300)+COUNTIF('9月'!ED20:EE20,H$300)+COUNTIF('9月'!EI20:EJ20,H$300)+COUNTIF('9月'!EN20:EO20,H$300)+COUNTIF('9月'!ES20:ET20,H$300)+COUNTIF('9月'!D20:E20,"渋谷-夜勤")+COUNTIF('9月'!I20:J20,"渋谷-夜勤")+COUNTIF('9月'!N20:O20,"渋谷-夜勤")+COUNTIF('9月'!S20:T20,"渋谷-夜勤")+COUNTIF('9月'!X20:Y20,"渋谷-夜勤")+COUNTIF('9月'!AC20:AD20,"渋谷-夜勤")+COUNTIF('9月'!AH20:AI20,"渋谷-夜勤")+COUNTIF('9月'!AM20:AN20,"渋谷-夜勤")+COUNTIF('9月'!AR20:AS20,"渋谷-夜勤")+COUNTIF('9月'!AW20:AX20,"渋谷-夜勤")+COUNTIF('9月'!BB20:BC20,"渋谷-夜勤")+COUNTIF('9月'!BG20:BH20,"渋谷-夜勤")+COUNTIF('9月'!BL20:BM20,"渋谷-夜勤")+COUNTIF('9月'!BQ20:BR20,"渋谷-夜勤")+COUNTIF('9月'!BV20:BW20,"渋谷-夜勤")+COUNTIF('9月'!CA20:CB20,"渋谷-夜勤")+COUNTIF('9月'!CF20:CG20,"渋谷-夜勤")+COUNTIF('9月'!CK20:CL20,"渋谷-夜勤")+COUNTIF('9月'!CP20:CQ20,"渋谷-夜勤")+COUNTIF('9月'!CU20:CV20,"渋谷-夜勤")+COUNTIF('9月'!CZ20:DA20,"渋谷-夜勤")+COUNTIF('9月'!DE20:DF20,"渋谷-夜勤")+COUNTIF('9月'!DJ20:DK20,"渋谷-夜勤")+COUNTIF('9月'!DO20:DP20,"渋谷-夜勤")+COUNTIF('9月'!DT20:DU20,"渋谷-夜勤")+COUNTIF('9月'!DY20:DZ20,"渋谷-夜勤")+COUNTIF('9月'!ED20:EE20,"渋谷-夜勤")+COUNTIF('9月'!EI20:EJ20,"渋谷-夜勤")+COUNTIF('9月'!EN20:EO20,"渋谷-夜勤")+COUNTIF('9月'!ES20:ET20,"渋谷-夜勤")</f>
        <v>0</v>
      </c>
      <c r="I318" s="76">
        <f t="shared" si="99"/>
        <v>0</v>
      </c>
      <c r="J318" s="76">
        <f>COUNTIF('9月'!D20:E20,J$300)+COUNTIF('9月'!I20:J20,J$300)+COUNTIF('9月'!N20:O20,J$300)+COUNTIF('9月'!S20:T20,J$300)+COUNTIF('9月'!X20:Y20,J$300)+COUNTIF('9月'!AC20:AD20,J$300)+COUNTIF('9月'!AH20:AI20,J$300)+COUNTIF('9月'!AM20:AN20,J$300)+COUNTIF('9月'!AR20:AS20,J$300)+COUNTIF('9月'!AW20:AX20,J$300)+COUNTIF('9月'!BB20:BC20,J$300)+COUNTIF('9月'!BG20:BH20,J$300)+COUNTIF('9月'!BL20:BM20,J$300)+COUNTIF('9月'!BQ20:BR20,J$300)+COUNTIF('9月'!BV20:BW20,J$300)+COUNTIF('9月'!CA20:CB20,J$300)+COUNTIF('9月'!CF20:CG20,J$300)+COUNTIF('9月'!CK20:CL20,J$300)+COUNTIF('9月'!CP20:CQ20,J$300)+COUNTIF('9月'!CU20:CV20,J$300)+COUNTIF('9月'!CZ20:DA20,J$300)+COUNTIF('9月'!DE20:DF20,J$300)+COUNTIF('9月'!DJ20:DK20,J$300)+COUNTIF('9月'!DO20:DP20,J$300)+COUNTIF('9月'!DT20:DU20,J$300)+COUNTIF('9月'!DY20:DZ20,J$300)+COUNTIF('9月'!ED20:EE20,J$300)+COUNTIF('9月'!EI20:EJ20,J$300)+COUNTIF('9月'!EN20:EO20,J$300)+COUNTIF('9月'!ES20:ET20,J$300)+COUNTIF('9月'!D20:E20,"六本木-夜勤")+COUNTIF('9月'!I20:J20,"六本木-夜勤")+COUNTIF('9月'!N20:O20,"六本木-夜勤")+COUNTIF('9月'!S20:T20,"六本木-夜勤")+COUNTIF('9月'!X20:Y20,"六本木-夜勤")+COUNTIF('9月'!AC20:AD20,"六本木-夜勤")+COUNTIF('9月'!AH20:AI20,"六本木-夜勤")+COUNTIF('9月'!AM20:AN20,"六本木-夜勤")+COUNTIF('9月'!AR20:AS20,"六本木-夜勤")+COUNTIF('9月'!AW20:AX20,"六本木-夜勤")+COUNTIF('9月'!BB20:BC20,"六本木-夜勤")+COUNTIF('9月'!BG20:BH20,"六本木-夜勤")+COUNTIF('9月'!BL20:BM20,"六本木-夜勤")+COUNTIF('9月'!BQ20:BR20,"六本木-夜勤")+COUNTIF('9月'!BV20:BW20,"六本木-夜勤")+COUNTIF('9月'!CA20:CB20,"六本木-夜勤")+COUNTIF('9月'!CF20:CG20,"六本木-夜勤")+COUNTIF('9月'!CK20:CL20,"六本木-夜勤")+COUNTIF('9月'!CP20:CQ20,"六本木-夜勤")+COUNTIF('9月'!CU20:CV20,"六本木-夜勤")+COUNTIF('9月'!CZ20:DA20,"六本木-夜勤")+COUNTIF('9月'!DE20:DF20,"六本木-夜勤")+COUNTIF('9月'!DJ20:DK20,"六本木-夜勤")+COUNTIF('9月'!DO20:DP20,"六本木-夜勤")+COUNTIF('9月'!DT20:DU20,"六本木-夜勤")+COUNTIF('9月'!DY20:DZ20,"六本木-夜勤")+COUNTIF('9月'!ED20:EE20,"六本木-夜勤")+COUNTIF('9月'!EI20:EJ20,"六本木-夜勤")+COUNTIF('9月'!EN20:EO20,"六本木-夜勤")+COUNTIF('9月'!ES20:ET20,"六本木-夜勤")+COUNTIF('9月'!D20:E20,"六本木ー夜勤")+COUNTIF('9月'!I20:J20,"六本木ー夜勤")+COUNTIF('9月'!N20:O20,"六本木ー夜勤")+COUNTIF('9月'!S20:T20,"六本木ー夜勤")+COUNTIF('9月'!X20:Y20,"六本木ー夜勤")+COUNTIF('9月'!AC20:AD20,"六本木ー夜勤")+COUNTIF('9月'!AH20:AI20,"六本木ー夜勤")+COUNTIF('9月'!AM20:AN20,"六本木ー夜勤")+COUNTIF('9月'!AR20:AS20,"六本木ー夜勤")+COUNTIF('9月'!AW20:AX20,"六本木ー夜勤")+COUNTIF('9月'!BB20:BC20,"六本木ー夜勤")+COUNTIF('9月'!BG20:BH20,"六本木ー夜勤")+COUNTIF('9月'!BL20:BM20,"六本木ー夜勤")+COUNTIF('9月'!BQ20:BR20,"六本木ー夜勤")+COUNTIF('9月'!BV20:BW20,"六本木ー夜勤")+COUNTIF('9月'!CA20:CB20,"六本木ー夜勤")+COUNTIF('9月'!CF20:CG20,"六本木ー夜勤")+COUNTIF('9月'!CK20:CL20,"六本木ー夜勤")+COUNTIF('9月'!CP20:CQ20,"六本木ー夜勤")+COUNTIF('9月'!CU20:CV20,"六本木ー夜勤")+COUNTIF('9月'!CZ20:DA20,"六本木ー夜勤")+COUNTIF('9月'!DE20:DF20,"六本木ー夜勤")+COUNTIF('9月'!DJ20:DK20,"六本木ー夜勤")+COUNTIF('9月'!DO20:DP20,"六本木ー夜勤")+COUNTIF('9月'!DT20:DU20,"六本木ー夜勤")+COUNTIF('9月'!DY20:DZ20,"六本木ー夜勤")+COUNTIF('9月'!ED20:EE20,"六本木ー夜勤")+COUNTIF('9月'!EI20:EJ20,"六本木ー夜勤")+COUNTIF('9月'!EN20:EO20,"六本木ー夜勤")+COUNTIF('9月'!ES20:ET20,"六本木ー夜勤")</f>
        <v>0</v>
      </c>
      <c r="K318" s="76">
        <f t="shared" si="100"/>
        <v>0</v>
      </c>
      <c r="L318" s="76">
        <f>COUNTIF('9月'!D20:E20,L$300)+COUNTIF('9月'!I20:J20,L$300)+COUNTIF('9月'!N20:O20,L$300)+COUNTIF('9月'!S20:T20,L$300)+COUNTIF('9月'!X20:Y20,L$300)+COUNTIF('9月'!AC20:AD20,L$300)+COUNTIF('9月'!AH20:AI20,L$300)+COUNTIF('9月'!AM20:AN20,L$300)+COUNTIF('9月'!AR20:AS20,L$300)+COUNTIF('9月'!AW20:AX20,L$300)+COUNTIF('9月'!BB20:BC20,L$300)+COUNTIF('9月'!BG20:BH20,L$300)+COUNTIF('9月'!BL20:BM20,L$300)+COUNTIF('9月'!BQ20:BR20,L$300)+COUNTIF('9月'!BV20:BW20,L$300)+COUNTIF('9月'!CA20:CB20,L$300)+COUNTIF('9月'!CF20:CG20,L$300)+COUNTIF('9月'!CK20:CL20,L$300)+COUNTIF('9月'!CP20:CQ20,L$300)+COUNTIF('9月'!CU20:CV20,L$300)+COUNTIF('9月'!CZ20:DA20,L$300)+COUNTIF('9月'!DE20:DF20,L$300)+COUNTIF('9月'!DJ20:DK20,L$300)+COUNTIF('9月'!DO20:DP20,L$300)+COUNTIF('9月'!DT20:DU20,L$300)+COUNTIF('9月'!DY20:DZ20,L$300)+COUNTIF('9月'!ED20:EE20,L$300)+COUNTIF('9月'!EI20:EJ20,L$300)+COUNTIF('9月'!EN20:EO20,L$300)+COUNTIF('9月'!ES20:ET20,L$300)</f>
        <v>0</v>
      </c>
      <c r="M318" s="76">
        <f t="shared" si="101"/>
        <v>0</v>
      </c>
      <c r="N318" s="76">
        <f>COUNTIF('9月'!D20:E20,N$300)+COUNTIF('9月'!I20:J20,N$300)+COUNTIF('9月'!N20:O20,N$300)+COUNTIF('9月'!S20:T20,N$300)+COUNTIF('9月'!X20:Y20,N$300)+COUNTIF('9月'!AC20:AD20,N$300)+COUNTIF('9月'!AH20:AI20,N$300)+COUNTIF('9月'!AM20:AN20,N$300)+COUNTIF('9月'!AR20:AS20,N$300)+COUNTIF('9月'!AW20:AX20,N$300)+COUNTIF('9月'!BB20:BC20,N$300)+COUNTIF('9月'!BG20:BH20,N$300)+COUNTIF('9月'!BL20:BM20,N$300)+COUNTIF('9月'!BQ20:BR20,N$300)+COUNTIF('9月'!BV20:BW20,N$300)+COUNTIF('9月'!CA20:CB20,N$300)+COUNTIF('9月'!CF20:CG20,N$300)+COUNTIF('9月'!CK20:CL20,N$300)+COUNTIF('9月'!CP20:CQ20,N$300)+COUNTIF('9月'!CU20:CV20,N$300)+COUNTIF('9月'!CZ20:DA20,N$300)+COUNTIF('9月'!DE20:DF20,N$300)+COUNTIF('9月'!DJ20:DK20,N$300)+COUNTIF('9月'!DO20:DP20,N$300)+COUNTIF('9月'!DT20:DU20,N$300)+COUNTIF('9月'!DY20:DZ20,N$300)+COUNTIF('9月'!ED20:EE20,N$300)+COUNTIF('9月'!EI20:EJ20,N$300)+COUNTIF('9月'!EN20:EO20,N$300)+COUNTIF('9月'!ES20:ET20,N$300)+COUNTIF('9月'!D20:E20,"三軒茶屋－夜勤")+COUNTIF('9月'!I20:J20,"三軒茶屋－夜勤")+COUNTIF('9月'!N20:O20,"三軒茶屋－夜勤")+COUNTIF('9月'!S20:T20,"三軒茶屋－夜勤")+COUNTIF('9月'!X20:Y20,"三軒茶屋－夜勤")+COUNTIF('9月'!AC20:AD20,"三軒茶屋－夜勤")+COUNTIF('9月'!AH20:AI20,"三軒茶屋－夜勤")+COUNTIF('9月'!AM20:AN20,"三軒茶屋－夜勤")+COUNTIF('9月'!AR20:AS20,"三軒茶屋－夜勤")+COUNTIF('9月'!AW20:AX20,"三軒茶屋－夜勤")+COUNTIF('9月'!BB20:BC20,"三軒茶屋－夜勤")+COUNTIF('9月'!BG20:BH20,"三軒茶屋－夜勤")+COUNTIF('9月'!BL20:BM20,"三軒茶屋－夜勤")+COUNTIF('9月'!BQ20:BR20,"三軒茶屋－夜勤")+COUNTIF('9月'!BV20:BW20,"三軒茶屋－夜勤")+COUNTIF('9月'!CA20:CB20,"三軒茶屋－夜勤")+COUNTIF('9月'!CF20:CG20,"三軒茶屋－夜勤")+COUNTIF('9月'!CK20:CL20,"三軒茶屋－夜勤")+COUNTIF('9月'!CP20:CQ20,"三軒茶屋－夜勤")+COUNTIF('9月'!CU20:CV20,"三軒茶屋－夜勤")+COUNTIF('9月'!CZ20:DA20,"三軒茶屋－夜勤")+COUNTIF('9月'!DE20:DF20,"三軒茶屋－夜勤")+COUNTIF('9月'!DJ20:DK20,"三軒茶屋－夜勤")+COUNTIF('9月'!DO20:DP20,"三軒茶屋－夜勤")+COUNTIF('9月'!DT20:DU20,"三軒茶屋－夜勤")+COUNTIF('9月'!DY20:DZ20,"三軒茶屋－夜勤")+COUNTIF('9月'!ED20:EE20,"三軒茶屋－夜勤")+COUNTIF('9月'!EI20:EJ20,"三軒茶屋－夜勤")+COUNTIF('9月'!EN20:EO20,"三軒茶屋－夜勤")+COUNTIF('9月'!ES20:ET20,"三軒茶屋－夜勤")</f>
        <v>0</v>
      </c>
      <c r="O318" s="76">
        <f t="shared" si="102"/>
        <v>0</v>
      </c>
      <c r="P318" s="76">
        <f>COUNTIF('9月'!D20:E20,P$300)+COUNTIF('9月'!I20:J20,P$300)+COUNTIF('9月'!N20:O20,P$300)+COUNTIF('9月'!S20:T20,P$300)+COUNTIF('9月'!X20:Y20,P$300)+COUNTIF('9月'!AC20:AD20,P$300)+COUNTIF('9月'!AH20:AI20,P$300)+COUNTIF('9月'!AM20:AN20,P$300)+COUNTIF('9月'!AR20:AS20,P$300)+COUNTIF('9月'!AW20:AX20,P$300)+COUNTIF('9月'!BB20:BC20,P$300)+COUNTIF('9月'!BG20:BH20,P$300)+COUNTIF('9月'!BL20:BM20,P$300)+COUNTIF('9月'!BQ20:BR20,P$300)+COUNTIF('9月'!BV20:BW20,P$300)+COUNTIF('9月'!CA20:CB20,P$300)+COUNTIF('9月'!CF20:CG20,P$300)+COUNTIF('9月'!CK20:CL20,P$300)+COUNTIF('9月'!CP20:CQ20,P$300)+COUNTIF('9月'!CU20:CV20,P$300)+COUNTIF('9月'!CZ20:DA20,P$300)+COUNTIF('9月'!DE20:DF20,P$300)+COUNTIF('9月'!DJ20:DK20,P$300)+COUNTIF('9月'!DO20:DP20,P$300)+COUNTIF('9月'!DT20:DU20,P$300)+COUNTIF('9月'!DY20:DZ20,P$300)+COUNTIF('9月'!ED20:EE20,P$300)+COUNTIF('9月'!EI20:EJ20,P$300)+COUNTIF('9月'!EN20:EO20,P$300)+COUNTIF('9月'!ES20:ET20,P$300)+COUNTIF('9月'!D20:E20,"荻窪ー夜勤")+COUNTIF('9月'!I20:J20,"荻窪ー夜勤")+COUNTIF('9月'!N20:O20,"荻窪ー夜勤")+COUNTIF('9月'!S20:T20,"荻窪ー夜勤")+COUNTIF('9月'!X20:Y20,"荻窪ー夜勤")+COUNTIF('9月'!AC20:AD20,"荻窪ー夜勤")+COUNTIF('9月'!AH20:AI20,"荻窪ー夜勤")+COUNTIF('9月'!AM20:AN20,"荻窪ー夜勤")+COUNTIF('9月'!AR20:AS20,"荻窪ー夜勤")+COUNTIF('9月'!AW20:AX20,"荻窪ー夜勤")+COUNTIF('9月'!BB20:BC20,"荻窪ー夜勤")+COUNTIF('9月'!BG20:BH20,"荻窪ー夜勤")+COUNTIF('9月'!BL20:BM20,"荻窪ー夜勤")+COUNTIF('9月'!BQ20:BR20,"荻窪ー夜勤")+COUNTIF('9月'!BV20:BW20,"荻窪ー夜勤")+COUNTIF('9月'!CA20:CB20,"荻窪ー夜勤")+COUNTIF('9月'!CF20:CG20,"荻窪ー夜勤")+COUNTIF('9月'!CK20:CL20,"荻窪ー夜勤")+COUNTIF('9月'!CP20:CQ20,"荻窪ー夜勤")+COUNTIF('9月'!CU20:CV20,"荻窪ー夜勤")+COUNTIF('9月'!CZ20:DA20,"荻窪ー夜勤")+COUNTIF('9月'!DE20:DF20,"荻窪ー夜勤")+COUNTIF('9月'!DJ20:DK20,"荻窪ー夜勤")+COUNTIF('9月'!DO20:DP20,"荻窪ー夜勤")+COUNTIF('9月'!DT20:DU20,"荻窪ー夜勤")+COUNTIF('9月'!DY20:DZ20,"荻窪ー夜勤")+COUNTIF('9月'!ED20:EE20,"荻窪ー夜勤")+COUNTIF('9月'!EI20:EJ20,"荻窪ー夜勤")+COUNTIF('9月'!EN20:EO20,"荻窪ー夜勤")+COUNTIF('9月'!ES20:ET20,"荻窪ー夜勤")</f>
        <v>0</v>
      </c>
      <c r="Q318" s="76">
        <f t="shared" si="103"/>
        <v>0</v>
      </c>
      <c r="R318" s="76">
        <f>COUNTIF('9月'!D20:E20,R$300)+COUNTIF('9月'!I20:J20,R$300)+COUNTIF('9月'!N20:O20,R$300)+COUNTIF('9月'!S20:T20,R$300)+COUNTIF('9月'!X20:Y20,R$300)+COUNTIF('9月'!AC20:AD20,R$300)+COUNTIF('9月'!AH20:AI20,R$300)+COUNTIF('9月'!AM20:AN20,R$300)+COUNTIF('9月'!AR20:AS20,R$300)+COUNTIF('9月'!AW20:AX20,R$300)+COUNTIF('9月'!BB20:BC20,R$300)+COUNTIF('9月'!BG20:BH20,R$300)+COUNTIF('9月'!BL20:BM20,R$300)+COUNTIF('9月'!BQ20:BR20,R$300)+COUNTIF('9月'!BV20:BW20,R$300)+COUNTIF('9月'!CA20:CB20,R$300)+COUNTIF('9月'!CF20:CG20,R$300)+COUNTIF('9月'!CK20:CL20,R$300)+COUNTIF('9月'!CP20:CQ20,R$300)+COUNTIF('9月'!CU20:CV20,R$300)+COUNTIF('9月'!CZ20:DA20,R$300)+COUNTIF('9月'!DE20:DF20,R$300)+COUNTIF('9月'!DJ20:DK20,R$300)+COUNTIF('9月'!DO20:DP20,R$300)+COUNTIF('9月'!DT20:DU20,R$300)+COUNTIF('9月'!DY20:DZ20,R$300)+COUNTIF('9月'!ED20:EE20,R$300)+COUNTIF('9月'!EI20:EJ20,R$300)+COUNTIF('9月'!EN20:EO20,R$300)+COUNTIF('9月'!ES20:ET20,R$300)</f>
        <v>0</v>
      </c>
      <c r="S318" s="76">
        <f t="shared" si="104"/>
        <v>0</v>
      </c>
      <c r="T318" s="76">
        <f>COUNTIF('9月'!D20:E20,T$300)+COUNTIF('9月'!I20:J20,T$300)+COUNTIF('9月'!N20:O20,T$300)+COUNTIF('9月'!S20:T20,T$300)+COUNTIF('9月'!X20:Y20,T$300)+COUNTIF('9月'!AC20:AD20,T$300)+COUNTIF('9月'!AH20:AI20,T$300)+COUNTIF('9月'!AM20:AN20,T$300)+COUNTIF('9月'!AR20:AS20,T$300)+COUNTIF('9月'!AW20:AX20,T$300)+COUNTIF('9月'!BB20:BC20,T$300)+COUNTIF('9月'!BG20:BH20,T$300)+COUNTIF('9月'!BL20:BM20,T$300)+COUNTIF('9月'!BQ20:BR20,T$300)+COUNTIF('9月'!BV20:BW20,T$300)+COUNTIF('9月'!CA20:CB20,T$300)+COUNTIF('9月'!CF20:CG20,T$300)+COUNTIF('9月'!CK20:CL20,T$300)+COUNTIF('9月'!CP20:CQ20,T$300)+COUNTIF('9月'!CU20:CV20,T$300)+COUNTIF('9月'!CZ20:DA20,T$300)+COUNTIF('9月'!DE20:DF20,T$300)+COUNTIF('9月'!DJ20:DK20,T$300)+COUNTIF('9月'!DO20:DP20,T$300)+COUNTIF('9月'!DT20:DU20,T$300)+COUNTIF('9月'!DY20:DZ20,T$300)+COUNTIF('9月'!ED20:EE20,T$300)+COUNTIF('9月'!EI20:EJ20,T$300)+COUNTIF('9月'!EN20:EO20,T$300)+COUNTIF('9月'!ES20:ET20,T$300)</f>
        <v>0</v>
      </c>
      <c r="U318" s="76">
        <f t="shared" si="105"/>
        <v>0</v>
      </c>
      <c r="V318" s="76">
        <f>COUNTIF('9月'!D20:E20,V$300)+COUNTIF('9月'!I20:J20,V$300)+COUNTIF('9月'!N20:O20,V$300)+COUNTIF('9月'!S20:T20,V$300)+COUNTIF('9月'!X20:Y20,V$300)+COUNTIF('9月'!AC20:AD20,V$300)+COUNTIF('9月'!AH20:AI20,V$300)+COUNTIF('9月'!AM20:AN20,V$300)+COUNTIF('9月'!AR20:AS20,V$300)+COUNTIF('9月'!AW20:AX20,V$300)+COUNTIF('9月'!BB20:BC20,V$300)+COUNTIF('9月'!BG20:BH20,V$300)+COUNTIF('9月'!BL20:BM20,V$300)+COUNTIF('9月'!BQ20:BR20,V$300)+COUNTIF('9月'!BV20:BW20,V$300)+COUNTIF('9月'!CA20:CB20,V$300)+COUNTIF('9月'!CF20:CG20,V$300)+COUNTIF('9月'!CK20:CL20,V$300)+COUNTIF('9月'!CP20:CQ20,V$300)+COUNTIF('9月'!CU20:CV20,V$300)+COUNTIF('9月'!CZ20:DA20,V$300)+COUNTIF('9月'!DE20:DF20,V$300)+COUNTIF('9月'!DJ20:DK20,V$300)+COUNTIF('9月'!DO20:DP20,V$300)+COUNTIF('9月'!DT20:DU20,V$300)+COUNTIF('9月'!DY20:DZ20,V$300)+COUNTIF('9月'!ED20:EE20,V$300)+COUNTIF('9月'!EI20:EJ20,V$300)+COUNTIF('9月'!EN20:EO20,V$300)+COUNTIF('9月'!ES20:ET20,V$300)</f>
        <v>0</v>
      </c>
      <c r="W318" s="76">
        <f t="shared" si="106"/>
        <v>0</v>
      </c>
      <c r="X318" s="76">
        <f>COUNTIF('9月'!D20:E20,X$300)+COUNTIF('9月'!I20:J20,X$300)+COUNTIF('9月'!N20:O20,X$300)+COUNTIF('9月'!S20:T20,X$300)+COUNTIF('9月'!X20:Y20,X$300)+COUNTIF('9月'!AC20:AD20,X$300)+COUNTIF('9月'!AH20:AI20,X$300)+COUNTIF('9月'!AM20:AN20,X$300)+COUNTIF('9月'!AR20:AS20,X$300)+COUNTIF('9月'!AW20:AX20,X$300)+COUNTIF('9月'!BB20:BC20,X$300)+COUNTIF('9月'!BG20:BH20,X$300)+COUNTIF('9月'!BL20:BM20,X$300)+COUNTIF('9月'!BQ20:BR20,X$300)+COUNTIF('9月'!BV20:BW20,X$300)+COUNTIF('9月'!CA20:CB20,X$300)+COUNTIF('9月'!CF20:CG20,X$300)+COUNTIF('9月'!CK20:CL20,X$300)+COUNTIF('9月'!CP20:CQ20,X$300)+COUNTIF('9月'!CU20:CV20,X$300)+COUNTIF('9月'!CZ20:DA20,X$300)+COUNTIF('9月'!DE20:DF20,X$300)+COUNTIF('9月'!DJ20:DK20,X$300)+COUNTIF('9月'!DO20:DP20,X$300)+COUNTIF('9月'!DT20:DU20,X$300)+COUNTIF('9月'!DY20:DZ20,X$300)+COUNTIF('9月'!ED20:EE20,X$300)+COUNTIF('9月'!EI20:EJ20,X$300)+COUNTIF('9月'!EN20:EO20,X$300)+COUNTIF('9月'!ES20:ET20,X$300)</f>
        <v>0</v>
      </c>
      <c r="Y318" s="76">
        <f t="shared" si="107"/>
        <v>0</v>
      </c>
    </row>
    <row r="319" spans="1:25" ht="18" customHeight="1">
      <c r="A319" s="76">
        <v>18</v>
      </c>
      <c r="B319" s="76">
        <f>COUNTIF('9月'!D21:E21,B$300)+COUNTIF('9月'!I21:J21,B$300)+COUNTIF('9月'!N21:O21,B$300)+COUNTIF('9月'!S21:T21,B$300)+COUNTIF('9月'!X21:Y21,B$300)+COUNTIF('9月'!AC21:AD21,B$300)+COUNTIF('9月'!AH21:AI21,B$300)+COUNTIF('9月'!AM21:AN21,B$300)+COUNTIF('9月'!AR21:AS21,B$300)+COUNTIF('9月'!AW21:AX21,B$300)+COUNTIF('9月'!BB21:BC21,B$300)+COUNTIF('9月'!BG21:BH21,B$300)+COUNTIF('9月'!BL21:BM21,B$300)+COUNTIF('9月'!BQ21:BR21,B$300)+COUNTIF('9月'!BV21:BW21,B$300)+COUNTIF('9月'!CA21:CB21,B$300)+COUNTIF('9月'!CF21:CG21,B$300)+COUNTIF('9月'!CK21:CL21,B$300)+COUNTIF('9月'!CP21:CQ21,B$300)+COUNTIF('9月'!CU21:CV21,B$300)+COUNTIF('9月'!CZ21:DA21,B$300)+COUNTIF('9月'!DE21:DF21,B$300)+COUNTIF('9月'!DJ21:DK21,B$300)+COUNTIF('9月'!DO21:DP21,B$300)+COUNTIF('9月'!DT21:DU21,B$300)+COUNTIF('9月'!DY21:DZ21,B$300)+COUNTIF('9月'!ED21:EE21,B$300)+COUNTIF('9月'!EI21:EJ21,B$300)+COUNTIF('9月'!EN21:EO21,B$300)+COUNTIF('9月'!ES21:ET21,B$300)</f>
        <v>0</v>
      </c>
      <c r="C319" s="76">
        <f t="shared" si="96"/>
        <v>0</v>
      </c>
      <c r="D319" s="76">
        <f>COUNTIF('9月'!D21:E21,D$300)+COUNTIF('9月'!I21:J21,D$300)+COUNTIF('9月'!N21:O21,D$300)+COUNTIF('9月'!S21:T21,D$300)+COUNTIF('9月'!X21:Y21,D$300)+COUNTIF('9月'!AC21:AD21,D$300)+COUNTIF('9月'!AH21:AI21,D$300)+COUNTIF('9月'!AM21:AN21,D$300)+COUNTIF('9月'!AR21:AS21,D$300)+COUNTIF('9月'!AW21:AX21,D$300)+COUNTIF('9月'!BB21:BC21,D$300)+COUNTIF('9月'!BG21:BH21,D$300)+COUNTIF('9月'!BL21:BM21,D$300)+COUNTIF('9月'!BQ21:BR21,D$300)+COUNTIF('9月'!BV21:BW21,D$300)+COUNTIF('9月'!CA21:CB21,D$300)+COUNTIF('9月'!CF21:CG21,D$300)+COUNTIF('9月'!CK21:CL21,D$300)+COUNTIF('9月'!CP21:CQ21,D$300)+COUNTIF('9月'!CU21:CV21,D$300)+COUNTIF('9月'!CZ21:DA21,D$300)+COUNTIF('9月'!DE21:DF21,D$300)+COUNTIF('9月'!DJ21:DK21,D$300)+COUNTIF('9月'!DO21:DP21,D$300)+COUNTIF('9月'!DT21:DU21,D$300)+COUNTIF('9月'!DY21:DZ21,D$300)+COUNTIF('9月'!ED21:EE21,D$300)+COUNTIF('9月'!EI21:EJ21,D$300)+COUNTIF('9月'!EN21:EO21,D$300)+COUNTIF('9月'!ES21:ET21,D$300)</f>
        <v>0</v>
      </c>
      <c r="E319" s="76">
        <f t="shared" si="97"/>
        <v>0</v>
      </c>
      <c r="F319" s="76">
        <f>COUNTIF('9月'!D21:E21,F$300)+COUNTIF('9月'!I21:J21,F$300)+COUNTIF('9月'!N21:O21,F$300)+COUNTIF('9月'!S21:T21,F$300)+COUNTIF('9月'!X21:Y21,F$300)+COUNTIF('9月'!AC21:AD21,F$300)+COUNTIF('9月'!AH21:AI21,F$300)+COUNTIF('9月'!AM21:AN21,F$300)+COUNTIF('9月'!AR21:AS21,F$300)+COUNTIF('9月'!AW21:AX21,F$300)+COUNTIF('9月'!BB21:BC21,F$300)+COUNTIF('9月'!BG21:BH21,F$300)+COUNTIF('9月'!BL21:BM21,F$300)+COUNTIF('9月'!BQ21:BR21,F$300)+COUNTIF('9月'!BV21:BW21,F$300)+COUNTIF('9月'!CA21:CB21,F$300)+COUNTIF('9月'!CF21:CG21,F$300)+COUNTIF('9月'!CK21:CL21,F$300)+COUNTIF('9月'!CP21:CQ21,F$300)+COUNTIF('9月'!CU21:CV21,F$300)+COUNTIF('9月'!CZ21:DA21,F$300)+COUNTIF('9月'!DE21:DF21,F$300)+COUNTIF('9月'!DJ21:DK21,F$300)+COUNTIF('9月'!DO21:DP21,F$300)+COUNTIF('9月'!DT21:DU21,F$300)+COUNTIF('9月'!DY21:DZ21,F$300)+COUNTIF('9月'!ED21:EE21,F$300)+COUNTIF('9月'!EI21:EJ21,F$300)+COUNTIF('9月'!EN21:EO21,F$300)+COUNTIF('9月'!ES21:ET21,F$300)</f>
        <v>0</v>
      </c>
      <c r="G319" s="76">
        <f t="shared" si="98"/>
        <v>0</v>
      </c>
      <c r="H319" s="76">
        <f>COUNTIF('9月'!D21:E21,H$300)+COUNTIF('9月'!I21:J21,H$300)+COUNTIF('9月'!N21:O21,H$300)+COUNTIF('9月'!S21:T21,H$300)+COUNTIF('9月'!X21:Y21,H$300)+COUNTIF('9月'!AC21:AD21,H$300)+COUNTIF('9月'!AH21:AI21,H$300)+COUNTIF('9月'!AM21:AN21,H$300)+COUNTIF('9月'!AR21:AS21,H$300)+COUNTIF('9月'!AW21:AX21,H$300)+COUNTIF('9月'!BB21:BC21,H$300)+COUNTIF('9月'!BG21:BH21,H$300)+COUNTIF('9月'!BL21:BM21,H$300)+COUNTIF('9月'!BQ21:BR21,H$300)+COUNTIF('9月'!BV21:BW21,H$300)+COUNTIF('9月'!CA21:CB21,H$300)+COUNTIF('9月'!CF21:CG21,H$300)+COUNTIF('9月'!CK21:CL21,H$300)+COUNTIF('9月'!CP21:CQ21,H$300)+COUNTIF('9月'!CU21:CV21,H$300)+COUNTIF('9月'!CZ21:DA21,H$300)+COUNTIF('9月'!DE21:DF21,H$300)+COUNTIF('9月'!DJ21:DK21,H$300)+COUNTIF('9月'!DO21:DP21,H$300)+COUNTIF('9月'!DT21:DU21,H$300)+COUNTIF('9月'!DY21:DZ21,H$300)+COUNTIF('9月'!ED21:EE21,H$300)+COUNTIF('9月'!EI21:EJ21,H$300)+COUNTIF('9月'!EN21:EO21,H$300)+COUNTIF('9月'!ES21:ET21,H$300)+COUNTIF('9月'!D21:E21,"渋谷-夜勤")+COUNTIF('9月'!I21:J21,"渋谷-夜勤")+COUNTIF('9月'!N21:O21,"渋谷-夜勤")+COUNTIF('9月'!S21:T21,"渋谷-夜勤")+COUNTIF('9月'!X21:Y21,"渋谷-夜勤")+COUNTIF('9月'!AC21:AD21,"渋谷-夜勤")+COUNTIF('9月'!AH21:AI21,"渋谷-夜勤")+COUNTIF('9月'!AM21:AN21,"渋谷-夜勤")+COUNTIF('9月'!AR21:AS21,"渋谷-夜勤")+COUNTIF('9月'!AW21:AX21,"渋谷-夜勤")+COUNTIF('9月'!BB21:BC21,"渋谷-夜勤")+COUNTIF('9月'!BG21:BH21,"渋谷-夜勤")+COUNTIF('9月'!BL21:BM21,"渋谷-夜勤")+COUNTIF('9月'!BQ21:BR21,"渋谷-夜勤")+COUNTIF('9月'!BV21:BW21,"渋谷-夜勤")+COUNTIF('9月'!CA21:CB21,"渋谷-夜勤")+COUNTIF('9月'!CF21:CG21,"渋谷-夜勤")+COUNTIF('9月'!CK21:CL21,"渋谷-夜勤")+COUNTIF('9月'!CP21:CQ21,"渋谷-夜勤")+COUNTIF('9月'!CU21:CV21,"渋谷-夜勤")+COUNTIF('9月'!CZ21:DA21,"渋谷-夜勤")+COUNTIF('9月'!DE21:DF21,"渋谷-夜勤")+COUNTIF('9月'!DJ21:DK21,"渋谷-夜勤")+COUNTIF('9月'!DO21:DP21,"渋谷-夜勤")+COUNTIF('9月'!DT21:DU21,"渋谷-夜勤")+COUNTIF('9月'!DY21:DZ21,"渋谷-夜勤")+COUNTIF('9月'!ED21:EE21,"渋谷-夜勤")+COUNTIF('9月'!EI21:EJ21,"渋谷-夜勤")+COUNTIF('9月'!EN21:EO21,"渋谷-夜勤")+COUNTIF('9月'!ES21:ET21,"渋谷-夜勤")</f>
        <v>0</v>
      </c>
      <c r="I319" s="76">
        <f t="shared" si="99"/>
        <v>0</v>
      </c>
      <c r="J319" s="76">
        <f>COUNTIF('9月'!D21:E21,J$300)+COUNTIF('9月'!I21:J21,J$300)+COUNTIF('9月'!N21:O21,J$300)+COUNTIF('9月'!S21:T21,J$300)+COUNTIF('9月'!X21:Y21,J$300)+COUNTIF('9月'!AC21:AD21,J$300)+COUNTIF('9月'!AH21:AI21,J$300)+COUNTIF('9月'!AM21:AN21,J$300)+COUNTIF('9月'!AR21:AS21,J$300)+COUNTIF('9月'!AW21:AX21,J$300)+COUNTIF('9月'!BB21:BC21,J$300)+COUNTIF('9月'!BG21:BH21,J$300)+COUNTIF('9月'!BL21:BM21,J$300)+COUNTIF('9月'!BQ21:BR21,J$300)+COUNTIF('9月'!BV21:BW21,J$300)+COUNTIF('9月'!CA21:CB21,J$300)+COUNTIF('9月'!CF21:CG21,J$300)+COUNTIF('9月'!CK21:CL21,J$300)+COUNTIF('9月'!CP21:CQ21,J$300)+COUNTIF('9月'!CU21:CV21,J$300)+COUNTIF('9月'!CZ21:DA21,J$300)+COUNTIF('9月'!DE21:DF21,J$300)+COUNTIF('9月'!DJ21:DK21,J$300)+COUNTIF('9月'!DO21:DP21,J$300)+COUNTIF('9月'!DT21:DU21,J$300)+COUNTIF('9月'!DY21:DZ21,J$300)+COUNTIF('9月'!ED21:EE21,J$300)+COUNTIF('9月'!EI21:EJ21,J$300)+COUNTIF('9月'!EN21:EO21,J$300)+COUNTIF('9月'!ES21:ET21,J$300)+COUNTIF('9月'!D21:E21,"六本木-夜勤")+COUNTIF('9月'!I21:J21,"六本木-夜勤")+COUNTIF('9月'!N21:O21,"六本木-夜勤")+COUNTIF('9月'!S21:T21,"六本木-夜勤")+COUNTIF('9月'!X21:Y21,"六本木-夜勤")+COUNTIF('9月'!AC21:AD21,"六本木-夜勤")+COUNTIF('9月'!AH21:AI21,"六本木-夜勤")+COUNTIF('9月'!AM21:AN21,"六本木-夜勤")+COUNTIF('9月'!AR21:AS21,"六本木-夜勤")+COUNTIF('9月'!AW21:AX21,"六本木-夜勤")+COUNTIF('9月'!BB21:BC21,"六本木-夜勤")+COUNTIF('9月'!BG21:BH21,"六本木-夜勤")+COUNTIF('9月'!BL21:BM21,"六本木-夜勤")+COUNTIF('9月'!BQ21:BR21,"六本木-夜勤")+COUNTIF('9月'!BV21:BW21,"六本木-夜勤")+COUNTIF('9月'!CA21:CB21,"六本木-夜勤")+COUNTIF('9月'!CF21:CG21,"六本木-夜勤")+COUNTIF('9月'!CK21:CL21,"六本木-夜勤")+COUNTIF('9月'!CP21:CQ21,"六本木-夜勤")+COUNTIF('9月'!CU21:CV21,"六本木-夜勤")+COUNTIF('9月'!CZ21:DA21,"六本木-夜勤")+COUNTIF('9月'!DE21:DF21,"六本木-夜勤")+COUNTIF('9月'!DJ21:DK21,"六本木-夜勤")+COUNTIF('9月'!DO21:DP21,"六本木-夜勤")+COUNTIF('9月'!DT21:DU21,"六本木-夜勤")+COUNTIF('9月'!DY21:DZ21,"六本木-夜勤")+COUNTIF('9月'!ED21:EE21,"六本木-夜勤")+COUNTIF('9月'!EI21:EJ21,"六本木-夜勤")+COUNTIF('9月'!EN21:EO21,"六本木-夜勤")+COUNTIF('9月'!ES21:ET21,"六本木-夜勤")+COUNTIF('9月'!D21:E21,"六本木ー夜勤")+COUNTIF('9月'!I21:J21,"六本木ー夜勤")+COUNTIF('9月'!N21:O21,"六本木ー夜勤")+COUNTIF('9月'!S21:T21,"六本木ー夜勤")+COUNTIF('9月'!X21:Y21,"六本木ー夜勤")+COUNTIF('9月'!AC21:AD21,"六本木ー夜勤")+COUNTIF('9月'!AH21:AI21,"六本木ー夜勤")+COUNTIF('9月'!AM21:AN21,"六本木ー夜勤")+COUNTIF('9月'!AR21:AS21,"六本木ー夜勤")+COUNTIF('9月'!AW21:AX21,"六本木ー夜勤")+COUNTIF('9月'!BB21:BC21,"六本木ー夜勤")+COUNTIF('9月'!BG21:BH21,"六本木ー夜勤")+COUNTIF('9月'!BL21:BM21,"六本木ー夜勤")+COUNTIF('9月'!BQ21:BR21,"六本木ー夜勤")+COUNTIF('9月'!BV21:BW21,"六本木ー夜勤")+COUNTIF('9月'!CA21:CB21,"六本木ー夜勤")+COUNTIF('9月'!CF21:CG21,"六本木ー夜勤")+COUNTIF('9月'!CK21:CL21,"六本木ー夜勤")+COUNTIF('9月'!CP21:CQ21,"六本木ー夜勤")+COUNTIF('9月'!CU21:CV21,"六本木ー夜勤")+COUNTIF('9月'!CZ21:DA21,"六本木ー夜勤")+COUNTIF('9月'!DE21:DF21,"六本木ー夜勤")+COUNTIF('9月'!DJ21:DK21,"六本木ー夜勤")+COUNTIF('9月'!DO21:DP21,"六本木ー夜勤")+COUNTIF('9月'!DT21:DU21,"六本木ー夜勤")+COUNTIF('9月'!DY21:DZ21,"六本木ー夜勤")+COUNTIF('9月'!ED21:EE21,"六本木ー夜勤")+COUNTIF('9月'!EI21:EJ21,"六本木ー夜勤")+COUNTIF('9月'!EN21:EO21,"六本木ー夜勤")+COUNTIF('9月'!ES21:ET21,"六本木ー夜勤")</f>
        <v>0</v>
      </c>
      <c r="K319" s="76">
        <f t="shared" si="100"/>
        <v>0</v>
      </c>
      <c r="L319" s="76">
        <f>COUNTIF('9月'!D21:E21,L$300)+COUNTIF('9月'!I21:J21,L$300)+COUNTIF('9月'!N21:O21,L$300)+COUNTIF('9月'!S21:T21,L$300)+COUNTIF('9月'!X21:Y21,L$300)+COUNTIF('9月'!AC21:AD21,L$300)+COUNTIF('9月'!AH21:AI21,L$300)+COUNTIF('9月'!AM21:AN21,L$300)+COUNTIF('9月'!AR21:AS21,L$300)+COUNTIF('9月'!AW21:AX21,L$300)+COUNTIF('9月'!BB21:BC21,L$300)+COUNTIF('9月'!BG21:BH21,L$300)+COUNTIF('9月'!BL21:BM21,L$300)+COUNTIF('9月'!BQ21:BR21,L$300)+COUNTIF('9月'!BV21:BW21,L$300)+COUNTIF('9月'!CA21:CB21,L$300)+COUNTIF('9月'!CF21:CG21,L$300)+COUNTIF('9月'!CK21:CL21,L$300)+COUNTIF('9月'!CP21:CQ21,L$300)+COUNTIF('9月'!CU21:CV21,L$300)+COUNTIF('9月'!CZ21:DA21,L$300)+COUNTIF('9月'!DE21:DF21,L$300)+COUNTIF('9月'!DJ21:DK21,L$300)+COUNTIF('9月'!DO21:DP21,L$300)+COUNTIF('9月'!DT21:DU21,L$300)+COUNTIF('9月'!DY21:DZ21,L$300)+COUNTIF('9月'!ED21:EE21,L$300)+COUNTIF('9月'!EI21:EJ21,L$300)+COUNTIF('9月'!EN21:EO21,L$300)+COUNTIF('9月'!ES21:ET21,L$300)</f>
        <v>0</v>
      </c>
      <c r="M319" s="76">
        <f t="shared" si="101"/>
        <v>0</v>
      </c>
      <c r="N319" s="76">
        <f>COUNTIF('9月'!D21:E21,N$300)+COUNTIF('9月'!I21:J21,N$300)+COUNTIF('9月'!N21:O21,N$300)+COUNTIF('9月'!S21:T21,N$300)+COUNTIF('9月'!X21:Y21,N$300)+COUNTIF('9月'!AC21:AD21,N$300)+COUNTIF('9月'!AH21:AI21,N$300)+COUNTIF('9月'!AM21:AN21,N$300)+COUNTIF('9月'!AR21:AS21,N$300)+COUNTIF('9月'!AW21:AX21,N$300)+COUNTIF('9月'!BB21:BC21,N$300)+COUNTIF('9月'!BG21:BH21,N$300)+COUNTIF('9月'!BL21:BM21,N$300)+COUNTIF('9月'!BQ21:BR21,N$300)+COUNTIF('9月'!BV21:BW21,N$300)+COUNTIF('9月'!CA21:CB21,N$300)+COUNTIF('9月'!CF21:CG21,N$300)+COUNTIF('9月'!CK21:CL21,N$300)+COUNTIF('9月'!CP21:CQ21,N$300)+COUNTIF('9月'!CU21:CV21,N$300)+COUNTIF('9月'!CZ21:DA21,N$300)+COUNTIF('9月'!DE21:DF21,N$300)+COUNTIF('9月'!DJ21:DK21,N$300)+COUNTIF('9月'!DO21:DP21,N$300)+COUNTIF('9月'!DT21:DU21,N$300)+COUNTIF('9月'!DY21:DZ21,N$300)+COUNTIF('9月'!ED21:EE21,N$300)+COUNTIF('9月'!EI21:EJ21,N$300)+COUNTIF('9月'!EN21:EO21,N$300)+COUNTIF('9月'!ES21:ET21,N$300)+COUNTIF('9月'!D21:E21,"三軒茶屋－夜勤")+COUNTIF('9月'!I21:J21,"三軒茶屋－夜勤")+COUNTIF('9月'!N21:O21,"三軒茶屋－夜勤")+COUNTIF('9月'!S21:T21,"三軒茶屋－夜勤")+COUNTIF('9月'!X21:Y21,"三軒茶屋－夜勤")+COUNTIF('9月'!AC21:AD21,"三軒茶屋－夜勤")+COUNTIF('9月'!AH21:AI21,"三軒茶屋－夜勤")+COUNTIF('9月'!AM21:AN21,"三軒茶屋－夜勤")+COUNTIF('9月'!AR21:AS21,"三軒茶屋－夜勤")+COUNTIF('9月'!AW21:AX21,"三軒茶屋－夜勤")+COUNTIF('9月'!BB21:BC21,"三軒茶屋－夜勤")+COUNTIF('9月'!BG21:BH21,"三軒茶屋－夜勤")+COUNTIF('9月'!BL21:BM21,"三軒茶屋－夜勤")+COUNTIF('9月'!BQ21:BR21,"三軒茶屋－夜勤")+COUNTIF('9月'!BV21:BW21,"三軒茶屋－夜勤")+COUNTIF('9月'!CA21:CB21,"三軒茶屋－夜勤")+COUNTIF('9月'!CF21:CG21,"三軒茶屋－夜勤")+COUNTIF('9月'!CK21:CL21,"三軒茶屋－夜勤")+COUNTIF('9月'!CP21:CQ21,"三軒茶屋－夜勤")+COUNTIF('9月'!CU21:CV21,"三軒茶屋－夜勤")+COUNTIF('9月'!CZ21:DA21,"三軒茶屋－夜勤")+COUNTIF('9月'!DE21:DF21,"三軒茶屋－夜勤")+COUNTIF('9月'!DJ21:DK21,"三軒茶屋－夜勤")+COUNTIF('9月'!DO21:DP21,"三軒茶屋－夜勤")+COUNTIF('9月'!DT21:DU21,"三軒茶屋－夜勤")+COUNTIF('9月'!DY21:DZ21,"三軒茶屋－夜勤")+COUNTIF('9月'!ED21:EE21,"三軒茶屋－夜勤")+COUNTIF('9月'!EI21:EJ21,"三軒茶屋－夜勤")+COUNTIF('9月'!EN21:EO21,"三軒茶屋－夜勤")+COUNTIF('9月'!ES21:ET21,"三軒茶屋－夜勤")</f>
        <v>0</v>
      </c>
      <c r="O319" s="76">
        <f t="shared" si="102"/>
        <v>0</v>
      </c>
      <c r="P319" s="76">
        <f>COUNTIF('9月'!D21:E21,P$300)+COUNTIF('9月'!I21:J21,P$300)+COUNTIF('9月'!N21:O21,P$300)+COUNTIF('9月'!S21:T21,P$300)+COUNTIF('9月'!X21:Y21,P$300)+COUNTIF('9月'!AC21:AD21,P$300)+COUNTIF('9月'!AH21:AI21,P$300)+COUNTIF('9月'!AM21:AN21,P$300)+COUNTIF('9月'!AR21:AS21,P$300)+COUNTIF('9月'!AW21:AX21,P$300)+COUNTIF('9月'!BB21:BC21,P$300)+COUNTIF('9月'!BG21:BH21,P$300)+COUNTIF('9月'!BL21:BM21,P$300)+COUNTIF('9月'!BQ21:BR21,P$300)+COUNTIF('9月'!BV21:BW21,P$300)+COUNTIF('9月'!CA21:CB21,P$300)+COUNTIF('9月'!CF21:CG21,P$300)+COUNTIF('9月'!CK21:CL21,P$300)+COUNTIF('9月'!CP21:CQ21,P$300)+COUNTIF('9月'!CU21:CV21,P$300)+COUNTIF('9月'!CZ21:DA21,P$300)+COUNTIF('9月'!DE21:DF21,P$300)+COUNTIF('9月'!DJ21:DK21,P$300)+COUNTIF('9月'!DO21:DP21,P$300)+COUNTIF('9月'!DT21:DU21,P$300)+COUNTIF('9月'!DY21:DZ21,P$300)+COUNTIF('9月'!ED21:EE21,P$300)+COUNTIF('9月'!EI21:EJ21,P$300)+COUNTIF('9月'!EN21:EO21,P$300)+COUNTIF('9月'!ES21:ET21,P$300)+COUNTIF('9月'!D21:E21,"荻窪ー夜勤")+COUNTIF('9月'!I21:J21,"荻窪ー夜勤")+COUNTIF('9月'!N21:O21,"荻窪ー夜勤")+COUNTIF('9月'!S21:T21,"荻窪ー夜勤")+COUNTIF('9月'!X21:Y21,"荻窪ー夜勤")+COUNTIF('9月'!AC21:AD21,"荻窪ー夜勤")+COUNTIF('9月'!AH21:AI21,"荻窪ー夜勤")+COUNTIF('9月'!AM21:AN21,"荻窪ー夜勤")+COUNTIF('9月'!AR21:AS21,"荻窪ー夜勤")+COUNTIF('9月'!AW21:AX21,"荻窪ー夜勤")+COUNTIF('9月'!BB21:BC21,"荻窪ー夜勤")+COUNTIF('9月'!BG21:BH21,"荻窪ー夜勤")+COUNTIF('9月'!BL21:BM21,"荻窪ー夜勤")+COUNTIF('9月'!BQ21:BR21,"荻窪ー夜勤")+COUNTIF('9月'!BV21:BW21,"荻窪ー夜勤")+COUNTIF('9月'!CA21:CB21,"荻窪ー夜勤")+COUNTIF('9月'!CF21:CG21,"荻窪ー夜勤")+COUNTIF('9月'!CK21:CL21,"荻窪ー夜勤")+COUNTIF('9月'!CP21:CQ21,"荻窪ー夜勤")+COUNTIF('9月'!CU21:CV21,"荻窪ー夜勤")+COUNTIF('9月'!CZ21:DA21,"荻窪ー夜勤")+COUNTIF('9月'!DE21:DF21,"荻窪ー夜勤")+COUNTIF('9月'!DJ21:DK21,"荻窪ー夜勤")+COUNTIF('9月'!DO21:DP21,"荻窪ー夜勤")+COUNTIF('9月'!DT21:DU21,"荻窪ー夜勤")+COUNTIF('9月'!DY21:DZ21,"荻窪ー夜勤")+COUNTIF('9月'!ED21:EE21,"荻窪ー夜勤")+COUNTIF('9月'!EI21:EJ21,"荻窪ー夜勤")+COUNTIF('9月'!EN21:EO21,"荻窪ー夜勤")+COUNTIF('9月'!ES21:ET21,"荻窪ー夜勤")</f>
        <v>0</v>
      </c>
      <c r="Q319" s="76">
        <f t="shared" si="103"/>
        <v>0</v>
      </c>
      <c r="R319" s="76">
        <f>COUNTIF('9月'!D21:E21,R$300)+COUNTIF('9月'!I21:J21,R$300)+COUNTIF('9月'!N21:O21,R$300)+COUNTIF('9月'!S21:T21,R$300)+COUNTIF('9月'!X21:Y21,R$300)+COUNTIF('9月'!AC21:AD21,R$300)+COUNTIF('9月'!AH21:AI21,R$300)+COUNTIF('9月'!AM21:AN21,R$300)+COUNTIF('9月'!AR21:AS21,R$300)+COUNTIF('9月'!AW21:AX21,R$300)+COUNTIF('9月'!BB21:BC21,R$300)+COUNTIF('9月'!BG21:BH21,R$300)+COUNTIF('9月'!BL21:BM21,R$300)+COUNTIF('9月'!BQ21:BR21,R$300)+COUNTIF('9月'!BV21:BW21,R$300)+COUNTIF('9月'!CA21:CB21,R$300)+COUNTIF('9月'!CF21:CG21,R$300)+COUNTIF('9月'!CK21:CL21,R$300)+COUNTIF('9月'!CP21:CQ21,R$300)+COUNTIF('9月'!CU21:CV21,R$300)+COUNTIF('9月'!CZ21:DA21,R$300)+COUNTIF('9月'!DE21:DF21,R$300)+COUNTIF('9月'!DJ21:DK21,R$300)+COUNTIF('9月'!DO21:DP21,R$300)+COUNTIF('9月'!DT21:DU21,R$300)+COUNTIF('9月'!DY21:DZ21,R$300)+COUNTIF('9月'!ED21:EE21,R$300)+COUNTIF('9月'!EI21:EJ21,R$300)+COUNTIF('9月'!EN21:EO21,R$300)+COUNTIF('9月'!ES21:ET21,R$300)</f>
        <v>0</v>
      </c>
      <c r="S319" s="76">
        <f t="shared" si="104"/>
        <v>0</v>
      </c>
      <c r="T319" s="76">
        <f>COUNTIF('9月'!D21:E21,T$300)+COUNTIF('9月'!I21:J21,T$300)+COUNTIF('9月'!N21:O21,T$300)+COUNTIF('9月'!S21:T21,T$300)+COUNTIF('9月'!X21:Y21,T$300)+COUNTIF('9月'!AC21:AD21,T$300)+COUNTIF('9月'!AH21:AI21,T$300)+COUNTIF('9月'!AM21:AN21,T$300)+COUNTIF('9月'!AR21:AS21,T$300)+COUNTIF('9月'!AW21:AX21,T$300)+COUNTIF('9月'!BB21:BC21,T$300)+COUNTIF('9月'!BG21:BH21,T$300)+COUNTIF('9月'!BL21:BM21,T$300)+COUNTIF('9月'!BQ21:BR21,T$300)+COUNTIF('9月'!BV21:BW21,T$300)+COUNTIF('9月'!CA21:CB21,T$300)+COUNTIF('9月'!CF21:CG21,T$300)+COUNTIF('9月'!CK21:CL21,T$300)+COUNTIF('9月'!CP21:CQ21,T$300)+COUNTIF('9月'!CU21:CV21,T$300)+COUNTIF('9月'!CZ21:DA21,T$300)+COUNTIF('9月'!DE21:DF21,T$300)+COUNTIF('9月'!DJ21:DK21,T$300)+COUNTIF('9月'!DO21:DP21,T$300)+COUNTIF('9月'!DT21:DU21,T$300)+COUNTIF('9月'!DY21:DZ21,T$300)+COUNTIF('9月'!ED21:EE21,T$300)+COUNTIF('9月'!EI21:EJ21,T$300)+COUNTIF('9月'!EN21:EO21,T$300)+COUNTIF('9月'!ES21:ET21,T$300)</f>
        <v>0</v>
      </c>
      <c r="U319" s="76">
        <f t="shared" si="105"/>
        <v>0</v>
      </c>
      <c r="V319" s="76">
        <f>COUNTIF('9月'!D21:E21,V$300)+COUNTIF('9月'!I21:J21,V$300)+COUNTIF('9月'!N21:O21,V$300)+COUNTIF('9月'!S21:T21,V$300)+COUNTIF('9月'!X21:Y21,V$300)+COUNTIF('9月'!AC21:AD21,V$300)+COUNTIF('9月'!AH21:AI21,V$300)+COUNTIF('9月'!AM21:AN21,V$300)+COUNTIF('9月'!AR21:AS21,V$300)+COUNTIF('9月'!AW21:AX21,V$300)+COUNTIF('9月'!BB21:BC21,V$300)+COUNTIF('9月'!BG21:BH21,V$300)+COUNTIF('9月'!BL21:BM21,V$300)+COUNTIF('9月'!BQ21:BR21,V$300)+COUNTIF('9月'!BV21:BW21,V$300)+COUNTIF('9月'!CA21:CB21,V$300)+COUNTIF('9月'!CF21:CG21,V$300)+COUNTIF('9月'!CK21:CL21,V$300)+COUNTIF('9月'!CP21:CQ21,V$300)+COUNTIF('9月'!CU21:CV21,V$300)+COUNTIF('9月'!CZ21:DA21,V$300)+COUNTIF('9月'!DE21:DF21,V$300)+COUNTIF('9月'!DJ21:DK21,V$300)+COUNTIF('9月'!DO21:DP21,V$300)+COUNTIF('9月'!DT21:DU21,V$300)+COUNTIF('9月'!DY21:DZ21,V$300)+COUNTIF('9月'!ED21:EE21,V$300)+COUNTIF('9月'!EI21:EJ21,V$300)+COUNTIF('9月'!EN21:EO21,V$300)+COUNTIF('9月'!ES21:ET21,V$300)</f>
        <v>0</v>
      </c>
      <c r="W319" s="76">
        <f t="shared" si="106"/>
        <v>0</v>
      </c>
      <c r="X319" s="76">
        <f>COUNTIF('9月'!D21:E21,X$300)+COUNTIF('9月'!I21:J21,X$300)+COUNTIF('9月'!N21:O21,X$300)+COUNTIF('9月'!S21:T21,X$300)+COUNTIF('9月'!X21:Y21,X$300)+COUNTIF('9月'!AC21:AD21,X$300)+COUNTIF('9月'!AH21:AI21,X$300)+COUNTIF('9月'!AM21:AN21,X$300)+COUNTIF('9月'!AR21:AS21,X$300)+COUNTIF('9月'!AW21:AX21,X$300)+COUNTIF('9月'!BB21:BC21,X$300)+COUNTIF('9月'!BG21:BH21,X$300)+COUNTIF('9月'!BL21:BM21,X$300)+COUNTIF('9月'!BQ21:BR21,X$300)+COUNTIF('9月'!BV21:BW21,X$300)+COUNTIF('9月'!CA21:CB21,X$300)+COUNTIF('9月'!CF21:CG21,X$300)+COUNTIF('9月'!CK21:CL21,X$300)+COUNTIF('9月'!CP21:CQ21,X$300)+COUNTIF('9月'!CU21:CV21,X$300)+COUNTIF('9月'!CZ21:DA21,X$300)+COUNTIF('9月'!DE21:DF21,X$300)+COUNTIF('9月'!DJ21:DK21,X$300)+COUNTIF('9月'!DO21:DP21,X$300)+COUNTIF('9月'!DT21:DU21,X$300)+COUNTIF('9月'!DY21:DZ21,X$300)+COUNTIF('9月'!ED21:EE21,X$300)+COUNTIF('9月'!EI21:EJ21,X$300)+COUNTIF('9月'!EN21:EO21,X$300)+COUNTIF('9月'!ES21:ET21,X$300)</f>
        <v>0</v>
      </c>
      <c r="Y319" s="76">
        <f t="shared" si="107"/>
        <v>0</v>
      </c>
    </row>
    <row r="320" spans="1:25" ht="18" customHeight="1">
      <c r="A320" s="76">
        <v>19</v>
      </c>
      <c r="B320" s="76">
        <f>COUNTIF('9月'!D22:E22,B$300)+COUNTIF('9月'!I22:J22,B$300)+COUNTIF('9月'!N22:O22,B$300)+COUNTIF('9月'!S22:T22,B$300)+COUNTIF('9月'!X22:Y22,B$300)+COUNTIF('9月'!AC22:AD22,B$300)+COUNTIF('9月'!AH22:AI22,B$300)+COUNTIF('9月'!AM22:AN22,B$300)+COUNTIF('9月'!AR22:AS22,B$300)+COUNTIF('9月'!AW22:AX22,B$300)+COUNTIF('9月'!BB22:BC22,B$300)+COUNTIF('9月'!BG22:BH22,B$300)+COUNTIF('9月'!BL22:BM22,B$300)+COUNTIF('9月'!BQ22:BR22,B$300)+COUNTIF('9月'!BV22:BW22,B$300)+COUNTIF('9月'!CA22:CB22,B$300)+COUNTIF('9月'!CF22:CG22,B$300)+COUNTIF('9月'!CK22:CL22,B$300)+COUNTIF('9月'!CP22:CQ22,B$300)+COUNTIF('9月'!CU22:CV22,B$300)+COUNTIF('9月'!CZ22:DA22,B$300)+COUNTIF('9月'!DE22:DF22,B$300)+COUNTIF('9月'!DJ22:DK22,B$300)+COUNTIF('9月'!DO22:DP22,B$300)+COUNTIF('9月'!DT22:DU22,B$300)+COUNTIF('9月'!DY22:DZ22,B$300)+COUNTIF('9月'!ED22:EE22,B$300)+COUNTIF('9月'!EI22:EJ22,B$300)+COUNTIF('9月'!EN22:EO22,B$300)+COUNTIF('9月'!ES22:ET22,B$300)</f>
        <v>0</v>
      </c>
      <c r="C320" s="76">
        <f t="shared" si="96"/>
        <v>0</v>
      </c>
      <c r="D320" s="76">
        <f>COUNTIF('9月'!D22:E22,D$300)+COUNTIF('9月'!I22:J22,D$300)+COUNTIF('9月'!N22:O22,D$300)+COUNTIF('9月'!S22:T22,D$300)+COUNTIF('9月'!X22:Y22,D$300)+COUNTIF('9月'!AC22:AD22,D$300)+COUNTIF('9月'!AH22:AI22,D$300)+COUNTIF('9月'!AM22:AN22,D$300)+COUNTIF('9月'!AR22:AS22,D$300)+COUNTIF('9月'!AW22:AX22,D$300)+COUNTIF('9月'!BB22:BC22,D$300)+COUNTIF('9月'!BG22:BH22,D$300)+COUNTIF('9月'!BL22:BM22,D$300)+COUNTIF('9月'!BQ22:BR22,D$300)+COUNTIF('9月'!BV22:BW22,D$300)+COUNTIF('9月'!CA22:CB22,D$300)+COUNTIF('9月'!CF22:CG22,D$300)+COUNTIF('9月'!CK22:CL22,D$300)+COUNTIF('9月'!CP22:CQ22,D$300)+COUNTIF('9月'!CU22:CV22,D$300)+COUNTIF('9月'!CZ22:DA22,D$300)+COUNTIF('9月'!DE22:DF22,D$300)+COUNTIF('9月'!DJ22:DK22,D$300)+COUNTIF('9月'!DO22:DP22,D$300)+COUNTIF('9月'!DT22:DU22,D$300)+COUNTIF('9月'!DY22:DZ22,D$300)+COUNTIF('9月'!ED22:EE22,D$300)+COUNTIF('9月'!EI22:EJ22,D$300)+COUNTIF('9月'!EN22:EO22,D$300)+COUNTIF('9月'!ES22:ET22,D$300)</f>
        <v>0</v>
      </c>
      <c r="E320" s="76">
        <f t="shared" si="97"/>
        <v>0</v>
      </c>
      <c r="F320" s="76">
        <f>COUNTIF('9月'!D22:E22,F$300)+COUNTIF('9月'!I22:J22,F$300)+COUNTIF('9月'!N22:O22,F$300)+COUNTIF('9月'!S22:T22,F$300)+COUNTIF('9月'!X22:Y22,F$300)+COUNTIF('9月'!AC22:AD22,F$300)+COUNTIF('9月'!AH22:AI22,F$300)+COUNTIF('9月'!AM22:AN22,F$300)+COUNTIF('9月'!AR22:AS22,F$300)+COUNTIF('9月'!AW22:AX22,F$300)+COUNTIF('9月'!BB22:BC22,F$300)+COUNTIF('9月'!BG22:BH22,F$300)+COUNTIF('9月'!BL22:BM22,F$300)+COUNTIF('9月'!BQ22:BR22,F$300)+COUNTIF('9月'!BV22:BW22,F$300)+COUNTIF('9月'!CA22:CB22,F$300)+COUNTIF('9月'!CF22:CG22,F$300)+COUNTIF('9月'!CK22:CL22,F$300)+COUNTIF('9月'!CP22:CQ22,F$300)+COUNTIF('9月'!CU22:CV22,F$300)+COUNTIF('9月'!CZ22:DA22,F$300)+COUNTIF('9月'!DE22:DF22,F$300)+COUNTIF('9月'!DJ22:DK22,F$300)+COUNTIF('9月'!DO22:DP22,F$300)+COUNTIF('9月'!DT22:DU22,F$300)+COUNTIF('9月'!DY22:DZ22,F$300)+COUNTIF('9月'!ED22:EE22,F$300)+COUNTIF('9月'!EI22:EJ22,F$300)+COUNTIF('9月'!EN22:EO22,F$300)+COUNTIF('9月'!ES22:ET22,F$300)</f>
        <v>0</v>
      </c>
      <c r="G320" s="76">
        <f t="shared" si="98"/>
        <v>0</v>
      </c>
      <c r="H320" s="76">
        <f>COUNTIF('9月'!D22:E22,H$300)+COUNTIF('9月'!I22:J22,H$300)+COUNTIF('9月'!N22:O22,H$300)+COUNTIF('9月'!S22:T22,H$300)+COUNTIF('9月'!X22:Y22,H$300)+COUNTIF('9月'!AC22:AD22,H$300)+COUNTIF('9月'!AH22:AI22,H$300)+COUNTIF('9月'!AM22:AN22,H$300)+COUNTIF('9月'!AR22:AS22,H$300)+COUNTIF('9月'!AW22:AX22,H$300)+COUNTIF('9月'!BB22:BC22,H$300)+COUNTIF('9月'!BG22:BH22,H$300)+COUNTIF('9月'!BL22:BM22,H$300)+COUNTIF('9月'!BQ22:BR22,H$300)+COUNTIF('9月'!BV22:BW22,H$300)+COUNTIF('9月'!CA22:CB22,H$300)+COUNTIF('9月'!CF22:CG22,H$300)+COUNTIF('9月'!CK22:CL22,H$300)+COUNTIF('9月'!CP22:CQ22,H$300)+COUNTIF('9月'!CU22:CV22,H$300)+COUNTIF('9月'!CZ22:DA22,H$300)+COUNTIF('9月'!DE22:DF22,H$300)+COUNTIF('9月'!DJ22:DK22,H$300)+COUNTIF('9月'!DO22:DP22,H$300)+COUNTIF('9月'!DT22:DU22,H$300)+COUNTIF('9月'!DY22:DZ22,H$300)+COUNTIF('9月'!ED22:EE22,H$300)+COUNTIF('9月'!EI22:EJ22,H$300)+COUNTIF('9月'!EN22:EO22,H$300)+COUNTIF('9月'!ES22:ET22,H$300)+COUNTIF('9月'!D22:E22,"渋谷-夜勤")+COUNTIF('9月'!I22:J22,"渋谷-夜勤")+COUNTIF('9月'!N22:O22,"渋谷-夜勤")+COUNTIF('9月'!S22:T22,"渋谷-夜勤")+COUNTIF('9月'!X22:Y22,"渋谷-夜勤")+COUNTIF('9月'!AC22:AD22,"渋谷-夜勤")+COUNTIF('9月'!AH22:AI22,"渋谷-夜勤")+COUNTIF('9月'!AM22:AN22,"渋谷-夜勤")+COUNTIF('9月'!AR22:AS22,"渋谷-夜勤")+COUNTIF('9月'!AW22:AX22,"渋谷-夜勤")+COUNTIF('9月'!BB22:BC22,"渋谷-夜勤")+COUNTIF('9月'!BG22:BH22,"渋谷-夜勤")+COUNTIF('9月'!BL22:BM22,"渋谷-夜勤")+COUNTIF('9月'!BQ22:BR22,"渋谷-夜勤")+COUNTIF('9月'!BV22:BW22,"渋谷-夜勤")+COUNTIF('9月'!CA22:CB22,"渋谷-夜勤")+COUNTIF('9月'!CF22:CG22,"渋谷-夜勤")+COUNTIF('9月'!CK22:CL22,"渋谷-夜勤")+COUNTIF('9月'!CP22:CQ22,"渋谷-夜勤")+COUNTIF('9月'!CU22:CV22,"渋谷-夜勤")+COUNTIF('9月'!CZ22:DA22,"渋谷-夜勤")+COUNTIF('9月'!DE22:DF22,"渋谷-夜勤")+COUNTIF('9月'!DJ22:DK22,"渋谷-夜勤")+COUNTIF('9月'!DO22:DP22,"渋谷-夜勤")+COUNTIF('9月'!DT22:DU22,"渋谷-夜勤")+COUNTIF('9月'!DY22:DZ22,"渋谷-夜勤")+COUNTIF('9月'!ED22:EE22,"渋谷-夜勤")+COUNTIF('9月'!EI22:EJ22,"渋谷-夜勤")+COUNTIF('9月'!EN22:EO22,"渋谷-夜勤")+COUNTIF('9月'!ES22:ET22,"渋谷-夜勤")</f>
        <v>0</v>
      </c>
      <c r="I320" s="76">
        <f t="shared" si="99"/>
        <v>0</v>
      </c>
      <c r="J320" s="76">
        <f>COUNTIF('9月'!D22:E22,J$300)+COUNTIF('9月'!I22:J22,J$300)+COUNTIF('9月'!N22:O22,J$300)+COUNTIF('9月'!S22:T22,J$300)+COUNTIF('9月'!X22:Y22,J$300)+COUNTIF('9月'!AC22:AD22,J$300)+COUNTIF('9月'!AH22:AI22,J$300)+COUNTIF('9月'!AM22:AN22,J$300)+COUNTIF('9月'!AR22:AS22,J$300)+COUNTIF('9月'!AW22:AX22,J$300)+COUNTIF('9月'!BB22:BC22,J$300)+COUNTIF('9月'!BG22:BH22,J$300)+COUNTIF('9月'!BL22:BM22,J$300)+COUNTIF('9月'!BQ22:BR22,J$300)+COUNTIF('9月'!BV22:BW22,J$300)+COUNTIF('9月'!CA22:CB22,J$300)+COUNTIF('9月'!CF22:CG22,J$300)+COUNTIF('9月'!CK22:CL22,J$300)+COUNTIF('9月'!CP22:CQ22,J$300)+COUNTIF('9月'!CU22:CV22,J$300)+COUNTIF('9月'!CZ22:DA22,J$300)+COUNTIF('9月'!DE22:DF22,J$300)+COUNTIF('9月'!DJ22:DK22,J$300)+COUNTIF('9月'!DO22:DP22,J$300)+COUNTIF('9月'!DT22:DU22,J$300)+COUNTIF('9月'!DY22:DZ22,J$300)+COUNTIF('9月'!ED22:EE22,J$300)+COUNTIF('9月'!EI22:EJ22,J$300)+COUNTIF('9月'!EN22:EO22,J$300)+COUNTIF('9月'!ES22:ET22,J$300)+COUNTIF('9月'!D22:E22,"六本木-夜勤")+COUNTIF('9月'!I22:J22,"六本木-夜勤")+COUNTIF('9月'!N22:O22,"六本木-夜勤")+COUNTIF('9月'!S22:T22,"六本木-夜勤")+COUNTIF('9月'!X22:Y22,"六本木-夜勤")+COUNTIF('9月'!AC22:AD22,"六本木-夜勤")+COUNTIF('9月'!AH22:AI22,"六本木-夜勤")+COUNTIF('9月'!AM22:AN22,"六本木-夜勤")+COUNTIF('9月'!AR22:AS22,"六本木-夜勤")+COUNTIF('9月'!AW22:AX22,"六本木-夜勤")+COUNTIF('9月'!BB22:BC22,"六本木-夜勤")+COUNTIF('9月'!BG22:BH22,"六本木-夜勤")+COUNTIF('9月'!BL22:BM22,"六本木-夜勤")+COUNTIF('9月'!BQ22:BR22,"六本木-夜勤")+COUNTIF('9月'!BV22:BW22,"六本木-夜勤")+COUNTIF('9月'!CA22:CB22,"六本木-夜勤")+COUNTIF('9月'!CF22:CG22,"六本木-夜勤")+COUNTIF('9月'!CK22:CL22,"六本木-夜勤")+COUNTIF('9月'!CP22:CQ22,"六本木-夜勤")+COUNTIF('9月'!CU22:CV22,"六本木-夜勤")+COUNTIF('9月'!CZ22:DA22,"六本木-夜勤")+COUNTIF('9月'!DE22:DF22,"六本木-夜勤")+COUNTIF('9月'!DJ22:DK22,"六本木-夜勤")+COUNTIF('9月'!DO22:DP22,"六本木-夜勤")+COUNTIF('9月'!DT22:DU22,"六本木-夜勤")+COUNTIF('9月'!DY22:DZ22,"六本木-夜勤")+COUNTIF('9月'!ED22:EE22,"六本木-夜勤")+COUNTIF('9月'!EI22:EJ22,"六本木-夜勤")+COUNTIF('9月'!EN22:EO22,"六本木-夜勤")+COUNTIF('9月'!ES22:ET22,"六本木-夜勤")+COUNTIF('9月'!D22:E22,"六本木ー夜勤")+COUNTIF('9月'!I22:J22,"六本木ー夜勤")+COUNTIF('9月'!N22:O22,"六本木ー夜勤")+COUNTIF('9月'!S22:T22,"六本木ー夜勤")+COUNTIF('9月'!X22:Y22,"六本木ー夜勤")+COUNTIF('9月'!AC22:AD22,"六本木ー夜勤")+COUNTIF('9月'!AH22:AI22,"六本木ー夜勤")+COUNTIF('9月'!AM22:AN22,"六本木ー夜勤")+COUNTIF('9月'!AR22:AS22,"六本木ー夜勤")+COUNTIF('9月'!AW22:AX22,"六本木ー夜勤")+COUNTIF('9月'!BB22:BC22,"六本木ー夜勤")+COUNTIF('9月'!BG22:BH22,"六本木ー夜勤")+COUNTIF('9月'!BL22:BM22,"六本木ー夜勤")+COUNTIF('9月'!BQ22:BR22,"六本木ー夜勤")+COUNTIF('9月'!BV22:BW22,"六本木ー夜勤")+COUNTIF('9月'!CA22:CB22,"六本木ー夜勤")+COUNTIF('9月'!CF22:CG22,"六本木ー夜勤")+COUNTIF('9月'!CK22:CL22,"六本木ー夜勤")+COUNTIF('9月'!CP22:CQ22,"六本木ー夜勤")+COUNTIF('9月'!CU22:CV22,"六本木ー夜勤")+COUNTIF('9月'!CZ22:DA22,"六本木ー夜勤")+COUNTIF('9月'!DE22:DF22,"六本木ー夜勤")+COUNTIF('9月'!DJ22:DK22,"六本木ー夜勤")+COUNTIF('9月'!DO22:DP22,"六本木ー夜勤")+COUNTIF('9月'!DT22:DU22,"六本木ー夜勤")+COUNTIF('9月'!DY22:DZ22,"六本木ー夜勤")+COUNTIF('9月'!ED22:EE22,"六本木ー夜勤")+COUNTIF('9月'!EI22:EJ22,"六本木ー夜勤")+COUNTIF('9月'!EN22:EO22,"六本木ー夜勤")+COUNTIF('9月'!ES22:ET22,"六本木ー夜勤")</f>
        <v>0</v>
      </c>
      <c r="K320" s="76">
        <f t="shared" si="100"/>
        <v>0</v>
      </c>
      <c r="L320" s="76">
        <f>COUNTIF('9月'!D22:E22,L$300)+COUNTIF('9月'!I22:J22,L$300)+COUNTIF('9月'!N22:O22,L$300)+COUNTIF('9月'!S22:T22,L$300)+COUNTIF('9月'!X22:Y22,L$300)+COUNTIF('9月'!AC22:AD22,L$300)+COUNTIF('9月'!AH22:AI22,L$300)+COUNTIF('9月'!AM22:AN22,L$300)+COUNTIF('9月'!AR22:AS22,L$300)+COUNTIF('9月'!AW22:AX22,L$300)+COUNTIF('9月'!BB22:BC22,L$300)+COUNTIF('9月'!BG22:BH22,L$300)+COUNTIF('9月'!BL22:BM22,L$300)+COUNTIF('9月'!BQ22:BR22,L$300)+COUNTIF('9月'!BV22:BW22,L$300)+COUNTIF('9月'!CA22:CB22,L$300)+COUNTIF('9月'!CF22:CG22,L$300)+COUNTIF('9月'!CK22:CL22,L$300)+COUNTIF('9月'!CP22:CQ22,L$300)+COUNTIF('9月'!CU22:CV22,L$300)+COUNTIF('9月'!CZ22:DA22,L$300)+COUNTIF('9月'!DE22:DF22,L$300)+COUNTIF('9月'!DJ22:DK22,L$300)+COUNTIF('9月'!DO22:DP22,L$300)+COUNTIF('9月'!DT22:DU22,L$300)+COUNTIF('9月'!DY22:DZ22,L$300)+COUNTIF('9月'!ED22:EE22,L$300)+COUNTIF('9月'!EI22:EJ22,L$300)+COUNTIF('9月'!EN22:EO22,L$300)+COUNTIF('9月'!ES22:ET22,L$300)</f>
        <v>0</v>
      </c>
      <c r="M320" s="76">
        <f t="shared" si="101"/>
        <v>0</v>
      </c>
      <c r="N320" s="76">
        <f>COUNTIF('9月'!D22:E22,N$300)+COUNTIF('9月'!I22:J22,N$300)+COUNTIF('9月'!N22:O22,N$300)+COUNTIF('9月'!S22:T22,N$300)+COUNTIF('9月'!X22:Y22,N$300)+COUNTIF('9月'!AC22:AD22,N$300)+COUNTIF('9月'!AH22:AI22,N$300)+COUNTIF('9月'!AM22:AN22,N$300)+COUNTIF('9月'!AR22:AS22,N$300)+COUNTIF('9月'!AW22:AX22,N$300)+COUNTIF('9月'!BB22:BC22,N$300)+COUNTIF('9月'!BG22:BH22,N$300)+COUNTIF('9月'!BL22:BM22,N$300)+COUNTIF('9月'!BQ22:BR22,N$300)+COUNTIF('9月'!BV22:BW22,N$300)+COUNTIF('9月'!CA22:CB22,N$300)+COUNTIF('9月'!CF22:CG22,N$300)+COUNTIF('9月'!CK22:CL22,N$300)+COUNTIF('9月'!CP22:CQ22,N$300)+COUNTIF('9月'!CU22:CV22,N$300)+COUNTIF('9月'!CZ22:DA22,N$300)+COUNTIF('9月'!DE22:DF22,N$300)+COUNTIF('9月'!DJ22:DK22,N$300)+COUNTIF('9月'!DO22:DP22,N$300)+COUNTIF('9月'!DT22:DU22,N$300)+COUNTIF('9月'!DY22:DZ22,N$300)+COUNTIF('9月'!ED22:EE22,N$300)+COUNTIF('9月'!EI22:EJ22,N$300)+COUNTIF('9月'!EN22:EO22,N$300)+COUNTIF('9月'!ES22:ET22,N$300)+COUNTIF('9月'!D22:E22,"三軒茶屋－夜勤")+COUNTIF('9月'!I22:J22,"三軒茶屋－夜勤")+COUNTIF('9月'!N22:O22,"三軒茶屋－夜勤")+COUNTIF('9月'!S22:T22,"三軒茶屋－夜勤")+COUNTIF('9月'!X22:Y22,"三軒茶屋－夜勤")+COUNTIF('9月'!AC22:AD22,"三軒茶屋－夜勤")+COUNTIF('9月'!AH22:AI22,"三軒茶屋－夜勤")+COUNTIF('9月'!AM22:AN22,"三軒茶屋－夜勤")+COUNTIF('9月'!AR22:AS22,"三軒茶屋－夜勤")+COUNTIF('9月'!AW22:AX22,"三軒茶屋－夜勤")+COUNTIF('9月'!BB22:BC22,"三軒茶屋－夜勤")+COUNTIF('9月'!BG22:BH22,"三軒茶屋－夜勤")+COUNTIF('9月'!BL22:BM22,"三軒茶屋－夜勤")+COUNTIF('9月'!BQ22:BR22,"三軒茶屋－夜勤")+COUNTIF('9月'!BV22:BW22,"三軒茶屋－夜勤")+COUNTIF('9月'!CA22:CB22,"三軒茶屋－夜勤")+COUNTIF('9月'!CF22:CG22,"三軒茶屋－夜勤")+COUNTIF('9月'!CK22:CL22,"三軒茶屋－夜勤")+COUNTIF('9月'!CP22:CQ22,"三軒茶屋－夜勤")+COUNTIF('9月'!CU22:CV22,"三軒茶屋－夜勤")+COUNTIF('9月'!CZ22:DA22,"三軒茶屋－夜勤")+COUNTIF('9月'!DE22:DF22,"三軒茶屋－夜勤")+COUNTIF('9月'!DJ22:DK22,"三軒茶屋－夜勤")+COUNTIF('9月'!DO22:DP22,"三軒茶屋－夜勤")+COUNTIF('9月'!DT22:DU22,"三軒茶屋－夜勤")+COUNTIF('9月'!DY22:DZ22,"三軒茶屋－夜勤")+COUNTIF('9月'!ED22:EE22,"三軒茶屋－夜勤")+COUNTIF('9月'!EI22:EJ22,"三軒茶屋－夜勤")+COUNTIF('9月'!EN22:EO22,"三軒茶屋－夜勤")+COUNTIF('9月'!ES22:ET22,"三軒茶屋－夜勤")</f>
        <v>0</v>
      </c>
      <c r="O320" s="76">
        <f t="shared" si="102"/>
        <v>0</v>
      </c>
      <c r="P320" s="76">
        <f>COUNTIF('9月'!D22:E22,P$300)+COUNTIF('9月'!I22:J22,P$300)+COUNTIF('9月'!N22:O22,P$300)+COUNTIF('9月'!S22:T22,P$300)+COUNTIF('9月'!X22:Y22,P$300)+COUNTIF('9月'!AC22:AD22,P$300)+COUNTIF('9月'!AH22:AI22,P$300)+COUNTIF('9月'!AM22:AN22,P$300)+COUNTIF('9月'!AR22:AS22,P$300)+COUNTIF('9月'!AW22:AX22,P$300)+COUNTIF('9月'!BB22:BC22,P$300)+COUNTIF('9月'!BG22:BH22,P$300)+COUNTIF('9月'!BL22:BM22,P$300)+COUNTIF('9月'!BQ22:BR22,P$300)+COUNTIF('9月'!BV22:BW22,P$300)+COUNTIF('9月'!CA22:CB22,P$300)+COUNTIF('9月'!CF22:CG22,P$300)+COUNTIF('9月'!CK22:CL22,P$300)+COUNTIF('9月'!CP22:CQ22,P$300)+COUNTIF('9月'!CU22:CV22,P$300)+COUNTIF('9月'!CZ22:DA22,P$300)+COUNTIF('9月'!DE22:DF22,P$300)+COUNTIF('9月'!DJ22:DK22,P$300)+COUNTIF('9月'!DO22:DP22,P$300)+COUNTIF('9月'!DT22:DU22,P$300)+COUNTIF('9月'!DY22:DZ22,P$300)+COUNTIF('9月'!ED22:EE22,P$300)+COUNTIF('9月'!EI22:EJ22,P$300)+COUNTIF('9月'!EN22:EO22,P$300)+COUNTIF('9月'!ES22:ET22,P$300)+COUNTIF('9月'!D22:E22,"荻窪ー夜勤")+COUNTIF('9月'!I22:J22,"荻窪ー夜勤")+COUNTIF('9月'!N22:O22,"荻窪ー夜勤")+COUNTIF('9月'!S22:T22,"荻窪ー夜勤")+COUNTIF('9月'!X22:Y22,"荻窪ー夜勤")+COUNTIF('9月'!AC22:AD22,"荻窪ー夜勤")+COUNTIF('9月'!AH22:AI22,"荻窪ー夜勤")+COUNTIF('9月'!AM22:AN22,"荻窪ー夜勤")+COUNTIF('9月'!AR22:AS22,"荻窪ー夜勤")+COUNTIF('9月'!AW22:AX22,"荻窪ー夜勤")+COUNTIF('9月'!BB22:BC22,"荻窪ー夜勤")+COUNTIF('9月'!BG22:BH22,"荻窪ー夜勤")+COUNTIF('9月'!BL22:BM22,"荻窪ー夜勤")+COUNTIF('9月'!BQ22:BR22,"荻窪ー夜勤")+COUNTIF('9月'!BV22:BW22,"荻窪ー夜勤")+COUNTIF('9月'!CA22:CB22,"荻窪ー夜勤")+COUNTIF('9月'!CF22:CG22,"荻窪ー夜勤")+COUNTIF('9月'!CK22:CL22,"荻窪ー夜勤")+COUNTIF('9月'!CP22:CQ22,"荻窪ー夜勤")+COUNTIF('9月'!CU22:CV22,"荻窪ー夜勤")+COUNTIF('9月'!CZ22:DA22,"荻窪ー夜勤")+COUNTIF('9月'!DE22:DF22,"荻窪ー夜勤")+COUNTIF('9月'!DJ22:DK22,"荻窪ー夜勤")+COUNTIF('9月'!DO22:DP22,"荻窪ー夜勤")+COUNTIF('9月'!DT22:DU22,"荻窪ー夜勤")+COUNTIF('9月'!DY22:DZ22,"荻窪ー夜勤")+COUNTIF('9月'!ED22:EE22,"荻窪ー夜勤")+COUNTIF('9月'!EI22:EJ22,"荻窪ー夜勤")+COUNTIF('9月'!EN22:EO22,"荻窪ー夜勤")+COUNTIF('9月'!ES22:ET22,"荻窪ー夜勤")</f>
        <v>0</v>
      </c>
      <c r="Q320" s="76">
        <f t="shared" si="103"/>
        <v>0</v>
      </c>
      <c r="R320" s="76">
        <f>COUNTIF('9月'!D22:E22,R$300)+COUNTIF('9月'!I22:J22,R$300)+COUNTIF('9月'!N22:O22,R$300)+COUNTIF('9月'!S22:T22,R$300)+COUNTIF('9月'!X22:Y22,R$300)+COUNTIF('9月'!AC22:AD22,R$300)+COUNTIF('9月'!AH22:AI22,R$300)+COUNTIF('9月'!AM22:AN22,R$300)+COUNTIF('9月'!AR22:AS22,R$300)+COUNTIF('9月'!AW22:AX22,R$300)+COUNTIF('9月'!BB22:BC22,R$300)+COUNTIF('9月'!BG22:BH22,R$300)+COUNTIF('9月'!BL22:BM22,R$300)+COUNTIF('9月'!BQ22:BR22,R$300)+COUNTIF('9月'!BV22:BW22,R$300)+COUNTIF('9月'!CA22:CB22,R$300)+COUNTIF('9月'!CF22:CG22,R$300)+COUNTIF('9月'!CK22:CL22,R$300)+COUNTIF('9月'!CP22:CQ22,R$300)+COUNTIF('9月'!CU22:CV22,R$300)+COUNTIF('9月'!CZ22:DA22,R$300)+COUNTIF('9月'!DE22:DF22,R$300)+COUNTIF('9月'!DJ22:DK22,R$300)+COUNTIF('9月'!DO22:DP22,R$300)+COUNTIF('9月'!DT22:DU22,R$300)+COUNTIF('9月'!DY22:DZ22,R$300)+COUNTIF('9月'!ED22:EE22,R$300)+COUNTIF('9月'!EI22:EJ22,R$300)+COUNTIF('9月'!EN22:EO22,R$300)+COUNTIF('9月'!ES22:ET22,R$300)</f>
        <v>0</v>
      </c>
      <c r="S320" s="76">
        <f t="shared" si="104"/>
        <v>0</v>
      </c>
      <c r="T320" s="76">
        <f>COUNTIF('9月'!D22:E22,T$300)+COUNTIF('9月'!I22:J22,T$300)+COUNTIF('9月'!N22:O22,T$300)+COUNTIF('9月'!S22:T22,T$300)+COUNTIF('9月'!X22:Y22,T$300)+COUNTIF('9月'!AC22:AD22,T$300)+COUNTIF('9月'!AH22:AI22,T$300)+COUNTIF('9月'!AM22:AN22,T$300)+COUNTIF('9月'!AR22:AS22,T$300)+COUNTIF('9月'!AW22:AX22,T$300)+COUNTIF('9月'!BB22:BC22,T$300)+COUNTIF('9月'!BG22:BH22,T$300)+COUNTIF('9月'!BL22:BM22,T$300)+COUNTIF('9月'!BQ22:BR22,T$300)+COUNTIF('9月'!BV22:BW22,T$300)+COUNTIF('9月'!CA22:CB22,T$300)+COUNTIF('9月'!CF22:CG22,T$300)+COUNTIF('9月'!CK22:CL22,T$300)+COUNTIF('9月'!CP22:CQ22,T$300)+COUNTIF('9月'!CU22:CV22,T$300)+COUNTIF('9月'!CZ22:DA22,T$300)+COUNTIF('9月'!DE22:DF22,T$300)+COUNTIF('9月'!DJ22:DK22,T$300)+COUNTIF('9月'!DO22:DP22,T$300)+COUNTIF('9月'!DT22:DU22,T$300)+COUNTIF('9月'!DY22:DZ22,T$300)+COUNTIF('9月'!ED22:EE22,T$300)+COUNTIF('9月'!EI22:EJ22,T$300)+COUNTIF('9月'!EN22:EO22,T$300)+COUNTIF('9月'!ES22:ET22,T$300)</f>
        <v>0</v>
      </c>
      <c r="U320" s="76">
        <f t="shared" si="105"/>
        <v>0</v>
      </c>
      <c r="V320" s="76">
        <f>COUNTIF('9月'!D22:E22,V$300)+COUNTIF('9月'!I22:J22,V$300)+COUNTIF('9月'!N22:O22,V$300)+COUNTIF('9月'!S22:T22,V$300)+COUNTIF('9月'!X22:Y22,V$300)+COUNTIF('9月'!AC22:AD22,V$300)+COUNTIF('9月'!AH22:AI22,V$300)+COUNTIF('9月'!AM22:AN22,V$300)+COUNTIF('9月'!AR22:AS22,V$300)+COUNTIF('9月'!AW22:AX22,V$300)+COUNTIF('9月'!BB22:BC22,V$300)+COUNTIF('9月'!BG22:BH22,V$300)+COUNTIF('9月'!BL22:BM22,V$300)+COUNTIF('9月'!BQ22:BR22,V$300)+COUNTIF('9月'!BV22:BW22,V$300)+COUNTIF('9月'!CA22:CB22,V$300)+COUNTIF('9月'!CF22:CG22,V$300)+COUNTIF('9月'!CK22:CL22,V$300)+COUNTIF('9月'!CP22:CQ22,V$300)+COUNTIF('9月'!CU22:CV22,V$300)+COUNTIF('9月'!CZ22:DA22,V$300)+COUNTIF('9月'!DE22:DF22,V$300)+COUNTIF('9月'!DJ22:DK22,V$300)+COUNTIF('9月'!DO22:DP22,V$300)+COUNTIF('9月'!DT22:DU22,V$300)+COUNTIF('9月'!DY22:DZ22,V$300)+COUNTIF('9月'!ED22:EE22,V$300)+COUNTIF('9月'!EI22:EJ22,V$300)+COUNTIF('9月'!EN22:EO22,V$300)+COUNTIF('9月'!ES22:ET22,V$300)</f>
        <v>0</v>
      </c>
      <c r="W320" s="76">
        <f t="shared" si="106"/>
        <v>0</v>
      </c>
      <c r="X320" s="76">
        <f>COUNTIF('9月'!D22:E22,X$300)+COUNTIF('9月'!I22:J22,X$300)+COUNTIF('9月'!N22:O22,X$300)+COUNTIF('9月'!S22:T22,X$300)+COUNTIF('9月'!X22:Y22,X$300)+COUNTIF('9月'!AC22:AD22,X$300)+COUNTIF('9月'!AH22:AI22,X$300)+COUNTIF('9月'!AM22:AN22,X$300)+COUNTIF('9月'!AR22:AS22,X$300)+COUNTIF('9月'!AW22:AX22,X$300)+COUNTIF('9月'!BB22:BC22,X$300)+COUNTIF('9月'!BG22:BH22,X$300)+COUNTIF('9月'!BL22:BM22,X$300)+COUNTIF('9月'!BQ22:BR22,X$300)+COUNTIF('9月'!BV22:BW22,X$300)+COUNTIF('9月'!CA22:CB22,X$300)+COUNTIF('9月'!CF22:CG22,X$300)+COUNTIF('9月'!CK22:CL22,X$300)+COUNTIF('9月'!CP22:CQ22,X$300)+COUNTIF('9月'!CU22:CV22,X$300)+COUNTIF('9月'!CZ22:DA22,X$300)+COUNTIF('9月'!DE22:DF22,X$300)+COUNTIF('9月'!DJ22:DK22,X$300)+COUNTIF('9月'!DO22:DP22,X$300)+COUNTIF('9月'!DT22:DU22,X$300)+COUNTIF('9月'!DY22:DZ22,X$300)+COUNTIF('9月'!ED22:EE22,X$300)+COUNTIF('9月'!EI22:EJ22,X$300)+COUNTIF('9月'!EN22:EO22,X$300)+COUNTIF('9月'!ES22:ET22,X$300)</f>
        <v>0</v>
      </c>
      <c r="Y320" s="76">
        <f t="shared" si="107"/>
        <v>0</v>
      </c>
    </row>
    <row r="321" spans="1:25" ht="18" customHeight="1">
      <c r="A321" s="76">
        <v>20</v>
      </c>
      <c r="B321" s="76">
        <f>COUNTIF('9月'!D23:E23,B$300)+COUNTIF('9月'!I23:J23,B$300)+COUNTIF('9月'!N23:O23,B$300)+COUNTIF('9月'!S23:T23,B$300)+COUNTIF('9月'!X23:Y23,B$300)+COUNTIF('9月'!AC23:AD23,B$300)+COUNTIF('9月'!AH23:AI23,B$300)+COUNTIF('9月'!AM23:AN23,B$300)+COUNTIF('9月'!AR23:AS23,B$300)+COUNTIF('9月'!AW23:AX23,B$300)+COUNTIF('9月'!BB23:BC23,B$300)+COUNTIF('9月'!BG23:BH23,B$300)+COUNTIF('9月'!BL23:BM23,B$300)+COUNTIF('9月'!BQ23:BR23,B$300)+COUNTIF('9月'!BV23:BW23,B$300)+COUNTIF('9月'!CA23:CB23,B$300)+COUNTIF('9月'!CF23:CG23,B$300)+COUNTIF('9月'!CK23:CL23,B$300)+COUNTIF('9月'!CP23:CQ23,B$300)+COUNTIF('9月'!CU23:CV23,B$300)+COUNTIF('9月'!CZ23:DA23,B$300)+COUNTIF('9月'!DE23:DF23,B$300)+COUNTIF('9月'!DJ23:DK23,B$300)+COUNTIF('9月'!DO23:DP23,B$300)+COUNTIF('9月'!DT23:DU23,B$300)+COUNTIF('9月'!DY23:DZ23,B$300)+COUNTIF('9月'!ED23:EE23,B$300)+COUNTIF('9月'!EI23:EJ23,B$300)+COUNTIF('9月'!EN23:EO23,B$300)+COUNTIF('9月'!ES23:ET23,B$300)</f>
        <v>0</v>
      </c>
      <c r="C321" s="76">
        <f t="shared" si="96"/>
        <v>0</v>
      </c>
      <c r="D321" s="76">
        <f>COUNTIF('9月'!D23:E23,D$300)+COUNTIF('9月'!I23:J23,D$300)+COUNTIF('9月'!N23:O23,D$300)+COUNTIF('9月'!S23:T23,D$300)+COUNTIF('9月'!X23:Y23,D$300)+COUNTIF('9月'!AC23:AD23,D$300)+COUNTIF('9月'!AH23:AI23,D$300)+COUNTIF('9月'!AM23:AN23,D$300)+COUNTIF('9月'!AR23:AS23,D$300)+COUNTIF('9月'!AW23:AX23,D$300)+COUNTIF('9月'!BB23:BC23,D$300)+COUNTIF('9月'!BG23:BH23,D$300)+COUNTIF('9月'!BL23:BM23,D$300)+COUNTIF('9月'!BQ23:BR23,D$300)+COUNTIF('9月'!BV23:BW23,D$300)+COUNTIF('9月'!CA23:CB23,D$300)+COUNTIF('9月'!CF23:CG23,D$300)+COUNTIF('9月'!CK23:CL23,D$300)+COUNTIF('9月'!CP23:CQ23,D$300)+COUNTIF('9月'!CU23:CV23,D$300)+COUNTIF('9月'!CZ23:DA23,D$300)+COUNTIF('9月'!DE23:DF23,D$300)+COUNTIF('9月'!DJ23:DK23,D$300)+COUNTIF('9月'!DO23:DP23,D$300)+COUNTIF('9月'!DT23:DU23,D$300)+COUNTIF('9月'!DY23:DZ23,D$300)+COUNTIF('9月'!ED23:EE23,D$300)+COUNTIF('9月'!EI23:EJ23,D$300)+COUNTIF('9月'!EN23:EO23,D$300)+COUNTIF('9月'!ES23:ET23,D$300)</f>
        <v>0</v>
      </c>
      <c r="E321" s="76">
        <f t="shared" si="97"/>
        <v>0</v>
      </c>
      <c r="F321" s="76">
        <f>COUNTIF('9月'!D23:E23,F$300)+COUNTIF('9月'!I23:J23,F$300)+COUNTIF('9月'!N23:O23,F$300)+COUNTIF('9月'!S23:T23,F$300)+COUNTIF('9月'!X23:Y23,F$300)+COUNTIF('9月'!AC23:AD23,F$300)+COUNTIF('9月'!AH23:AI23,F$300)+COUNTIF('9月'!AM23:AN23,F$300)+COUNTIF('9月'!AR23:AS23,F$300)+COUNTIF('9月'!AW23:AX23,F$300)+COUNTIF('9月'!BB23:BC23,F$300)+COUNTIF('9月'!BG23:BH23,F$300)+COUNTIF('9月'!BL23:BM23,F$300)+COUNTIF('9月'!BQ23:BR23,F$300)+COUNTIF('9月'!BV23:BW23,F$300)+COUNTIF('9月'!CA23:CB23,F$300)+COUNTIF('9月'!CF23:CG23,F$300)+COUNTIF('9月'!CK23:CL23,F$300)+COUNTIF('9月'!CP23:CQ23,F$300)+COUNTIF('9月'!CU23:CV23,F$300)+COUNTIF('9月'!CZ23:DA23,F$300)+COUNTIF('9月'!DE23:DF23,F$300)+COUNTIF('9月'!DJ23:DK23,F$300)+COUNTIF('9月'!DO23:DP23,F$300)+COUNTIF('9月'!DT23:DU23,F$300)+COUNTIF('9月'!DY23:DZ23,F$300)+COUNTIF('9月'!ED23:EE23,F$300)+COUNTIF('9月'!EI23:EJ23,F$300)+COUNTIF('9月'!EN23:EO23,F$300)+COUNTIF('9月'!ES23:ET23,F$300)</f>
        <v>0</v>
      </c>
      <c r="G321" s="76">
        <f t="shared" si="98"/>
        <v>0</v>
      </c>
      <c r="H321" s="76">
        <f>COUNTIF('9月'!D23:E23,H$300)+COUNTIF('9月'!I23:J23,H$300)+COUNTIF('9月'!N23:O23,H$300)+COUNTIF('9月'!S23:T23,H$300)+COUNTIF('9月'!X23:Y23,H$300)+COUNTIF('9月'!AC23:AD23,H$300)+COUNTIF('9月'!AH23:AI23,H$300)+COUNTIF('9月'!AM23:AN23,H$300)+COUNTIF('9月'!AR23:AS23,H$300)+COUNTIF('9月'!AW23:AX23,H$300)+COUNTIF('9月'!BB23:BC23,H$300)+COUNTIF('9月'!BG23:BH23,H$300)+COUNTIF('9月'!BL23:BM23,H$300)+COUNTIF('9月'!BQ23:BR23,H$300)+COUNTIF('9月'!BV23:BW23,H$300)+COUNTIF('9月'!CA23:CB23,H$300)+COUNTIF('9月'!CF23:CG23,H$300)+COUNTIF('9月'!CK23:CL23,H$300)+COUNTIF('9月'!CP23:CQ23,H$300)+COUNTIF('9月'!CU23:CV23,H$300)+COUNTIF('9月'!CZ23:DA23,H$300)+COUNTIF('9月'!DE23:DF23,H$300)+COUNTIF('9月'!DJ23:DK23,H$300)+COUNTIF('9月'!DO23:DP23,H$300)+COUNTIF('9月'!DT23:DU23,H$300)+COUNTIF('9月'!DY23:DZ23,H$300)+COUNTIF('9月'!ED23:EE23,H$300)+COUNTIF('9月'!EI23:EJ23,H$300)+COUNTIF('9月'!EN23:EO23,H$300)+COUNTIF('9月'!ES23:ET23,H$300)+COUNTIF('9月'!D23:E23,"渋谷-夜勤")+COUNTIF('9月'!I23:J23,"渋谷-夜勤")+COUNTIF('9月'!N23:O23,"渋谷-夜勤")+COUNTIF('9月'!S23:T23,"渋谷-夜勤")+COUNTIF('9月'!X23:Y23,"渋谷-夜勤")+COUNTIF('9月'!AC23:AD23,"渋谷-夜勤")+COUNTIF('9月'!AH23:AI23,"渋谷-夜勤")+COUNTIF('9月'!AM23:AN23,"渋谷-夜勤")+COUNTIF('9月'!AR23:AS23,"渋谷-夜勤")+COUNTIF('9月'!AW23:AX23,"渋谷-夜勤")+COUNTIF('9月'!BB23:BC23,"渋谷-夜勤")+COUNTIF('9月'!BG23:BH23,"渋谷-夜勤")+COUNTIF('9月'!BL23:BM23,"渋谷-夜勤")+COUNTIF('9月'!BQ23:BR23,"渋谷-夜勤")+COUNTIF('9月'!BV23:BW23,"渋谷-夜勤")+COUNTIF('9月'!CA23:CB23,"渋谷-夜勤")+COUNTIF('9月'!CF23:CG23,"渋谷-夜勤")+COUNTIF('9月'!CK23:CL23,"渋谷-夜勤")+COUNTIF('9月'!CP23:CQ23,"渋谷-夜勤")+COUNTIF('9月'!CU23:CV23,"渋谷-夜勤")+COUNTIF('9月'!CZ23:DA23,"渋谷-夜勤")+COUNTIF('9月'!DE23:DF23,"渋谷-夜勤")+COUNTIF('9月'!DJ23:DK23,"渋谷-夜勤")+COUNTIF('9月'!DO23:DP23,"渋谷-夜勤")+COUNTIF('9月'!DT23:DU23,"渋谷-夜勤")+COUNTIF('9月'!DY23:DZ23,"渋谷-夜勤")+COUNTIF('9月'!ED23:EE23,"渋谷-夜勤")+COUNTIF('9月'!EI23:EJ23,"渋谷-夜勤")+COUNTIF('9月'!EN23:EO23,"渋谷-夜勤")+COUNTIF('9月'!ES23:ET23,"渋谷-夜勤")</f>
        <v>0</v>
      </c>
      <c r="I321" s="76">
        <f t="shared" si="99"/>
        <v>0</v>
      </c>
      <c r="J321" s="76">
        <f>COUNTIF('9月'!D23:E23,J$300)+COUNTIF('9月'!I23:J23,J$300)+COUNTIF('9月'!N23:O23,J$300)+COUNTIF('9月'!S23:T23,J$300)+COUNTIF('9月'!X23:Y23,J$300)+COUNTIF('9月'!AC23:AD23,J$300)+COUNTIF('9月'!AH23:AI23,J$300)+COUNTIF('9月'!AM23:AN23,J$300)+COUNTIF('9月'!AR23:AS23,J$300)+COUNTIF('9月'!AW23:AX23,J$300)+COUNTIF('9月'!BB23:BC23,J$300)+COUNTIF('9月'!BG23:BH23,J$300)+COUNTIF('9月'!BL23:BM23,J$300)+COUNTIF('9月'!BQ23:BR23,J$300)+COUNTIF('9月'!BV23:BW23,J$300)+COUNTIF('9月'!CA23:CB23,J$300)+COUNTIF('9月'!CF23:CG23,J$300)+COUNTIF('9月'!CK23:CL23,J$300)+COUNTIF('9月'!CP23:CQ23,J$300)+COUNTIF('9月'!CU23:CV23,J$300)+COUNTIF('9月'!CZ23:DA23,J$300)+COUNTIF('9月'!DE23:DF23,J$300)+COUNTIF('9月'!DJ23:DK23,J$300)+COUNTIF('9月'!DO23:DP23,J$300)+COUNTIF('9月'!DT23:DU23,J$300)+COUNTIF('9月'!DY23:DZ23,J$300)+COUNTIF('9月'!ED23:EE23,J$300)+COUNTIF('9月'!EI23:EJ23,J$300)+COUNTIF('9月'!EN23:EO23,J$300)+COUNTIF('9月'!ES23:ET23,J$300)+COUNTIF('9月'!D23:E23,"六本木-夜勤")+COUNTIF('9月'!I23:J23,"六本木-夜勤")+COUNTIF('9月'!N23:O23,"六本木-夜勤")+COUNTIF('9月'!S23:T23,"六本木-夜勤")+COUNTIF('9月'!X23:Y23,"六本木-夜勤")+COUNTIF('9月'!AC23:AD23,"六本木-夜勤")+COUNTIF('9月'!AH23:AI23,"六本木-夜勤")+COUNTIF('9月'!AM23:AN23,"六本木-夜勤")+COUNTIF('9月'!AR23:AS23,"六本木-夜勤")+COUNTIF('9月'!AW23:AX23,"六本木-夜勤")+COUNTIF('9月'!BB23:BC23,"六本木-夜勤")+COUNTIF('9月'!BG23:BH23,"六本木-夜勤")+COUNTIF('9月'!BL23:BM23,"六本木-夜勤")+COUNTIF('9月'!BQ23:BR23,"六本木-夜勤")+COUNTIF('9月'!BV23:BW23,"六本木-夜勤")+COUNTIF('9月'!CA23:CB23,"六本木-夜勤")+COUNTIF('9月'!CF23:CG23,"六本木-夜勤")+COUNTIF('9月'!CK23:CL23,"六本木-夜勤")+COUNTIF('9月'!CP23:CQ23,"六本木-夜勤")+COUNTIF('9月'!CU23:CV23,"六本木-夜勤")+COUNTIF('9月'!CZ23:DA23,"六本木-夜勤")+COUNTIF('9月'!DE23:DF23,"六本木-夜勤")+COUNTIF('9月'!DJ23:DK23,"六本木-夜勤")+COUNTIF('9月'!DO23:DP23,"六本木-夜勤")+COUNTIF('9月'!DT23:DU23,"六本木-夜勤")+COUNTIF('9月'!DY23:DZ23,"六本木-夜勤")+COUNTIF('9月'!ED23:EE23,"六本木-夜勤")+COUNTIF('9月'!EI23:EJ23,"六本木-夜勤")+COUNTIF('9月'!EN23:EO23,"六本木-夜勤")+COUNTIF('9月'!ES23:ET23,"六本木-夜勤")+COUNTIF('9月'!D23:E23,"六本木ー夜勤")+COUNTIF('9月'!I23:J23,"六本木ー夜勤")+COUNTIF('9月'!N23:O23,"六本木ー夜勤")+COUNTIF('9月'!S23:T23,"六本木ー夜勤")+COUNTIF('9月'!X23:Y23,"六本木ー夜勤")+COUNTIF('9月'!AC23:AD23,"六本木ー夜勤")+COUNTIF('9月'!AH23:AI23,"六本木ー夜勤")+COUNTIF('9月'!AM23:AN23,"六本木ー夜勤")+COUNTIF('9月'!AR23:AS23,"六本木ー夜勤")+COUNTIF('9月'!AW23:AX23,"六本木ー夜勤")+COUNTIF('9月'!BB23:BC23,"六本木ー夜勤")+COUNTIF('9月'!BG23:BH23,"六本木ー夜勤")+COUNTIF('9月'!BL23:BM23,"六本木ー夜勤")+COUNTIF('9月'!BQ23:BR23,"六本木ー夜勤")+COUNTIF('9月'!BV23:BW23,"六本木ー夜勤")+COUNTIF('9月'!CA23:CB23,"六本木ー夜勤")+COUNTIF('9月'!CF23:CG23,"六本木ー夜勤")+COUNTIF('9月'!CK23:CL23,"六本木ー夜勤")+COUNTIF('9月'!CP23:CQ23,"六本木ー夜勤")+COUNTIF('9月'!CU23:CV23,"六本木ー夜勤")+COUNTIF('9月'!CZ23:DA23,"六本木ー夜勤")+COUNTIF('9月'!DE23:DF23,"六本木ー夜勤")+COUNTIF('9月'!DJ23:DK23,"六本木ー夜勤")+COUNTIF('9月'!DO23:DP23,"六本木ー夜勤")+COUNTIF('9月'!DT23:DU23,"六本木ー夜勤")+COUNTIF('9月'!DY23:DZ23,"六本木ー夜勤")+COUNTIF('9月'!ED23:EE23,"六本木ー夜勤")+COUNTIF('9月'!EI23:EJ23,"六本木ー夜勤")+COUNTIF('9月'!EN23:EO23,"六本木ー夜勤")+COUNTIF('9月'!ES23:ET23,"六本木ー夜勤")</f>
        <v>0</v>
      </c>
      <c r="K321" s="76">
        <f t="shared" si="100"/>
        <v>0</v>
      </c>
      <c r="L321" s="76">
        <f>COUNTIF('9月'!D23:E23,L$300)+COUNTIF('9月'!I23:J23,L$300)+COUNTIF('9月'!N23:O23,L$300)+COUNTIF('9月'!S23:T23,L$300)+COUNTIF('9月'!X23:Y23,L$300)+COUNTIF('9月'!AC23:AD23,L$300)+COUNTIF('9月'!AH23:AI23,L$300)+COUNTIF('9月'!AM23:AN23,L$300)+COUNTIF('9月'!AR23:AS23,L$300)+COUNTIF('9月'!AW23:AX23,L$300)+COUNTIF('9月'!BB23:BC23,L$300)+COUNTIF('9月'!BG23:BH23,L$300)+COUNTIF('9月'!BL23:BM23,L$300)+COUNTIF('9月'!BQ23:BR23,L$300)+COUNTIF('9月'!BV23:BW23,L$300)+COUNTIF('9月'!CA23:CB23,L$300)+COUNTIF('9月'!CF23:CG23,L$300)+COUNTIF('9月'!CK23:CL23,L$300)+COUNTIF('9月'!CP23:CQ23,L$300)+COUNTIF('9月'!CU23:CV23,L$300)+COUNTIF('9月'!CZ23:DA23,L$300)+COUNTIF('9月'!DE23:DF23,L$300)+COUNTIF('9月'!DJ23:DK23,L$300)+COUNTIF('9月'!DO23:DP23,L$300)+COUNTIF('9月'!DT23:DU23,L$300)+COUNTIF('9月'!DY23:DZ23,L$300)+COUNTIF('9月'!ED23:EE23,L$300)+COUNTIF('9月'!EI23:EJ23,L$300)+COUNTIF('9月'!EN23:EO23,L$300)+COUNTIF('9月'!ES23:ET23,L$300)</f>
        <v>0</v>
      </c>
      <c r="M321" s="76">
        <f t="shared" si="101"/>
        <v>0</v>
      </c>
      <c r="N321" s="76">
        <f>COUNTIF('9月'!D23:E23,N$300)+COUNTIF('9月'!I23:J23,N$300)+COUNTIF('9月'!N23:O23,N$300)+COUNTIF('9月'!S23:T23,N$300)+COUNTIF('9月'!X23:Y23,N$300)+COUNTIF('9月'!AC23:AD23,N$300)+COUNTIF('9月'!AH23:AI23,N$300)+COUNTIF('9月'!AM23:AN23,N$300)+COUNTIF('9月'!AR23:AS23,N$300)+COUNTIF('9月'!AW23:AX23,N$300)+COUNTIF('9月'!BB23:BC23,N$300)+COUNTIF('9月'!BG23:BH23,N$300)+COUNTIF('9月'!BL23:BM23,N$300)+COUNTIF('9月'!BQ23:BR23,N$300)+COUNTIF('9月'!BV23:BW23,N$300)+COUNTIF('9月'!CA23:CB23,N$300)+COUNTIF('9月'!CF23:CG23,N$300)+COUNTIF('9月'!CK23:CL23,N$300)+COUNTIF('9月'!CP23:CQ23,N$300)+COUNTIF('9月'!CU23:CV23,N$300)+COUNTIF('9月'!CZ23:DA23,N$300)+COUNTIF('9月'!DE23:DF23,N$300)+COUNTIF('9月'!DJ23:DK23,N$300)+COUNTIF('9月'!DO23:DP23,N$300)+COUNTIF('9月'!DT23:DU23,N$300)+COUNTIF('9月'!DY23:DZ23,N$300)+COUNTIF('9月'!ED23:EE23,N$300)+COUNTIF('9月'!EI23:EJ23,N$300)+COUNTIF('9月'!EN23:EO23,N$300)+COUNTIF('9月'!ES23:ET23,N$300)+COUNTIF('9月'!D23:E23,"三軒茶屋－夜勤")+COUNTIF('9月'!I23:J23,"三軒茶屋－夜勤")+COUNTIF('9月'!N23:O23,"三軒茶屋－夜勤")+COUNTIF('9月'!S23:T23,"三軒茶屋－夜勤")+COUNTIF('9月'!X23:Y23,"三軒茶屋－夜勤")+COUNTIF('9月'!AC23:AD23,"三軒茶屋－夜勤")+COUNTIF('9月'!AH23:AI23,"三軒茶屋－夜勤")+COUNTIF('9月'!AM23:AN23,"三軒茶屋－夜勤")+COUNTIF('9月'!AR23:AS23,"三軒茶屋－夜勤")+COUNTIF('9月'!AW23:AX23,"三軒茶屋－夜勤")+COUNTIF('9月'!BB23:BC23,"三軒茶屋－夜勤")+COUNTIF('9月'!BG23:BH23,"三軒茶屋－夜勤")+COUNTIF('9月'!BL23:BM23,"三軒茶屋－夜勤")+COUNTIF('9月'!BQ23:BR23,"三軒茶屋－夜勤")+COUNTIF('9月'!BV23:BW23,"三軒茶屋－夜勤")+COUNTIF('9月'!CA23:CB23,"三軒茶屋－夜勤")+COUNTIF('9月'!CF23:CG23,"三軒茶屋－夜勤")+COUNTIF('9月'!CK23:CL23,"三軒茶屋－夜勤")+COUNTIF('9月'!CP23:CQ23,"三軒茶屋－夜勤")+COUNTIF('9月'!CU23:CV23,"三軒茶屋－夜勤")+COUNTIF('9月'!CZ23:DA23,"三軒茶屋－夜勤")+COUNTIF('9月'!DE23:DF23,"三軒茶屋－夜勤")+COUNTIF('9月'!DJ23:DK23,"三軒茶屋－夜勤")+COUNTIF('9月'!DO23:DP23,"三軒茶屋－夜勤")+COUNTIF('9月'!DT23:DU23,"三軒茶屋－夜勤")+COUNTIF('9月'!DY23:DZ23,"三軒茶屋－夜勤")+COUNTIF('9月'!ED23:EE23,"三軒茶屋－夜勤")+COUNTIF('9月'!EI23:EJ23,"三軒茶屋－夜勤")+COUNTIF('9月'!EN23:EO23,"三軒茶屋－夜勤")+COUNTIF('9月'!ES23:ET23,"三軒茶屋－夜勤")</f>
        <v>0</v>
      </c>
      <c r="O321" s="76">
        <f t="shared" si="102"/>
        <v>0</v>
      </c>
      <c r="P321" s="76">
        <f>COUNTIF('9月'!D23:E23,P$300)+COUNTIF('9月'!I23:J23,P$300)+COUNTIF('9月'!N23:O23,P$300)+COUNTIF('9月'!S23:T23,P$300)+COUNTIF('9月'!X23:Y23,P$300)+COUNTIF('9月'!AC23:AD23,P$300)+COUNTIF('9月'!AH23:AI23,P$300)+COUNTIF('9月'!AM23:AN23,P$300)+COUNTIF('9月'!AR23:AS23,P$300)+COUNTIF('9月'!AW23:AX23,P$300)+COUNTIF('9月'!BB23:BC23,P$300)+COUNTIF('9月'!BG23:BH23,P$300)+COUNTIF('9月'!BL23:BM23,P$300)+COUNTIF('9月'!BQ23:BR23,P$300)+COUNTIF('9月'!BV23:BW23,P$300)+COUNTIF('9月'!CA23:CB23,P$300)+COUNTIF('9月'!CF23:CG23,P$300)+COUNTIF('9月'!CK23:CL23,P$300)+COUNTIF('9月'!CP23:CQ23,P$300)+COUNTIF('9月'!CU23:CV23,P$300)+COUNTIF('9月'!CZ23:DA23,P$300)+COUNTIF('9月'!DE23:DF23,P$300)+COUNTIF('9月'!DJ23:DK23,P$300)+COUNTIF('9月'!DO23:DP23,P$300)+COUNTIF('9月'!DT23:DU23,P$300)+COUNTIF('9月'!DY23:DZ23,P$300)+COUNTIF('9月'!ED23:EE23,P$300)+COUNTIF('9月'!EI23:EJ23,P$300)+COUNTIF('9月'!EN23:EO23,P$300)+COUNTIF('9月'!ES23:ET23,P$300)+COUNTIF('9月'!D23:E23,"荻窪ー夜勤")+COUNTIF('9月'!I23:J23,"荻窪ー夜勤")+COUNTIF('9月'!N23:O23,"荻窪ー夜勤")+COUNTIF('9月'!S23:T23,"荻窪ー夜勤")+COUNTIF('9月'!X23:Y23,"荻窪ー夜勤")+COUNTIF('9月'!AC23:AD23,"荻窪ー夜勤")+COUNTIF('9月'!AH23:AI23,"荻窪ー夜勤")+COUNTIF('9月'!AM23:AN23,"荻窪ー夜勤")+COUNTIF('9月'!AR23:AS23,"荻窪ー夜勤")+COUNTIF('9月'!AW23:AX23,"荻窪ー夜勤")+COUNTIF('9月'!BB23:BC23,"荻窪ー夜勤")+COUNTIF('9月'!BG23:BH23,"荻窪ー夜勤")+COUNTIF('9月'!BL23:BM23,"荻窪ー夜勤")+COUNTIF('9月'!BQ23:BR23,"荻窪ー夜勤")+COUNTIF('9月'!BV23:BW23,"荻窪ー夜勤")+COUNTIF('9月'!CA23:CB23,"荻窪ー夜勤")+COUNTIF('9月'!CF23:CG23,"荻窪ー夜勤")+COUNTIF('9月'!CK23:CL23,"荻窪ー夜勤")+COUNTIF('9月'!CP23:CQ23,"荻窪ー夜勤")+COUNTIF('9月'!CU23:CV23,"荻窪ー夜勤")+COUNTIF('9月'!CZ23:DA23,"荻窪ー夜勤")+COUNTIF('9月'!DE23:DF23,"荻窪ー夜勤")+COUNTIF('9月'!DJ23:DK23,"荻窪ー夜勤")+COUNTIF('9月'!DO23:DP23,"荻窪ー夜勤")+COUNTIF('9月'!DT23:DU23,"荻窪ー夜勤")+COUNTIF('9月'!DY23:DZ23,"荻窪ー夜勤")+COUNTIF('9月'!ED23:EE23,"荻窪ー夜勤")+COUNTIF('9月'!EI23:EJ23,"荻窪ー夜勤")+COUNTIF('9月'!EN23:EO23,"荻窪ー夜勤")+COUNTIF('9月'!ES23:ET23,"荻窪ー夜勤")</f>
        <v>0</v>
      </c>
      <c r="Q321" s="76">
        <f t="shared" si="103"/>
        <v>0</v>
      </c>
      <c r="R321" s="76">
        <f>COUNTIF('9月'!D23:E23,R$300)+COUNTIF('9月'!I23:J23,R$300)+COUNTIF('9月'!N23:O23,R$300)+COUNTIF('9月'!S23:T23,R$300)+COUNTIF('9月'!X23:Y23,R$300)+COUNTIF('9月'!AC23:AD23,R$300)+COUNTIF('9月'!AH23:AI23,R$300)+COUNTIF('9月'!AM23:AN23,R$300)+COUNTIF('9月'!AR23:AS23,R$300)+COUNTIF('9月'!AW23:AX23,R$300)+COUNTIF('9月'!BB23:BC23,R$300)+COUNTIF('9月'!BG23:BH23,R$300)+COUNTIF('9月'!BL23:BM23,R$300)+COUNTIF('9月'!BQ23:BR23,R$300)+COUNTIF('9月'!BV23:BW23,R$300)+COUNTIF('9月'!CA23:CB23,R$300)+COUNTIF('9月'!CF23:CG23,R$300)+COUNTIF('9月'!CK23:CL23,R$300)+COUNTIF('9月'!CP23:CQ23,R$300)+COUNTIF('9月'!CU23:CV23,R$300)+COUNTIF('9月'!CZ23:DA23,R$300)+COUNTIF('9月'!DE23:DF23,R$300)+COUNTIF('9月'!DJ23:DK23,R$300)+COUNTIF('9月'!DO23:DP23,R$300)+COUNTIF('9月'!DT23:DU23,R$300)+COUNTIF('9月'!DY23:DZ23,R$300)+COUNTIF('9月'!ED23:EE23,R$300)+COUNTIF('9月'!EI23:EJ23,R$300)+COUNTIF('9月'!EN23:EO23,R$300)+COUNTIF('9月'!ES23:ET23,R$300)</f>
        <v>0</v>
      </c>
      <c r="S321" s="76">
        <f t="shared" si="104"/>
        <v>0</v>
      </c>
      <c r="T321" s="76">
        <f>COUNTIF('9月'!D23:E23,T$300)+COUNTIF('9月'!I23:J23,T$300)+COUNTIF('9月'!N23:O23,T$300)+COUNTIF('9月'!S23:T23,T$300)+COUNTIF('9月'!X23:Y23,T$300)+COUNTIF('9月'!AC23:AD23,T$300)+COUNTIF('9月'!AH23:AI23,T$300)+COUNTIF('9月'!AM23:AN23,T$300)+COUNTIF('9月'!AR23:AS23,T$300)+COUNTIF('9月'!AW23:AX23,T$300)+COUNTIF('9月'!BB23:BC23,T$300)+COUNTIF('9月'!BG23:BH23,T$300)+COUNTIF('9月'!BL23:BM23,T$300)+COUNTIF('9月'!BQ23:BR23,T$300)+COUNTIF('9月'!BV23:BW23,T$300)+COUNTIF('9月'!CA23:CB23,T$300)+COUNTIF('9月'!CF23:CG23,T$300)+COUNTIF('9月'!CK23:CL23,T$300)+COUNTIF('9月'!CP23:CQ23,T$300)+COUNTIF('9月'!CU23:CV23,T$300)+COUNTIF('9月'!CZ23:DA23,T$300)+COUNTIF('9月'!DE23:DF23,T$300)+COUNTIF('9月'!DJ23:DK23,T$300)+COUNTIF('9月'!DO23:DP23,T$300)+COUNTIF('9月'!DT23:DU23,T$300)+COUNTIF('9月'!DY23:DZ23,T$300)+COUNTIF('9月'!ED23:EE23,T$300)+COUNTIF('9月'!EI23:EJ23,T$300)+COUNTIF('9月'!EN23:EO23,T$300)+COUNTIF('9月'!ES23:ET23,T$300)</f>
        <v>0</v>
      </c>
      <c r="U321" s="76">
        <f t="shared" si="105"/>
        <v>0</v>
      </c>
      <c r="V321" s="76">
        <f>COUNTIF('9月'!D23:E23,V$300)+COUNTIF('9月'!I23:J23,V$300)+COUNTIF('9月'!N23:O23,V$300)+COUNTIF('9月'!S23:T23,V$300)+COUNTIF('9月'!X23:Y23,V$300)+COUNTIF('9月'!AC23:AD23,V$300)+COUNTIF('9月'!AH23:AI23,V$300)+COUNTIF('9月'!AM23:AN23,V$300)+COUNTIF('9月'!AR23:AS23,V$300)+COUNTIF('9月'!AW23:AX23,V$300)+COUNTIF('9月'!BB23:BC23,V$300)+COUNTIF('9月'!BG23:BH23,V$300)+COUNTIF('9月'!BL23:BM23,V$300)+COUNTIF('9月'!BQ23:BR23,V$300)+COUNTIF('9月'!BV23:BW23,V$300)+COUNTIF('9月'!CA23:CB23,V$300)+COUNTIF('9月'!CF23:CG23,V$300)+COUNTIF('9月'!CK23:CL23,V$300)+COUNTIF('9月'!CP23:CQ23,V$300)+COUNTIF('9月'!CU23:CV23,V$300)+COUNTIF('9月'!CZ23:DA23,V$300)+COUNTIF('9月'!DE23:DF23,V$300)+COUNTIF('9月'!DJ23:DK23,V$300)+COUNTIF('9月'!DO23:DP23,V$300)+COUNTIF('9月'!DT23:DU23,V$300)+COUNTIF('9月'!DY23:DZ23,V$300)+COUNTIF('9月'!ED23:EE23,V$300)+COUNTIF('9月'!EI23:EJ23,V$300)+COUNTIF('9月'!EN23:EO23,V$300)+COUNTIF('9月'!ES23:ET23,V$300)</f>
        <v>0</v>
      </c>
      <c r="W321" s="76">
        <f t="shared" si="106"/>
        <v>0</v>
      </c>
      <c r="X321" s="76">
        <f>COUNTIF('9月'!D23:E23,X$300)+COUNTIF('9月'!I23:J23,X$300)+COUNTIF('9月'!N23:O23,X$300)+COUNTIF('9月'!S23:T23,X$300)+COUNTIF('9月'!X23:Y23,X$300)+COUNTIF('9月'!AC23:AD23,X$300)+COUNTIF('9月'!AH23:AI23,X$300)+COUNTIF('9月'!AM23:AN23,X$300)+COUNTIF('9月'!AR23:AS23,X$300)+COUNTIF('9月'!AW23:AX23,X$300)+COUNTIF('9月'!BB23:BC23,X$300)+COUNTIF('9月'!BG23:BH23,X$300)+COUNTIF('9月'!BL23:BM23,X$300)+COUNTIF('9月'!BQ23:BR23,X$300)+COUNTIF('9月'!BV23:BW23,X$300)+COUNTIF('9月'!CA23:CB23,X$300)+COUNTIF('9月'!CF23:CG23,X$300)+COUNTIF('9月'!CK23:CL23,X$300)+COUNTIF('9月'!CP23:CQ23,X$300)+COUNTIF('9月'!CU23:CV23,X$300)+COUNTIF('9月'!CZ23:DA23,X$300)+COUNTIF('9月'!DE23:DF23,X$300)+COUNTIF('9月'!DJ23:DK23,X$300)+COUNTIF('9月'!DO23:DP23,X$300)+COUNTIF('9月'!DT23:DU23,X$300)+COUNTIF('9月'!DY23:DZ23,X$300)+COUNTIF('9月'!ED23:EE23,X$300)+COUNTIF('9月'!EI23:EJ23,X$300)+COUNTIF('9月'!EN23:EO23,X$300)+COUNTIF('9月'!ES23:ET23,X$300)</f>
        <v>0</v>
      </c>
      <c r="Y321" s="76">
        <f t="shared" si="107"/>
        <v>0</v>
      </c>
    </row>
    <row r="322" spans="1:25" ht="18" customHeight="1">
      <c r="A322" s="76">
        <v>21</v>
      </c>
      <c r="B322" s="76">
        <f>COUNTIF('9月'!D24:E24,B$300)+COUNTIF('9月'!I24:J24,B$300)+COUNTIF('9月'!N24:O24,B$300)+COUNTIF('9月'!S24:T24,B$300)+COUNTIF('9月'!X24:Y24,B$300)+COUNTIF('9月'!AC24:AD24,B$300)+COUNTIF('9月'!AH24:AI24,B$300)+COUNTIF('9月'!AM24:AN24,B$300)+COUNTIF('9月'!AR24:AS24,B$300)+COUNTIF('9月'!AW24:AX24,B$300)+COUNTIF('9月'!BB24:BC24,B$300)+COUNTIF('9月'!BG24:BH24,B$300)+COUNTIF('9月'!BL24:BM24,B$300)+COUNTIF('9月'!BQ24:BR24,B$300)+COUNTIF('9月'!BV24:BW24,B$300)+COUNTIF('9月'!CA24:CB24,B$300)+COUNTIF('9月'!CF24:CG24,B$300)+COUNTIF('9月'!CK24:CL24,B$300)+COUNTIF('9月'!CP24:CQ24,B$300)+COUNTIF('9月'!CU24:CV24,B$300)+COUNTIF('9月'!CZ24:DA24,B$300)+COUNTIF('9月'!DE24:DF24,B$300)+COUNTIF('9月'!DJ24:DK24,B$300)+COUNTIF('9月'!DO24:DP24,B$300)+COUNTIF('9月'!DT24:DU24,B$300)+COUNTIF('9月'!DY24:DZ24,B$300)+COUNTIF('9月'!ED24:EE24,B$300)+COUNTIF('9月'!EI24:EJ24,B$300)+COUNTIF('9月'!EN24:EO24,B$300)+COUNTIF('9月'!ES24:ET24,B$300)</f>
        <v>0</v>
      </c>
      <c r="C322" s="76">
        <f t="shared" si="96"/>
        <v>0</v>
      </c>
      <c r="D322" s="76">
        <f>COUNTIF('9月'!D24:E24,D$300)+COUNTIF('9月'!I24:J24,D$300)+COUNTIF('9月'!N24:O24,D$300)+COUNTIF('9月'!S24:T24,D$300)+COUNTIF('9月'!X24:Y24,D$300)+COUNTIF('9月'!AC24:AD24,D$300)+COUNTIF('9月'!AH24:AI24,D$300)+COUNTIF('9月'!AM24:AN24,D$300)+COUNTIF('9月'!AR24:AS24,D$300)+COUNTIF('9月'!AW24:AX24,D$300)+COUNTIF('9月'!BB24:BC24,D$300)+COUNTIF('9月'!BG24:BH24,D$300)+COUNTIF('9月'!BL24:BM24,D$300)+COUNTIF('9月'!BQ24:BR24,D$300)+COUNTIF('9月'!BV24:BW24,D$300)+COUNTIF('9月'!CA24:CB24,D$300)+COUNTIF('9月'!CF24:CG24,D$300)+COUNTIF('9月'!CK24:CL24,D$300)+COUNTIF('9月'!CP24:CQ24,D$300)+COUNTIF('9月'!CU24:CV24,D$300)+COUNTIF('9月'!CZ24:DA24,D$300)+COUNTIF('9月'!DE24:DF24,D$300)+COUNTIF('9月'!DJ24:DK24,D$300)+COUNTIF('9月'!DO24:DP24,D$300)+COUNTIF('9月'!DT24:DU24,D$300)+COUNTIF('9月'!DY24:DZ24,D$300)+COUNTIF('9月'!ED24:EE24,D$300)+COUNTIF('9月'!EI24:EJ24,D$300)+COUNTIF('9月'!EN24:EO24,D$300)+COUNTIF('9月'!ES24:ET24,D$300)</f>
        <v>0</v>
      </c>
      <c r="E322" s="76">
        <f t="shared" si="97"/>
        <v>0</v>
      </c>
      <c r="F322" s="76">
        <f>COUNTIF('9月'!D24:E24,F$300)+COUNTIF('9月'!I24:J24,F$300)+COUNTIF('9月'!N24:O24,F$300)+COUNTIF('9月'!S24:T24,F$300)+COUNTIF('9月'!X24:Y24,F$300)+COUNTIF('9月'!AC24:AD24,F$300)+COUNTIF('9月'!AH24:AI24,F$300)+COUNTIF('9月'!AM24:AN24,F$300)+COUNTIF('9月'!AR24:AS24,F$300)+COUNTIF('9月'!AW24:AX24,F$300)+COUNTIF('9月'!BB24:BC24,F$300)+COUNTIF('9月'!BG24:BH24,F$300)+COUNTIF('9月'!BL24:BM24,F$300)+COUNTIF('9月'!BQ24:BR24,F$300)+COUNTIF('9月'!BV24:BW24,F$300)+COUNTIF('9月'!CA24:CB24,F$300)+COUNTIF('9月'!CF24:CG24,F$300)+COUNTIF('9月'!CK24:CL24,F$300)+COUNTIF('9月'!CP24:CQ24,F$300)+COUNTIF('9月'!CU24:CV24,F$300)+COUNTIF('9月'!CZ24:DA24,F$300)+COUNTIF('9月'!DE24:DF24,F$300)+COUNTIF('9月'!DJ24:DK24,F$300)+COUNTIF('9月'!DO24:DP24,F$300)+COUNTIF('9月'!DT24:DU24,F$300)+COUNTIF('9月'!DY24:DZ24,F$300)+COUNTIF('9月'!ED24:EE24,F$300)+COUNTIF('9月'!EI24:EJ24,F$300)+COUNTIF('9月'!EN24:EO24,F$300)+COUNTIF('9月'!ES24:ET24,F$300)</f>
        <v>0</v>
      </c>
      <c r="G322" s="76">
        <f t="shared" si="98"/>
        <v>0</v>
      </c>
      <c r="H322" s="76">
        <f>COUNTIF('9月'!D24:E24,H$300)+COUNTIF('9月'!I24:J24,H$300)+COUNTIF('9月'!N24:O24,H$300)+COUNTIF('9月'!S24:T24,H$300)+COUNTIF('9月'!X24:Y24,H$300)+COUNTIF('9月'!AC24:AD24,H$300)+COUNTIF('9月'!AH24:AI24,H$300)+COUNTIF('9月'!AM24:AN24,H$300)+COUNTIF('9月'!AR24:AS24,H$300)+COUNTIF('9月'!AW24:AX24,H$300)+COUNTIF('9月'!BB24:BC24,H$300)+COUNTIF('9月'!BG24:BH24,H$300)+COUNTIF('9月'!BL24:BM24,H$300)+COUNTIF('9月'!BQ24:BR24,H$300)+COUNTIF('9月'!BV24:BW24,H$300)+COUNTIF('9月'!CA24:CB24,H$300)+COUNTIF('9月'!CF24:CG24,H$300)+COUNTIF('9月'!CK24:CL24,H$300)+COUNTIF('9月'!CP24:CQ24,H$300)+COUNTIF('9月'!CU24:CV24,H$300)+COUNTIF('9月'!CZ24:DA24,H$300)+COUNTIF('9月'!DE24:DF24,H$300)+COUNTIF('9月'!DJ24:DK24,H$300)+COUNTIF('9月'!DO24:DP24,H$300)+COUNTIF('9月'!DT24:DU24,H$300)+COUNTIF('9月'!DY24:DZ24,H$300)+COUNTIF('9月'!ED24:EE24,H$300)+COUNTIF('9月'!EI24:EJ24,H$300)+COUNTIF('9月'!EN24:EO24,H$300)+COUNTIF('9月'!ES24:ET24,H$300)+COUNTIF('9月'!D24:E24,"渋谷-夜勤")+COUNTIF('9月'!I24:J24,"渋谷-夜勤")+COUNTIF('9月'!N24:O24,"渋谷-夜勤")+COUNTIF('9月'!S24:T24,"渋谷-夜勤")+COUNTIF('9月'!X24:Y24,"渋谷-夜勤")+COUNTIF('9月'!AC24:AD24,"渋谷-夜勤")+COUNTIF('9月'!AH24:AI24,"渋谷-夜勤")+COUNTIF('9月'!AM24:AN24,"渋谷-夜勤")+COUNTIF('9月'!AR24:AS24,"渋谷-夜勤")+COUNTIF('9月'!AW24:AX24,"渋谷-夜勤")+COUNTIF('9月'!BB24:BC24,"渋谷-夜勤")+COUNTIF('9月'!BG24:BH24,"渋谷-夜勤")+COUNTIF('9月'!BL24:BM24,"渋谷-夜勤")+COUNTIF('9月'!BQ24:BR24,"渋谷-夜勤")+COUNTIF('9月'!BV24:BW24,"渋谷-夜勤")+COUNTIF('9月'!CA24:CB24,"渋谷-夜勤")+COUNTIF('9月'!CF24:CG24,"渋谷-夜勤")+COUNTIF('9月'!CK24:CL24,"渋谷-夜勤")+COUNTIF('9月'!CP24:CQ24,"渋谷-夜勤")+COUNTIF('9月'!CU24:CV24,"渋谷-夜勤")+COUNTIF('9月'!CZ24:DA24,"渋谷-夜勤")+COUNTIF('9月'!DE24:DF24,"渋谷-夜勤")+COUNTIF('9月'!DJ24:DK24,"渋谷-夜勤")+COUNTIF('9月'!DO24:DP24,"渋谷-夜勤")+COUNTIF('9月'!DT24:DU24,"渋谷-夜勤")+COUNTIF('9月'!DY24:DZ24,"渋谷-夜勤")+COUNTIF('9月'!ED24:EE24,"渋谷-夜勤")+COUNTIF('9月'!EI24:EJ24,"渋谷-夜勤")+COUNTIF('9月'!EN24:EO24,"渋谷-夜勤")+COUNTIF('9月'!ES24:ET24,"渋谷-夜勤")</f>
        <v>0</v>
      </c>
      <c r="I322" s="76">
        <f t="shared" si="99"/>
        <v>0</v>
      </c>
      <c r="J322" s="76">
        <f>COUNTIF('9月'!D24:E24,J$300)+COUNTIF('9月'!I24:J24,J$300)+COUNTIF('9月'!N24:O24,J$300)+COUNTIF('9月'!S24:T24,J$300)+COUNTIF('9月'!X24:Y24,J$300)+COUNTIF('9月'!AC24:AD24,J$300)+COUNTIF('9月'!AH24:AI24,J$300)+COUNTIF('9月'!AM24:AN24,J$300)+COUNTIF('9月'!AR24:AS24,J$300)+COUNTIF('9月'!AW24:AX24,J$300)+COUNTIF('9月'!BB24:BC24,J$300)+COUNTIF('9月'!BG24:BH24,J$300)+COUNTIF('9月'!BL24:BM24,J$300)+COUNTIF('9月'!BQ24:BR24,J$300)+COUNTIF('9月'!BV24:BW24,J$300)+COUNTIF('9月'!CA24:CB24,J$300)+COUNTIF('9月'!CF24:CG24,J$300)+COUNTIF('9月'!CK24:CL24,J$300)+COUNTIF('9月'!CP24:CQ24,J$300)+COUNTIF('9月'!CU24:CV24,J$300)+COUNTIF('9月'!CZ24:DA24,J$300)+COUNTIF('9月'!DE24:DF24,J$300)+COUNTIF('9月'!DJ24:DK24,J$300)+COUNTIF('9月'!DO24:DP24,J$300)+COUNTIF('9月'!DT24:DU24,J$300)+COUNTIF('9月'!DY24:DZ24,J$300)+COUNTIF('9月'!ED24:EE24,J$300)+COUNTIF('9月'!EI24:EJ24,J$300)+COUNTIF('9月'!EN24:EO24,J$300)+COUNTIF('9月'!ES24:ET24,J$300)+COUNTIF('9月'!D24:E24,"六本木-夜勤")+COUNTIF('9月'!I24:J24,"六本木-夜勤")+COUNTIF('9月'!N24:O24,"六本木-夜勤")+COUNTIF('9月'!S24:T24,"六本木-夜勤")+COUNTIF('9月'!X24:Y24,"六本木-夜勤")+COUNTIF('9月'!AC24:AD24,"六本木-夜勤")+COUNTIF('9月'!AH24:AI24,"六本木-夜勤")+COUNTIF('9月'!AM24:AN24,"六本木-夜勤")+COUNTIF('9月'!AR24:AS24,"六本木-夜勤")+COUNTIF('9月'!AW24:AX24,"六本木-夜勤")+COUNTIF('9月'!BB24:BC24,"六本木-夜勤")+COUNTIF('9月'!BG24:BH24,"六本木-夜勤")+COUNTIF('9月'!BL24:BM24,"六本木-夜勤")+COUNTIF('9月'!BQ24:BR24,"六本木-夜勤")+COUNTIF('9月'!BV24:BW24,"六本木-夜勤")+COUNTIF('9月'!CA24:CB24,"六本木-夜勤")+COUNTIF('9月'!CF24:CG24,"六本木-夜勤")+COUNTIF('9月'!CK24:CL24,"六本木-夜勤")+COUNTIF('9月'!CP24:CQ24,"六本木-夜勤")+COUNTIF('9月'!CU24:CV24,"六本木-夜勤")+COUNTIF('9月'!CZ24:DA24,"六本木-夜勤")+COUNTIF('9月'!DE24:DF24,"六本木-夜勤")+COUNTIF('9月'!DJ24:DK24,"六本木-夜勤")+COUNTIF('9月'!DO24:DP24,"六本木-夜勤")+COUNTIF('9月'!DT24:DU24,"六本木-夜勤")+COUNTIF('9月'!DY24:DZ24,"六本木-夜勤")+COUNTIF('9月'!ED24:EE24,"六本木-夜勤")+COUNTIF('9月'!EI24:EJ24,"六本木-夜勤")+COUNTIF('9月'!EN24:EO24,"六本木-夜勤")+COUNTIF('9月'!ES24:ET24,"六本木-夜勤")+COUNTIF('9月'!D24:E24,"六本木ー夜勤")+COUNTIF('9月'!I24:J24,"六本木ー夜勤")+COUNTIF('9月'!N24:O24,"六本木ー夜勤")+COUNTIF('9月'!S24:T24,"六本木ー夜勤")+COUNTIF('9月'!X24:Y24,"六本木ー夜勤")+COUNTIF('9月'!AC24:AD24,"六本木ー夜勤")+COUNTIF('9月'!AH24:AI24,"六本木ー夜勤")+COUNTIF('9月'!AM24:AN24,"六本木ー夜勤")+COUNTIF('9月'!AR24:AS24,"六本木ー夜勤")+COUNTIF('9月'!AW24:AX24,"六本木ー夜勤")+COUNTIF('9月'!BB24:BC24,"六本木ー夜勤")+COUNTIF('9月'!BG24:BH24,"六本木ー夜勤")+COUNTIF('9月'!BL24:BM24,"六本木ー夜勤")+COUNTIF('9月'!BQ24:BR24,"六本木ー夜勤")+COUNTIF('9月'!BV24:BW24,"六本木ー夜勤")+COUNTIF('9月'!CA24:CB24,"六本木ー夜勤")+COUNTIF('9月'!CF24:CG24,"六本木ー夜勤")+COUNTIF('9月'!CK24:CL24,"六本木ー夜勤")+COUNTIF('9月'!CP24:CQ24,"六本木ー夜勤")+COUNTIF('9月'!CU24:CV24,"六本木ー夜勤")+COUNTIF('9月'!CZ24:DA24,"六本木ー夜勤")+COUNTIF('9月'!DE24:DF24,"六本木ー夜勤")+COUNTIF('9月'!DJ24:DK24,"六本木ー夜勤")+COUNTIF('9月'!DO24:DP24,"六本木ー夜勤")+COUNTIF('9月'!DT24:DU24,"六本木ー夜勤")+COUNTIF('9月'!DY24:DZ24,"六本木ー夜勤")+COUNTIF('9月'!ED24:EE24,"六本木ー夜勤")+COUNTIF('9月'!EI24:EJ24,"六本木ー夜勤")+COUNTIF('9月'!EN24:EO24,"六本木ー夜勤")+COUNTIF('9月'!ES24:ET24,"六本木ー夜勤")</f>
        <v>0</v>
      </c>
      <c r="K322" s="76">
        <f t="shared" si="100"/>
        <v>0</v>
      </c>
      <c r="L322" s="76">
        <f>COUNTIF('9月'!D24:E24,L$300)+COUNTIF('9月'!I24:J24,L$300)+COUNTIF('9月'!N24:O24,L$300)+COUNTIF('9月'!S24:T24,L$300)+COUNTIF('9月'!X24:Y24,L$300)+COUNTIF('9月'!AC24:AD24,L$300)+COUNTIF('9月'!AH24:AI24,L$300)+COUNTIF('9月'!AM24:AN24,L$300)+COUNTIF('9月'!AR24:AS24,L$300)+COUNTIF('9月'!AW24:AX24,L$300)+COUNTIF('9月'!BB24:BC24,L$300)+COUNTIF('9月'!BG24:BH24,L$300)+COUNTIF('9月'!BL24:BM24,L$300)+COUNTIF('9月'!BQ24:BR24,L$300)+COUNTIF('9月'!BV24:BW24,L$300)+COUNTIF('9月'!CA24:CB24,L$300)+COUNTIF('9月'!CF24:CG24,L$300)+COUNTIF('9月'!CK24:CL24,L$300)+COUNTIF('9月'!CP24:CQ24,L$300)+COUNTIF('9月'!CU24:CV24,L$300)+COUNTIF('9月'!CZ24:DA24,L$300)+COUNTIF('9月'!DE24:DF24,L$300)+COUNTIF('9月'!DJ24:DK24,L$300)+COUNTIF('9月'!DO24:DP24,L$300)+COUNTIF('9月'!DT24:DU24,L$300)+COUNTIF('9月'!DY24:DZ24,L$300)+COUNTIF('9月'!ED24:EE24,L$300)+COUNTIF('9月'!EI24:EJ24,L$300)+COUNTIF('9月'!EN24:EO24,L$300)+COUNTIF('9月'!ES24:ET24,L$300)</f>
        <v>0</v>
      </c>
      <c r="M322" s="76">
        <f t="shared" si="101"/>
        <v>0</v>
      </c>
      <c r="N322" s="76">
        <f>COUNTIF('9月'!D24:E24,N$300)+COUNTIF('9月'!I24:J24,N$300)+COUNTIF('9月'!N24:O24,N$300)+COUNTIF('9月'!S24:T24,N$300)+COUNTIF('9月'!X24:Y24,N$300)+COUNTIF('9月'!AC24:AD24,N$300)+COUNTIF('9月'!AH24:AI24,N$300)+COUNTIF('9月'!AM24:AN24,N$300)+COUNTIF('9月'!AR24:AS24,N$300)+COUNTIF('9月'!AW24:AX24,N$300)+COUNTIF('9月'!BB24:BC24,N$300)+COUNTIF('9月'!BG24:BH24,N$300)+COUNTIF('9月'!BL24:BM24,N$300)+COUNTIF('9月'!BQ24:BR24,N$300)+COUNTIF('9月'!BV24:BW24,N$300)+COUNTIF('9月'!CA24:CB24,N$300)+COUNTIF('9月'!CF24:CG24,N$300)+COUNTIF('9月'!CK24:CL24,N$300)+COUNTIF('9月'!CP24:CQ24,N$300)+COUNTIF('9月'!CU24:CV24,N$300)+COUNTIF('9月'!CZ24:DA24,N$300)+COUNTIF('9月'!DE24:DF24,N$300)+COUNTIF('9月'!DJ24:DK24,N$300)+COUNTIF('9月'!DO24:DP24,N$300)+COUNTIF('9月'!DT24:DU24,N$300)+COUNTIF('9月'!DY24:DZ24,N$300)+COUNTIF('9月'!ED24:EE24,N$300)+COUNTIF('9月'!EI24:EJ24,N$300)+COUNTIF('9月'!EN24:EO24,N$300)+COUNTIF('9月'!ES24:ET24,N$300)+COUNTIF('9月'!D24:E24,"三軒茶屋－夜勤")+COUNTIF('9月'!I24:J24,"三軒茶屋－夜勤")+COUNTIF('9月'!N24:O24,"三軒茶屋－夜勤")+COUNTIF('9月'!S24:T24,"三軒茶屋－夜勤")+COUNTIF('9月'!X24:Y24,"三軒茶屋－夜勤")+COUNTIF('9月'!AC24:AD24,"三軒茶屋－夜勤")+COUNTIF('9月'!AH24:AI24,"三軒茶屋－夜勤")+COUNTIF('9月'!AM24:AN24,"三軒茶屋－夜勤")+COUNTIF('9月'!AR24:AS24,"三軒茶屋－夜勤")+COUNTIF('9月'!AW24:AX24,"三軒茶屋－夜勤")+COUNTIF('9月'!BB24:BC24,"三軒茶屋－夜勤")+COUNTIF('9月'!BG24:BH24,"三軒茶屋－夜勤")+COUNTIF('9月'!BL24:BM24,"三軒茶屋－夜勤")+COUNTIF('9月'!BQ24:BR24,"三軒茶屋－夜勤")+COUNTIF('9月'!BV24:BW24,"三軒茶屋－夜勤")+COUNTIF('9月'!CA24:CB24,"三軒茶屋－夜勤")+COUNTIF('9月'!CF24:CG24,"三軒茶屋－夜勤")+COUNTIF('9月'!CK24:CL24,"三軒茶屋－夜勤")+COUNTIF('9月'!CP24:CQ24,"三軒茶屋－夜勤")+COUNTIF('9月'!CU24:CV24,"三軒茶屋－夜勤")+COUNTIF('9月'!CZ24:DA24,"三軒茶屋－夜勤")+COUNTIF('9月'!DE24:DF24,"三軒茶屋－夜勤")+COUNTIF('9月'!DJ24:DK24,"三軒茶屋－夜勤")+COUNTIF('9月'!DO24:DP24,"三軒茶屋－夜勤")+COUNTIF('9月'!DT24:DU24,"三軒茶屋－夜勤")+COUNTIF('9月'!DY24:DZ24,"三軒茶屋－夜勤")+COUNTIF('9月'!ED24:EE24,"三軒茶屋－夜勤")+COUNTIF('9月'!EI24:EJ24,"三軒茶屋－夜勤")+COUNTIF('9月'!EN24:EO24,"三軒茶屋－夜勤")+COUNTIF('9月'!ES24:ET24,"三軒茶屋－夜勤")</f>
        <v>0</v>
      </c>
      <c r="O322" s="76">
        <f t="shared" si="102"/>
        <v>0</v>
      </c>
      <c r="P322" s="76">
        <f>COUNTIF('9月'!D24:E24,P$300)+COUNTIF('9月'!I24:J24,P$300)+COUNTIF('9月'!N24:O24,P$300)+COUNTIF('9月'!S24:T24,P$300)+COUNTIF('9月'!X24:Y24,P$300)+COUNTIF('9月'!AC24:AD24,P$300)+COUNTIF('9月'!AH24:AI24,P$300)+COUNTIF('9月'!AM24:AN24,P$300)+COUNTIF('9月'!AR24:AS24,P$300)+COUNTIF('9月'!AW24:AX24,P$300)+COUNTIF('9月'!BB24:BC24,P$300)+COUNTIF('9月'!BG24:BH24,P$300)+COUNTIF('9月'!BL24:BM24,P$300)+COUNTIF('9月'!BQ24:BR24,P$300)+COUNTIF('9月'!BV24:BW24,P$300)+COUNTIF('9月'!CA24:CB24,P$300)+COUNTIF('9月'!CF24:CG24,P$300)+COUNTIF('9月'!CK24:CL24,P$300)+COUNTIF('9月'!CP24:CQ24,P$300)+COUNTIF('9月'!CU24:CV24,P$300)+COUNTIF('9月'!CZ24:DA24,P$300)+COUNTIF('9月'!DE24:DF24,P$300)+COUNTIF('9月'!DJ24:DK24,P$300)+COUNTIF('9月'!DO24:DP24,P$300)+COUNTIF('9月'!DT24:DU24,P$300)+COUNTIF('9月'!DY24:DZ24,P$300)+COUNTIF('9月'!ED24:EE24,P$300)+COUNTIF('9月'!EI24:EJ24,P$300)+COUNTIF('9月'!EN24:EO24,P$300)+COUNTIF('9月'!ES24:ET24,P$300)+COUNTIF('9月'!D24:E24,"荻窪ー夜勤")+COUNTIF('9月'!I24:J24,"荻窪ー夜勤")+COUNTIF('9月'!N24:O24,"荻窪ー夜勤")+COUNTIF('9月'!S24:T24,"荻窪ー夜勤")+COUNTIF('9月'!X24:Y24,"荻窪ー夜勤")+COUNTIF('9月'!AC24:AD24,"荻窪ー夜勤")+COUNTIF('9月'!AH24:AI24,"荻窪ー夜勤")+COUNTIF('9月'!AM24:AN24,"荻窪ー夜勤")+COUNTIF('9月'!AR24:AS24,"荻窪ー夜勤")+COUNTIF('9月'!AW24:AX24,"荻窪ー夜勤")+COUNTIF('9月'!BB24:BC24,"荻窪ー夜勤")+COUNTIF('9月'!BG24:BH24,"荻窪ー夜勤")+COUNTIF('9月'!BL24:BM24,"荻窪ー夜勤")+COUNTIF('9月'!BQ24:BR24,"荻窪ー夜勤")+COUNTIF('9月'!BV24:BW24,"荻窪ー夜勤")+COUNTIF('9月'!CA24:CB24,"荻窪ー夜勤")+COUNTIF('9月'!CF24:CG24,"荻窪ー夜勤")+COUNTIF('9月'!CK24:CL24,"荻窪ー夜勤")+COUNTIF('9月'!CP24:CQ24,"荻窪ー夜勤")+COUNTIF('9月'!CU24:CV24,"荻窪ー夜勤")+COUNTIF('9月'!CZ24:DA24,"荻窪ー夜勤")+COUNTIF('9月'!DE24:DF24,"荻窪ー夜勤")+COUNTIF('9月'!DJ24:DK24,"荻窪ー夜勤")+COUNTIF('9月'!DO24:DP24,"荻窪ー夜勤")+COUNTIF('9月'!DT24:DU24,"荻窪ー夜勤")+COUNTIF('9月'!DY24:DZ24,"荻窪ー夜勤")+COUNTIF('9月'!ED24:EE24,"荻窪ー夜勤")+COUNTIF('9月'!EI24:EJ24,"荻窪ー夜勤")+COUNTIF('9月'!EN24:EO24,"荻窪ー夜勤")+COUNTIF('9月'!ES24:ET24,"荻窪ー夜勤")</f>
        <v>0</v>
      </c>
      <c r="Q322" s="76">
        <f t="shared" si="103"/>
        <v>0</v>
      </c>
      <c r="R322" s="76">
        <f>COUNTIF('9月'!D24:E24,R$300)+COUNTIF('9月'!I24:J24,R$300)+COUNTIF('9月'!N24:O24,R$300)+COUNTIF('9月'!S24:T24,R$300)+COUNTIF('9月'!X24:Y24,R$300)+COUNTIF('9月'!AC24:AD24,R$300)+COUNTIF('9月'!AH24:AI24,R$300)+COUNTIF('9月'!AM24:AN24,R$300)+COUNTIF('9月'!AR24:AS24,R$300)+COUNTIF('9月'!AW24:AX24,R$300)+COUNTIF('9月'!BB24:BC24,R$300)+COUNTIF('9月'!BG24:BH24,R$300)+COUNTIF('9月'!BL24:BM24,R$300)+COUNTIF('9月'!BQ24:BR24,R$300)+COUNTIF('9月'!BV24:BW24,R$300)+COUNTIF('9月'!CA24:CB24,R$300)+COUNTIF('9月'!CF24:CG24,R$300)+COUNTIF('9月'!CK24:CL24,R$300)+COUNTIF('9月'!CP24:CQ24,R$300)+COUNTIF('9月'!CU24:CV24,R$300)+COUNTIF('9月'!CZ24:DA24,R$300)+COUNTIF('9月'!DE24:DF24,R$300)+COUNTIF('9月'!DJ24:DK24,R$300)+COUNTIF('9月'!DO24:DP24,R$300)+COUNTIF('9月'!DT24:DU24,R$300)+COUNTIF('9月'!DY24:DZ24,R$300)+COUNTIF('9月'!ED24:EE24,R$300)+COUNTIF('9月'!EI24:EJ24,R$300)+COUNTIF('9月'!EN24:EO24,R$300)+COUNTIF('9月'!ES24:ET24,R$300)</f>
        <v>0</v>
      </c>
      <c r="S322" s="76">
        <f t="shared" si="104"/>
        <v>0</v>
      </c>
      <c r="T322" s="76">
        <f>COUNTIF('9月'!D24:E24,T$300)+COUNTIF('9月'!I24:J24,T$300)+COUNTIF('9月'!N24:O24,T$300)+COUNTIF('9月'!S24:T24,T$300)+COUNTIF('9月'!X24:Y24,T$300)+COUNTIF('9月'!AC24:AD24,T$300)+COUNTIF('9月'!AH24:AI24,T$300)+COUNTIF('9月'!AM24:AN24,T$300)+COUNTIF('9月'!AR24:AS24,T$300)+COUNTIF('9月'!AW24:AX24,T$300)+COUNTIF('9月'!BB24:BC24,T$300)+COUNTIF('9月'!BG24:BH24,T$300)+COUNTIF('9月'!BL24:BM24,T$300)+COUNTIF('9月'!BQ24:BR24,T$300)+COUNTIF('9月'!BV24:BW24,T$300)+COUNTIF('9月'!CA24:CB24,T$300)+COUNTIF('9月'!CF24:CG24,T$300)+COUNTIF('9月'!CK24:CL24,T$300)+COUNTIF('9月'!CP24:CQ24,T$300)+COUNTIF('9月'!CU24:CV24,T$300)+COUNTIF('9月'!CZ24:DA24,T$300)+COUNTIF('9月'!DE24:DF24,T$300)+COUNTIF('9月'!DJ24:DK24,T$300)+COUNTIF('9月'!DO24:DP24,T$300)+COUNTIF('9月'!DT24:DU24,T$300)+COUNTIF('9月'!DY24:DZ24,T$300)+COUNTIF('9月'!ED24:EE24,T$300)+COUNTIF('9月'!EI24:EJ24,T$300)+COUNTIF('9月'!EN24:EO24,T$300)+COUNTIF('9月'!ES24:ET24,T$300)</f>
        <v>0</v>
      </c>
      <c r="U322" s="76">
        <f t="shared" si="105"/>
        <v>0</v>
      </c>
      <c r="V322" s="76">
        <f>COUNTIF('9月'!D24:E24,V$300)+COUNTIF('9月'!I24:J24,V$300)+COUNTIF('9月'!N24:O24,V$300)+COUNTIF('9月'!S24:T24,V$300)+COUNTIF('9月'!X24:Y24,V$300)+COUNTIF('9月'!AC24:AD24,V$300)+COUNTIF('9月'!AH24:AI24,V$300)+COUNTIF('9月'!AM24:AN24,V$300)+COUNTIF('9月'!AR24:AS24,V$300)+COUNTIF('9月'!AW24:AX24,V$300)+COUNTIF('9月'!BB24:BC24,V$300)+COUNTIF('9月'!BG24:BH24,V$300)+COUNTIF('9月'!BL24:BM24,V$300)+COUNTIF('9月'!BQ24:BR24,V$300)+COUNTIF('9月'!BV24:BW24,V$300)+COUNTIF('9月'!CA24:CB24,V$300)+COUNTIF('9月'!CF24:CG24,V$300)+COUNTIF('9月'!CK24:CL24,V$300)+COUNTIF('9月'!CP24:CQ24,V$300)+COUNTIF('9月'!CU24:CV24,V$300)+COUNTIF('9月'!CZ24:DA24,V$300)+COUNTIF('9月'!DE24:DF24,V$300)+COUNTIF('9月'!DJ24:DK24,V$300)+COUNTIF('9月'!DO24:DP24,V$300)+COUNTIF('9月'!DT24:DU24,V$300)+COUNTIF('9月'!DY24:DZ24,V$300)+COUNTIF('9月'!ED24:EE24,V$300)+COUNTIF('9月'!EI24:EJ24,V$300)+COUNTIF('9月'!EN24:EO24,V$300)+COUNTIF('9月'!ES24:ET24,V$300)</f>
        <v>0</v>
      </c>
      <c r="W322" s="76">
        <f t="shared" si="106"/>
        <v>0</v>
      </c>
      <c r="X322" s="76">
        <f>COUNTIF('9月'!D24:E24,X$300)+COUNTIF('9月'!I24:J24,X$300)+COUNTIF('9月'!N24:O24,X$300)+COUNTIF('9月'!S24:T24,X$300)+COUNTIF('9月'!X24:Y24,X$300)+COUNTIF('9月'!AC24:AD24,X$300)+COUNTIF('9月'!AH24:AI24,X$300)+COUNTIF('9月'!AM24:AN24,X$300)+COUNTIF('9月'!AR24:AS24,X$300)+COUNTIF('9月'!AW24:AX24,X$300)+COUNTIF('9月'!BB24:BC24,X$300)+COUNTIF('9月'!BG24:BH24,X$300)+COUNTIF('9月'!BL24:BM24,X$300)+COUNTIF('9月'!BQ24:BR24,X$300)+COUNTIF('9月'!BV24:BW24,X$300)+COUNTIF('9月'!CA24:CB24,X$300)+COUNTIF('9月'!CF24:CG24,X$300)+COUNTIF('9月'!CK24:CL24,X$300)+COUNTIF('9月'!CP24:CQ24,X$300)+COUNTIF('9月'!CU24:CV24,X$300)+COUNTIF('9月'!CZ24:DA24,X$300)+COUNTIF('9月'!DE24:DF24,X$300)+COUNTIF('9月'!DJ24:DK24,X$300)+COUNTIF('9月'!DO24:DP24,X$300)+COUNTIF('9月'!DT24:DU24,X$300)+COUNTIF('9月'!DY24:DZ24,X$300)+COUNTIF('9月'!ED24:EE24,X$300)+COUNTIF('9月'!EI24:EJ24,X$300)+COUNTIF('9月'!EN24:EO24,X$300)+COUNTIF('9月'!ES24:ET24,X$300)</f>
        <v>0</v>
      </c>
      <c r="Y322" s="76">
        <f t="shared" si="107"/>
        <v>0</v>
      </c>
    </row>
    <row r="323" spans="1:25" ht="18" customHeight="1">
      <c r="A323" s="76">
        <v>22</v>
      </c>
      <c r="B323" s="76">
        <f>COUNTIF('9月'!D25:E25,B$300)+COUNTIF('9月'!I25:J25,B$300)+COUNTIF('9月'!N25:O25,B$300)+COUNTIF('9月'!S25:T25,B$300)+COUNTIF('9月'!X25:Y25,B$300)+COUNTIF('9月'!AC25:AD25,B$300)+COUNTIF('9月'!AH25:AI25,B$300)+COUNTIF('9月'!AM25:AN25,B$300)+COUNTIF('9月'!AR25:AS25,B$300)+COUNTIF('9月'!AW25:AX25,B$300)+COUNTIF('9月'!BB25:BC25,B$300)+COUNTIF('9月'!BG25:BH25,B$300)+COUNTIF('9月'!BL25:BM25,B$300)+COUNTIF('9月'!BQ25:BR25,B$300)+COUNTIF('9月'!BV25:BW25,B$300)+COUNTIF('9月'!CA25:CB25,B$300)+COUNTIF('9月'!CF25:CG25,B$300)+COUNTIF('9月'!CK25:CL25,B$300)+COUNTIF('9月'!CP25:CQ25,B$300)+COUNTIF('9月'!CU25:CV25,B$300)+COUNTIF('9月'!CZ25:DA25,B$300)+COUNTIF('9月'!DE25:DF25,B$300)+COUNTIF('9月'!DJ25:DK25,B$300)+COUNTIF('9月'!DO25:DP25,B$300)+COUNTIF('9月'!DT25:DU25,B$300)+COUNTIF('9月'!DY25:DZ25,B$300)+COUNTIF('9月'!ED25:EE25,B$300)+COUNTIF('9月'!EI25:EJ25,B$300)+COUNTIF('9月'!EN25:EO25,B$300)+COUNTIF('9月'!ES25:ET25,B$300)</f>
        <v>0</v>
      </c>
      <c r="C323" s="76">
        <f t="shared" si="96"/>
        <v>0</v>
      </c>
      <c r="D323" s="76">
        <f>COUNTIF('9月'!D25:E25,D$300)+COUNTIF('9月'!I25:J25,D$300)+COUNTIF('9月'!N25:O25,D$300)+COUNTIF('9月'!S25:T25,D$300)+COUNTIF('9月'!X25:Y25,D$300)+COUNTIF('9月'!AC25:AD25,D$300)+COUNTIF('9月'!AH25:AI25,D$300)+COUNTIF('9月'!AM25:AN25,D$300)+COUNTIF('9月'!AR25:AS25,D$300)+COUNTIF('9月'!AW25:AX25,D$300)+COUNTIF('9月'!BB25:BC25,D$300)+COUNTIF('9月'!BG25:BH25,D$300)+COUNTIF('9月'!BL25:BM25,D$300)+COUNTIF('9月'!BQ25:BR25,D$300)+COUNTIF('9月'!BV25:BW25,D$300)+COUNTIF('9月'!CA25:CB25,D$300)+COUNTIF('9月'!CF25:CG25,D$300)+COUNTIF('9月'!CK25:CL25,D$300)+COUNTIF('9月'!CP25:CQ25,D$300)+COUNTIF('9月'!CU25:CV25,D$300)+COUNTIF('9月'!CZ25:DA25,D$300)+COUNTIF('9月'!DE25:DF25,D$300)+COUNTIF('9月'!DJ25:DK25,D$300)+COUNTIF('9月'!DO25:DP25,D$300)+COUNTIF('9月'!DT25:DU25,D$300)+COUNTIF('9月'!DY25:DZ25,D$300)+COUNTIF('9月'!ED25:EE25,D$300)+COUNTIF('9月'!EI25:EJ25,D$300)+COUNTIF('9月'!EN25:EO25,D$300)+COUNTIF('9月'!ES25:ET25,D$300)</f>
        <v>0</v>
      </c>
      <c r="E323" s="76">
        <f t="shared" si="97"/>
        <v>0</v>
      </c>
      <c r="F323" s="76">
        <f>COUNTIF('9月'!D25:E25,F$300)+COUNTIF('9月'!I25:J25,F$300)+COUNTIF('9月'!N25:O25,F$300)+COUNTIF('9月'!S25:T25,F$300)+COUNTIF('9月'!X25:Y25,F$300)+COUNTIF('9月'!AC25:AD25,F$300)+COUNTIF('9月'!AH25:AI25,F$300)+COUNTIF('9月'!AM25:AN25,F$300)+COUNTIF('9月'!AR25:AS25,F$300)+COUNTIF('9月'!AW25:AX25,F$300)+COUNTIF('9月'!BB25:BC25,F$300)+COUNTIF('9月'!BG25:BH25,F$300)+COUNTIF('9月'!BL25:BM25,F$300)+COUNTIF('9月'!BQ25:BR25,F$300)+COUNTIF('9月'!BV25:BW25,F$300)+COUNTIF('9月'!CA25:CB25,F$300)+COUNTIF('9月'!CF25:CG25,F$300)+COUNTIF('9月'!CK25:CL25,F$300)+COUNTIF('9月'!CP25:CQ25,F$300)+COUNTIF('9月'!CU25:CV25,F$300)+COUNTIF('9月'!CZ25:DA25,F$300)+COUNTIF('9月'!DE25:DF25,F$300)+COUNTIF('9月'!DJ25:DK25,F$300)+COUNTIF('9月'!DO25:DP25,F$300)+COUNTIF('9月'!DT25:DU25,F$300)+COUNTIF('9月'!DY25:DZ25,F$300)+COUNTIF('9月'!ED25:EE25,F$300)+COUNTIF('9月'!EI25:EJ25,F$300)+COUNTIF('9月'!EN25:EO25,F$300)+COUNTIF('9月'!ES25:ET25,F$300)</f>
        <v>0</v>
      </c>
      <c r="G323" s="76">
        <f t="shared" si="98"/>
        <v>0</v>
      </c>
      <c r="H323" s="76">
        <f>COUNTIF('9月'!D25:E25,H$300)+COUNTIF('9月'!I25:J25,H$300)+COUNTIF('9月'!N25:O25,H$300)+COUNTIF('9月'!S25:T25,H$300)+COUNTIF('9月'!X25:Y25,H$300)+COUNTIF('9月'!AC25:AD25,H$300)+COUNTIF('9月'!AH25:AI25,H$300)+COUNTIF('9月'!AM25:AN25,H$300)+COUNTIF('9月'!AR25:AS25,H$300)+COUNTIF('9月'!AW25:AX25,H$300)+COUNTIF('9月'!BB25:BC25,H$300)+COUNTIF('9月'!BG25:BH25,H$300)+COUNTIF('9月'!BL25:BM25,H$300)+COUNTIF('9月'!BQ25:BR25,H$300)+COUNTIF('9月'!BV25:BW25,H$300)+COUNTIF('9月'!CA25:CB25,H$300)+COUNTIF('9月'!CF25:CG25,H$300)+COUNTIF('9月'!CK25:CL25,H$300)+COUNTIF('9月'!CP25:CQ25,H$300)+COUNTIF('9月'!CU25:CV25,H$300)+COUNTIF('9月'!CZ25:DA25,H$300)+COUNTIF('9月'!DE25:DF25,H$300)+COUNTIF('9月'!DJ25:DK25,H$300)+COUNTIF('9月'!DO25:DP25,H$300)+COUNTIF('9月'!DT25:DU25,H$300)+COUNTIF('9月'!DY25:DZ25,H$300)+COUNTIF('9月'!ED25:EE25,H$300)+COUNTIF('9月'!EI25:EJ25,H$300)+COUNTIF('9月'!EN25:EO25,H$300)+COUNTIF('9月'!ES25:ET25,H$300)+COUNTIF('9月'!D25:E25,"渋谷-夜勤")+COUNTIF('9月'!I25:J25,"渋谷-夜勤")+COUNTIF('9月'!N25:O25,"渋谷-夜勤")+COUNTIF('9月'!S25:T25,"渋谷-夜勤")+COUNTIF('9月'!X25:Y25,"渋谷-夜勤")+COUNTIF('9月'!AC25:AD25,"渋谷-夜勤")+COUNTIF('9月'!AH25:AI25,"渋谷-夜勤")+COUNTIF('9月'!AM25:AN25,"渋谷-夜勤")+COUNTIF('9月'!AR25:AS25,"渋谷-夜勤")+COUNTIF('9月'!AW25:AX25,"渋谷-夜勤")+COUNTIF('9月'!BB25:BC25,"渋谷-夜勤")+COUNTIF('9月'!BG25:BH25,"渋谷-夜勤")+COUNTIF('9月'!BL25:BM25,"渋谷-夜勤")+COUNTIF('9月'!BQ25:BR25,"渋谷-夜勤")+COUNTIF('9月'!BV25:BW25,"渋谷-夜勤")+COUNTIF('9月'!CA25:CB25,"渋谷-夜勤")+COUNTIF('9月'!CF25:CG25,"渋谷-夜勤")+COUNTIF('9月'!CK25:CL25,"渋谷-夜勤")+COUNTIF('9月'!CP25:CQ25,"渋谷-夜勤")+COUNTIF('9月'!CU25:CV25,"渋谷-夜勤")+COUNTIF('9月'!CZ25:DA25,"渋谷-夜勤")+COUNTIF('9月'!DE25:DF25,"渋谷-夜勤")+COUNTIF('9月'!DJ25:DK25,"渋谷-夜勤")+COUNTIF('9月'!DO25:DP25,"渋谷-夜勤")+COUNTIF('9月'!DT25:DU25,"渋谷-夜勤")+COUNTIF('9月'!DY25:DZ25,"渋谷-夜勤")+COUNTIF('9月'!ED25:EE25,"渋谷-夜勤")+COUNTIF('9月'!EI25:EJ25,"渋谷-夜勤")+COUNTIF('9月'!EN25:EO25,"渋谷-夜勤")+COUNTIF('9月'!ES25:ET25,"渋谷-夜勤")</f>
        <v>0</v>
      </c>
      <c r="I323" s="76">
        <f t="shared" si="99"/>
        <v>0</v>
      </c>
      <c r="J323" s="76">
        <f>COUNTIF('9月'!D25:E25,J$300)+COUNTIF('9月'!I25:J25,J$300)+COUNTIF('9月'!N25:O25,J$300)+COUNTIF('9月'!S25:T25,J$300)+COUNTIF('9月'!X25:Y25,J$300)+COUNTIF('9月'!AC25:AD25,J$300)+COUNTIF('9月'!AH25:AI25,J$300)+COUNTIF('9月'!AM25:AN25,J$300)+COUNTIF('9月'!AR25:AS25,J$300)+COUNTIF('9月'!AW25:AX25,J$300)+COUNTIF('9月'!BB25:BC25,J$300)+COUNTIF('9月'!BG25:BH25,J$300)+COUNTIF('9月'!BL25:BM25,J$300)+COUNTIF('9月'!BQ25:BR25,J$300)+COUNTIF('9月'!BV25:BW25,J$300)+COUNTIF('9月'!CA25:CB25,J$300)+COUNTIF('9月'!CF25:CG25,J$300)+COUNTIF('9月'!CK25:CL25,J$300)+COUNTIF('9月'!CP25:CQ25,J$300)+COUNTIF('9月'!CU25:CV25,J$300)+COUNTIF('9月'!CZ25:DA25,J$300)+COUNTIF('9月'!DE25:DF25,J$300)+COUNTIF('9月'!DJ25:DK25,J$300)+COUNTIF('9月'!DO25:DP25,J$300)+COUNTIF('9月'!DT25:DU25,J$300)+COUNTIF('9月'!DY25:DZ25,J$300)+COUNTIF('9月'!ED25:EE25,J$300)+COUNTIF('9月'!EI25:EJ25,J$300)+COUNTIF('9月'!EN25:EO25,J$300)+COUNTIF('9月'!ES25:ET25,J$300)+COUNTIF('9月'!D25:E25,"六本木-夜勤")+COUNTIF('9月'!I25:J25,"六本木-夜勤")+COUNTIF('9月'!N25:O25,"六本木-夜勤")+COUNTIF('9月'!S25:T25,"六本木-夜勤")+COUNTIF('9月'!X25:Y25,"六本木-夜勤")+COUNTIF('9月'!AC25:AD25,"六本木-夜勤")+COUNTIF('9月'!AH25:AI25,"六本木-夜勤")+COUNTIF('9月'!AM25:AN25,"六本木-夜勤")+COUNTIF('9月'!AR25:AS25,"六本木-夜勤")+COUNTIF('9月'!AW25:AX25,"六本木-夜勤")+COUNTIF('9月'!BB25:BC25,"六本木-夜勤")+COUNTIF('9月'!BG25:BH25,"六本木-夜勤")+COUNTIF('9月'!BL25:BM25,"六本木-夜勤")+COUNTIF('9月'!BQ25:BR25,"六本木-夜勤")+COUNTIF('9月'!BV25:BW25,"六本木-夜勤")+COUNTIF('9月'!CA25:CB25,"六本木-夜勤")+COUNTIF('9月'!CF25:CG25,"六本木-夜勤")+COUNTIF('9月'!CK25:CL25,"六本木-夜勤")+COUNTIF('9月'!CP25:CQ25,"六本木-夜勤")+COUNTIF('9月'!CU25:CV25,"六本木-夜勤")+COUNTIF('9月'!CZ25:DA25,"六本木-夜勤")+COUNTIF('9月'!DE25:DF25,"六本木-夜勤")+COUNTIF('9月'!DJ25:DK25,"六本木-夜勤")+COUNTIF('9月'!DO25:DP25,"六本木-夜勤")+COUNTIF('9月'!DT25:DU25,"六本木-夜勤")+COUNTIF('9月'!DY25:DZ25,"六本木-夜勤")+COUNTIF('9月'!ED25:EE25,"六本木-夜勤")+COUNTIF('9月'!EI25:EJ25,"六本木-夜勤")+COUNTIF('9月'!EN25:EO25,"六本木-夜勤")+COUNTIF('9月'!ES25:ET25,"六本木-夜勤")+COUNTIF('9月'!D25:E25,"六本木ー夜勤")+COUNTIF('9月'!I25:J25,"六本木ー夜勤")+COUNTIF('9月'!N25:O25,"六本木ー夜勤")+COUNTIF('9月'!S25:T25,"六本木ー夜勤")+COUNTIF('9月'!X25:Y25,"六本木ー夜勤")+COUNTIF('9月'!AC25:AD25,"六本木ー夜勤")+COUNTIF('9月'!AH25:AI25,"六本木ー夜勤")+COUNTIF('9月'!AM25:AN25,"六本木ー夜勤")+COUNTIF('9月'!AR25:AS25,"六本木ー夜勤")+COUNTIF('9月'!AW25:AX25,"六本木ー夜勤")+COUNTIF('9月'!BB25:BC25,"六本木ー夜勤")+COUNTIF('9月'!BG25:BH25,"六本木ー夜勤")+COUNTIF('9月'!BL25:BM25,"六本木ー夜勤")+COUNTIF('9月'!BQ25:BR25,"六本木ー夜勤")+COUNTIF('9月'!BV25:BW25,"六本木ー夜勤")+COUNTIF('9月'!CA25:CB25,"六本木ー夜勤")+COUNTIF('9月'!CF25:CG25,"六本木ー夜勤")+COUNTIF('9月'!CK25:CL25,"六本木ー夜勤")+COUNTIF('9月'!CP25:CQ25,"六本木ー夜勤")+COUNTIF('9月'!CU25:CV25,"六本木ー夜勤")+COUNTIF('9月'!CZ25:DA25,"六本木ー夜勤")+COUNTIF('9月'!DE25:DF25,"六本木ー夜勤")+COUNTIF('9月'!DJ25:DK25,"六本木ー夜勤")+COUNTIF('9月'!DO25:DP25,"六本木ー夜勤")+COUNTIF('9月'!DT25:DU25,"六本木ー夜勤")+COUNTIF('9月'!DY25:DZ25,"六本木ー夜勤")+COUNTIF('9月'!ED25:EE25,"六本木ー夜勤")+COUNTIF('9月'!EI25:EJ25,"六本木ー夜勤")+COUNTIF('9月'!EN25:EO25,"六本木ー夜勤")+COUNTIF('9月'!ES25:ET25,"六本木ー夜勤")</f>
        <v>0</v>
      </c>
      <c r="K323" s="76">
        <f t="shared" si="100"/>
        <v>0</v>
      </c>
      <c r="L323" s="76">
        <f>COUNTIF('9月'!D25:E25,L$300)+COUNTIF('9月'!I25:J25,L$300)+COUNTIF('9月'!N25:O25,L$300)+COUNTIF('9月'!S25:T25,L$300)+COUNTIF('9月'!X25:Y25,L$300)+COUNTIF('9月'!AC25:AD25,L$300)+COUNTIF('9月'!AH25:AI25,L$300)+COUNTIF('9月'!AM25:AN25,L$300)+COUNTIF('9月'!AR25:AS25,L$300)+COUNTIF('9月'!AW25:AX25,L$300)+COUNTIF('9月'!BB25:BC25,L$300)+COUNTIF('9月'!BG25:BH25,L$300)+COUNTIF('9月'!BL25:BM25,L$300)+COUNTIF('9月'!BQ25:BR25,L$300)+COUNTIF('9月'!BV25:BW25,L$300)+COUNTIF('9月'!CA25:CB25,L$300)+COUNTIF('9月'!CF25:CG25,L$300)+COUNTIF('9月'!CK25:CL25,L$300)+COUNTIF('9月'!CP25:CQ25,L$300)+COUNTIF('9月'!CU25:CV25,L$300)+COUNTIF('9月'!CZ25:DA25,L$300)+COUNTIF('9月'!DE25:DF25,L$300)+COUNTIF('9月'!DJ25:DK25,L$300)+COUNTIF('9月'!DO25:DP25,L$300)+COUNTIF('9月'!DT25:DU25,L$300)+COUNTIF('9月'!DY25:DZ25,L$300)+COUNTIF('9月'!ED25:EE25,L$300)+COUNTIF('9月'!EI25:EJ25,L$300)+COUNTIF('9月'!EN25:EO25,L$300)+COUNTIF('9月'!ES25:ET25,L$300)</f>
        <v>0</v>
      </c>
      <c r="M323" s="76">
        <f t="shared" si="101"/>
        <v>0</v>
      </c>
      <c r="N323" s="76">
        <f>COUNTIF('9月'!D25:E25,N$300)+COUNTIF('9月'!I25:J25,N$300)+COUNTIF('9月'!N25:O25,N$300)+COUNTIF('9月'!S25:T25,N$300)+COUNTIF('9月'!X25:Y25,N$300)+COUNTIF('9月'!AC25:AD25,N$300)+COUNTIF('9月'!AH25:AI25,N$300)+COUNTIF('9月'!AM25:AN25,N$300)+COUNTIF('9月'!AR25:AS25,N$300)+COUNTIF('9月'!AW25:AX25,N$300)+COUNTIF('9月'!BB25:BC25,N$300)+COUNTIF('9月'!BG25:BH25,N$300)+COUNTIF('9月'!BL25:BM25,N$300)+COUNTIF('9月'!BQ25:BR25,N$300)+COUNTIF('9月'!BV25:BW25,N$300)+COUNTIF('9月'!CA25:CB25,N$300)+COUNTIF('9月'!CF25:CG25,N$300)+COUNTIF('9月'!CK25:CL25,N$300)+COUNTIF('9月'!CP25:CQ25,N$300)+COUNTIF('9月'!CU25:CV25,N$300)+COUNTIF('9月'!CZ25:DA25,N$300)+COUNTIF('9月'!DE25:DF25,N$300)+COUNTIF('9月'!DJ25:DK25,N$300)+COUNTIF('9月'!DO25:DP25,N$300)+COUNTIF('9月'!DT25:DU25,N$300)+COUNTIF('9月'!DY25:DZ25,N$300)+COUNTIF('9月'!ED25:EE25,N$300)+COUNTIF('9月'!EI25:EJ25,N$300)+COUNTIF('9月'!EN25:EO25,N$300)+COUNTIF('9月'!ES25:ET25,N$300)+COUNTIF('9月'!D25:E25,"三軒茶屋－夜勤")+COUNTIF('9月'!I25:J25,"三軒茶屋－夜勤")+COUNTIF('9月'!N25:O25,"三軒茶屋－夜勤")+COUNTIF('9月'!S25:T25,"三軒茶屋－夜勤")+COUNTIF('9月'!X25:Y25,"三軒茶屋－夜勤")+COUNTIF('9月'!AC25:AD25,"三軒茶屋－夜勤")+COUNTIF('9月'!AH25:AI25,"三軒茶屋－夜勤")+COUNTIF('9月'!AM25:AN25,"三軒茶屋－夜勤")+COUNTIF('9月'!AR25:AS25,"三軒茶屋－夜勤")+COUNTIF('9月'!AW25:AX25,"三軒茶屋－夜勤")+COUNTIF('9月'!BB25:BC25,"三軒茶屋－夜勤")+COUNTIF('9月'!BG25:BH25,"三軒茶屋－夜勤")+COUNTIF('9月'!BL25:BM25,"三軒茶屋－夜勤")+COUNTIF('9月'!BQ25:BR25,"三軒茶屋－夜勤")+COUNTIF('9月'!BV25:BW25,"三軒茶屋－夜勤")+COUNTIF('9月'!CA25:CB25,"三軒茶屋－夜勤")+COUNTIF('9月'!CF25:CG25,"三軒茶屋－夜勤")+COUNTIF('9月'!CK25:CL25,"三軒茶屋－夜勤")+COUNTIF('9月'!CP25:CQ25,"三軒茶屋－夜勤")+COUNTIF('9月'!CU25:CV25,"三軒茶屋－夜勤")+COUNTIF('9月'!CZ25:DA25,"三軒茶屋－夜勤")+COUNTIF('9月'!DE25:DF25,"三軒茶屋－夜勤")+COUNTIF('9月'!DJ25:DK25,"三軒茶屋－夜勤")+COUNTIF('9月'!DO25:DP25,"三軒茶屋－夜勤")+COUNTIF('9月'!DT25:DU25,"三軒茶屋－夜勤")+COUNTIF('9月'!DY25:DZ25,"三軒茶屋－夜勤")+COUNTIF('9月'!ED25:EE25,"三軒茶屋－夜勤")+COUNTIF('9月'!EI25:EJ25,"三軒茶屋－夜勤")+COUNTIF('9月'!EN25:EO25,"三軒茶屋－夜勤")+COUNTIF('9月'!ES25:ET25,"三軒茶屋－夜勤")</f>
        <v>0</v>
      </c>
      <c r="O323" s="76">
        <f t="shared" si="102"/>
        <v>0</v>
      </c>
      <c r="P323" s="76">
        <f>COUNTIF('9月'!D25:E25,P$300)+COUNTIF('9月'!I25:J25,P$300)+COUNTIF('9月'!N25:O25,P$300)+COUNTIF('9月'!S25:T25,P$300)+COUNTIF('9月'!X25:Y25,P$300)+COUNTIF('9月'!AC25:AD25,P$300)+COUNTIF('9月'!AH25:AI25,P$300)+COUNTIF('9月'!AM25:AN25,P$300)+COUNTIF('9月'!AR25:AS25,P$300)+COUNTIF('9月'!AW25:AX25,P$300)+COUNTIF('9月'!BB25:BC25,P$300)+COUNTIF('9月'!BG25:BH25,P$300)+COUNTIF('9月'!BL25:BM25,P$300)+COUNTIF('9月'!BQ25:BR25,P$300)+COUNTIF('9月'!BV25:BW25,P$300)+COUNTIF('9月'!CA25:CB25,P$300)+COUNTIF('9月'!CF25:CG25,P$300)+COUNTIF('9月'!CK25:CL25,P$300)+COUNTIF('9月'!CP25:CQ25,P$300)+COUNTIF('9月'!CU25:CV25,P$300)+COUNTIF('9月'!CZ25:DA25,P$300)+COUNTIF('9月'!DE25:DF25,P$300)+COUNTIF('9月'!DJ25:DK25,P$300)+COUNTIF('9月'!DO25:DP25,P$300)+COUNTIF('9月'!DT25:DU25,P$300)+COUNTIF('9月'!DY25:DZ25,P$300)+COUNTIF('9月'!ED25:EE25,P$300)+COUNTIF('9月'!EI25:EJ25,P$300)+COUNTIF('9月'!EN25:EO25,P$300)+COUNTIF('9月'!ES25:ET25,P$300)+COUNTIF('9月'!D25:E25,"荻窪ー夜勤")+COUNTIF('9月'!I25:J25,"荻窪ー夜勤")+COUNTIF('9月'!N25:O25,"荻窪ー夜勤")+COUNTIF('9月'!S25:T25,"荻窪ー夜勤")+COUNTIF('9月'!X25:Y25,"荻窪ー夜勤")+COUNTIF('9月'!AC25:AD25,"荻窪ー夜勤")+COUNTIF('9月'!AH25:AI25,"荻窪ー夜勤")+COUNTIF('9月'!AM25:AN25,"荻窪ー夜勤")+COUNTIF('9月'!AR25:AS25,"荻窪ー夜勤")+COUNTIF('9月'!AW25:AX25,"荻窪ー夜勤")+COUNTIF('9月'!BB25:BC25,"荻窪ー夜勤")+COUNTIF('9月'!BG25:BH25,"荻窪ー夜勤")+COUNTIF('9月'!BL25:BM25,"荻窪ー夜勤")+COUNTIF('9月'!BQ25:BR25,"荻窪ー夜勤")+COUNTIF('9月'!BV25:BW25,"荻窪ー夜勤")+COUNTIF('9月'!CA25:CB25,"荻窪ー夜勤")+COUNTIF('9月'!CF25:CG25,"荻窪ー夜勤")+COUNTIF('9月'!CK25:CL25,"荻窪ー夜勤")+COUNTIF('9月'!CP25:CQ25,"荻窪ー夜勤")+COUNTIF('9月'!CU25:CV25,"荻窪ー夜勤")+COUNTIF('9月'!CZ25:DA25,"荻窪ー夜勤")+COUNTIF('9月'!DE25:DF25,"荻窪ー夜勤")+COUNTIF('9月'!DJ25:DK25,"荻窪ー夜勤")+COUNTIF('9月'!DO25:DP25,"荻窪ー夜勤")+COUNTIF('9月'!DT25:DU25,"荻窪ー夜勤")+COUNTIF('9月'!DY25:DZ25,"荻窪ー夜勤")+COUNTIF('9月'!ED25:EE25,"荻窪ー夜勤")+COUNTIF('9月'!EI25:EJ25,"荻窪ー夜勤")+COUNTIF('9月'!EN25:EO25,"荻窪ー夜勤")+COUNTIF('9月'!ES25:ET25,"荻窪ー夜勤")</f>
        <v>0</v>
      </c>
      <c r="Q323" s="76">
        <f t="shared" si="103"/>
        <v>0</v>
      </c>
      <c r="R323" s="76">
        <f>COUNTIF('9月'!D25:E25,R$300)+COUNTIF('9月'!I25:J25,R$300)+COUNTIF('9月'!N25:O25,R$300)+COUNTIF('9月'!S25:T25,R$300)+COUNTIF('9月'!X25:Y25,R$300)+COUNTIF('9月'!AC25:AD25,R$300)+COUNTIF('9月'!AH25:AI25,R$300)+COUNTIF('9月'!AM25:AN25,R$300)+COUNTIF('9月'!AR25:AS25,R$300)+COUNTIF('9月'!AW25:AX25,R$300)+COUNTIF('9月'!BB25:BC25,R$300)+COUNTIF('9月'!BG25:BH25,R$300)+COUNTIF('9月'!BL25:BM25,R$300)+COUNTIF('9月'!BQ25:BR25,R$300)+COUNTIF('9月'!BV25:BW25,R$300)+COUNTIF('9月'!CA25:CB25,R$300)+COUNTIF('9月'!CF25:CG25,R$300)+COUNTIF('9月'!CK25:CL25,R$300)+COUNTIF('9月'!CP25:CQ25,R$300)+COUNTIF('9月'!CU25:CV25,R$300)+COUNTIF('9月'!CZ25:DA25,R$300)+COUNTIF('9月'!DE25:DF25,R$300)+COUNTIF('9月'!DJ25:DK25,R$300)+COUNTIF('9月'!DO25:DP25,R$300)+COUNTIF('9月'!DT25:DU25,R$300)+COUNTIF('9月'!DY25:DZ25,R$300)+COUNTIF('9月'!ED25:EE25,R$300)+COUNTIF('9月'!EI25:EJ25,R$300)+COUNTIF('9月'!EN25:EO25,R$300)+COUNTIF('9月'!ES25:ET25,R$300)</f>
        <v>0</v>
      </c>
      <c r="S323" s="76">
        <f t="shared" si="104"/>
        <v>0</v>
      </c>
      <c r="T323" s="76">
        <f>COUNTIF('9月'!D25:E25,T$300)+COUNTIF('9月'!I25:J25,T$300)+COUNTIF('9月'!N25:O25,T$300)+COUNTIF('9月'!S25:T25,T$300)+COUNTIF('9月'!X25:Y25,T$300)+COUNTIF('9月'!AC25:AD25,T$300)+COUNTIF('9月'!AH25:AI25,T$300)+COUNTIF('9月'!AM25:AN25,T$300)+COUNTIF('9月'!AR25:AS25,T$300)+COUNTIF('9月'!AW25:AX25,T$300)+COUNTIF('9月'!BB25:BC25,T$300)+COUNTIF('9月'!BG25:BH25,T$300)+COUNTIF('9月'!BL25:BM25,T$300)+COUNTIF('9月'!BQ25:BR25,T$300)+COUNTIF('9月'!BV25:BW25,T$300)+COUNTIF('9月'!CA25:CB25,T$300)+COUNTIF('9月'!CF25:CG25,T$300)+COUNTIF('9月'!CK25:CL25,T$300)+COUNTIF('9月'!CP25:CQ25,T$300)+COUNTIF('9月'!CU25:CV25,T$300)+COUNTIF('9月'!CZ25:DA25,T$300)+COUNTIF('9月'!DE25:DF25,T$300)+COUNTIF('9月'!DJ25:DK25,T$300)+COUNTIF('9月'!DO25:DP25,T$300)+COUNTIF('9月'!DT25:DU25,T$300)+COUNTIF('9月'!DY25:DZ25,T$300)+COUNTIF('9月'!ED25:EE25,T$300)+COUNTIF('9月'!EI25:EJ25,T$300)+COUNTIF('9月'!EN25:EO25,T$300)+COUNTIF('9月'!ES25:ET25,T$300)</f>
        <v>0</v>
      </c>
      <c r="U323" s="76">
        <f t="shared" si="105"/>
        <v>0</v>
      </c>
      <c r="V323" s="76">
        <f>COUNTIF('9月'!D25:E25,V$300)+COUNTIF('9月'!I25:J25,V$300)+COUNTIF('9月'!N25:O25,V$300)+COUNTIF('9月'!S25:T25,V$300)+COUNTIF('9月'!X25:Y25,V$300)+COUNTIF('9月'!AC25:AD25,V$300)+COUNTIF('9月'!AH25:AI25,V$300)+COUNTIF('9月'!AM25:AN25,V$300)+COUNTIF('9月'!AR25:AS25,V$300)+COUNTIF('9月'!AW25:AX25,V$300)+COUNTIF('9月'!BB25:BC25,V$300)+COUNTIF('9月'!BG25:BH25,V$300)+COUNTIF('9月'!BL25:BM25,V$300)+COUNTIF('9月'!BQ25:BR25,V$300)+COUNTIF('9月'!BV25:BW25,V$300)+COUNTIF('9月'!CA25:CB25,V$300)+COUNTIF('9月'!CF25:CG25,V$300)+COUNTIF('9月'!CK25:CL25,V$300)+COUNTIF('9月'!CP25:CQ25,V$300)+COUNTIF('9月'!CU25:CV25,V$300)+COUNTIF('9月'!CZ25:DA25,V$300)+COUNTIF('9月'!DE25:DF25,V$300)+COUNTIF('9月'!DJ25:DK25,V$300)+COUNTIF('9月'!DO25:DP25,V$300)+COUNTIF('9月'!DT25:DU25,V$300)+COUNTIF('9月'!DY25:DZ25,V$300)+COUNTIF('9月'!ED25:EE25,V$300)+COUNTIF('9月'!EI25:EJ25,V$300)+COUNTIF('9月'!EN25:EO25,V$300)+COUNTIF('9月'!ES25:ET25,V$300)</f>
        <v>0</v>
      </c>
      <c r="W323" s="76">
        <f t="shared" si="106"/>
        <v>0</v>
      </c>
      <c r="X323" s="76">
        <f>COUNTIF('9月'!D25:E25,X$300)+COUNTIF('9月'!I25:J25,X$300)+COUNTIF('9月'!N25:O25,X$300)+COUNTIF('9月'!S25:T25,X$300)+COUNTIF('9月'!X25:Y25,X$300)+COUNTIF('9月'!AC25:AD25,X$300)+COUNTIF('9月'!AH25:AI25,X$300)+COUNTIF('9月'!AM25:AN25,X$300)+COUNTIF('9月'!AR25:AS25,X$300)+COUNTIF('9月'!AW25:AX25,X$300)+COUNTIF('9月'!BB25:BC25,X$300)+COUNTIF('9月'!BG25:BH25,X$300)+COUNTIF('9月'!BL25:BM25,X$300)+COUNTIF('9月'!BQ25:BR25,X$300)+COUNTIF('9月'!BV25:BW25,X$300)+COUNTIF('9月'!CA25:CB25,X$300)+COUNTIF('9月'!CF25:CG25,X$300)+COUNTIF('9月'!CK25:CL25,X$300)+COUNTIF('9月'!CP25:CQ25,X$300)+COUNTIF('9月'!CU25:CV25,X$300)+COUNTIF('9月'!CZ25:DA25,X$300)+COUNTIF('9月'!DE25:DF25,X$300)+COUNTIF('9月'!DJ25:DK25,X$300)+COUNTIF('9月'!DO25:DP25,X$300)+COUNTIF('9月'!DT25:DU25,X$300)+COUNTIF('9月'!DY25:DZ25,X$300)+COUNTIF('9月'!ED25:EE25,X$300)+COUNTIF('9月'!EI25:EJ25,X$300)+COUNTIF('9月'!EN25:EO25,X$300)+COUNTIF('9月'!ES25:ET25,X$300)</f>
        <v>0</v>
      </c>
      <c r="Y323" s="76">
        <f t="shared" si="107"/>
        <v>0</v>
      </c>
    </row>
    <row r="324" spans="1:25" ht="18" customHeight="1">
      <c r="A324" s="76">
        <v>23</v>
      </c>
      <c r="B324" s="76">
        <f>COUNTIF('9月'!D26:E26,B$300)+COUNTIF('9月'!I26:J26,B$300)+COUNTIF('9月'!N26:O26,B$300)+COUNTIF('9月'!S26:T26,B$300)+COUNTIF('9月'!X26:Y26,B$300)+COUNTIF('9月'!AC26:AD26,B$300)+COUNTIF('9月'!AH26:AI26,B$300)+COUNTIF('9月'!AM26:AN26,B$300)+COUNTIF('9月'!AR26:AS26,B$300)+COUNTIF('9月'!AW26:AX26,B$300)+COUNTIF('9月'!BB26:BC26,B$300)+COUNTIF('9月'!BG26:BH26,B$300)+COUNTIF('9月'!BL26:BM26,B$300)+COUNTIF('9月'!BQ26:BR26,B$300)+COUNTIF('9月'!BV26:BW26,B$300)+COUNTIF('9月'!CA26:CB26,B$300)+COUNTIF('9月'!CF26:CG26,B$300)+COUNTIF('9月'!CK26:CL26,B$300)+COUNTIF('9月'!CP26:CQ26,B$300)+COUNTIF('9月'!CU26:CV26,B$300)+COUNTIF('9月'!CZ26:DA26,B$300)+COUNTIF('9月'!DE26:DF26,B$300)+COUNTIF('9月'!DJ26:DK26,B$300)+COUNTIF('9月'!DO26:DP26,B$300)+COUNTIF('9月'!DT26:DU26,B$300)+COUNTIF('9月'!DY26:DZ26,B$300)+COUNTIF('9月'!ED26:EE26,B$300)+COUNTIF('9月'!EI26:EJ26,B$300)+COUNTIF('9月'!EN26:EO26,B$300)+COUNTIF('9月'!ES26:ET26,B$300)</f>
        <v>0</v>
      </c>
      <c r="C324" s="76">
        <f t="shared" si="96"/>
        <v>0</v>
      </c>
      <c r="D324" s="76">
        <f>COUNTIF('9月'!D26:E26,D$300)+COUNTIF('9月'!I26:J26,D$300)+COUNTIF('9月'!N26:O26,D$300)+COUNTIF('9月'!S26:T26,D$300)+COUNTIF('9月'!X26:Y26,D$300)+COUNTIF('9月'!AC26:AD26,D$300)+COUNTIF('9月'!AH26:AI26,D$300)+COUNTIF('9月'!AM26:AN26,D$300)+COUNTIF('9月'!AR26:AS26,D$300)+COUNTIF('9月'!AW26:AX26,D$300)+COUNTIF('9月'!BB26:BC26,D$300)+COUNTIF('9月'!BG26:BH26,D$300)+COUNTIF('9月'!BL26:BM26,D$300)+COUNTIF('9月'!BQ26:BR26,D$300)+COUNTIF('9月'!BV26:BW26,D$300)+COUNTIF('9月'!CA26:CB26,D$300)+COUNTIF('9月'!CF26:CG26,D$300)+COUNTIF('9月'!CK26:CL26,D$300)+COUNTIF('9月'!CP26:CQ26,D$300)+COUNTIF('9月'!CU26:CV26,D$300)+COUNTIF('9月'!CZ26:DA26,D$300)+COUNTIF('9月'!DE26:DF26,D$300)+COUNTIF('9月'!DJ26:DK26,D$300)+COUNTIF('9月'!DO26:DP26,D$300)+COUNTIF('9月'!DT26:DU26,D$300)+COUNTIF('9月'!DY26:DZ26,D$300)+COUNTIF('9月'!ED26:EE26,D$300)+COUNTIF('9月'!EI26:EJ26,D$300)+COUNTIF('9月'!EN26:EO26,D$300)+COUNTIF('9月'!ES26:ET26,D$300)</f>
        <v>0</v>
      </c>
      <c r="E324" s="76">
        <f t="shared" si="97"/>
        <v>0</v>
      </c>
      <c r="F324" s="76">
        <f>COUNTIF('9月'!D26:E26,F$300)+COUNTIF('9月'!I26:J26,F$300)+COUNTIF('9月'!N26:O26,F$300)+COUNTIF('9月'!S26:T26,F$300)+COUNTIF('9月'!X26:Y26,F$300)+COUNTIF('9月'!AC26:AD26,F$300)+COUNTIF('9月'!AH26:AI26,F$300)+COUNTIF('9月'!AM26:AN26,F$300)+COUNTIF('9月'!AR26:AS26,F$300)+COUNTIF('9月'!AW26:AX26,F$300)+COUNTIF('9月'!BB26:BC26,F$300)+COUNTIF('9月'!BG26:BH26,F$300)+COUNTIF('9月'!BL26:BM26,F$300)+COUNTIF('9月'!BQ26:BR26,F$300)+COUNTIF('9月'!BV26:BW26,F$300)+COUNTIF('9月'!CA26:CB26,F$300)+COUNTIF('9月'!CF26:CG26,F$300)+COUNTIF('9月'!CK26:CL26,F$300)+COUNTIF('9月'!CP26:CQ26,F$300)+COUNTIF('9月'!CU26:CV26,F$300)+COUNTIF('9月'!CZ26:DA26,F$300)+COUNTIF('9月'!DE26:DF26,F$300)+COUNTIF('9月'!DJ26:DK26,F$300)+COUNTIF('9月'!DO26:DP26,F$300)+COUNTIF('9月'!DT26:DU26,F$300)+COUNTIF('9月'!DY26:DZ26,F$300)+COUNTIF('9月'!ED26:EE26,F$300)+COUNTIF('9月'!EI26:EJ26,F$300)+COUNTIF('9月'!EN26:EO26,F$300)+COUNTIF('9月'!ES26:ET26,F$300)</f>
        <v>0</v>
      </c>
      <c r="G324" s="76">
        <f t="shared" si="98"/>
        <v>0</v>
      </c>
      <c r="H324" s="76">
        <f>COUNTIF('9月'!D26:E26,H$300)+COUNTIF('9月'!I26:J26,H$300)+COUNTIF('9月'!N26:O26,H$300)+COUNTIF('9月'!S26:T26,H$300)+COUNTIF('9月'!X26:Y26,H$300)+COUNTIF('9月'!AC26:AD26,H$300)+COUNTIF('9月'!AH26:AI26,H$300)+COUNTIF('9月'!AM26:AN26,H$300)+COUNTIF('9月'!AR26:AS26,H$300)+COUNTIF('9月'!AW26:AX26,H$300)+COUNTIF('9月'!BB26:BC26,H$300)+COUNTIF('9月'!BG26:BH26,H$300)+COUNTIF('9月'!BL26:BM26,H$300)+COUNTIF('9月'!BQ26:BR26,H$300)+COUNTIF('9月'!BV26:BW26,H$300)+COUNTIF('9月'!CA26:CB26,H$300)+COUNTIF('9月'!CF26:CG26,H$300)+COUNTIF('9月'!CK26:CL26,H$300)+COUNTIF('9月'!CP26:CQ26,H$300)+COUNTIF('9月'!CU26:CV26,H$300)+COUNTIF('9月'!CZ26:DA26,H$300)+COUNTIF('9月'!DE26:DF26,H$300)+COUNTIF('9月'!DJ26:DK26,H$300)+COUNTIF('9月'!DO26:DP26,H$300)+COUNTIF('9月'!DT26:DU26,H$300)+COUNTIF('9月'!DY26:DZ26,H$300)+COUNTIF('9月'!ED26:EE26,H$300)+COUNTIF('9月'!EI26:EJ26,H$300)+COUNTIF('9月'!EN26:EO26,H$300)+COUNTIF('9月'!ES26:ET26,H$300)+COUNTIF('9月'!D26:E26,"渋谷-夜勤")+COUNTIF('9月'!I26:J26,"渋谷-夜勤")+COUNTIF('9月'!N26:O26,"渋谷-夜勤")+COUNTIF('9月'!S26:T26,"渋谷-夜勤")+COUNTIF('9月'!X26:Y26,"渋谷-夜勤")+COUNTIF('9月'!AC26:AD26,"渋谷-夜勤")+COUNTIF('9月'!AH26:AI26,"渋谷-夜勤")+COUNTIF('9月'!AM26:AN26,"渋谷-夜勤")+COUNTIF('9月'!AR26:AS26,"渋谷-夜勤")+COUNTIF('9月'!AW26:AX26,"渋谷-夜勤")+COUNTIF('9月'!BB26:BC26,"渋谷-夜勤")+COUNTIF('9月'!BG26:BH26,"渋谷-夜勤")+COUNTIF('9月'!BL26:BM26,"渋谷-夜勤")+COUNTIF('9月'!BQ26:BR26,"渋谷-夜勤")+COUNTIF('9月'!BV26:BW26,"渋谷-夜勤")+COUNTIF('9月'!CA26:CB26,"渋谷-夜勤")+COUNTIF('9月'!CF26:CG26,"渋谷-夜勤")+COUNTIF('9月'!CK26:CL26,"渋谷-夜勤")+COUNTIF('9月'!CP26:CQ26,"渋谷-夜勤")+COUNTIF('9月'!CU26:CV26,"渋谷-夜勤")+COUNTIF('9月'!CZ26:DA26,"渋谷-夜勤")+COUNTIF('9月'!DE26:DF26,"渋谷-夜勤")+COUNTIF('9月'!DJ26:DK26,"渋谷-夜勤")+COUNTIF('9月'!DO26:DP26,"渋谷-夜勤")+COUNTIF('9月'!DT26:DU26,"渋谷-夜勤")+COUNTIF('9月'!DY26:DZ26,"渋谷-夜勤")+COUNTIF('9月'!ED26:EE26,"渋谷-夜勤")+COUNTIF('9月'!EI26:EJ26,"渋谷-夜勤")+COUNTIF('9月'!EN26:EO26,"渋谷-夜勤")+COUNTIF('9月'!ES26:ET26,"渋谷-夜勤")</f>
        <v>0</v>
      </c>
      <c r="I324" s="76">
        <f t="shared" si="99"/>
        <v>0</v>
      </c>
      <c r="J324" s="76">
        <f>COUNTIF('9月'!D26:E26,J$300)+COUNTIF('9月'!I26:J26,J$300)+COUNTIF('9月'!N26:O26,J$300)+COUNTIF('9月'!S26:T26,J$300)+COUNTIF('9月'!X26:Y26,J$300)+COUNTIF('9月'!AC26:AD26,J$300)+COUNTIF('9月'!AH26:AI26,J$300)+COUNTIF('9月'!AM26:AN26,J$300)+COUNTIF('9月'!AR26:AS26,J$300)+COUNTIF('9月'!AW26:AX26,J$300)+COUNTIF('9月'!BB26:BC26,J$300)+COUNTIF('9月'!BG26:BH26,J$300)+COUNTIF('9月'!BL26:BM26,J$300)+COUNTIF('9月'!BQ26:BR26,J$300)+COUNTIF('9月'!BV26:BW26,J$300)+COUNTIF('9月'!CA26:CB26,J$300)+COUNTIF('9月'!CF26:CG26,J$300)+COUNTIF('9月'!CK26:CL26,J$300)+COUNTIF('9月'!CP26:CQ26,J$300)+COUNTIF('9月'!CU26:CV26,J$300)+COUNTIF('9月'!CZ26:DA26,J$300)+COUNTIF('9月'!DE26:DF26,J$300)+COUNTIF('9月'!DJ26:DK26,J$300)+COUNTIF('9月'!DO26:DP26,J$300)+COUNTIF('9月'!DT26:DU26,J$300)+COUNTIF('9月'!DY26:DZ26,J$300)+COUNTIF('9月'!ED26:EE26,J$300)+COUNTIF('9月'!EI26:EJ26,J$300)+COUNTIF('9月'!EN26:EO26,J$300)+COUNTIF('9月'!ES26:ET26,J$300)+COUNTIF('9月'!D26:E26,"六本木-夜勤")+COUNTIF('9月'!I26:J26,"六本木-夜勤")+COUNTIF('9月'!N26:O26,"六本木-夜勤")+COUNTIF('9月'!S26:T26,"六本木-夜勤")+COUNTIF('9月'!X26:Y26,"六本木-夜勤")+COUNTIF('9月'!AC26:AD26,"六本木-夜勤")+COUNTIF('9月'!AH26:AI26,"六本木-夜勤")+COUNTIF('9月'!AM26:AN26,"六本木-夜勤")+COUNTIF('9月'!AR26:AS26,"六本木-夜勤")+COUNTIF('9月'!AW26:AX26,"六本木-夜勤")+COUNTIF('9月'!BB26:BC26,"六本木-夜勤")+COUNTIF('9月'!BG26:BH26,"六本木-夜勤")+COUNTIF('9月'!BL26:BM26,"六本木-夜勤")+COUNTIF('9月'!BQ26:BR26,"六本木-夜勤")+COUNTIF('9月'!BV26:BW26,"六本木-夜勤")+COUNTIF('9月'!CA26:CB26,"六本木-夜勤")+COUNTIF('9月'!CF26:CG26,"六本木-夜勤")+COUNTIF('9月'!CK26:CL26,"六本木-夜勤")+COUNTIF('9月'!CP26:CQ26,"六本木-夜勤")+COUNTIF('9月'!CU26:CV26,"六本木-夜勤")+COUNTIF('9月'!CZ26:DA26,"六本木-夜勤")+COUNTIF('9月'!DE26:DF26,"六本木-夜勤")+COUNTIF('9月'!DJ26:DK26,"六本木-夜勤")+COUNTIF('9月'!DO26:DP26,"六本木-夜勤")+COUNTIF('9月'!DT26:DU26,"六本木-夜勤")+COUNTIF('9月'!DY26:DZ26,"六本木-夜勤")+COUNTIF('9月'!ED26:EE26,"六本木-夜勤")+COUNTIF('9月'!EI26:EJ26,"六本木-夜勤")+COUNTIF('9月'!EN26:EO26,"六本木-夜勤")+COUNTIF('9月'!ES26:ET26,"六本木-夜勤")+COUNTIF('9月'!D26:E26,"六本木ー夜勤")+COUNTIF('9月'!I26:J26,"六本木ー夜勤")+COUNTIF('9月'!N26:O26,"六本木ー夜勤")+COUNTIF('9月'!S26:T26,"六本木ー夜勤")+COUNTIF('9月'!X26:Y26,"六本木ー夜勤")+COUNTIF('9月'!AC26:AD26,"六本木ー夜勤")+COUNTIF('9月'!AH26:AI26,"六本木ー夜勤")+COUNTIF('9月'!AM26:AN26,"六本木ー夜勤")+COUNTIF('9月'!AR26:AS26,"六本木ー夜勤")+COUNTIF('9月'!AW26:AX26,"六本木ー夜勤")+COUNTIF('9月'!BB26:BC26,"六本木ー夜勤")+COUNTIF('9月'!BG26:BH26,"六本木ー夜勤")+COUNTIF('9月'!BL26:BM26,"六本木ー夜勤")+COUNTIF('9月'!BQ26:BR26,"六本木ー夜勤")+COUNTIF('9月'!BV26:BW26,"六本木ー夜勤")+COUNTIF('9月'!CA26:CB26,"六本木ー夜勤")+COUNTIF('9月'!CF26:CG26,"六本木ー夜勤")+COUNTIF('9月'!CK26:CL26,"六本木ー夜勤")+COUNTIF('9月'!CP26:CQ26,"六本木ー夜勤")+COUNTIF('9月'!CU26:CV26,"六本木ー夜勤")+COUNTIF('9月'!CZ26:DA26,"六本木ー夜勤")+COUNTIF('9月'!DE26:DF26,"六本木ー夜勤")+COUNTIF('9月'!DJ26:DK26,"六本木ー夜勤")+COUNTIF('9月'!DO26:DP26,"六本木ー夜勤")+COUNTIF('9月'!DT26:DU26,"六本木ー夜勤")+COUNTIF('9月'!DY26:DZ26,"六本木ー夜勤")+COUNTIF('9月'!ED26:EE26,"六本木ー夜勤")+COUNTIF('9月'!EI26:EJ26,"六本木ー夜勤")+COUNTIF('9月'!EN26:EO26,"六本木ー夜勤")+COUNTIF('9月'!ES26:ET26,"六本木ー夜勤")</f>
        <v>0</v>
      </c>
      <c r="K324" s="76">
        <f t="shared" si="100"/>
        <v>0</v>
      </c>
      <c r="L324" s="76">
        <f>COUNTIF('9月'!D26:E26,L$300)+COUNTIF('9月'!I26:J26,L$300)+COUNTIF('9月'!N26:O26,L$300)+COUNTIF('9月'!S26:T26,L$300)+COUNTIF('9月'!X26:Y26,L$300)+COUNTIF('9月'!AC26:AD26,L$300)+COUNTIF('9月'!AH26:AI26,L$300)+COUNTIF('9月'!AM26:AN26,L$300)+COUNTIF('9月'!AR26:AS26,L$300)+COUNTIF('9月'!AW26:AX26,L$300)+COUNTIF('9月'!BB26:BC26,L$300)+COUNTIF('9月'!BG26:BH26,L$300)+COUNTIF('9月'!BL26:BM26,L$300)+COUNTIF('9月'!BQ26:BR26,L$300)+COUNTIF('9月'!BV26:BW26,L$300)+COUNTIF('9月'!CA26:CB26,L$300)+COUNTIF('9月'!CF26:CG26,L$300)+COUNTIF('9月'!CK26:CL26,L$300)+COUNTIF('9月'!CP26:CQ26,L$300)+COUNTIF('9月'!CU26:CV26,L$300)+COUNTIF('9月'!CZ26:DA26,L$300)+COUNTIF('9月'!DE26:DF26,L$300)+COUNTIF('9月'!DJ26:DK26,L$300)+COUNTIF('9月'!DO26:DP26,L$300)+COUNTIF('9月'!DT26:DU26,L$300)+COUNTIF('9月'!DY26:DZ26,L$300)+COUNTIF('9月'!ED26:EE26,L$300)+COUNTIF('9月'!EI26:EJ26,L$300)+COUNTIF('9月'!EN26:EO26,L$300)+COUNTIF('9月'!ES26:ET26,L$300)</f>
        <v>0</v>
      </c>
      <c r="M324" s="76">
        <f t="shared" si="101"/>
        <v>0</v>
      </c>
      <c r="N324" s="76">
        <f>COUNTIF('9月'!D26:E26,N$300)+COUNTIF('9月'!I26:J26,N$300)+COUNTIF('9月'!N26:O26,N$300)+COUNTIF('9月'!S26:T26,N$300)+COUNTIF('9月'!X26:Y26,N$300)+COUNTIF('9月'!AC26:AD26,N$300)+COUNTIF('9月'!AH26:AI26,N$300)+COUNTIF('9月'!AM26:AN26,N$300)+COUNTIF('9月'!AR26:AS26,N$300)+COUNTIF('9月'!AW26:AX26,N$300)+COUNTIF('9月'!BB26:BC26,N$300)+COUNTIF('9月'!BG26:BH26,N$300)+COUNTIF('9月'!BL26:BM26,N$300)+COUNTIF('9月'!BQ26:BR26,N$300)+COUNTIF('9月'!BV26:BW26,N$300)+COUNTIF('9月'!CA26:CB26,N$300)+COUNTIF('9月'!CF26:CG26,N$300)+COUNTIF('9月'!CK26:CL26,N$300)+COUNTIF('9月'!CP26:CQ26,N$300)+COUNTIF('9月'!CU26:CV26,N$300)+COUNTIF('9月'!CZ26:DA26,N$300)+COUNTIF('9月'!DE26:DF26,N$300)+COUNTIF('9月'!DJ26:DK26,N$300)+COUNTIF('9月'!DO26:DP26,N$300)+COUNTIF('9月'!DT26:DU26,N$300)+COUNTIF('9月'!DY26:DZ26,N$300)+COUNTIF('9月'!ED26:EE26,N$300)+COUNTIF('9月'!EI26:EJ26,N$300)+COUNTIF('9月'!EN26:EO26,N$300)+COUNTIF('9月'!ES26:ET26,N$300)+COUNTIF('9月'!D26:E26,"三軒茶屋－夜勤")+COUNTIF('9月'!I26:J26,"三軒茶屋－夜勤")+COUNTIF('9月'!N26:O26,"三軒茶屋－夜勤")+COUNTIF('9月'!S26:T26,"三軒茶屋－夜勤")+COUNTIF('9月'!X26:Y26,"三軒茶屋－夜勤")+COUNTIF('9月'!AC26:AD26,"三軒茶屋－夜勤")+COUNTIF('9月'!AH26:AI26,"三軒茶屋－夜勤")+COUNTIF('9月'!AM26:AN26,"三軒茶屋－夜勤")+COUNTIF('9月'!AR26:AS26,"三軒茶屋－夜勤")+COUNTIF('9月'!AW26:AX26,"三軒茶屋－夜勤")+COUNTIF('9月'!BB26:BC26,"三軒茶屋－夜勤")+COUNTIF('9月'!BG26:BH26,"三軒茶屋－夜勤")+COUNTIF('9月'!BL26:BM26,"三軒茶屋－夜勤")+COUNTIF('9月'!BQ26:BR26,"三軒茶屋－夜勤")+COUNTIF('9月'!BV26:BW26,"三軒茶屋－夜勤")+COUNTIF('9月'!CA26:CB26,"三軒茶屋－夜勤")+COUNTIF('9月'!CF26:CG26,"三軒茶屋－夜勤")+COUNTIF('9月'!CK26:CL26,"三軒茶屋－夜勤")+COUNTIF('9月'!CP26:CQ26,"三軒茶屋－夜勤")+COUNTIF('9月'!CU26:CV26,"三軒茶屋－夜勤")+COUNTIF('9月'!CZ26:DA26,"三軒茶屋－夜勤")+COUNTIF('9月'!DE26:DF26,"三軒茶屋－夜勤")+COUNTIF('9月'!DJ26:DK26,"三軒茶屋－夜勤")+COUNTIF('9月'!DO26:DP26,"三軒茶屋－夜勤")+COUNTIF('9月'!DT26:DU26,"三軒茶屋－夜勤")+COUNTIF('9月'!DY26:DZ26,"三軒茶屋－夜勤")+COUNTIF('9月'!ED26:EE26,"三軒茶屋－夜勤")+COUNTIF('9月'!EI26:EJ26,"三軒茶屋－夜勤")+COUNTIF('9月'!EN26:EO26,"三軒茶屋－夜勤")+COUNTIF('9月'!ES26:ET26,"三軒茶屋－夜勤")</f>
        <v>0</v>
      </c>
      <c r="O324" s="76">
        <f t="shared" si="102"/>
        <v>0</v>
      </c>
      <c r="P324" s="76">
        <f>COUNTIF('9月'!D26:E26,P$300)+COUNTIF('9月'!I26:J26,P$300)+COUNTIF('9月'!N26:O26,P$300)+COUNTIF('9月'!S26:T26,P$300)+COUNTIF('9月'!X26:Y26,P$300)+COUNTIF('9月'!AC26:AD26,P$300)+COUNTIF('9月'!AH26:AI26,P$300)+COUNTIF('9月'!AM26:AN26,P$300)+COUNTIF('9月'!AR26:AS26,P$300)+COUNTIF('9月'!AW26:AX26,P$300)+COUNTIF('9月'!BB26:BC26,P$300)+COUNTIF('9月'!BG26:BH26,P$300)+COUNTIF('9月'!BL26:BM26,P$300)+COUNTIF('9月'!BQ26:BR26,P$300)+COUNTIF('9月'!BV26:BW26,P$300)+COUNTIF('9月'!CA26:CB26,P$300)+COUNTIF('9月'!CF26:CG26,P$300)+COUNTIF('9月'!CK26:CL26,P$300)+COUNTIF('9月'!CP26:CQ26,P$300)+COUNTIF('9月'!CU26:CV26,P$300)+COUNTIF('9月'!CZ26:DA26,P$300)+COUNTIF('9月'!DE26:DF26,P$300)+COUNTIF('9月'!DJ26:DK26,P$300)+COUNTIF('9月'!DO26:DP26,P$300)+COUNTIF('9月'!DT26:DU26,P$300)+COUNTIF('9月'!DY26:DZ26,P$300)+COUNTIF('9月'!ED26:EE26,P$300)+COUNTIF('9月'!EI26:EJ26,P$300)+COUNTIF('9月'!EN26:EO26,P$300)+COUNTIF('9月'!ES26:ET26,P$300)+COUNTIF('9月'!D26:E26,"荻窪ー夜勤")+COUNTIF('9月'!I26:J26,"荻窪ー夜勤")+COUNTIF('9月'!N26:O26,"荻窪ー夜勤")+COUNTIF('9月'!S26:T26,"荻窪ー夜勤")+COUNTIF('9月'!X26:Y26,"荻窪ー夜勤")+COUNTIF('9月'!AC26:AD26,"荻窪ー夜勤")+COUNTIF('9月'!AH26:AI26,"荻窪ー夜勤")+COUNTIF('9月'!AM26:AN26,"荻窪ー夜勤")+COUNTIF('9月'!AR26:AS26,"荻窪ー夜勤")+COUNTIF('9月'!AW26:AX26,"荻窪ー夜勤")+COUNTIF('9月'!BB26:BC26,"荻窪ー夜勤")+COUNTIF('9月'!BG26:BH26,"荻窪ー夜勤")+COUNTIF('9月'!BL26:BM26,"荻窪ー夜勤")+COUNTIF('9月'!BQ26:BR26,"荻窪ー夜勤")+COUNTIF('9月'!BV26:BW26,"荻窪ー夜勤")+COUNTIF('9月'!CA26:CB26,"荻窪ー夜勤")+COUNTIF('9月'!CF26:CG26,"荻窪ー夜勤")+COUNTIF('9月'!CK26:CL26,"荻窪ー夜勤")+COUNTIF('9月'!CP26:CQ26,"荻窪ー夜勤")+COUNTIF('9月'!CU26:CV26,"荻窪ー夜勤")+COUNTIF('9月'!CZ26:DA26,"荻窪ー夜勤")+COUNTIF('9月'!DE26:DF26,"荻窪ー夜勤")+COUNTIF('9月'!DJ26:DK26,"荻窪ー夜勤")+COUNTIF('9月'!DO26:DP26,"荻窪ー夜勤")+COUNTIF('9月'!DT26:DU26,"荻窪ー夜勤")+COUNTIF('9月'!DY26:DZ26,"荻窪ー夜勤")+COUNTIF('9月'!ED26:EE26,"荻窪ー夜勤")+COUNTIF('9月'!EI26:EJ26,"荻窪ー夜勤")+COUNTIF('9月'!EN26:EO26,"荻窪ー夜勤")+COUNTIF('9月'!ES26:ET26,"荻窪ー夜勤")</f>
        <v>0</v>
      </c>
      <c r="Q324" s="76">
        <f t="shared" si="103"/>
        <v>0</v>
      </c>
      <c r="R324" s="76">
        <f>COUNTIF('9月'!D26:E26,R$300)+COUNTIF('9月'!I26:J26,R$300)+COUNTIF('9月'!N26:O26,R$300)+COUNTIF('9月'!S26:T26,R$300)+COUNTIF('9月'!X26:Y26,R$300)+COUNTIF('9月'!AC26:AD26,R$300)+COUNTIF('9月'!AH26:AI26,R$300)+COUNTIF('9月'!AM26:AN26,R$300)+COUNTIF('9月'!AR26:AS26,R$300)+COUNTIF('9月'!AW26:AX26,R$300)+COUNTIF('9月'!BB26:BC26,R$300)+COUNTIF('9月'!BG26:BH26,R$300)+COUNTIF('9月'!BL26:BM26,R$300)+COUNTIF('9月'!BQ26:BR26,R$300)+COUNTIF('9月'!BV26:BW26,R$300)+COUNTIF('9月'!CA26:CB26,R$300)+COUNTIF('9月'!CF26:CG26,R$300)+COUNTIF('9月'!CK26:CL26,R$300)+COUNTIF('9月'!CP26:CQ26,R$300)+COUNTIF('9月'!CU26:CV26,R$300)+COUNTIF('9月'!CZ26:DA26,R$300)+COUNTIF('9月'!DE26:DF26,R$300)+COUNTIF('9月'!DJ26:DK26,R$300)+COUNTIF('9月'!DO26:DP26,R$300)+COUNTIF('9月'!DT26:DU26,R$300)+COUNTIF('9月'!DY26:DZ26,R$300)+COUNTIF('9月'!ED26:EE26,R$300)+COUNTIF('9月'!EI26:EJ26,R$300)+COUNTIF('9月'!EN26:EO26,R$300)+COUNTIF('9月'!ES26:ET26,R$300)</f>
        <v>0</v>
      </c>
      <c r="S324" s="76">
        <f t="shared" si="104"/>
        <v>0</v>
      </c>
      <c r="T324" s="76">
        <f>COUNTIF('9月'!D26:E26,T$300)+COUNTIF('9月'!I26:J26,T$300)+COUNTIF('9月'!N26:O26,T$300)+COUNTIF('9月'!S26:T26,T$300)+COUNTIF('9月'!X26:Y26,T$300)+COUNTIF('9月'!AC26:AD26,T$300)+COUNTIF('9月'!AH26:AI26,T$300)+COUNTIF('9月'!AM26:AN26,T$300)+COUNTIF('9月'!AR26:AS26,T$300)+COUNTIF('9月'!AW26:AX26,T$300)+COUNTIF('9月'!BB26:BC26,T$300)+COUNTIF('9月'!BG26:BH26,T$300)+COUNTIF('9月'!BL26:BM26,T$300)+COUNTIF('9月'!BQ26:BR26,T$300)+COUNTIF('9月'!BV26:BW26,T$300)+COUNTIF('9月'!CA26:CB26,T$300)+COUNTIF('9月'!CF26:CG26,T$300)+COUNTIF('9月'!CK26:CL26,T$300)+COUNTIF('9月'!CP26:CQ26,T$300)+COUNTIF('9月'!CU26:CV26,T$300)+COUNTIF('9月'!CZ26:DA26,T$300)+COUNTIF('9月'!DE26:DF26,T$300)+COUNTIF('9月'!DJ26:DK26,T$300)+COUNTIF('9月'!DO26:DP26,T$300)+COUNTIF('9月'!DT26:DU26,T$300)+COUNTIF('9月'!DY26:DZ26,T$300)+COUNTIF('9月'!ED26:EE26,T$300)+COUNTIF('9月'!EI26:EJ26,T$300)+COUNTIF('9月'!EN26:EO26,T$300)+COUNTIF('9月'!ES26:ET26,T$300)</f>
        <v>0</v>
      </c>
      <c r="U324" s="76">
        <f t="shared" si="105"/>
        <v>0</v>
      </c>
      <c r="V324" s="76">
        <f>COUNTIF('9月'!D26:E26,V$300)+COUNTIF('9月'!I26:J26,V$300)+COUNTIF('9月'!N26:O26,V$300)+COUNTIF('9月'!S26:T26,V$300)+COUNTIF('9月'!X26:Y26,V$300)+COUNTIF('9月'!AC26:AD26,V$300)+COUNTIF('9月'!AH26:AI26,V$300)+COUNTIF('9月'!AM26:AN26,V$300)+COUNTIF('9月'!AR26:AS26,V$300)+COUNTIF('9月'!AW26:AX26,V$300)+COUNTIF('9月'!BB26:BC26,V$300)+COUNTIF('9月'!BG26:BH26,V$300)+COUNTIF('9月'!BL26:BM26,V$300)+COUNTIF('9月'!BQ26:BR26,V$300)+COUNTIF('9月'!BV26:BW26,V$300)+COUNTIF('9月'!CA26:CB26,V$300)+COUNTIF('9月'!CF26:CG26,V$300)+COUNTIF('9月'!CK26:CL26,V$300)+COUNTIF('9月'!CP26:CQ26,V$300)+COUNTIF('9月'!CU26:CV26,V$300)+COUNTIF('9月'!CZ26:DA26,V$300)+COUNTIF('9月'!DE26:DF26,V$300)+COUNTIF('9月'!DJ26:DK26,V$300)+COUNTIF('9月'!DO26:DP26,V$300)+COUNTIF('9月'!DT26:DU26,V$300)+COUNTIF('9月'!DY26:DZ26,V$300)+COUNTIF('9月'!ED26:EE26,V$300)+COUNTIF('9月'!EI26:EJ26,V$300)+COUNTIF('9月'!EN26:EO26,V$300)+COUNTIF('9月'!ES26:ET26,V$300)</f>
        <v>0</v>
      </c>
      <c r="W324" s="76">
        <f t="shared" si="106"/>
        <v>0</v>
      </c>
      <c r="X324" s="76">
        <f>COUNTIF('9月'!D26:E26,X$300)+COUNTIF('9月'!I26:J26,X$300)+COUNTIF('9月'!N26:O26,X$300)+COUNTIF('9月'!S26:T26,X$300)+COUNTIF('9月'!X26:Y26,X$300)+COUNTIF('9月'!AC26:AD26,X$300)+COUNTIF('9月'!AH26:AI26,X$300)+COUNTIF('9月'!AM26:AN26,X$300)+COUNTIF('9月'!AR26:AS26,X$300)+COUNTIF('9月'!AW26:AX26,X$300)+COUNTIF('9月'!BB26:BC26,X$300)+COUNTIF('9月'!BG26:BH26,X$300)+COUNTIF('9月'!BL26:BM26,X$300)+COUNTIF('9月'!BQ26:BR26,X$300)+COUNTIF('9月'!BV26:BW26,X$300)+COUNTIF('9月'!CA26:CB26,X$300)+COUNTIF('9月'!CF26:CG26,X$300)+COUNTIF('9月'!CK26:CL26,X$300)+COUNTIF('9月'!CP26:CQ26,X$300)+COUNTIF('9月'!CU26:CV26,X$300)+COUNTIF('9月'!CZ26:DA26,X$300)+COUNTIF('9月'!DE26:DF26,X$300)+COUNTIF('9月'!DJ26:DK26,X$300)+COUNTIF('9月'!DO26:DP26,X$300)+COUNTIF('9月'!DT26:DU26,X$300)+COUNTIF('9月'!DY26:DZ26,X$300)+COUNTIF('9月'!ED26:EE26,X$300)+COUNTIF('9月'!EI26:EJ26,X$300)+COUNTIF('9月'!EN26:EO26,X$300)+COUNTIF('9月'!ES26:ET26,X$300)</f>
        <v>0</v>
      </c>
      <c r="Y324" s="76">
        <f t="shared" si="107"/>
        <v>0</v>
      </c>
    </row>
    <row r="325" spans="1:25" ht="18" customHeight="1">
      <c r="A325" s="76">
        <v>24</v>
      </c>
      <c r="B325" s="76">
        <f>COUNTIF('9月'!D27:E27,B$300)+COUNTIF('9月'!I27:J27,B$300)+COUNTIF('9月'!N27:O27,B$300)+COUNTIF('9月'!S27:T27,B$300)+COUNTIF('9月'!X27:Y27,B$300)+COUNTIF('9月'!AC27:AD27,B$300)+COUNTIF('9月'!AH27:AI27,B$300)+COUNTIF('9月'!AM27:AN27,B$300)+COUNTIF('9月'!AR27:AS27,B$300)+COUNTIF('9月'!AW27:AX27,B$300)+COUNTIF('9月'!BB27:BC27,B$300)+COUNTIF('9月'!BG27:BH27,B$300)+COUNTIF('9月'!BL27:BM27,B$300)+COUNTIF('9月'!BQ27:BR27,B$300)+COUNTIF('9月'!BV27:BW27,B$300)+COUNTIF('9月'!CA27:CB27,B$300)+COUNTIF('9月'!CF27:CG27,B$300)+COUNTIF('9月'!CK27:CL27,B$300)+COUNTIF('9月'!CP27:CQ27,B$300)+COUNTIF('9月'!CU27:CV27,B$300)+COUNTIF('9月'!CZ27:DA27,B$300)+COUNTIF('9月'!DE27:DF27,B$300)+COUNTIF('9月'!DJ27:DK27,B$300)+COUNTIF('9月'!DO27:DP27,B$300)+COUNTIF('9月'!DT27:DU27,B$300)+COUNTIF('9月'!DY27:DZ27,B$300)+COUNTIF('9月'!ED27:EE27,B$300)+COUNTIF('9月'!EI27:EJ27,B$300)+COUNTIF('9月'!EN27:EO27,B$300)+COUNTIF('9月'!ES27:ET27,B$300)</f>
        <v>0</v>
      </c>
      <c r="C325" s="76">
        <f t="shared" si="96"/>
        <v>0</v>
      </c>
      <c r="D325" s="76">
        <f>COUNTIF('9月'!D27:E27,D$300)+COUNTIF('9月'!I27:J27,D$300)+COUNTIF('9月'!N27:O27,D$300)+COUNTIF('9月'!S27:T27,D$300)+COUNTIF('9月'!X27:Y27,D$300)+COUNTIF('9月'!AC27:AD27,D$300)+COUNTIF('9月'!AH27:AI27,D$300)+COUNTIF('9月'!AM27:AN27,D$300)+COUNTIF('9月'!AR27:AS27,D$300)+COUNTIF('9月'!AW27:AX27,D$300)+COUNTIF('9月'!BB27:BC27,D$300)+COUNTIF('9月'!BG27:BH27,D$300)+COUNTIF('9月'!BL27:BM27,D$300)+COUNTIF('9月'!BQ27:BR27,D$300)+COUNTIF('9月'!BV27:BW27,D$300)+COUNTIF('9月'!CA27:CB27,D$300)+COUNTIF('9月'!CF27:CG27,D$300)+COUNTIF('9月'!CK27:CL27,D$300)+COUNTIF('9月'!CP27:CQ27,D$300)+COUNTIF('9月'!CU27:CV27,D$300)+COUNTIF('9月'!CZ27:DA27,D$300)+COUNTIF('9月'!DE27:DF27,D$300)+COUNTIF('9月'!DJ27:DK27,D$300)+COUNTIF('9月'!DO27:DP27,D$300)+COUNTIF('9月'!DT27:DU27,D$300)+COUNTIF('9月'!DY27:DZ27,D$300)+COUNTIF('9月'!ED27:EE27,D$300)+COUNTIF('9月'!EI27:EJ27,D$300)+COUNTIF('9月'!EN27:EO27,D$300)+COUNTIF('9月'!ES27:ET27,D$300)</f>
        <v>0</v>
      </c>
      <c r="E325" s="76">
        <f t="shared" si="97"/>
        <v>0</v>
      </c>
      <c r="F325" s="76">
        <f>COUNTIF('9月'!D27:E27,F$300)+COUNTIF('9月'!I27:J27,F$300)+COUNTIF('9月'!N27:O27,F$300)+COUNTIF('9月'!S27:T27,F$300)+COUNTIF('9月'!X27:Y27,F$300)+COUNTIF('9月'!AC27:AD27,F$300)+COUNTIF('9月'!AH27:AI27,F$300)+COUNTIF('9月'!AM27:AN27,F$300)+COUNTIF('9月'!AR27:AS27,F$300)+COUNTIF('9月'!AW27:AX27,F$300)+COUNTIF('9月'!BB27:BC27,F$300)+COUNTIF('9月'!BG27:BH27,F$300)+COUNTIF('9月'!BL27:BM27,F$300)+COUNTIF('9月'!BQ27:BR27,F$300)+COUNTIF('9月'!BV27:BW27,F$300)+COUNTIF('9月'!CA27:CB27,F$300)+COUNTIF('9月'!CF27:CG27,F$300)+COUNTIF('9月'!CK27:CL27,F$300)+COUNTIF('9月'!CP27:CQ27,F$300)+COUNTIF('9月'!CU27:CV27,F$300)+COUNTIF('9月'!CZ27:DA27,F$300)+COUNTIF('9月'!DE27:DF27,F$300)+COUNTIF('9月'!DJ27:DK27,F$300)+COUNTIF('9月'!DO27:DP27,F$300)+COUNTIF('9月'!DT27:DU27,F$300)+COUNTIF('9月'!DY27:DZ27,F$300)+COUNTIF('9月'!ED27:EE27,F$300)+COUNTIF('9月'!EI27:EJ27,F$300)+COUNTIF('9月'!EN27:EO27,F$300)+COUNTIF('9月'!ES27:ET27,F$300)</f>
        <v>0</v>
      </c>
      <c r="G325" s="76">
        <f t="shared" si="98"/>
        <v>0</v>
      </c>
      <c r="H325" s="76">
        <f>COUNTIF('9月'!D27:E27,H$300)+COUNTIF('9月'!I27:J27,H$300)+COUNTIF('9月'!N27:O27,H$300)+COUNTIF('9月'!S27:T27,H$300)+COUNTIF('9月'!X27:Y27,H$300)+COUNTIF('9月'!AC27:AD27,H$300)+COUNTIF('9月'!AH27:AI27,H$300)+COUNTIF('9月'!AM27:AN27,H$300)+COUNTIF('9月'!AR27:AS27,H$300)+COUNTIF('9月'!AW27:AX27,H$300)+COUNTIF('9月'!BB27:BC27,H$300)+COUNTIF('9月'!BG27:BH27,H$300)+COUNTIF('9月'!BL27:BM27,H$300)+COUNTIF('9月'!BQ27:BR27,H$300)+COUNTIF('9月'!BV27:BW27,H$300)+COUNTIF('9月'!CA27:CB27,H$300)+COUNTIF('9月'!CF27:CG27,H$300)+COUNTIF('9月'!CK27:CL27,H$300)+COUNTIF('9月'!CP27:CQ27,H$300)+COUNTIF('9月'!CU27:CV27,H$300)+COUNTIF('9月'!CZ27:DA27,H$300)+COUNTIF('9月'!DE27:DF27,H$300)+COUNTIF('9月'!DJ27:DK27,H$300)+COUNTIF('9月'!DO27:DP27,H$300)+COUNTIF('9月'!DT27:DU27,H$300)+COUNTIF('9月'!DY27:DZ27,H$300)+COUNTIF('9月'!ED27:EE27,H$300)+COUNTIF('9月'!EI27:EJ27,H$300)+COUNTIF('9月'!EN27:EO27,H$300)+COUNTIF('9月'!ES27:ET27,H$300)+COUNTIF('9月'!D27:E27,"渋谷-夜勤")+COUNTIF('9月'!I27:J27,"渋谷-夜勤")+COUNTIF('9月'!N27:O27,"渋谷-夜勤")+COUNTIF('9月'!S27:T27,"渋谷-夜勤")+COUNTIF('9月'!X27:Y27,"渋谷-夜勤")+COUNTIF('9月'!AC27:AD27,"渋谷-夜勤")+COUNTIF('9月'!AH27:AI27,"渋谷-夜勤")+COUNTIF('9月'!AM27:AN27,"渋谷-夜勤")+COUNTIF('9月'!AR27:AS27,"渋谷-夜勤")+COUNTIF('9月'!AW27:AX27,"渋谷-夜勤")+COUNTIF('9月'!BB27:BC27,"渋谷-夜勤")+COUNTIF('9月'!BG27:BH27,"渋谷-夜勤")+COUNTIF('9月'!BL27:BM27,"渋谷-夜勤")+COUNTIF('9月'!BQ27:BR27,"渋谷-夜勤")+COUNTIF('9月'!BV27:BW27,"渋谷-夜勤")+COUNTIF('9月'!CA27:CB27,"渋谷-夜勤")+COUNTIF('9月'!CF27:CG27,"渋谷-夜勤")+COUNTIF('9月'!CK27:CL27,"渋谷-夜勤")+COUNTIF('9月'!CP27:CQ27,"渋谷-夜勤")+COUNTIF('9月'!CU27:CV27,"渋谷-夜勤")+COUNTIF('9月'!CZ27:DA27,"渋谷-夜勤")+COUNTIF('9月'!DE27:DF27,"渋谷-夜勤")+COUNTIF('9月'!DJ27:DK27,"渋谷-夜勤")+COUNTIF('9月'!DO27:DP27,"渋谷-夜勤")+COUNTIF('9月'!DT27:DU27,"渋谷-夜勤")+COUNTIF('9月'!DY27:DZ27,"渋谷-夜勤")+COUNTIF('9月'!ED27:EE27,"渋谷-夜勤")+COUNTIF('9月'!EI27:EJ27,"渋谷-夜勤")+COUNTIF('9月'!EN27:EO27,"渋谷-夜勤")+COUNTIF('9月'!ES27:ET27,"渋谷-夜勤")</f>
        <v>0</v>
      </c>
      <c r="I325" s="76">
        <f t="shared" si="99"/>
        <v>0</v>
      </c>
      <c r="J325" s="76">
        <f>COUNTIF('9月'!D27:E27,J$300)+COUNTIF('9月'!I27:J27,J$300)+COUNTIF('9月'!N27:O27,J$300)+COUNTIF('9月'!S27:T27,J$300)+COUNTIF('9月'!X27:Y27,J$300)+COUNTIF('9月'!AC27:AD27,J$300)+COUNTIF('9月'!AH27:AI27,J$300)+COUNTIF('9月'!AM27:AN27,J$300)+COUNTIF('9月'!AR27:AS27,J$300)+COUNTIF('9月'!AW27:AX27,J$300)+COUNTIF('9月'!BB27:BC27,J$300)+COUNTIF('9月'!BG27:BH27,J$300)+COUNTIF('9月'!BL27:BM27,J$300)+COUNTIF('9月'!BQ27:BR27,J$300)+COUNTIF('9月'!BV27:BW27,J$300)+COUNTIF('9月'!CA27:CB27,J$300)+COUNTIF('9月'!CF27:CG27,J$300)+COUNTIF('9月'!CK27:CL27,J$300)+COUNTIF('9月'!CP27:CQ27,J$300)+COUNTIF('9月'!CU27:CV27,J$300)+COUNTIF('9月'!CZ27:DA27,J$300)+COUNTIF('9月'!DE27:DF27,J$300)+COUNTIF('9月'!DJ27:DK27,J$300)+COUNTIF('9月'!DO27:DP27,J$300)+COUNTIF('9月'!DT27:DU27,J$300)+COUNTIF('9月'!DY27:DZ27,J$300)+COUNTIF('9月'!ED27:EE27,J$300)+COUNTIF('9月'!EI27:EJ27,J$300)+COUNTIF('9月'!EN27:EO27,J$300)+COUNTIF('9月'!ES27:ET27,J$300)+COUNTIF('9月'!D27:E27,"六本木-夜勤")+COUNTIF('9月'!I27:J27,"六本木-夜勤")+COUNTIF('9月'!N27:O27,"六本木-夜勤")+COUNTIF('9月'!S27:T27,"六本木-夜勤")+COUNTIF('9月'!X27:Y27,"六本木-夜勤")+COUNTIF('9月'!AC27:AD27,"六本木-夜勤")+COUNTIF('9月'!AH27:AI27,"六本木-夜勤")+COUNTIF('9月'!AM27:AN27,"六本木-夜勤")+COUNTIF('9月'!AR27:AS27,"六本木-夜勤")+COUNTIF('9月'!AW27:AX27,"六本木-夜勤")+COUNTIF('9月'!BB27:BC27,"六本木-夜勤")+COUNTIF('9月'!BG27:BH27,"六本木-夜勤")+COUNTIF('9月'!BL27:BM27,"六本木-夜勤")+COUNTIF('9月'!BQ27:BR27,"六本木-夜勤")+COUNTIF('9月'!BV27:BW27,"六本木-夜勤")+COUNTIF('9月'!CA27:CB27,"六本木-夜勤")+COUNTIF('9月'!CF27:CG27,"六本木-夜勤")+COUNTIF('9月'!CK27:CL27,"六本木-夜勤")+COUNTIF('9月'!CP27:CQ27,"六本木-夜勤")+COUNTIF('9月'!CU27:CV27,"六本木-夜勤")+COUNTIF('9月'!CZ27:DA27,"六本木-夜勤")+COUNTIF('9月'!DE27:DF27,"六本木-夜勤")+COUNTIF('9月'!DJ27:DK27,"六本木-夜勤")+COUNTIF('9月'!DO27:DP27,"六本木-夜勤")+COUNTIF('9月'!DT27:DU27,"六本木-夜勤")+COUNTIF('9月'!DY27:DZ27,"六本木-夜勤")+COUNTIF('9月'!ED27:EE27,"六本木-夜勤")+COUNTIF('9月'!EI27:EJ27,"六本木-夜勤")+COUNTIF('9月'!EN27:EO27,"六本木-夜勤")+COUNTIF('9月'!ES27:ET27,"六本木-夜勤")+COUNTIF('9月'!D27:E27,"六本木ー夜勤")+COUNTIF('9月'!I27:J27,"六本木ー夜勤")+COUNTIF('9月'!N27:O27,"六本木ー夜勤")+COUNTIF('9月'!S27:T27,"六本木ー夜勤")+COUNTIF('9月'!X27:Y27,"六本木ー夜勤")+COUNTIF('9月'!AC27:AD27,"六本木ー夜勤")+COUNTIF('9月'!AH27:AI27,"六本木ー夜勤")+COUNTIF('9月'!AM27:AN27,"六本木ー夜勤")+COUNTIF('9月'!AR27:AS27,"六本木ー夜勤")+COUNTIF('9月'!AW27:AX27,"六本木ー夜勤")+COUNTIF('9月'!BB27:BC27,"六本木ー夜勤")+COUNTIF('9月'!BG27:BH27,"六本木ー夜勤")+COUNTIF('9月'!BL27:BM27,"六本木ー夜勤")+COUNTIF('9月'!BQ27:BR27,"六本木ー夜勤")+COUNTIF('9月'!BV27:BW27,"六本木ー夜勤")+COUNTIF('9月'!CA27:CB27,"六本木ー夜勤")+COUNTIF('9月'!CF27:CG27,"六本木ー夜勤")+COUNTIF('9月'!CK27:CL27,"六本木ー夜勤")+COUNTIF('9月'!CP27:CQ27,"六本木ー夜勤")+COUNTIF('9月'!CU27:CV27,"六本木ー夜勤")+COUNTIF('9月'!CZ27:DA27,"六本木ー夜勤")+COUNTIF('9月'!DE27:DF27,"六本木ー夜勤")+COUNTIF('9月'!DJ27:DK27,"六本木ー夜勤")+COUNTIF('9月'!DO27:DP27,"六本木ー夜勤")+COUNTIF('9月'!DT27:DU27,"六本木ー夜勤")+COUNTIF('9月'!DY27:DZ27,"六本木ー夜勤")+COUNTIF('9月'!ED27:EE27,"六本木ー夜勤")+COUNTIF('9月'!EI27:EJ27,"六本木ー夜勤")+COUNTIF('9月'!EN27:EO27,"六本木ー夜勤")+COUNTIF('9月'!ES27:ET27,"六本木ー夜勤")</f>
        <v>0</v>
      </c>
      <c r="K325" s="76">
        <f t="shared" si="100"/>
        <v>0</v>
      </c>
      <c r="L325" s="76">
        <f>COUNTIF('9月'!D27:E27,L$300)+COUNTIF('9月'!I27:J27,L$300)+COUNTIF('9月'!N27:O27,L$300)+COUNTIF('9月'!S27:T27,L$300)+COUNTIF('9月'!X27:Y27,L$300)+COUNTIF('9月'!AC27:AD27,L$300)+COUNTIF('9月'!AH27:AI27,L$300)+COUNTIF('9月'!AM27:AN27,L$300)+COUNTIF('9月'!AR27:AS27,L$300)+COUNTIF('9月'!AW27:AX27,L$300)+COUNTIF('9月'!BB27:BC27,L$300)+COUNTIF('9月'!BG27:BH27,L$300)+COUNTIF('9月'!BL27:BM27,L$300)+COUNTIF('9月'!BQ27:BR27,L$300)+COUNTIF('9月'!BV27:BW27,L$300)+COUNTIF('9月'!CA27:CB27,L$300)+COUNTIF('9月'!CF27:CG27,L$300)+COUNTIF('9月'!CK27:CL27,L$300)+COUNTIF('9月'!CP27:CQ27,L$300)+COUNTIF('9月'!CU27:CV27,L$300)+COUNTIF('9月'!CZ27:DA27,L$300)+COUNTIF('9月'!DE27:DF27,L$300)+COUNTIF('9月'!DJ27:DK27,L$300)+COUNTIF('9月'!DO27:DP27,L$300)+COUNTIF('9月'!DT27:DU27,L$300)+COUNTIF('9月'!DY27:DZ27,L$300)+COUNTIF('9月'!ED27:EE27,L$300)+COUNTIF('9月'!EI27:EJ27,L$300)+COUNTIF('9月'!EN27:EO27,L$300)+COUNTIF('9月'!ES27:ET27,L$300)</f>
        <v>0</v>
      </c>
      <c r="M325" s="76">
        <f t="shared" si="101"/>
        <v>0</v>
      </c>
      <c r="N325" s="76">
        <f>COUNTIF('9月'!D27:E27,N$300)+COUNTIF('9月'!I27:J27,N$300)+COUNTIF('9月'!N27:O27,N$300)+COUNTIF('9月'!S27:T27,N$300)+COUNTIF('9月'!X27:Y27,N$300)+COUNTIF('9月'!AC27:AD27,N$300)+COUNTIF('9月'!AH27:AI27,N$300)+COUNTIF('9月'!AM27:AN27,N$300)+COUNTIF('9月'!AR27:AS27,N$300)+COUNTIF('9月'!AW27:AX27,N$300)+COUNTIF('9月'!BB27:BC27,N$300)+COUNTIF('9月'!BG27:BH27,N$300)+COUNTIF('9月'!BL27:BM27,N$300)+COUNTIF('9月'!BQ27:BR27,N$300)+COUNTIF('9月'!BV27:BW27,N$300)+COUNTIF('9月'!CA27:CB27,N$300)+COUNTIF('9月'!CF27:CG27,N$300)+COUNTIF('9月'!CK27:CL27,N$300)+COUNTIF('9月'!CP27:CQ27,N$300)+COUNTIF('9月'!CU27:CV27,N$300)+COUNTIF('9月'!CZ27:DA27,N$300)+COUNTIF('9月'!DE27:DF27,N$300)+COUNTIF('9月'!DJ27:DK27,N$300)+COUNTIF('9月'!DO27:DP27,N$300)+COUNTIF('9月'!DT27:DU27,N$300)+COUNTIF('9月'!DY27:DZ27,N$300)+COUNTIF('9月'!ED27:EE27,N$300)+COUNTIF('9月'!EI27:EJ27,N$300)+COUNTIF('9月'!EN27:EO27,N$300)+COUNTIF('9月'!ES27:ET27,N$300)+COUNTIF('9月'!D27:E27,"三軒茶屋－夜勤")+COUNTIF('9月'!I27:J27,"三軒茶屋－夜勤")+COUNTIF('9月'!N27:O27,"三軒茶屋－夜勤")+COUNTIF('9月'!S27:T27,"三軒茶屋－夜勤")+COUNTIF('9月'!X27:Y27,"三軒茶屋－夜勤")+COUNTIF('9月'!AC27:AD27,"三軒茶屋－夜勤")+COUNTIF('9月'!AH27:AI27,"三軒茶屋－夜勤")+COUNTIF('9月'!AM27:AN27,"三軒茶屋－夜勤")+COUNTIF('9月'!AR27:AS27,"三軒茶屋－夜勤")+COUNTIF('9月'!AW27:AX27,"三軒茶屋－夜勤")+COUNTIF('9月'!BB27:BC27,"三軒茶屋－夜勤")+COUNTIF('9月'!BG27:BH27,"三軒茶屋－夜勤")+COUNTIF('9月'!BL27:BM27,"三軒茶屋－夜勤")+COUNTIF('9月'!BQ27:BR27,"三軒茶屋－夜勤")+COUNTIF('9月'!BV27:BW27,"三軒茶屋－夜勤")+COUNTIF('9月'!CA27:CB27,"三軒茶屋－夜勤")+COUNTIF('9月'!CF27:CG27,"三軒茶屋－夜勤")+COUNTIF('9月'!CK27:CL27,"三軒茶屋－夜勤")+COUNTIF('9月'!CP27:CQ27,"三軒茶屋－夜勤")+COUNTIF('9月'!CU27:CV27,"三軒茶屋－夜勤")+COUNTIF('9月'!CZ27:DA27,"三軒茶屋－夜勤")+COUNTIF('9月'!DE27:DF27,"三軒茶屋－夜勤")+COUNTIF('9月'!DJ27:DK27,"三軒茶屋－夜勤")+COUNTIF('9月'!DO27:DP27,"三軒茶屋－夜勤")+COUNTIF('9月'!DT27:DU27,"三軒茶屋－夜勤")+COUNTIF('9月'!DY27:DZ27,"三軒茶屋－夜勤")+COUNTIF('9月'!ED27:EE27,"三軒茶屋－夜勤")+COUNTIF('9月'!EI27:EJ27,"三軒茶屋－夜勤")+COUNTIF('9月'!EN27:EO27,"三軒茶屋－夜勤")+COUNTIF('9月'!ES27:ET27,"三軒茶屋－夜勤")</f>
        <v>0</v>
      </c>
      <c r="O325" s="76">
        <f t="shared" si="102"/>
        <v>0</v>
      </c>
      <c r="P325" s="76">
        <f>COUNTIF('9月'!D27:E27,P$300)+COUNTIF('9月'!I27:J27,P$300)+COUNTIF('9月'!N27:O27,P$300)+COUNTIF('9月'!S27:T27,P$300)+COUNTIF('9月'!X27:Y27,P$300)+COUNTIF('9月'!AC27:AD27,P$300)+COUNTIF('9月'!AH27:AI27,P$300)+COUNTIF('9月'!AM27:AN27,P$300)+COUNTIF('9月'!AR27:AS27,P$300)+COUNTIF('9月'!AW27:AX27,P$300)+COUNTIF('9月'!BB27:BC27,P$300)+COUNTIF('9月'!BG27:BH27,P$300)+COUNTIF('9月'!BL27:BM27,P$300)+COUNTIF('9月'!BQ27:BR27,P$300)+COUNTIF('9月'!BV27:BW27,P$300)+COUNTIF('9月'!CA27:CB27,P$300)+COUNTIF('9月'!CF27:CG27,P$300)+COUNTIF('9月'!CK27:CL27,P$300)+COUNTIF('9月'!CP27:CQ27,P$300)+COUNTIF('9月'!CU27:CV27,P$300)+COUNTIF('9月'!CZ27:DA27,P$300)+COUNTIF('9月'!DE27:DF27,P$300)+COUNTIF('9月'!DJ27:DK27,P$300)+COUNTIF('9月'!DO27:DP27,P$300)+COUNTIF('9月'!DT27:DU27,P$300)+COUNTIF('9月'!DY27:DZ27,P$300)+COUNTIF('9月'!ED27:EE27,P$300)+COUNTIF('9月'!EI27:EJ27,P$300)+COUNTIF('9月'!EN27:EO27,P$300)+COUNTIF('9月'!ES27:ET27,P$300)+COUNTIF('9月'!D27:E27,"荻窪ー夜勤")+COUNTIF('9月'!I27:J27,"荻窪ー夜勤")+COUNTIF('9月'!N27:O27,"荻窪ー夜勤")+COUNTIF('9月'!S27:T27,"荻窪ー夜勤")+COUNTIF('9月'!X27:Y27,"荻窪ー夜勤")+COUNTIF('9月'!AC27:AD27,"荻窪ー夜勤")+COUNTIF('9月'!AH27:AI27,"荻窪ー夜勤")+COUNTIF('9月'!AM27:AN27,"荻窪ー夜勤")+COUNTIF('9月'!AR27:AS27,"荻窪ー夜勤")+COUNTIF('9月'!AW27:AX27,"荻窪ー夜勤")+COUNTIF('9月'!BB27:BC27,"荻窪ー夜勤")+COUNTIF('9月'!BG27:BH27,"荻窪ー夜勤")+COUNTIF('9月'!BL27:BM27,"荻窪ー夜勤")+COUNTIF('9月'!BQ27:BR27,"荻窪ー夜勤")+COUNTIF('9月'!BV27:BW27,"荻窪ー夜勤")+COUNTIF('9月'!CA27:CB27,"荻窪ー夜勤")+COUNTIF('9月'!CF27:CG27,"荻窪ー夜勤")+COUNTIF('9月'!CK27:CL27,"荻窪ー夜勤")+COUNTIF('9月'!CP27:CQ27,"荻窪ー夜勤")+COUNTIF('9月'!CU27:CV27,"荻窪ー夜勤")+COUNTIF('9月'!CZ27:DA27,"荻窪ー夜勤")+COUNTIF('9月'!DE27:DF27,"荻窪ー夜勤")+COUNTIF('9月'!DJ27:DK27,"荻窪ー夜勤")+COUNTIF('9月'!DO27:DP27,"荻窪ー夜勤")+COUNTIF('9月'!DT27:DU27,"荻窪ー夜勤")+COUNTIF('9月'!DY27:DZ27,"荻窪ー夜勤")+COUNTIF('9月'!ED27:EE27,"荻窪ー夜勤")+COUNTIF('9月'!EI27:EJ27,"荻窪ー夜勤")+COUNTIF('9月'!EN27:EO27,"荻窪ー夜勤")+COUNTIF('9月'!ES27:ET27,"荻窪ー夜勤")</f>
        <v>0</v>
      </c>
      <c r="Q325" s="76">
        <f t="shared" si="103"/>
        <v>0</v>
      </c>
      <c r="R325" s="76">
        <f>COUNTIF('9月'!D27:E27,R$300)+COUNTIF('9月'!I27:J27,R$300)+COUNTIF('9月'!N27:O27,R$300)+COUNTIF('9月'!S27:T27,R$300)+COUNTIF('9月'!X27:Y27,R$300)+COUNTIF('9月'!AC27:AD27,R$300)+COUNTIF('9月'!AH27:AI27,R$300)+COUNTIF('9月'!AM27:AN27,R$300)+COUNTIF('9月'!AR27:AS27,R$300)+COUNTIF('9月'!AW27:AX27,R$300)+COUNTIF('9月'!BB27:BC27,R$300)+COUNTIF('9月'!BG27:BH27,R$300)+COUNTIF('9月'!BL27:BM27,R$300)+COUNTIF('9月'!BQ27:BR27,R$300)+COUNTIF('9月'!BV27:BW27,R$300)+COUNTIF('9月'!CA27:CB27,R$300)+COUNTIF('9月'!CF27:CG27,R$300)+COUNTIF('9月'!CK27:CL27,R$300)+COUNTIF('9月'!CP27:CQ27,R$300)+COUNTIF('9月'!CU27:CV27,R$300)+COUNTIF('9月'!CZ27:DA27,R$300)+COUNTIF('9月'!DE27:DF27,R$300)+COUNTIF('9月'!DJ27:DK27,R$300)+COUNTIF('9月'!DO27:DP27,R$300)+COUNTIF('9月'!DT27:DU27,R$300)+COUNTIF('9月'!DY27:DZ27,R$300)+COUNTIF('9月'!ED27:EE27,R$300)+COUNTIF('9月'!EI27:EJ27,R$300)+COUNTIF('9月'!EN27:EO27,R$300)+COUNTIF('9月'!ES27:ET27,R$300)</f>
        <v>0</v>
      </c>
      <c r="S325" s="76">
        <f t="shared" si="104"/>
        <v>0</v>
      </c>
      <c r="T325" s="76">
        <f>COUNTIF('9月'!D27:E27,T$300)+COUNTIF('9月'!I27:J27,T$300)+COUNTIF('9月'!N27:O27,T$300)+COUNTIF('9月'!S27:T27,T$300)+COUNTIF('9月'!X27:Y27,T$300)+COUNTIF('9月'!AC27:AD27,T$300)+COUNTIF('9月'!AH27:AI27,T$300)+COUNTIF('9月'!AM27:AN27,T$300)+COUNTIF('9月'!AR27:AS27,T$300)+COUNTIF('9月'!AW27:AX27,T$300)+COUNTIF('9月'!BB27:BC27,T$300)+COUNTIF('9月'!BG27:BH27,T$300)+COUNTIF('9月'!BL27:BM27,T$300)+COUNTIF('9月'!BQ27:BR27,T$300)+COUNTIF('9月'!BV27:BW27,T$300)+COUNTIF('9月'!CA27:CB27,T$300)+COUNTIF('9月'!CF27:CG27,T$300)+COUNTIF('9月'!CK27:CL27,T$300)+COUNTIF('9月'!CP27:CQ27,T$300)+COUNTIF('9月'!CU27:CV27,T$300)+COUNTIF('9月'!CZ27:DA27,T$300)+COUNTIF('9月'!DE27:DF27,T$300)+COUNTIF('9月'!DJ27:DK27,T$300)+COUNTIF('9月'!DO27:DP27,T$300)+COUNTIF('9月'!DT27:DU27,T$300)+COUNTIF('9月'!DY27:DZ27,T$300)+COUNTIF('9月'!ED27:EE27,T$300)+COUNTIF('9月'!EI27:EJ27,T$300)+COUNTIF('9月'!EN27:EO27,T$300)+COUNTIF('9月'!ES27:ET27,T$300)</f>
        <v>0</v>
      </c>
      <c r="U325" s="76">
        <f t="shared" si="105"/>
        <v>0</v>
      </c>
      <c r="V325" s="76">
        <f>COUNTIF('9月'!D27:E27,V$300)+COUNTIF('9月'!I27:J27,V$300)+COUNTIF('9月'!N27:O27,V$300)+COUNTIF('9月'!S27:T27,V$300)+COUNTIF('9月'!X27:Y27,V$300)+COUNTIF('9月'!AC27:AD27,V$300)+COUNTIF('9月'!AH27:AI27,V$300)+COUNTIF('9月'!AM27:AN27,V$300)+COUNTIF('9月'!AR27:AS27,V$300)+COUNTIF('9月'!AW27:AX27,V$300)+COUNTIF('9月'!BB27:BC27,V$300)+COUNTIF('9月'!BG27:BH27,V$300)+COUNTIF('9月'!BL27:BM27,V$300)+COUNTIF('9月'!BQ27:BR27,V$300)+COUNTIF('9月'!BV27:BW27,V$300)+COUNTIF('9月'!CA27:CB27,V$300)+COUNTIF('9月'!CF27:CG27,V$300)+COUNTIF('9月'!CK27:CL27,V$300)+COUNTIF('9月'!CP27:CQ27,V$300)+COUNTIF('9月'!CU27:CV27,V$300)+COUNTIF('9月'!CZ27:DA27,V$300)+COUNTIF('9月'!DE27:DF27,V$300)+COUNTIF('9月'!DJ27:DK27,V$300)+COUNTIF('9月'!DO27:DP27,V$300)+COUNTIF('9月'!DT27:DU27,V$300)+COUNTIF('9月'!DY27:DZ27,V$300)+COUNTIF('9月'!ED27:EE27,V$300)+COUNTIF('9月'!EI27:EJ27,V$300)+COUNTIF('9月'!EN27:EO27,V$300)+COUNTIF('9月'!ES27:ET27,V$300)</f>
        <v>0</v>
      </c>
      <c r="W325" s="76">
        <f t="shared" si="106"/>
        <v>0</v>
      </c>
      <c r="X325" s="76">
        <f>COUNTIF('9月'!D27:E27,X$300)+COUNTIF('9月'!I27:J27,X$300)+COUNTIF('9月'!N27:O27,X$300)+COUNTIF('9月'!S27:T27,X$300)+COUNTIF('9月'!X27:Y27,X$300)+COUNTIF('9月'!AC27:AD27,X$300)+COUNTIF('9月'!AH27:AI27,X$300)+COUNTIF('9月'!AM27:AN27,X$300)+COUNTIF('9月'!AR27:AS27,X$300)+COUNTIF('9月'!AW27:AX27,X$300)+COUNTIF('9月'!BB27:BC27,X$300)+COUNTIF('9月'!BG27:BH27,X$300)+COUNTIF('9月'!BL27:BM27,X$300)+COUNTIF('9月'!BQ27:BR27,X$300)+COUNTIF('9月'!BV27:BW27,X$300)+COUNTIF('9月'!CA27:CB27,X$300)+COUNTIF('9月'!CF27:CG27,X$300)+COUNTIF('9月'!CK27:CL27,X$300)+COUNTIF('9月'!CP27:CQ27,X$300)+COUNTIF('9月'!CU27:CV27,X$300)+COUNTIF('9月'!CZ27:DA27,X$300)+COUNTIF('9月'!DE27:DF27,X$300)+COUNTIF('9月'!DJ27:DK27,X$300)+COUNTIF('9月'!DO27:DP27,X$300)+COUNTIF('9月'!DT27:DU27,X$300)+COUNTIF('9月'!DY27:DZ27,X$300)+COUNTIF('9月'!ED27:EE27,X$300)+COUNTIF('9月'!EI27:EJ27,X$300)+COUNTIF('9月'!EN27:EO27,X$300)+COUNTIF('9月'!ES27:ET27,X$300)</f>
        <v>0</v>
      </c>
      <c r="Y325" s="76">
        <f t="shared" si="107"/>
        <v>0</v>
      </c>
    </row>
    <row r="326" spans="1:25" ht="18" customHeight="1">
      <c r="A326" s="76">
        <v>25</v>
      </c>
      <c r="B326" s="76">
        <f>COUNTIF('9月'!D28:E28,B$300)+COUNTIF('9月'!I28:J28,B$300)+COUNTIF('9月'!N28:O28,B$300)+COUNTIF('9月'!S28:T28,B$300)+COUNTIF('9月'!X28:Y28,B$300)+COUNTIF('9月'!AC28:AD28,B$300)+COUNTIF('9月'!AH28:AI28,B$300)+COUNTIF('9月'!AM28:AN28,B$300)+COUNTIF('9月'!AR28:AS28,B$300)+COUNTIF('9月'!AW28:AX28,B$300)+COUNTIF('9月'!BB28:BC28,B$300)+COUNTIF('9月'!BG28:BH28,B$300)+COUNTIF('9月'!BL28:BM28,B$300)+COUNTIF('9月'!BQ28:BR28,B$300)+COUNTIF('9月'!BV28:BW28,B$300)+COUNTIF('9月'!CA28:CB28,B$300)+COUNTIF('9月'!CF28:CG28,B$300)+COUNTIF('9月'!CK28:CL28,B$300)+COUNTIF('9月'!CP28:CQ28,B$300)+COUNTIF('9月'!CU28:CV28,B$300)+COUNTIF('9月'!CZ28:DA28,B$300)+COUNTIF('9月'!DE28:DF28,B$300)+COUNTIF('9月'!DJ28:DK28,B$300)+COUNTIF('9月'!DO28:DP28,B$300)+COUNTIF('9月'!DT28:DU28,B$300)+COUNTIF('9月'!DY28:DZ28,B$300)+COUNTIF('9月'!ED28:EE28,B$300)+COUNTIF('9月'!EI28:EJ28,B$300)+COUNTIF('9月'!EN28:EO28,B$300)+COUNTIF('9月'!ES28:ET28,B$300)</f>
        <v>0</v>
      </c>
      <c r="C326" s="76">
        <f t="shared" si="96"/>
        <v>0</v>
      </c>
      <c r="D326" s="76">
        <f>COUNTIF('9月'!D28:E28,D$300)+COUNTIF('9月'!I28:J28,D$300)+COUNTIF('9月'!N28:O28,D$300)+COUNTIF('9月'!S28:T28,D$300)+COUNTIF('9月'!X28:Y28,D$300)+COUNTIF('9月'!AC28:AD28,D$300)+COUNTIF('9月'!AH28:AI28,D$300)+COUNTIF('9月'!AM28:AN28,D$300)+COUNTIF('9月'!AR28:AS28,D$300)+COUNTIF('9月'!AW28:AX28,D$300)+COUNTIF('9月'!BB28:BC28,D$300)+COUNTIF('9月'!BG28:BH28,D$300)+COUNTIF('9月'!BL28:BM28,D$300)+COUNTIF('9月'!BQ28:BR28,D$300)+COUNTIF('9月'!BV28:BW28,D$300)+COUNTIF('9月'!CA28:CB28,D$300)+COUNTIF('9月'!CF28:CG28,D$300)+COUNTIF('9月'!CK28:CL28,D$300)+COUNTIF('9月'!CP28:CQ28,D$300)+COUNTIF('9月'!CU28:CV28,D$300)+COUNTIF('9月'!CZ28:DA28,D$300)+COUNTIF('9月'!DE28:DF28,D$300)+COUNTIF('9月'!DJ28:DK28,D$300)+COUNTIF('9月'!DO28:DP28,D$300)+COUNTIF('9月'!DT28:DU28,D$300)+COUNTIF('9月'!DY28:DZ28,D$300)+COUNTIF('9月'!ED28:EE28,D$300)+COUNTIF('9月'!EI28:EJ28,D$300)+COUNTIF('9月'!EN28:EO28,D$300)+COUNTIF('9月'!ES28:ET28,D$300)</f>
        <v>0</v>
      </c>
      <c r="E326" s="76">
        <f t="shared" si="97"/>
        <v>0</v>
      </c>
      <c r="F326" s="76">
        <f>COUNTIF('9月'!D28:E28,F$300)+COUNTIF('9月'!I28:J28,F$300)+COUNTIF('9月'!N28:O28,F$300)+COUNTIF('9月'!S28:T28,F$300)+COUNTIF('9月'!X28:Y28,F$300)+COUNTIF('9月'!AC28:AD28,F$300)+COUNTIF('9月'!AH28:AI28,F$300)+COUNTIF('9月'!AM28:AN28,F$300)+COUNTIF('9月'!AR28:AS28,F$300)+COUNTIF('9月'!AW28:AX28,F$300)+COUNTIF('9月'!BB28:BC28,F$300)+COUNTIF('9月'!BG28:BH28,F$300)+COUNTIF('9月'!BL28:BM28,F$300)+COUNTIF('9月'!BQ28:BR28,F$300)+COUNTIF('9月'!BV28:BW28,F$300)+COUNTIF('9月'!CA28:CB28,F$300)+COUNTIF('9月'!CF28:CG28,F$300)+COUNTIF('9月'!CK28:CL28,F$300)+COUNTIF('9月'!CP28:CQ28,F$300)+COUNTIF('9月'!CU28:CV28,F$300)+COUNTIF('9月'!CZ28:DA28,F$300)+COUNTIF('9月'!DE28:DF28,F$300)+COUNTIF('9月'!DJ28:DK28,F$300)+COUNTIF('9月'!DO28:DP28,F$300)+COUNTIF('9月'!DT28:DU28,F$300)+COUNTIF('9月'!DY28:DZ28,F$300)+COUNTIF('9月'!ED28:EE28,F$300)+COUNTIF('9月'!EI28:EJ28,F$300)+COUNTIF('9月'!EN28:EO28,F$300)+COUNTIF('9月'!ES28:ET28,F$300)</f>
        <v>0</v>
      </c>
      <c r="G326" s="76">
        <f t="shared" si="98"/>
        <v>0</v>
      </c>
      <c r="H326" s="76">
        <f>COUNTIF('9月'!D28:E28,H$300)+COUNTIF('9月'!I28:J28,H$300)+COUNTIF('9月'!N28:O28,H$300)+COUNTIF('9月'!S28:T28,H$300)+COUNTIF('9月'!X28:Y28,H$300)+COUNTIF('9月'!AC28:AD28,H$300)+COUNTIF('9月'!AH28:AI28,H$300)+COUNTIF('9月'!AM28:AN28,H$300)+COUNTIF('9月'!AR28:AS28,H$300)+COUNTIF('9月'!AW28:AX28,H$300)+COUNTIF('9月'!BB28:BC28,H$300)+COUNTIF('9月'!BG28:BH28,H$300)+COUNTIF('9月'!BL28:BM28,H$300)+COUNTIF('9月'!BQ28:BR28,H$300)+COUNTIF('9月'!BV28:BW28,H$300)+COUNTIF('9月'!CA28:CB28,H$300)+COUNTIF('9月'!CF28:CG28,H$300)+COUNTIF('9月'!CK28:CL28,H$300)+COUNTIF('9月'!CP28:CQ28,H$300)+COUNTIF('9月'!CU28:CV28,H$300)+COUNTIF('9月'!CZ28:DA28,H$300)+COUNTIF('9月'!DE28:DF28,H$300)+COUNTIF('9月'!DJ28:DK28,H$300)+COUNTIF('9月'!DO28:DP28,H$300)+COUNTIF('9月'!DT28:DU28,H$300)+COUNTIF('9月'!DY28:DZ28,H$300)+COUNTIF('9月'!ED28:EE28,H$300)+COUNTIF('9月'!EI28:EJ28,H$300)+COUNTIF('9月'!EN28:EO28,H$300)+COUNTIF('9月'!ES28:ET28,H$300)+COUNTIF('9月'!D28:E28,"渋谷-夜勤")+COUNTIF('9月'!I28:J28,"渋谷-夜勤")+COUNTIF('9月'!N28:O28,"渋谷-夜勤")+COUNTIF('9月'!S28:T28,"渋谷-夜勤")+COUNTIF('9月'!X28:Y28,"渋谷-夜勤")+COUNTIF('9月'!AC28:AD28,"渋谷-夜勤")+COUNTIF('9月'!AH28:AI28,"渋谷-夜勤")+COUNTIF('9月'!AM28:AN28,"渋谷-夜勤")+COUNTIF('9月'!AR28:AS28,"渋谷-夜勤")+COUNTIF('9月'!AW28:AX28,"渋谷-夜勤")+COUNTIF('9月'!BB28:BC28,"渋谷-夜勤")+COUNTIF('9月'!BG28:BH28,"渋谷-夜勤")+COUNTIF('9月'!BL28:BM28,"渋谷-夜勤")+COUNTIF('9月'!BQ28:BR28,"渋谷-夜勤")+COUNTIF('9月'!BV28:BW28,"渋谷-夜勤")+COUNTIF('9月'!CA28:CB28,"渋谷-夜勤")+COUNTIF('9月'!CF28:CG28,"渋谷-夜勤")+COUNTIF('9月'!CK28:CL28,"渋谷-夜勤")+COUNTIF('9月'!CP28:CQ28,"渋谷-夜勤")+COUNTIF('9月'!CU28:CV28,"渋谷-夜勤")+COUNTIF('9月'!CZ28:DA28,"渋谷-夜勤")+COUNTIF('9月'!DE28:DF28,"渋谷-夜勤")+COUNTIF('9月'!DJ28:DK28,"渋谷-夜勤")+COUNTIF('9月'!DO28:DP28,"渋谷-夜勤")+COUNTIF('9月'!DT28:DU28,"渋谷-夜勤")+COUNTIF('9月'!DY28:DZ28,"渋谷-夜勤")+COUNTIF('9月'!ED28:EE28,"渋谷-夜勤")+COUNTIF('9月'!EI28:EJ28,"渋谷-夜勤")+COUNTIF('9月'!EN28:EO28,"渋谷-夜勤")+COUNTIF('9月'!ES28:ET28,"渋谷-夜勤")</f>
        <v>0</v>
      </c>
      <c r="I326" s="76">
        <f t="shared" si="99"/>
        <v>0</v>
      </c>
      <c r="J326" s="76">
        <f>COUNTIF('9月'!D28:E28,J$300)+COUNTIF('9月'!I28:J28,J$300)+COUNTIF('9月'!N28:O28,J$300)+COUNTIF('9月'!S28:T28,J$300)+COUNTIF('9月'!X28:Y28,J$300)+COUNTIF('9月'!AC28:AD28,J$300)+COUNTIF('9月'!AH28:AI28,J$300)+COUNTIF('9月'!AM28:AN28,J$300)+COUNTIF('9月'!AR28:AS28,J$300)+COUNTIF('9月'!AW28:AX28,J$300)+COUNTIF('9月'!BB28:BC28,J$300)+COUNTIF('9月'!BG28:BH28,J$300)+COUNTIF('9月'!BL28:BM28,J$300)+COUNTIF('9月'!BQ28:BR28,J$300)+COUNTIF('9月'!BV28:BW28,J$300)+COUNTIF('9月'!CA28:CB28,J$300)+COUNTIF('9月'!CF28:CG28,J$300)+COUNTIF('9月'!CK28:CL28,J$300)+COUNTIF('9月'!CP28:CQ28,J$300)+COUNTIF('9月'!CU28:CV28,J$300)+COUNTIF('9月'!CZ28:DA28,J$300)+COUNTIF('9月'!DE28:DF28,J$300)+COUNTIF('9月'!DJ28:DK28,J$300)+COUNTIF('9月'!DO28:DP28,J$300)+COUNTIF('9月'!DT28:DU28,J$300)+COUNTIF('9月'!DY28:DZ28,J$300)+COUNTIF('9月'!ED28:EE28,J$300)+COUNTIF('9月'!EI28:EJ28,J$300)+COUNTIF('9月'!EN28:EO28,J$300)+COUNTIF('9月'!ES28:ET28,J$300)+COUNTIF('9月'!D28:E28,"六本木-夜勤")+COUNTIF('9月'!I28:J28,"六本木-夜勤")+COUNTIF('9月'!N28:O28,"六本木-夜勤")+COUNTIF('9月'!S28:T28,"六本木-夜勤")+COUNTIF('9月'!X28:Y28,"六本木-夜勤")+COUNTIF('9月'!AC28:AD28,"六本木-夜勤")+COUNTIF('9月'!AH28:AI28,"六本木-夜勤")+COUNTIF('9月'!AM28:AN28,"六本木-夜勤")+COUNTIF('9月'!AR28:AS28,"六本木-夜勤")+COUNTIF('9月'!AW28:AX28,"六本木-夜勤")+COUNTIF('9月'!BB28:BC28,"六本木-夜勤")+COUNTIF('9月'!BG28:BH28,"六本木-夜勤")+COUNTIF('9月'!BL28:BM28,"六本木-夜勤")+COUNTIF('9月'!BQ28:BR28,"六本木-夜勤")+COUNTIF('9月'!BV28:BW28,"六本木-夜勤")+COUNTIF('9月'!CA28:CB28,"六本木-夜勤")+COUNTIF('9月'!CF28:CG28,"六本木-夜勤")+COUNTIF('9月'!CK28:CL28,"六本木-夜勤")+COUNTIF('9月'!CP28:CQ28,"六本木-夜勤")+COUNTIF('9月'!CU28:CV28,"六本木-夜勤")+COUNTIF('9月'!CZ28:DA28,"六本木-夜勤")+COUNTIF('9月'!DE28:DF28,"六本木-夜勤")+COUNTIF('9月'!DJ28:DK28,"六本木-夜勤")+COUNTIF('9月'!DO28:DP28,"六本木-夜勤")+COUNTIF('9月'!DT28:DU28,"六本木-夜勤")+COUNTIF('9月'!DY28:DZ28,"六本木-夜勤")+COUNTIF('9月'!ED28:EE28,"六本木-夜勤")+COUNTIF('9月'!EI28:EJ28,"六本木-夜勤")+COUNTIF('9月'!EN28:EO28,"六本木-夜勤")+COUNTIF('9月'!ES28:ET28,"六本木-夜勤")+COUNTIF('9月'!D28:E28,"六本木ー夜勤")+COUNTIF('9月'!I28:J28,"六本木ー夜勤")+COUNTIF('9月'!N28:O28,"六本木ー夜勤")+COUNTIF('9月'!S28:T28,"六本木ー夜勤")+COUNTIF('9月'!X28:Y28,"六本木ー夜勤")+COUNTIF('9月'!AC28:AD28,"六本木ー夜勤")+COUNTIF('9月'!AH28:AI28,"六本木ー夜勤")+COUNTIF('9月'!AM28:AN28,"六本木ー夜勤")+COUNTIF('9月'!AR28:AS28,"六本木ー夜勤")+COUNTIF('9月'!AW28:AX28,"六本木ー夜勤")+COUNTIF('9月'!BB28:BC28,"六本木ー夜勤")+COUNTIF('9月'!BG28:BH28,"六本木ー夜勤")+COUNTIF('9月'!BL28:BM28,"六本木ー夜勤")+COUNTIF('9月'!BQ28:BR28,"六本木ー夜勤")+COUNTIF('9月'!BV28:BW28,"六本木ー夜勤")+COUNTIF('9月'!CA28:CB28,"六本木ー夜勤")+COUNTIF('9月'!CF28:CG28,"六本木ー夜勤")+COUNTIF('9月'!CK28:CL28,"六本木ー夜勤")+COUNTIF('9月'!CP28:CQ28,"六本木ー夜勤")+COUNTIF('9月'!CU28:CV28,"六本木ー夜勤")+COUNTIF('9月'!CZ28:DA28,"六本木ー夜勤")+COUNTIF('9月'!DE28:DF28,"六本木ー夜勤")+COUNTIF('9月'!DJ28:DK28,"六本木ー夜勤")+COUNTIF('9月'!DO28:DP28,"六本木ー夜勤")+COUNTIF('9月'!DT28:DU28,"六本木ー夜勤")+COUNTIF('9月'!DY28:DZ28,"六本木ー夜勤")+COUNTIF('9月'!ED28:EE28,"六本木ー夜勤")+COUNTIF('9月'!EI28:EJ28,"六本木ー夜勤")+COUNTIF('9月'!EN28:EO28,"六本木ー夜勤")+COUNTIF('9月'!ES28:ET28,"六本木ー夜勤")</f>
        <v>0</v>
      </c>
      <c r="K326" s="76">
        <f t="shared" si="100"/>
        <v>0</v>
      </c>
      <c r="L326" s="76">
        <f>COUNTIF('9月'!D28:E28,L$300)+COUNTIF('9月'!I28:J28,L$300)+COUNTIF('9月'!N28:O28,L$300)+COUNTIF('9月'!S28:T28,L$300)+COUNTIF('9月'!X28:Y28,L$300)+COUNTIF('9月'!AC28:AD28,L$300)+COUNTIF('9月'!AH28:AI28,L$300)+COUNTIF('9月'!AM28:AN28,L$300)+COUNTIF('9月'!AR28:AS28,L$300)+COUNTIF('9月'!AW28:AX28,L$300)+COUNTIF('9月'!BB28:BC28,L$300)+COUNTIF('9月'!BG28:BH28,L$300)+COUNTIF('9月'!BL28:BM28,L$300)+COUNTIF('9月'!BQ28:BR28,L$300)+COUNTIF('9月'!BV28:BW28,L$300)+COUNTIF('9月'!CA28:CB28,L$300)+COUNTIF('9月'!CF28:CG28,L$300)+COUNTIF('9月'!CK28:CL28,L$300)+COUNTIF('9月'!CP28:CQ28,L$300)+COUNTIF('9月'!CU28:CV28,L$300)+COUNTIF('9月'!CZ28:DA28,L$300)+COUNTIF('9月'!DE28:DF28,L$300)+COUNTIF('9月'!DJ28:DK28,L$300)+COUNTIF('9月'!DO28:DP28,L$300)+COUNTIF('9月'!DT28:DU28,L$300)+COUNTIF('9月'!DY28:DZ28,L$300)+COUNTIF('9月'!ED28:EE28,L$300)+COUNTIF('9月'!EI28:EJ28,L$300)+COUNTIF('9月'!EN28:EO28,L$300)+COUNTIF('9月'!ES28:ET28,L$300)</f>
        <v>0</v>
      </c>
      <c r="M326" s="76">
        <f t="shared" si="101"/>
        <v>0</v>
      </c>
      <c r="N326" s="76">
        <f>COUNTIF('9月'!D28:E28,N$300)+COUNTIF('9月'!I28:J28,N$300)+COUNTIF('9月'!N28:O28,N$300)+COUNTIF('9月'!S28:T28,N$300)+COUNTIF('9月'!X28:Y28,N$300)+COUNTIF('9月'!AC28:AD28,N$300)+COUNTIF('9月'!AH28:AI28,N$300)+COUNTIF('9月'!AM28:AN28,N$300)+COUNTIF('9月'!AR28:AS28,N$300)+COUNTIF('9月'!AW28:AX28,N$300)+COUNTIF('9月'!BB28:BC28,N$300)+COUNTIF('9月'!BG28:BH28,N$300)+COUNTIF('9月'!BL28:BM28,N$300)+COUNTIF('9月'!BQ28:BR28,N$300)+COUNTIF('9月'!BV28:BW28,N$300)+COUNTIF('9月'!CA28:CB28,N$300)+COUNTIF('9月'!CF28:CG28,N$300)+COUNTIF('9月'!CK28:CL28,N$300)+COUNTIF('9月'!CP28:CQ28,N$300)+COUNTIF('9月'!CU28:CV28,N$300)+COUNTIF('9月'!CZ28:DA28,N$300)+COUNTIF('9月'!DE28:DF28,N$300)+COUNTIF('9月'!DJ28:DK28,N$300)+COUNTIF('9月'!DO28:DP28,N$300)+COUNTIF('9月'!DT28:DU28,N$300)+COUNTIF('9月'!DY28:DZ28,N$300)+COUNTIF('9月'!ED28:EE28,N$300)+COUNTIF('9月'!EI28:EJ28,N$300)+COUNTIF('9月'!EN28:EO28,N$300)+COUNTIF('9月'!ES28:ET28,N$300)+COUNTIF('9月'!D28:E28,"三軒茶屋－夜勤")+COUNTIF('9月'!I28:J28,"三軒茶屋－夜勤")+COUNTIF('9月'!N28:O28,"三軒茶屋－夜勤")+COUNTIF('9月'!S28:T28,"三軒茶屋－夜勤")+COUNTIF('9月'!X28:Y28,"三軒茶屋－夜勤")+COUNTIF('9月'!AC28:AD28,"三軒茶屋－夜勤")+COUNTIF('9月'!AH28:AI28,"三軒茶屋－夜勤")+COUNTIF('9月'!AM28:AN28,"三軒茶屋－夜勤")+COUNTIF('9月'!AR28:AS28,"三軒茶屋－夜勤")+COUNTIF('9月'!AW28:AX28,"三軒茶屋－夜勤")+COUNTIF('9月'!BB28:BC28,"三軒茶屋－夜勤")+COUNTIF('9月'!BG28:BH28,"三軒茶屋－夜勤")+COUNTIF('9月'!BL28:BM28,"三軒茶屋－夜勤")+COUNTIF('9月'!BQ28:BR28,"三軒茶屋－夜勤")+COUNTIF('9月'!BV28:BW28,"三軒茶屋－夜勤")+COUNTIF('9月'!CA28:CB28,"三軒茶屋－夜勤")+COUNTIF('9月'!CF28:CG28,"三軒茶屋－夜勤")+COUNTIF('9月'!CK28:CL28,"三軒茶屋－夜勤")+COUNTIF('9月'!CP28:CQ28,"三軒茶屋－夜勤")+COUNTIF('9月'!CU28:CV28,"三軒茶屋－夜勤")+COUNTIF('9月'!CZ28:DA28,"三軒茶屋－夜勤")+COUNTIF('9月'!DE28:DF28,"三軒茶屋－夜勤")+COUNTIF('9月'!DJ28:DK28,"三軒茶屋－夜勤")+COUNTIF('9月'!DO28:DP28,"三軒茶屋－夜勤")+COUNTIF('9月'!DT28:DU28,"三軒茶屋－夜勤")+COUNTIF('9月'!DY28:DZ28,"三軒茶屋－夜勤")+COUNTIF('9月'!ED28:EE28,"三軒茶屋－夜勤")+COUNTIF('9月'!EI28:EJ28,"三軒茶屋－夜勤")+COUNTIF('9月'!EN28:EO28,"三軒茶屋－夜勤")+COUNTIF('9月'!ES28:ET28,"三軒茶屋－夜勤")</f>
        <v>0</v>
      </c>
      <c r="O326" s="76">
        <f t="shared" si="102"/>
        <v>0</v>
      </c>
      <c r="P326" s="76">
        <f>COUNTIF('9月'!D28:E28,P$300)+COUNTIF('9月'!I28:J28,P$300)+COUNTIF('9月'!N28:O28,P$300)+COUNTIF('9月'!S28:T28,P$300)+COUNTIF('9月'!X28:Y28,P$300)+COUNTIF('9月'!AC28:AD28,P$300)+COUNTIF('9月'!AH28:AI28,P$300)+COUNTIF('9月'!AM28:AN28,P$300)+COUNTIF('9月'!AR28:AS28,P$300)+COUNTIF('9月'!AW28:AX28,P$300)+COUNTIF('9月'!BB28:BC28,P$300)+COUNTIF('9月'!BG28:BH28,P$300)+COUNTIF('9月'!BL28:BM28,P$300)+COUNTIF('9月'!BQ28:BR28,P$300)+COUNTIF('9月'!BV28:BW28,P$300)+COUNTIF('9月'!CA28:CB28,P$300)+COUNTIF('9月'!CF28:CG28,P$300)+COUNTIF('9月'!CK28:CL28,P$300)+COUNTIF('9月'!CP28:CQ28,P$300)+COUNTIF('9月'!CU28:CV28,P$300)+COUNTIF('9月'!CZ28:DA28,P$300)+COUNTIF('9月'!DE28:DF28,P$300)+COUNTIF('9月'!DJ28:DK28,P$300)+COUNTIF('9月'!DO28:DP28,P$300)+COUNTIF('9月'!DT28:DU28,P$300)+COUNTIF('9月'!DY28:DZ28,P$300)+COUNTIF('9月'!ED28:EE28,P$300)+COUNTIF('9月'!EI28:EJ28,P$300)+COUNTIF('9月'!EN28:EO28,P$300)+COUNTIF('9月'!ES28:ET28,P$300)+COUNTIF('9月'!D28:E28,"荻窪ー夜勤")+COUNTIF('9月'!I28:J28,"荻窪ー夜勤")+COUNTIF('9月'!N28:O28,"荻窪ー夜勤")+COUNTIF('9月'!S28:T28,"荻窪ー夜勤")+COUNTIF('9月'!X28:Y28,"荻窪ー夜勤")+COUNTIF('9月'!AC28:AD28,"荻窪ー夜勤")+COUNTIF('9月'!AH28:AI28,"荻窪ー夜勤")+COUNTIF('9月'!AM28:AN28,"荻窪ー夜勤")+COUNTIF('9月'!AR28:AS28,"荻窪ー夜勤")+COUNTIF('9月'!AW28:AX28,"荻窪ー夜勤")+COUNTIF('9月'!BB28:BC28,"荻窪ー夜勤")+COUNTIF('9月'!BG28:BH28,"荻窪ー夜勤")+COUNTIF('9月'!BL28:BM28,"荻窪ー夜勤")+COUNTIF('9月'!BQ28:BR28,"荻窪ー夜勤")+COUNTIF('9月'!BV28:BW28,"荻窪ー夜勤")+COUNTIF('9月'!CA28:CB28,"荻窪ー夜勤")+COUNTIF('9月'!CF28:CG28,"荻窪ー夜勤")+COUNTIF('9月'!CK28:CL28,"荻窪ー夜勤")+COUNTIF('9月'!CP28:CQ28,"荻窪ー夜勤")+COUNTIF('9月'!CU28:CV28,"荻窪ー夜勤")+COUNTIF('9月'!CZ28:DA28,"荻窪ー夜勤")+COUNTIF('9月'!DE28:DF28,"荻窪ー夜勤")+COUNTIF('9月'!DJ28:DK28,"荻窪ー夜勤")+COUNTIF('9月'!DO28:DP28,"荻窪ー夜勤")+COUNTIF('9月'!DT28:DU28,"荻窪ー夜勤")+COUNTIF('9月'!DY28:DZ28,"荻窪ー夜勤")+COUNTIF('9月'!ED28:EE28,"荻窪ー夜勤")+COUNTIF('9月'!EI28:EJ28,"荻窪ー夜勤")+COUNTIF('9月'!EN28:EO28,"荻窪ー夜勤")+COUNTIF('9月'!ES28:ET28,"荻窪ー夜勤")</f>
        <v>0</v>
      </c>
      <c r="Q326" s="76">
        <f t="shared" si="103"/>
        <v>0</v>
      </c>
      <c r="R326" s="76">
        <f>COUNTIF('9月'!D28:E28,R$300)+COUNTIF('9月'!I28:J28,R$300)+COUNTIF('9月'!N28:O28,R$300)+COUNTIF('9月'!S28:T28,R$300)+COUNTIF('9月'!X28:Y28,R$300)+COUNTIF('9月'!AC28:AD28,R$300)+COUNTIF('9月'!AH28:AI28,R$300)+COUNTIF('9月'!AM28:AN28,R$300)+COUNTIF('9月'!AR28:AS28,R$300)+COUNTIF('9月'!AW28:AX28,R$300)+COUNTIF('9月'!BB28:BC28,R$300)+COUNTIF('9月'!BG28:BH28,R$300)+COUNTIF('9月'!BL28:BM28,R$300)+COUNTIF('9月'!BQ28:BR28,R$300)+COUNTIF('9月'!BV28:BW28,R$300)+COUNTIF('9月'!CA28:CB28,R$300)+COUNTIF('9月'!CF28:CG28,R$300)+COUNTIF('9月'!CK28:CL28,R$300)+COUNTIF('9月'!CP28:CQ28,R$300)+COUNTIF('9月'!CU28:CV28,R$300)+COUNTIF('9月'!CZ28:DA28,R$300)+COUNTIF('9月'!DE28:DF28,R$300)+COUNTIF('9月'!DJ28:DK28,R$300)+COUNTIF('9月'!DO28:DP28,R$300)+COUNTIF('9月'!DT28:DU28,R$300)+COUNTIF('9月'!DY28:DZ28,R$300)+COUNTIF('9月'!ED28:EE28,R$300)+COUNTIF('9月'!EI28:EJ28,R$300)+COUNTIF('9月'!EN28:EO28,R$300)+COUNTIF('9月'!ES28:ET28,R$300)</f>
        <v>0</v>
      </c>
      <c r="S326" s="76">
        <f t="shared" si="104"/>
        <v>0</v>
      </c>
      <c r="T326" s="76">
        <f>COUNTIF('9月'!D28:E28,T$300)+COUNTIF('9月'!I28:J28,T$300)+COUNTIF('9月'!N28:O28,T$300)+COUNTIF('9月'!S28:T28,T$300)+COUNTIF('9月'!X28:Y28,T$300)+COUNTIF('9月'!AC28:AD28,T$300)+COUNTIF('9月'!AH28:AI28,T$300)+COUNTIF('9月'!AM28:AN28,T$300)+COUNTIF('9月'!AR28:AS28,T$300)+COUNTIF('9月'!AW28:AX28,T$300)+COUNTIF('9月'!BB28:BC28,T$300)+COUNTIF('9月'!BG28:BH28,T$300)+COUNTIF('9月'!BL28:BM28,T$300)+COUNTIF('9月'!BQ28:BR28,T$300)+COUNTIF('9月'!BV28:BW28,T$300)+COUNTIF('9月'!CA28:CB28,T$300)+COUNTIF('9月'!CF28:CG28,T$300)+COUNTIF('9月'!CK28:CL28,T$300)+COUNTIF('9月'!CP28:CQ28,T$300)+COUNTIF('9月'!CU28:CV28,T$300)+COUNTIF('9月'!CZ28:DA28,T$300)+COUNTIF('9月'!DE28:DF28,T$300)+COUNTIF('9月'!DJ28:DK28,T$300)+COUNTIF('9月'!DO28:DP28,T$300)+COUNTIF('9月'!DT28:DU28,T$300)+COUNTIF('9月'!DY28:DZ28,T$300)+COUNTIF('9月'!ED28:EE28,T$300)+COUNTIF('9月'!EI28:EJ28,T$300)+COUNTIF('9月'!EN28:EO28,T$300)+COUNTIF('9月'!ES28:ET28,T$300)</f>
        <v>0</v>
      </c>
      <c r="U326" s="76">
        <f t="shared" si="105"/>
        <v>0</v>
      </c>
      <c r="V326" s="76">
        <f>COUNTIF('9月'!D28:E28,V$300)+COUNTIF('9月'!I28:J28,V$300)+COUNTIF('9月'!N28:O28,V$300)+COUNTIF('9月'!S28:T28,V$300)+COUNTIF('9月'!X28:Y28,V$300)+COUNTIF('9月'!AC28:AD28,V$300)+COUNTIF('9月'!AH28:AI28,V$300)+COUNTIF('9月'!AM28:AN28,V$300)+COUNTIF('9月'!AR28:AS28,V$300)+COUNTIF('9月'!AW28:AX28,V$300)+COUNTIF('9月'!BB28:BC28,V$300)+COUNTIF('9月'!BG28:BH28,V$300)+COUNTIF('9月'!BL28:BM28,V$300)+COUNTIF('9月'!BQ28:BR28,V$300)+COUNTIF('9月'!BV28:BW28,V$300)+COUNTIF('9月'!CA28:CB28,V$300)+COUNTIF('9月'!CF28:CG28,V$300)+COUNTIF('9月'!CK28:CL28,V$300)+COUNTIF('9月'!CP28:CQ28,V$300)+COUNTIF('9月'!CU28:CV28,V$300)+COUNTIF('9月'!CZ28:DA28,V$300)+COUNTIF('9月'!DE28:DF28,V$300)+COUNTIF('9月'!DJ28:DK28,V$300)+COUNTIF('9月'!DO28:DP28,V$300)+COUNTIF('9月'!DT28:DU28,V$300)+COUNTIF('9月'!DY28:DZ28,V$300)+COUNTIF('9月'!ED28:EE28,V$300)+COUNTIF('9月'!EI28:EJ28,V$300)+COUNTIF('9月'!EN28:EO28,V$300)+COUNTIF('9月'!ES28:ET28,V$300)</f>
        <v>0</v>
      </c>
      <c r="W326" s="76">
        <f t="shared" si="106"/>
        <v>0</v>
      </c>
      <c r="X326" s="76">
        <f>COUNTIF('9月'!D28:E28,X$300)+COUNTIF('9月'!I28:J28,X$300)+COUNTIF('9月'!N28:O28,X$300)+COUNTIF('9月'!S28:T28,X$300)+COUNTIF('9月'!X28:Y28,X$300)+COUNTIF('9月'!AC28:AD28,X$300)+COUNTIF('9月'!AH28:AI28,X$300)+COUNTIF('9月'!AM28:AN28,X$300)+COUNTIF('9月'!AR28:AS28,X$300)+COUNTIF('9月'!AW28:AX28,X$300)+COUNTIF('9月'!BB28:BC28,X$300)+COUNTIF('9月'!BG28:BH28,X$300)+COUNTIF('9月'!BL28:BM28,X$300)+COUNTIF('9月'!BQ28:BR28,X$300)+COUNTIF('9月'!BV28:BW28,X$300)+COUNTIF('9月'!CA28:CB28,X$300)+COUNTIF('9月'!CF28:CG28,X$300)+COUNTIF('9月'!CK28:CL28,X$300)+COUNTIF('9月'!CP28:CQ28,X$300)+COUNTIF('9月'!CU28:CV28,X$300)+COUNTIF('9月'!CZ28:DA28,X$300)+COUNTIF('9月'!DE28:DF28,X$300)+COUNTIF('9月'!DJ28:DK28,X$300)+COUNTIF('9月'!DO28:DP28,X$300)+COUNTIF('9月'!DT28:DU28,X$300)+COUNTIF('9月'!DY28:DZ28,X$300)+COUNTIF('9月'!ED28:EE28,X$300)+COUNTIF('9月'!EI28:EJ28,X$300)+COUNTIF('9月'!EN28:EO28,X$300)+COUNTIF('9月'!ES28:ET28,X$300)</f>
        <v>0</v>
      </c>
      <c r="Y326" s="76">
        <f t="shared" si="107"/>
        <v>0</v>
      </c>
    </row>
    <row r="327" spans="1:25" ht="18" customHeight="1">
      <c r="A327" s="76">
        <v>26</v>
      </c>
      <c r="B327" s="76">
        <f>COUNTIF('9月'!D29:E29,B$300)+COUNTIF('9月'!I29:J29,B$300)+COUNTIF('9月'!N29:O29,B$300)+COUNTIF('9月'!S29:T29,B$300)+COUNTIF('9月'!X29:Y29,B$300)+COUNTIF('9月'!AC29:AD29,B$300)+COUNTIF('9月'!AH29:AI29,B$300)+COUNTIF('9月'!AM29:AN29,B$300)+COUNTIF('9月'!AR29:AS29,B$300)+COUNTIF('9月'!AW29:AX29,B$300)+COUNTIF('9月'!BB29:BC29,B$300)+COUNTIF('9月'!BG29:BH29,B$300)+COUNTIF('9月'!BL29:BM29,B$300)+COUNTIF('9月'!BQ29:BR29,B$300)+COUNTIF('9月'!BV29:BW29,B$300)+COUNTIF('9月'!CA29:CB29,B$300)+COUNTIF('9月'!CF29:CG29,B$300)+COUNTIF('9月'!CK29:CL29,B$300)+COUNTIF('9月'!CP29:CQ29,B$300)+COUNTIF('9月'!CU29:CV29,B$300)+COUNTIF('9月'!CZ29:DA29,B$300)+COUNTIF('9月'!DE29:DF29,B$300)+COUNTIF('9月'!DJ29:DK29,B$300)+COUNTIF('9月'!DO29:DP29,B$300)+COUNTIF('9月'!DT29:DU29,B$300)+COUNTIF('9月'!DY29:DZ29,B$300)+COUNTIF('9月'!ED29:EE29,B$300)+COUNTIF('9月'!EI29:EJ29,B$300)+COUNTIF('9月'!EN29:EO29,B$300)+COUNTIF('9月'!ES29:ET29,B$300)</f>
        <v>0</v>
      </c>
      <c r="C327" s="76">
        <f t="shared" si="96"/>
        <v>0</v>
      </c>
      <c r="D327" s="76">
        <f>COUNTIF('9月'!D29:E29,D$300)+COUNTIF('9月'!I29:J29,D$300)+COUNTIF('9月'!N29:O29,D$300)+COUNTIF('9月'!S29:T29,D$300)+COUNTIF('9月'!X29:Y29,D$300)+COUNTIF('9月'!AC29:AD29,D$300)+COUNTIF('9月'!AH29:AI29,D$300)+COUNTIF('9月'!AM29:AN29,D$300)+COUNTIF('9月'!AR29:AS29,D$300)+COUNTIF('9月'!AW29:AX29,D$300)+COUNTIF('9月'!BB29:BC29,D$300)+COUNTIF('9月'!BG29:BH29,D$300)+COUNTIF('9月'!BL29:BM29,D$300)+COUNTIF('9月'!BQ29:BR29,D$300)+COUNTIF('9月'!BV29:BW29,D$300)+COUNTIF('9月'!CA29:CB29,D$300)+COUNTIF('9月'!CF29:CG29,D$300)+COUNTIF('9月'!CK29:CL29,D$300)+COUNTIF('9月'!CP29:CQ29,D$300)+COUNTIF('9月'!CU29:CV29,D$300)+COUNTIF('9月'!CZ29:DA29,D$300)+COUNTIF('9月'!DE29:DF29,D$300)+COUNTIF('9月'!DJ29:DK29,D$300)+COUNTIF('9月'!DO29:DP29,D$300)+COUNTIF('9月'!DT29:DU29,D$300)+COUNTIF('9月'!DY29:DZ29,D$300)+COUNTIF('9月'!ED29:EE29,D$300)+COUNTIF('9月'!EI29:EJ29,D$300)+COUNTIF('9月'!EN29:EO29,D$300)+COUNTIF('9月'!ES29:ET29,D$300)</f>
        <v>0</v>
      </c>
      <c r="E327" s="76">
        <f t="shared" si="97"/>
        <v>0</v>
      </c>
      <c r="F327" s="76">
        <f>COUNTIF('9月'!D29:E29,F$300)+COUNTIF('9月'!I29:J29,F$300)+COUNTIF('9月'!N29:O29,F$300)+COUNTIF('9月'!S29:T29,F$300)+COUNTIF('9月'!X29:Y29,F$300)+COUNTIF('9月'!AC29:AD29,F$300)+COUNTIF('9月'!AH29:AI29,F$300)+COUNTIF('9月'!AM29:AN29,F$300)+COUNTIF('9月'!AR29:AS29,F$300)+COUNTIF('9月'!AW29:AX29,F$300)+COUNTIF('9月'!BB29:BC29,F$300)+COUNTIF('9月'!BG29:BH29,F$300)+COUNTIF('9月'!BL29:BM29,F$300)+COUNTIF('9月'!BQ29:BR29,F$300)+COUNTIF('9月'!BV29:BW29,F$300)+COUNTIF('9月'!CA29:CB29,F$300)+COUNTIF('9月'!CF29:CG29,F$300)+COUNTIF('9月'!CK29:CL29,F$300)+COUNTIF('9月'!CP29:CQ29,F$300)+COUNTIF('9月'!CU29:CV29,F$300)+COUNTIF('9月'!CZ29:DA29,F$300)+COUNTIF('9月'!DE29:DF29,F$300)+COUNTIF('9月'!DJ29:DK29,F$300)+COUNTIF('9月'!DO29:DP29,F$300)+COUNTIF('9月'!DT29:DU29,F$300)+COUNTIF('9月'!DY29:DZ29,F$300)+COUNTIF('9月'!ED29:EE29,F$300)+COUNTIF('9月'!EI29:EJ29,F$300)+COUNTIF('9月'!EN29:EO29,F$300)+COUNTIF('9月'!ES29:ET29,F$300)</f>
        <v>0</v>
      </c>
      <c r="G327" s="76">
        <f t="shared" si="98"/>
        <v>0</v>
      </c>
      <c r="H327" s="76">
        <f>COUNTIF('9月'!D29:E29,H$300)+COUNTIF('9月'!I29:J29,H$300)+COUNTIF('9月'!N29:O29,H$300)+COUNTIF('9月'!S29:T29,H$300)+COUNTIF('9月'!X29:Y29,H$300)+COUNTIF('9月'!AC29:AD29,H$300)+COUNTIF('9月'!AH29:AI29,H$300)+COUNTIF('9月'!AM29:AN29,H$300)+COUNTIF('9月'!AR29:AS29,H$300)+COUNTIF('9月'!AW29:AX29,H$300)+COUNTIF('9月'!BB29:BC29,H$300)+COUNTIF('9月'!BG29:BH29,H$300)+COUNTIF('9月'!BL29:BM29,H$300)+COUNTIF('9月'!BQ29:BR29,H$300)+COUNTIF('9月'!BV29:BW29,H$300)+COUNTIF('9月'!CA29:CB29,H$300)+COUNTIF('9月'!CF29:CG29,H$300)+COUNTIF('9月'!CK29:CL29,H$300)+COUNTIF('9月'!CP29:CQ29,H$300)+COUNTIF('9月'!CU29:CV29,H$300)+COUNTIF('9月'!CZ29:DA29,H$300)+COUNTIF('9月'!DE29:DF29,H$300)+COUNTIF('9月'!DJ29:DK29,H$300)+COUNTIF('9月'!DO29:DP29,H$300)+COUNTIF('9月'!DT29:DU29,H$300)+COUNTIF('9月'!DY29:DZ29,H$300)+COUNTIF('9月'!ED29:EE29,H$300)+COUNTIF('9月'!EI29:EJ29,H$300)+COUNTIF('9月'!EN29:EO29,H$300)+COUNTIF('9月'!ES29:ET29,H$300)+COUNTIF('9月'!D29:E29,"渋谷-夜勤")+COUNTIF('9月'!I29:J29,"渋谷-夜勤")+COUNTIF('9月'!N29:O29,"渋谷-夜勤")+COUNTIF('9月'!S29:T29,"渋谷-夜勤")+COUNTIF('9月'!X29:Y29,"渋谷-夜勤")+COUNTIF('9月'!AC29:AD29,"渋谷-夜勤")+COUNTIF('9月'!AH29:AI29,"渋谷-夜勤")+COUNTIF('9月'!AM29:AN29,"渋谷-夜勤")+COUNTIF('9月'!AR29:AS29,"渋谷-夜勤")+COUNTIF('9月'!AW29:AX29,"渋谷-夜勤")+COUNTIF('9月'!BB29:BC29,"渋谷-夜勤")+COUNTIF('9月'!BG29:BH29,"渋谷-夜勤")+COUNTIF('9月'!BL29:BM29,"渋谷-夜勤")+COUNTIF('9月'!BQ29:BR29,"渋谷-夜勤")+COUNTIF('9月'!BV29:BW29,"渋谷-夜勤")+COUNTIF('9月'!CA29:CB29,"渋谷-夜勤")+COUNTIF('9月'!CF29:CG29,"渋谷-夜勤")+COUNTIF('9月'!CK29:CL29,"渋谷-夜勤")+COUNTIF('9月'!CP29:CQ29,"渋谷-夜勤")+COUNTIF('9月'!CU29:CV29,"渋谷-夜勤")+COUNTIF('9月'!CZ29:DA29,"渋谷-夜勤")+COUNTIF('9月'!DE29:DF29,"渋谷-夜勤")+COUNTIF('9月'!DJ29:DK29,"渋谷-夜勤")+COUNTIF('9月'!DO29:DP29,"渋谷-夜勤")+COUNTIF('9月'!DT29:DU29,"渋谷-夜勤")+COUNTIF('9月'!DY29:DZ29,"渋谷-夜勤")+COUNTIF('9月'!ED29:EE29,"渋谷-夜勤")+COUNTIF('9月'!EI29:EJ29,"渋谷-夜勤")+COUNTIF('9月'!EN29:EO29,"渋谷-夜勤")+COUNTIF('9月'!ES29:ET29,"渋谷-夜勤")</f>
        <v>0</v>
      </c>
      <c r="I327" s="76">
        <f t="shared" si="99"/>
        <v>0</v>
      </c>
      <c r="J327" s="76">
        <f>COUNTIF('9月'!D29:E29,J$300)+COUNTIF('9月'!I29:J29,J$300)+COUNTIF('9月'!N29:O29,J$300)+COUNTIF('9月'!S29:T29,J$300)+COUNTIF('9月'!X29:Y29,J$300)+COUNTIF('9月'!AC29:AD29,J$300)+COUNTIF('9月'!AH29:AI29,J$300)+COUNTIF('9月'!AM29:AN29,J$300)+COUNTIF('9月'!AR29:AS29,J$300)+COUNTIF('9月'!AW29:AX29,J$300)+COUNTIF('9月'!BB29:BC29,J$300)+COUNTIF('9月'!BG29:BH29,J$300)+COUNTIF('9月'!BL29:BM29,J$300)+COUNTIF('9月'!BQ29:BR29,J$300)+COUNTIF('9月'!BV29:BW29,J$300)+COUNTIF('9月'!CA29:CB29,J$300)+COUNTIF('9月'!CF29:CG29,J$300)+COUNTIF('9月'!CK29:CL29,J$300)+COUNTIF('9月'!CP29:CQ29,J$300)+COUNTIF('9月'!CU29:CV29,J$300)+COUNTIF('9月'!CZ29:DA29,J$300)+COUNTIF('9月'!DE29:DF29,J$300)+COUNTIF('9月'!DJ29:DK29,J$300)+COUNTIF('9月'!DO29:DP29,J$300)+COUNTIF('9月'!DT29:DU29,J$300)+COUNTIF('9月'!DY29:DZ29,J$300)+COUNTIF('9月'!ED29:EE29,J$300)+COUNTIF('9月'!EI29:EJ29,J$300)+COUNTIF('9月'!EN29:EO29,J$300)+COUNTIF('9月'!ES29:ET29,J$300)+COUNTIF('9月'!D29:E29,"六本木-夜勤")+COUNTIF('9月'!I29:J29,"六本木-夜勤")+COUNTIF('9月'!N29:O29,"六本木-夜勤")+COUNTIF('9月'!S29:T29,"六本木-夜勤")+COUNTIF('9月'!X29:Y29,"六本木-夜勤")+COUNTIF('9月'!AC29:AD29,"六本木-夜勤")+COUNTIF('9月'!AH29:AI29,"六本木-夜勤")+COUNTIF('9月'!AM29:AN29,"六本木-夜勤")+COUNTIF('9月'!AR29:AS29,"六本木-夜勤")+COUNTIF('9月'!AW29:AX29,"六本木-夜勤")+COUNTIF('9月'!BB29:BC29,"六本木-夜勤")+COUNTIF('9月'!BG29:BH29,"六本木-夜勤")+COUNTIF('9月'!BL29:BM29,"六本木-夜勤")+COUNTIF('9月'!BQ29:BR29,"六本木-夜勤")+COUNTIF('9月'!BV29:BW29,"六本木-夜勤")+COUNTIF('9月'!CA29:CB29,"六本木-夜勤")+COUNTIF('9月'!CF29:CG29,"六本木-夜勤")+COUNTIF('9月'!CK29:CL29,"六本木-夜勤")+COUNTIF('9月'!CP29:CQ29,"六本木-夜勤")+COUNTIF('9月'!CU29:CV29,"六本木-夜勤")+COUNTIF('9月'!CZ29:DA29,"六本木-夜勤")+COUNTIF('9月'!DE29:DF29,"六本木-夜勤")+COUNTIF('9月'!DJ29:DK29,"六本木-夜勤")+COUNTIF('9月'!DO29:DP29,"六本木-夜勤")+COUNTIF('9月'!DT29:DU29,"六本木-夜勤")+COUNTIF('9月'!DY29:DZ29,"六本木-夜勤")+COUNTIF('9月'!ED29:EE29,"六本木-夜勤")+COUNTIF('9月'!EI29:EJ29,"六本木-夜勤")+COUNTIF('9月'!EN29:EO29,"六本木-夜勤")+COUNTIF('9月'!ES29:ET29,"六本木-夜勤")+COUNTIF('9月'!D29:E29,"六本木ー夜勤")+COUNTIF('9月'!I29:J29,"六本木ー夜勤")+COUNTIF('9月'!N29:O29,"六本木ー夜勤")+COUNTIF('9月'!S29:T29,"六本木ー夜勤")+COUNTIF('9月'!X29:Y29,"六本木ー夜勤")+COUNTIF('9月'!AC29:AD29,"六本木ー夜勤")+COUNTIF('9月'!AH29:AI29,"六本木ー夜勤")+COUNTIF('9月'!AM29:AN29,"六本木ー夜勤")+COUNTIF('9月'!AR29:AS29,"六本木ー夜勤")+COUNTIF('9月'!AW29:AX29,"六本木ー夜勤")+COUNTIF('9月'!BB29:BC29,"六本木ー夜勤")+COUNTIF('9月'!BG29:BH29,"六本木ー夜勤")+COUNTIF('9月'!BL29:BM29,"六本木ー夜勤")+COUNTIF('9月'!BQ29:BR29,"六本木ー夜勤")+COUNTIF('9月'!BV29:BW29,"六本木ー夜勤")+COUNTIF('9月'!CA29:CB29,"六本木ー夜勤")+COUNTIF('9月'!CF29:CG29,"六本木ー夜勤")+COUNTIF('9月'!CK29:CL29,"六本木ー夜勤")+COUNTIF('9月'!CP29:CQ29,"六本木ー夜勤")+COUNTIF('9月'!CU29:CV29,"六本木ー夜勤")+COUNTIF('9月'!CZ29:DA29,"六本木ー夜勤")+COUNTIF('9月'!DE29:DF29,"六本木ー夜勤")+COUNTIF('9月'!DJ29:DK29,"六本木ー夜勤")+COUNTIF('9月'!DO29:DP29,"六本木ー夜勤")+COUNTIF('9月'!DT29:DU29,"六本木ー夜勤")+COUNTIF('9月'!DY29:DZ29,"六本木ー夜勤")+COUNTIF('9月'!ED29:EE29,"六本木ー夜勤")+COUNTIF('9月'!EI29:EJ29,"六本木ー夜勤")+COUNTIF('9月'!EN29:EO29,"六本木ー夜勤")+COUNTIF('9月'!ES29:ET29,"六本木ー夜勤")</f>
        <v>0</v>
      </c>
      <c r="K327" s="76">
        <f t="shared" si="100"/>
        <v>0</v>
      </c>
      <c r="L327" s="76">
        <f>COUNTIF('9月'!D29:E29,L$300)+COUNTIF('9月'!I29:J29,L$300)+COUNTIF('9月'!N29:O29,L$300)+COUNTIF('9月'!S29:T29,L$300)+COUNTIF('9月'!X29:Y29,L$300)+COUNTIF('9月'!AC29:AD29,L$300)+COUNTIF('9月'!AH29:AI29,L$300)+COUNTIF('9月'!AM29:AN29,L$300)+COUNTIF('9月'!AR29:AS29,L$300)+COUNTIF('9月'!AW29:AX29,L$300)+COUNTIF('9月'!BB29:BC29,L$300)+COUNTIF('9月'!BG29:BH29,L$300)+COUNTIF('9月'!BL29:BM29,L$300)+COUNTIF('9月'!BQ29:BR29,L$300)+COUNTIF('9月'!BV29:BW29,L$300)+COUNTIF('9月'!CA29:CB29,L$300)+COUNTIF('9月'!CF29:CG29,L$300)+COUNTIF('9月'!CK29:CL29,L$300)+COUNTIF('9月'!CP29:CQ29,L$300)+COUNTIF('9月'!CU29:CV29,L$300)+COUNTIF('9月'!CZ29:DA29,L$300)+COUNTIF('9月'!DE29:DF29,L$300)+COUNTIF('9月'!DJ29:DK29,L$300)+COUNTIF('9月'!DO29:DP29,L$300)+COUNTIF('9月'!DT29:DU29,L$300)+COUNTIF('9月'!DY29:DZ29,L$300)+COUNTIF('9月'!ED29:EE29,L$300)+COUNTIF('9月'!EI29:EJ29,L$300)+COUNTIF('9月'!EN29:EO29,L$300)+COUNTIF('9月'!ES29:ET29,L$300)</f>
        <v>0</v>
      </c>
      <c r="M327" s="76">
        <f t="shared" si="101"/>
        <v>0</v>
      </c>
      <c r="N327" s="76">
        <f>COUNTIF('9月'!D29:E29,N$300)+COUNTIF('9月'!I29:J29,N$300)+COUNTIF('9月'!N29:O29,N$300)+COUNTIF('9月'!S29:T29,N$300)+COUNTIF('9月'!X29:Y29,N$300)+COUNTIF('9月'!AC29:AD29,N$300)+COUNTIF('9月'!AH29:AI29,N$300)+COUNTIF('9月'!AM29:AN29,N$300)+COUNTIF('9月'!AR29:AS29,N$300)+COUNTIF('9月'!AW29:AX29,N$300)+COUNTIF('9月'!BB29:BC29,N$300)+COUNTIF('9月'!BG29:BH29,N$300)+COUNTIF('9月'!BL29:BM29,N$300)+COUNTIF('9月'!BQ29:BR29,N$300)+COUNTIF('9月'!BV29:BW29,N$300)+COUNTIF('9月'!CA29:CB29,N$300)+COUNTIF('9月'!CF29:CG29,N$300)+COUNTIF('9月'!CK29:CL29,N$300)+COUNTIF('9月'!CP29:CQ29,N$300)+COUNTIF('9月'!CU29:CV29,N$300)+COUNTIF('9月'!CZ29:DA29,N$300)+COUNTIF('9月'!DE29:DF29,N$300)+COUNTIF('9月'!DJ29:DK29,N$300)+COUNTIF('9月'!DO29:DP29,N$300)+COUNTIF('9月'!DT29:DU29,N$300)+COUNTIF('9月'!DY29:DZ29,N$300)+COUNTIF('9月'!ED29:EE29,N$300)+COUNTIF('9月'!EI29:EJ29,N$300)+COUNTIF('9月'!EN29:EO29,N$300)+COUNTIF('9月'!ES29:ET29,N$300)+COUNTIF('9月'!D29:E29,"三軒茶屋－夜勤")+COUNTIF('9月'!I29:J29,"三軒茶屋－夜勤")+COUNTIF('9月'!N29:O29,"三軒茶屋－夜勤")+COUNTIF('9月'!S29:T29,"三軒茶屋－夜勤")+COUNTIF('9月'!X29:Y29,"三軒茶屋－夜勤")+COUNTIF('9月'!AC29:AD29,"三軒茶屋－夜勤")+COUNTIF('9月'!AH29:AI29,"三軒茶屋－夜勤")+COUNTIF('9月'!AM29:AN29,"三軒茶屋－夜勤")+COUNTIF('9月'!AR29:AS29,"三軒茶屋－夜勤")+COUNTIF('9月'!AW29:AX29,"三軒茶屋－夜勤")+COUNTIF('9月'!BB29:BC29,"三軒茶屋－夜勤")+COUNTIF('9月'!BG29:BH29,"三軒茶屋－夜勤")+COUNTIF('9月'!BL29:BM29,"三軒茶屋－夜勤")+COUNTIF('9月'!BQ29:BR29,"三軒茶屋－夜勤")+COUNTIF('9月'!BV29:BW29,"三軒茶屋－夜勤")+COUNTIF('9月'!CA29:CB29,"三軒茶屋－夜勤")+COUNTIF('9月'!CF29:CG29,"三軒茶屋－夜勤")+COUNTIF('9月'!CK29:CL29,"三軒茶屋－夜勤")+COUNTIF('9月'!CP29:CQ29,"三軒茶屋－夜勤")+COUNTIF('9月'!CU29:CV29,"三軒茶屋－夜勤")+COUNTIF('9月'!CZ29:DA29,"三軒茶屋－夜勤")+COUNTIF('9月'!DE29:DF29,"三軒茶屋－夜勤")+COUNTIF('9月'!DJ29:DK29,"三軒茶屋－夜勤")+COUNTIF('9月'!DO29:DP29,"三軒茶屋－夜勤")+COUNTIF('9月'!DT29:DU29,"三軒茶屋－夜勤")+COUNTIF('9月'!DY29:DZ29,"三軒茶屋－夜勤")+COUNTIF('9月'!ED29:EE29,"三軒茶屋－夜勤")+COUNTIF('9月'!EI29:EJ29,"三軒茶屋－夜勤")+COUNTIF('9月'!EN29:EO29,"三軒茶屋－夜勤")+COUNTIF('9月'!ES29:ET29,"三軒茶屋－夜勤")</f>
        <v>0</v>
      </c>
      <c r="O327" s="76">
        <f t="shared" si="102"/>
        <v>0</v>
      </c>
      <c r="P327" s="76">
        <f>COUNTIF('9月'!D29:E29,P$300)+COUNTIF('9月'!I29:J29,P$300)+COUNTIF('9月'!N29:O29,P$300)+COUNTIF('9月'!S29:T29,P$300)+COUNTIF('9月'!X29:Y29,P$300)+COUNTIF('9月'!AC29:AD29,P$300)+COUNTIF('9月'!AH29:AI29,P$300)+COUNTIF('9月'!AM29:AN29,P$300)+COUNTIF('9月'!AR29:AS29,P$300)+COUNTIF('9月'!AW29:AX29,P$300)+COUNTIF('9月'!BB29:BC29,P$300)+COUNTIF('9月'!BG29:BH29,P$300)+COUNTIF('9月'!BL29:BM29,P$300)+COUNTIF('9月'!BQ29:BR29,P$300)+COUNTIF('9月'!BV29:BW29,P$300)+COUNTIF('9月'!CA29:CB29,P$300)+COUNTIF('9月'!CF29:CG29,P$300)+COUNTIF('9月'!CK29:CL29,P$300)+COUNTIF('9月'!CP29:CQ29,P$300)+COUNTIF('9月'!CU29:CV29,P$300)+COUNTIF('9月'!CZ29:DA29,P$300)+COUNTIF('9月'!DE29:DF29,P$300)+COUNTIF('9月'!DJ29:DK29,P$300)+COUNTIF('9月'!DO29:DP29,P$300)+COUNTIF('9月'!DT29:DU29,P$300)+COUNTIF('9月'!DY29:DZ29,P$300)+COUNTIF('9月'!ED29:EE29,P$300)+COUNTIF('9月'!EI29:EJ29,P$300)+COUNTIF('9月'!EN29:EO29,P$300)+COUNTIF('9月'!ES29:ET29,P$300)+COUNTIF('9月'!D29:E29,"荻窪ー夜勤")+COUNTIF('9月'!I29:J29,"荻窪ー夜勤")+COUNTIF('9月'!N29:O29,"荻窪ー夜勤")+COUNTIF('9月'!S29:T29,"荻窪ー夜勤")+COUNTIF('9月'!X29:Y29,"荻窪ー夜勤")+COUNTIF('9月'!AC29:AD29,"荻窪ー夜勤")+COUNTIF('9月'!AH29:AI29,"荻窪ー夜勤")+COUNTIF('9月'!AM29:AN29,"荻窪ー夜勤")+COUNTIF('9月'!AR29:AS29,"荻窪ー夜勤")+COUNTIF('9月'!AW29:AX29,"荻窪ー夜勤")+COUNTIF('9月'!BB29:BC29,"荻窪ー夜勤")+COUNTIF('9月'!BG29:BH29,"荻窪ー夜勤")+COUNTIF('9月'!BL29:BM29,"荻窪ー夜勤")+COUNTIF('9月'!BQ29:BR29,"荻窪ー夜勤")+COUNTIF('9月'!BV29:BW29,"荻窪ー夜勤")+COUNTIF('9月'!CA29:CB29,"荻窪ー夜勤")+COUNTIF('9月'!CF29:CG29,"荻窪ー夜勤")+COUNTIF('9月'!CK29:CL29,"荻窪ー夜勤")+COUNTIF('9月'!CP29:CQ29,"荻窪ー夜勤")+COUNTIF('9月'!CU29:CV29,"荻窪ー夜勤")+COUNTIF('9月'!CZ29:DA29,"荻窪ー夜勤")+COUNTIF('9月'!DE29:DF29,"荻窪ー夜勤")+COUNTIF('9月'!DJ29:DK29,"荻窪ー夜勤")+COUNTIF('9月'!DO29:DP29,"荻窪ー夜勤")+COUNTIF('9月'!DT29:DU29,"荻窪ー夜勤")+COUNTIF('9月'!DY29:DZ29,"荻窪ー夜勤")+COUNTIF('9月'!ED29:EE29,"荻窪ー夜勤")+COUNTIF('9月'!EI29:EJ29,"荻窪ー夜勤")+COUNTIF('9月'!EN29:EO29,"荻窪ー夜勤")+COUNTIF('9月'!ES29:ET29,"荻窪ー夜勤")</f>
        <v>0</v>
      </c>
      <c r="Q327" s="76">
        <f t="shared" si="103"/>
        <v>0</v>
      </c>
      <c r="R327" s="76">
        <f>COUNTIF('9月'!D29:E29,R$300)+COUNTIF('9月'!I29:J29,R$300)+COUNTIF('9月'!N29:O29,R$300)+COUNTIF('9月'!S29:T29,R$300)+COUNTIF('9月'!X29:Y29,R$300)+COUNTIF('9月'!AC29:AD29,R$300)+COUNTIF('9月'!AH29:AI29,R$300)+COUNTIF('9月'!AM29:AN29,R$300)+COUNTIF('9月'!AR29:AS29,R$300)+COUNTIF('9月'!AW29:AX29,R$300)+COUNTIF('9月'!BB29:BC29,R$300)+COUNTIF('9月'!BG29:BH29,R$300)+COUNTIF('9月'!BL29:BM29,R$300)+COUNTIF('9月'!BQ29:BR29,R$300)+COUNTIF('9月'!BV29:BW29,R$300)+COUNTIF('9月'!CA29:CB29,R$300)+COUNTIF('9月'!CF29:CG29,R$300)+COUNTIF('9月'!CK29:CL29,R$300)+COUNTIF('9月'!CP29:CQ29,R$300)+COUNTIF('9月'!CU29:CV29,R$300)+COUNTIF('9月'!CZ29:DA29,R$300)+COUNTIF('9月'!DE29:DF29,R$300)+COUNTIF('9月'!DJ29:DK29,R$300)+COUNTIF('9月'!DO29:DP29,R$300)+COUNTIF('9月'!DT29:DU29,R$300)+COUNTIF('9月'!DY29:DZ29,R$300)+COUNTIF('9月'!ED29:EE29,R$300)+COUNTIF('9月'!EI29:EJ29,R$300)+COUNTIF('9月'!EN29:EO29,R$300)+COUNTIF('9月'!ES29:ET29,R$300)</f>
        <v>0</v>
      </c>
      <c r="S327" s="76">
        <f t="shared" si="104"/>
        <v>0</v>
      </c>
      <c r="T327" s="76">
        <f>COUNTIF('9月'!D29:E29,T$300)+COUNTIF('9月'!I29:J29,T$300)+COUNTIF('9月'!N29:O29,T$300)+COUNTIF('9月'!S29:T29,T$300)+COUNTIF('9月'!X29:Y29,T$300)+COUNTIF('9月'!AC29:AD29,T$300)+COUNTIF('9月'!AH29:AI29,T$300)+COUNTIF('9月'!AM29:AN29,T$300)+COUNTIF('9月'!AR29:AS29,T$300)+COUNTIF('9月'!AW29:AX29,T$300)+COUNTIF('9月'!BB29:BC29,T$300)+COUNTIF('9月'!BG29:BH29,T$300)+COUNTIF('9月'!BL29:BM29,T$300)+COUNTIF('9月'!BQ29:BR29,T$300)+COUNTIF('9月'!BV29:BW29,T$300)+COUNTIF('9月'!CA29:CB29,T$300)+COUNTIF('9月'!CF29:CG29,T$300)+COUNTIF('9月'!CK29:CL29,T$300)+COUNTIF('9月'!CP29:CQ29,T$300)+COUNTIF('9月'!CU29:CV29,T$300)+COUNTIF('9月'!CZ29:DA29,T$300)+COUNTIF('9月'!DE29:DF29,T$300)+COUNTIF('9月'!DJ29:DK29,T$300)+COUNTIF('9月'!DO29:DP29,T$300)+COUNTIF('9月'!DT29:DU29,T$300)+COUNTIF('9月'!DY29:DZ29,T$300)+COUNTIF('9月'!ED29:EE29,T$300)+COUNTIF('9月'!EI29:EJ29,T$300)+COUNTIF('9月'!EN29:EO29,T$300)+COUNTIF('9月'!ES29:ET29,T$300)</f>
        <v>0</v>
      </c>
      <c r="U327" s="76">
        <f t="shared" si="105"/>
        <v>0</v>
      </c>
      <c r="V327" s="76">
        <f>COUNTIF('9月'!D29:E29,V$300)+COUNTIF('9月'!I29:J29,V$300)+COUNTIF('9月'!N29:O29,V$300)+COUNTIF('9月'!S29:T29,V$300)+COUNTIF('9月'!X29:Y29,V$300)+COUNTIF('9月'!AC29:AD29,V$300)+COUNTIF('9月'!AH29:AI29,V$300)+COUNTIF('9月'!AM29:AN29,V$300)+COUNTIF('9月'!AR29:AS29,V$300)+COUNTIF('9月'!AW29:AX29,V$300)+COUNTIF('9月'!BB29:BC29,V$300)+COUNTIF('9月'!BG29:BH29,V$300)+COUNTIF('9月'!BL29:BM29,V$300)+COUNTIF('9月'!BQ29:BR29,V$300)+COUNTIF('9月'!BV29:BW29,V$300)+COUNTIF('9月'!CA29:CB29,V$300)+COUNTIF('9月'!CF29:CG29,V$300)+COUNTIF('9月'!CK29:CL29,V$300)+COUNTIF('9月'!CP29:CQ29,V$300)+COUNTIF('9月'!CU29:CV29,V$300)+COUNTIF('9月'!CZ29:DA29,V$300)+COUNTIF('9月'!DE29:DF29,V$300)+COUNTIF('9月'!DJ29:DK29,V$300)+COUNTIF('9月'!DO29:DP29,V$300)+COUNTIF('9月'!DT29:DU29,V$300)+COUNTIF('9月'!DY29:DZ29,V$300)+COUNTIF('9月'!ED29:EE29,V$300)+COUNTIF('9月'!EI29:EJ29,V$300)+COUNTIF('9月'!EN29:EO29,V$300)+COUNTIF('9月'!ES29:ET29,V$300)</f>
        <v>0</v>
      </c>
      <c r="W327" s="76">
        <f t="shared" si="106"/>
        <v>0</v>
      </c>
      <c r="X327" s="76">
        <f>COUNTIF('9月'!D29:E29,X$300)+COUNTIF('9月'!I29:J29,X$300)+COUNTIF('9月'!N29:O29,X$300)+COUNTIF('9月'!S29:T29,X$300)+COUNTIF('9月'!X29:Y29,X$300)+COUNTIF('9月'!AC29:AD29,X$300)+COUNTIF('9月'!AH29:AI29,X$300)+COUNTIF('9月'!AM29:AN29,X$300)+COUNTIF('9月'!AR29:AS29,X$300)+COUNTIF('9月'!AW29:AX29,X$300)+COUNTIF('9月'!BB29:BC29,X$300)+COUNTIF('9月'!BG29:BH29,X$300)+COUNTIF('9月'!BL29:BM29,X$300)+COUNTIF('9月'!BQ29:BR29,X$300)+COUNTIF('9月'!BV29:BW29,X$300)+COUNTIF('9月'!CA29:CB29,X$300)+COUNTIF('9月'!CF29:CG29,X$300)+COUNTIF('9月'!CK29:CL29,X$300)+COUNTIF('9月'!CP29:CQ29,X$300)+COUNTIF('9月'!CU29:CV29,X$300)+COUNTIF('9月'!CZ29:DA29,X$300)+COUNTIF('9月'!DE29:DF29,X$300)+COUNTIF('9月'!DJ29:DK29,X$300)+COUNTIF('9月'!DO29:DP29,X$300)+COUNTIF('9月'!DT29:DU29,X$300)+COUNTIF('9月'!DY29:DZ29,X$300)+COUNTIF('9月'!ED29:EE29,X$300)+COUNTIF('9月'!EI29:EJ29,X$300)+COUNTIF('9月'!EN29:EO29,X$300)+COUNTIF('9月'!ES29:ET29,X$300)</f>
        <v>0</v>
      </c>
      <c r="Y327" s="76">
        <f t="shared" si="107"/>
        <v>0</v>
      </c>
    </row>
    <row r="328" spans="1:25" ht="18" customHeight="1">
      <c r="A328" s="76">
        <v>27</v>
      </c>
      <c r="B328" s="76">
        <f>COUNTIF('9月'!D30:E30,B$300)+COUNTIF('9月'!I30:J30,B$300)+COUNTIF('9月'!N30:O30,B$300)+COUNTIF('9月'!S30:T30,B$300)+COUNTIF('9月'!X30:Y30,B$300)+COUNTIF('9月'!AC30:AD30,B$300)+COUNTIF('9月'!AH30:AI30,B$300)+COUNTIF('9月'!AM30:AN30,B$300)+COUNTIF('9月'!AR30:AS30,B$300)+COUNTIF('9月'!AW30:AX30,B$300)+COUNTIF('9月'!BB30:BC30,B$300)+COUNTIF('9月'!BG30:BH30,B$300)+COUNTIF('9月'!BL30:BM30,B$300)+COUNTIF('9月'!BQ30:BR30,B$300)+COUNTIF('9月'!BV30:BW30,B$300)+COUNTIF('9月'!CA30:CB30,B$300)+COUNTIF('9月'!CF30:CG30,B$300)+COUNTIF('9月'!CK30:CL30,B$300)+COUNTIF('9月'!CP30:CQ30,B$300)+COUNTIF('9月'!CU30:CV30,B$300)+COUNTIF('9月'!CZ30:DA30,B$300)+COUNTIF('9月'!DE30:DF30,B$300)+COUNTIF('9月'!DJ30:DK30,B$300)+COUNTIF('9月'!DO30:DP30,B$300)+COUNTIF('9月'!DT30:DU30,B$300)+COUNTIF('9月'!DY30:DZ30,B$300)+COUNTIF('9月'!ED30:EE30,B$300)+COUNTIF('9月'!EI30:EJ30,B$300)+COUNTIF('9月'!EN30:EO30,B$300)+COUNTIF('9月'!ES30:ET30,B$300)</f>
        <v>0</v>
      </c>
      <c r="C328" s="76">
        <f t="shared" si="96"/>
        <v>0</v>
      </c>
      <c r="D328" s="76">
        <f>COUNTIF('9月'!D30:E30,D$300)+COUNTIF('9月'!I30:J30,D$300)+COUNTIF('9月'!N30:O30,D$300)+COUNTIF('9月'!S30:T30,D$300)+COUNTIF('9月'!X30:Y30,D$300)+COUNTIF('9月'!AC30:AD30,D$300)+COUNTIF('9月'!AH30:AI30,D$300)+COUNTIF('9月'!AM30:AN30,D$300)+COUNTIF('9月'!AR30:AS30,D$300)+COUNTIF('9月'!AW30:AX30,D$300)+COUNTIF('9月'!BB30:BC30,D$300)+COUNTIF('9月'!BG30:BH30,D$300)+COUNTIF('9月'!BL30:BM30,D$300)+COUNTIF('9月'!BQ30:BR30,D$300)+COUNTIF('9月'!BV30:BW30,D$300)+COUNTIF('9月'!CA30:CB30,D$300)+COUNTIF('9月'!CF30:CG30,D$300)+COUNTIF('9月'!CK30:CL30,D$300)+COUNTIF('9月'!CP30:CQ30,D$300)+COUNTIF('9月'!CU30:CV30,D$300)+COUNTIF('9月'!CZ30:DA30,D$300)+COUNTIF('9月'!DE30:DF30,D$300)+COUNTIF('9月'!DJ30:DK30,D$300)+COUNTIF('9月'!DO30:DP30,D$300)+COUNTIF('9月'!DT30:DU30,D$300)+COUNTIF('9月'!DY30:DZ30,D$300)+COUNTIF('9月'!ED30:EE30,D$300)+COUNTIF('9月'!EI30:EJ30,D$300)+COUNTIF('9月'!EN30:EO30,D$300)+COUNTIF('9月'!ES30:ET30,D$300)</f>
        <v>0</v>
      </c>
      <c r="E328" s="76">
        <f t="shared" si="97"/>
        <v>0</v>
      </c>
      <c r="F328" s="76">
        <f>COUNTIF('9月'!D30:E30,F$300)+COUNTIF('9月'!I30:J30,F$300)+COUNTIF('9月'!N30:O30,F$300)+COUNTIF('9月'!S30:T30,F$300)+COUNTIF('9月'!X30:Y30,F$300)+COUNTIF('9月'!AC30:AD30,F$300)+COUNTIF('9月'!AH30:AI30,F$300)+COUNTIF('9月'!AM30:AN30,F$300)+COUNTIF('9月'!AR30:AS30,F$300)+COUNTIF('9月'!AW30:AX30,F$300)+COUNTIF('9月'!BB30:BC30,F$300)+COUNTIF('9月'!BG30:BH30,F$300)+COUNTIF('9月'!BL30:BM30,F$300)+COUNTIF('9月'!BQ30:BR30,F$300)+COUNTIF('9月'!BV30:BW30,F$300)+COUNTIF('9月'!CA30:CB30,F$300)+COUNTIF('9月'!CF30:CG30,F$300)+COUNTIF('9月'!CK30:CL30,F$300)+COUNTIF('9月'!CP30:CQ30,F$300)+COUNTIF('9月'!CU30:CV30,F$300)+COUNTIF('9月'!CZ30:DA30,F$300)+COUNTIF('9月'!DE30:DF30,F$300)+COUNTIF('9月'!DJ30:DK30,F$300)+COUNTIF('9月'!DO30:DP30,F$300)+COUNTIF('9月'!DT30:DU30,F$300)+COUNTIF('9月'!DY30:DZ30,F$300)+COUNTIF('9月'!ED30:EE30,F$300)+COUNTIF('9月'!EI30:EJ30,F$300)+COUNTIF('9月'!EN30:EO30,F$300)+COUNTIF('9月'!ES30:ET30,F$300)</f>
        <v>0</v>
      </c>
      <c r="G328" s="76">
        <f t="shared" si="98"/>
        <v>0</v>
      </c>
      <c r="H328" s="76">
        <f>COUNTIF('9月'!D30:E30,H$300)+COUNTIF('9月'!I30:J30,H$300)+COUNTIF('9月'!N30:O30,H$300)+COUNTIF('9月'!S30:T30,H$300)+COUNTIF('9月'!X30:Y30,H$300)+COUNTIF('9月'!AC30:AD30,H$300)+COUNTIF('9月'!AH30:AI30,H$300)+COUNTIF('9月'!AM30:AN30,H$300)+COUNTIF('9月'!AR30:AS30,H$300)+COUNTIF('9月'!AW30:AX30,H$300)+COUNTIF('9月'!BB30:BC30,H$300)+COUNTIF('9月'!BG30:BH30,H$300)+COUNTIF('9月'!BL30:BM30,H$300)+COUNTIF('9月'!BQ30:BR30,H$300)+COUNTIF('9月'!BV30:BW30,H$300)+COUNTIF('9月'!CA30:CB30,H$300)+COUNTIF('9月'!CF30:CG30,H$300)+COUNTIF('9月'!CK30:CL30,H$300)+COUNTIF('9月'!CP30:CQ30,H$300)+COUNTIF('9月'!CU30:CV30,H$300)+COUNTIF('9月'!CZ30:DA30,H$300)+COUNTIF('9月'!DE30:DF30,H$300)+COUNTIF('9月'!DJ30:DK30,H$300)+COUNTIF('9月'!DO30:DP30,H$300)+COUNTIF('9月'!DT30:DU30,H$300)+COUNTIF('9月'!DY30:DZ30,H$300)+COUNTIF('9月'!ED30:EE30,H$300)+COUNTIF('9月'!EI30:EJ30,H$300)+COUNTIF('9月'!EN30:EO30,H$300)+COUNTIF('9月'!ES30:ET30,H$300)+COUNTIF('9月'!D30:E30,"渋谷-夜勤")+COUNTIF('9月'!I30:J30,"渋谷-夜勤")+COUNTIF('9月'!N30:O30,"渋谷-夜勤")+COUNTIF('9月'!S30:T30,"渋谷-夜勤")+COUNTIF('9月'!X30:Y30,"渋谷-夜勤")+COUNTIF('9月'!AC30:AD30,"渋谷-夜勤")+COUNTIF('9月'!AH30:AI30,"渋谷-夜勤")+COUNTIF('9月'!AM30:AN30,"渋谷-夜勤")+COUNTIF('9月'!AR30:AS30,"渋谷-夜勤")+COUNTIF('9月'!AW30:AX30,"渋谷-夜勤")+COUNTIF('9月'!BB30:BC30,"渋谷-夜勤")+COUNTIF('9月'!BG30:BH30,"渋谷-夜勤")+COUNTIF('9月'!BL30:BM30,"渋谷-夜勤")+COUNTIF('9月'!BQ30:BR30,"渋谷-夜勤")+COUNTIF('9月'!BV30:BW30,"渋谷-夜勤")+COUNTIF('9月'!CA30:CB30,"渋谷-夜勤")+COUNTIF('9月'!CF30:CG30,"渋谷-夜勤")+COUNTIF('9月'!CK30:CL30,"渋谷-夜勤")+COUNTIF('9月'!CP30:CQ30,"渋谷-夜勤")+COUNTIF('9月'!CU30:CV30,"渋谷-夜勤")+COUNTIF('9月'!CZ30:DA30,"渋谷-夜勤")+COUNTIF('9月'!DE30:DF30,"渋谷-夜勤")+COUNTIF('9月'!DJ30:DK30,"渋谷-夜勤")+COUNTIF('9月'!DO30:DP30,"渋谷-夜勤")+COUNTIF('9月'!DT30:DU30,"渋谷-夜勤")+COUNTIF('9月'!DY30:DZ30,"渋谷-夜勤")+COUNTIF('9月'!ED30:EE30,"渋谷-夜勤")+COUNTIF('9月'!EI30:EJ30,"渋谷-夜勤")+COUNTIF('9月'!EN30:EO30,"渋谷-夜勤")+COUNTIF('9月'!ES30:ET30,"渋谷-夜勤")</f>
        <v>0</v>
      </c>
      <c r="I328" s="76">
        <f t="shared" si="99"/>
        <v>0</v>
      </c>
      <c r="J328" s="76">
        <f>COUNTIF('9月'!D30:E30,J$300)+COUNTIF('9月'!I30:J30,J$300)+COUNTIF('9月'!N30:O30,J$300)+COUNTIF('9月'!S30:T30,J$300)+COUNTIF('9月'!X30:Y30,J$300)+COUNTIF('9月'!AC30:AD30,J$300)+COUNTIF('9月'!AH30:AI30,J$300)+COUNTIF('9月'!AM30:AN30,J$300)+COUNTIF('9月'!AR30:AS30,J$300)+COUNTIF('9月'!AW30:AX30,J$300)+COUNTIF('9月'!BB30:BC30,J$300)+COUNTIF('9月'!BG30:BH30,J$300)+COUNTIF('9月'!BL30:BM30,J$300)+COUNTIF('9月'!BQ30:BR30,J$300)+COUNTIF('9月'!BV30:BW30,J$300)+COUNTIF('9月'!CA30:CB30,J$300)+COUNTIF('9月'!CF30:CG30,J$300)+COUNTIF('9月'!CK30:CL30,J$300)+COUNTIF('9月'!CP30:CQ30,J$300)+COUNTIF('9月'!CU30:CV30,J$300)+COUNTIF('9月'!CZ30:DA30,J$300)+COUNTIF('9月'!DE30:DF30,J$300)+COUNTIF('9月'!DJ30:DK30,J$300)+COUNTIF('9月'!DO30:DP30,J$300)+COUNTIF('9月'!DT30:DU30,J$300)+COUNTIF('9月'!DY30:DZ30,J$300)+COUNTIF('9月'!ED30:EE30,J$300)+COUNTIF('9月'!EI30:EJ30,J$300)+COUNTIF('9月'!EN30:EO30,J$300)+COUNTIF('9月'!ES30:ET30,J$300)+COUNTIF('9月'!D30:E30,"六本木-夜勤")+COUNTIF('9月'!I30:J30,"六本木-夜勤")+COUNTIF('9月'!N30:O30,"六本木-夜勤")+COUNTIF('9月'!S30:T30,"六本木-夜勤")+COUNTIF('9月'!X30:Y30,"六本木-夜勤")+COUNTIF('9月'!AC30:AD30,"六本木-夜勤")+COUNTIF('9月'!AH30:AI30,"六本木-夜勤")+COUNTIF('9月'!AM30:AN30,"六本木-夜勤")+COUNTIF('9月'!AR30:AS30,"六本木-夜勤")+COUNTIF('9月'!AW30:AX30,"六本木-夜勤")+COUNTIF('9月'!BB30:BC30,"六本木-夜勤")+COUNTIF('9月'!BG30:BH30,"六本木-夜勤")+COUNTIF('9月'!BL30:BM30,"六本木-夜勤")+COUNTIF('9月'!BQ30:BR30,"六本木-夜勤")+COUNTIF('9月'!BV30:BW30,"六本木-夜勤")+COUNTIF('9月'!CA30:CB30,"六本木-夜勤")+COUNTIF('9月'!CF30:CG30,"六本木-夜勤")+COUNTIF('9月'!CK30:CL30,"六本木-夜勤")+COUNTIF('9月'!CP30:CQ30,"六本木-夜勤")+COUNTIF('9月'!CU30:CV30,"六本木-夜勤")+COUNTIF('9月'!CZ30:DA30,"六本木-夜勤")+COUNTIF('9月'!DE30:DF30,"六本木-夜勤")+COUNTIF('9月'!DJ30:DK30,"六本木-夜勤")+COUNTIF('9月'!DO30:DP30,"六本木-夜勤")+COUNTIF('9月'!DT30:DU30,"六本木-夜勤")+COUNTIF('9月'!DY30:DZ30,"六本木-夜勤")+COUNTIF('9月'!ED30:EE30,"六本木-夜勤")+COUNTIF('9月'!EI30:EJ30,"六本木-夜勤")+COUNTIF('9月'!EN30:EO30,"六本木-夜勤")+COUNTIF('9月'!ES30:ET30,"六本木-夜勤")+COUNTIF('9月'!D30:E30,"六本木ー夜勤")+COUNTIF('9月'!I30:J30,"六本木ー夜勤")+COUNTIF('9月'!N30:O30,"六本木ー夜勤")+COUNTIF('9月'!S30:T30,"六本木ー夜勤")+COUNTIF('9月'!X30:Y30,"六本木ー夜勤")+COUNTIF('9月'!AC30:AD30,"六本木ー夜勤")+COUNTIF('9月'!AH30:AI30,"六本木ー夜勤")+COUNTIF('9月'!AM30:AN30,"六本木ー夜勤")+COUNTIF('9月'!AR30:AS30,"六本木ー夜勤")+COUNTIF('9月'!AW30:AX30,"六本木ー夜勤")+COUNTIF('9月'!BB30:BC30,"六本木ー夜勤")+COUNTIF('9月'!BG30:BH30,"六本木ー夜勤")+COUNTIF('9月'!BL30:BM30,"六本木ー夜勤")+COUNTIF('9月'!BQ30:BR30,"六本木ー夜勤")+COUNTIF('9月'!BV30:BW30,"六本木ー夜勤")+COUNTIF('9月'!CA30:CB30,"六本木ー夜勤")+COUNTIF('9月'!CF30:CG30,"六本木ー夜勤")+COUNTIF('9月'!CK30:CL30,"六本木ー夜勤")+COUNTIF('9月'!CP30:CQ30,"六本木ー夜勤")+COUNTIF('9月'!CU30:CV30,"六本木ー夜勤")+COUNTIF('9月'!CZ30:DA30,"六本木ー夜勤")+COUNTIF('9月'!DE30:DF30,"六本木ー夜勤")+COUNTIF('9月'!DJ30:DK30,"六本木ー夜勤")+COUNTIF('9月'!DO30:DP30,"六本木ー夜勤")+COUNTIF('9月'!DT30:DU30,"六本木ー夜勤")+COUNTIF('9月'!DY30:DZ30,"六本木ー夜勤")+COUNTIF('9月'!ED30:EE30,"六本木ー夜勤")+COUNTIF('9月'!EI30:EJ30,"六本木ー夜勤")+COUNTIF('9月'!EN30:EO30,"六本木ー夜勤")+COUNTIF('9月'!ES30:ET30,"六本木ー夜勤")</f>
        <v>0</v>
      </c>
      <c r="K328" s="76">
        <f t="shared" si="100"/>
        <v>0</v>
      </c>
      <c r="L328" s="76">
        <f>COUNTIF('9月'!D30:E30,L$300)+COUNTIF('9月'!I30:J30,L$300)+COUNTIF('9月'!N30:O30,L$300)+COUNTIF('9月'!S30:T30,L$300)+COUNTIF('9月'!X30:Y30,L$300)+COUNTIF('9月'!AC30:AD30,L$300)+COUNTIF('9月'!AH30:AI30,L$300)+COUNTIF('9月'!AM30:AN30,L$300)+COUNTIF('9月'!AR30:AS30,L$300)+COUNTIF('9月'!AW30:AX30,L$300)+COUNTIF('9月'!BB30:BC30,L$300)+COUNTIF('9月'!BG30:BH30,L$300)+COUNTIF('9月'!BL30:BM30,L$300)+COUNTIF('9月'!BQ30:BR30,L$300)+COUNTIF('9月'!BV30:BW30,L$300)+COUNTIF('9月'!CA30:CB30,L$300)+COUNTIF('9月'!CF30:CG30,L$300)+COUNTIF('9月'!CK30:CL30,L$300)+COUNTIF('9月'!CP30:CQ30,L$300)+COUNTIF('9月'!CU30:CV30,L$300)+COUNTIF('9月'!CZ30:DA30,L$300)+COUNTIF('9月'!DE30:DF30,L$300)+COUNTIF('9月'!DJ30:DK30,L$300)+COUNTIF('9月'!DO30:DP30,L$300)+COUNTIF('9月'!DT30:DU30,L$300)+COUNTIF('9月'!DY30:DZ30,L$300)+COUNTIF('9月'!ED30:EE30,L$300)+COUNTIF('9月'!EI30:EJ30,L$300)+COUNTIF('9月'!EN30:EO30,L$300)+COUNTIF('9月'!ES30:ET30,L$300)</f>
        <v>0</v>
      </c>
      <c r="M328" s="76">
        <f t="shared" si="101"/>
        <v>0</v>
      </c>
      <c r="N328" s="76">
        <f>COUNTIF('9月'!D30:E30,N$300)+COUNTIF('9月'!I30:J30,N$300)+COUNTIF('9月'!N30:O30,N$300)+COUNTIF('9月'!S30:T30,N$300)+COUNTIF('9月'!X30:Y30,N$300)+COUNTIF('9月'!AC30:AD30,N$300)+COUNTIF('9月'!AH30:AI30,N$300)+COUNTIF('9月'!AM30:AN30,N$300)+COUNTIF('9月'!AR30:AS30,N$300)+COUNTIF('9月'!AW30:AX30,N$300)+COUNTIF('9月'!BB30:BC30,N$300)+COUNTIF('9月'!BG30:BH30,N$300)+COUNTIF('9月'!BL30:BM30,N$300)+COUNTIF('9月'!BQ30:BR30,N$300)+COUNTIF('9月'!BV30:BW30,N$300)+COUNTIF('9月'!CA30:CB30,N$300)+COUNTIF('9月'!CF30:CG30,N$300)+COUNTIF('9月'!CK30:CL30,N$300)+COUNTIF('9月'!CP30:CQ30,N$300)+COUNTIF('9月'!CU30:CV30,N$300)+COUNTIF('9月'!CZ30:DA30,N$300)+COUNTIF('9月'!DE30:DF30,N$300)+COUNTIF('9月'!DJ30:DK30,N$300)+COUNTIF('9月'!DO30:DP30,N$300)+COUNTIF('9月'!DT30:DU30,N$300)+COUNTIF('9月'!DY30:DZ30,N$300)+COUNTIF('9月'!ED30:EE30,N$300)+COUNTIF('9月'!EI30:EJ30,N$300)+COUNTIF('9月'!EN30:EO30,N$300)+COUNTIF('9月'!ES30:ET30,N$300)+COUNTIF('9月'!D30:E30,"三軒茶屋－夜勤")+COUNTIF('9月'!I30:J30,"三軒茶屋－夜勤")+COUNTIF('9月'!N30:O30,"三軒茶屋－夜勤")+COUNTIF('9月'!S30:T30,"三軒茶屋－夜勤")+COUNTIF('9月'!X30:Y30,"三軒茶屋－夜勤")+COUNTIF('9月'!AC30:AD30,"三軒茶屋－夜勤")+COUNTIF('9月'!AH30:AI30,"三軒茶屋－夜勤")+COUNTIF('9月'!AM30:AN30,"三軒茶屋－夜勤")+COUNTIF('9月'!AR30:AS30,"三軒茶屋－夜勤")+COUNTIF('9月'!AW30:AX30,"三軒茶屋－夜勤")+COUNTIF('9月'!BB30:BC30,"三軒茶屋－夜勤")+COUNTIF('9月'!BG30:BH30,"三軒茶屋－夜勤")+COUNTIF('9月'!BL30:BM30,"三軒茶屋－夜勤")+COUNTIF('9月'!BQ30:BR30,"三軒茶屋－夜勤")+COUNTIF('9月'!BV30:BW30,"三軒茶屋－夜勤")+COUNTIF('9月'!CA30:CB30,"三軒茶屋－夜勤")+COUNTIF('9月'!CF30:CG30,"三軒茶屋－夜勤")+COUNTIF('9月'!CK30:CL30,"三軒茶屋－夜勤")+COUNTIF('9月'!CP30:CQ30,"三軒茶屋－夜勤")+COUNTIF('9月'!CU30:CV30,"三軒茶屋－夜勤")+COUNTIF('9月'!CZ30:DA30,"三軒茶屋－夜勤")+COUNTIF('9月'!DE30:DF30,"三軒茶屋－夜勤")+COUNTIF('9月'!DJ30:DK30,"三軒茶屋－夜勤")+COUNTIF('9月'!DO30:DP30,"三軒茶屋－夜勤")+COUNTIF('9月'!DT30:DU30,"三軒茶屋－夜勤")+COUNTIF('9月'!DY30:DZ30,"三軒茶屋－夜勤")+COUNTIF('9月'!ED30:EE30,"三軒茶屋－夜勤")+COUNTIF('9月'!EI30:EJ30,"三軒茶屋－夜勤")+COUNTIF('9月'!EN30:EO30,"三軒茶屋－夜勤")+COUNTIF('9月'!ES30:ET30,"三軒茶屋－夜勤")</f>
        <v>0</v>
      </c>
      <c r="O328" s="76">
        <f t="shared" si="102"/>
        <v>0</v>
      </c>
      <c r="P328" s="76">
        <f>COUNTIF('9月'!D30:E30,P$300)+COUNTIF('9月'!I30:J30,P$300)+COUNTIF('9月'!N30:O30,P$300)+COUNTIF('9月'!S30:T30,P$300)+COUNTIF('9月'!X30:Y30,P$300)+COUNTIF('9月'!AC30:AD30,P$300)+COUNTIF('9月'!AH30:AI30,P$300)+COUNTIF('9月'!AM30:AN30,P$300)+COUNTIF('9月'!AR30:AS30,P$300)+COUNTIF('9月'!AW30:AX30,P$300)+COUNTIF('9月'!BB30:BC30,P$300)+COUNTIF('9月'!BG30:BH30,P$300)+COUNTIF('9月'!BL30:BM30,P$300)+COUNTIF('9月'!BQ30:BR30,P$300)+COUNTIF('9月'!BV30:BW30,P$300)+COUNTIF('9月'!CA30:CB30,P$300)+COUNTIF('9月'!CF30:CG30,P$300)+COUNTIF('9月'!CK30:CL30,P$300)+COUNTIF('9月'!CP30:CQ30,P$300)+COUNTIF('9月'!CU30:CV30,P$300)+COUNTIF('9月'!CZ30:DA30,P$300)+COUNTIF('9月'!DE30:DF30,P$300)+COUNTIF('9月'!DJ30:DK30,P$300)+COUNTIF('9月'!DO30:DP30,P$300)+COUNTIF('9月'!DT30:DU30,P$300)+COUNTIF('9月'!DY30:DZ30,P$300)+COUNTIF('9月'!ED30:EE30,P$300)+COUNTIF('9月'!EI30:EJ30,P$300)+COUNTIF('9月'!EN30:EO30,P$300)+COUNTIF('9月'!ES30:ET30,P$300)+COUNTIF('9月'!D30:E30,"荻窪ー夜勤")+COUNTIF('9月'!I30:J30,"荻窪ー夜勤")+COUNTIF('9月'!N30:O30,"荻窪ー夜勤")+COUNTIF('9月'!S30:T30,"荻窪ー夜勤")+COUNTIF('9月'!X30:Y30,"荻窪ー夜勤")+COUNTIF('9月'!AC30:AD30,"荻窪ー夜勤")+COUNTIF('9月'!AH30:AI30,"荻窪ー夜勤")+COUNTIF('9月'!AM30:AN30,"荻窪ー夜勤")+COUNTIF('9月'!AR30:AS30,"荻窪ー夜勤")+COUNTIF('9月'!AW30:AX30,"荻窪ー夜勤")+COUNTIF('9月'!BB30:BC30,"荻窪ー夜勤")+COUNTIF('9月'!BG30:BH30,"荻窪ー夜勤")+COUNTIF('9月'!BL30:BM30,"荻窪ー夜勤")+COUNTIF('9月'!BQ30:BR30,"荻窪ー夜勤")+COUNTIF('9月'!BV30:BW30,"荻窪ー夜勤")+COUNTIF('9月'!CA30:CB30,"荻窪ー夜勤")+COUNTIF('9月'!CF30:CG30,"荻窪ー夜勤")+COUNTIF('9月'!CK30:CL30,"荻窪ー夜勤")+COUNTIF('9月'!CP30:CQ30,"荻窪ー夜勤")+COUNTIF('9月'!CU30:CV30,"荻窪ー夜勤")+COUNTIF('9月'!CZ30:DA30,"荻窪ー夜勤")+COUNTIF('9月'!DE30:DF30,"荻窪ー夜勤")+COUNTIF('9月'!DJ30:DK30,"荻窪ー夜勤")+COUNTIF('9月'!DO30:DP30,"荻窪ー夜勤")+COUNTIF('9月'!DT30:DU30,"荻窪ー夜勤")+COUNTIF('9月'!DY30:DZ30,"荻窪ー夜勤")+COUNTIF('9月'!ED30:EE30,"荻窪ー夜勤")+COUNTIF('9月'!EI30:EJ30,"荻窪ー夜勤")+COUNTIF('9月'!EN30:EO30,"荻窪ー夜勤")+COUNTIF('9月'!ES30:ET30,"荻窪ー夜勤")</f>
        <v>0</v>
      </c>
      <c r="Q328" s="76">
        <f t="shared" si="103"/>
        <v>0</v>
      </c>
      <c r="R328" s="76">
        <f>COUNTIF('9月'!D30:E30,R$300)+COUNTIF('9月'!I30:J30,R$300)+COUNTIF('9月'!N30:O30,R$300)+COUNTIF('9月'!S30:T30,R$300)+COUNTIF('9月'!X30:Y30,R$300)+COUNTIF('9月'!AC30:AD30,R$300)+COUNTIF('9月'!AH30:AI30,R$300)+COUNTIF('9月'!AM30:AN30,R$300)+COUNTIF('9月'!AR30:AS30,R$300)+COUNTIF('9月'!AW30:AX30,R$300)+COUNTIF('9月'!BB30:BC30,R$300)+COUNTIF('9月'!BG30:BH30,R$300)+COUNTIF('9月'!BL30:BM30,R$300)+COUNTIF('9月'!BQ30:BR30,R$300)+COUNTIF('9月'!BV30:BW30,R$300)+COUNTIF('9月'!CA30:CB30,R$300)+COUNTIF('9月'!CF30:CG30,R$300)+COUNTIF('9月'!CK30:CL30,R$300)+COUNTIF('9月'!CP30:CQ30,R$300)+COUNTIF('9月'!CU30:CV30,R$300)+COUNTIF('9月'!CZ30:DA30,R$300)+COUNTIF('9月'!DE30:DF30,R$300)+COUNTIF('9月'!DJ30:DK30,R$300)+COUNTIF('9月'!DO30:DP30,R$300)+COUNTIF('9月'!DT30:DU30,R$300)+COUNTIF('9月'!DY30:DZ30,R$300)+COUNTIF('9月'!ED30:EE30,R$300)+COUNTIF('9月'!EI30:EJ30,R$300)+COUNTIF('9月'!EN30:EO30,R$300)+COUNTIF('9月'!ES30:ET30,R$300)</f>
        <v>0</v>
      </c>
      <c r="S328" s="76">
        <f t="shared" si="104"/>
        <v>0</v>
      </c>
      <c r="T328" s="76">
        <f>COUNTIF('9月'!D30:E30,T$300)+COUNTIF('9月'!I30:J30,T$300)+COUNTIF('9月'!N30:O30,T$300)+COUNTIF('9月'!S30:T30,T$300)+COUNTIF('9月'!X30:Y30,T$300)+COUNTIF('9月'!AC30:AD30,T$300)+COUNTIF('9月'!AH30:AI30,T$300)+COUNTIF('9月'!AM30:AN30,T$300)+COUNTIF('9月'!AR30:AS30,T$300)+COUNTIF('9月'!AW30:AX30,T$300)+COUNTIF('9月'!BB30:BC30,T$300)+COUNTIF('9月'!BG30:BH30,T$300)+COUNTIF('9月'!BL30:BM30,T$300)+COUNTIF('9月'!BQ30:BR30,T$300)+COUNTIF('9月'!BV30:BW30,T$300)+COUNTIF('9月'!CA30:CB30,T$300)+COUNTIF('9月'!CF30:CG30,T$300)+COUNTIF('9月'!CK30:CL30,T$300)+COUNTIF('9月'!CP30:CQ30,T$300)+COUNTIF('9月'!CU30:CV30,T$300)+COUNTIF('9月'!CZ30:DA30,T$300)+COUNTIF('9月'!DE30:DF30,T$300)+COUNTIF('9月'!DJ30:DK30,T$300)+COUNTIF('9月'!DO30:DP30,T$300)+COUNTIF('9月'!DT30:DU30,T$300)+COUNTIF('9月'!DY30:DZ30,T$300)+COUNTIF('9月'!ED30:EE30,T$300)+COUNTIF('9月'!EI30:EJ30,T$300)+COUNTIF('9月'!EN30:EO30,T$300)+COUNTIF('9月'!ES30:ET30,T$300)</f>
        <v>0</v>
      </c>
      <c r="U328" s="76">
        <f t="shared" si="105"/>
        <v>0</v>
      </c>
      <c r="V328" s="76">
        <f>COUNTIF('9月'!D30:E30,V$300)+COUNTIF('9月'!I30:J30,V$300)+COUNTIF('9月'!N30:O30,V$300)+COUNTIF('9月'!S30:T30,V$300)+COUNTIF('9月'!X30:Y30,V$300)+COUNTIF('9月'!AC30:AD30,V$300)+COUNTIF('9月'!AH30:AI30,V$300)+COUNTIF('9月'!AM30:AN30,V$300)+COUNTIF('9月'!AR30:AS30,V$300)+COUNTIF('9月'!AW30:AX30,V$300)+COUNTIF('9月'!BB30:BC30,V$300)+COUNTIF('9月'!BG30:BH30,V$300)+COUNTIF('9月'!BL30:BM30,V$300)+COUNTIF('9月'!BQ30:BR30,V$300)+COUNTIF('9月'!BV30:BW30,V$300)+COUNTIF('9月'!CA30:CB30,V$300)+COUNTIF('9月'!CF30:CG30,V$300)+COUNTIF('9月'!CK30:CL30,V$300)+COUNTIF('9月'!CP30:CQ30,V$300)+COUNTIF('9月'!CU30:CV30,V$300)+COUNTIF('9月'!CZ30:DA30,V$300)+COUNTIF('9月'!DE30:DF30,V$300)+COUNTIF('9月'!DJ30:DK30,V$300)+COUNTIF('9月'!DO30:DP30,V$300)+COUNTIF('9月'!DT30:DU30,V$300)+COUNTIF('9月'!DY30:DZ30,V$300)+COUNTIF('9月'!ED30:EE30,V$300)+COUNTIF('9月'!EI30:EJ30,V$300)+COUNTIF('9月'!EN30:EO30,V$300)+COUNTIF('9月'!ES30:ET30,V$300)</f>
        <v>0</v>
      </c>
      <c r="W328" s="76">
        <f t="shared" si="106"/>
        <v>0</v>
      </c>
      <c r="X328" s="76">
        <f>COUNTIF('9月'!D30:E30,X$300)+COUNTIF('9月'!I30:J30,X$300)+COUNTIF('9月'!N30:O30,X$300)+COUNTIF('9月'!S30:T30,X$300)+COUNTIF('9月'!X30:Y30,X$300)+COUNTIF('9月'!AC30:AD30,X$300)+COUNTIF('9月'!AH30:AI30,X$300)+COUNTIF('9月'!AM30:AN30,X$300)+COUNTIF('9月'!AR30:AS30,X$300)+COUNTIF('9月'!AW30:AX30,X$300)+COUNTIF('9月'!BB30:BC30,X$300)+COUNTIF('9月'!BG30:BH30,X$300)+COUNTIF('9月'!BL30:BM30,X$300)+COUNTIF('9月'!BQ30:BR30,X$300)+COUNTIF('9月'!BV30:BW30,X$300)+COUNTIF('9月'!CA30:CB30,X$300)+COUNTIF('9月'!CF30:CG30,X$300)+COUNTIF('9月'!CK30:CL30,X$300)+COUNTIF('9月'!CP30:CQ30,X$300)+COUNTIF('9月'!CU30:CV30,X$300)+COUNTIF('9月'!CZ30:DA30,X$300)+COUNTIF('9月'!DE30:DF30,X$300)+COUNTIF('9月'!DJ30:DK30,X$300)+COUNTIF('9月'!DO30:DP30,X$300)+COUNTIF('9月'!DT30:DU30,X$300)+COUNTIF('9月'!DY30:DZ30,X$300)+COUNTIF('9月'!ED30:EE30,X$300)+COUNTIF('9月'!EI30:EJ30,X$300)+COUNTIF('9月'!EN30:EO30,X$300)+COUNTIF('9月'!ES30:ET30,X$300)</f>
        <v>0</v>
      </c>
      <c r="Y328" s="76">
        <f t="shared" si="107"/>
        <v>0</v>
      </c>
    </row>
    <row r="329" spans="1:25" ht="18" customHeight="1">
      <c r="A329" s="76">
        <v>28</v>
      </c>
      <c r="B329" s="76">
        <f>COUNTIF('9月'!D31:E31,B$300)+COUNTIF('9月'!I31:J31,B$300)+COUNTIF('9月'!N31:O31,B$300)+COUNTIF('9月'!S31:T31,B$300)+COUNTIF('9月'!X31:Y31,B$300)+COUNTIF('9月'!AC31:AD31,B$300)+COUNTIF('9月'!AH31:AI31,B$300)+COUNTIF('9月'!AM31:AN31,B$300)+COUNTIF('9月'!AR31:AS31,B$300)+COUNTIF('9月'!AW31:AX31,B$300)+COUNTIF('9月'!BB31:BC31,B$300)+COUNTIF('9月'!BG31:BH31,B$300)+COUNTIF('9月'!BL31:BM31,B$300)+COUNTIF('9月'!BQ31:BR31,B$300)+COUNTIF('9月'!BV31:BW31,B$300)+COUNTIF('9月'!CA31:CB31,B$300)+COUNTIF('9月'!CF31:CG31,B$300)+COUNTIF('9月'!CK31:CL31,B$300)+COUNTIF('9月'!CP31:CQ31,B$300)+COUNTIF('9月'!CU31:CV31,B$300)+COUNTIF('9月'!CZ31:DA31,B$300)+COUNTIF('9月'!DE31:DF31,B$300)+COUNTIF('9月'!DJ31:DK31,B$300)+COUNTIF('9月'!DO31:DP31,B$300)+COUNTIF('9月'!DT31:DU31,B$300)+COUNTIF('9月'!DY31:DZ31,B$300)+COUNTIF('9月'!ED31:EE31,B$300)+COUNTIF('9月'!EI31:EJ31,B$300)+COUNTIF('9月'!EN31:EO31,B$300)+COUNTIF('9月'!ES31:ET31,B$300)</f>
        <v>0</v>
      </c>
      <c r="C329" s="76">
        <f t="shared" si="96"/>
        <v>0</v>
      </c>
      <c r="D329" s="76">
        <f>COUNTIF('9月'!D31:E31,D$300)+COUNTIF('9月'!I31:J31,D$300)+COUNTIF('9月'!N31:O31,D$300)+COUNTIF('9月'!S31:T31,D$300)+COUNTIF('9月'!X31:Y31,D$300)+COUNTIF('9月'!AC31:AD31,D$300)+COUNTIF('9月'!AH31:AI31,D$300)+COUNTIF('9月'!AM31:AN31,D$300)+COUNTIF('9月'!AR31:AS31,D$300)+COUNTIF('9月'!AW31:AX31,D$300)+COUNTIF('9月'!BB31:BC31,D$300)+COUNTIF('9月'!BG31:BH31,D$300)+COUNTIF('9月'!BL31:BM31,D$300)+COUNTIF('9月'!BQ31:BR31,D$300)+COUNTIF('9月'!BV31:BW31,D$300)+COUNTIF('9月'!CA31:CB31,D$300)+COUNTIF('9月'!CF31:CG31,D$300)+COUNTIF('9月'!CK31:CL31,D$300)+COUNTIF('9月'!CP31:CQ31,D$300)+COUNTIF('9月'!CU31:CV31,D$300)+COUNTIF('9月'!CZ31:DA31,D$300)+COUNTIF('9月'!DE31:DF31,D$300)+COUNTIF('9月'!DJ31:DK31,D$300)+COUNTIF('9月'!DO31:DP31,D$300)+COUNTIF('9月'!DT31:DU31,D$300)+COUNTIF('9月'!DY31:DZ31,D$300)+COUNTIF('9月'!ED31:EE31,D$300)+COUNTIF('9月'!EI31:EJ31,D$300)+COUNTIF('9月'!EN31:EO31,D$300)+COUNTIF('9月'!ES31:ET31,D$300)</f>
        <v>0</v>
      </c>
      <c r="E329" s="76">
        <f t="shared" si="97"/>
        <v>0</v>
      </c>
      <c r="F329" s="76">
        <f>COUNTIF('9月'!D31:E31,F$300)+COUNTIF('9月'!I31:J31,F$300)+COUNTIF('9月'!N31:O31,F$300)+COUNTIF('9月'!S31:T31,F$300)+COUNTIF('9月'!X31:Y31,F$300)+COUNTIF('9月'!AC31:AD31,F$300)+COUNTIF('9月'!AH31:AI31,F$300)+COUNTIF('9月'!AM31:AN31,F$300)+COUNTIF('9月'!AR31:AS31,F$300)+COUNTIF('9月'!AW31:AX31,F$300)+COUNTIF('9月'!BB31:BC31,F$300)+COUNTIF('9月'!BG31:BH31,F$300)+COUNTIF('9月'!BL31:BM31,F$300)+COUNTIF('9月'!BQ31:BR31,F$300)+COUNTIF('9月'!BV31:BW31,F$300)+COUNTIF('9月'!CA31:CB31,F$300)+COUNTIF('9月'!CF31:CG31,F$300)+COUNTIF('9月'!CK31:CL31,F$300)+COUNTIF('9月'!CP31:CQ31,F$300)+COUNTIF('9月'!CU31:CV31,F$300)+COUNTIF('9月'!CZ31:DA31,F$300)+COUNTIF('9月'!DE31:DF31,F$300)+COUNTIF('9月'!DJ31:DK31,F$300)+COUNTIF('9月'!DO31:DP31,F$300)+COUNTIF('9月'!DT31:DU31,F$300)+COUNTIF('9月'!DY31:DZ31,F$300)+COUNTIF('9月'!ED31:EE31,F$300)+COUNTIF('9月'!EI31:EJ31,F$300)+COUNTIF('9月'!EN31:EO31,F$300)+COUNTIF('9月'!ES31:ET31,F$300)</f>
        <v>0</v>
      </c>
      <c r="G329" s="76">
        <f t="shared" si="98"/>
        <v>0</v>
      </c>
      <c r="H329" s="76">
        <f>COUNTIF('9月'!D31:E31,H$300)+COUNTIF('9月'!I31:J31,H$300)+COUNTIF('9月'!N31:O31,H$300)+COUNTIF('9月'!S31:T31,H$300)+COUNTIF('9月'!X31:Y31,H$300)+COUNTIF('9月'!AC31:AD31,H$300)+COUNTIF('9月'!AH31:AI31,H$300)+COUNTIF('9月'!AM31:AN31,H$300)+COUNTIF('9月'!AR31:AS31,H$300)+COUNTIF('9月'!AW31:AX31,H$300)+COUNTIF('9月'!BB31:BC31,H$300)+COUNTIF('9月'!BG31:BH31,H$300)+COUNTIF('9月'!BL31:BM31,H$300)+COUNTIF('9月'!BQ31:BR31,H$300)+COUNTIF('9月'!BV31:BW31,H$300)+COUNTIF('9月'!CA31:CB31,H$300)+COUNTIF('9月'!CF31:CG31,H$300)+COUNTIF('9月'!CK31:CL31,H$300)+COUNTIF('9月'!CP31:CQ31,H$300)+COUNTIF('9月'!CU31:CV31,H$300)+COUNTIF('9月'!CZ31:DA31,H$300)+COUNTIF('9月'!DE31:DF31,H$300)+COUNTIF('9月'!DJ31:DK31,H$300)+COUNTIF('9月'!DO31:DP31,H$300)+COUNTIF('9月'!DT31:DU31,H$300)+COUNTIF('9月'!DY31:DZ31,H$300)+COUNTIF('9月'!ED31:EE31,H$300)+COUNTIF('9月'!EI31:EJ31,H$300)+COUNTIF('9月'!EN31:EO31,H$300)+COUNTIF('9月'!ES31:ET31,H$300)+COUNTIF('9月'!D31:E31,"渋谷-夜勤")+COUNTIF('9月'!I31:J31,"渋谷-夜勤")+COUNTIF('9月'!N31:O31,"渋谷-夜勤")+COUNTIF('9月'!S31:T31,"渋谷-夜勤")+COUNTIF('9月'!X31:Y31,"渋谷-夜勤")+COUNTIF('9月'!AC31:AD31,"渋谷-夜勤")+COUNTIF('9月'!AH31:AI31,"渋谷-夜勤")+COUNTIF('9月'!AM31:AN31,"渋谷-夜勤")+COUNTIF('9月'!AR31:AS31,"渋谷-夜勤")+COUNTIF('9月'!AW31:AX31,"渋谷-夜勤")+COUNTIF('9月'!BB31:BC31,"渋谷-夜勤")+COUNTIF('9月'!BG31:BH31,"渋谷-夜勤")+COUNTIF('9月'!BL31:BM31,"渋谷-夜勤")+COUNTIF('9月'!BQ31:BR31,"渋谷-夜勤")+COUNTIF('9月'!BV31:BW31,"渋谷-夜勤")+COUNTIF('9月'!CA31:CB31,"渋谷-夜勤")+COUNTIF('9月'!CF31:CG31,"渋谷-夜勤")+COUNTIF('9月'!CK31:CL31,"渋谷-夜勤")+COUNTIF('9月'!CP31:CQ31,"渋谷-夜勤")+COUNTIF('9月'!CU31:CV31,"渋谷-夜勤")+COUNTIF('9月'!CZ31:DA31,"渋谷-夜勤")+COUNTIF('9月'!DE31:DF31,"渋谷-夜勤")+COUNTIF('9月'!DJ31:DK31,"渋谷-夜勤")+COUNTIF('9月'!DO31:DP31,"渋谷-夜勤")+COUNTIF('9月'!DT31:DU31,"渋谷-夜勤")+COUNTIF('9月'!DY31:DZ31,"渋谷-夜勤")+COUNTIF('9月'!ED31:EE31,"渋谷-夜勤")+COUNTIF('9月'!EI31:EJ31,"渋谷-夜勤")+COUNTIF('9月'!EN31:EO31,"渋谷-夜勤")+COUNTIF('9月'!ES31:ET31,"渋谷-夜勤")</f>
        <v>0</v>
      </c>
      <c r="I329" s="76">
        <f t="shared" si="99"/>
        <v>0</v>
      </c>
      <c r="J329" s="76">
        <f>COUNTIF('9月'!D31:E31,J$300)+COUNTIF('9月'!I31:J31,J$300)+COUNTIF('9月'!N31:O31,J$300)+COUNTIF('9月'!S31:T31,J$300)+COUNTIF('9月'!X31:Y31,J$300)+COUNTIF('9月'!AC31:AD31,J$300)+COUNTIF('9月'!AH31:AI31,J$300)+COUNTIF('9月'!AM31:AN31,J$300)+COUNTIF('9月'!AR31:AS31,J$300)+COUNTIF('9月'!AW31:AX31,J$300)+COUNTIF('9月'!BB31:BC31,J$300)+COUNTIF('9月'!BG31:BH31,J$300)+COUNTIF('9月'!BL31:BM31,J$300)+COUNTIF('9月'!BQ31:BR31,J$300)+COUNTIF('9月'!BV31:BW31,J$300)+COUNTIF('9月'!CA31:CB31,J$300)+COUNTIF('9月'!CF31:CG31,J$300)+COUNTIF('9月'!CK31:CL31,J$300)+COUNTIF('9月'!CP31:CQ31,J$300)+COUNTIF('9月'!CU31:CV31,J$300)+COUNTIF('9月'!CZ31:DA31,J$300)+COUNTIF('9月'!DE31:DF31,J$300)+COUNTIF('9月'!DJ31:DK31,J$300)+COUNTIF('9月'!DO31:DP31,J$300)+COUNTIF('9月'!DT31:DU31,J$300)+COUNTIF('9月'!DY31:DZ31,J$300)+COUNTIF('9月'!ED31:EE31,J$300)+COUNTIF('9月'!EI31:EJ31,J$300)+COUNTIF('9月'!EN31:EO31,J$300)+COUNTIF('9月'!ES31:ET31,J$300)+COUNTIF('9月'!D31:E31,"六本木-夜勤")+COUNTIF('9月'!I31:J31,"六本木-夜勤")+COUNTIF('9月'!N31:O31,"六本木-夜勤")+COUNTIF('9月'!S31:T31,"六本木-夜勤")+COUNTIF('9月'!X31:Y31,"六本木-夜勤")+COUNTIF('9月'!AC31:AD31,"六本木-夜勤")+COUNTIF('9月'!AH31:AI31,"六本木-夜勤")+COUNTIF('9月'!AM31:AN31,"六本木-夜勤")+COUNTIF('9月'!AR31:AS31,"六本木-夜勤")+COUNTIF('9月'!AW31:AX31,"六本木-夜勤")+COUNTIF('9月'!BB31:BC31,"六本木-夜勤")+COUNTIF('9月'!BG31:BH31,"六本木-夜勤")+COUNTIF('9月'!BL31:BM31,"六本木-夜勤")+COUNTIF('9月'!BQ31:BR31,"六本木-夜勤")+COUNTIF('9月'!BV31:BW31,"六本木-夜勤")+COUNTIF('9月'!CA31:CB31,"六本木-夜勤")+COUNTIF('9月'!CF31:CG31,"六本木-夜勤")+COUNTIF('9月'!CK31:CL31,"六本木-夜勤")+COUNTIF('9月'!CP31:CQ31,"六本木-夜勤")+COUNTIF('9月'!CU31:CV31,"六本木-夜勤")+COUNTIF('9月'!CZ31:DA31,"六本木-夜勤")+COUNTIF('9月'!DE31:DF31,"六本木-夜勤")+COUNTIF('9月'!DJ31:DK31,"六本木-夜勤")+COUNTIF('9月'!DO31:DP31,"六本木-夜勤")+COUNTIF('9月'!DT31:DU31,"六本木-夜勤")+COUNTIF('9月'!DY31:DZ31,"六本木-夜勤")+COUNTIF('9月'!ED31:EE31,"六本木-夜勤")+COUNTIF('9月'!EI31:EJ31,"六本木-夜勤")+COUNTIF('9月'!EN31:EO31,"六本木-夜勤")+COUNTIF('9月'!ES31:ET31,"六本木-夜勤")+COUNTIF('9月'!D31:E31,"六本木ー夜勤")+COUNTIF('9月'!I31:J31,"六本木ー夜勤")+COUNTIF('9月'!N31:O31,"六本木ー夜勤")+COUNTIF('9月'!S31:T31,"六本木ー夜勤")+COUNTIF('9月'!X31:Y31,"六本木ー夜勤")+COUNTIF('9月'!AC31:AD31,"六本木ー夜勤")+COUNTIF('9月'!AH31:AI31,"六本木ー夜勤")+COUNTIF('9月'!AM31:AN31,"六本木ー夜勤")+COUNTIF('9月'!AR31:AS31,"六本木ー夜勤")+COUNTIF('9月'!AW31:AX31,"六本木ー夜勤")+COUNTIF('9月'!BB31:BC31,"六本木ー夜勤")+COUNTIF('9月'!BG31:BH31,"六本木ー夜勤")+COUNTIF('9月'!BL31:BM31,"六本木ー夜勤")+COUNTIF('9月'!BQ31:BR31,"六本木ー夜勤")+COUNTIF('9月'!BV31:BW31,"六本木ー夜勤")+COUNTIF('9月'!CA31:CB31,"六本木ー夜勤")+COUNTIF('9月'!CF31:CG31,"六本木ー夜勤")+COUNTIF('9月'!CK31:CL31,"六本木ー夜勤")+COUNTIF('9月'!CP31:CQ31,"六本木ー夜勤")+COUNTIF('9月'!CU31:CV31,"六本木ー夜勤")+COUNTIF('9月'!CZ31:DA31,"六本木ー夜勤")+COUNTIF('9月'!DE31:DF31,"六本木ー夜勤")+COUNTIF('9月'!DJ31:DK31,"六本木ー夜勤")+COUNTIF('9月'!DO31:DP31,"六本木ー夜勤")+COUNTIF('9月'!DT31:DU31,"六本木ー夜勤")+COUNTIF('9月'!DY31:DZ31,"六本木ー夜勤")+COUNTIF('9月'!ED31:EE31,"六本木ー夜勤")+COUNTIF('9月'!EI31:EJ31,"六本木ー夜勤")+COUNTIF('9月'!EN31:EO31,"六本木ー夜勤")+COUNTIF('9月'!ES31:ET31,"六本木ー夜勤")</f>
        <v>0</v>
      </c>
      <c r="K329" s="76">
        <f t="shared" si="100"/>
        <v>0</v>
      </c>
      <c r="L329" s="76">
        <f>COUNTIF('9月'!D31:E31,L$300)+COUNTIF('9月'!I31:J31,L$300)+COUNTIF('9月'!N31:O31,L$300)+COUNTIF('9月'!S31:T31,L$300)+COUNTIF('9月'!X31:Y31,L$300)+COUNTIF('9月'!AC31:AD31,L$300)+COUNTIF('9月'!AH31:AI31,L$300)+COUNTIF('9月'!AM31:AN31,L$300)+COUNTIF('9月'!AR31:AS31,L$300)+COUNTIF('9月'!AW31:AX31,L$300)+COUNTIF('9月'!BB31:BC31,L$300)+COUNTIF('9月'!BG31:BH31,L$300)+COUNTIF('9月'!BL31:BM31,L$300)+COUNTIF('9月'!BQ31:BR31,L$300)+COUNTIF('9月'!BV31:BW31,L$300)+COUNTIF('9月'!CA31:CB31,L$300)+COUNTIF('9月'!CF31:CG31,L$300)+COUNTIF('9月'!CK31:CL31,L$300)+COUNTIF('9月'!CP31:CQ31,L$300)+COUNTIF('9月'!CU31:CV31,L$300)+COUNTIF('9月'!CZ31:DA31,L$300)+COUNTIF('9月'!DE31:DF31,L$300)+COUNTIF('9月'!DJ31:DK31,L$300)+COUNTIF('9月'!DO31:DP31,L$300)+COUNTIF('9月'!DT31:DU31,L$300)+COUNTIF('9月'!DY31:DZ31,L$300)+COUNTIF('9月'!ED31:EE31,L$300)+COUNTIF('9月'!EI31:EJ31,L$300)+COUNTIF('9月'!EN31:EO31,L$300)+COUNTIF('9月'!ES31:ET31,L$300)</f>
        <v>0</v>
      </c>
      <c r="M329" s="76">
        <f t="shared" si="101"/>
        <v>0</v>
      </c>
      <c r="N329" s="76">
        <f>COUNTIF('9月'!D31:E31,N$300)+COUNTIF('9月'!I31:J31,N$300)+COUNTIF('9月'!N31:O31,N$300)+COUNTIF('9月'!S31:T31,N$300)+COUNTIF('9月'!X31:Y31,N$300)+COUNTIF('9月'!AC31:AD31,N$300)+COUNTIF('9月'!AH31:AI31,N$300)+COUNTIF('9月'!AM31:AN31,N$300)+COUNTIF('9月'!AR31:AS31,N$300)+COUNTIF('9月'!AW31:AX31,N$300)+COUNTIF('9月'!BB31:BC31,N$300)+COUNTIF('9月'!BG31:BH31,N$300)+COUNTIF('9月'!BL31:BM31,N$300)+COUNTIF('9月'!BQ31:BR31,N$300)+COUNTIF('9月'!BV31:BW31,N$300)+COUNTIF('9月'!CA31:CB31,N$300)+COUNTIF('9月'!CF31:CG31,N$300)+COUNTIF('9月'!CK31:CL31,N$300)+COUNTIF('9月'!CP31:CQ31,N$300)+COUNTIF('9月'!CU31:CV31,N$300)+COUNTIF('9月'!CZ31:DA31,N$300)+COUNTIF('9月'!DE31:DF31,N$300)+COUNTIF('9月'!DJ31:DK31,N$300)+COUNTIF('9月'!DO31:DP31,N$300)+COUNTIF('9月'!DT31:DU31,N$300)+COUNTIF('9月'!DY31:DZ31,N$300)+COUNTIF('9月'!ED31:EE31,N$300)+COUNTIF('9月'!EI31:EJ31,N$300)+COUNTIF('9月'!EN31:EO31,N$300)+COUNTIF('9月'!ES31:ET31,N$300)+COUNTIF('9月'!D31:E31,"三軒茶屋－夜勤")+COUNTIF('9月'!I31:J31,"三軒茶屋－夜勤")+COUNTIF('9月'!N31:O31,"三軒茶屋－夜勤")+COUNTIF('9月'!S31:T31,"三軒茶屋－夜勤")+COUNTIF('9月'!X31:Y31,"三軒茶屋－夜勤")+COUNTIF('9月'!AC31:AD31,"三軒茶屋－夜勤")+COUNTIF('9月'!AH31:AI31,"三軒茶屋－夜勤")+COUNTIF('9月'!AM31:AN31,"三軒茶屋－夜勤")+COUNTIF('9月'!AR31:AS31,"三軒茶屋－夜勤")+COUNTIF('9月'!AW31:AX31,"三軒茶屋－夜勤")+COUNTIF('9月'!BB31:BC31,"三軒茶屋－夜勤")+COUNTIF('9月'!BG31:BH31,"三軒茶屋－夜勤")+COUNTIF('9月'!BL31:BM31,"三軒茶屋－夜勤")+COUNTIF('9月'!BQ31:BR31,"三軒茶屋－夜勤")+COUNTIF('9月'!BV31:BW31,"三軒茶屋－夜勤")+COUNTIF('9月'!CA31:CB31,"三軒茶屋－夜勤")+COUNTIF('9月'!CF31:CG31,"三軒茶屋－夜勤")+COUNTIF('9月'!CK31:CL31,"三軒茶屋－夜勤")+COUNTIF('9月'!CP31:CQ31,"三軒茶屋－夜勤")+COUNTIF('9月'!CU31:CV31,"三軒茶屋－夜勤")+COUNTIF('9月'!CZ31:DA31,"三軒茶屋－夜勤")+COUNTIF('9月'!DE31:DF31,"三軒茶屋－夜勤")+COUNTIF('9月'!DJ31:DK31,"三軒茶屋－夜勤")+COUNTIF('9月'!DO31:DP31,"三軒茶屋－夜勤")+COUNTIF('9月'!DT31:DU31,"三軒茶屋－夜勤")+COUNTIF('9月'!DY31:DZ31,"三軒茶屋－夜勤")+COUNTIF('9月'!ED31:EE31,"三軒茶屋－夜勤")+COUNTIF('9月'!EI31:EJ31,"三軒茶屋－夜勤")+COUNTIF('9月'!EN31:EO31,"三軒茶屋－夜勤")+COUNTIF('9月'!ES31:ET31,"三軒茶屋－夜勤")</f>
        <v>0</v>
      </c>
      <c r="O329" s="76">
        <f t="shared" si="102"/>
        <v>0</v>
      </c>
      <c r="P329" s="76">
        <f>COUNTIF('9月'!D31:E31,P$300)+COUNTIF('9月'!I31:J31,P$300)+COUNTIF('9月'!N31:O31,P$300)+COUNTIF('9月'!S31:T31,P$300)+COUNTIF('9月'!X31:Y31,P$300)+COUNTIF('9月'!AC31:AD31,P$300)+COUNTIF('9月'!AH31:AI31,P$300)+COUNTIF('9月'!AM31:AN31,P$300)+COUNTIF('9月'!AR31:AS31,P$300)+COUNTIF('9月'!AW31:AX31,P$300)+COUNTIF('9月'!BB31:BC31,P$300)+COUNTIF('9月'!BG31:BH31,P$300)+COUNTIF('9月'!BL31:BM31,P$300)+COUNTIF('9月'!BQ31:BR31,P$300)+COUNTIF('9月'!BV31:BW31,P$300)+COUNTIF('9月'!CA31:CB31,P$300)+COUNTIF('9月'!CF31:CG31,P$300)+COUNTIF('9月'!CK31:CL31,P$300)+COUNTIF('9月'!CP31:CQ31,P$300)+COUNTIF('9月'!CU31:CV31,P$300)+COUNTIF('9月'!CZ31:DA31,P$300)+COUNTIF('9月'!DE31:DF31,P$300)+COUNTIF('9月'!DJ31:DK31,P$300)+COUNTIF('9月'!DO31:DP31,P$300)+COUNTIF('9月'!DT31:DU31,P$300)+COUNTIF('9月'!DY31:DZ31,P$300)+COUNTIF('9月'!ED31:EE31,P$300)+COUNTIF('9月'!EI31:EJ31,P$300)+COUNTIF('9月'!EN31:EO31,P$300)+COUNTIF('9月'!ES31:ET31,P$300)+COUNTIF('9月'!D31:E31,"荻窪ー夜勤")+COUNTIF('9月'!I31:J31,"荻窪ー夜勤")+COUNTIF('9月'!N31:O31,"荻窪ー夜勤")+COUNTIF('9月'!S31:T31,"荻窪ー夜勤")+COUNTIF('9月'!X31:Y31,"荻窪ー夜勤")+COUNTIF('9月'!AC31:AD31,"荻窪ー夜勤")+COUNTIF('9月'!AH31:AI31,"荻窪ー夜勤")+COUNTIF('9月'!AM31:AN31,"荻窪ー夜勤")+COUNTIF('9月'!AR31:AS31,"荻窪ー夜勤")+COUNTIF('9月'!AW31:AX31,"荻窪ー夜勤")+COUNTIF('9月'!BB31:BC31,"荻窪ー夜勤")+COUNTIF('9月'!BG31:BH31,"荻窪ー夜勤")+COUNTIF('9月'!BL31:BM31,"荻窪ー夜勤")+COUNTIF('9月'!BQ31:BR31,"荻窪ー夜勤")+COUNTIF('9月'!BV31:BW31,"荻窪ー夜勤")+COUNTIF('9月'!CA31:CB31,"荻窪ー夜勤")+COUNTIF('9月'!CF31:CG31,"荻窪ー夜勤")+COUNTIF('9月'!CK31:CL31,"荻窪ー夜勤")+COUNTIF('9月'!CP31:CQ31,"荻窪ー夜勤")+COUNTIF('9月'!CU31:CV31,"荻窪ー夜勤")+COUNTIF('9月'!CZ31:DA31,"荻窪ー夜勤")+COUNTIF('9月'!DE31:DF31,"荻窪ー夜勤")+COUNTIF('9月'!DJ31:DK31,"荻窪ー夜勤")+COUNTIF('9月'!DO31:DP31,"荻窪ー夜勤")+COUNTIF('9月'!DT31:DU31,"荻窪ー夜勤")+COUNTIF('9月'!DY31:DZ31,"荻窪ー夜勤")+COUNTIF('9月'!ED31:EE31,"荻窪ー夜勤")+COUNTIF('9月'!EI31:EJ31,"荻窪ー夜勤")+COUNTIF('9月'!EN31:EO31,"荻窪ー夜勤")+COUNTIF('9月'!ES31:ET31,"荻窪ー夜勤")</f>
        <v>0</v>
      </c>
      <c r="Q329" s="76">
        <f t="shared" si="103"/>
        <v>0</v>
      </c>
      <c r="R329" s="76">
        <f>COUNTIF('9月'!D31:E31,R$300)+COUNTIF('9月'!I31:J31,R$300)+COUNTIF('9月'!N31:O31,R$300)+COUNTIF('9月'!S31:T31,R$300)+COUNTIF('9月'!X31:Y31,R$300)+COUNTIF('9月'!AC31:AD31,R$300)+COUNTIF('9月'!AH31:AI31,R$300)+COUNTIF('9月'!AM31:AN31,R$300)+COUNTIF('9月'!AR31:AS31,R$300)+COUNTIF('9月'!AW31:AX31,R$300)+COUNTIF('9月'!BB31:BC31,R$300)+COUNTIF('9月'!BG31:BH31,R$300)+COUNTIF('9月'!BL31:BM31,R$300)+COUNTIF('9月'!BQ31:BR31,R$300)+COUNTIF('9月'!BV31:BW31,R$300)+COUNTIF('9月'!CA31:CB31,R$300)+COUNTIF('9月'!CF31:CG31,R$300)+COUNTIF('9月'!CK31:CL31,R$300)+COUNTIF('9月'!CP31:CQ31,R$300)+COUNTIF('9月'!CU31:CV31,R$300)+COUNTIF('9月'!CZ31:DA31,R$300)+COUNTIF('9月'!DE31:DF31,R$300)+COUNTIF('9月'!DJ31:DK31,R$300)+COUNTIF('9月'!DO31:DP31,R$300)+COUNTIF('9月'!DT31:DU31,R$300)+COUNTIF('9月'!DY31:DZ31,R$300)+COUNTIF('9月'!ED31:EE31,R$300)+COUNTIF('9月'!EI31:EJ31,R$300)+COUNTIF('9月'!EN31:EO31,R$300)+COUNTIF('9月'!ES31:ET31,R$300)</f>
        <v>0</v>
      </c>
      <c r="S329" s="76">
        <f t="shared" si="104"/>
        <v>0</v>
      </c>
      <c r="T329" s="76">
        <f>COUNTIF('9月'!D31:E31,T$300)+COUNTIF('9月'!I31:J31,T$300)+COUNTIF('9月'!N31:O31,T$300)+COUNTIF('9月'!S31:T31,T$300)+COUNTIF('9月'!X31:Y31,T$300)+COUNTIF('9月'!AC31:AD31,T$300)+COUNTIF('9月'!AH31:AI31,T$300)+COUNTIF('9月'!AM31:AN31,T$300)+COUNTIF('9月'!AR31:AS31,T$300)+COUNTIF('9月'!AW31:AX31,T$300)+COUNTIF('9月'!BB31:BC31,T$300)+COUNTIF('9月'!BG31:BH31,T$300)+COUNTIF('9月'!BL31:BM31,T$300)+COUNTIF('9月'!BQ31:BR31,T$300)+COUNTIF('9月'!BV31:BW31,T$300)+COUNTIF('9月'!CA31:CB31,T$300)+COUNTIF('9月'!CF31:CG31,T$300)+COUNTIF('9月'!CK31:CL31,T$300)+COUNTIF('9月'!CP31:CQ31,T$300)+COUNTIF('9月'!CU31:CV31,T$300)+COUNTIF('9月'!CZ31:DA31,T$300)+COUNTIF('9月'!DE31:DF31,T$300)+COUNTIF('9月'!DJ31:DK31,T$300)+COUNTIF('9月'!DO31:DP31,T$300)+COUNTIF('9月'!DT31:DU31,T$300)+COUNTIF('9月'!DY31:DZ31,T$300)+COUNTIF('9月'!ED31:EE31,T$300)+COUNTIF('9月'!EI31:EJ31,T$300)+COUNTIF('9月'!EN31:EO31,T$300)+COUNTIF('9月'!ES31:ET31,T$300)</f>
        <v>0</v>
      </c>
      <c r="U329" s="76">
        <f t="shared" si="105"/>
        <v>0</v>
      </c>
      <c r="V329" s="76">
        <f>COUNTIF('9月'!D31:E31,V$300)+COUNTIF('9月'!I31:J31,V$300)+COUNTIF('9月'!N31:O31,V$300)+COUNTIF('9月'!S31:T31,V$300)+COUNTIF('9月'!X31:Y31,V$300)+COUNTIF('9月'!AC31:AD31,V$300)+COUNTIF('9月'!AH31:AI31,V$300)+COUNTIF('9月'!AM31:AN31,V$300)+COUNTIF('9月'!AR31:AS31,V$300)+COUNTIF('9月'!AW31:AX31,V$300)+COUNTIF('9月'!BB31:BC31,V$300)+COUNTIF('9月'!BG31:BH31,V$300)+COUNTIF('9月'!BL31:BM31,V$300)+COUNTIF('9月'!BQ31:BR31,V$300)+COUNTIF('9月'!BV31:BW31,V$300)+COUNTIF('9月'!CA31:CB31,V$300)+COUNTIF('9月'!CF31:CG31,V$300)+COUNTIF('9月'!CK31:CL31,V$300)+COUNTIF('9月'!CP31:CQ31,V$300)+COUNTIF('9月'!CU31:CV31,V$300)+COUNTIF('9月'!CZ31:DA31,V$300)+COUNTIF('9月'!DE31:DF31,V$300)+COUNTIF('9月'!DJ31:DK31,V$300)+COUNTIF('9月'!DO31:DP31,V$300)+COUNTIF('9月'!DT31:DU31,V$300)+COUNTIF('9月'!DY31:DZ31,V$300)+COUNTIF('9月'!ED31:EE31,V$300)+COUNTIF('9月'!EI31:EJ31,V$300)+COUNTIF('9月'!EN31:EO31,V$300)+COUNTIF('9月'!ES31:ET31,V$300)</f>
        <v>0</v>
      </c>
      <c r="W329" s="76">
        <f t="shared" si="106"/>
        <v>0</v>
      </c>
      <c r="X329" s="76">
        <f>COUNTIF('9月'!D31:E31,X$300)+COUNTIF('9月'!I31:J31,X$300)+COUNTIF('9月'!N31:O31,X$300)+COUNTIF('9月'!S31:T31,X$300)+COUNTIF('9月'!X31:Y31,X$300)+COUNTIF('9月'!AC31:AD31,X$300)+COUNTIF('9月'!AH31:AI31,X$300)+COUNTIF('9月'!AM31:AN31,X$300)+COUNTIF('9月'!AR31:AS31,X$300)+COUNTIF('9月'!AW31:AX31,X$300)+COUNTIF('9月'!BB31:BC31,X$300)+COUNTIF('9月'!BG31:BH31,X$300)+COUNTIF('9月'!BL31:BM31,X$300)+COUNTIF('9月'!BQ31:BR31,X$300)+COUNTIF('9月'!BV31:BW31,X$300)+COUNTIF('9月'!CA31:CB31,X$300)+COUNTIF('9月'!CF31:CG31,X$300)+COUNTIF('9月'!CK31:CL31,X$300)+COUNTIF('9月'!CP31:CQ31,X$300)+COUNTIF('9月'!CU31:CV31,X$300)+COUNTIF('9月'!CZ31:DA31,X$300)+COUNTIF('9月'!DE31:DF31,X$300)+COUNTIF('9月'!DJ31:DK31,X$300)+COUNTIF('9月'!DO31:DP31,X$300)+COUNTIF('9月'!DT31:DU31,X$300)+COUNTIF('9月'!DY31:DZ31,X$300)+COUNTIF('9月'!ED31:EE31,X$300)+COUNTIF('9月'!EI31:EJ31,X$300)+COUNTIF('9月'!EN31:EO31,X$300)+COUNTIF('9月'!ES31:ET31,X$300)</f>
        <v>0</v>
      </c>
      <c r="Y329" s="76">
        <f t="shared" si="107"/>
        <v>0</v>
      </c>
    </row>
    <row r="330" spans="1:25" ht="18" customHeight="1">
      <c r="A330" s="76">
        <v>29</v>
      </c>
      <c r="B330" s="76">
        <f>COUNTIF('9月'!D32:E32,B$300)+COUNTIF('9月'!I32:J32,B$300)+COUNTIF('9月'!N32:O32,B$300)+COUNTIF('9月'!S32:T32,B$300)+COUNTIF('9月'!X32:Y32,B$300)+COUNTIF('9月'!AC32:AD32,B$300)+COUNTIF('9月'!AH32:AI32,B$300)+COUNTIF('9月'!AM32:AN32,B$300)+COUNTIF('9月'!AR32:AS32,B$300)+COUNTIF('9月'!AW32:AX32,B$300)+COUNTIF('9月'!BB32:BC32,B$300)+COUNTIF('9月'!BG32:BH32,B$300)+COUNTIF('9月'!BL32:BM32,B$300)+COUNTIF('9月'!BQ32:BR32,B$300)+COUNTIF('9月'!BV32:BW32,B$300)+COUNTIF('9月'!CA32:CB32,B$300)+COUNTIF('9月'!CF32:CG32,B$300)+COUNTIF('9月'!CK32:CL32,B$300)+COUNTIF('9月'!CP32:CQ32,B$300)+COUNTIF('9月'!CU32:CV32,B$300)+COUNTIF('9月'!CZ32:DA32,B$300)+COUNTIF('9月'!DE32:DF32,B$300)+COUNTIF('9月'!DJ32:DK32,B$300)+COUNTIF('9月'!DO32:DP32,B$300)+COUNTIF('9月'!DT32:DU32,B$300)+COUNTIF('9月'!DY32:DZ32,B$300)+COUNTIF('9月'!ED32:EE32,B$300)+COUNTIF('9月'!EI32:EJ32,B$300)+COUNTIF('9月'!EN32:EO32,B$300)+COUNTIF('9月'!ES32:ET32,B$300)</f>
        <v>0</v>
      </c>
      <c r="C330" s="76">
        <f t="shared" si="96"/>
        <v>0</v>
      </c>
      <c r="D330" s="76">
        <f>COUNTIF('9月'!D32:E32,D$300)+COUNTIF('9月'!I32:J32,D$300)+COUNTIF('9月'!N32:O32,D$300)+COUNTIF('9月'!S32:T32,D$300)+COUNTIF('9月'!X32:Y32,D$300)+COUNTIF('9月'!AC32:AD32,D$300)+COUNTIF('9月'!AH32:AI32,D$300)+COUNTIF('9月'!AM32:AN32,D$300)+COUNTIF('9月'!AR32:AS32,D$300)+COUNTIF('9月'!AW32:AX32,D$300)+COUNTIF('9月'!BB32:BC32,D$300)+COUNTIF('9月'!BG32:BH32,D$300)+COUNTIF('9月'!BL32:BM32,D$300)+COUNTIF('9月'!BQ32:BR32,D$300)+COUNTIF('9月'!BV32:BW32,D$300)+COUNTIF('9月'!CA32:CB32,D$300)+COUNTIF('9月'!CF32:CG32,D$300)+COUNTIF('9月'!CK32:CL32,D$300)+COUNTIF('9月'!CP32:CQ32,D$300)+COUNTIF('9月'!CU32:CV32,D$300)+COUNTIF('9月'!CZ32:DA32,D$300)+COUNTIF('9月'!DE32:DF32,D$300)+COUNTIF('9月'!DJ32:DK32,D$300)+COUNTIF('9月'!DO32:DP32,D$300)+COUNTIF('9月'!DT32:DU32,D$300)+COUNTIF('9月'!DY32:DZ32,D$300)+COUNTIF('9月'!ED32:EE32,D$300)+COUNTIF('9月'!EI32:EJ32,D$300)+COUNTIF('9月'!EN32:EO32,D$300)+COUNTIF('9月'!ES32:ET32,D$300)</f>
        <v>0</v>
      </c>
      <c r="E330" s="76">
        <f t="shared" si="97"/>
        <v>0</v>
      </c>
      <c r="F330" s="76">
        <f>COUNTIF('9月'!D32:E32,F$300)+COUNTIF('9月'!I32:J32,F$300)+COUNTIF('9月'!N32:O32,F$300)+COUNTIF('9月'!S32:T32,F$300)+COUNTIF('9月'!X32:Y32,F$300)+COUNTIF('9月'!AC32:AD32,F$300)+COUNTIF('9月'!AH32:AI32,F$300)+COUNTIF('9月'!AM32:AN32,F$300)+COUNTIF('9月'!AR32:AS32,F$300)+COUNTIF('9月'!AW32:AX32,F$300)+COUNTIF('9月'!BB32:BC32,F$300)+COUNTIF('9月'!BG32:BH32,F$300)+COUNTIF('9月'!BL32:BM32,F$300)+COUNTIF('9月'!BQ32:BR32,F$300)+COUNTIF('9月'!BV32:BW32,F$300)+COUNTIF('9月'!CA32:CB32,F$300)+COUNTIF('9月'!CF32:CG32,F$300)+COUNTIF('9月'!CK32:CL32,F$300)+COUNTIF('9月'!CP32:CQ32,F$300)+COUNTIF('9月'!CU32:CV32,F$300)+COUNTIF('9月'!CZ32:DA32,F$300)+COUNTIF('9月'!DE32:DF32,F$300)+COUNTIF('9月'!DJ32:DK32,F$300)+COUNTIF('9月'!DO32:DP32,F$300)+COUNTIF('9月'!DT32:DU32,F$300)+COUNTIF('9月'!DY32:DZ32,F$300)+COUNTIF('9月'!ED32:EE32,F$300)+COUNTIF('9月'!EI32:EJ32,F$300)+COUNTIF('9月'!EN32:EO32,F$300)+COUNTIF('9月'!ES32:ET32,F$300)</f>
        <v>0</v>
      </c>
      <c r="G330" s="76">
        <f t="shared" si="98"/>
        <v>0</v>
      </c>
      <c r="H330" s="76">
        <f>COUNTIF('9月'!D32:E32,H$300)+COUNTIF('9月'!I32:J32,H$300)+COUNTIF('9月'!N32:O32,H$300)+COUNTIF('9月'!S32:T32,H$300)+COUNTIF('9月'!X32:Y32,H$300)+COUNTIF('9月'!AC32:AD32,H$300)+COUNTIF('9月'!AH32:AI32,H$300)+COUNTIF('9月'!AM32:AN32,H$300)+COUNTIF('9月'!AR32:AS32,H$300)+COUNTIF('9月'!AW32:AX32,H$300)+COUNTIF('9月'!BB32:BC32,H$300)+COUNTIF('9月'!BG32:BH32,H$300)+COUNTIF('9月'!BL32:BM32,H$300)+COUNTIF('9月'!BQ32:BR32,H$300)+COUNTIF('9月'!BV32:BW32,H$300)+COUNTIF('9月'!CA32:CB32,H$300)+COUNTIF('9月'!CF32:CG32,H$300)+COUNTIF('9月'!CK32:CL32,H$300)+COUNTIF('9月'!CP32:CQ32,H$300)+COUNTIF('9月'!CU32:CV32,H$300)+COUNTIF('9月'!CZ32:DA32,H$300)+COUNTIF('9月'!DE32:DF32,H$300)+COUNTIF('9月'!DJ32:DK32,H$300)+COUNTIF('9月'!DO32:DP32,H$300)+COUNTIF('9月'!DT32:DU32,H$300)+COUNTIF('9月'!DY32:DZ32,H$300)+COUNTIF('9月'!ED32:EE32,H$300)+COUNTIF('9月'!EI32:EJ32,H$300)+COUNTIF('9月'!EN32:EO32,H$300)+COUNTIF('9月'!ES32:ET32,H$300)+COUNTIF('9月'!D32:E32,"渋谷-夜勤")+COUNTIF('9月'!I32:J32,"渋谷-夜勤")+COUNTIF('9月'!N32:O32,"渋谷-夜勤")+COUNTIF('9月'!S32:T32,"渋谷-夜勤")+COUNTIF('9月'!X32:Y32,"渋谷-夜勤")+COUNTIF('9月'!AC32:AD32,"渋谷-夜勤")+COUNTIF('9月'!AH32:AI32,"渋谷-夜勤")+COUNTIF('9月'!AM32:AN32,"渋谷-夜勤")+COUNTIF('9月'!AR32:AS32,"渋谷-夜勤")+COUNTIF('9月'!AW32:AX32,"渋谷-夜勤")+COUNTIF('9月'!BB32:BC32,"渋谷-夜勤")+COUNTIF('9月'!BG32:BH32,"渋谷-夜勤")+COUNTIF('9月'!BL32:BM32,"渋谷-夜勤")+COUNTIF('9月'!BQ32:BR32,"渋谷-夜勤")+COUNTIF('9月'!BV32:BW32,"渋谷-夜勤")+COUNTIF('9月'!CA32:CB32,"渋谷-夜勤")+COUNTIF('9月'!CF32:CG32,"渋谷-夜勤")+COUNTIF('9月'!CK32:CL32,"渋谷-夜勤")+COUNTIF('9月'!CP32:CQ32,"渋谷-夜勤")+COUNTIF('9月'!CU32:CV32,"渋谷-夜勤")+COUNTIF('9月'!CZ32:DA32,"渋谷-夜勤")+COUNTIF('9月'!DE32:DF32,"渋谷-夜勤")+COUNTIF('9月'!DJ32:DK32,"渋谷-夜勤")+COUNTIF('9月'!DO32:DP32,"渋谷-夜勤")+COUNTIF('9月'!DT32:DU32,"渋谷-夜勤")+COUNTIF('9月'!DY32:DZ32,"渋谷-夜勤")+COUNTIF('9月'!ED32:EE32,"渋谷-夜勤")+COUNTIF('9月'!EI32:EJ32,"渋谷-夜勤")+COUNTIF('9月'!EN32:EO32,"渋谷-夜勤")+COUNTIF('9月'!ES32:ET32,"渋谷-夜勤")</f>
        <v>0</v>
      </c>
      <c r="I330" s="76">
        <f t="shared" si="99"/>
        <v>0</v>
      </c>
      <c r="J330" s="76">
        <f>COUNTIF('9月'!D32:E32,J$300)+COUNTIF('9月'!I32:J32,J$300)+COUNTIF('9月'!N32:O32,J$300)+COUNTIF('9月'!S32:T32,J$300)+COUNTIF('9月'!X32:Y32,J$300)+COUNTIF('9月'!AC32:AD32,J$300)+COUNTIF('9月'!AH32:AI32,J$300)+COUNTIF('9月'!AM32:AN32,J$300)+COUNTIF('9月'!AR32:AS32,J$300)+COUNTIF('9月'!AW32:AX32,J$300)+COUNTIF('9月'!BB32:BC32,J$300)+COUNTIF('9月'!BG32:BH32,J$300)+COUNTIF('9月'!BL32:BM32,J$300)+COUNTIF('9月'!BQ32:BR32,J$300)+COUNTIF('9月'!BV32:BW32,J$300)+COUNTIF('9月'!CA32:CB32,J$300)+COUNTIF('9月'!CF32:CG32,J$300)+COUNTIF('9月'!CK32:CL32,J$300)+COUNTIF('9月'!CP32:CQ32,J$300)+COUNTIF('9月'!CU32:CV32,J$300)+COUNTIF('9月'!CZ32:DA32,J$300)+COUNTIF('9月'!DE32:DF32,J$300)+COUNTIF('9月'!DJ32:DK32,J$300)+COUNTIF('9月'!DO32:DP32,J$300)+COUNTIF('9月'!DT32:DU32,J$300)+COUNTIF('9月'!DY32:DZ32,J$300)+COUNTIF('9月'!ED32:EE32,J$300)+COUNTIF('9月'!EI32:EJ32,J$300)+COUNTIF('9月'!EN32:EO32,J$300)+COUNTIF('9月'!ES32:ET32,J$300)+COUNTIF('9月'!D32:E32,"六本木-夜勤")+COUNTIF('9月'!I32:J32,"六本木-夜勤")+COUNTIF('9月'!N32:O32,"六本木-夜勤")+COUNTIF('9月'!S32:T32,"六本木-夜勤")+COUNTIF('9月'!X32:Y32,"六本木-夜勤")+COUNTIF('9月'!AC32:AD32,"六本木-夜勤")+COUNTIF('9月'!AH32:AI32,"六本木-夜勤")+COUNTIF('9月'!AM32:AN32,"六本木-夜勤")+COUNTIF('9月'!AR32:AS32,"六本木-夜勤")+COUNTIF('9月'!AW32:AX32,"六本木-夜勤")+COUNTIF('9月'!BB32:BC32,"六本木-夜勤")+COUNTIF('9月'!BG32:BH32,"六本木-夜勤")+COUNTIF('9月'!BL32:BM32,"六本木-夜勤")+COUNTIF('9月'!BQ32:BR32,"六本木-夜勤")+COUNTIF('9月'!BV32:BW32,"六本木-夜勤")+COUNTIF('9月'!CA32:CB32,"六本木-夜勤")+COUNTIF('9月'!CF32:CG32,"六本木-夜勤")+COUNTIF('9月'!CK32:CL32,"六本木-夜勤")+COUNTIF('9月'!CP32:CQ32,"六本木-夜勤")+COUNTIF('9月'!CU32:CV32,"六本木-夜勤")+COUNTIF('9月'!CZ32:DA32,"六本木-夜勤")+COUNTIF('9月'!DE32:DF32,"六本木-夜勤")+COUNTIF('9月'!DJ32:DK32,"六本木-夜勤")+COUNTIF('9月'!DO32:DP32,"六本木-夜勤")+COUNTIF('9月'!DT32:DU32,"六本木-夜勤")+COUNTIF('9月'!DY32:DZ32,"六本木-夜勤")+COUNTIF('9月'!ED32:EE32,"六本木-夜勤")+COUNTIF('9月'!EI32:EJ32,"六本木-夜勤")+COUNTIF('9月'!EN32:EO32,"六本木-夜勤")+COUNTIF('9月'!ES32:ET32,"六本木-夜勤")+COUNTIF('9月'!D32:E32,"六本木ー夜勤")+COUNTIF('9月'!I32:J32,"六本木ー夜勤")+COUNTIF('9月'!N32:O32,"六本木ー夜勤")+COUNTIF('9月'!S32:T32,"六本木ー夜勤")+COUNTIF('9月'!X32:Y32,"六本木ー夜勤")+COUNTIF('9月'!AC32:AD32,"六本木ー夜勤")+COUNTIF('9月'!AH32:AI32,"六本木ー夜勤")+COUNTIF('9月'!AM32:AN32,"六本木ー夜勤")+COUNTIF('9月'!AR32:AS32,"六本木ー夜勤")+COUNTIF('9月'!AW32:AX32,"六本木ー夜勤")+COUNTIF('9月'!BB32:BC32,"六本木ー夜勤")+COUNTIF('9月'!BG32:BH32,"六本木ー夜勤")+COUNTIF('9月'!BL32:BM32,"六本木ー夜勤")+COUNTIF('9月'!BQ32:BR32,"六本木ー夜勤")+COUNTIF('9月'!BV32:BW32,"六本木ー夜勤")+COUNTIF('9月'!CA32:CB32,"六本木ー夜勤")+COUNTIF('9月'!CF32:CG32,"六本木ー夜勤")+COUNTIF('9月'!CK32:CL32,"六本木ー夜勤")+COUNTIF('9月'!CP32:CQ32,"六本木ー夜勤")+COUNTIF('9月'!CU32:CV32,"六本木ー夜勤")+COUNTIF('9月'!CZ32:DA32,"六本木ー夜勤")+COUNTIF('9月'!DE32:DF32,"六本木ー夜勤")+COUNTIF('9月'!DJ32:DK32,"六本木ー夜勤")+COUNTIF('9月'!DO32:DP32,"六本木ー夜勤")+COUNTIF('9月'!DT32:DU32,"六本木ー夜勤")+COUNTIF('9月'!DY32:DZ32,"六本木ー夜勤")+COUNTIF('9月'!ED32:EE32,"六本木ー夜勤")+COUNTIF('9月'!EI32:EJ32,"六本木ー夜勤")+COUNTIF('9月'!EN32:EO32,"六本木ー夜勤")+COUNTIF('9月'!ES32:ET32,"六本木ー夜勤")</f>
        <v>0</v>
      </c>
      <c r="K330" s="76">
        <f t="shared" si="100"/>
        <v>0</v>
      </c>
      <c r="L330" s="76">
        <f>COUNTIF('9月'!D32:E32,L$300)+COUNTIF('9月'!I32:J32,L$300)+COUNTIF('9月'!N32:O32,L$300)+COUNTIF('9月'!S32:T32,L$300)+COUNTIF('9月'!X32:Y32,L$300)+COUNTIF('9月'!AC32:AD32,L$300)+COUNTIF('9月'!AH32:AI32,L$300)+COUNTIF('9月'!AM32:AN32,L$300)+COUNTIF('9月'!AR32:AS32,L$300)+COUNTIF('9月'!AW32:AX32,L$300)+COUNTIF('9月'!BB32:BC32,L$300)+COUNTIF('9月'!BG32:BH32,L$300)+COUNTIF('9月'!BL32:BM32,L$300)+COUNTIF('9月'!BQ32:BR32,L$300)+COUNTIF('9月'!BV32:BW32,L$300)+COUNTIF('9月'!CA32:CB32,L$300)+COUNTIF('9月'!CF32:CG32,L$300)+COUNTIF('9月'!CK32:CL32,L$300)+COUNTIF('9月'!CP32:CQ32,L$300)+COUNTIF('9月'!CU32:CV32,L$300)+COUNTIF('9月'!CZ32:DA32,L$300)+COUNTIF('9月'!DE32:DF32,L$300)+COUNTIF('9月'!DJ32:DK32,L$300)+COUNTIF('9月'!DO32:DP32,L$300)+COUNTIF('9月'!DT32:DU32,L$300)+COUNTIF('9月'!DY32:DZ32,L$300)+COUNTIF('9月'!ED32:EE32,L$300)+COUNTIF('9月'!EI32:EJ32,L$300)+COUNTIF('9月'!EN32:EO32,L$300)+COUNTIF('9月'!ES32:ET32,L$300)</f>
        <v>0</v>
      </c>
      <c r="M330" s="76">
        <f t="shared" si="101"/>
        <v>0</v>
      </c>
      <c r="N330" s="76">
        <f>COUNTIF('9月'!D32:E32,N$300)+COUNTIF('9月'!I32:J32,N$300)+COUNTIF('9月'!N32:O32,N$300)+COUNTIF('9月'!S32:T32,N$300)+COUNTIF('9月'!X32:Y32,N$300)+COUNTIF('9月'!AC32:AD32,N$300)+COUNTIF('9月'!AH32:AI32,N$300)+COUNTIF('9月'!AM32:AN32,N$300)+COUNTIF('9月'!AR32:AS32,N$300)+COUNTIF('9月'!AW32:AX32,N$300)+COUNTIF('9月'!BB32:BC32,N$300)+COUNTIF('9月'!BG32:BH32,N$300)+COUNTIF('9月'!BL32:BM32,N$300)+COUNTIF('9月'!BQ32:BR32,N$300)+COUNTIF('9月'!BV32:BW32,N$300)+COUNTIF('9月'!CA32:CB32,N$300)+COUNTIF('9月'!CF32:CG32,N$300)+COUNTIF('9月'!CK32:CL32,N$300)+COUNTIF('9月'!CP32:CQ32,N$300)+COUNTIF('9月'!CU32:CV32,N$300)+COUNTIF('9月'!CZ32:DA32,N$300)+COUNTIF('9月'!DE32:DF32,N$300)+COUNTIF('9月'!DJ32:DK32,N$300)+COUNTIF('9月'!DO32:DP32,N$300)+COUNTIF('9月'!DT32:DU32,N$300)+COUNTIF('9月'!DY32:DZ32,N$300)+COUNTIF('9月'!ED32:EE32,N$300)+COUNTIF('9月'!EI32:EJ32,N$300)+COUNTIF('9月'!EN32:EO32,N$300)+COUNTIF('9月'!ES32:ET32,N$300)+COUNTIF('9月'!D32:E32,"三軒茶屋－夜勤")+COUNTIF('9月'!I32:J32,"三軒茶屋－夜勤")+COUNTIF('9月'!N32:O32,"三軒茶屋－夜勤")+COUNTIF('9月'!S32:T32,"三軒茶屋－夜勤")+COUNTIF('9月'!X32:Y32,"三軒茶屋－夜勤")+COUNTIF('9月'!AC32:AD32,"三軒茶屋－夜勤")+COUNTIF('9月'!AH32:AI32,"三軒茶屋－夜勤")+COUNTIF('9月'!AM32:AN32,"三軒茶屋－夜勤")+COUNTIF('9月'!AR32:AS32,"三軒茶屋－夜勤")+COUNTIF('9月'!AW32:AX32,"三軒茶屋－夜勤")+COUNTIF('9月'!BB32:BC32,"三軒茶屋－夜勤")+COUNTIF('9月'!BG32:BH32,"三軒茶屋－夜勤")+COUNTIF('9月'!BL32:BM32,"三軒茶屋－夜勤")+COUNTIF('9月'!BQ32:BR32,"三軒茶屋－夜勤")+COUNTIF('9月'!BV32:BW32,"三軒茶屋－夜勤")+COUNTIF('9月'!CA32:CB32,"三軒茶屋－夜勤")+COUNTIF('9月'!CF32:CG32,"三軒茶屋－夜勤")+COUNTIF('9月'!CK32:CL32,"三軒茶屋－夜勤")+COUNTIF('9月'!CP32:CQ32,"三軒茶屋－夜勤")+COUNTIF('9月'!CU32:CV32,"三軒茶屋－夜勤")+COUNTIF('9月'!CZ32:DA32,"三軒茶屋－夜勤")+COUNTIF('9月'!DE32:DF32,"三軒茶屋－夜勤")+COUNTIF('9月'!DJ32:DK32,"三軒茶屋－夜勤")+COUNTIF('9月'!DO32:DP32,"三軒茶屋－夜勤")+COUNTIF('9月'!DT32:DU32,"三軒茶屋－夜勤")+COUNTIF('9月'!DY32:DZ32,"三軒茶屋－夜勤")+COUNTIF('9月'!ED32:EE32,"三軒茶屋－夜勤")+COUNTIF('9月'!EI32:EJ32,"三軒茶屋－夜勤")+COUNTIF('9月'!EN32:EO32,"三軒茶屋－夜勤")+COUNTIF('9月'!ES32:ET32,"三軒茶屋－夜勤")</f>
        <v>0</v>
      </c>
      <c r="O330" s="76">
        <f t="shared" si="102"/>
        <v>0</v>
      </c>
      <c r="P330" s="76">
        <f>COUNTIF('9月'!D32:E32,P$300)+COUNTIF('9月'!I32:J32,P$300)+COUNTIF('9月'!N32:O32,P$300)+COUNTIF('9月'!S32:T32,P$300)+COUNTIF('9月'!X32:Y32,P$300)+COUNTIF('9月'!AC32:AD32,P$300)+COUNTIF('9月'!AH32:AI32,P$300)+COUNTIF('9月'!AM32:AN32,P$300)+COUNTIF('9月'!AR32:AS32,P$300)+COUNTIF('9月'!AW32:AX32,P$300)+COUNTIF('9月'!BB32:BC32,P$300)+COUNTIF('9月'!BG32:BH32,P$300)+COUNTIF('9月'!BL32:BM32,P$300)+COUNTIF('9月'!BQ32:BR32,P$300)+COUNTIF('9月'!BV32:BW32,P$300)+COUNTIF('9月'!CA32:CB32,P$300)+COUNTIF('9月'!CF32:CG32,P$300)+COUNTIF('9月'!CK32:CL32,P$300)+COUNTIF('9月'!CP32:CQ32,P$300)+COUNTIF('9月'!CU32:CV32,P$300)+COUNTIF('9月'!CZ32:DA32,P$300)+COUNTIF('9月'!DE32:DF32,P$300)+COUNTIF('9月'!DJ32:DK32,P$300)+COUNTIF('9月'!DO32:DP32,P$300)+COUNTIF('9月'!DT32:DU32,P$300)+COUNTIF('9月'!DY32:DZ32,P$300)+COUNTIF('9月'!ED32:EE32,P$300)+COUNTIF('9月'!EI32:EJ32,P$300)+COUNTIF('9月'!EN32:EO32,P$300)+COUNTIF('9月'!ES32:ET32,P$300)+COUNTIF('9月'!D32:E32,"荻窪ー夜勤")+COUNTIF('9月'!I32:J32,"荻窪ー夜勤")+COUNTIF('9月'!N32:O32,"荻窪ー夜勤")+COUNTIF('9月'!S32:T32,"荻窪ー夜勤")+COUNTIF('9月'!X32:Y32,"荻窪ー夜勤")+COUNTIF('9月'!AC32:AD32,"荻窪ー夜勤")+COUNTIF('9月'!AH32:AI32,"荻窪ー夜勤")+COUNTIF('9月'!AM32:AN32,"荻窪ー夜勤")+COUNTIF('9月'!AR32:AS32,"荻窪ー夜勤")+COUNTIF('9月'!AW32:AX32,"荻窪ー夜勤")+COUNTIF('9月'!BB32:BC32,"荻窪ー夜勤")+COUNTIF('9月'!BG32:BH32,"荻窪ー夜勤")+COUNTIF('9月'!BL32:BM32,"荻窪ー夜勤")+COUNTIF('9月'!BQ32:BR32,"荻窪ー夜勤")+COUNTIF('9月'!BV32:BW32,"荻窪ー夜勤")+COUNTIF('9月'!CA32:CB32,"荻窪ー夜勤")+COUNTIF('9月'!CF32:CG32,"荻窪ー夜勤")+COUNTIF('9月'!CK32:CL32,"荻窪ー夜勤")+COUNTIF('9月'!CP32:CQ32,"荻窪ー夜勤")+COUNTIF('9月'!CU32:CV32,"荻窪ー夜勤")+COUNTIF('9月'!CZ32:DA32,"荻窪ー夜勤")+COUNTIF('9月'!DE32:DF32,"荻窪ー夜勤")+COUNTIF('9月'!DJ32:DK32,"荻窪ー夜勤")+COUNTIF('9月'!DO32:DP32,"荻窪ー夜勤")+COUNTIF('9月'!DT32:DU32,"荻窪ー夜勤")+COUNTIF('9月'!DY32:DZ32,"荻窪ー夜勤")+COUNTIF('9月'!ED32:EE32,"荻窪ー夜勤")+COUNTIF('9月'!EI32:EJ32,"荻窪ー夜勤")+COUNTIF('9月'!EN32:EO32,"荻窪ー夜勤")+COUNTIF('9月'!ES32:ET32,"荻窪ー夜勤")</f>
        <v>0</v>
      </c>
      <c r="Q330" s="76">
        <f t="shared" si="103"/>
        <v>0</v>
      </c>
      <c r="R330" s="76">
        <f>COUNTIF('9月'!D32:E32,R$300)+COUNTIF('9月'!I32:J32,R$300)+COUNTIF('9月'!N32:O32,R$300)+COUNTIF('9月'!S32:T32,R$300)+COUNTIF('9月'!X32:Y32,R$300)+COUNTIF('9月'!AC32:AD32,R$300)+COUNTIF('9月'!AH32:AI32,R$300)+COUNTIF('9月'!AM32:AN32,R$300)+COUNTIF('9月'!AR32:AS32,R$300)+COUNTIF('9月'!AW32:AX32,R$300)+COUNTIF('9月'!BB32:BC32,R$300)+COUNTIF('9月'!BG32:BH32,R$300)+COUNTIF('9月'!BL32:BM32,R$300)+COUNTIF('9月'!BQ32:BR32,R$300)+COUNTIF('9月'!BV32:BW32,R$300)+COUNTIF('9月'!CA32:CB32,R$300)+COUNTIF('9月'!CF32:CG32,R$300)+COUNTIF('9月'!CK32:CL32,R$300)+COUNTIF('9月'!CP32:CQ32,R$300)+COUNTIF('9月'!CU32:CV32,R$300)+COUNTIF('9月'!CZ32:DA32,R$300)+COUNTIF('9月'!DE32:DF32,R$300)+COUNTIF('9月'!DJ32:DK32,R$300)+COUNTIF('9月'!DO32:DP32,R$300)+COUNTIF('9月'!DT32:DU32,R$300)+COUNTIF('9月'!DY32:DZ32,R$300)+COUNTIF('9月'!ED32:EE32,R$300)+COUNTIF('9月'!EI32:EJ32,R$300)+COUNTIF('9月'!EN32:EO32,R$300)+COUNTIF('9月'!ES32:ET32,R$300)</f>
        <v>0</v>
      </c>
      <c r="S330" s="76">
        <f t="shared" si="104"/>
        <v>0</v>
      </c>
      <c r="T330" s="76">
        <f>COUNTIF('9月'!D32:E32,T$300)+COUNTIF('9月'!I32:J32,T$300)+COUNTIF('9月'!N32:O32,T$300)+COUNTIF('9月'!S32:T32,T$300)+COUNTIF('9月'!X32:Y32,T$300)+COUNTIF('9月'!AC32:AD32,T$300)+COUNTIF('9月'!AH32:AI32,T$300)+COUNTIF('9月'!AM32:AN32,T$300)+COUNTIF('9月'!AR32:AS32,T$300)+COUNTIF('9月'!AW32:AX32,T$300)+COUNTIF('9月'!BB32:BC32,T$300)+COUNTIF('9月'!BG32:BH32,T$300)+COUNTIF('9月'!BL32:BM32,T$300)+COUNTIF('9月'!BQ32:BR32,T$300)+COUNTIF('9月'!BV32:BW32,T$300)+COUNTIF('9月'!CA32:CB32,T$300)+COUNTIF('9月'!CF32:CG32,T$300)+COUNTIF('9月'!CK32:CL32,T$300)+COUNTIF('9月'!CP32:CQ32,T$300)+COUNTIF('9月'!CU32:CV32,T$300)+COUNTIF('9月'!CZ32:DA32,T$300)+COUNTIF('9月'!DE32:DF32,T$300)+COUNTIF('9月'!DJ32:DK32,T$300)+COUNTIF('9月'!DO32:DP32,T$300)+COUNTIF('9月'!DT32:DU32,T$300)+COUNTIF('9月'!DY32:DZ32,T$300)+COUNTIF('9月'!ED32:EE32,T$300)+COUNTIF('9月'!EI32:EJ32,T$300)+COUNTIF('9月'!EN32:EO32,T$300)+COUNTIF('9月'!ES32:ET32,T$300)</f>
        <v>0</v>
      </c>
      <c r="U330" s="76">
        <f t="shared" si="105"/>
        <v>0</v>
      </c>
      <c r="V330" s="76">
        <f>COUNTIF('9月'!D32:E32,V$300)+COUNTIF('9月'!I32:J32,V$300)+COUNTIF('9月'!N32:O32,V$300)+COUNTIF('9月'!S32:T32,V$300)+COUNTIF('9月'!X32:Y32,V$300)+COUNTIF('9月'!AC32:AD32,V$300)+COUNTIF('9月'!AH32:AI32,V$300)+COUNTIF('9月'!AM32:AN32,V$300)+COUNTIF('9月'!AR32:AS32,V$300)+COUNTIF('9月'!AW32:AX32,V$300)+COUNTIF('9月'!BB32:BC32,V$300)+COUNTIF('9月'!BG32:BH32,V$300)+COUNTIF('9月'!BL32:BM32,V$300)+COUNTIF('9月'!BQ32:BR32,V$300)+COUNTIF('9月'!BV32:BW32,V$300)+COUNTIF('9月'!CA32:CB32,V$300)+COUNTIF('9月'!CF32:CG32,V$300)+COUNTIF('9月'!CK32:CL32,V$300)+COUNTIF('9月'!CP32:CQ32,V$300)+COUNTIF('9月'!CU32:CV32,V$300)+COUNTIF('9月'!CZ32:DA32,V$300)+COUNTIF('9月'!DE32:DF32,V$300)+COUNTIF('9月'!DJ32:DK32,V$300)+COUNTIF('9月'!DO32:DP32,V$300)+COUNTIF('9月'!DT32:DU32,V$300)+COUNTIF('9月'!DY32:DZ32,V$300)+COUNTIF('9月'!ED32:EE32,V$300)+COUNTIF('9月'!EI32:EJ32,V$300)+COUNTIF('9月'!EN32:EO32,V$300)+COUNTIF('9月'!ES32:ET32,V$300)</f>
        <v>0</v>
      </c>
      <c r="W330" s="76">
        <f t="shared" si="106"/>
        <v>0</v>
      </c>
      <c r="X330" s="76">
        <f>COUNTIF('9月'!D32:E32,X$300)+COUNTIF('9月'!I32:J32,X$300)+COUNTIF('9月'!N32:O32,X$300)+COUNTIF('9月'!S32:T32,X$300)+COUNTIF('9月'!X32:Y32,X$300)+COUNTIF('9月'!AC32:AD32,X$300)+COUNTIF('9月'!AH32:AI32,X$300)+COUNTIF('9月'!AM32:AN32,X$300)+COUNTIF('9月'!AR32:AS32,X$300)+COUNTIF('9月'!AW32:AX32,X$300)+COUNTIF('9月'!BB32:BC32,X$300)+COUNTIF('9月'!BG32:BH32,X$300)+COUNTIF('9月'!BL32:BM32,X$300)+COUNTIF('9月'!BQ32:BR32,X$300)+COUNTIF('9月'!BV32:BW32,X$300)+COUNTIF('9月'!CA32:CB32,X$300)+COUNTIF('9月'!CF32:CG32,X$300)+COUNTIF('9月'!CK32:CL32,X$300)+COUNTIF('9月'!CP32:CQ32,X$300)+COUNTIF('9月'!CU32:CV32,X$300)+COUNTIF('9月'!CZ32:DA32,X$300)+COUNTIF('9月'!DE32:DF32,X$300)+COUNTIF('9月'!DJ32:DK32,X$300)+COUNTIF('9月'!DO32:DP32,X$300)+COUNTIF('9月'!DT32:DU32,X$300)+COUNTIF('9月'!DY32:DZ32,X$300)+COUNTIF('9月'!ED32:EE32,X$300)+COUNTIF('9月'!EI32:EJ32,X$300)+COUNTIF('9月'!EN32:EO32,X$300)+COUNTIF('9月'!ES32:ET32,X$300)</f>
        <v>0</v>
      </c>
      <c r="Y330" s="76">
        <f t="shared" si="107"/>
        <v>0</v>
      </c>
    </row>
    <row r="331" spans="1:25" ht="18" customHeight="1">
      <c r="A331" s="76">
        <v>30</v>
      </c>
      <c r="B331" s="76">
        <f>COUNTIF('9月'!D33:E33,B$300)+COUNTIF('9月'!I33:J33,B$300)+COUNTIF('9月'!N33:O33,B$300)+COUNTIF('9月'!S33:T33,B$300)+COUNTIF('9月'!X33:Y33,B$300)+COUNTIF('9月'!AC33:AD33,B$300)+COUNTIF('9月'!AH33:AI33,B$300)+COUNTIF('9月'!AM33:AN33,B$300)+COUNTIF('9月'!AR33:AS33,B$300)+COUNTIF('9月'!AW33:AX33,B$300)+COUNTIF('9月'!BB33:BC33,B$300)+COUNTIF('9月'!BG33:BH33,B$300)+COUNTIF('9月'!BL33:BM33,B$300)+COUNTIF('9月'!BQ33:BR33,B$300)+COUNTIF('9月'!BV33:BW33,B$300)+COUNTIF('9月'!CA33:CB33,B$300)+COUNTIF('9月'!CF33:CG33,B$300)+COUNTIF('9月'!CK33:CL33,B$300)+COUNTIF('9月'!CP33:CQ33,B$300)+COUNTIF('9月'!CU33:CV33,B$300)+COUNTIF('9月'!CZ33:DA33,B$300)+COUNTIF('9月'!DE33:DF33,B$300)+COUNTIF('9月'!DJ33:DK33,B$300)+COUNTIF('9月'!DO33:DP33,B$300)+COUNTIF('9月'!DT33:DU33,B$300)+COUNTIF('9月'!DY33:DZ33,B$300)+COUNTIF('9月'!ED33:EE33,B$300)+COUNTIF('9月'!EI33:EJ33,B$300)+COUNTIF('9月'!EN33:EO33,B$300)+COUNTIF('9月'!ES33:ET33,B$300)</f>
        <v>0</v>
      </c>
      <c r="C331" s="76">
        <f t="shared" si="96"/>
        <v>0</v>
      </c>
      <c r="D331" s="76">
        <f>COUNTIF('9月'!D33:E33,D$300)+COUNTIF('9月'!I33:J33,D$300)+COUNTIF('9月'!N33:O33,D$300)+COUNTIF('9月'!S33:T33,D$300)+COUNTIF('9月'!X33:Y33,D$300)+COUNTIF('9月'!AC33:AD33,D$300)+COUNTIF('9月'!AH33:AI33,D$300)+COUNTIF('9月'!AM33:AN33,D$300)+COUNTIF('9月'!AR33:AS33,D$300)+COUNTIF('9月'!AW33:AX33,D$300)+COUNTIF('9月'!BB33:BC33,D$300)+COUNTIF('9月'!BG33:BH33,D$300)+COUNTIF('9月'!BL33:BM33,D$300)+COUNTIF('9月'!BQ33:BR33,D$300)+COUNTIF('9月'!BV33:BW33,D$300)+COUNTIF('9月'!CA33:CB33,D$300)+COUNTIF('9月'!CF33:CG33,D$300)+COUNTIF('9月'!CK33:CL33,D$300)+COUNTIF('9月'!CP33:CQ33,D$300)+COUNTIF('9月'!CU33:CV33,D$300)+COUNTIF('9月'!CZ33:DA33,D$300)+COUNTIF('9月'!DE33:DF33,D$300)+COUNTIF('9月'!DJ33:DK33,D$300)+COUNTIF('9月'!DO33:DP33,D$300)+COUNTIF('9月'!DT33:DU33,D$300)+COUNTIF('9月'!DY33:DZ33,D$300)+COUNTIF('9月'!ED33:EE33,D$300)+COUNTIF('9月'!EI33:EJ33,D$300)+COUNTIF('9月'!EN33:EO33,D$300)+COUNTIF('9月'!ES33:ET33,D$300)</f>
        <v>0</v>
      </c>
      <c r="E331" s="76">
        <f t="shared" si="97"/>
        <v>0</v>
      </c>
      <c r="F331" s="76">
        <f>COUNTIF('9月'!D33:E33,F$300)+COUNTIF('9月'!I33:J33,F$300)+COUNTIF('9月'!N33:O33,F$300)+COUNTIF('9月'!S33:T33,F$300)+COUNTIF('9月'!X33:Y33,F$300)+COUNTIF('9月'!AC33:AD33,F$300)+COUNTIF('9月'!AH33:AI33,F$300)+COUNTIF('9月'!AM33:AN33,F$300)+COUNTIF('9月'!AR33:AS33,F$300)+COUNTIF('9月'!AW33:AX33,F$300)+COUNTIF('9月'!BB33:BC33,F$300)+COUNTIF('9月'!BG33:BH33,F$300)+COUNTIF('9月'!BL33:BM33,F$300)+COUNTIF('9月'!BQ33:BR33,F$300)+COUNTIF('9月'!BV33:BW33,F$300)+COUNTIF('9月'!CA33:CB33,F$300)+COUNTIF('9月'!CF33:CG33,F$300)+COUNTIF('9月'!CK33:CL33,F$300)+COUNTIF('9月'!CP33:CQ33,F$300)+COUNTIF('9月'!CU33:CV33,F$300)+COUNTIF('9月'!CZ33:DA33,F$300)+COUNTIF('9月'!DE33:DF33,F$300)+COUNTIF('9月'!DJ33:DK33,F$300)+COUNTIF('9月'!DO33:DP33,F$300)+COUNTIF('9月'!DT33:DU33,F$300)+COUNTIF('9月'!DY33:DZ33,F$300)+COUNTIF('9月'!ED33:EE33,F$300)+COUNTIF('9月'!EI33:EJ33,F$300)+COUNTIF('9月'!EN33:EO33,F$300)+COUNTIF('9月'!ES33:ET33,F$300)</f>
        <v>0</v>
      </c>
      <c r="G331" s="76">
        <f t="shared" si="98"/>
        <v>0</v>
      </c>
      <c r="H331" s="76">
        <f>COUNTIF('9月'!D33:E33,H$300)+COUNTIF('9月'!I33:J33,H$300)+COUNTIF('9月'!N33:O33,H$300)+COUNTIF('9月'!S33:T33,H$300)+COUNTIF('9月'!X33:Y33,H$300)+COUNTIF('9月'!AC33:AD33,H$300)+COUNTIF('9月'!AH33:AI33,H$300)+COUNTIF('9月'!AM33:AN33,H$300)+COUNTIF('9月'!AR33:AS33,H$300)+COUNTIF('9月'!AW33:AX33,H$300)+COUNTIF('9月'!BB33:BC33,H$300)+COUNTIF('9月'!BG33:BH33,H$300)+COUNTIF('9月'!BL33:BM33,H$300)+COUNTIF('9月'!BQ33:BR33,H$300)+COUNTIF('9月'!BV33:BW33,H$300)+COUNTIF('9月'!CA33:CB33,H$300)+COUNTIF('9月'!CF33:CG33,H$300)+COUNTIF('9月'!CK33:CL33,H$300)+COUNTIF('9月'!CP33:CQ33,H$300)+COUNTIF('9月'!CU33:CV33,H$300)+COUNTIF('9月'!CZ33:DA33,H$300)+COUNTIF('9月'!DE33:DF33,H$300)+COUNTIF('9月'!DJ33:DK33,H$300)+COUNTIF('9月'!DO33:DP33,H$300)+COUNTIF('9月'!DT33:DU33,H$300)+COUNTIF('9月'!DY33:DZ33,H$300)+COUNTIF('9月'!ED33:EE33,H$300)+COUNTIF('9月'!EI33:EJ33,H$300)+COUNTIF('9月'!EN33:EO33,H$300)+COUNTIF('9月'!ES33:ET33,H$300)+COUNTIF('9月'!D33:E33,"渋谷-夜勤")+COUNTIF('9月'!I33:J33,"渋谷-夜勤")+COUNTIF('9月'!N33:O33,"渋谷-夜勤")+COUNTIF('9月'!S33:T33,"渋谷-夜勤")+COUNTIF('9月'!X33:Y33,"渋谷-夜勤")+COUNTIF('9月'!AC33:AD33,"渋谷-夜勤")+COUNTIF('9月'!AH33:AI33,"渋谷-夜勤")+COUNTIF('9月'!AM33:AN33,"渋谷-夜勤")+COUNTIF('9月'!AR33:AS33,"渋谷-夜勤")+COUNTIF('9月'!AW33:AX33,"渋谷-夜勤")+COUNTIF('9月'!BB33:BC33,"渋谷-夜勤")+COUNTIF('9月'!BG33:BH33,"渋谷-夜勤")+COUNTIF('9月'!BL33:BM33,"渋谷-夜勤")+COUNTIF('9月'!BQ33:BR33,"渋谷-夜勤")+COUNTIF('9月'!BV33:BW33,"渋谷-夜勤")+COUNTIF('9月'!CA33:CB33,"渋谷-夜勤")+COUNTIF('9月'!CF33:CG33,"渋谷-夜勤")+COUNTIF('9月'!CK33:CL33,"渋谷-夜勤")+COUNTIF('9月'!CP33:CQ33,"渋谷-夜勤")+COUNTIF('9月'!CU33:CV33,"渋谷-夜勤")+COUNTIF('9月'!CZ33:DA33,"渋谷-夜勤")+COUNTIF('9月'!DE33:DF33,"渋谷-夜勤")+COUNTIF('9月'!DJ33:DK33,"渋谷-夜勤")+COUNTIF('9月'!DO33:DP33,"渋谷-夜勤")+COUNTIF('9月'!DT33:DU33,"渋谷-夜勤")+COUNTIF('9月'!DY33:DZ33,"渋谷-夜勤")+COUNTIF('9月'!ED33:EE33,"渋谷-夜勤")+COUNTIF('9月'!EI33:EJ33,"渋谷-夜勤")+COUNTIF('9月'!EN33:EO33,"渋谷-夜勤")+COUNTIF('9月'!ES33:ET33,"渋谷-夜勤")</f>
        <v>0</v>
      </c>
      <c r="I331" s="76">
        <f t="shared" si="99"/>
        <v>0</v>
      </c>
      <c r="J331" s="76">
        <f>COUNTIF('9月'!D33:E33,J$300)+COUNTIF('9月'!I33:J33,J$300)+COUNTIF('9月'!N33:O33,J$300)+COUNTIF('9月'!S33:T33,J$300)+COUNTIF('9月'!X33:Y33,J$300)+COUNTIF('9月'!AC33:AD33,J$300)+COUNTIF('9月'!AH33:AI33,J$300)+COUNTIF('9月'!AM33:AN33,J$300)+COUNTIF('9月'!AR33:AS33,J$300)+COUNTIF('9月'!AW33:AX33,J$300)+COUNTIF('9月'!BB33:BC33,J$300)+COUNTIF('9月'!BG33:BH33,J$300)+COUNTIF('9月'!BL33:BM33,J$300)+COUNTIF('9月'!BQ33:BR33,J$300)+COUNTIF('9月'!BV33:BW33,J$300)+COUNTIF('9月'!CA33:CB33,J$300)+COUNTIF('9月'!CF33:CG33,J$300)+COUNTIF('9月'!CK33:CL33,J$300)+COUNTIF('9月'!CP33:CQ33,J$300)+COUNTIF('9月'!CU33:CV33,J$300)+COUNTIF('9月'!CZ33:DA33,J$300)+COUNTIF('9月'!DE33:DF33,J$300)+COUNTIF('9月'!DJ33:DK33,J$300)+COUNTIF('9月'!DO33:DP33,J$300)+COUNTIF('9月'!DT33:DU33,J$300)+COUNTIF('9月'!DY33:DZ33,J$300)+COUNTIF('9月'!ED33:EE33,J$300)+COUNTIF('9月'!EI33:EJ33,J$300)+COUNTIF('9月'!EN33:EO33,J$300)+COUNTIF('9月'!ES33:ET33,J$300)+COUNTIF('9月'!D33:E33,"六本木-夜勤")+COUNTIF('9月'!I33:J33,"六本木-夜勤")+COUNTIF('9月'!N33:O33,"六本木-夜勤")+COUNTIF('9月'!S33:T33,"六本木-夜勤")+COUNTIF('9月'!X33:Y33,"六本木-夜勤")+COUNTIF('9月'!AC33:AD33,"六本木-夜勤")+COUNTIF('9月'!AH33:AI33,"六本木-夜勤")+COUNTIF('9月'!AM33:AN33,"六本木-夜勤")+COUNTIF('9月'!AR33:AS33,"六本木-夜勤")+COUNTIF('9月'!AW33:AX33,"六本木-夜勤")+COUNTIF('9月'!BB33:BC33,"六本木-夜勤")+COUNTIF('9月'!BG33:BH33,"六本木-夜勤")+COUNTIF('9月'!BL33:BM33,"六本木-夜勤")+COUNTIF('9月'!BQ33:BR33,"六本木-夜勤")+COUNTIF('9月'!BV33:BW33,"六本木-夜勤")+COUNTIF('9月'!CA33:CB33,"六本木-夜勤")+COUNTIF('9月'!CF33:CG33,"六本木-夜勤")+COUNTIF('9月'!CK33:CL33,"六本木-夜勤")+COUNTIF('9月'!CP33:CQ33,"六本木-夜勤")+COUNTIF('9月'!CU33:CV33,"六本木-夜勤")+COUNTIF('9月'!CZ33:DA33,"六本木-夜勤")+COUNTIF('9月'!DE33:DF33,"六本木-夜勤")+COUNTIF('9月'!DJ33:DK33,"六本木-夜勤")+COUNTIF('9月'!DO33:DP33,"六本木-夜勤")+COUNTIF('9月'!DT33:DU33,"六本木-夜勤")+COUNTIF('9月'!DY33:DZ33,"六本木-夜勤")+COUNTIF('9月'!ED33:EE33,"六本木-夜勤")+COUNTIF('9月'!EI33:EJ33,"六本木-夜勤")+COUNTIF('9月'!EN33:EO33,"六本木-夜勤")+COUNTIF('9月'!ES33:ET33,"六本木-夜勤")+COUNTIF('9月'!D33:E33,"六本木ー夜勤")+COUNTIF('9月'!I33:J33,"六本木ー夜勤")+COUNTIF('9月'!N33:O33,"六本木ー夜勤")+COUNTIF('9月'!S33:T33,"六本木ー夜勤")+COUNTIF('9月'!X33:Y33,"六本木ー夜勤")+COUNTIF('9月'!AC33:AD33,"六本木ー夜勤")+COUNTIF('9月'!AH33:AI33,"六本木ー夜勤")+COUNTIF('9月'!AM33:AN33,"六本木ー夜勤")+COUNTIF('9月'!AR33:AS33,"六本木ー夜勤")+COUNTIF('9月'!AW33:AX33,"六本木ー夜勤")+COUNTIF('9月'!BB33:BC33,"六本木ー夜勤")+COUNTIF('9月'!BG33:BH33,"六本木ー夜勤")+COUNTIF('9月'!BL33:BM33,"六本木ー夜勤")+COUNTIF('9月'!BQ33:BR33,"六本木ー夜勤")+COUNTIF('9月'!BV33:BW33,"六本木ー夜勤")+COUNTIF('9月'!CA33:CB33,"六本木ー夜勤")+COUNTIF('9月'!CF33:CG33,"六本木ー夜勤")+COUNTIF('9月'!CK33:CL33,"六本木ー夜勤")+COUNTIF('9月'!CP33:CQ33,"六本木ー夜勤")+COUNTIF('9月'!CU33:CV33,"六本木ー夜勤")+COUNTIF('9月'!CZ33:DA33,"六本木ー夜勤")+COUNTIF('9月'!DE33:DF33,"六本木ー夜勤")+COUNTIF('9月'!DJ33:DK33,"六本木ー夜勤")+COUNTIF('9月'!DO33:DP33,"六本木ー夜勤")+COUNTIF('9月'!DT33:DU33,"六本木ー夜勤")+COUNTIF('9月'!DY33:DZ33,"六本木ー夜勤")+COUNTIF('9月'!ED33:EE33,"六本木ー夜勤")+COUNTIF('9月'!EI33:EJ33,"六本木ー夜勤")+COUNTIF('9月'!EN33:EO33,"六本木ー夜勤")+COUNTIF('9月'!ES33:ET33,"六本木ー夜勤")</f>
        <v>0</v>
      </c>
      <c r="K331" s="76">
        <f t="shared" si="100"/>
        <v>0</v>
      </c>
      <c r="L331" s="76">
        <f>COUNTIF('9月'!D33:E33,L$300)+COUNTIF('9月'!I33:J33,L$300)+COUNTIF('9月'!N33:O33,L$300)+COUNTIF('9月'!S33:T33,L$300)+COUNTIF('9月'!X33:Y33,L$300)+COUNTIF('9月'!AC33:AD33,L$300)+COUNTIF('9月'!AH33:AI33,L$300)+COUNTIF('9月'!AM33:AN33,L$300)+COUNTIF('9月'!AR33:AS33,L$300)+COUNTIF('9月'!AW33:AX33,L$300)+COUNTIF('9月'!BB33:BC33,L$300)+COUNTIF('9月'!BG33:BH33,L$300)+COUNTIF('9月'!BL33:BM33,L$300)+COUNTIF('9月'!BQ33:BR33,L$300)+COUNTIF('9月'!BV33:BW33,L$300)+COUNTIF('9月'!CA33:CB33,L$300)+COUNTIF('9月'!CF33:CG33,L$300)+COUNTIF('9月'!CK33:CL33,L$300)+COUNTIF('9月'!CP33:CQ33,L$300)+COUNTIF('9月'!CU33:CV33,L$300)+COUNTIF('9月'!CZ33:DA33,L$300)+COUNTIF('9月'!DE33:DF33,L$300)+COUNTIF('9月'!DJ33:DK33,L$300)+COUNTIF('9月'!DO33:DP33,L$300)+COUNTIF('9月'!DT33:DU33,L$300)+COUNTIF('9月'!DY33:DZ33,L$300)+COUNTIF('9月'!ED33:EE33,L$300)+COUNTIF('9月'!EI33:EJ33,L$300)+COUNTIF('9月'!EN33:EO33,L$300)+COUNTIF('9月'!ES33:ET33,L$300)</f>
        <v>0</v>
      </c>
      <c r="M331" s="76">
        <f t="shared" si="101"/>
        <v>0</v>
      </c>
      <c r="N331" s="76">
        <f>COUNTIF('9月'!D33:E33,N$300)+COUNTIF('9月'!I33:J33,N$300)+COUNTIF('9月'!N33:O33,N$300)+COUNTIF('9月'!S33:T33,N$300)+COUNTIF('9月'!X33:Y33,N$300)+COUNTIF('9月'!AC33:AD33,N$300)+COUNTIF('9月'!AH33:AI33,N$300)+COUNTIF('9月'!AM33:AN33,N$300)+COUNTIF('9月'!AR33:AS33,N$300)+COUNTIF('9月'!AW33:AX33,N$300)+COUNTIF('9月'!BB33:BC33,N$300)+COUNTIF('9月'!BG33:BH33,N$300)+COUNTIF('9月'!BL33:BM33,N$300)+COUNTIF('9月'!BQ33:BR33,N$300)+COUNTIF('9月'!BV33:BW33,N$300)+COUNTIF('9月'!CA33:CB33,N$300)+COUNTIF('9月'!CF33:CG33,N$300)+COUNTIF('9月'!CK33:CL33,N$300)+COUNTIF('9月'!CP33:CQ33,N$300)+COUNTIF('9月'!CU33:CV33,N$300)+COUNTIF('9月'!CZ33:DA33,N$300)+COUNTIF('9月'!DE33:DF33,N$300)+COUNTIF('9月'!DJ33:DK33,N$300)+COUNTIF('9月'!DO33:DP33,N$300)+COUNTIF('9月'!DT33:DU33,N$300)+COUNTIF('9月'!DY33:DZ33,N$300)+COUNTIF('9月'!ED33:EE33,N$300)+COUNTIF('9月'!EI33:EJ33,N$300)+COUNTIF('9月'!EN33:EO33,N$300)+COUNTIF('9月'!ES33:ET33,N$300)+COUNTIF('9月'!D33:E33,"三軒茶屋－夜勤")+COUNTIF('9月'!I33:J33,"三軒茶屋－夜勤")+COUNTIF('9月'!N33:O33,"三軒茶屋－夜勤")+COUNTIF('9月'!S33:T33,"三軒茶屋－夜勤")+COUNTIF('9月'!X33:Y33,"三軒茶屋－夜勤")+COUNTIF('9月'!AC33:AD33,"三軒茶屋－夜勤")+COUNTIF('9月'!AH33:AI33,"三軒茶屋－夜勤")+COUNTIF('9月'!AM33:AN33,"三軒茶屋－夜勤")+COUNTIF('9月'!AR33:AS33,"三軒茶屋－夜勤")+COUNTIF('9月'!AW33:AX33,"三軒茶屋－夜勤")+COUNTIF('9月'!BB33:BC33,"三軒茶屋－夜勤")+COUNTIF('9月'!BG33:BH33,"三軒茶屋－夜勤")+COUNTIF('9月'!BL33:BM33,"三軒茶屋－夜勤")+COUNTIF('9月'!BQ33:BR33,"三軒茶屋－夜勤")+COUNTIF('9月'!BV33:BW33,"三軒茶屋－夜勤")+COUNTIF('9月'!CA33:CB33,"三軒茶屋－夜勤")+COUNTIF('9月'!CF33:CG33,"三軒茶屋－夜勤")+COUNTIF('9月'!CK33:CL33,"三軒茶屋－夜勤")+COUNTIF('9月'!CP33:CQ33,"三軒茶屋－夜勤")+COUNTIF('9月'!CU33:CV33,"三軒茶屋－夜勤")+COUNTIF('9月'!CZ33:DA33,"三軒茶屋－夜勤")+COUNTIF('9月'!DE33:DF33,"三軒茶屋－夜勤")+COUNTIF('9月'!DJ33:DK33,"三軒茶屋－夜勤")+COUNTIF('9月'!DO33:DP33,"三軒茶屋－夜勤")+COUNTIF('9月'!DT33:DU33,"三軒茶屋－夜勤")+COUNTIF('9月'!DY33:DZ33,"三軒茶屋－夜勤")+COUNTIF('9月'!ED33:EE33,"三軒茶屋－夜勤")+COUNTIF('9月'!EI33:EJ33,"三軒茶屋－夜勤")+COUNTIF('9月'!EN33:EO33,"三軒茶屋－夜勤")+COUNTIF('9月'!ES33:ET33,"三軒茶屋－夜勤")</f>
        <v>0</v>
      </c>
      <c r="O331" s="76">
        <f t="shared" si="102"/>
        <v>0</v>
      </c>
      <c r="P331" s="76">
        <f>COUNTIF('9月'!D33:E33,P$300)+COUNTIF('9月'!I33:J33,P$300)+COUNTIF('9月'!N33:O33,P$300)+COUNTIF('9月'!S33:T33,P$300)+COUNTIF('9月'!X33:Y33,P$300)+COUNTIF('9月'!AC33:AD33,P$300)+COUNTIF('9月'!AH33:AI33,P$300)+COUNTIF('9月'!AM33:AN33,P$300)+COUNTIF('9月'!AR33:AS33,P$300)+COUNTIF('9月'!AW33:AX33,P$300)+COUNTIF('9月'!BB33:BC33,P$300)+COUNTIF('9月'!BG33:BH33,P$300)+COUNTIF('9月'!BL33:BM33,P$300)+COUNTIF('9月'!BQ33:BR33,P$300)+COUNTIF('9月'!BV33:BW33,P$300)+COUNTIF('9月'!CA33:CB33,P$300)+COUNTIF('9月'!CF33:CG33,P$300)+COUNTIF('9月'!CK33:CL33,P$300)+COUNTIF('9月'!CP33:CQ33,P$300)+COUNTIF('9月'!CU33:CV33,P$300)+COUNTIF('9月'!CZ33:DA33,P$300)+COUNTIF('9月'!DE33:DF33,P$300)+COUNTIF('9月'!DJ33:DK33,P$300)+COUNTIF('9月'!DO33:DP33,P$300)+COUNTIF('9月'!DT33:DU33,P$300)+COUNTIF('9月'!DY33:DZ33,P$300)+COUNTIF('9月'!ED33:EE33,P$300)+COUNTIF('9月'!EI33:EJ33,P$300)+COUNTIF('9月'!EN33:EO33,P$300)+COUNTIF('9月'!ES33:ET33,P$300)+COUNTIF('9月'!D33:E33,"荻窪ー夜勤")+COUNTIF('9月'!I33:J33,"荻窪ー夜勤")+COUNTIF('9月'!N33:O33,"荻窪ー夜勤")+COUNTIF('9月'!S33:T33,"荻窪ー夜勤")+COUNTIF('9月'!X33:Y33,"荻窪ー夜勤")+COUNTIF('9月'!AC33:AD33,"荻窪ー夜勤")+COUNTIF('9月'!AH33:AI33,"荻窪ー夜勤")+COUNTIF('9月'!AM33:AN33,"荻窪ー夜勤")+COUNTIF('9月'!AR33:AS33,"荻窪ー夜勤")+COUNTIF('9月'!AW33:AX33,"荻窪ー夜勤")+COUNTIF('9月'!BB33:BC33,"荻窪ー夜勤")+COUNTIF('9月'!BG33:BH33,"荻窪ー夜勤")+COUNTIF('9月'!BL33:BM33,"荻窪ー夜勤")+COUNTIF('9月'!BQ33:BR33,"荻窪ー夜勤")+COUNTIF('9月'!BV33:BW33,"荻窪ー夜勤")+COUNTIF('9月'!CA33:CB33,"荻窪ー夜勤")+COUNTIF('9月'!CF33:CG33,"荻窪ー夜勤")+COUNTIF('9月'!CK33:CL33,"荻窪ー夜勤")+COUNTIF('9月'!CP33:CQ33,"荻窪ー夜勤")+COUNTIF('9月'!CU33:CV33,"荻窪ー夜勤")+COUNTIF('9月'!CZ33:DA33,"荻窪ー夜勤")+COUNTIF('9月'!DE33:DF33,"荻窪ー夜勤")+COUNTIF('9月'!DJ33:DK33,"荻窪ー夜勤")+COUNTIF('9月'!DO33:DP33,"荻窪ー夜勤")+COUNTIF('9月'!DT33:DU33,"荻窪ー夜勤")+COUNTIF('9月'!DY33:DZ33,"荻窪ー夜勤")+COUNTIF('9月'!ED33:EE33,"荻窪ー夜勤")+COUNTIF('9月'!EI33:EJ33,"荻窪ー夜勤")+COUNTIF('9月'!EN33:EO33,"荻窪ー夜勤")+COUNTIF('9月'!ES33:ET33,"荻窪ー夜勤")</f>
        <v>0</v>
      </c>
      <c r="Q331" s="76">
        <f t="shared" si="103"/>
        <v>0</v>
      </c>
      <c r="R331" s="76">
        <f>COUNTIF('9月'!D33:E33,R$300)+COUNTIF('9月'!I33:J33,R$300)+COUNTIF('9月'!N33:O33,R$300)+COUNTIF('9月'!S33:T33,R$300)+COUNTIF('9月'!X33:Y33,R$300)+COUNTIF('9月'!AC33:AD33,R$300)+COUNTIF('9月'!AH33:AI33,R$300)+COUNTIF('9月'!AM33:AN33,R$300)+COUNTIF('9月'!AR33:AS33,R$300)+COUNTIF('9月'!AW33:AX33,R$300)+COUNTIF('9月'!BB33:BC33,R$300)+COUNTIF('9月'!BG33:BH33,R$300)+COUNTIF('9月'!BL33:BM33,R$300)+COUNTIF('9月'!BQ33:BR33,R$300)+COUNTIF('9月'!BV33:BW33,R$300)+COUNTIF('9月'!CA33:CB33,R$300)+COUNTIF('9月'!CF33:CG33,R$300)+COUNTIF('9月'!CK33:CL33,R$300)+COUNTIF('9月'!CP33:CQ33,R$300)+COUNTIF('9月'!CU33:CV33,R$300)+COUNTIF('9月'!CZ33:DA33,R$300)+COUNTIF('9月'!DE33:DF33,R$300)+COUNTIF('9月'!DJ33:DK33,R$300)+COUNTIF('9月'!DO33:DP33,R$300)+COUNTIF('9月'!DT33:DU33,R$300)+COUNTIF('9月'!DY33:DZ33,R$300)+COUNTIF('9月'!ED33:EE33,R$300)+COUNTIF('9月'!EI33:EJ33,R$300)+COUNTIF('9月'!EN33:EO33,R$300)+COUNTIF('9月'!ES33:ET33,R$300)</f>
        <v>0</v>
      </c>
      <c r="S331" s="76">
        <f t="shared" si="104"/>
        <v>0</v>
      </c>
      <c r="T331" s="76">
        <f>COUNTIF('9月'!D33:E33,T$300)+COUNTIF('9月'!I33:J33,T$300)+COUNTIF('9月'!N33:O33,T$300)+COUNTIF('9月'!S33:T33,T$300)+COUNTIF('9月'!X33:Y33,T$300)+COUNTIF('9月'!AC33:AD33,T$300)+COUNTIF('9月'!AH33:AI33,T$300)+COUNTIF('9月'!AM33:AN33,T$300)+COUNTIF('9月'!AR33:AS33,T$300)+COUNTIF('9月'!AW33:AX33,T$300)+COUNTIF('9月'!BB33:BC33,T$300)+COUNTIF('9月'!BG33:BH33,T$300)+COUNTIF('9月'!BL33:BM33,T$300)+COUNTIF('9月'!BQ33:BR33,T$300)+COUNTIF('9月'!BV33:BW33,T$300)+COUNTIF('9月'!CA33:CB33,T$300)+COUNTIF('9月'!CF33:CG33,T$300)+COUNTIF('9月'!CK33:CL33,T$300)+COUNTIF('9月'!CP33:CQ33,T$300)+COUNTIF('9月'!CU33:CV33,T$300)+COUNTIF('9月'!CZ33:DA33,T$300)+COUNTIF('9月'!DE33:DF33,T$300)+COUNTIF('9月'!DJ33:DK33,T$300)+COUNTIF('9月'!DO33:DP33,T$300)+COUNTIF('9月'!DT33:DU33,T$300)+COUNTIF('9月'!DY33:DZ33,T$300)+COUNTIF('9月'!ED33:EE33,T$300)+COUNTIF('9月'!EI33:EJ33,T$300)+COUNTIF('9月'!EN33:EO33,T$300)+COUNTIF('9月'!ES33:ET33,T$300)</f>
        <v>0</v>
      </c>
      <c r="U331" s="76">
        <f t="shared" si="105"/>
        <v>0</v>
      </c>
      <c r="V331" s="76">
        <f>COUNTIF('9月'!D33:E33,V$300)+COUNTIF('9月'!I33:J33,V$300)+COUNTIF('9月'!N33:O33,V$300)+COUNTIF('9月'!S33:T33,V$300)+COUNTIF('9月'!X33:Y33,V$300)+COUNTIF('9月'!AC33:AD33,V$300)+COUNTIF('9月'!AH33:AI33,V$300)+COUNTIF('9月'!AM33:AN33,V$300)+COUNTIF('9月'!AR33:AS33,V$300)+COUNTIF('9月'!AW33:AX33,V$300)+COUNTIF('9月'!BB33:BC33,V$300)+COUNTIF('9月'!BG33:BH33,V$300)+COUNTIF('9月'!BL33:BM33,V$300)+COUNTIF('9月'!BQ33:BR33,V$300)+COUNTIF('9月'!BV33:BW33,V$300)+COUNTIF('9月'!CA33:CB33,V$300)+COUNTIF('9月'!CF33:CG33,V$300)+COUNTIF('9月'!CK33:CL33,V$300)+COUNTIF('9月'!CP33:CQ33,V$300)+COUNTIF('9月'!CU33:CV33,V$300)+COUNTIF('9月'!CZ33:DA33,V$300)+COUNTIF('9月'!DE33:DF33,V$300)+COUNTIF('9月'!DJ33:DK33,V$300)+COUNTIF('9月'!DO33:DP33,V$300)+COUNTIF('9月'!DT33:DU33,V$300)+COUNTIF('9月'!DY33:DZ33,V$300)+COUNTIF('9月'!ED33:EE33,V$300)+COUNTIF('9月'!EI33:EJ33,V$300)+COUNTIF('9月'!EN33:EO33,V$300)+COUNTIF('9月'!ES33:ET33,V$300)</f>
        <v>0</v>
      </c>
      <c r="W331" s="76">
        <f t="shared" si="106"/>
        <v>0</v>
      </c>
      <c r="X331" s="76">
        <f>COUNTIF('9月'!D33:E33,X$300)+COUNTIF('9月'!I33:J33,X$300)+COUNTIF('9月'!N33:O33,X$300)+COUNTIF('9月'!S33:T33,X$300)+COUNTIF('9月'!X33:Y33,X$300)+COUNTIF('9月'!AC33:AD33,X$300)+COUNTIF('9月'!AH33:AI33,X$300)+COUNTIF('9月'!AM33:AN33,X$300)+COUNTIF('9月'!AR33:AS33,X$300)+COUNTIF('9月'!AW33:AX33,X$300)+COUNTIF('9月'!BB33:BC33,X$300)+COUNTIF('9月'!BG33:BH33,X$300)+COUNTIF('9月'!BL33:BM33,X$300)+COUNTIF('9月'!BQ33:BR33,X$300)+COUNTIF('9月'!BV33:BW33,X$300)+COUNTIF('9月'!CA33:CB33,X$300)+COUNTIF('9月'!CF33:CG33,X$300)+COUNTIF('9月'!CK33:CL33,X$300)+COUNTIF('9月'!CP33:CQ33,X$300)+COUNTIF('9月'!CU33:CV33,X$300)+COUNTIF('9月'!CZ33:DA33,X$300)+COUNTIF('9月'!DE33:DF33,X$300)+COUNTIF('9月'!DJ33:DK33,X$300)+COUNTIF('9月'!DO33:DP33,X$300)+COUNTIF('9月'!DT33:DU33,X$300)+COUNTIF('9月'!DY33:DZ33,X$300)+COUNTIF('9月'!ED33:EE33,X$300)+COUNTIF('9月'!EI33:EJ33,X$300)+COUNTIF('9月'!EN33:EO33,X$300)+COUNTIF('9月'!ES33:ET33,X$300)</f>
        <v>0</v>
      </c>
      <c r="Y331" s="76">
        <f t="shared" si="107"/>
        <v>0</v>
      </c>
    </row>
    <row r="332" spans="1:25" ht="18" customHeight="1">
      <c r="A332" s="76">
        <v>31</v>
      </c>
      <c r="B332" s="76">
        <f>COUNTIF('9月'!D34:E34,B$300)+COUNTIF('9月'!I34:J34,B$300)+COUNTIF('9月'!N34:O34,B$300)+COUNTIF('9月'!S34:T34,B$300)+COUNTIF('9月'!X34:Y34,B$300)+COUNTIF('9月'!AC34:AD34,B$300)+COUNTIF('9月'!AH34:AI34,B$300)+COUNTIF('9月'!AM34:AN34,B$300)+COUNTIF('9月'!AR34:AS34,B$300)+COUNTIF('9月'!AW34:AX34,B$300)+COUNTIF('9月'!BB34:BC34,B$300)+COUNTIF('9月'!BG34:BH34,B$300)+COUNTIF('9月'!BL34:BM34,B$300)+COUNTIF('9月'!BQ34:BR34,B$300)+COUNTIF('9月'!BV34:BW34,B$300)+COUNTIF('9月'!CA34:CB34,B$300)+COUNTIF('9月'!CF34:CG34,B$300)+COUNTIF('9月'!CK34:CL34,B$300)+COUNTIF('9月'!CP34:CQ34,B$300)+COUNTIF('9月'!CU34:CV34,B$300)+COUNTIF('9月'!CZ34:DA34,B$300)+COUNTIF('9月'!DE34:DF34,B$300)+COUNTIF('9月'!DJ34:DK34,B$300)+COUNTIF('9月'!DO34:DP34,B$300)+COUNTIF('9月'!DT34:DU34,B$300)+COUNTIF('9月'!DY34:DZ34,B$300)+COUNTIF('9月'!ED34:EE34,B$300)+COUNTIF('9月'!EI34:EJ34,B$300)+COUNTIF('9月'!EN34:EO34,B$300)+COUNTIF('9月'!ES34:ET34,B$300)</f>
        <v>0</v>
      </c>
      <c r="C332" s="76">
        <f t="shared" si="96"/>
        <v>0</v>
      </c>
      <c r="D332" s="76">
        <f>COUNTIF('9月'!D34:E34,D$300)+COUNTIF('9月'!I34:J34,D$300)+COUNTIF('9月'!N34:O34,D$300)+COUNTIF('9月'!S34:T34,D$300)+COUNTIF('9月'!X34:Y34,D$300)+COUNTIF('9月'!AC34:AD34,D$300)+COUNTIF('9月'!AH34:AI34,D$300)+COUNTIF('9月'!AM34:AN34,D$300)+COUNTIF('9月'!AR34:AS34,D$300)+COUNTIF('9月'!AW34:AX34,D$300)+COUNTIF('9月'!BB34:BC34,D$300)+COUNTIF('9月'!BG34:BH34,D$300)+COUNTIF('9月'!BL34:BM34,D$300)+COUNTIF('9月'!BQ34:BR34,D$300)+COUNTIF('9月'!BV34:BW34,D$300)+COUNTIF('9月'!CA34:CB34,D$300)+COUNTIF('9月'!CF34:CG34,D$300)+COUNTIF('9月'!CK34:CL34,D$300)+COUNTIF('9月'!CP34:CQ34,D$300)+COUNTIF('9月'!CU34:CV34,D$300)+COUNTIF('9月'!CZ34:DA34,D$300)+COUNTIF('9月'!DE34:DF34,D$300)+COUNTIF('9月'!DJ34:DK34,D$300)+COUNTIF('9月'!DO34:DP34,D$300)+COUNTIF('9月'!DT34:DU34,D$300)+COUNTIF('9月'!DY34:DZ34,D$300)+COUNTIF('9月'!ED34:EE34,D$300)+COUNTIF('9月'!EI34:EJ34,D$300)+COUNTIF('9月'!EN34:EO34,D$300)+COUNTIF('9月'!ES34:ET34,D$300)</f>
        <v>0</v>
      </c>
      <c r="E332" s="76">
        <f t="shared" si="97"/>
        <v>0</v>
      </c>
      <c r="F332" s="76">
        <f>COUNTIF('9月'!D34:E34,F$300)+COUNTIF('9月'!I34:J34,F$300)+COUNTIF('9月'!N34:O34,F$300)+COUNTIF('9月'!S34:T34,F$300)+COUNTIF('9月'!X34:Y34,F$300)+COUNTIF('9月'!AC34:AD34,F$300)+COUNTIF('9月'!AH34:AI34,F$300)+COUNTIF('9月'!AM34:AN34,F$300)+COUNTIF('9月'!AR34:AS34,F$300)+COUNTIF('9月'!AW34:AX34,F$300)+COUNTIF('9月'!BB34:BC34,F$300)+COUNTIF('9月'!BG34:BH34,F$300)+COUNTIF('9月'!BL34:BM34,F$300)+COUNTIF('9月'!BQ34:BR34,F$300)+COUNTIF('9月'!BV34:BW34,F$300)+COUNTIF('9月'!CA34:CB34,F$300)+COUNTIF('9月'!CF34:CG34,F$300)+COUNTIF('9月'!CK34:CL34,F$300)+COUNTIF('9月'!CP34:CQ34,F$300)+COUNTIF('9月'!CU34:CV34,F$300)+COUNTIF('9月'!CZ34:DA34,F$300)+COUNTIF('9月'!DE34:DF34,F$300)+COUNTIF('9月'!DJ34:DK34,F$300)+COUNTIF('9月'!DO34:DP34,F$300)+COUNTIF('9月'!DT34:DU34,F$300)+COUNTIF('9月'!DY34:DZ34,F$300)+COUNTIF('9月'!ED34:EE34,F$300)+COUNTIF('9月'!EI34:EJ34,F$300)+COUNTIF('9月'!EN34:EO34,F$300)+COUNTIF('9月'!ES34:ET34,F$300)</f>
        <v>0</v>
      </c>
      <c r="G332" s="76">
        <f t="shared" si="98"/>
        <v>0</v>
      </c>
      <c r="H332" s="76">
        <f>COUNTIF('9月'!D34:E34,H$300)+COUNTIF('9月'!I34:J34,H$300)+COUNTIF('9月'!N34:O34,H$300)+COUNTIF('9月'!S34:T34,H$300)+COUNTIF('9月'!X34:Y34,H$300)+COUNTIF('9月'!AC34:AD34,H$300)+COUNTIF('9月'!AH34:AI34,H$300)+COUNTIF('9月'!AM34:AN34,H$300)+COUNTIF('9月'!AR34:AS34,H$300)+COUNTIF('9月'!AW34:AX34,H$300)+COUNTIF('9月'!BB34:BC34,H$300)+COUNTIF('9月'!BG34:BH34,H$300)+COUNTIF('9月'!BL34:BM34,H$300)+COUNTIF('9月'!BQ34:BR34,H$300)+COUNTIF('9月'!BV34:BW34,H$300)+COUNTIF('9月'!CA34:CB34,H$300)+COUNTIF('9月'!CF34:CG34,H$300)+COUNTIF('9月'!CK34:CL34,H$300)+COUNTIF('9月'!CP34:CQ34,H$300)+COUNTIF('9月'!CU34:CV34,H$300)+COUNTIF('9月'!CZ34:DA34,H$300)+COUNTIF('9月'!DE34:DF34,H$300)+COUNTIF('9月'!DJ34:DK34,H$300)+COUNTIF('9月'!DO34:DP34,H$300)+COUNTIF('9月'!DT34:DU34,H$300)+COUNTIF('9月'!DY34:DZ34,H$300)+COUNTIF('9月'!ED34:EE34,H$300)+COUNTIF('9月'!EI34:EJ34,H$300)+COUNTIF('9月'!EN34:EO34,H$300)+COUNTIF('9月'!ES34:ET34,H$300)+COUNTIF('9月'!D34:E34,"渋谷-夜勤")+COUNTIF('9月'!I34:J34,"渋谷-夜勤")+COUNTIF('9月'!N34:O34,"渋谷-夜勤")+COUNTIF('9月'!S34:T34,"渋谷-夜勤")+COUNTIF('9月'!X34:Y34,"渋谷-夜勤")+COUNTIF('9月'!AC34:AD34,"渋谷-夜勤")+COUNTIF('9月'!AH34:AI34,"渋谷-夜勤")+COUNTIF('9月'!AM34:AN34,"渋谷-夜勤")+COUNTIF('9月'!AR34:AS34,"渋谷-夜勤")+COUNTIF('9月'!AW34:AX34,"渋谷-夜勤")+COUNTIF('9月'!BB34:BC34,"渋谷-夜勤")+COUNTIF('9月'!BG34:BH34,"渋谷-夜勤")+COUNTIF('9月'!BL34:BM34,"渋谷-夜勤")+COUNTIF('9月'!BQ34:BR34,"渋谷-夜勤")+COUNTIF('9月'!BV34:BW34,"渋谷-夜勤")+COUNTIF('9月'!CA34:CB34,"渋谷-夜勤")+COUNTIF('9月'!CF34:CG34,"渋谷-夜勤")+COUNTIF('9月'!CK34:CL34,"渋谷-夜勤")+COUNTIF('9月'!CP34:CQ34,"渋谷-夜勤")+COUNTIF('9月'!CU34:CV34,"渋谷-夜勤")+COUNTIF('9月'!CZ34:DA34,"渋谷-夜勤")+COUNTIF('9月'!DE34:DF34,"渋谷-夜勤")+COUNTIF('9月'!DJ34:DK34,"渋谷-夜勤")+COUNTIF('9月'!DO34:DP34,"渋谷-夜勤")+COUNTIF('9月'!DT34:DU34,"渋谷-夜勤")+COUNTIF('9月'!DY34:DZ34,"渋谷-夜勤")+COUNTIF('9月'!ED34:EE34,"渋谷-夜勤")+COUNTIF('9月'!EI34:EJ34,"渋谷-夜勤")+COUNTIF('9月'!EN34:EO34,"渋谷-夜勤")+COUNTIF('9月'!ES34:ET34,"渋谷-夜勤")</f>
        <v>0</v>
      </c>
      <c r="I332" s="76">
        <f t="shared" si="99"/>
        <v>0</v>
      </c>
      <c r="J332" s="76">
        <f>COUNTIF('9月'!D34:E34,J$300)+COUNTIF('9月'!I34:J34,J$300)+COUNTIF('9月'!N34:O34,J$300)+COUNTIF('9月'!S34:T34,J$300)+COUNTIF('9月'!X34:Y34,J$300)+COUNTIF('9月'!AC34:AD34,J$300)+COUNTIF('9月'!AH34:AI34,J$300)+COUNTIF('9月'!AM34:AN34,J$300)+COUNTIF('9月'!AR34:AS34,J$300)+COUNTIF('9月'!AW34:AX34,J$300)+COUNTIF('9月'!BB34:BC34,J$300)+COUNTIF('9月'!BG34:BH34,J$300)+COUNTIF('9月'!BL34:BM34,J$300)+COUNTIF('9月'!BQ34:BR34,J$300)+COUNTIF('9月'!BV34:BW34,J$300)+COUNTIF('9月'!CA34:CB34,J$300)+COUNTIF('9月'!CF34:CG34,J$300)+COUNTIF('9月'!CK34:CL34,J$300)+COUNTIF('9月'!CP34:CQ34,J$300)+COUNTIF('9月'!CU34:CV34,J$300)+COUNTIF('9月'!CZ34:DA34,J$300)+COUNTIF('9月'!DE34:DF34,J$300)+COUNTIF('9月'!DJ34:DK34,J$300)+COUNTIF('9月'!DO34:DP34,J$300)+COUNTIF('9月'!DT34:DU34,J$300)+COUNTIF('9月'!DY34:DZ34,J$300)+COUNTIF('9月'!ED34:EE34,J$300)+COUNTIF('9月'!EI34:EJ34,J$300)+COUNTIF('9月'!EN34:EO34,J$300)+COUNTIF('9月'!ES34:ET34,J$300)+COUNTIF('9月'!D34:E34,"六本木-夜勤")+COUNTIF('9月'!I34:J34,"六本木-夜勤")+COUNTIF('9月'!N34:O34,"六本木-夜勤")+COUNTIF('9月'!S34:T34,"六本木-夜勤")+COUNTIF('9月'!X34:Y34,"六本木-夜勤")+COUNTIF('9月'!AC34:AD34,"六本木-夜勤")+COUNTIF('9月'!AH34:AI34,"六本木-夜勤")+COUNTIF('9月'!AM34:AN34,"六本木-夜勤")+COUNTIF('9月'!AR34:AS34,"六本木-夜勤")+COUNTIF('9月'!AW34:AX34,"六本木-夜勤")+COUNTIF('9月'!BB34:BC34,"六本木-夜勤")+COUNTIF('9月'!BG34:BH34,"六本木-夜勤")+COUNTIF('9月'!BL34:BM34,"六本木-夜勤")+COUNTIF('9月'!BQ34:BR34,"六本木-夜勤")+COUNTIF('9月'!BV34:BW34,"六本木-夜勤")+COUNTIF('9月'!CA34:CB34,"六本木-夜勤")+COUNTIF('9月'!CF34:CG34,"六本木-夜勤")+COUNTIF('9月'!CK34:CL34,"六本木-夜勤")+COUNTIF('9月'!CP34:CQ34,"六本木-夜勤")+COUNTIF('9月'!CU34:CV34,"六本木-夜勤")+COUNTIF('9月'!CZ34:DA34,"六本木-夜勤")+COUNTIF('9月'!DE34:DF34,"六本木-夜勤")+COUNTIF('9月'!DJ34:DK34,"六本木-夜勤")+COUNTIF('9月'!DO34:DP34,"六本木-夜勤")+COUNTIF('9月'!DT34:DU34,"六本木-夜勤")+COUNTIF('9月'!DY34:DZ34,"六本木-夜勤")+COUNTIF('9月'!ED34:EE34,"六本木-夜勤")+COUNTIF('9月'!EI34:EJ34,"六本木-夜勤")+COUNTIF('9月'!EN34:EO34,"六本木-夜勤")+COUNTIF('9月'!ES34:ET34,"六本木-夜勤")+COUNTIF('9月'!D34:E34,"六本木ー夜勤")+COUNTIF('9月'!I34:J34,"六本木ー夜勤")+COUNTIF('9月'!N34:O34,"六本木ー夜勤")+COUNTIF('9月'!S34:T34,"六本木ー夜勤")+COUNTIF('9月'!X34:Y34,"六本木ー夜勤")+COUNTIF('9月'!AC34:AD34,"六本木ー夜勤")+COUNTIF('9月'!AH34:AI34,"六本木ー夜勤")+COUNTIF('9月'!AM34:AN34,"六本木ー夜勤")+COUNTIF('9月'!AR34:AS34,"六本木ー夜勤")+COUNTIF('9月'!AW34:AX34,"六本木ー夜勤")+COUNTIF('9月'!BB34:BC34,"六本木ー夜勤")+COUNTIF('9月'!BG34:BH34,"六本木ー夜勤")+COUNTIF('9月'!BL34:BM34,"六本木ー夜勤")+COUNTIF('9月'!BQ34:BR34,"六本木ー夜勤")+COUNTIF('9月'!BV34:BW34,"六本木ー夜勤")+COUNTIF('9月'!CA34:CB34,"六本木ー夜勤")+COUNTIF('9月'!CF34:CG34,"六本木ー夜勤")+COUNTIF('9月'!CK34:CL34,"六本木ー夜勤")+COUNTIF('9月'!CP34:CQ34,"六本木ー夜勤")+COUNTIF('9月'!CU34:CV34,"六本木ー夜勤")+COUNTIF('9月'!CZ34:DA34,"六本木ー夜勤")+COUNTIF('9月'!DE34:DF34,"六本木ー夜勤")+COUNTIF('9月'!DJ34:DK34,"六本木ー夜勤")+COUNTIF('9月'!DO34:DP34,"六本木ー夜勤")+COUNTIF('9月'!DT34:DU34,"六本木ー夜勤")+COUNTIF('9月'!DY34:DZ34,"六本木ー夜勤")+COUNTIF('9月'!ED34:EE34,"六本木ー夜勤")+COUNTIF('9月'!EI34:EJ34,"六本木ー夜勤")+COUNTIF('9月'!EN34:EO34,"六本木ー夜勤")+COUNTIF('9月'!ES34:ET34,"六本木ー夜勤")</f>
        <v>0</v>
      </c>
      <c r="K332" s="76">
        <f t="shared" si="100"/>
        <v>0</v>
      </c>
      <c r="L332" s="76">
        <f>COUNTIF('9月'!D34:E34,L$300)+COUNTIF('9月'!I34:J34,L$300)+COUNTIF('9月'!N34:O34,L$300)+COUNTIF('9月'!S34:T34,L$300)+COUNTIF('9月'!X34:Y34,L$300)+COUNTIF('9月'!AC34:AD34,L$300)+COUNTIF('9月'!AH34:AI34,L$300)+COUNTIF('9月'!AM34:AN34,L$300)+COUNTIF('9月'!AR34:AS34,L$300)+COUNTIF('9月'!AW34:AX34,L$300)+COUNTIF('9月'!BB34:BC34,L$300)+COUNTIF('9月'!BG34:BH34,L$300)+COUNTIF('9月'!BL34:BM34,L$300)+COUNTIF('9月'!BQ34:BR34,L$300)+COUNTIF('9月'!BV34:BW34,L$300)+COUNTIF('9月'!CA34:CB34,L$300)+COUNTIF('9月'!CF34:CG34,L$300)+COUNTIF('9月'!CK34:CL34,L$300)+COUNTIF('9月'!CP34:CQ34,L$300)+COUNTIF('9月'!CU34:CV34,L$300)+COUNTIF('9月'!CZ34:DA34,L$300)+COUNTIF('9月'!DE34:DF34,L$300)+COUNTIF('9月'!DJ34:DK34,L$300)+COUNTIF('9月'!DO34:DP34,L$300)+COUNTIF('9月'!DT34:DU34,L$300)+COUNTIF('9月'!DY34:DZ34,L$300)+COUNTIF('9月'!ED34:EE34,L$300)+COUNTIF('9月'!EI34:EJ34,L$300)+COUNTIF('9月'!EN34:EO34,L$300)+COUNTIF('9月'!ES34:ET34,L$300)</f>
        <v>0</v>
      </c>
      <c r="M332" s="76">
        <f t="shared" si="101"/>
        <v>0</v>
      </c>
      <c r="N332" s="76">
        <f>COUNTIF('9月'!D34:E34,N$300)+COUNTIF('9月'!I34:J34,N$300)+COUNTIF('9月'!N34:O34,N$300)+COUNTIF('9月'!S34:T34,N$300)+COUNTIF('9月'!X34:Y34,N$300)+COUNTIF('9月'!AC34:AD34,N$300)+COUNTIF('9月'!AH34:AI34,N$300)+COUNTIF('9月'!AM34:AN34,N$300)+COUNTIF('9月'!AR34:AS34,N$300)+COUNTIF('9月'!AW34:AX34,N$300)+COUNTIF('9月'!BB34:BC34,N$300)+COUNTIF('9月'!BG34:BH34,N$300)+COUNTIF('9月'!BL34:BM34,N$300)+COUNTIF('9月'!BQ34:BR34,N$300)+COUNTIF('9月'!BV34:BW34,N$300)+COUNTIF('9月'!CA34:CB34,N$300)+COUNTIF('9月'!CF34:CG34,N$300)+COUNTIF('9月'!CK34:CL34,N$300)+COUNTIF('9月'!CP34:CQ34,N$300)+COUNTIF('9月'!CU34:CV34,N$300)+COUNTIF('9月'!CZ34:DA34,N$300)+COUNTIF('9月'!DE34:DF34,N$300)+COUNTIF('9月'!DJ34:DK34,N$300)+COUNTIF('9月'!DO34:DP34,N$300)+COUNTIF('9月'!DT34:DU34,N$300)+COUNTIF('9月'!DY34:DZ34,N$300)+COUNTIF('9月'!ED34:EE34,N$300)+COUNTIF('9月'!EI34:EJ34,N$300)+COUNTIF('9月'!EN34:EO34,N$300)+COUNTIF('9月'!ES34:ET34,N$300)+COUNTIF('9月'!D34:E34,"三軒茶屋－夜勤")+COUNTIF('9月'!I34:J34,"三軒茶屋－夜勤")+COUNTIF('9月'!N34:O34,"三軒茶屋－夜勤")+COUNTIF('9月'!S34:T34,"三軒茶屋－夜勤")+COUNTIF('9月'!X34:Y34,"三軒茶屋－夜勤")+COUNTIF('9月'!AC34:AD34,"三軒茶屋－夜勤")+COUNTIF('9月'!AH34:AI34,"三軒茶屋－夜勤")+COUNTIF('9月'!AM34:AN34,"三軒茶屋－夜勤")+COUNTIF('9月'!AR34:AS34,"三軒茶屋－夜勤")+COUNTIF('9月'!AW34:AX34,"三軒茶屋－夜勤")+COUNTIF('9月'!BB34:BC34,"三軒茶屋－夜勤")+COUNTIF('9月'!BG34:BH34,"三軒茶屋－夜勤")+COUNTIF('9月'!BL34:BM34,"三軒茶屋－夜勤")+COUNTIF('9月'!BQ34:BR34,"三軒茶屋－夜勤")+COUNTIF('9月'!BV34:BW34,"三軒茶屋－夜勤")+COUNTIF('9月'!CA34:CB34,"三軒茶屋－夜勤")+COUNTIF('9月'!CF34:CG34,"三軒茶屋－夜勤")+COUNTIF('9月'!CK34:CL34,"三軒茶屋－夜勤")+COUNTIF('9月'!CP34:CQ34,"三軒茶屋－夜勤")+COUNTIF('9月'!CU34:CV34,"三軒茶屋－夜勤")+COUNTIF('9月'!CZ34:DA34,"三軒茶屋－夜勤")+COUNTIF('9月'!DE34:DF34,"三軒茶屋－夜勤")+COUNTIF('9月'!DJ34:DK34,"三軒茶屋－夜勤")+COUNTIF('9月'!DO34:DP34,"三軒茶屋－夜勤")+COUNTIF('9月'!DT34:DU34,"三軒茶屋－夜勤")+COUNTIF('9月'!DY34:DZ34,"三軒茶屋－夜勤")+COUNTIF('9月'!ED34:EE34,"三軒茶屋－夜勤")+COUNTIF('9月'!EI34:EJ34,"三軒茶屋－夜勤")+COUNTIF('9月'!EN34:EO34,"三軒茶屋－夜勤")+COUNTIF('9月'!ES34:ET34,"三軒茶屋－夜勤")</f>
        <v>0</v>
      </c>
      <c r="O332" s="76">
        <f t="shared" si="102"/>
        <v>0</v>
      </c>
      <c r="P332" s="76">
        <f>COUNTIF('9月'!D34:E34,P$300)+COUNTIF('9月'!I34:J34,P$300)+COUNTIF('9月'!N34:O34,P$300)+COUNTIF('9月'!S34:T34,P$300)+COUNTIF('9月'!X34:Y34,P$300)+COUNTIF('9月'!AC34:AD34,P$300)+COUNTIF('9月'!AH34:AI34,P$300)+COUNTIF('9月'!AM34:AN34,P$300)+COUNTIF('9月'!AR34:AS34,P$300)+COUNTIF('9月'!AW34:AX34,P$300)+COUNTIF('9月'!BB34:BC34,P$300)+COUNTIF('9月'!BG34:BH34,P$300)+COUNTIF('9月'!BL34:BM34,P$300)+COUNTIF('9月'!BQ34:BR34,P$300)+COUNTIF('9月'!BV34:BW34,P$300)+COUNTIF('9月'!CA34:CB34,P$300)+COUNTIF('9月'!CF34:CG34,P$300)+COUNTIF('9月'!CK34:CL34,P$300)+COUNTIF('9月'!CP34:CQ34,P$300)+COUNTIF('9月'!CU34:CV34,P$300)+COUNTIF('9月'!CZ34:DA34,P$300)+COUNTIF('9月'!DE34:DF34,P$300)+COUNTIF('9月'!DJ34:DK34,P$300)+COUNTIF('9月'!DO34:DP34,P$300)+COUNTIF('9月'!DT34:DU34,P$300)+COUNTIF('9月'!DY34:DZ34,P$300)+COUNTIF('9月'!ED34:EE34,P$300)+COUNTIF('9月'!EI34:EJ34,P$300)+COUNTIF('9月'!EN34:EO34,P$300)+COUNTIF('9月'!ES34:ET34,P$300)+COUNTIF('9月'!D34:E34,"荻窪ー夜勤")+COUNTIF('9月'!I34:J34,"荻窪ー夜勤")+COUNTIF('9月'!N34:O34,"荻窪ー夜勤")+COUNTIF('9月'!S34:T34,"荻窪ー夜勤")+COUNTIF('9月'!X34:Y34,"荻窪ー夜勤")+COUNTIF('9月'!AC34:AD34,"荻窪ー夜勤")+COUNTIF('9月'!AH34:AI34,"荻窪ー夜勤")+COUNTIF('9月'!AM34:AN34,"荻窪ー夜勤")+COUNTIF('9月'!AR34:AS34,"荻窪ー夜勤")+COUNTIF('9月'!AW34:AX34,"荻窪ー夜勤")+COUNTIF('9月'!BB34:BC34,"荻窪ー夜勤")+COUNTIF('9月'!BG34:BH34,"荻窪ー夜勤")+COUNTIF('9月'!BL34:BM34,"荻窪ー夜勤")+COUNTIF('9月'!BQ34:BR34,"荻窪ー夜勤")+COUNTIF('9月'!BV34:BW34,"荻窪ー夜勤")+COUNTIF('9月'!CA34:CB34,"荻窪ー夜勤")+COUNTIF('9月'!CF34:CG34,"荻窪ー夜勤")+COUNTIF('9月'!CK34:CL34,"荻窪ー夜勤")+COUNTIF('9月'!CP34:CQ34,"荻窪ー夜勤")+COUNTIF('9月'!CU34:CV34,"荻窪ー夜勤")+COUNTIF('9月'!CZ34:DA34,"荻窪ー夜勤")+COUNTIF('9月'!DE34:DF34,"荻窪ー夜勤")+COUNTIF('9月'!DJ34:DK34,"荻窪ー夜勤")+COUNTIF('9月'!DO34:DP34,"荻窪ー夜勤")+COUNTIF('9月'!DT34:DU34,"荻窪ー夜勤")+COUNTIF('9月'!DY34:DZ34,"荻窪ー夜勤")+COUNTIF('9月'!ED34:EE34,"荻窪ー夜勤")+COUNTIF('9月'!EI34:EJ34,"荻窪ー夜勤")+COUNTIF('9月'!EN34:EO34,"荻窪ー夜勤")+COUNTIF('9月'!ES34:ET34,"荻窪ー夜勤")</f>
        <v>0</v>
      </c>
      <c r="Q332" s="76">
        <f t="shared" si="103"/>
        <v>0</v>
      </c>
      <c r="R332" s="76">
        <f>COUNTIF('9月'!D34:E34,R$300)+COUNTIF('9月'!I34:J34,R$300)+COUNTIF('9月'!N34:O34,R$300)+COUNTIF('9月'!S34:T34,R$300)+COUNTIF('9月'!X34:Y34,R$300)+COUNTIF('9月'!AC34:AD34,R$300)+COUNTIF('9月'!AH34:AI34,R$300)+COUNTIF('9月'!AM34:AN34,R$300)+COUNTIF('9月'!AR34:AS34,R$300)+COUNTIF('9月'!AW34:AX34,R$300)+COUNTIF('9月'!BB34:BC34,R$300)+COUNTIF('9月'!BG34:BH34,R$300)+COUNTIF('9月'!BL34:BM34,R$300)+COUNTIF('9月'!BQ34:BR34,R$300)+COUNTIF('9月'!BV34:BW34,R$300)+COUNTIF('9月'!CA34:CB34,R$300)+COUNTIF('9月'!CF34:CG34,R$300)+COUNTIF('9月'!CK34:CL34,R$300)+COUNTIF('9月'!CP34:CQ34,R$300)+COUNTIF('9月'!CU34:CV34,R$300)+COUNTIF('9月'!CZ34:DA34,R$300)+COUNTIF('9月'!DE34:DF34,R$300)+COUNTIF('9月'!DJ34:DK34,R$300)+COUNTIF('9月'!DO34:DP34,R$300)+COUNTIF('9月'!DT34:DU34,R$300)+COUNTIF('9月'!DY34:DZ34,R$300)+COUNTIF('9月'!ED34:EE34,R$300)+COUNTIF('9月'!EI34:EJ34,R$300)+COUNTIF('9月'!EN34:EO34,R$300)+COUNTIF('9月'!ES34:ET34,R$300)</f>
        <v>0</v>
      </c>
      <c r="S332" s="76">
        <f t="shared" si="104"/>
        <v>0</v>
      </c>
      <c r="T332" s="76">
        <f>COUNTIF('9月'!D34:E34,T$300)+COUNTIF('9月'!I34:J34,T$300)+COUNTIF('9月'!N34:O34,T$300)+COUNTIF('9月'!S34:T34,T$300)+COUNTIF('9月'!X34:Y34,T$300)+COUNTIF('9月'!AC34:AD34,T$300)+COUNTIF('9月'!AH34:AI34,T$300)+COUNTIF('9月'!AM34:AN34,T$300)+COUNTIF('9月'!AR34:AS34,T$300)+COUNTIF('9月'!AW34:AX34,T$300)+COUNTIF('9月'!BB34:BC34,T$300)+COUNTIF('9月'!BG34:BH34,T$300)+COUNTIF('9月'!BL34:BM34,T$300)+COUNTIF('9月'!BQ34:BR34,T$300)+COUNTIF('9月'!BV34:BW34,T$300)+COUNTIF('9月'!CA34:CB34,T$300)+COUNTIF('9月'!CF34:CG34,T$300)+COUNTIF('9月'!CK34:CL34,T$300)+COUNTIF('9月'!CP34:CQ34,T$300)+COUNTIF('9月'!CU34:CV34,T$300)+COUNTIF('9月'!CZ34:DA34,T$300)+COUNTIF('9月'!DE34:DF34,T$300)+COUNTIF('9月'!DJ34:DK34,T$300)+COUNTIF('9月'!DO34:DP34,T$300)+COUNTIF('9月'!DT34:DU34,T$300)+COUNTIF('9月'!DY34:DZ34,T$300)+COUNTIF('9月'!ED34:EE34,T$300)+COUNTIF('9月'!EI34:EJ34,T$300)+COUNTIF('9月'!EN34:EO34,T$300)+COUNTIF('9月'!ES34:ET34,T$300)</f>
        <v>0</v>
      </c>
      <c r="U332" s="76">
        <f t="shared" si="105"/>
        <v>0</v>
      </c>
      <c r="V332" s="76">
        <f>COUNTIF('9月'!D34:E34,V$300)+COUNTIF('9月'!I34:J34,V$300)+COUNTIF('9月'!N34:O34,V$300)+COUNTIF('9月'!S34:T34,V$300)+COUNTIF('9月'!X34:Y34,V$300)+COUNTIF('9月'!AC34:AD34,V$300)+COUNTIF('9月'!AH34:AI34,V$300)+COUNTIF('9月'!AM34:AN34,V$300)+COUNTIF('9月'!AR34:AS34,V$300)+COUNTIF('9月'!AW34:AX34,V$300)+COUNTIF('9月'!BB34:BC34,V$300)+COUNTIF('9月'!BG34:BH34,V$300)+COUNTIF('9月'!BL34:BM34,V$300)+COUNTIF('9月'!BQ34:BR34,V$300)+COUNTIF('9月'!BV34:BW34,V$300)+COUNTIF('9月'!CA34:CB34,V$300)+COUNTIF('9月'!CF34:CG34,V$300)+COUNTIF('9月'!CK34:CL34,V$300)+COUNTIF('9月'!CP34:CQ34,V$300)+COUNTIF('9月'!CU34:CV34,V$300)+COUNTIF('9月'!CZ34:DA34,V$300)+COUNTIF('9月'!DE34:DF34,V$300)+COUNTIF('9月'!DJ34:DK34,V$300)+COUNTIF('9月'!DO34:DP34,V$300)+COUNTIF('9月'!DT34:DU34,V$300)+COUNTIF('9月'!DY34:DZ34,V$300)+COUNTIF('9月'!ED34:EE34,V$300)+COUNTIF('9月'!EI34:EJ34,V$300)+COUNTIF('9月'!EN34:EO34,V$300)+COUNTIF('9月'!ES34:ET34,V$300)</f>
        <v>0</v>
      </c>
      <c r="W332" s="76">
        <f t="shared" si="106"/>
        <v>0</v>
      </c>
      <c r="X332" s="76">
        <f>COUNTIF('9月'!D34:E34,X$300)+COUNTIF('9月'!I34:J34,X$300)+COUNTIF('9月'!N34:O34,X$300)+COUNTIF('9月'!S34:T34,X$300)+COUNTIF('9月'!X34:Y34,X$300)+COUNTIF('9月'!AC34:AD34,X$300)+COUNTIF('9月'!AH34:AI34,X$300)+COUNTIF('9月'!AM34:AN34,X$300)+COUNTIF('9月'!AR34:AS34,X$300)+COUNTIF('9月'!AW34:AX34,X$300)+COUNTIF('9月'!BB34:BC34,X$300)+COUNTIF('9月'!BG34:BH34,X$300)+COUNTIF('9月'!BL34:BM34,X$300)+COUNTIF('9月'!BQ34:BR34,X$300)+COUNTIF('9月'!BV34:BW34,X$300)+COUNTIF('9月'!CA34:CB34,X$300)+COUNTIF('9月'!CF34:CG34,X$300)+COUNTIF('9月'!CK34:CL34,X$300)+COUNTIF('9月'!CP34:CQ34,X$300)+COUNTIF('9月'!CU34:CV34,X$300)+COUNTIF('9月'!CZ34:DA34,X$300)+COUNTIF('9月'!DE34:DF34,X$300)+COUNTIF('9月'!DJ34:DK34,X$300)+COUNTIF('9月'!DO34:DP34,X$300)+COUNTIF('9月'!DT34:DU34,X$300)+COUNTIF('9月'!DY34:DZ34,X$300)+COUNTIF('9月'!ED34:EE34,X$300)+COUNTIF('9月'!EI34:EJ34,X$300)+COUNTIF('9月'!EN34:EO34,X$300)+COUNTIF('9月'!ES34:ET34,X$300)</f>
        <v>0</v>
      </c>
      <c r="Y332" s="76">
        <f t="shared" si="107"/>
        <v>0</v>
      </c>
    </row>
    <row r="333" spans="1:25" ht="21.95" customHeight="1">
      <c r="A333" s="65" t="s">
        <v>116</v>
      </c>
      <c r="B333" s="65">
        <f>SUM(B302:B332)</f>
        <v>0</v>
      </c>
      <c r="C333" s="65"/>
      <c r="D333" s="65">
        <f>SUM(D302:D332)</f>
        <v>0</v>
      </c>
      <c r="E333" s="65"/>
      <c r="F333" s="65">
        <f>SUM(F302:F332)</f>
        <v>0</v>
      </c>
      <c r="G333" s="65"/>
      <c r="H333" s="65">
        <f>SUM(H302:H332)</f>
        <v>0</v>
      </c>
      <c r="I333" s="65"/>
      <c r="J333" s="65">
        <f>SUM(J302:J332)</f>
        <v>0</v>
      </c>
      <c r="K333" s="65"/>
      <c r="L333" s="65">
        <f>SUM(L302:L332)</f>
        <v>0</v>
      </c>
      <c r="M333" s="65"/>
      <c r="N333" s="65">
        <f>SUM(N302:N332)</f>
        <v>0</v>
      </c>
      <c r="O333" s="65"/>
      <c r="P333" s="65">
        <f>SUM(P302:P332)</f>
        <v>0</v>
      </c>
      <c r="Q333" s="65"/>
      <c r="R333" s="65">
        <f>SUM(R302:R332)</f>
        <v>0</v>
      </c>
      <c r="S333" s="65"/>
      <c r="T333" s="65">
        <f>SUM(T302:T332)</f>
        <v>0</v>
      </c>
      <c r="U333" s="65"/>
      <c r="V333" s="65">
        <f>SUM(V302:V332)</f>
        <v>0</v>
      </c>
      <c r="W333" s="65"/>
      <c r="X333" s="65">
        <f>SUM(X302:X332)</f>
        <v>0</v>
      </c>
      <c r="Y333" s="65"/>
    </row>
    <row r="334" spans="1:25" ht="21.95" customHeight="1">
      <c r="A334" s="65" t="s">
        <v>117</v>
      </c>
      <c r="B334" s="65">
        <f>SUM('9月'!H4:H34)+SUM('9月'!M4:M34)+SUM('9月'!R4:R34)+SUM('9月'!W4:W34)+SUM('9月'!AB4:AB34)+SUM('9月'!AG4:AG34)+SUM('9月'!AL4:AL34)+SUM('9月'!AQ4:AQ34)+SUM('9月'!AV4:AV34)+SUM('9月'!BA4:BA34)+SUM('9月'!BF4:BF34)+SUM('9月'!BK4:BK34)+SUM('9月'!BP4:BP34)+SUM('9月'!BU4:BU34)+SUM('9月'!BZ4:BZ34)+SUM('9月'!CE4:CE34)+SUM('9月'!CJ4:CJ34)+SUM('9月'!CO4:CO34)+SUM('9月'!CT4:CT34)+SUM('9月'!CY4:CY34)+SUM('9月'!DD4:DD34)+SUM('9月'!DI4:DI34)+SUM('9月'!DN4:DN34)+SUM('9月'!DS4:DS34)+SUM('9月'!DX4:DX34)+SUM('9月'!EC4:EC34)+SUM('9月'!EH4:EH34)+SUM('9月'!EM4:EM34)+SUM('9月'!ER4:ER34)+SUM('9月'!EW4:EW34)</f>
        <v>0</v>
      </c>
      <c r="C334" s="127" t="s">
        <v>118</v>
      </c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</row>
    <row r="335" spans="1:25" ht="9.9499999999999993" customHeight="1"/>
    <row r="336" spans="1:25" ht="21.95" customHeight="1">
      <c r="A336" s="112" t="str">
        <f>対象年度&amp;"年 10月分  30日締め"</f>
        <v>2026年 10月分  30日締め</v>
      </c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</row>
    <row r="337" spans="1:25" ht="21.95" customHeight="1">
      <c r="A337" s="60" t="s">
        <v>113</v>
      </c>
      <c r="B337" s="123" t="str">
        <f>IFERROR(現場マスタ!$C$4,"")</f>
        <v>新宿</v>
      </c>
      <c r="C337" s="123"/>
      <c r="D337" s="123" t="str">
        <f>IFERROR(現場マスタ!$C$5,"")</f>
        <v>赤坂</v>
      </c>
      <c r="E337" s="123"/>
      <c r="F337" s="123" t="str">
        <f>IFERROR(現場マスタ!$C$6,"")</f>
        <v>渋谷ヒカリエ</v>
      </c>
      <c r="G337" s="123"/>
      <c r="H337" s="123" t="str">
        <f>IFERROR(現場マスタ!$C$7,"")</f>
        <v>六本木ヒルズ</v>
      </c>
      <c r="I337" s="123"/>
      <c r="J337" s="123" t="str">
        <f>IFERROR(現場マスタ!$C$10,"")</f>
        <v>有給</v>
      </c>
      <c r="K337" s="123"/>
      <c r="L337" s="123">
        <f>IFERROR(現場マスタ!$C$12,"")</f>
        <v>0</v>
      </c>
      <c r="M337" s="123"/>
      <c r="N337" s="123">
        <f>IFERROR(現場マスタ!$C$16,"")</f>
        <v>0</v>
      </c>
      <c r="O337" s="123"/>
      <c r="P337" s="123">
        <f>IFERROR(現場マスタ!$C$17,"")</f>
        <v>0</v>
      </c>
      <c r="Q337" s="123"/>
      <c r="R337" s="123">
        <f>IFERROR(現場マスタ!$C$18,"")</f>
        <v>0</v>
      </c>
      <c r="S337" s="123"/>
      <c r="T337" s="123">
        <f>IFERROR(現場マスタ!$C$20,"")</f>
        <v>0</v>
      </c>
      <c r="U337" s="123"/>
      <c r="V337" s="123">
        <f>IFERROR(現場マスタ!$C$21,"")</f>
        <v>0</v>
      </c>
      <c r="W337" s="123"/>
      <c r="X337" s="123">
        <f>IFERROR(現場マスタ!$C$22,"")</f>
        <v>0</v>
      </c>
      <c r="Y337" s="123"/>
    </row>
    <row r="338" spans="1:25" ht="20.100000000000001" customHeight="1">
      <c r="A338" s="60" t="s">
        <v>4</v>
      </c>
      <c r="B338" s="65" t="s">
        <v>114</v>
      </c>
      <c r="C338" s="65" t="s">
        <v>115</v>
      </c>
      <c r="D338" s="65" t="s">
        <v>114</v>
      </c>
      <c r="E338" s="65" t="s">
        <v>115</v>
      </c>
      <c r="F338" s="65" t="s">
        <v>114</v>
      </c>
      <c r="G338" s="65" t="s">
        <v>115</v>
      </c>
      <c r="H338" s="65" t="s">
        <v>114</v>
      </c>
      <c r="I338" s="65" t="s">
        <v>115</v>
      </c>
      <c r="J338" s="65" t="s">
        <v>114</v>
      </c>
      <c r="K338" s="65" t="s">
        <v>115</v>
      </c>
      <c r="L338" s="65" t="s">
        <v>114</v>
      </c>
      <c r="M338" s="65" t="s">
        <v>115</v>
      </c>
      <c r="N338" s="65" t="s">
        <v>114</v>
      </c>
      <c r="O338" s="65" t="s">
        <v>115</v>
      </c>
      <c r="P338" s="65" t="s">
        <v>114</v>
      </c>
      <c r="Q338" s="65" t="s">
        <v>115</v>
      </c>
      <c r="R338" s="65" t="s">
        <v>114</v>
      </c>
      <c r="S338" s="65" t="s">
        <v>115</v>
      </c>
      <c r="T338" s="65" t="s">
        <v>114</v>
      </c>
      <c r="U338" s="65" t="s">
        <v>115</v>
      </c>
      <c r="V338" s="65" t="s">
        <v>114</v>
      </c>
      <c r="W338" s="65" t="s">
        <v>115</v>
      </c>
      <c r="X338" s="65" t="s">
        <v>114</v>
      </c>
      <c r="Y338" s="65" t="s">
        <v>115</v>
      </c>
    </row>
    <row r="339" spans="1:25" ht="18" customHeight="1">
      <c r="A339" s="76">
        <v>1</v>
      </c>
      <c r="B339" s="76">
        <f>COUNTIF('10月'!D4:E4,B$337)+COUNTIF('10月'!I4:J4,B$337)+COUNTIF('10月'!N4:O4,B$337)+COUNTIF('10月'!S4:T4,B$337)+COUNTIF('10月'!X4:Y4,B$337)+COUNTIF('10月'!AC4:AD4,B$337)+COUNTIF('10月'!AH4:AI4,B$337)+COUNTIF('10月'!AM4:AN4,B$337)+COUNTIF('10月'!AR4:AS4,B$337)+COUNTIF('10月'!AW4:AX4,B$337)+COUNTIF('10月'!BB4:BC4,B$337)+COUNTIF('10月'!BG4:BH4,B$337)+COUNTIF('10月'!BL4:BM4,B$337)+COUNTIF('10月'!BQ4:BR4,B$337)+COUNTIF('10月'!BV4:BW4,B$337)+COUNTIF('10月'!CA4:CB4,B$337)+COUNTIF('10月'!CF4:CG4,B$337)+COUNTIF('10月'!CK4:CL4,B$337)+COUNTIF('10月'!CP4:CQ4,B$337)+COUNTIF('10月'!CU4:CV4,B$337)+COUNTIF('10月'!CZ4:DA4,B$337)+COUNTIF('10月'!DE4:DF4,B$337)+COUNTIF('10月'!DJ4:DK4,B$337)+COUNTIF('10月'!DO4:DP4,B$337)+COUNTIF('10月'!DT4:DU4,B$337)+COUNTIF('10月'!DY4:DZ4,B$337)+COUNTIF('10月'!ED4:EE4,B$337)+COUNTIF('10月'!EI4:EJ4,B$337)+COUNTIF('10月'!EN4:EO4,B$337)+COUNTIF('10月'!ES4:ET4,B$337)</f>
        <v>0</v>
      </c>
      <c r="C339" s="76">
        <f>IF(B339=0,0,B339)</f>
        <v>0</v>
      </c>
      <c r="D339" s="76">
        <f>COUNTIF('10月'!D4:E4,D$337)+COUNTIF('10月'!I4:J4,D$337)+COUNTIF('10月'!N4:O4,D$337)+COUNTIF('10月'!S4:T4,D$337)+COUNTIF('10月'!X4:Y4,D$337)+COUNTIF('10月'!AC4:AD4,D$337)+COUNTIF('10月'!AH4:AI4,D$337)+COUNTIF('10月'!AM4:AN4,D$337)+COUNTIF('10月'!AR4:AS4,D$337)+COUNTIF('10月'!AW4:AX4,D$337)+COUNTIF('10月'!BB4:BC4,D$337)+COUNTIF('10月'!BG4:BH4,D$337)+COUNTIF('10月'!BL4:BM4,D$337)+COUNTIF('10月'!BQ4:BR4,D$337)+COUNTIF('10月'!BV4:BW4,D$337)+COUNTIF('10月'!CA4:CB4,D$337)+COUNTIF('10月'!CF4:CG4,D$337)+COUNTIF('10月'!CK4:CL4,D$337)+COUNTIF('10月'!CP4:CQ4,D$337)+COUNTIF('10月'!CU4:CV4,D$337)+COUNTIF('10月'!CZ4:DA4,D$337)+COUNTIF('10月'!DE4:DF4,D$337)+COUNTIF('10月'!DJ4:DK4,D$337)+COUNTIF('10月'!DO4:DP4,D$337)+COUNTIF('10月'!DT4:DU4,D$337)+COUNTIF('10月'!DY4:DZ4,D$337)+COUNTIF('10月'!ED4:EE4,D$337)+COUNTIF('10月'!EI4:EJ4,D$337)+COUNTIF('10月'!EN4:EO4,D$337)+COUNTIF('10月'!ES4:ET4,D$337)</f>
        <v>0</v>
      </c>
      <c r="E339" s="76">
        <f>IF(D339=0,0,D339)</f>
        <v>0</v>
      </c>
      <c r="F339" s="76">
        <f>COUNTIF('10月'!D4:E4,F$337)+COUNTIF('10月'!I4:J4,F$337)+COUNTIF('10月'!N4:O4,F$337)+COUNTIF('10月'!S4:T4,F$337)+COUNTIF('10月'!X4:Y4,F$337)+COUNTIF('10月'!AC4:AD4,F$337)+COUNTIF('10月'!AH4:AI4,F$337)+COUNTIF('10月'!AM4:AN4,F$337)+COUNTIF('10月'!AR4:AS4,F$337)+COUNTIF('10月'!AW4:AX4,F$337)+COUNTIF('10月'!BB4:BC4,F$337)+COUNTIF('10月'!BG4:BH4,F$337)+COUNTIF('10月'!BL4:BM4,F$337)+COUNTIF('10月'!BQ4:BR4,F$337)+COUNTIF('10月'!BV4:BW4,F$337)+COUNTIF('10月'!CA4:CB4,F$337)+COUNTIF('10月'!CF4:CG4,F$337)+COUNTIF('10月'!CK4:CL4,F$337)+COUNTIF('10月'!CP4:CQ4,F$337)+COUNTIF('10月'!CU4:CV4,F$337)+COUNTIF('10月'!CZ4:DA4,F$337)+COUNTIF('10月'!DE4:DF4,F$337)+COUNTIF('10月'!DJ4:DK4,F$337)+COUNTIF('10月'!DO4:DP4,F$337)+COUNTIF('10月'!DT4:DU4,F$337)+COUNTIF('10月'!DY4:DZ4,F$337)+COUNTIF('10月'!ED4:EE4,F$337)+COUNTIF('10月'!EI4:EJ4,F$337)+COUNTIF('10月'!EN4:EO4,F$337)+COUNTIF('10月'!ES4:ET4,F$337)</f>
        <v>0</v>
      </c>
      <c r="G339" s="76">
        <f>IF(F339=0,0,F339)</f>
        <v>0</v>
      </c>
      <c r="H339" s="76">
        <f>COUNTIF('10月'!D4:E4,H$337)+COUNTIF('10月'!I4:J4,H$337)+COUNTIF('10月'!N4:O4,H$337)+COUNTIF('10月'!S4:T4,H$337)+COUNTIF('10月'!X4:Y4,H$337)+COUNTIF('10月'!AC4:AD4,H$337)+COUNTIF('10月'!AH4:AI4,H$337)+COUNTIF('10月'!AM4:AN4,H$337)+COUNTIF('10月'!AR4:AS4,H$337)+COUNTIF('10月'!AW4:AX4,H$337)+COUNTIF('10月'!BB4:BC4,H$337)+COUNTIF('10月'!BG4:BH4,H$337)+COUNTIF('10月'!BL4:BM4,H$337)+COUNTIF('10月'!BQ4:BR4,H$337)+COUNTIF('10月'!BV4:BW4,H$337)+COUNTIF('10月'!CA4:CB4,H$337)+COUNTIF('10月'!CF4:CG4,H$337)+COUNTIF('10月'!CK4:CL4,H$337)+COUNTIF('10月'!CP4:CQ4,H$337)+COUNTIF('10月'!CU4:CV4,H$337)+COUNTIF('10月'!CZ4:DA4,H$337)+COUNTIF('10月'!DE4:DF4,H$337)+COUNTIF('10月'!DJ4:DK4,H$337)+COUNTIF('10月'!DO4:DP4,H$337)+COUNTIF('10月'!DT4:DU4,H$337)+COUNTIF('10月'!DY4:DZ4,H$337)+COUNTIF('10月'!ED4:EE4,H$337)+COUNTIF('10月'!EI4:EJ4,H$337)+COUNTIF('10月'!EN4:EO4,H$337)+COUNTIF('10月'!ES4:ET4,H$337)+COUNTIF('10月'!D4:E4,"渋谷-夜勤")+COUNTIF('10月'!I4:J4,"渋谷-夜勤")+COUNTIF('10月'!N4:O4,"渋谷-夜勤")+COUNTIF('10月'!S4:T4,"渋谷-夜勤")+COUNTIF('10月'!X4:Y4,"渋谷-夜勤")+COUNTIF('10月'!AC4:AD4,"渋谷-夜勤")+COUNTIF('10月'!AH4:AI4,"渋谷-夜勤")+COUNTIF('10月'!AM4:AN4,"渋谷-夜勤")+COUNTIF('10月'!AR4:AS4,"渋谷-夜勤")+COUNTIF('10月'!AW4:AX4,"渋谷-夜勤")+COUNTIF('10月'!BB4:BC4,"渋谷-夜勤")+COUNTIF('10月'!BG4:BH4,"渋谷-夜勤")+COUNTIF('10月'!BL4:BM4,"渋谷-夜勤")+COUNTIF('10月'!BQ4:BR4,"渋谷-夜勤")+COUNTIF('10月'!BV4:BW4,"渋谷-夜勤")+COUNTIF('10月'!CA4:CB4,"渋谷-夜勤")+COUNTIF('10月'!CF4:CG4,"渋谷-夜勤")+COUNTIF('10月'!CK4:CL4,"渋谷-夜勤")+COUNTIF('10月'!CP4:CQ4,"渋谷-夜勤")+COUNTIF('10月'!CU4:CV4,"渋谷-夜勤")+COUNTIF('10月'!CZ4:DA4,"渋谷-夜勤")+COUNTIF('10月'!DE4:DF4,"渋谷-夜勤")+COUNTIF('10月'!DJ4:DK4,"渋谷-夜勤")+COUNTIF('10月'!DO4:DP4,"渋谷-夜勤")+COUNTIF('10月'!DT4:DU4,"渋谷-夜勤")+COUNTIF('10月'!DY4:DZ4,"渋谷-夜勤")+COUNTIF('10月'!ED4:EE4,"渋谷-夜勤")+COUNTIF('10月'!EI4:EJ4,"渋谷-夜勤")+COUNTIF('10月'!EN4:EO4,"渋谷-夜勤")+COUNTIF('10月'!ES4:ET4,"渋谷-夜勤")</f>
        <v>0</v>
      </c>
      <c r="I339" s="76">
        <f>IF(H339=0,0,H339)</f>
        <v>0</v>
      </c>
      <c r="J339" s="76">
        <f>COUNTIF('10月'!D4:E4,J$337)+COUNTIF('10月'!I4:J4,J$337)+COUNTIF('10月'!N4:O4,J$337)+COUNTIF('10月'!S4:T4,J$337)+COUNTIF('10月'!X4:Y4,J$337)+COUNTIF('10月'!AC4:AD4,J$337)+COUNTIF('10月'!AH4:AI4,J$337)+COUNTIF('10月'!AM4:AN4,J$337)+COUNTIF('10月'!AR4:AS4,J$337)+COUNTIF('10月'!AW4:AX4,J$337)+COUNTIF('10月'!BB4:BC4,J$337)+COUNTIF('10月'!BG4:BH4,J$337)+COUNTIF('10月'!BL4:BM4,J$337)+COUNTIF('10月'!BQ4:BR4,J$337)+COUNTIF('10月'!BV4:BW4,J$337)+COUNTIF('10月'!CA4:CB4,J$337)+COUNTIF('10月'!CF4:CG4,J$337)+COUNTIF('10月'!CK4:CL4,J$337)+COUNTIF('10月'!CP4:CQ4,J$337)+COUNTIF('10月'!CU4:CV4,J$337)+COUNTIF('10月'!CZ4:DA4,J$337)+COUNTIF('10月'!DE4:DF4,J$337)+COUNTIF('10月'!DJ4:DK4,J$337)+COUNTIF('10月'!DO4:DP4,J$337)+COUNTIF('10月'!DT4:DU4,J$337)+COUNTIF('10月'!DY4:DZ4,J$337)+COUNTIF('10月'!ED4:EE4,J$337)+COUNTIF('10月'!EI4:EJ4,J$337)+COUNTIF('10月'!EN4:EO4,J$337)+COUNTIF('10月'!ES4:ET4,J$337)+COUNTIF('10月'!D4:E4,"六本木-夜勤")+COUNTIF('10月'!I4:J4,"六本木-夜勤")+COUNTIF('10月'!N4:O4,"六本木-夜勤")+COUNTIF('10月'!S4:T4,"六本木-夜勤")+COUNTIF('10月'!X4:Y4,"六本木-夜勤")+COUNTIF('10月'!AC4:AD4,"六本木-夜勤")+COUNTIF('10月'!AH4:AI4,"六本木-夜勤")+COUNTIF('10月'!AM4:AN4,"六本木-夜勤")+COUNTIF('10月'!AR4:AS4,"六本木-夜勤")+COUNTIF('10月'!AW4:AX4,"六本木-夜勤")+COUNTIF('10月'!BB4:BC4,"六本木-夜勤")+COUNTIF('10月'!BG4:BH4,"六本木-夜勤")+COUNTIF('10月'!BL4:BM4,"六本木-夜勤")+COUNTIF('10月'!BQ4:BR4,"六本木-夜勤")+COUNTIF('10月'!BV4:BW4,"六本木-夜勤")+COUNTIF('10月'!CA4:CB4,"六本木-夜勤")+COUNTIF('10月'!CF4:CG4,"六本木-夜勤")+COUNTIF('10月'!CK4:CL4,"六本木-夜勤")+COUNTIF('10月'!CP4:CQ4,"六本木-夜勤")+COUNTIF('10月'!CU4:CV4,"六本木-夜勤")+COUNTIF('10月'!CZ4:DA4,"六本木-夜勤")+COUNTIF('10月'!DE4:DF4,"六本木-夜勤")+COUNTIF('10月'!DJ4:DK4,"六本木-夜勤")+COUNTIF('10月'!DO4:DP4,"六本木-夜勤")+COUNTIF('10月'!DT4:DU4,"六本木-夜勤")+COUNTIF('10月'!DY4:DZ4,"六本木-夜勤")+COUNTIF('10月'!ED4:EE4,"六本木-夜勤")+COUNTIF('10月'!EI4:EJ4,"六本木-夜勤")+COUNTIF('10月'!EN4:EO4,"六本木-夜勤")+COUNTIF('10月'!ES4:ET4,"六本木-夜勤")+COUNTIF('10月'!D4:E4,"六本木ー夜勤")+COUNTIF('10月'!I4:J4,"六本木ー夜勤")+COUNTIF('10月'!N4:O4,"六本木ー夜勤")+COUNTIF('10月'!S4:T4,"六本木ー夜勤")+COUNTIF('10月'!X4:Y4,"六本木ー夜勤")+COUNTIF('10月'!AC4:AD4,"六本木ー夜勤")+COUNTIF('10月'!AH4:AI4,"六本木ー夜勤")+COUNTIF('10月'!AM4:AN4,"六本木ー夜勤")+COUNTIF('10月'!AR4:AS4,"六本木ー夜勤")+COUNTIF('10月'!AW4:AX4,"六本木ー夜勤")+COUNTIF('10月'!BB4:BC4,"六本木ー夜勤")+COUNTIF('10月'!BG4:BH4,"六本木ー夜勤")+COUNTIF('10月'!BL4:BM4,"六本木ー夜勤")+COUNTIF('10月'!BQ4:BR4,"六本木ー夜勤")+COUNTIF('10月'!BV4:BW4,"六本木ー夜勤")+COUNTIF('10月'!CA4:CB4,"六本木ー夜勤")+COUNTIF('10月'!CF4:CG4,"六本木ー夜勤")+COUNTIF('10月'!CK4:CL4,"六本木ー夜勤")+COUNTIF('10月'!CP4:CQ4,"六本木ー夜勤")+COUNTIF('10月'!CU4:CV4,"六本木ー夜勤")+COUNTIF('10月'!CZ4:DA4,"六本木ー夜勤")+COUNTIF('10月'!DE4:DF4,"六本木ー夜勤")+COUNTIF('10月'!DJ4:DK4,"六本木ー夜勤")+COUNTIF('10月'!DO4:DP4,"六本木ー夜勤")+COUNTIF('10月'!DT4:DU4,"六本木ー夜勤")+COUNTIF('10月'!DY4:DZ4,"六本木ー夜勤")+COUNTIF('10月'!ED4:EE4,"六本木ー夜勤")+COUNTIF('10月'!EI4:EJ4,"六本木ー夜勤")+COUNTIF('10月'!EN4:EO4,"六本木ー夜勤")+COUNTIF('10月'!ES4:ET4,"六本木ー夜勤")</f>
        <v>0</v>
      </c>
      <c r="K339" s="76">
        <f>IF(J339=0,0,J339)</f>
        <v>0</v>
      </c>
      <c r="L339" s="76">
        <f>COUNTIF('10月'!D4:E4,L$337)+COUNTIF('10月'!I4:J4,L$337)+COUNTIF('10月'!N4:O4,L$337)+COUNTIF('10月'!S4:T4,L$337)+COUNTIF('10月'!X4:Y4,L$337)+COUNTIF('10月'!AC4:AD4,L$337)+COUNTIF('10月'!AH4:AI4,L$337)+COUNTIF('10月'!AM4:AN4,L$337)+COUNTIF('10月'!AR4:AS4,L$337)+COUNTIF('10月'!AW4:AX4,L$337)+COUNTIF('10月'!BB4:BC4,L$337)+COUNTIF('10月'!BG4:BH4,L$337)+COUNTIF('10月'!BL4:BM4,L$337)+COUNTIF('10月'!BQ4:BR4,L$337)+COUNTIF('10月'!BV4:BW4,L$337)+COUNTIF('10月'!CA4:CB4,L$337)+COUNTIF('10月'!CF4:CG4,L$337)+COUNTIF('10月'!CK4:CL4,L$337)+COUNTIF('10月'!CP4:CQ4,L$337)+COUNTIF('10月'!CU4:CV4,L$337)+COUNTIF('10月'!CZ4:DA4,L$337)+COUNTIF('10月'!DE4:DF4,L$337)+COUNTIF('10月'!DJ4:DK4,L$337)+COUNTIF('10月'!DO4:DP4,L$337)+COUNTIF('10月'!DT4:DU4,L$337)+COUNTIF('10月'!DY4:DZ4,L$337)+COUNTIF('10月'!ED4:EE4,L$337)+COUNTIF('10月'!EI4:EJ4,L$337)+COUNTIF('10月'!EN4:EO4,L$337)+COUNTIF('10月'!ES4:ET4,L$337)</f>
        <v>0</v>
      </c>
      <c r="M339" s="76">
        <f>IF(L339=0,0,L339)</f>
        <v>0</v>
      </c>
      <c r="N339" s="76">
        <f>COUNTIF('10月'!D4:E4,N$337)+COUNTIF('10月'!I4:J4,N$337)+COUNTIF('10月'!N4:O4,N$337)+COUNTIF('10月'!S4:T4,N$337)+COUNTIF('10月'!X4:Y4,N$337)+COUNTIF('10月'!AC4:AD4,N$337)+COUNTIF('10月'!AH4:AI4,N$337)+COUNTIF('10月'!AM4:AN4,N$337)+COUNTIF('10月'!AR4:AS4,N$337)+COUNTIF('10月'!AW4:AX4,N$337)+COUNTIF('10月'!BB4:BC4,N$337)+COUNTIF('10月'!BG4:BH4,N$337)+COUNTIF('10月'!BL4:BM4,N$337)+COUNTIF('10月'!BQ4:BR4,N$337)+COUNTIF('10月'!BV4:BW4,N$337)+COUNTIF('10月'!CA4:CB4,N$337)+COUNTIF('10月'!CF4:CG4,N$337)+COUNTIF('10月'!CK4:CL4,N$337)+COUNTIF('10月'!CP4:CQ4,N$337)+COUNTIF('10月'!CU4:CV4,N$337)+COUNTIF('10月'!CZ4:DA4,N$337)+COUNTIF('10月'!DE4:DF4,N$337)+COUNTIF('10月'!DJ4:DK4,N$337)+COUNTIF('10月'!DO4:DP4,N$337)+COUNTIF('10月'!DT4:DU4,N$337)+COUNTIF('10月'!DY4:DZ4,N$337)+COUNTIF('10月'!ED4:EE4,N$337)+COUNTIF('10月'!EI4:EJ4,N$337)+COUNTIF('10月'!EN4:EO4,N$337)+COUNTIF('10月'!ES4:ET4,N$337)+COUNTIF('10月'!D4:E4,"三軒茶屋－夜勤")+COUNTIF('10月'!I4:J4,"三軒茶屋－夜勤")+COUNTIF('10月'!N4:O4,"三軒茶屋－夜勤")+COUNTIF('10月'!S4:T4,"三軒茶屋－夜勤")+COUNTIF('10月'!X4:Y4,"三軒茶屋－夜勤")+COUNTIF('10月'!AC4:AD4,"三軒茶屋－夜勤")+COUNTIF('10月'!AH4:AI4,"三軒茶屋－夜勤")+COUNTIF('10月'!AM4:AN4,"三軒茶屋－夜勤")+COUNTIF('10月'!AR4:AS4,"三軒茶屋－夜勤")+COUNTIF('10月'!AW4:AX4,"三軒茶屋－夜勤")+COUNTIF('10月'!BB4:BC4,"三軒茶屋－夜勤")+COUNTIF('10月'!BG4:BH4,"三軒茶屋－夜勤")+COUNTIF('10月'!BL4:BM4,"三軒茶屋－夜勤")+COUNTIF('10月'!BQ4:BR4,"三軒茶屋－夜勤")+COUNTIF('10月'!BV4:BW4,"三軒茶屋－夜勤")+COUNTIF('10月'!CA4:CB4,"三軒茶屋－夜勤")+COUNTIF('10月'!CF4:CG4,"三軒茶屋－夜勤")+COUNTIF('10月'!CK4:CL4,"三軒茶屋－夜勤")+COUNTIF('10月'!CP4:CQ4,"三軒茶屋－夜勤")+COUNTIF('10月'!CU4:CV4,"三軒茶屋－夜勤")+COUNTIF('10月'!CZ4:DA4,"三軒茶屋－夜勤")+COUNTIF('10月'!DE4:DF4,"三軒茶屋－夜勤")+COUNTIF('10月'!DJ4:DK4,"三軒茶屋－夜勤")+COUNTIF('10月'!DO4:DP4,"三軒茶屋－夜勤")+COUNTIF('10月'!DT4:DU4,"三軒茶屋－夜勤")+COUNTIF('10月'!DY4:DZ4,"三軒茶屋－夜勤")+COUNTIF('10月'!ED4:EE4,"三軒茶屋－夜勤")+COUNTIF('10月'!EI4:EJ4,"三軒茶屋－夜勤")+COUNTIF('10月'!EN4:EO4,"三軒茶屋－夜勤")+COUNTIF('10月'!ES4:ET4,"三軒茶屋－夜勤")</f>
        <v>0</v>
      </c>
      <c r="O339" s="76">
        <f>IF(N339=0,0,N339)</f>
        <v>0</v>
      </c>
      <c r="P339" s="76">
        <f>COUNTIF('10月'!D4:E4,P$337)+COUNTIF('10月'!I4:J4,P$337)+COUNTIF('10月'!N4:O4,P$337)+COUNTIF('10月'!S4:T4,P$337)+COUNTIF('10月'!X4:Y4,P$337)+COUNTIF('10月'!AC4:AD4,P$337)+COUNTIF('10月'!AH4:AI4,P$337)+COUNTIF('10月'!AM4:AN4,P$337)+COUNTIF('10月'!AR4:AS4,P$337)+COUNTIF('10月'!AW4:AX4,P$337)+COUNTIF('10月'!BB4:BC4,P$337)+COUNTIF('10月'!BG4:BH4,P$337)+COUNTIF('10月'!BL4:BM4,P$337)+COUNTIF('10月'!BQ4:BR4,P$337)+COUNTIF('10月'!BV4:BW4,P$337)+COUNTIF('10月'!CA4:CB4,P$337)+COUNTIF('10月'!CF4:CG4,P$337)+COUNTIF('10月'!CK4:CL4,P$337)+COUNTIF('10月'!CP4:CQ4,P$337)+COUNTIF('10月'!CU4:CV4,P$337)+COUNTIF('10月'!CZ4:DA4,P$337)+COUNTIF('10月'!DE4:DF4,P$337)+COUNTIF('10月'!DJ4:DK4,P$337)+COUNTIF('10月'!DO4:DP4,P$337)+COUNTIF('10月'!DT4:DU4,P$337)+COUNTIF('10月'!DY4:DZ4,P$337)+COUNTIF('10月'!ED4:EE4,P$337)+COUNTIF('10月'!EI4:EJ4,P$337)+COUNTIF('10月'!EN4:EO4,P$337)+COUNTIF('10月'!ES4:ET4,P$337)+COUNTIF('10月'!D4:E4,"荻窪ー夜勤")+COUNTIF('10月'!I4:J4,"荻窪ー夜勤")+COUNTIF('10月'!N4:O4,"荻窪ー夜勤")+COUNTIF('10月'!S4:T4,"荻窪ー夜勤")+COUNTIF('10月'!X4:Y4,"荻窪ー夜勤")+COUNTIF('10月'!AC4:AD4,"荻窪ー夜勤")+COUNTIF('10月'!AH4:AI4,"荻窪ー夜勤")+COUNTIF('10月'!AM4:AN4,"荻窪ー夜勤")+COUNTIF('10月'!AR4:AS4,"荻窪ー夜勤")+COUNTIF('10月'!AW4:AX4,"荻窪ー夜勤")+COUNTIF('10月'!BB4:BC4,"荻窪ー夜勤")+COUNTIF('10月'!BG4:BH4,"荻窪ー夜勤")+COUNTIF('10月'!BL4:BM4,"荻窪ー夜勤")+COUNTIF('10月'!BQ4:BR4,"荻窪ー夜勤")+COUNTIF('10月'!BV4:BW4,"荻窪ー夜勤")+COUNTIF('10月'!CA4:CB4,"荻窪ー夜勤")+COUNTIF('10月'!CF4:CG4,"荻窪ー夜勤")+COUNTIF('10月'!CK4:CL4,"荻窪ー夜勤")+COUNTIF('10月'!CP4:CQ4,"荻窪ー夜勤")+COUNTIF('10月'!CU4:CV4,"荻窪ー夜勤")+COUNTIF('10月'!CZ4:DA4,"荻窪ー夜勤")+COUNTIF('10月'!DE4:DF4,"荻窪ー夜勤")+COUNTIF('10月'!DJ4:DK4,"荻窪ー夜勤")+COUNTIF('10月'!DO4:DP4,"荻窪ー夜勤")+COUNTIF('10月'!DT4:DU4,"荻窪ー夜勤")+COUNTIF('10月'!DY4:DZ4,"荻窪ー夜勤")+COUNTIF('10月'!ED4:EE4,"荻窪ー夜勤")+COUNTIF('10月'!EI4:EJ4,"荻窪ー夜勤")+COUNTIF('10月'!EN4:EO4,"荻窪ー夜勤")+COUNTIF('10月'!ES4:ET4,"荻窪ー夜勤")</f>
        <v>0</v>
      </c>
      <c r="Q339" s="76">
        <f>IF(P339=0,0,P339)</f>
        <v>0</v>
      </c>
      <c r="R339" s="76">
        <f>COUNTIF('10月'!D4:E4,R$337)+COUNTIF('10月'!I4:J4,R$337)+COUNTIF('10月'!N4:O4,R$337)+COUNTIF('10月'!S4:T4,R$337)+COUNTIF('10月'!X4:Y4,R$337)+COUNTIF('10月'!AC4:AD4,R$337)+COUNTIF('10月'!AH4:AI4,R$337)+COUNTIF('10月'!AM4:AN4,R$337)+COUNTIF('10月'!AR4:AS4,R$337)+COUNTIF('10月'!AW4:AX4,R$337)+COUNTIF('10月'!BB4:BC4,R$337)+COUNTIF('10月'!BG4:BH4,R$337)+COUNTIF('10月'!BL4:BM4,R$337)+COUNTIF('10月'!BQ4:BR4,R$337)+COUNTIF('10月'!BV4:BW4,R$337)+COUNTIF('10月'!CA4:CB4,R$337)+COUNTIF('10月'!CF4:CG4,R$337)+COUNTIF('10月'!CK4:CL4,R$337)+COUNTIF('10月'!CP4:CQ4,R$337)+COUNTIF('10月'!CU4:CV4,R$337)+COUNTIF('10月'!CZ4:DA4,R$337)+COUNTIF('10月'!DE4:DF4,R$337)+COUNTIF('10月'!DJ4:DK4,R$337)+COUNTIF('10月'!DO4:DP4,R$337)+COUNTIF('10月'!DT4:DU4,R$337)+COUNTIF('10月'!DY4:DZ4,R$337)+COUNTIF('10月'!ED4:EE4,R$337)+COUNTIF('10月'!EI4:EJ4,R$337)+COUNTIF('10月'!EN4:EO4,R$337)+COUNTIF('10月'!ES4:ET4,R$337)</f>
        <v>0</v>
      </c>
      <c r="S339" s="76">
        <f>IF(R339=0,0,R339)</f>
        <v>0</v>
      </c>
      <c r="T339" s="76">
        <f>COUNTIF('10月'!D4:E4,T$337)+COUNTIF('10月'!I4:J4,T$337)+COUNTIF('10月'!N4:O4,T$337)+COUNTIF('10月'!S4:T4,T$337)+COUNTIF('10月'!X4:Y4,T$337)+COUNTIF('10月'!AC4:AD4,T$337)+COUNTIF('10月'!AH4:AI4,T$337)+COUNTIF('10月'!AM4:AN4,T$337)+COUNTIF('10月'!AR4:AS4,T$337)+COUNTIF('10月'!AW4:AX4,T$337)+COUNTIF('10月'!BB4:BC4,T$337)+COUNTIF('10月'!BG4:BH4,T$337)+COUNTIF('10月'!BL4:BM4,T$337)+COUNTIF('10月'!BQ4:BR4,T$337)+COUNTIF('10月'!BV4:BW4,T$337)+COUNTIF('10月'!CA4:CB4,T$337)+COUNTIF('10月'!CF4:CG4,T$337)+COUNTIF('10月'!CK4:CL4,T$337)+COUNTIF('10月'!CP4:CQ4,T$337)+COUNTIF('10月'!CU4:CV4,T$337)+COUNTIF('10月'!CZ4:DA4,T$337)+COUNTIF('10月'!DE4:DF4,T$337)+COUNTIF('10月'!DJ4:DK4,T$337)+COUNTIF('10月'!DO4:DP4,T$337)+COUNTIF('10月'!DT4:DU4,T$337)+COUNTIF('10月'!DY4:DZ4,T$337)+COUNTIF('10月'!ED4:EE4,T$337)+COUNTIF('10月'!EI4:EJ4,T$337)+COUNTIF('10月'!EN4:EO4,T$337)+COUNTIF('10月'!ES4:ET4,T$337)</f>
        <v>0</v>
      </c>
      <c r="U339" s="76">
        <f>IF(T339=0,0,T339)</f>
        <v>0</v>
      </c>
      <c r="V339" s="76">
        <f>COUNTIF('10月'!D4:E4,V$337)+COUNTIF('10月'!I4:J4,V$337)+COUNTIF('10月'!N4:O4,V$337)+COUNTIF('10月'!S4:T4,V$337)+COUNTIF('10月'!X4:Y4,V$337)+COUNTIF('10月'!AC4:AD4,V$337)+COUNTIF('10月'!AH4:AI4,V$337)+COUNTIF('10月'!AM4:AN4,V$337)+COUNTIF('10月'!AR4:AS4,V$337)+COUNTIF('10月'!AW4:AX4,V$337)+COUNTIF('10月'!BB4:BC4,V$337)+COUNTIF('10月'!BG4:BH4,V$337)+COUNTIF('10月'!BL4:BM4,V$337)+COUNTIF('10月'!BQ4:BR4,V$337)+COUNTIF('10月'!BV4:BW4,V$337)+COUNTIF('10月'!CA4:CB4,V$337)+COUNTIF('10月'!CF4:CG4,V$337)+COUNTIF('10月'!CK4:CL4,V$337)+COUNTIF('10月'!CP4:CQ4,V$337)+COUNTIF('10月'!CU4:CV4,V$337)+COUNTIF('10月'!CZ4:DA4,V$337)+COUNTIF('10月'!DE4:DF4,V$337)+COUNTIF('10月'!DJ4:DK4,V$337)+COUNTIF('10月'!DO4:DP4,V$337)+COUNTIF('10月'!DT4:DU4,V$337)+COUNTIF('10月'!DY4:DZ4,V$337)+COUNTIF('10月'!ED4:EE4,V$337)+COUNTIF('10月'!EI4:EJ4,V$337)+COUNTIF('10月'!EN4:EO4,V$337)+COUNTIF('10月'!ES4:ET4,V$337)</f>
        <v>0</v>
      </c>
      <c r="W339" s="76">
        <f>IF(V339=0,0,V339)</f>
        <v>0</v>
      </c>
      <c r="X339" s="76">
        <f>COUNTIF('10月'!D4:E4,X$337)+COUNTIF('10月'!I4:J4,X$337)+COUNTIF('10月'!N4:O4,X$337)+COUNTIF('10月'!S4:T4,X$337)+COUNTIF('10月'!X4:Y4,X$337)+COUNTIF('10月'!AC4:AD4,X$337)+COUNTIF('10月'!AH4:AI4,X$337)+COUNTIF('10月'!AM4:AN4,X$337)+COUNTIF('10月'!AR4:AS4,X$337)+COUNTIF('10月'!AW4:AX4,X$337)+COUNTIF('10月'!BB4:BC4,X$337)+COUNTIF('10月'!BG4:BH4,X$337)+COUNTIF('10月'!BL4:BM4,X$337)+COUNTIF('10月'!BQ4:BR4,X$337)+COUNTIF('10月'!BV4:BW4,X$337)+COUNTIF('10月'!CA4:CB4,X$337)+COUNTIF('10月'!CF4:CG4,X$337)+COUNTIF('10月'!CK4:CL4,X$337)+COUNTIF('10月'!CP4:CQ4,X$337)+COUNTIF('10月'!CU4:CV4,X$337)+COUNTIF('10月'!CZ4:DA4,X$337)+COUNTIF('10月'!DE4:DF4,X$337)+COUNTIF('10月'!DJ4:DK4,X$337)+COUNTIF('10月'!DO4:DP4,X$337)+COUNTIF('10月'!DT4:DU4,X$337)+COUNTIF('10月'!DY4:DZ4,X$337)+COUNTIF('10月'!ED4:EE4,X$337)+COUNTIF('10月'!EI4:EJ4,X$337)+COUNTIF('10月'!EN4:EO4,X$337)+COUNTIF('10月'!ES4:ET4,X$337)</f>
        <v>0</v>
      </c>
      <c r="Y339" s="76">
        <f>IF(X339=0,0,X339)</f>
        <v>0</v>
      </c>
    </row>
    <row r="340" spans="1:25" ht="18" customHeight="1">
      <c r="A340" s="76">
        <v>2</v>
      </c>
      <c r="B340" s="76">
        <f>COUNTIF('10月'!D5:E5,B$337)+COUNTIF('10月'!I5:J5,B$337)+COUNTIF('10月'!N5:O5,B$337)+COUNTIF('10月'!S5:T5,B$337)+COUNTIF('10月'!X5:Y5,B$337)+COUNTIF('10月'!AC5:AD5,B$337)+COUNTIF('10月'!AH5:AI5,B$337)+COUNTIF('10月'!AM5:AN5,B$337)+COUNTIF('10月'!AR5:AS5,B$337)+COUNTIF('10月'!AW5:AX5,B$337)+COUNTIF('10月'!BB5:BC5,B$337)+COUNTIF('10月'!BG5:BH5,B$337)+COUNTIF('10月'!BL5:BM5,B$337)+COUNTIF('10月'!BQ5:BR5,B$337)+COUNTIF('10月'!BV5:BW5,B$337)+COUNTIF('10月'!CA5:CB5,B$337)+COUNTIF('10月'!CF5:CG5,B$337)+COUNTIF('10月'!CK5:CL5,B$337)+COUNTIF('10月'!CP5:CQ5,B$337)+COUNTIF('10月'!CU5:CV5,B$337)+COUNTIF('10月'!CZ5:DA5,B$337)+COUNTIF('10月'!DE5:DF5,B$337)+COUNTIF('10月'!DJ5:DK5,B$337)+COUNTIF('10月'!DO5:DP5,B$337)+COUNTIF('10月'!DT5:DU5,B$337)+COUNTIF('10月'!DY5:DZ5,B$337)+COUNTIF('10月'!ED5:EE5,B$337)+COUNTIF('10月'!EI5:EJ5,B$337)+COUNTIF('10月'!EN5:EO5,B$337)+COUNTIF('10月'!ES5:ET5,B$337)</f>
        <v>0</v>
      </c>
      <c r="C340" s="76">
        <f t="shared" ref="C340:C369" si="108">IF(B340=0,C339,C339+B340)</f>
        <v>0</v>
      </c>
      <c r="D340" s="76">
        <f>COUNTIF('10月'!D5:E5,D$337)+COUNTIF('10月'!I5:J5,D$337)+COUNTIF('10月'!N5:O5,D$337)+COUNTIF('10月'!S5:T5,D$337)+COUNTIF('10月'!X5:Y5,D$337)+COUNTIF('10月'!AC5:AD5,D$337)+COUNTIF('10月'!AH5:AI5,D$337)+COUNTIF('10月'!AM5:AN5,D$337)+COUNTIF('10月'!AR5:AS5,D$337)+COUNTIF('10月'!AW5:AX5,D$337)+COUNTIF('10月'!BB5:BC5,D$337)+COUNTIF('10月'!BG5:BH5,D$337)+COUNTIF('10月'!BL5:BM5,D$337)+COUNTIF('10月'!BQ5:BR5,D$337)+COUNTIF('10月'!BV5:BW5,D$337)+COUNTIF('10月'!CA5:CB5,D$337)+COUNTIF('10月'!CF5:CG5,D$337)+COUNTIF('10月'!CK5:CL5,D$337)+COUNTIF('10月'!CP5:CQ5,D$337)+COUNTIF('10月'!CU5:CV5,D$337)+COUNTIF('10月'!CZ5:DA5,D$337)+COUNTIF('10月'!DE5:DF5,D$337)+COUNTIF('10月'!DJ5:DK5,D$337)+COUNTIF('10月'!DO5:DP5,D$337)+COUNTIF('10月'!DT5:DU5,D$337)+COUNTIF('10月'!DY5:DZ5,D$337)+COUNTIF('10月'!ED5:EE5,D$337)+COUNTIF('10月'!EI5:EJ5,D$337)+COUNTIF('10月'!EN5:EO5,D$337)+COUNTIF('10月'!ES5:ET5,D$337)</f>
        <v>0</v>
      </c>
      <c r="E340" s="76">
        <f t="shared" ref="E340:E369" si="109">IF(D340=0,E339,E339+D340)</f>
        <v>0</v>
      </c>
      <c r="F340" s="76">
        <f>COUNTIF('10月'!D5:E5,F$337)+COUNTIF('10月'!I5:J5,F$337)+COUNTIF('10月'!N5:O5,F$337)+COUNTIF('10月'!S5:T5,F$337)+COUNTIF('10月'!X5:Y5,F$337)+COUNTIF('10月'!AC5:AD5,F$337)+COUNTIF('10月'!AH5:AI5,F$337)+COUNTIF('10月'!AM5:AN5,F$337)+COUNTIF('10月'!AR5:AS5,F$337)+COUNTIF('10月'!AW5:AX5,F$337)+COUNTIF('10月'!BB5:BC5,F$337)+COUNTIF('10月'!BG5:BH5,F$337)+COUNTIF('10月'!BL5:BM5,F$337)+COUNTIF('10月'!BQ5:BR5,F$337)+COUNTIF('10月'!BV5:BW5,F$337)+COUNTIF('10月'!CA5:CB5,F$337)+COUNTIF('10月'!CF5:CG5,F$337)+COUNTIF('10月'!CK5:CL5,F$337)+COUNTIF('10月'!CP5:CQ5,F$337)+COUNTIF('10月'!CU5:CV5,F$337)+COUNTIF('10月'!CZ5:DA5,F$337)+COUNTIF('10月'!DE5:DF5,F$337)+COUNTIF('10月'!DJ5:DK5,F$337)+COUNTIF('10月'!DO5:DP5,F$337)+COUNTIF('10月'!DT5:DU5,F$337)+COUNTIF('10月'!DY5:DZ5,F$337)+COUNTIF('10月'!ED5:EE5,F$337)+COUNTIF('10月'!EI5:EJ5,F$337)+COUNTIF('10月'!EN5:EO5,F$337)+COUNTIF('10月'!ES5:ET5,F$337)</f>
        <v>0</v>
      </c>
      <c r="G340" s="76">
        <f t="shared" ref="G340:G369" si="110">IF(F340=0,G339,G339+F340)</f>
        <v>0</v>
      </c>
      <c r="H340" s="76">
        <f>COUNTIF('10月'!D5:E5,H$337)+COUNTIF('10月'!I5:J5,H$337)+COUNTIF('10月'!N5:O5,H$337)+COUNTIF('10月'!S5:T5,H$337)+COUNTIF('10月'!X5:Y5,H$337)+COUNTIF('10月'!AC5:AD5,H$337)+COUNTIF('10月'!AH5:AI5,H$337)+COUNTIF('10月'!AM5:AN5,H$337)+COUNTIF('10月'!AR5:AS5,H$337)+COUNTIF('10月'!AW5:AX5,H$337)+COUNTIF('10月'!BB5:BC5,H$337)+COUNTIF('10月'!BG5:BH5,H$337)+COUNTIF('10月'!BL5:BM5,H$337)+COUNTIF('10月'!BQ5:BR5,H$337)+COUNTIF('10月'!BV5:BW5,H$337)+COUNTIF('10月'!CA5:CB5,H$337)+COUNTIF('10月'!CF5:CG5,H$337)+COUNTIF('10月'!CK5:CL5,H$337)+COUNTIF('10月'!CP5:CQ5,H$337)+COUNTIF('10月'!CU5:CV5,H$337)+COUNTIF('10月'!CZ5:DA5,H$337)+COUNTIF('10月'!DE5:DF5,H$337)+COUNTIF('10月'!DJ5:DK5,H$337)+COUNTIF('10月'!DO5:DP5,H$337)+COUNTIF('10月'!DT5:DU5,H$337)+COUNTIF('10月'!DY5:DZ5,H$337)+COUNTIF('10月'!ED5:EE5,H$337)+COUNTIF('10月'!EI5:EJ5,H$337)+COUNTIF('10月'!EN5:EO5,H$337)+COUNTIF('10月'!ES5:ET5,H$337)+COUNTIF('10月'!D5:E5,"渋谷-夜勤")+COUNTIF('10月'!I5:J5,"渋谷-夜勤")+COUNTIF('10月'!N5:O5,"渋谷-夜勤")+COUNTIF('10月'!S5:T5,"渋谷-夜勤")+COUNTIF('10月'!X5:Y5,"渋谷-夜勤")+COUNTIF('10月'!AC5:AD5,"渋谷-夜勤")+COUNTIF('10月'!AH5:AI5,"渋谷-夜勤")+COUNTIF('10月'!AM5:AN5,"渋谷-夜勤")+COUNTIF('10月'!AR5:AS5,"渋谷-夜勤")+COUNTIF('10月'!AW5:AX5,"渋谷-夜勤")+COUNTIF('10月'!BB5:BC5,"渋谷-夜勤")+COUNTIF('10月'!BG5:BH5,"渋谷-夜勤")+COUNTIF('10月'!BL5:BM5,"渋谷-夜勤")+COUNTIF('10月'!BQ5:BR5,"渋谷-夜勤")+COUNTIF('10月'!BV5:BW5,"渋谷-夜勤")+COUNTIF('10月'!CA5:CB5,"渋谷-夜勤")+COUNTIF('10月'!CF5:CG5,"渋谷-夜勤")+COUNTIF('10月'!CK5:CL5,"渋谷-夜勤")+COUNTIF('10月'!CP5:CQ5,"渋谷-夜勤")+COUNTIF('10月'!CU5:CV5,"渋谷-夜勤")+COUNTIF('10月'!CZ5:DA5,"渋谷-夜勤")+COUNTIF('10月'!DE5:DF5,"渋谷-夜勤")+COUNTIF('10月'!DJ5:DK5,"渋谷-夜勤")+COUNTIF('10月'!DO5:DP5,"渋谷-夜勤")+COUNTIF('10月'!DT5:DU5,"渋谷-夜勤")+COUNTIF('10月'!DY5:DZ5,"渋谷-夜勤")+COUNTIF('10月'!ED5:EE5,"渋谷-夜勤")+COUNTIF('10月'!EI5:EJ5,"渋谷-夜勤")+COUNTIF('10月'!EN5:EO5,"渋谷-夜勤")+COUNTIF('10月'!ES5:ET5,"渋谷-夜勤")</f>
        <v>0</v>
      </c>
      <c r="I340" s="76">
        <f t="shared" ref="I340:I369" si="111">IF(H340=0,I339,I339+H340)</f>
        <v>0</v>
      </c>
      <c r="J340" s="76">
        <f>COUNTIF('10月'!D5:E5,J$337)+COUNTIF('10月'!I5:J5,J$337)+COUNTIF('10月'!N5:O5,J$337)+COUNTIF('10月'!S5:T5,J$337)+COUNTIF('10月'!X5:Y5,J$337)+COUNTIF('10月'!AC5:AD5,J$337)+COUNTIF('10月'!AH5:AI5,J$337)+COUNTIF('10月'!AM5:AN5,J$337)+COUNTIF('10月'!AR5:AS5,J$337)+COUNTIF('10月'!AW5:AX5,J$337)+COUNTIF('10月'!BB5:BC5,J$337)+COUNTIF('10月'!BG5:BH5,J$337)+COUNTIF('10月'!BL5:BM5,J$337)+COUNTIF('10月'!BQ5:BR5,J$337)+COUNTIF('10月'!BV5:BW5,J$337)+COUNTIF('10月'!CA5:CB5,J$337)+COUNTIF('10月'!CF5:CG5,J$337)+COUNTIF('10月'!CK5:CL5,J$337)+COUNTIF('10月'!CP5:CQ5,J$337)+COUNTIF('10月'!CU5:CV5,J$337)+COUNTIF('10月'!CZ5:DA5,J$337)+COUNTIF('10月'!DE5:DF5,J$337)+COUNTIF('10月'!DJ5:DK5,J$337)+COUNTIF('10月'!DO5:DP5,J$337)+COUNTIF('10月'!DT5:DU5,J$337)+COUNTIF('10月'!DY5:DZ5,J$337)+COUNTIF('10月'!ED5:EE5,J$337)+COUNTIF('10月'!EI5:EJ5,J$337)+COUNTIF('10月'!EN5:EO5,J$337)+COUNTIF('10月'!ES5:ET5,J$337)+COUNTIF('10月'!D5:E5,"六本木-夜勤")+COUNTIF('10月'!I5:J5,"六本木-夜勤")+COUNTIF('10月'!N5:O5,"六本木-夜勤")+COUNTIF('10月'!S5:T5,"六本木-夜勤")+COUNTIF('10月'!X5:Y5,"六本木-夜勤")+COUNTIF('10月'!AC5:AD5,"六本木-夜勤")+COUNTIF('10月'!AH5:AI5,"六本木-夜勤")+COUNTIF('10月'!AM5:AN5,"六本木-夜勤")+COUNTIF('10月'!AR5:AS5,"六本木-夜勤")+COUNTIF('10月'!AW5:AX5,"六本木-夜勤")+COUNTIF('10月'!BB5:BC5,"六本木-夜勤")+COUNTIF('10月'!BG5:BH5,"六本木-夜勤")+COUNTIF('10月'!BL5:BM5,"六本木-夜勤")+COUNTIF('10月'!BQ5:BR5,"六本木-夜勤")+COUNTIF('10月'!BV5:BW5,"六本木-夜勤")+COUNTIF('10月'!CA5:CB5,"六本木-夜勤")+COUNTIF('10月'!CF5:CG5,"六本木-夜勤")+COUNTIF('10月'!CK5:CL5,"六本木-夜勤")+COUNTIF('10月'!CP5:CQ5,"六本木-夜勤")+COUNTIF('10月'!CU5:CV5,"六本木-夜勤")+COUNTIF('10月'!CZ5:DA5,"六本木-夜勤")+COUNTIF('10月'!DE5:DF5,"六本木-夜勤")+COUNTIF('10月'!DJ5:DK5,"六本木-夜勤")+COUNTIF('10月'!DO5:DP5,"六本木-夜勤")+COUNTIF('10月'!DT5:DU5,"六本木-夜勤")+COUNTIF('10月'!DY5:DZ5,"六本木-夜勤")+COUNTIF('10月'!ED5:EE5,"六本木-夜勤")+COUNTIF('10月'!EI5:EJ5,"六本木-夜勤")+COUNTIF('10月'!EN5:EO5,"六本木-夜勤")+COUNTIF('10月'!ES5:ET5,"六本木-夜勤")+COUNTIF('10月'!D5:E5,"六本木ー夜勤")+COUNTIF('10月'!I5:J5,"六本木ー夜勤")+COUNTIF('10月'!N5:O5,"六本木ー夜勤")+COUNTIF('10月'!S5:T5,"六本木ー夜勤")+COUNTIF('10月'!X5:Y5,"六本木ー夜勤")+COUNTIF('10月'!AC5:AD5,"六本木ー夜勤")+COUNTIF('10月'!AH5:AI5,"六本木ー夜勤")+COUNTIF('10月'!AM5:AN5,"六本木ー夜勤")+COUNTIF('10月'!AR5:AS5,"六本木ー夜勤")+COUNTIF('10月'!AW5:AX5,"六本木ー夜勤")+COUNTIF('10月'!BB5:BC5,"六本木ー夜勤")+COUNTIF('10月'!BG5:BH5,"六本木ー夜勤")+COUNTIF('10月'!BL5:BM5,"六本木ー夜勤")+COUNTIF('10月'!BQ5:BR5,"六本木ー夜勤")+COUNTIF('10月'!BV5:BW5,"六本木ー夜勤")+COUNTIF('10月'!CA5:CB5,"六本木ー夜勤")+COUNTIF('10月'!CF5:CG5,"六本木ー夜勤")+COUNTIF('10月'!CK5:CL5,"六本木ー夜勤")+COUNTIF('10月'!CP5:CQ5,"六本木ー夜勤")+COUNTIF('10月'!CU5:CV5,"六本木ー夜勤")+COUNTIF('10月'!CZ5:DA5,"六本木ー夜勤")+COUNTIF('10月'!DE5:DF5,"六本木ー夜勤")+COUNTIF('10月'!DJ5:DK5,"六本木ー夜勤")+COUNTIF('10月'!DO5:DP5,"六本木ー夜勤")+COUNTIF('10月'!DT5:DU5,"六本木ー夜勤")+COUNTIF('10月'!DY5:DZ5,"六本木ー夜勤")+COUNTIF('10月'!ED5:EE5,"六本木ー夜勤")+COUNTIF('10月'!EI5:EJ5,"六本木ー夜勤")+COUNTIF('10月'!EN5:EO5,"六本木ー夜勤")+COUNTIF('10月'!ES5:ET5,"六本木ー夜勤")</f>
        <v>0</v>
      </c>
      <c r="K340" s="76">
        <f t="shared" ref="K340:K369" si="112">IF(J340=0,K339,K339+J340)</f>
        <v>0</v>
      </c>
      <c r="L340" s="76">
        <f>COUNTIF('10月'!D5:E5,L$337)+COUNTIF('10月'!I5:J5,L$337)+COUNTIF('10月'!N5:O5,L$337)+COUNTIF('10月'!S5:T5,L$337)+COUNTIF('10月'!X5:Y5,L$337)+COUNTIF('10月'!AC5:AD5,L$337)+COUNTIF('10月'!AH5:AI5,L$337)+COUNTIF('10月'!AM5:AN5,L$337)+COUNTIF('10月'!AR5:AS5,L$337)+COUNTIF('10月'!AW5:AX5,L$337)+COUNTIF('10月'!BB5:BC5,L$337)+COUNTIF('10月'!BG5:BH5,L$337)+COUNTIF('10月'!BL5:BM5,L$337)+COUNTIF('10月'!BQ5:BR5,L$337)+COUNTIF('10月'!BV5:BW5,L$337)+COUNTIF('10月'!CA5:CB5,L$337)+COUNTIF('10月'!CF5:CG5,L$337)+COUNTIF('10月'!CK5:CL5,L$337)+COUNTIF('10月'!CP5:CQ5,L$337)+COUNTIF('10月'!CU5:CV5,L$337)+COUNTIF('10月'!CZ5:DA5,L$337)+COUNTIF('10月'!DE5:DF5,L$337)+COUNTIF('10月'!DJ5:DK5,L$337)+COUNTIF('10月'!DO5:DP5,L$337)+COUNTIF('10月'!DT5:DU5,L$337)+COUNTIF('10月'!DY5:DZ5,L$337)+COUNTIF('10月'!ED5:EE5,L$337)+COUNTIF('10月'!EI5:EJ5,L$337)+COUNTIF('10月'!EN5:EO5,L$337)+COUNTIF('10月'!ES5:ET5,L$337)</f>
        <v>0</v>
      </c>
      <c r="M340" s="76">
        <f t="shared" ref="M340:M369" si="113">IF(L340=0,M339,M339+L340)</f>
        <v>0</v>
      </c>
      <c r="N340" s="76">
        <f>COUNTIF('10月'!D5:E5,N$337)+COUNTIF('10月'!I5:J5,N$337)+COUNTIF('10月'!N5:O5,N$337)+COUNTIF('10月'!S5:T5,N$337)+COUNTIF('10月'!X5:Y5,N$337)+COUNTIF('10月'!AC5:AD5,N$337)+COUNTIF('10月'!AH5:AI5,N$337)+COUNTIF('10月'!AM5:AN5,N$337)+COUNTIF('10月'!AR5:AS5,N$337)+COUNTIF('10月'!AW5:AX5,N$337)+COUNTIF('10月'!BB5:BC5,N$337)+COUNTIF('10月'!BG5:BH5,N$337)+COUNTIF('10月'!BL5:BM5,N$337)+COUNTIF('10月'!BQ5:BR5,N$337)+COUNTIF('10月'!BV5:BW5,N$337)+COUNTIF('10月'!CA5:CB5,N$337)+COUNTIF('10月'!CF5:CG5,N$337)+COUNTIF('10月'!CK5:CL5,N$337)+COUNTIF('10月'!CP5:CQ5,N$337)+COUNTIF('10月'!CU5:CV5,N$337)+COUNTIF('10月'!CZ5:DA5,N$337)+COUNTIF('10月'!DE5:DF5,N$337)+COUNTIF('10月'!DJ5:DK5,N$337)+COUNTIF('10月'!DO5:DP5,N$337)+COUNTIF('10月'!DT5:DU5,N$337)+COUNTIF('10月'!DY5:DZ5,N$337)+COUNTIF('10月'!ED5:EE5,N$337)+COUNTIF('10月'!EI5:EJ5,N$337)+COUNTIF('10月'!EN5:EO5,N$337)+COUNTIF('10月'!ES5:ET5,N$337)+COUNTIF('10月'!D5:E5,"三軒茶屋－夜勤")+COUNTIF('10月'!I5:J5,"三軒茶屋－夜勤")+COUNTIF('10月'!N5:O5,"三軒茶屋－夜勤")+COUNTIF('10月'!S5:T5,"三軒茶屋－夜勤")+COUNTIF('10月'!X5:Y5,"三軒茶屋－夜勤")+COUNTIF('10月'!AC5:AD5,"三軒茶屋－夜勤")+COUNTIF('10月'!AH5:AI5,"三軒茶屋－夜勤")+COUNTIF('10月'!AM5:AN5,"三軒茶屋－夜勤")+COUNTIF('10月'!AR5:AS5,"三軒茶屋－夜勤")+COUNTIF('10月'!AW5:AX5,"三軒茶屋－夜勤")+COUNTIF('10月'!BB5:BC5,"三軒茶屋－夜勤")+COUNTIF('10月'!BG5:BH5,"三軒茶屋－夜勤")+COUNTIF('10月'!BL5:BM5,"三軒茶屋－夜勤")+COUNTIF('10月'!BQ5:BR5,"三軒茶屋－夜勤")+COUNTIF('10月'!BV5:BW5,"三軒茶屋－夜勤")+COUNTIF('10月'!CA5:CB5,"三軒茶屋－夜勤")+COUNTIF('10月'!CF5:CG5,"三軒茶屋－夜勤")+COUNTIF('10月'!CK5:CL5,"三軒茶屋－夜勤")+COUNTIF('10月'!CP5:CQ5,"三軒茶屋－夜勤")+COUNTIF('10月'!CU5:CV5,"三軒茶屋－夜勤")+COUNTIF('10月'!CZ5:DA5,"三軒茶屋－夜勤")+COUNTIF('10月'!DE5:DF5,"三軒茶屋－夜勤")+COUNTIF('10月'!DJ5:DK5,"三軒茶屋－夜勤")+COUNTIF('10月'!DO5:DP5,"三軒茶屋－夜勤")+COUNTIF('10月'!DT5:DU5,"三軒茶屋－夜勤")+COUNTIF('10月'!DY5:DZ5,"三軒茶屋－夜勤")+COUNTIF('10月'!ED5:EE5,"三軒茶屋－夜勤")+COUNTIF('10月'!EI5:EJ5,"三軒茶屋－夜勤")+COUNTIF('10月'!EN5:EO5,"三軒茶屋－夜勤")+COUNTIF('10月'!ES5:ET5,"三軒茶屋－夜勤")</f>
        <v>0</v>
      </c>
      <c r="O340" s="76">
        <f t="shared" ref="O340:O369" si="114">IF(N340=0,O339,O339+N340)</f>
        <v>0</v>
      </c>
      <c r="P340" s="76">
        <f>COUNTIF('10月'!D5:E5,P$337)+COUNTIF('10月'!I5:J5,P$337)+COUNTIF('10月'!N5:O5,P$337)+COUNTIF('10月'!S5:T5,P$337)+COUNTIF('10月'!X5:Y5,P$337)+COUNTIF('10月'!AC5:AD5,P$337)+COUNTIF('10月'!AH5:AI5,P$337)+COUNTIF('10月'!AM5:AN5,P$337)+COUNTIF('10月'!AR5:AS5,P$337)+COUNTIF('10月'!AW5:AX5,P$337)+COUNTIF('10月'!BB5:BC5,P$337)+COUNTIF('10月'!BG5:BH5,P$337)+COUNTIF('10月'!BL5:BM5,P$337)+COUNTIF('10月'!BQ5:BR5,P$337)+COUNTIF('10月'!BV5:BW5,P$337)+COUNTIF('10月'!CA5:CB5,P$337)+COUNTIF('10月'!CF5:CG5,P$337)+COUNTIF('10月'!CK5:CL5,P$337)+COUNTIF('10月'!CP5:CQ5,P$337)+COUNTIF('10月'!CU5:CV5,P$337)+COUNTIF('10月'!CZ5:DA5,P$337)+COUNTIF('10月'!DE5:DF5,P$337)+COUNTIF('10月'!DJ5:DK5,P$337)+COUNTIF('10月'!DO5:DP5,P$337)+COUNTIF('10月'!DT5:DU5,P$337)+COUNTIF('10月'!DY5:DZ5,P$337)+COUNTIF('10月'!ED5:EE5,P$337)+COUNTIF('10月'!EI5:EJ5,P$337)+COUNTIF('10月'!EN5:EO5,P$337)+COUNTIF('10月'!ES5:ET5,P$337)+COUNTIF('10月'!D5:E5,"荻窪ー夜勤")+COUNTIF('10月'!I5:J5,"荻窪ー夜勤")+COUNTIF('10月'!N5:O5,"荻窪ー夜勤")+COUNTIF('10月'!S5:T5,"荻窪ー夜勤")+COUNTIF('10月'!X5:Y5,"荻窪ー夜勤")+COUNTIF('10月'!AC5:AD5,"荻窪ー夜勤")+COUNTIF('10月'!AH5:AI5,"荻窪ー夜勤")+COUNTIF('10月'!AM5:AN5,"荻窪ー夜勤")+COUNTIF('10月'!AR5:AS5,"荻窪ー夜勤")+COUNTIF('10月'!AW5:AX5,"荻窪ー夜勤")+COUNTIF('10月'!BB5:BC5,"荻窪ー夜勤")+COUNTIF('10月'!BG5:BH5,"荻窪ー夜勤")+COUNTIF('10月'!BL5:BM5,"荻窪ー夜勤")+COUNTIF('10月'!BQ5:BR5,"荻窪ー夜勤")+COUNTIF('10月'!BV5:BW5,"荻窪ー夜勤")+COUNTIF('10月'!CA5:CB5,"荻窪ー夜勤")+COUNTIF('10月'!CF5:CG5,"荻窪ー夜勤")+COUNTIF('10月'!CK5:CL5,"荻窪ー夜勤")+COUNTIF('10月'!CP5:CQ5,"荻窪ー夜勤")+COUNTIF('10月'!CU5:CV5,"荻窪ー夜勤")+COUNTIF('10月'!CZ5:DA5,"荻窪ー夜勤")+COUNTIF('10月'!DE5:DF5,"荻窪ー夜勤")+COUNTIF('10月'!DJ5:DK5,"荻窪ー夜勤")+COUNTIF('10月'!DO5:DP5,"荻窪ー夜勤")+COUNTIF('10月'!DT5:DU5,"荻窪ー夜勤")+COUNTIF('10月'!DY5:DZ5,"荻窪ー夜勤")+COUNTIF('10月'!ED5:EE5,"荻窪ー夜勤")+COUNTIF('10月'!EI5:EJ5,"荻窪ー夜勤")+COUNTIF('10月'!EN5:EO5,"荻窪ー夜勤")+COUNTIF('10月'!ES5:ET5,"荻窪ー夜勤")</f>
        <v>0</v>
      </c>
      <c r="Q340" s="76">
        <f t="shared" ref="Q340:Q369" si="115">IF(P340=0,Q339,Q339+P340)</f>
        <v>0</v>
      </c>
      <c r="R340" s="76">
        <f>COUNTIF('10月'!D5:E5,R$337)+COUNTIF('10月'!I5:J5,R$337)+COUNTIF('10月'!N5:O5,R$337)+COUNTIF('10月'!S5:T5,R$337)+COUNTIF('10月'!X5:Y5,R$337)+COUNTIF('10月'!AC5:AD5,R$337)+COUNTIF('10月'!AH5:AI5,R$337)+COUNTIF('10月'!AM5:AN5,R$337)+COUNTIF('10月'!AR5:AS5,R$337)+COUNTIF('10月'!AW5:AX5,R$337)+COUNTIF('10月'!BB5:BC5,R$337)+COUNTIF('10月'!BG5:BH5,R$337)+COUNTIF('10月'!BL5:BM5,R$337)+COUNTIF('10月'!BQ5:BR5,R$337)+COUNTIF('10月'!BV5:BW5,R$337)+COUNTIF('10月'!CA5:CB5,R$337)+COUNTIF('10月'!CF5:CG5,R$337)+COUNTIF('10月'!CK5:CL5,R$337)+COUNTIF('10月'!CP5:CQ5,R$337)+COUNTIF('10月'!CU5:CV5,R$337)+COUNTIF('10月'!CZ5:DA5,R$337)+COUNTIF('10月'!DE5:DF5,R$337)+COUNTIF('10月'!DJ5:DK5,R$337)+COUNTIF('10月'!DO5:DP5,R$337)+COUNTIF('10月'!DT5:DU5,R$337)+COUNTIF('10月'!DY5:DZ5,R$337)+COUNTIF('10月'!ED5:EE5,R$337)+COUNTIF('10月'!EI5:EJ5,R$337)+COUNTIF('10月'!EN5:EO5,R$337)+COUNTIF('10月'!ES5:ET5,R$337)</f>
        <v>0</v>
      </c>
      <c r="S340" s="76">
        <f t="shared" ref="S340:S369" si="116">IF(R340=0,S339,S339+R340)</f>
        <v>0</v>
      </c>
      <c r="T340" s="76">
        <f>COUNTIF('10月'!D5:E5,T$337)+COUNTIF('10月'!I5:J5,T$337)+COUNTIF('10月'!N5:O5,T$337)+COUNTIF('10月'!S5:T5,T$337)+COUNTIF('10月'!X5:Y5,T$337)+COUNTIF('10月'!AC5:AD5,T$337)+COUNTIF('10月'!AH5:AI5,T$337)+COUNTIF('10月'!AM5:AN5,T$337)+COUNTIF('10月'!AR5:AS5,T$337)+COUNTIF('10月'!AW5:AX5,T$337)+COUNTIF('10月'!BB5:BC5,T$337)+COUNTIF('10月'!BG5:BH5,T$337)+COUNTIF('10月'!BL5:BM5,T$337)+COUNTIF('10月'!BQ5:BR5,T$337)+COUNTIF('10月'!BV5:BW5,T$337)+COUNTIF('10月'!CA5:CB5,T$337)+COUNTIF('10月'!CF5:CG5,T$337)+COUNTIF('10月'!CK5:CL5,T$337)+COUNTIF('10月'!CP5:CQ5,T$337)+COUNTIF('10月'!CU5:CV5,T$337)+COUNTIF('10月'!CZ5:DA5,T$337)+COUNTIF('10月'!DE5:DF5,T$337)+COUNTIF('10月'!DJ5:DK5,T$337)+COUNTIF('10月'!DO5:DP5,T$337)+COUNTIF('10月'!DT5:DU5,T$337)+COUNTIF('10月'!DY5:DZ5,T$337)+COUNTIF('10月'!ED5:EE5,T$337)+COUNTIF('10月'!EI5:EJ5,T$337)+COUNTIF('10月'!EN5:EO5,T$337)+COUNTIF('10月'!ES5:ET5,T$337)</f>
        <v>0</v>
      </c>
      <c r="U340" s="76">
        <f t="shared" ref="U340:U369" si="117">IF(T340=0,U339,U339+T340)</f>
        <v>0</v>
      </c>
      <c r="V340" s="76">
        <f>COUNTIF('10月'!D5:E5,V$337)+COUNTIF('10月'!I5:J5,V$337)+COUNTIF('10月'!N5:O5,V$337)+COUNTIF('10月'!S5:T5,V$337)+COUNTIF('10月'!X5:Y5,V$337)+COUNTIF('10月'!AC5:AD5,V$337)+COUNTIF('10月'!AH5:AI5,V$337)+COUNTIF('10月'!AM5:AN5,V$337)+COUNTIF('10月'!AR5:AS5,V$337)+COUNTIF('10月'!AW5:AX5,V$337)+COUNTIF('10月'!BB5:BC5,V$337)+COUNTIF('10月'!BG5:BH5,V$337)+COUNTIF('10月'!BL5:BM5,V$337)+COUNTIF('10月'!BQ5:BR5,V$337)+COUNTIF('10月'!BV5:BW5,V$337)+COUNTIF('10月'!CA5:CB5,V$337)+COUNTIF('10月'!CF5:CG5,V$337)+COUNTIF('10月'!CK5:CL5,V$337)+COUNTIF('10月'!CP5:CQ5,V$337)+COUNTIF('10月'!CU5:CV5,V$337)+COUNTIF('10月'!CZ5:DA5,V$337)+COUNTIF('10月'!DE5:DF5,V$337)+COUNTIF('10月'!DJ5:DK5,V$337)+COUNTIF('10月'!DO5:DP5,V$337)+COUNTIF('10月'!DT5:DU5,V$337)+COUNTIF('10月'!DY5:DZ5,V$337)+COUNTIF('10月'!ED5:EE5,V$337)+COUNTIF('10月'!EI5:EJ5,V$337)+COUNTIF('10月'!EN5:EO5,V$337)+COUNTIF('10月'!ES5:ET5,V$337)</f>
        <v>0</v>
      </c>
      <c r="W340" s="76">
        <f t="shared" ref="W340:W369" si="118">IF(V340=0,W339,W339+V340)</f>
        <v>0</v>
      </c>
      <c r="X340" s="76">
        <f>COUNTIF('10月'!D5:E5,X$337)+COUNTIF('10月'!I5:J5,X$337)+COUNTIF('10月'!N5:O5,X$337)+COUNTIF('10月'!S5:T5,X$337)+COUNTIF('10月'!X5:Y5,X$337)+COUNTIF('10月'!AC5:AD5,X$337)+COUNTIF('10月'!AH5:AI5,X$337)+COUNTIF('10月'!AM5:AN5,X$337)+COUNTIF('10月'!AR5:AS5,X$337)+COUNTIF('10月'!AW5:AX5,X$337)+COUNTIF('10月'!BB5:BC5,X$337)+COUNTIF('10月'!BG5:BH5,X$337)+COUNTIF('10月'!BL5:BM5,X$337)+COUNTIF('10月'!BQ5:BR5,X$337)+COUNTIF('10月'!BV5:BW5,X$337)+COUNTIF('10月'!CA5:CB5,X$337)+COUNTIF('10月'!CF5:CG5,X$337)+COUNTIF('10月'!CK5:CL5,X$337)+COUNTIF('10月'!CP5:CQ5,X$337)+COUNTIF('10月'!CU5:CV5,X$337)+COUNTIF('10月'!CZ5:DA5,X$337)+COUNTIF('10月'!DE5:DF5,X$337)+COUNTIF('10月'!DJ5:DK5,X$337)+COUNTIF('10月'!DO5:DP5,X$337)+COUNTIF('10月'!DT5:DU5,X$337)+COUNTIF('10月'!DY5:DZ5,X$337)+COUNTIF('10月'!ED5:EE5,X$337)+COUNTIF('10月'!EI5:EJ5,X$337)+COUNTIF('10月'!EN5:EO5,X$337)+COUNTIF('10月'!ES5:ET5,X$337)</f>
        <v>0</v>
      </c>
      <c r="Y340" s="76">
        <f t="shared" ref="Y340:Y369" si="119">IF(X340=0,Y339,Y339+X340)</f>
        <v>0</v>
      </c>
    </row>
    <row r="341" spans="1:25" ht="18" customHeight="1">
      <c r="A341" s="76">
        <v>3</v>
      </c>
      <c r="B341" s="76">
        <f>COUNTIF('10月'!D6:E6,B$337)+COUNTIF('10月'!I6:J6,B$337)+COUNTIF('10月'!N6:O6,B$337)+COUNTIF('10月'!S6:T6,B$337)+COUNTIF('10月'!X6:Y6,B$337)+COUNTIF('10月'!AC6:AD6,B$337)+COUNTIF('10月'!AH6:AI6,B$337)+COUNTIF('10月'!AM6:AN6,B$337)+COUNTIF('10月'!AR6:AS6,B$337)+COUNTIF('10月'!AW6:AX6,B$337)+COUNTIF('10月'!BB6:BC6,B$337)+COUNTIF('10月'!BG6:BH6,B$337)+COUNTIF('10月'!BL6:BM6,B$337)+COUNTIF('10月'!BQ6:BR6,B$337)+COUNTIF('10月'!BV6:BW6,B$337)+COUNTIF('10月'!CA6:CB6,B$337)+COUNTIF('10月'!CF6:CG6,B$337)+COUNTIF('10月'!CK6:CL6,B$337)+COUNTIF('10月'!CP6:CQ6,B$337)+COUNTIF('10月'!CU6:CV6,B$337)+COUNTIF('10月'!CZ6:DA6,B$337)+COUNTIF('10月'!DE6:DF6,B$337)+COUNTIF('10月'!DJ6:DK6,B$337)+COUNTIF('10月'!DO6:DP6,B$337)+COUNTIF('10月'!DT6:DU6,B$337)+COUNTIF('10月'!DY6:DZ6,B$337)+COUNTIF('10月'!ED6:EE6,B$337)+COUNTIF('10月'!EI6:EJ6,B$337)+COUNTIF('10月'!EN6:EO6,B$337)+COUNTIF('10月'!ES6:ET6,B$337)</f>
        <v>0</v>
      </c>
      <c r="C341" s="76">
        <f t="shared" si="108"/>
        <v>0</v>
      </c>
      <c r="D341" s="76">
        <f>COUNTIF('10月'!D6:E6,D$337)+COUNTIF('10月'!I6:J6,D$337)+COUNTIF('10月'!N6:O6,D$337)+COUNTIF('10月'!S6:T6,D$337)+COUNTIF('10月'!X6:Y6,D$337)+COUNTIF('10月'!AC6:AD6,D$337)+COUNTIF('10月'!AH6:AI6,D$337)+COUNTIF('10月'!AM6:AN6,D$337)+COUNTIF('10月'!AR6:AS6,D$337)+COUNTIF('10月'!AW6:AX6,D$337)+COUNTIF('10月'!BB6:BC6,D$337)+COUNTIF('10月'!BG6:BH6,D$337)+COUNTIF('10月'!BL6:BM6,D$337)+COUNTIF('10月'!BQ6:BR6,D$337)+COUNTIF('10月'!BV6:BW6,D$337)+COUNTIF('10月'!CA6:CB6,D$337)+COUNTIF('10月'!CF6:CG6,D$337)+COUNTIF('10月'!CK6:CL6,D$337)+COUNTIF('10月'!CP6:CQ6,D$337)+COUNTIF('10月'!CU6:CV6,D$337)+COUNTIF('10月'!CZ6:DA6,D$337)+COUNTIF('10月'!DE6:DF6,D$337)+COUNTIF('10月'!DJ6:DK6,D$337)+COUNTIF('10月'!DO6:DP6,D$337)+COUNTIF('10月'!DT6:DU6,D$337)+COUNTIF('10月'!DY6:DZ6,D$337)+COUNTIF('10月'!ED6:EE6,D$337)+COUNTIF('10月'!EI6:EJ6,D$337)+COUNTIF('10月'!EN6:EO6,D$337)+COUNTIF('10月'!ES6:ET6,D$337)</f>
        <v>0</v>
      </c>
      <c r="E341" s="76">
        <f t="shared" si="109"/>
        <v>0</v>
      </c>
      <c r="F341" s="76">
        <f>COUNTIF('10月'!D6:E6,F$337)+COUNTIF('10月'!I6:J6,F$337)+COUNTIF('10月'!N6:O6,F$337)+COUNTIF('10月'!S6:T6,F$337)+COUNTIF('10月'!X6:Y6,F$337)+COUNTIF('10月'!AC6:AD6,F$337)+COUNTIF('10月'!AH6:AI6,F$337)+COUNTIF('10月'!AM6:AN6,F$337)+COUNTIF('10月'!AR6:AS6,F$337)+COUNTIF('10月'!AW6:AX6,F$337)+COUNTIF('10月'!BB6:BC6,F$337)+COUNTIF('10月'!BG6:BH6,F$337)+COUNTIF('10月'!BL6:BM6,F$337)+COUNTIF('10月'!BQ6:BR6,F$337)+COUNTIF('10月'!BV6:BW6,F$337)+COUNTIF('10月'!CA6:CB6,F$337)+COUNTIF('10月'!CF6:CG6,F$337)+COUNTIF('10月'!CK6:CL6,F$337)+COUNTIF('10月'!CP6:CQ6,F$337)+COUNTIF('10月'!CU6:CV6,F$337)+COUNTIF('10月'!CZ6:DA6,F$337)+COUNTIF('10月'!DE6:DF6,F$337)+COUNTIF('10月'!DJ6:DK6,F$337)+COUNTIF('10月'!DO6:DP6,F$337)+COUNTIF('10月'!DT6:DU6,F$337)+COUNTIF('10月'!DY6:DZ6,F$337)+COUNTIF('10月'!ED6:EE6,F$337)+COUNTIF('10月'!EI6:EJ6,F$337)+COUNTIF('10月'!EN6:EO6,F$337)+COUNTIF('10月'!ES6:ET6,F$337)</f>
        <v>0</v>
      </c>
      <c r="G341" s="76">
        <f t="shared" si="110"/>
        <v>0</v>
      </c>
      <c r="H341" s="76">
        <f>COUNTIF('10月'!D6:E6,H$337)+COUNTIF('10月'!I6:J6,H$337)+COUNTIF('10月'!N6:O6,H$337)+COUNTIF('10月'!S6:T6,H$337)+COUNTIF('10月'!X6:Y6,H$337)+COUNTIF('10月'!AC6:AD6,H$337)+COUNTIF('10月'!AH6:AI6,H$337)+COUNTIF('10月'!AM6:AN6,H$337)+COUNTIF('10月'!AR6:AS6,H$337)+COUNTIF('10月'!AW6:AX6,H$337)+COUNTIF('10月'!BB6:BC6,H$337)+COUNTIF('10月'!BG6:BH6,H$337)+COUNTIF('10月'!BL6:BM6,H$337)+COUNTIF('10月'!BQ6:BR6,H$337)+COUNTIF('10月'!BV6:BW6,H$337)+COUNTIF('10月'!CA6:CB6,H$337)+COUNTIF('10月'!CF6:CG6,H$337)+COUNTIF('10月'!CK6:CL6,H$337)+COUNTIF('10月'!CP6:CQ6,H$337)+COUNTIF('10月'!CU6:CV6,H$337)+COUNTIF('10月'!CZ6:DA6,H$337)+COUNTIF('10月'!DE6:DF6,H$337)+COUNTIF('10月'!DJ6:DK6,H$337)+COUNTIF('10月'!DO6:DP6,H$337)+COUNTIF('10月'!DT6:DU6,H$337)+COUNTIF('10月'!DY6:DZ6,H$337)+COUNTIF('10月'!ED6:EE6,H$337)+COUNTIF('10月'!EI6:EJ6,H$337)+COUNTIF('10月'!EN6:EO6,H$337)+COUNTIF('10月'!ES6:ET6,H$337)+COUNTIF('10月'!D6:E6,"渋谷-夜勤")+COUNTIF('10月'!I6:J6,"渋谷-夜勤")+COUNTIF('10月'!N6:O6,"渋谷-夜勤")+COUNTIF('10月'!S6:T6,"渋谷-夜勤")+COUNTIF('10月'!X6:Y6,"渋谷-夜勤")+COUNTIF('10月'!AC6:AD6,"渋谷-夜勤")+COUNTIF('10月'!AH6:AI6,"渋谷-夜勤")+COUNTIF('10月'!AM6:AN6,"渋谷-夜勤")+COUNTIF('10月'!AR6:AS6,"渋谷-夜勤")+COUNTIF('10月'!AW6:AX6,"渋谷-夜勤")+COUNTIF('10月'!BB6:BC6,"渋谷-夜勤")+COUNTIF('10月'!BG6:BH6,"渋谷-夜勤")+COUNTIF('10月'!BL6:BM6,"渋谷-夜勤")+COUNTIF('10月'!BQ6:BR6,"渋谷-夜勤")+COUNTIF('10月'!BV6:BW6,"渋谷-夜勤")+COUNTIF('10月'!CA6:CB6,"渋谷-夜勤")+COUNTIF('10月'!CF6:CG6,"渋谷-夜勤")+COUNTIF('10月'!CK6:CL6,"渋谷-夜勤")+COUNTIF('10月'!CP6:CQ6,"渋谷-夜勤")+COUNTIF('10月'!CU6:CV6,"渋谷-夜勤")+COUNTIF('10月'!CZ6:DA6,"渋谷-夜勤")+COUNTIF('10月'!DE6:DF6,"渋谷-夜勤")+COUNTIF('10月'!DJ6:DK6,"渋谷-夜勤")+COUNTIF('10月'!DO6:DP6,"渋谷-夜勤")+COUNTIF('10月'!DT6:DU6,"渋谷-夜勤")+COUNTIF('10月'!DY6:DZ6,"渋谷-夜勤")+COUNTIF('10月'!ED6:EE6,"渋谷-夜勤")+COUNTIF('10月'!EI6:EJ6,"渋谷-夜勤")+COUNTIF('10月'!EN6:EO6,"渋谷-夜勤")+COUNTIF('10月'!ES6:ET6,"渋谷-夜勤")</f>
        <v>0</v>
      </c>
      <c r="I341" s="76">
        <f t="shared" si="111"/>
        <v>0</v>
      </c>
      <c r="J341" s="76">
        <f>COUNTIF('10月'!D6:E6,J$337)+COUNTIF('10月'!I6:J6,J$337)+COUNTIF('10月'!N6:O6,J$337)+COUNTIF('10月'!S6:T6,J$337)+COUNTIF('10月'!X6:Y6,J$337)+COUNTIF('10月'!AC6:AD6,J$337)+COUNTIF('10月'!AH6:AI6,J$337)+COUNTIF('10月'!AM6:AN6,J$337)+COUNTIF('10月'!AR6:AS6,J$337)+COUNTIF('10月'!AW6:AX6,J$337)+COUNTIF('10月'!BB6:BC6,J$337)+COUNTIF('10月'!BG6:BH6,J$337)+COUNTIF('10月'!BL6:BM6,J$337)+COUNTIF('10月'!BQ6:BR6,J$337)+COUNTIF('10月'!BV6:BW6,J$337)+COUNTIF('10月'!CA6:CB6,J$337)+COUNTIF('10月'!CF6:CG6,J$337)+COUNTIF('10月'!CK6:CL6,J$337)+COUNTIF('10月'!CP6:CQ6,J$337)+COUNTIF('10月'!CU6:CV6,J$337)+COUNTIF('10月'!CZ6:DA6,J$337)+COUNTIF('10月'!DE6:DF6,J$337)+COUNTIF('10月'!DJ6:DK6,J$337)+COUNTIF('10月'!DO6:DP6,J$337)+COUNTIF('10月'!DT6:DU6,J$337)+COUNTIF('10月'!DY6:DZ6,J$337)+COUNTIF('10月'!ED6:EE6,J$337)+COUNTIF('10月'!EI6:EJ6,J$337)+COUNTIF('10月'!EN6:EO6,J$337)+COUNTIF('10月'!ES6:ET6,J$337)+COUNTIF('10月'!D6:E6,"六本木-夜勤")+COUNTIF('10月'!I6:J6,"六本木-夜勤")+COUNTIF('10月'!N6:O6,"六本木-夜勤")+COUNTIF('10月'!S6:T6,"六本木-夜勤")+COUNTIF('10月'!X6:Y6,"六本木-夜勤")+COUNTIF('10月'!AC6:AD6,"六本木-夜勤")+COUNTIF('10月'!AH6:AI6,"六本木-夜勤")+COUNTIF('10月'!AM6:AN6,"六本木-夜勤")+COUNTIF('10月'!AR6:AS6,"六本木-夜勤")+COUNTIF('10月'!AW6:AX6,"六本木-夜勤")+COUNTIF('10月'!BB6:BC6,"六本木-夜勤")+COUNTIF('10月'!BG6:BH6,"六本木-夜勤")+COUNTIF('10月'!BL6:BM6,"六本木-夜勤")+COUNTIF('10月'!BQ6:BR6,"六本木-夜勤")+COUNTIF('10月'!BV6:BW6,"六本木-夜勤")+COUNTIF('10月'!CA6:CB6,"六本木-夜勤")+COUNTIF('10月'!CF6:CG6,"六本木-夜勤")+COUNTIF('10月'!CK6:CL6,"六本木-夜勤")+COUNTIF('10月'!CP6:CQ6,"六本木-夜勤")+COUNTIF('10月'!CU6:CV6,"六本木-夜勤")+COUNTIF('10月'!CZ6:DA6,"六本木-夜勤")+COUNTIF('10月'!DE6:DF6,"六本木-夜勤")+COUNTIF('10月'!DJ6:DK6,"六本木-夜勤")+COUNTIF('10月'!DO6:DP6,"六本木-夜勤")+COUNTIF('10月'!DT6:DU6,"六本木-夜勤")+COUNTIF('10月'!DY6:DZ6,"六本木-夜勤")+COUNTIF('10月'!ED6:EE6,"六本木-夜勤")+COUNTIF('10月'!EI6:EJ6,"六本木-夜勤")+COUNTIF('10月'!EN6:EO6,"六本木-夜勤")+COUNTIF('10月'!ES6:ET6,"六本木-夜勤")+COUNTIF('10月'!D6:E6,"六本木ー夜勤")+COUNTIF('10月'!I6:J6,"六本木ー夜勤")+COUNTIF('10月'!N6:O6,"六本木ー夜勤")+COUNTIF('10月'!S6:T6,"六本木ー夜勤")+COUNTIF('10月'!X6:Y6,"六本木ー夜勤")+COUNTIF('10月'!AC6:AD6,"六本木ー夜勤")+COUNTIF('10月'!AH6:AI6,"六本木ー夜勤")+COUNTIF('10月'!AM6:AN6,"六本木ー夜勤")+COUNTIF('10月'!AR6:AS6,"六本木ー夜勤")+COUNTIF('10月'!AW6:AX6,"六本木ー夜勤")+COUNTIF('10月'!BB6:BC6,"六本木ー夜勤")+COUNTIF('10月'!BG6:BH6,"六本木ー夜勤")+COUNTIF('10月'!BL6:BM6,"六本木ー夜勤")+COUNTIF('10月'!BQ6:BR6,"六本木ー夜勤")+COUNTIF('10月'!BV6:BW6,"六本木ー夜勤")+COUNTIF('10月'!CA6:CB6,"六本木ー夜勤")+COUNTIF('10月'!CF6:CG6,"六本木ー夜勤")+COUNTIF('10月'!CK6:CL6,"六本木ー夜勤")+COUNTIF('10月'!CP6:CQ6,"六本木ー夜勤")+COUNTIF('10月'!CU6:CV6,"六本木ー夜勤")+COUNTIF('10月'!CZ6:DA6,"六本木ー夜勤")+COUNTIF('10月'!DE6:DF6,"六本木ー夜勤")+COUNTIF('10月'!DJ6:DK6,"六本木ー夜勤")+COUNTIF('10月'!DO6:DP6,"六本木ー夜勤")+COUNTIF('10月'!DT6:DU6,"六本木ー夜勤")+COUNTIF('10月'!DY6:DZ6,"六本木ー夜勤")+COUNTIF('10月'!ED6:EE6,"六本木ー夜勤")+COUNTIF('10月'!EI6:EJ6,"六本木ー夜勤")+COUNTIF('10月'!EN6:EO6,"六本木ー夜勤")+COUNTIF('10月'!ES6:ET6,"六本木ー夜勤")</f>
        <v>0</v>
      </c>
      <c r="K341" s="76">
        <f t="shared" si="112"/>
        <v>0</v>
      </c>
      <c r="L341" s="76">
        <f>COUNTIF('10月'!D6:E6,L$337)+COUNTIF('10月'!I6:J6,L$337)+COUNTIF('10月'!N6:O6,L$337)+COUNTIF('10月'!S6:T6,L$337)+COUNTIF('10月'!X6:Y6,L$337)+COUNTIF('10月'!AC6:AD6,L$337)+COUNTIF('10月'!AH6:AI6,L$337)+COUNTIF('10月'!AM6:AN6,L$337)+COUNTIF('10月'!AR6:AS6,L$337)+COUNTIF('10月'!AW6:AX6,L$337)+COUNTIF('10月'!BB6:BC6,L$337)+COUNTIF('10月'!BG6:BH6,L$337)+COUNTIF('10月'!BL6:BM6,L$337)+COUNTIF('10月'!BQ6:BR6,L$337)+COUNTIF('10月'!BV6:BW6,L$337)+COUNTIF('10月'!CA6:CB6,L$337)+COUNTIF('10月'!CF6:CG6,L$337)+COUNTIF('10月'!CK6:CL6,L$337)+COUNTIF('10月'!CP6:CQ6,L$337)+COUNTIF('10月'!CU6:CV6,L$337)+COUNTIF('10月'!CZ6:DA6,L$337)+COUNTIF('10月'!DE6:DF6,L$337)+COUNTIF('10月'!DJ6:DK6,L$337)+COUNTIF('10月'!DO6:DP6,L$337)+COUNTIF('10月'!DT6:DU6,L$337)+COUNTIF('10月'!DY6:DZ6,L$337)+COUNTIF('10月'!ED6:EE6,L$337)+COUNTIF('10月'!EI6:EJ6,L$337)+COUNTIF('10月'!EN6:EO6,L$337)+COUNTIF('10月'!ES6:ET6,L$337)</f>
        <v>0</v>
      </c>
      <c r="M341" s="76">
        <f t="shared" si="113"/>
        <v>0</v>
      </c>
      <c r="N341" s="76">
        <f>COUNTIF('10月'!D6:E6,N$337)+COUNTIF('10月'!I6:J6,N$337)+COUNTIF('10月'!N6:O6,N$337)+COUNTIF('10月'!S6:T6,N$337)+COUNTIF('10月'!X6:Y6,N$337)+COUNTIF('10月'!AC6:AD6,N$337)+COUNTIF('10月'!AH6:AI6,N$337)+COUNTIF('10月'!AM6:AN6,N$337)+COUNTIF('10月'!AR6:AS6,N$337)+COUNTIF('10月'!AW6:AX6,N$337)+COUNTIF('10月'!BB6:BC6,N$337)+COUNTIF('10月'!BG6:BH6,N$337)+COUNTIF('10月'!BL6:BM6,N$337)+COUNTIF('10月'!BQ6:BR6,N$337)+COUNTIF('10月'!BV6:BW6,N$337)+COUNTIF('10月'!CA6:CB6,N$337)+COUNTIF('10月'!CF6:CG6,N$337)+COUNTIF('10月'!CK6:CL6,N$337)+COUNTIF('10月'!CP6:CQ6,N$337)+COUNTIF('10月'!CU6:CV6,N$337)+COUNTIF('10月'!CZ6:DA6,N$337)+COUNTIF('10月'!DE6:DF6,N$337)+COUNTIF('10月'!DJ6:DK6,N$337)+COUNTIF('10月'!DO6:DP6,N$337)+COUNTIF('10月'!DT6:DU6,N$337)+COUNTIF('10月'!DY6:DZ6,N$337)+COUNTIF('10月'!ED6:EE6,N$337)+COUNTIF('10月'!EI6:EJ6,N$337)+COUNTIF('10月'!EN6:EO6,N$337)+COUNTIF('10月'!ES6:ET6,N$337)+COUNTIF('10月'!D6:E6,"三軒茶屋－夜勤")+COUNTIF('10月'!I6:J6,"三軒茶屋－夜勤")+COUNTIF('10月'!N6:O6,"三軒茶屋－夜勤")+COUNTIF('10月'!S6:T6,"三軒茶屋－夜勤")+COUNTIF('10月'!X6:Y6,"三軒茶屋－夜勤")+COUNTIF('10月'!AC6:AD6,"三軒茶屋－夜勤")+COUNTIF('10月'!AH6:AI6,"三軒茶屋－夜勤")+COUNTIF('10月'!AM6:AN6,"三軒茶屋－夜勤")+COUNTIF('10月'!AR6:AS6,"三軒茶屋－夜勤")+COUNTIF('10月'!AW6:AX6,"三軒茶屋－夜勤")+COUNTIF('10月'!BB6:BC6,"三軒茶屋－夜勤")+COUNTIF('10月'!BG6:BH6,"三軒茶屋－夜勤")+COUNTIF('10月'!BL6:BM6,"三軒茶屋－夜勤")+COUNTIF('10月'!BQ6:BR6,"三軒茶屋－夜勤")+COUNTIF('10月'!BV6:BW6,"三軒茶屋－夜勤")+COUNTIF('10月'!CA6:CB6,"三軒茶屋－夜勤")+COUNTIF('10月'!CF6:CG6,"三軒茶屋－夜勤")+COUNTIF('10月'!CK6:CL6,"三軒茶屋－夜勤")+COUNTIF('10月'!CP6:CQ6,"三軒茶屋－夜勤")+COUNTIF('10月'!CU6:CV6,"三軒茶屋－夜勤")+COUNTIF('10月'!CZ6:DA6,"三軒茶屋－夜勤")+COUNTIF('10月'!DE6:DF6,"三軒茶屋－夜勤")+COUNTIF('10月'!DJ6:DK6,"三軒茶屋－夜勤")+COUNTIF('10月'!DO6:DP6,"三軒茶屋－夜勤")+COUNTIF('10月'!DT6:DU6,"三軒茶屋－夜勤")+COUNTIF('10月'!DY6:DZ6,"三軒茶屋－夜勤")+COUNTIF('10月'!ED6:EE6,"三軒茶屋－夜勤")+COUNTIF('10月'!EI6:EJ6,"三軒茶屋－夜勤")+COUNTIF('10月'!EN6:EO6,"三軒茶屋－夜勤")+COUNTIF('10月'!ES6:ET6,"三軒茶屋－夜勤")</f>
        <v>0</v>
      </c>
      <c r="O341" s="76">
        <f t="shared" si="114"/>
        <v>0</v>
      </c>
      <c r="P341" s="76">
        <f>COUNTIF('10月'!D6:E6,P$337)+COUNTIF('10月'!I6:J6,P$337)+COUNTIF('10月'!N6:O6,P$337)+COUNTIF('10月'!S6:T6,P$337)+COUNTIF('10月'!X6:Y6,P$337)+COUNTIF('10月'!AC6:AD6,P$337)+COUNTIF('10月'!AH6:AI6,P$337)+COUNTIF('10月'!AM6:AN6,P$337)+COUNTIF('10月'!AR6:AS6,P$337)+COUNTIF('10月'!AW6:AX6,P$337)+COUNTIF('10月'!BB6:BC6,P$337)+COUNTIF('10月'!BG6:BH6,P$337)+COUNTIF('10月'!BL6:BM6,P$337)+COUNTIF('10月'!BQ6:BR6,P$337)+COUNTIF('10月'!BV6:BW6,P$337)+COUNTIF('10月'!CA6:CB6,P$337)+COUNTIF('10月'!CF6:CG6,P$337)+COUNTIF('10月'!CK6:CL6,P$337)+COUNTIF('10月'!CP6:CQ6,P$337)+COUNTIF('10月'!CU6:CV6,P$337)+COUNTIF('10月'!CZ6:DA6,P$337)+COUNTIF('10月'!DE6:DF6,P$337)+COUNTIF('10月'!DJ6:DK6,P$337)+COUNTIF('10月'!DO6:DP6,P$337)+COUNTIF('10月'!DT6:DU6,P$337)+COUNTIF('10月'!DY6:DZ6,P$337)+COUNTIF('10月'!ED6:EE6,P$337)+COUNTIF('10月'!EI6:EJ6,P$337)+COUNTIF('10月'!EN6:EO6,P$337)+COUNTIF('10月'!ES6:ET6,P$337)+COUNTIF('10月'!D6:E6,"荻窪ー夜勤")+COUNTIF('10月'!I6:J6,"荻窪ー夜勤")+COUNTIF('10月'!N6:O6,"荻窪ー夜勤")+COUNTIF('10月'!S6:T6,"荻窪ー夜勤")+COUNTIF('10月'!X6:Y6,"荻窪ー夜勤")+COUNTIF('10月'!AC6:AD6,"荻窪ー夜勤")+COUNTIF('10月'!AH6:AI6,"荻窪ー夜勤")+COUNTIF('10月'!AM6:AN6,"荻窪ー夜勤")+COUNTIF('10月'!AR6:AS6,"荻窪ー夜勤")+COUNTIF('10月'!AW6:AX6,"荻窪ー夜勤")+COUNTIF('10月'!BB6:BC6,"荻窪ー夜勤")+COUNTIF('10月'!BG6:BH6,"荻窪ー夜勤")+COUNTIF('10月'!BL6:BM6,"荻窪ー夜勤")+COUNTIF('10月'!BQ6:BR6,"荻窪ー夜勤")+COUNTIF('10月'!BV6:BW6,"荻窪ー夜勤")+COUNTIF('10月'!CA6:CB6,"荻窪ー夜勤")+COUNTIF('10月'!CF6:CG6,"荻窪ー夜勤")+COUNTIF('10月'!CK6:CL6,"荻窪ー夜勤")+COUNTIF('10月'!CP6:CQ6,"荻窪ー夜勤")+COUNTIF('10月'!CU6:CV6,"荻窪ー夜勤")+COUNTIF('10月'!CZ6:DA6,"荻窪ー夜勤")+COUNTIF('10月'!DE6:DF6,"荻窪ー夜勤")+COUNTIF('10月'!DJ6:DK6,"荻窪ー夜勤")+COUNTIF('10月'!DO6:DP6,"荻窪ー夜勤")+COUNTIF('10月'!DT6:DU6,"荻窪ー夜勤")+COUNTIF('10月'!DY6:DZ6,"荻窪ー夜勤")+COUNTIF('10月'!ED6:EE6,"荻窪ー夜勤")+COUNTIF('10月'!EI6:EJ6,"荻窪ー夜勤")+COUNTIF('10月'!EN6:EO6,"荻窪ー夜勤")+COUNTIF('10月'!ES6:ET6,"荻窪ー夜勤")</f>
        <v>0</v>
      </c>
      <c r="Q341" s="76">
        <f t="shared" si="115"/>
        <v>0</v>
      </c>
      <c r="R341" s="76">
        <f>COUNTIF('10月'!D6:E6,R$337)+COUNTIF('10月'!I6:J6,R$337)+COUNTIF('10月'!N6:O6,R$337)+COUNTIF('10月'!S6:T6,R$337)+COUNTIF('10月'!X6:Y6,R$337)+COUNTIF('10月'!AC6:AD6,R$337)+COUNTIF('10月'!AH6:AI6,R$337)+COUNTIF('10月'!AM6:AN6,R$337)+COUNTIF('10月'!AR6:AS6,R$337)+COUNTIF('10月'!AW6:AX6,R$337)+COUNTIF('10月'!BB6:BC6,R$337)+COUNTIF('10月'!BG6:BH6,R$337)+COUNTIF('10月'!BL6:BM6,R$337)+COUNTIF('10月'!BQ6:BR6,R$337)+COUNTIF('10月'!BV6:BW6,R$337)+COUNTIF('10月'!CA6:CB6,R$337)+COUNTIF('10月'!CF6:CG6,R$337)+COUNTIF('10月'!CK6:CL6,R$337)+COUNTIF('10月'!CP6:CQ6,R$337)+COUNTIF('10月'!CU6:CV6,R$337)+COUNTIF('10月'!CZ6:DA6,R$337)+COUNTIF('10月'!DE6:DF6,R$337)+COUNTIF('10月'!DJ6:DK6,R$337)+COUNTIF('10月'!DO6:DP6,R$337)+COUNTIF('10月'!DT6:DU6,R$337)+COUNTIF('10月'!DY6:DZ6,R$337)+COUNTIF('10月'!ED6:EE6,R$337)+COUNTIF('10月'!EI6:EJ6,R$337)+COUNTIF('10月'!EN6:EO6,R$337)+COUNTIF('10月'!ES6:ET6,R$337)</f>
        <v>0</v>
      </c>
      <c r="S341" s="76">
        <f t="shared" si="116"/>
        <v>0</v>
      </c>
      <c r="T341" s="76">
        <f>COUNTIF('10月'!D6:E6,T$337)+COUNTIF('10月'!I6:J6,T$337)+COUNTIF('10月'!N6:O6,T$337)+COUNTIF('10月'!S6:T6,T$337)+COUNTIF('10月'!X6:Y6,T$337)+COUNTIF('10月'!AC6:AD6,T$337)+COUNTIF('10月'!AH6:AI6,T$337)+COUNTIF('10月'!AM6:AN6,T$337)+COUNTIF('10月'!AR6:AS6,T$337)+COUNTIF('10月'!AW6:AX6,T$337)+COUNTIF('10月'!BB6:BC6,T$337)+COUNTIF('10月'!BG6:BH6,T$337)+COUNTIF('10月'!BL6:BM6,T$337)+COUNTIF('10月'!BQ6:BR6,T$337)+COUNTIF('10月'!BV6:BW6,T$337)+COUNTIF('10月'!CA6:CB6,T$337)+COUNTIF('10月'!CF6:CG6,T$337)+COUNTIF('10月'!CK6:CL6,T$337)+COUNTIF('10月'!CP6:CQ6,T$337)+COUNTIF('10月'!CU6:CV6,T$337)+COUNTIF('10月'!CZ6:DA6,T$337)+COUNTIF('10月'!DE6:DF6,T$337)+COUNTIF('10月'!DJ6:DK6,T$337)+COUNTIF('10月'!DO6:DP6,T$337)+COUNTIF('10月'!DT6:DU6,T$337)+COUNTIF('10月'!DY6:DZ6,T$337)+COUNTIF('10月'!ED6:EE6,T$337)+COUNTIF('10月'!EI6:EJ6,T$337)+COUNTIF('10月'!EN6:EO6,T$337)+COUNTIF('10月'!ES6:ET6,T$337)</f>
        <v>0</v>
      </c>
      <c r="U341" s="76">
        <f t="shared" si="117"/>
        <v>0</v>
      </c>
      <c r="V341" s="76">
        <f>COUNTIF('10月'!D6:E6,V$337)+COUNTIF('10月'!I6:J6,V$337)+COUNTIF('10月'!N6:O6,V$337)+COUNTIF('10月'!S6:T6,V$337)+COUNTIF('10月'!X6:Y6,V$337)+COUNTIF('10月'!AC6:AD6,V$337)+COUNTIF('10月'!AH6:AI6,V$337)+COUNTIF('10月'!AM6:AN6,V$337)+COUNTIF('10月'!AR6:AS6,V$337)+COUNTIF('10月'!AW6:AX6,V$337)+COUNTIF('10月'!BB6:BC6,V$337)+COUNTIF('10月'!BG6:BH6,V$337)+COUNTIF('10月'!BL6:BM6,V$337)+COUNTIF('10月'!BQ6:BR6,V$337)+COUNTIF('10月'!BV6:BW6,V$337)+COUNTIF('10月'!CA6:CB6,V$337)+COUNTIF('10月'!CF6:CG6,V$337)+COUNTIF('10月'!CK6:CL6,V$337)+COUNTIF('10月'!CP6:CQ6,V$337)+COUNTIF('10月'!CU6:CV6,V$337)+COUNTIF('10月'!CZ6:DA6,V$337)+COUNTIF('10月'!DE6:DF6,V$337)+COUNTIF('10月'!DJ6:DK6,V$337)+COUNTIF('10月'!DO6:DP6,V$337)+COUNTIF('10月'!DT6:DU6,V$337)+COUNTIF('10月'!DY6:DZ6,V$337)+COUNTIF('10月'!ED6:EE6,V$337)+COUNTIF('10月'!EI6:EJ6,V$337)+COUNTIF('10月'!EN6:EO6,V$337)+COUNTIF('10月'!ES6:ET6,V$337)</f>
        <v>0</v>
      </c>
      <c r="W341" s="76">
        <f t="shared" si="118"/>
        <v>0</v>
      </c>
      <c r="X341" s="76">
        <f>COUNTIF('10月'!D6:E6,X$337)+COUNTIF('10月'!I6:J6,X$337)+COUNTIF('10月'!N6:O6,X$337)+COUNTIF('10月'!S6:T6,X$337)+COUNTIF('10月'!X6:Y6,X$337)+COUNTIF('10月'!AC6:AD6,X$337)+COUNTIF('10月'!AH6:AI6,X$337)+COUNTIF('10月'!AM6:AN6,X$337)+COUNTIF('10月'!AR6:AS6,X$337)+COUNTIF('10月'!AW6:AX6,X$337)+COUNTIF('10月'!BB6:BC6,X$337)+COUNTIF('10月'!BG6:BH6,X$337)+COUNTIF('10月'!BL6:BM6,X$337)+COUNTIF('10月'!BQ6:BR6,X$337)+COUNTIF('10月'!BV6:BW6,X$337)+COUNTIF('10月'!CA6:CB6,X$337)+COUNTIF('10月'!CF6:CG6,X$337)+COUNTIF('10月'!CK6:CL6,X$337)+COUNTIF('10月'!CP6:CQ6,X$337)+COUNTIF('10月'!CU6:CV6,X$337)+COUNTIF('10月'!CZ6:DA6,X$337)+COUNTIF('10月'!DE6:DF6,X$337)+COUNTIF('10月'!DJ6:DK6,X$337)+COUNTIF('10月'!DO6:DP6,X$337)+COUNTIF('10月'!DT6:DU6,X$337)+COUNTIF('10月'!DY6:DZ6,X$337)+COUNTIF('10月'!ED6:EE6,X$337)+COUNTIF('10月'!EI6:EJ6,X$337)+COUNTIF('10月'!EN6:EO6,X$337)+COUNTIF('10月'!ES6:ET6,X$337)</f>
        <v>0</v>
      </c>
      <c r="Y341" s="76">
        <f t="shared" si="119"/>
        <v>0</v>
      </c>
    </row>
    <row r="342" spans="1:25" ht="18" customHeight="1">
      <c r="A342" s="76">
        <v>4</v>
      </c>
      <c r="B342" s="76">
        <f>COUNTIF('10月'!D7:E7,B$337)+COUNTIF('10月'!I7:J7,B$337)+COUNTIF('10月'!N7:O7,B$337)+COUNTIF('10月'!S7:T7,B$337)+COUNTIF('10月'!X7:Y7,B$337)+COUNTIF('10月'!AC7:AD7,B$337)+COUNTIF('10月'!AH7:AI7,B$337)+COUNTIF('10月'!AM7:AN7,B$337)+COUNTIF('10月'!AR7:AS7,B$337)+COUNTIF('10月'!AW7:AX7,B$337)+COUNTIF('10月'!BB7:BC7,B$337)+COUNTIF('10月'!BG7:BH7,B$337)+COUNTIF('10月'!BL7:BM7,B$337)+COUNTIF('10月'!BQ7:BR7,B$337)+COUNTIF('10月'!BV7:BW7,B$337)+COUNTIF('10月'!CA7:CB7,B$337)+COUNTIF('10月'!CF7:CG7,B$337)+COUNTIF('10月'!CK7:CL7,B$337)+COUNTIF('10月'!CP7:CQ7,B$337)+COUNTIF('10月'!CU7:CV7,B$337)+COUNTIF('10月'!CZ7:DA7,B$337)+COUNTIF('10月'!DE7:DF7,B$337)+COUNTIF('10月'!DJ7:DK7,B$337)+COUNTIF('10月'!DO7:DP7,B$337)+COUNTIF('10月'!DT7:DU7,B$337)+COUNTIF('10月'!DY7:DZ7,B$337)+COUNTIF('10月'!ED7:EE7,B$337)+COUNTIF('10月'!EI7:EJ7,B$337)+COUNTIF('10月'!EN7:EO7,B$337)+COUNTIF('10月'!ES7:ET7,B$337)</f>
        <v>0</v>
      </c>
      <c r="C342" s="76">
        <f t="shared" si="108"/>
        <v>0</v>
      </c>
      <c r="D342" s="76">
        <f>COUNTIF('10月'!D7:E7,D$337)+COUNTIF('10月'!I7:J7,D$337)+COUNTIF('10月'!N7:O7,D$337)+COUNTIF('10月'!S7:T7,D$337)+COUNTIF('10月'!X7:Y7,D$337)+COUNTIF('10月'!AC7:AD7,D$337)+COUNTIF('10月'!AH7:AI7,D$337)+COUNTIF('10月'!AM7:AN7,D$337)+COUNTIF('10月'!AR7:AS7,D$337)+COUNTIF('10月'!AW7:AX7,D$337)+COUNTIF('10月'!BB7:BC7,D$337)+COUNTIF('10月'!BG7:BH7,D$337)+COUNTIF('10月'!BL7:BM7,D$337)+COUNTIF('10月'!BQ7:BR7,D$337)+COUNTIF('10月'!BV7:BW7,D$337)+COUNTIF('10月'!CA7:CB7,D$337)+COUNTIF('10月'!CF7:CG7,D$337)+COUNTIF('10月'!CK7:CL7,D$337)+COUNTIF('10月'!CP7:CQ7,D$337)+COUNTIF('10月'!CU7:CV7,D$337)+COUNTIF('10月'!CZ7:DA7,D$337)+COUNTIF('10月'!DE7:DF7,D$337)+COUNTIF('10月'!DJ7:DK7,D$337)+COUNTIF('10月'!DO7:DP7,D$337)+COUNTIF('10月'!DT7:DU7,D$337)+COUNTIF('10月'!DY7:DZ7,D$337)+COUNTIF('10月'!ED7:EE7,D$337)+COUNTIF('10月'!EI7:EJ7,D$337)+COUNTIF('10月'!EN7:EO7,D$337)+COUNTIF('10月'!ES7:ET7,D$337)</f>
        <v>0</v>
      </c>
      <c r="E342" s="76">
        <f t="shared" si="109"/>
        <v>0</v>
      </c>
      <c r="F342" s="76">
        <f>COUNTIF('10月'!D7:E7,F$337)+COUNTIF('10月'!I7:J7,F$337)+COUNTIF('10月'!N7:O7,F$337)+COUNTIF('10月'!S7:T7,F$337)+COUNTIF('10月'!X7:Y7,F$337)+COUNTIF('10月'!AC7:AD7,F$337)+COUNTIF('10月'!AH7:AI7,F$337)+COUNTIF('10月'!AM7:AN7,F$337)+COUNTIF('10月'!AR7:AS7,F$337)+COUNTIF('10月'!AW7:AX7,F$337)+COUNTIF('10月'!BB7:BC7,F$337)+COUNTIF('10月'!BG7:BH7,F$337)+COUNTIF('10月'!BL7:BM7,F$337)+COUNTIF('10月'!BQ7:BR7,F$337)+COUNTIF('10月'!BV7:BW7,F$337)+COUNTIF('10月'!CA7:CB7,F$337)+COUNTIF('10月'!CF7:CG7,F$337)+COUNTIF('10月'!CK7:CL7,F$337)+COUNTIF('10月'!CP7:CQ7,F$337)+COUNTIF('10月'!CU7:CV7,F$337)+COUNTIF('10月'!CZ7:DA7,F$337)+COUNTIF('10月'!DE7:DF7,F$337)+COUNTIF('10月'!DJ7:DK7,F$337)+COUNTIF('10月'!DO7:DP7,F$337)+COUNTIF('10月'!DT7:DU7,F$337)+COUNTIF('10月'!DY7:DZ7,F$337)+COUNTIF('10月'!ED7:EE7,F$337)+COUNTIF('10月'!EI7:EJ7,F$337)+COUNTIF('10月'!EN7:EO7,F$337)+COUNTIF('10月'!ES7:ET7,F$337)</f>
        <v>0</v>
      </c>
      <c r="G342" s="76">
        <f t="shared" si="110"/>
        <v>0</v>
      </c>
      <c r="H342" s="76">
        <f>COUNTIF('10月'!D7:E7,H$337)+COUNTIF('10月'!I7:J7,H$337)+COUNTIF('10月'!N7:O7,H$337)+COUNTIF('10月'!S7:T7,H$337)+COUNTIF('10月'!X7:Y7,H$337)+COUNTIF('10月'!AC7:AD7,H$337)+COUNTIF('10月'!AH7:AI7,H$337)+COUNTIF('10月'!AM7:AN7,H$337)+COUNTIF('10月'!AR7:AS7,H$337)+COUNTIF('10月'!AW7:AX7,H$337)+COUNTIF('10月'!BB7:BC7,H$337)+COUNTIF('10月'!BG7:BH7,H$337)+COUNTIF('10月'!BL7:BM7,H$337)+COUNTIF('10月'!BQ7:BR7,H$337)+COUNTIF('10月'!BV7:BW7,H$337)+COUNTIF('10月'!CA7:CB7,H$337)+COUNTIF('10月'!CF7:CG7,H$337)+COUNTIF('10月'!CK7:CL7,H$337)+COUNTIF('10月'!CP7:CQ7,H$337)+COUNTIF('10月'!CU7:CV7,H$337)+COUNTIF('10月'!CZ7:DA7,H$337)+COUNTIF('10月'!DE7:DF7,H$337)+COUNTIF('10月'!DJ7:DK7,H$337)+COUNTIF('10月'!DO7:DP7,H$337)+COUNTIF('10月'!DT7:DU7,H$337)+COUNTIF('10月'!DY7:DZ7,H$337)+COUNTIF('10月'!ED7:EE7,H$337)+COUNTIF('10月'!EI7:EJ7,H$337)+COUNTIF('10月'!EN7:EO7,H$337)+COUNTIF('10月'!ES7:ET7,H$337)+COUNTIF('10月'!D7:E7,"渋谷-夜勤")+COUNTIF('10月'!I7:J7,"渋谷-夜勤")+COUNTIF('10月'!N7:O7,"渋谷-夜勤")+COUNTIF('10月'!S7:T7,"渋谷-夜勤")+COUNTIF('10月'!X7:Y7,"渋谷-夜勤")+COUNTIF('10月'!AC7:AD7,"渋谷-夜勤")+COUNTIF('10月'!AH7:AI7,"渋谷-夜勤")+COUNTIF('10月'!AM7:AN7,"渋谷-夜勤")+COUNTIF('10月'!AR7:AS7,"渋谷-夜勤")+COUNTIF('10月'!AW7:AX7,"渋谷-夜勤")+COUNTIF('10月'!BB7:BC7,"渋谷-夜勤")+COUNTIF('10月'!BG7:BH7,"渋谷-夜勤")+COUNTIF('10月'!BL7:BM7,"渋谷-夜勤")+COUNTIF('10月'!BQ7:BR7,"渋谷-夜勤")+COUNTIF('10月'!BV7:BW7,"渋谷-夜勤")+COUNTIF('10月'!CA7:CB7,"渋谷-夜勤")+COUNTIF('10月'!CF7:CG7,"渋谷-夜勤")+COUNTIF('10月'!CK7:CL7,"渋谷-夜勤")+COUNTIF('10月'!CP7:CQ7,"渋谷-夜勤")+COUNTIF('10月'!CU7:CV7,"渋谷-夜勤")+COUNTIF('10月'!CZ7:DA7,"渋谷-夜勤")+COUNTIF('10月'!DE7:DF7,"渋谷-夜勤")+COUNTIF('10月'!DJ7:DK7,"渋谷-夜勤")+COUNTIF('10月'!DO7:DP7,"渋谷-夜勤")+COUNTIF('10月'!DT7:DU7,"渋谷-夜勤")+COUNTIF('10月'!DY7:DZ7,"渋谷-夜勤")+COUNTIF('10月'!ED7:EE7,"渋谷-夜勤")+COUNTIF('10月'!EI7:EJ7,"渋谷-夜勤")+COUNTIF('10月'!EN7:EO7,"渋谷-夜勤")+COUNTIF('10月'!ES7:ET7,"渋谷-夜勤")</f>
        <v>0</v>
      </c>
      <c r="I342" s="76">
        <f t="shared" si="111"/>
        <v>0</v>
      </c>
      <c r="J342" s="76">
        <f>COUNTIF('10月'!D7:E7,J$337)+COUNTIF('10月'!I7:J7,J$337)+COUNTIF('10月'!N7:O7,J$337)+COUNTIF('10月'!S7:T7,J$337)+COUNTIF('10月'!X7:Y7,J$337)+COUNTIF('10月'!AC7:AD7,J$337)+COUNTIF('10月'!AH7:AI7,J$337)+COUNTIF('10月'!AM7:AN7,J$337)+COUNTIF('10月'!AR7:AS7,J$337)+COUNTIF('10月'!AW7:AX7,J$337)+COUNTIF('10月'!BB7:BC7,J$337)+COUNTIF('10月'!BG7:BH7,J$337)+COUNTIF('10月'!BL7:BM7,J$337)+COUNTIF('10月'!BQ7:BR7,J$337)+COUNTIF('10月'!BV7:BW7,J$337)+COUNTIF('10月'!CA7:CB7,J$337)+COUNTIF('10月'!CF7:CG7,J$337)+COUNTIF('10月'!CK7:CL7,J$337)+COUNTIF('10月'!CP7:CQ7,J$337)+COUNTIF('10月'!CU7:CV7,J$337)+COUNTIF('10月'!CZ7:DA7,J$337)+COUNTIF('10月'!DE7:DF7,J$337)+COUNTIF('10月'!DJ7:DK7,J$337)+COUNTIF('10月'!DO7:DP7,J$337)+COUNTIF('10月'!DT7:DU7,J$337)+COUNTIF('10月'!DY7:DZ7,J$337)+COUNTIF('10月'!ED7:EE7,J$337)+COUNTIF('10月'!EI7:EJ7,J$337)+COUNTIF('10月'!EN7:EO7,J$337)+COUNTIF('10月'!ES7:ET7,J$337)+COUNTIF('10月'!D7:E7,"六本木-夜勤")+COUNTIF('10月'!I7:J7,"六本木-夜勤")+COUNTIF('10月'!N7:O7,"六本木-夜勤")+COUNTIF('10月'!S7:T7,"六本木-夜勤")+COUNTIF('10月'!X7:Y7,"六本木-夜勤")+COUNTIF('10月'!AC7:AD7,"六本木-夜勤")+COUNTIF('10月'!AH7:AI7,"六本木-夜勤")+COUNTIF('10月'!AM7:AN7,"六本木-夜勤")+COUNTIF('10月'!AR7:AS7,"六本木-夜勤")+COUNTIF('10月'!AW7:AX7,"六本木-夜勤")+COUNTIF('10月'!BB7:BC7,"六本木-夜勤")+COUNTIF('10月'!BG7:BH7,"六本木-夜勤")+COUNTIF('10月'!BL7:BM7,"六本木-夜勤")+COUNTIF('10月'!BQ7:BR7,"六本木-夜勤")+COUNTIF('10月'!BV7:BW7,"六本木-夜勤")+COUNTIF('10月'!CA7:CB7,"六本木-夜勤")+COUNTIF('10月'!CF7:CG7,"六本木-夜勤")+COUNTIF('10月'!CK7:CL7,"六本木-夜勤")+COUNTIF('10月'!CP7:CQ7,"六本木-夜勤")+COUNTIF('10月'!CU7:CV7,"六本木-夜勤")+COUNTIF('10月'!CZ7:DA7,"六本木-夜勤")+COUNTIF('10月'!DE7:DF7,"六本木-夜勤")+COUNTIF('10月'!DJ7:DK7,"六本木-夜勤")+COUNTIF('10月'!DO7:DP7,"六本木-夜勤")+COUNTIF('10月'!DT7:DU7,"六本木-夜勤")+COUNTIF('10月'!DY7:DZ7,"六本木-夜勤")+COUNTIF('10月'!ED7:EE7,"六本木-夜勤")+COUNTIF('10月'!EI7:EJ7,"六本木-夜勤")+COUNTIF('10月'!EN7:EO7,"六本木-夜勤")+COUNTIF('10月'!ES7:ET7,"六本木-夜勤")+COUNTIF('10月'!D7:E7,"六本木ー夜勤")+COUNTIF('10月'!I7:J7,"六本木ー夜勤")+COUNTIF('10月'!N7:O7,"六本木ー夜勤")+COUNTIF('10月'!S7:T7,"六本木ー夜勤")+COUNTIF('10月'!X7:Y7,"六本木ー夜勤")+COUNTIF('10月'!AC7:AD7,"六本木ー夜勤")+COUNTIF('10月'!AH7:AI7,"六本木ー夜勤")+COUNTIF('10月'!AM7:AN7,"六本木ー夜勤")+COUNTIF('10月'!AR7:AS7,"六本木ー夜勤")+COUNTIF('10月'!AW7:AX7,"六本木ー夜勤")+COUNTIF('10月'!BB7:BC7,"六本木ー夜勤")+COUNTIF('10月'!BG7:BH7,"六本木ー夜勤")+COUNTIF('10月'!BL7:BM7,"六本木ー夜勤")+COUNTIF('10月'!BQ7:BR7,"六本木ー夜勤")+COUNTIF('10月'!BV7:BW7,"六本木ー夜勤")+COUNTIF('10月'!CA7:CB7,"六本木ー夜勤")+COUNTIF('10月'!CF7:CG7,"六本木ー夜勤")+COUNTIF('10月'!CK7:CL7,"六本木ー夜勤")+COUNTIF('10月'!CP7:CQ7,"六本木ー夜勤")+COUNTIF('10月'!CU7:CV7,"六本木ー夜勤")+COUNTIF('10月'!CZ7:DA7,"六本木ー夜勤")+COUNTIF('10月'!DE7:DF7,"六本木ー夜勤")+COUNTIF('10月'!DJ7:DK7,"六本木ー夜勤")+COUNTIF('10月'!DO7:DP7,"六本木ー夜勤")+COUNTIF('10月'!DT7:DU7,"六本木ー夜勤")+COUNTIF('10月'!DY7:DZ7,"六本木ー夜勤")+COUNTIF('10月'!ED7:EE7,"六本木ー夜勤")+COUNTIF('10月'!EI7:EJ7,"六本木ー夜勤")+COUNTIF('10月'!EN7:EO7,"六本木ー夜勤")+COUNTIF('10月'!ES7:ET7,"六本木ー夜勤")</f>
        <v>0</v>
      </c>
      <c r="K342" s="76">
        <f t="shared" si="112"/>
        <v>0</v>
      </c>
      <c r="L342" s="76">
        <f>COUNTIF('10月'!D7:E7,L$337)+COUNTIF('10月'!I7:J7,L$337)+COUNTIF('10月'!N7:O7,L$337)+COUNTIF('10月'!S7:T7,L$337)+COUNTIF('10月'!X7:Y7,L$337)+COUNTIF('10月'!AC7:AD7,L$337)+COUNTIF('10月'!AH7:AI7,L$337)+COUNTIF('10月'!AM7:AN7,L$337)+COUNTIF('10月'!AR7:AS7,L$337)+COUNTIF('10月'!AW7:AX7,L$337)+COUNTIF('10月'!BB7:BC7,L$337)+COUNTIF('10月'!BG7:BH7,L$337)+COUNTIF('10月'!BL7:BM7,L$337)+COUNTIF('10月'!BQ7:BR7,L$337)+COUNTIF('10月'!BV7:BW7,L$337)+COUNTIF('10月'!CA7:CB7,L$337)+COUNTIF('10月'!CF7:CG7,L$337)+COUNTIF('10月'!CK7:CL7,L$337)+COUNTIF('10月'!CP7:CQ7,L$337)+COUNTIF('10月'!CU7:CV7,L$337)+COUNTIF('10月'!CZ7:DA7,L$337)+COUNTIF('10月'!DE7:DF7,L$337)+COUNTIF('10月'!DJ7:DK7,L$337)+COUNTIF('10月'!DO7:DP7,L$337)+COUNTIF('10月'!DT7:DU7,L$337)+COUNTIF('10月'!DY7:DZ7,L$337)+COUNTIF('10月'!ED7:EE7,L$337)+COUNTIF('10月'!EI7:EJ7,L$337)+COUNTIF('10月'!EN7:EO7,L$337)+COUNTIF('10月'!ES7:ET7,L$337)</f>
        <v>0</v>
      </c>
      <c r="M342" s="76">
        <f t="shared" si="113"/>
        <v>0</v>
      </c>
      <c r="N342" s="76">
        <f>COUNTIF('10月'!D7:E7,N$337)+COUNTIF('10月'!I7:J7,N$337)+COUNTIF('10月'!N7:O7,N$337)+COUNTIF('10月'!S7:T7,N$337)+COUNTIF('10月'!X7:Y7,N$337)+COUNTIF('10月'!AC7:AD7,N$337)+COUNTIF('10月'!AH7:AI7,N$337)+COUNTIF('10月'!AM7:AN7,N$337)+COUNTIF('10月'!AR7:AS7,N$337)+COUNTIF('10月'!AW7:AX7,N$337)+COUNTIF('10月'!BB7:BC7,N$337)+COUNTIF('10月'!BG7:BH7,N$337)+COUNTIF('10月'!BL7:BM7,N$337)+COUNTIF('10月'!BQ7:BR7,N$337)+COUNTIF('10月'!BV7:BW7,N$337)+COUNTIF('10月'!CA7:CB7,N$337)+COUNTIF('10月'!CF7:CG7,N$337)+COUNTIF('10月'!CK7:CL7,N$337)+COUNTIF('10月'!CP7:CQ7,N$337)+COUNTIF('10月'!CU7:CV7,N$337)+COUNTIF('10月'!CZ7:DA7,N$337)+COUNTIF('10月'!DE7:DF7,N$337)+COUNTIF('10月'!DJ7:DK7,N$337)+COUNTIF('10月'!DO7:DP7,N$337)+COUNTIF('10月'!DT7:DU7,N$337)+COUNTIF('10月'!DY7:DZ7,N$337)+COUNTIF('10月'!ED7:EE7,N$337)+COUNTIF('10月'!EI7:EJ7,N$337)+COUNTIF('10月'!EN7:EO7,N$337)+COUNTIF('10月'!ES7:ET7,N$337)+COUNTIF('10月'!D7:E7,"三軒茶屋－夜勤")+COUNTIF('10月'!I7:J7,"三軒茶屋－夜勤")+COUNTIF('10月'!N7:O7,"三軒茶屋－夜勤")+COUNTIF('10月'!S7:T7,"三軒茶屋－夜勤")+COUNTIF('10月'!X7:Y7,"三軒茶屋－夜勤")+COUNTIF('10月'!AC7:AD7,"三軒茶屋－夜勤")+COUNTIF('10月'!AH7:AI7,"三軒茶屋－夜勤")+COUNTIF('10月'!AM7:AN7,"三軒茶屋－夜勤")+COUNTIF('10月'!AR7:AS7,"三軒茶屋－夜勤")+COUNTIF('10月'!AW7:AX7,"三軒茶屋－夜勤")+COUNTIF('10月'!BB7:BC7,"三軒茶屋－夜勤")+COUNTIF('10月'!BG7:BH7,"三軒茶屋－夜勤")+COUNTIF('10月'!BL7:BM7,"三軒茶屋－夜勤")+COUNTIF('10月'!BQ7:BR7,"三軒茶屋－夜勤")+COUNTIF('10月'!BV7:BW7,"三軒茶屋－夜勤")+COUNTIF('10月'!CA7:CB7,"三軒茶屋－夜勤")+COUNTIF('10月'!CF7:CG7,"三軒茶屋－夜勤")+COUNTIF('10月'!CK7:CL7,"三軒茶屋－夜勤")+COUNTIF('10月'!CP7:CQ7,"三軒茶屋－夜勤")+COUNTIF('10月'!CU7:CV7,"三軒茶屋－夜勤")+COUNTIF('10月'!CZ7:DA7,"三軒茶屋－夜勤")+COUNTIF('10月'!DE7:DF7,"三軒茶屋－夜勤")+COUNTIF('10月'!DJ7:DK7,"三軒茶屋－夜勤")+COUNTIF('10月'!DO7:DP7,"三軒茶屋－夜勤")+COUNTIF('10月'!DT7:DU7,"三軒茶屋－夜勤")+COUNTIF('10月'!DY7:DZ7,"三軒茶屋－夜勤")+COUNTIF('10月'!ED7:EE7,"三軒茶屋－夜勤")+COUNTIF('10月'!EI7:EJ7,"三軒茶屋－夜勤")+COUNTIF('10月'!EN7:EO7,"三軒茶屋－夜勤")+COUNTIF('10月'!ES7:ET7,"三軒茶屋－夜勤")</f>
        <v>0</v>
      </c>
      <c r="O342" s="76">
        <f t="shared" si="114"/>
        <v>0</v>
      </c>
      <c r="P342" s="76">
        <f>COUNTIF('10月'!D7:E7,P$337)+COUNTIF('10月'!I7:J7,P$337)+COUNTIF('10月'!N7:O7,P$337)+COUNTIF('10月'!S7:T7,P$337)+COUNTIF('10月'!X7:Y7,P$337)+COUNTIF('10月'!AC7:AD7,P$337)+COUNTIF('10月'!AH7:AI7,P$337)+COUNTIF('10月'!AM7:AN7,P$337)+COUNTIF('10月'!AR7:AS7,P$337)+COUNTIF('10月'!AW7:AX7,P$337)+COUNTIF('10月'!BB7:BC7,P$337)+COUNTIF('10月'!BG7:BH7,P$337)+COUNTIF('10月'!BL7:BM7,P$337)+COUNTIF('10月'!BQ7:BR7,P$337)+COUNTIF('10月'!BV7:BW7,P$337)+COUNTIF('10月'!CA7:CB7,P$337)+COUNTIF('10月'!CF7:CG7,P$337)+COUNTIF('10月'!CK7:CL7,P$337)+COUNTIF('10月'!CP7:CQ7,P$337)+COUNTIF('10月'!CU7:CV7,P$337)+COUNTIF('10月'!CZ7:DA7,P$337)+COUNTIF('10月'!DE7:DF7,P$337)+COUNTIF('10月'!DJ7:DK7,P$337)+COUNTIF('10月'!DO7:DP7,P$337)+COUNTIF('10月'!DT7:DU7,P$337)+COUNTIF('10月'!DY7:DZ7,P$337)+COUNTIF('10月'!ED7:EE7,P$337)+COUNTIF('10月'!EI7:EJ7,P$337)+COUNTIF('10月'!EN7:EO7,P$337)+COUNTIF('10月'!ES7:ET7,P$337)+COUNTIF('10月'!D7:E7,"荻窪ー夜勤")+COUNTIF('10月'!I7:J7,"荻窪ー夜勤")+COUNTIF('10月'!N7:O7,"荻窪ー夜勤")+COUNTIF('10月'!S7:T7,"荻窪ー夜勤")+COUNTIF('10月'!X7:Y7,"荻窪ー夜勤")+COUNTIF('10月'!AC7:AD7,"荻窪ー夜勤")+COUNTIF('10月'!AH7:AI7,"荻窪ー夜勤")+COUNTIF('10月'!AM7:AN7,"荻窪ー夜勤")+COUNTIF('10月'!AR7:AS7,"荻窪ー夜勤")+COUNTIF('10月'!AW7:AX7,"荻窪ー夜勤")+COUNTIF('10月'!BB7:BC7,"荻窪ー夜勤")+COUNTIF('10月'!BG7:BH7,"荻窪ー夜勤")+COUNTIF('10月'!BL7:BM7,"荻窪ー夜勤")+COUNTIF('10月'!BQ7:BR7,"荻窪ー夜勤")+COUNTIF('10月'!BV7:BW7,"荻窪ー夜勤")+COUNTIF('10月'!CA7:CB7,"荻窪ー夜勤")+COUNTIF('10月'!CF7:CG7,"荻窪ー夜勤")+COUNTIF('10月'!CK7:CL7,"荻窪ー夜勤")+COUNTIF('10月'!CP7:CQ7,"荻窪ー夜勤")+COUNTIF('10月'!CU7:CV7,"荻窪ー夜勤")+COUNTIF('10月'!CZ7:DA7,"荻窪ー夜勤")+COUNTIF('10月'!DE7:DF7,"荻窪ー夜勤")+COUNTIF('10月'!DJ7:DK7,"荻窪ー夜勤")+COUNTIF('10月'!DO7:DP7,"荻窪ー夜勤")+COUNTIF('10月'!DT7:DU7,"荻窪ー夜勤")+COUNTIF('10月'!DY7:DZ7,"荻窪ー夜勤")+COUNTIF('10月'!ED7:EE7,"荻窪ー夜勤")+COUNTIF('10月'!EI7:EJ7,"荻窪ー夜勤")+COUNTIF('10月'!EN7:EO7,"荻窪ー夜勤")+COUNTIF('10月'!ES7:ET7,"荻窪ー夜勤")</f>
        <v>0</v>
      </c>
      <c r="Q342" s="76">
        <f t="shared" si="115"/>
        <v>0</v>
      </c>
      <c r="R342" s="76">
        <f>COUNTIF('10月'!D7:E7,R$337)+COUNTIF('10月'!I7:J7,R$337)+COUNTIF('10月'!N7:O7,R$337)+COUNTIF('10月'!S7:T7,R$337)+COUNTIF('10月'!X7:Y7,R$337)+COUNTIF('10月'!AC7:AD7,R$337)+COUNTIF('10月'!AH7:AI7,R$337)+COUNTIF('10月'!AM7:AN7,R$337)+COUNTIF('10月'!AR7:AS7,R$337)+COUNTIF('10月'!AW7:AX7,R$337)+COUNTIF('10月'!BB7:BC7,R$337)+COUNTIF('10月'!BG7:BH7,R$337)+COUNTIF('10月'!BL7:BM7,R$337)+COUNTIF('10月'!BQ7:BR7,R$337)+COUNTIF('10月'!BV7:BW7,R$337)+COUNTIF('10月'!CA7:CB7,R$337)+COUNTIF('10月'!CF7:CG7,R$337)+COUNTIF('10月'!CK7:CL7,R$337)+COUNTIF('10月'!CP7:CQ7,R$337)+COUNTIF('10月'!CU7:CV7,R$337)+COUNTIF('10月'!CZ7:DA7,R$337)+COUNTIF('10月'!DE7:DF7,R$337)+COUNTIF('10月'!DJ7:DK7,R$337)+COUNTIF('10月'!DO7:DP7,R$337)+COUNTIF('10月'!DT7:DU7,R$337)+COUNTIF('10月'!DY7:DZ7,R$337)+COUNTIF('10月'!ED7:EE7,R$337)+COUNTIF('10月'!EI7:EJ7,R$337)+COUNTIF('10月'!EN7:EO7,R$337)+COUNTIF('10月'!ES7:ET7,R$337)</f>
        <v>0</v>
      </c>
      <c r="S342" s="76">
        <f t="shared" si="116"/>
        <v>0</v>
      </c>
      <c r="T342" s="76">
        <f>COUNTIF('10月'!D7:E7,T$337)+COUNTIF('10月'!I7:J7,T$337)+COUNTIF('10月'!N7:O7,T$337)+COUNTIF('10月'!S7:T7,T$337)+COUNTIF('10月'!X7:Y7,T$337)+COUNTIF('10月'!AC7:AD7,T$337)+COUNTIF('10月'!AH7:AI7,T$337)+COUNTIF('10月'!AM7:AN7,T$337)+COUNTIF('10月'!AR7:AS7,T$337)+COUNTIF('10月'!AW7:AX7,T$337)+COUNTIF('10月'!BB7:BC7,T$337)+COUNTIF('10月'!BG7:BH7,T$337)+COUNTIF('10月'!BL7:BM7,T$337)+COUNTIF('10月'!BQ7:BR7,T$337)+COUNTIF('10月'!BV7:BW7,T$337)+COUNTIF('10月'!CA7:CB7,T$337)+COUNTIF('10月'!CF7:CG7,T$337)+COUNTIF('10月'!CK7:CL7,T$337)+COUNTIF('10月'!CP7:CQ7,T$337)+COUNTIF('10月'!CU7:CV7,T$337)+COUNTIF('10月'!CZ7:DA7,T$337)+COUNTIF('10月'!DE7:DF7,T$337)+COUNTIF('10月'!DJ7:DK7,T$337)+COUNTIF('10月'!DO7:DP7,T$337)+COUNTIF('10月'!DT7:DU7,T$337)+COUNTIF('10月'!DY7:DZ7,T$337)+COUNTIF('10月'!ED7:EE7,T$337)+COUNTIF('10月'!EI7:EJ7,T$337)+COUNTIF('10月'!EN7:EO7,T$337)+COUNTIF('10月'!ES7:ET7,T$337)</f>
        <v>0</v>
      </c>
      <c r="U342" s="76">
        <f t="shared" si="117"/>
        <v>0</v>
      </c>
      <c r="V342" s="76">
        <f>COUNTIF('10月'!D7:E7,V$337)+COUNTIF('10月'!I7:J7,V$337)+COUNTIF('10月'!N7:O7,V$337)+COUNTIF('10月'!S7:T7,V$337)+COUNTIF('10月'!X7:Y7,V$337)+COUNTIF('10月'!AC7:AD7,V$337)+COUNTIF('10月'!AH7:AI7,V$337)+COUNTIF('10月'!AM7:AN7,V$337)+COUNTIF('10月'!AR7:AS7,V$337)+COUNTIF('10月'!AW7:AX7,V$337)+COUNTIF('10月'!BB7:BC7,V$337)+COUNTIF('10月'!BG7:BH7,V$337)+COUNTIF('10月'!BL7:BM7,V$337)+COUNTIF('10月'!BQ7:BR7,V$337)+COUNTIF('10月'!BV7:BW7,V$337)+COUNTIF('10月'!CA7:CB7,V$337)+COUNTIF('10月'!CF7:CG7,V$337)+COUNTIF('10月'!CK7:CL7,V$337)+COUNTIF('10月'!CP7:CQ7,V$337)+COUNTIF('10月'!CU7:CV7,V$337)+COUNTIF('10月'!CZ7:DA7,V$337)+COUNTIF('10月'!DE7:DF7,V$337)+COUNTIF('10月'!DJ7:DK7,V$337)+COUNTIF('10月'!DO7:DP7,V$337)+COUNTIF('10月'!DT7:DU7,V$337)+COUNTIF('10月'!DY7:DZ7,V$337)+COUNTIF('10月'!ED7:EE7,V$337)+COUNTIF('10月'!EI7:EJ7,V$337)+COUNTIF('10月'!EN7:EO7,V$337)+COUNTIF('10月'!ES7:ET7,V$337)</f>
        <v>0</v>
      </c>
      <c r="W342" s="76">
        <f t="shared" si="118"/>
        <v>0</v>
      </c>
      <c r="X342" s="76">
        <f>COUNTIF('10月'!D7:E7,X$337)+COUNTIF('10月'!I7:J7,X$337)+COUNTIF('10月'!N7:O7,X$337)+COUNTIF('10月'!S7:T7,X$337)+COUNTIF('10月'!X7:Y7,X$337)+COUNTIF('10月'!AC7:AD7,X$337)+COUNTIF('10月'!AH7:AI7,X$337)+COUNTIF('10月'!AM7:AN7,X$337)+COUNTIF('10月'!AR7:AS7,X$337)+COUNTIF('10月'!AW7:AX7,X$337)+COUNTIF('10月'!BB7:BC7,X$337)+COUNTIF('10月'!BG7:BH7,X$337)+COUNTIF('10月'!BL7:BM7,X$337)+COUNTIF('10月'!BQ7:BR7,X$337)+COUNTIF('10月'!BV7:BW7,X$337)+COUNTIF('10月'!CA7:CB7,X$337)+COUNTIF('10月'!CF7:CG7,X$337)+COUNTIF('10月'!CK7:CL7,X$337)+COUNTIF('10月'!CP7:CQ7,X$337)+COUNTIF('10月'!CU7:CV7,X$337)+COUNTIF('10月'!CZ7:DA7,X$337)+COUNTIF('10月'!DE7:DF7,X$337)+COUNTIF('10月'!DJ7:DK7,X$337)+COUNTIF('10月'!DO7:DP7,X$337)+COUNTIF('10月'!DT7:DU7,X$337)+COUNTIF('10月'!DY7:DZ7,X$337)+COUNTIF('10月'!ED7:EE7,X$337)+COUNTIF('10月'!EI7:EJ7,X$337)+COUNTIF('10月'!EN7:EO7,X$337)+COUNTIF('10月'!ES7:ET7,X$337)</f>
        <v>0</v>
      </c>
      <c r="Y342" s="76">
        <f t="shared" si="119"/>
        <v>0</v>
      </c>
    </row>
    <row r="343" spans="1:25" ht="18" customHeight="1">
      <c r="A343" s="76">
        <v>5</v>
      </c>
      <c r="B343" s="76">
        <f>COUNTIF('10月'!D8:E8,B$337)+COUNTIF('10月'!I8:J8,B$337)+COUNTIF('10月'!N8:O8,B$337)+COUNTIF('10月'!S8:T8,B$337)+COUNTIF('10月'!X8:Y8,B$337)+COUNTIF('10月'!AC8:AD8,B$337)+COUNTIF('10月'!AH8:AI8,B$337)+COUNTIF('10月'!AM8:AN8,B$337)+COUNTIF('10月'!AR8:AS8,B$337)+COUNTIF('10月'!AW8:AX8,B$337)+COUNTIF('10月'!BB8:BC8,B$337)+COUNTIF('10月'!BG8:BH8,B$337)+COUNTIF('10月'!BL8:BM8,B$337)+COUNTIF('10月'!BQ8:BR8,B$337)+COUNTIF('10月'!BV8:BW8,B$337)+COUNTIF('10月'!CA8:CB8,B$337)+COUNTIF('10月'!CF8:CG8,B$337)+COUNTIF('10月'!CK8:CL8,B$337)+COUNTIF('10月'!CP8:CQ8,B$337)+COUNTIF('10月'!CU8:CV8,B$337)+COUNTIF('10月'!CZ8:DA8,B$337)+COUNTIF('10月'!DE8:DF8,B$337)+COUNTIF('10月'!DJ8:DK8,B$337)+COUNTIF('10月'!DO8:DP8,B$337)+COUNTIF('10月'!DT8:DU8,B$337)+COUNTIF('10月'!DY8:DZ8,B$337)+COUNTIF('10月'!ED8:EE8,B$337)+COUNTIF('10月'!EI8:EJ8,B$337)+COUNTIF('10月'!EN8:EO8,B$337)+COUNTIF('10月'!ES8:ET8,B$337)</f>
        <v>0</v>
      </c>
      <c r="C343" s="76">
        <f t="shared" si="108"/>
        <v>0</v>
      </c>
      <c r="D343" s="76">
        <f>COUNTIF('10月'!D8:E8,D$337)+COUNTIF('10月'!I8:J8,D$337)+COUNTIF('10月'!N8:O8,D$337)+COUNTIF('10月'!S8:T8,D$337)+COUNTIF('10月'!X8:Y8,D$337)+COUNTIF('10月'!AC8:AD8,D$337)+COUNTIF('10月'!AH8:AI8,D$337)+COUNTIF('10月'!AM8:AN8,D$337)+COUNTIF('10月'!AR8:AS8,D$337)+COUNTIF('10月'!AW8:AX8,D$337)+COUNTIF('10月'!BB8:BC8,D$337)+COUNTIF('10月'!BG8:BH8,D$337)+COUNTIF('10月'!BL8:BM8,D$337)+COUNTIF('10月'!BQ8:BR8,D$337)+COUNTIF('10月'!BV8:BW8,D$337)+COUNTIF('10月'!CA8:CB8,D$337)+COUNTIF('10月'!CF8:CG8,D$337)+COUNTIF('10月'!CK8:CL8,D$337)+COUNTIF('10月'!CP8:CQ8,D$337)+COUNTIF('10月'!CU8:CV8,D$337)+COUNTIF('10月'!CZ8:DA8,D$337)+COUNTIF('10月'!DE8:DF8,D$337)+COUNTIF('10月'!DJ8:DK8,D$337)+COUNTIF('10月'!DO8:DP8,D$337)+COUNTIF('10月'!DT8:DU8,D$337)+COUNTIF('10月'!DY8:DZ8,D$337)+COUNTIF('10月'!ED8:EE8,D$337)+COUNTIF('10月'!EI8:EJ8,D$337)+COUNTIF('10月'!EN8:EO8,D$337)+COUNTIF('10月'!ES8:ET8,D$337)</f>
        <v>0</v>
      </c>
      <c r="E343" s="76">
        <f t="shared" si="109"/>
        <v>0</v>
      </c>
      <c r="F343" s="76">
        <f>COUNTIF('10月'!D8:E8,F$337)+COUNTIF('10月'!I8:J8,F$337)+COUNTIF('10月'!N8:O8,F$337)+COUNTIF('10月'!S8:T8,F$337)+COUNTIF('10月'!X8:Y8,F$337)+COUNTIF('10月'!AC8:AD8,F$337)+COUNTIF('10月'!AH8:AI8,F$337)+COUNTIF('10月'!AM8:AN8,F$337)+COUNTIF('10月'!AR8:AS8,F$337)+COUNTIF('10月'!AW8:AX8,F$337)+COUNTIF('10月'!BB8:BC8,F$337)+COUNTIF('10月'!BG8:BH8,F$337)+COUNTIF('10月'!BL8:BM8,F$337)+COUNTIF('10月'!BQ8:BR8,F$337)+COUNTIF('10月'!BV8:BW8,F$337)+COUNTIF('10月'!CA8:CB8,F$337)+COUNTIF('10月'!CF8:CG8,F$337)+COUNTIF('10月'!CK8:CL8,F$337)+COUNTIF('10月'!CP8:CQ8,F$337)+COUNTIF('10月'!CU8:CV8,F$337)+COUNTIF('10月'!CZ8:DA8,F$337)+COUNTIF('10月'!DE8:DF8,F$337)+COUNTIF('10月'!DJ8:DK8,F$337)+COUNTIF('10月'!DO8:DP8,F$337)+COUNTIF('10月'!DT8:DU8,F$337)+COUNTIF('10月'!DY8:DZ8,F$337)+COUNTIF('10月'!ED8:EE8,F$337)+COUNTIF('10月'!EI8:EJ8,F$337)+COUNTIF('10月'!EN8:EO8,F$337)+COUNTIF('10月'!ES8:ET8,F$337)</f>
        <v>0</v>
      </c>
      <c r="G343" s="76">
        <f t="shared" si="110"/>
        <v>0</v>
      </c>
      <c r="H343" s="76">
        <f>COUNTIF('10月'!D8:E8,H$337)+COUNTIF('10月'!I8:J8,H$337)+COUNTIF('10月'!N8:O8,H$337)+COUNTIF('10月'!S8:T8,H$337)+COUNTIF('10月'!X8:Y8,H$337)+COUNTIF('10月'!AC8:AD8,H$337)+COUNTIF('10月'!AH8:AI8,H$337)+COUNTIF('10月'!AM8:AN8,H$337)+COUNTIF('10月'!AR8:AS8,H$337)+COUNTIF('10月'!AW8:AX8,H$337)+COUNTIF('10月'!BB8:BC8,H$337)+COUNTIF('10月'!BG8:BH8,H$337)+COUNTIF('10月'!BL8:BM8,H$337)+COUNTIF('10月'!BQ8:BR8,H$337)+COUNTIF('10月'!BV8:BW8,H$337)+COUNTIF('10月'!CA8:CB8,H$337)+COUNTIF('10月'!CF8:CG8,H$337)+COUNTIF('10月'!CK8:CL8,H$337)+COUNTIF('10月'!CP8:CQ8,H$337)+COUNTIF('10月'!CU8:CV8,H$337)+COUNTIF('10月'!CZ8:DA8,H$337)+COUNTIF('10月'!DE8:DF8,H$337)+COUNTIF('10月'!DJ8:DK8,H$337)+COUNTIF('10月'!DO8:DP8,H$337)+COUNTIF('10月'!DT8:DU8,H$337)+COUNTIF('10月'!DY8:DZ8,H$337)+COUNTIF('10月'!ED8:EE8,H$337)+COUNTIF('10月'!EI8:EJ8,H$337)+COUNTIF('10月'!EN8:EO8,H$337)+COUNTIF('10月'!ES8:ET8,H$337)+COUNTIF('10月'!D8:E8,"渋谷-夜勤")+COUNTIF('10月'!I8:J8,"渋谷-夜勤")+COUNTIF('10月'!N8:O8,"渋谷-夜勤")+COUNTIF('10月'!S8:T8,"渋谷-夜勤")+COUNTIF('10月'!X8:Y8,"渋谷-夜勤")+COUNTIF('10月'!AC8:AD8,"渋谷-夜勤")+COUNTIF('10月'!AH8:AI8,"渋谷-夜勤")+COUNTIF('10月'!AM8:AN8,"渋谷-夜勤")+COUNTIF('10月'!AR8:AS8,"渋谷-夜勤")+COUNTIF('10月'!AW8:AX8,"渋谷-夜勤")+COUNTIF('10月'!BB8:BC8,"渋谷-夜勤")+COUNTIF('10月'!BG8:BH8,"渋谷-夜勤")+COUNTIF('10月'!BL8:BM8,"渋谷-夜勤")+COUNTIF('10月'!BQ8:BR8,"渋谷-夜勤")+COUNTIF('10月'!BV8:BW8,"渋谷-夜勤")+COUNTIF('10月'!CA8:CB8,"渋谷-夜勤")+COUNTIF('10月'!CF8:CG8,"渋谷-夜勤")+COUNTIF('10月'!CK8:CL8,"渋谷-夜勤")+COUNTIF('10月'!CP8:CQ8,"渋谷-夜勤")+COUNTIF('10月'!CU8:CV8,"渋谷-夜勤")+COUNTIF('10月'!CZ8:DA8,"渋谷-夜勤")+COUNTIF('10月'!DE8:DF8,"渋谷-夜勤")+COUNTIF('10月'!DJ8:DK8,"渋谷-夜勤")+COUNTIF('10月'!DO8:DP8,"渋谷-夜勤")+COUNTIF('10月'!DT8:DU8,"渋谷-夜勤")+COUNTIF('10月'!DY8:DZ8,"渋谷-夜勤")+COUNTIF('10月'!ED8:EE8,"渋谷-夜勤")+COUNTIF('10月'!EI8:EJ8,"渋谷-夜勤")+COUNTIF('10月'!EN8:EO8,"渋谷-夜勤")+COUNTIF('10月'!ES8:ET8,"渋谷-夜勤")</f>
        <v>0</v>
      </c>
      <c r="I343" s="76">
        <f t="shared" si="111"/>
        <v>0</v>
      </c>
      <c r="J343" s="76">
        <f>COUNTIF('10月'!D8:E8,J$337)+COUNTIF('10月'!I8:J8,J$337)+COUNTIF('10月'!N8:O8,J$337)+COUNTIF('10月'!S8:T8,J$337)+COUNTIF('10月'!X8:Y8,J$337)+COUNTIF('10月'!AC8:AD8,J$337)+COUNTIF('10月'!AH8:AI8,J$337)+COUNTIF('10月'!AM8:AN8,J$337)+COUNTIF('10月'!AR8:AS8,J$337)+COUNTIF('10月'!AW8:AX8,J$337)+COUNTIF('10月'!BB8:BC8,J$337)+COUNTIF('10月'!BG8:BH8,J$337)+COUNTIF('10月'!BL8:BM8,J$337)+COUNTIF('10月'!BQ8:BR8,J$337)+COUNTIF('10月'!BV8:BW8,J$337)+COUNTIF('10月'!CA8:CB8,J$337)+COUNTIF('10月'!CF8:CG8,J$337)+COUNTIF('10月'!CK8:CL8,J$337)+COUNTIF('10月'!CP8:CQ8,J$337)+COUNTIF('10月'!CU8:CV8,J$337)+COUNTIF('10月'!CZ8:DA8,J$337)+COUNTIF('10月'!DE8:DF8,J$337)+COUNTIF('10月'!DJ8:DK8,J$337)+COUNTIF('10月'!DO8:DP8,J$337)+COUNTIF('10月'!DT8:DU8,J$337)+COUNTIF('10月'!DY8:DZ8,J$337)+COUNTIF('10月'!ED8:EE8,J$337)+COUNTIF('10月'!EI8:EJ8,J$337)+COUNTIF('10月'!EN8:EO8,J$337)+COUNTIF('10月'!ES8:ET8,J$337)+COUNTIF('10月'!D8:E8,"六本木-夜勤")+COUNTIF('10月'!I8:J8,"六本木-夜勤")+COUNTIF('10月'!N8:O8,"六本木-夜勤")+COUNTIF('10月'!S8:T8,"六本木-夜勤")+COUNTIF('10月'!X8:Y8,"六本木-夜勤")+COUNTIF('10月'!AC8:AD8,"六本木-夜勤")+COUNTIF('10月'!AH8:AI8,"六本木-夜勤")+COUNTIF('10月'!AM8:AN8,"六本木-夜勤")+COUNTIF('10月'!AR8:AS8,"六本木-夜勤")+COUNTIF('10月'!AW8:AX8,"六本木-夜勤")+COUNTIF('10月'!BB8:BC8,"六本木-夜勤")+COUNTIF('10月'!BG8:BH8,"六本木-夜勤")+COUNTIF('10月'!BL8:BM8,"六本木-夜勤")+COUNTIF('10月'!BQ8:BR8,"六本木-夜勤")+COUNTIF('10月'!BV8:BW8,"六本木-夜勤")+COUNTIF('10月'!CA8:CB8,"六本木-夜勤")+COUNTIF('10月'!CF8:CG8,"六本木-夜勤")+COUNTIF('10月'!CK8:CL8,"六本木-夜勤")+COUNTIF('10月'!CP8:CQ8,"六本木-夜勤")+COUNTIF('10月'!CU8:CV8,"六本木-夜勤")+COUNTIF('10月'!CZ8:DA8,"六本木-夜勤")+COUNTIF('10月'!DE8:DF8,"六本木-夜勤")+COUNTIF('10月'!DJ8:DK8,"六本木-夜勤")+COUNTIF('10月'!DO8:DP8,"六本木-夜勤")+COUNTIF('10月'!DT8:DU8,"六本木-夜勤")+COUNTIF('10月'!DY8:DZ8,"六本木-夜勤")+COUNTIF('10月'!ED8:EE8,"六本木-夜勤")+COUNTIF('10月'!EI8:EJ8,"六本木-夜勤")+COUNTIF('10月'!EN8:EO8,"六本木-夜勤")+COUNTIF('10月'!ES8:ET8,"六本木-夜勤")+COUNTIF('10月'!D8:E8,"六本木ー夜勤")+COUNTIF('10月'!I8:J8,"六本木ー夜勤")+COUNTIF('10月'!N8:O8,"六本木ー夜勤")+COUNTIF('10月'!S8:T8,"六本木ー夜勤")+COUNTIF('10月'!X8:Y8,"六本木ー夜勤")+COUNTIF('10月'!AC8:AD8,"六本木ー夜勤")+COUNTIF('10月'!AH8:AI8,"六本木ー夜勤")+COUNTIF('10月'!AM8:AN8,"六本木ー夜勤")+COUNTIF('10月'!AR8:AS8,"六本木ー夜勤")+COUNTIF('10月'!AW8:AX8,"六本木ー夜勤")+COUNTIF('10月'!BB8:BC8,"六本木ー夜勤")+COUNTIF('10月'!BG8:BH8,"六本木ー夜勤")+COUNTIF('10月'!BL8:BM8,"六本木ー夜勤")+COUNTIF('10月'!BQ8:BR8,"六本木ー夜勤")+COUNTIF('10月'!BV8:BW8,"六本木ー夜勤")+COUNTIF('10月'!CA8:CB8,"六本木ー夜勤")+COUNTIF('10月'!CF8:CG8,"六本木ー夜勤")+COUNTIF('10月'!CK8:CL8,"六本木ー夜勤")+COUNTIF('10月'!CP8:CQ8,"六本木ー夜勤")+COUNTIF('10月'!CU8:CV8,"六本木ー夜勤")+COUNTIF('10月'!CZ8:DA8,"六本木ー夜勤")+COUNTIF('10月'!DE8:DF8,"六本木ー夜勤")+COUNTIF('10月'!DJ8:DK8,"六本木ー夜勤")+COUNTIF('10月'!DO8:DP8,"六本木ー夜勤")+COUNTIF('10月'!DT8:DU8,"六本木ー夜勤")+COUNTIF('10月'!DY8:DZ8,"六本木ー夜勤")+COUNTIF('10月'!ED8:EE8,"六本木ー夜勤")+COUNTIF('10月'!EI8:EJ8,"六本木ー夜勤")+COUNTIF('10月'!EN8:EO8,"六本木ー夜勤")+COUNTIF('10月'!ES8:ET8,"六本木ー夜勤")</f>
        <v>0</v>
      </c>
      <c r="K343" s="76">
        <f t="shared" si="112"/>
        <v>0</v>
      </c>
      <c r="L343" s="76">
        <f>COUNTIF('10月'!D8:E8,L$337)+COUNTIF('10月'!I8:J8,L$337)+COUNTIF('10月'!N8:O8,L$337)+COUNTIF('10月'!S8:T8,L$337)+COUNTIF('10月'!X8:Y8,L$337)+COUNTIF('10月'!AC8:AD8,L$337)+COUNTIF('10月'!AH8:AI8,L$337)+COUNTIF('10月'!AM8:AN8,L$337)+COUNTIF('10月'!AR8:AS8,L$337)+COUNTIF('10月'!AW8:AX8,L$337)+COUNTIF('10月'!BB8:BC8,L$337)+COUNTIF('10月'!BG8:BH8,L$337)+COUNTIF('10月'!BL8:BM8,L$337)+COUNTIF('10月'!BQ8:BR8,L$337)+COUNTIF('10月'!BV8:BW8,L$337)+COUNTIF('10月'!CA8:CB8,L$337)+COUNTIF('10月'!CF8:CG8,L$337)+COUNTIF('10月'!CK8:CL8,L$337)+COUNTIF('10月'!CP8:CQ8,L$337)+COUNTIF('10月'!CU8:CV8,L$337)+COUNTIF('10月'!CZ8:DA8,L$337)+COUNTIF('10月'!DE8:DF8,L$337)+COUNTIF('10月'!DJ8:DK8,L$337)+COUNTIF('10月'!DO8:DP8,L$337)+COUNTIF('10月'!DT8:DU8,L$337)+COUNTIF('10月'!DY8:DZ8,L$337)+COUNTIF('10月'!ED8:EE8,L$337)+COUNTIF('10月'!EI8:EJ8,L$337)+COUNTIF('10月'!EN8:EO8,L$337)+COUNTIF('10月'!ES8:ET8,L$337)</f>
        <v>0</v>
      </c>
      <c r="M343" s="76">
        <f t="shared" si="113"/>
        <v>0</v>
      </c>
      <c r="N343" s="76">
        <f>COUNTIF('10月'!D8:E8,N$337)+COUNTIF('10月'!I8:J8,N$337)+COUNTIF('10月'!N8:O8,N$337)+COUNTIF('10月'!S8:T8,N$337)+COUNTIF('10月'!X8:Y8,N$337)+COUNTIF('10月'!AC8:AD8,N$337)+COUNTIF('10月'!AH8:AI8,N$337)+COUNTIF('10月'!AM8:AN8,N$337)+COUNTIF('10月'!AR8:AS8,N$337)+COUNTIF('10月'!AW8:AX8,N$337)+COUNTIF('10月'!BB8:BC8,N$337)+COUNTIF('10月'!BG8:BH8,N$337)+COUNTIF('10月'!BL8:BM8,N$337)+COUNTIF('10月'!BQ8:BR8,N$337)+COUNTIF('10月'!BV8:BW8,N$337)+COUNTIF('10月'!CA8:CB8,N$337)+COUNTIF('10月'!CF8:CG8,N$337)+COUNTIF('10月'!CK8:CL8,N$337)+COUNTIF('10月'!CP8:CQ8,N$337)+COUNTIF('10月'!CU8:CV8,N$337)+COUNTIF('10月'!CZ8:DA8,N$337)+COUNTIF('10月'!DE8:DF8,N$337)+COUNTIF('10月'!DJ8:DK8,N$337)+COUNTIF('10月'!DO8:DP8,N$337)+COUNTIF('10月'!DT8:DU8,N$337)+COUNTIF('10月'!DY8:DZ8,N$337)+COUNTIF('10月'!ED8:EE8,N$337)+COUNTIF('10月'!EI8:EJ8,N$337)+COUNTIF('10月'!EN8:EO8,N$337)+COUNTIF('10月'!ES8:ET8,N$337)+COUNTIF('10月'!D8:E8,"三軒茶屋－夜勤")+COUNTIF('10月'!I8:J8,"三軒茶屋－夜勤")+COUNTIF('10月'!N8:O8,"三軒茶屋－夜勤")+COUNTIF('10月'!S8:T8,"三軒茶屋－夜勤")+COUNTIF('10月'!X8:Y8,"三軒茶屋－夜勤")+COUNTIF('10月'!AC8:AD8,"三軒茶屋－夜勤")+COUNTIF('10月'!AH8:AI8,"三軒茶屋－夜勤")+COUNTIF('10月'!AM8:AN8,"三軒茶屋－夜勤")+COUNTIF('10月'!AR8:AS8,"三軒茶屋－夜勤")+COUNTIF('10月'!AW8:AX8,"三軒茶屋－夜勤")+COUNTIF('10月'!BB8:BC8,"三軒茶屋－夜勤")+COUNTIF('10月'!BG8:BH8,"三軒茶屋－夜勤")+COUNTIF('10月'!BL8:BM8,"三軒茶屋－夜勤")+COUNTIF('10月'!BQ8:BR8,"三軒茶屋－夜勤")+COUNTIF('10月'!BV8:BW8,"三軒茶屋－夜勤")+COUNTIF('10月'!CA8:CB8,"三軒茶屋－夜勤")+COUNTIF('10月'!CF8:CG8,"三軒茶屋－夜勤")+COUNTIF('10月'!CK8:CL8,"三軒茶屋－夜勤")+COUNTIF('10月'!CP8:CQ8,"三軒茶屋－夜勤")+COUNTIF('10月'!CU8:CV8,"三軒茶屋－夜勤")+COUNTIF('10月'!CZ8:DA8,"三軒茶屋－夜勤")+COUNTIF('10月'!DE8:DF8,"三軒茶屋－夜勤")+COUNTIF('10月'!DJ8:DK8,"三軒茶屋－夜勤")+COUNTIF('10月'!DO8:DP8,"三軒茶屋－夜勤")+COUNTIF('10月'!DT8:DU8,"三軒茶屋－夜勤")+COUNTIF('10月'!DY8:DZ8,"三軒茶屋－夜勤")+COUNTIF('10月'!ED8:EE8,"三軒茶屋－夜勤")+COUNTIF('10月'!EI8:EJ8,"三軒茶屋－夜勤")+COUNTIF('10月'!EN8:EO8,"三軒茶屋－夜勤")+COUNTIF('10月'!ES8:ET8,"三軒茶屋－夜勤")</f>
        <v>0</v>
      </c>
      <c r="O343" s="76">
        <f t="shared" si="114"/>
        <v>0</v>
      </c>
      <c r="P343" s="76">
        <f>COUNTIF('10月'!D8:E8,P$337)+COUNTIF('10月'!I8:J8,P$337)+COUNTIF('10月'!N8:O8,P$337)+COUNTIF('10月'!S8:T8,P$337)+COUNTIF('10月'!X8:Y8,P$337)+COUNTIF('10月'!AC8:AD8,P$337)+COUNTIF('10月'!AH8:AI8,P$337)+COUNTIF('10月'!AM8:AN8,P$337)+COUNTIF('10月'!AR8:AS8,P$337)+COUNTIF('10月'!AW8:AX8,P$337)+COUNTIF('10月'!BB8:BC8,P$337)+COUNTIF('10月'!BG8:BH8,P$337)+COUNTIF('10月'!BL8:BM8,P$337)+COUNTIF('10月'!BQ8:BR8,P$337)+COUNTIF('10月'!BV8:BW8,P$337)+COUNTIF('10月'!CA8:CB8,P$337)+COUNTIF('10月'!CF8:CG8,P$337)+COUNTIF('10月'!CK8:CL8,P$337)+COUNTIF('10月'!CP8:CQ8,P$337)+COUNTIF('10月'!CU8:CV8,P$337)+COUNTIF('10月'!CZ8:DA8,P$337)+COUNTIF('10月'!DE8:DF8,P$337)+COUNTIF('10月'!DJ8:DK8,P$337)+COUNTIF('10月'!DO8:DP8,P$337)+COUNTIF('10月'!DT8:DU8,P$337)+COUNTIF('10月'!DY8:DZ8,P$337)+COUNTIF('10月'!ED8:EE8,P$337)+COUNTIF('10月'!EI8:EJ8,P$337)+COUNTIF('10月'!EN8:EO8,P$337)+COUNTIF('10月'!ES8:ET8,P$337)+COUNTIF('10月'!D8:E8,"荻窪ー夜勤")+COUNTIF('10月'!I8:J8,"荻窪ー夜勤")+COUNTIF('10月'!N8:O8,"荻窪ー夜勤")+COUNTIF('10月'!S8:T8,"荻窪ー夜勤")+COUNTIF('10月'!X8:Y8,"荻窪ー夜勤")+COUNTIF('10月'!AC8:AD8,"荻窪ー夜勤")+COUNTIF('10月'!AH8:AI8,"荻窪ー夜勤")+COUNTIF('10月'!AM8:AN8,"荻窪ー夜勤")+COUNTIF('10月'!AR8:AS8,"荻窪ー夜勤")+COUNTIF('10月'!AW8:AX8,"荻窪ー夜勤")+COUNTIF('10月'!BB8:BC8,"荻窪ー夜勤")+COUNTIF('10月'!BG8:BH8,"荻窪ー夜勤")+COUNTIF('10月'!BL8:BM8,"荻窪ー夜勤")+COUNTIF('10月'!BQ8:BR8,"荻窪ー夜勤")+COUNTIF('10月'!BV8:BW8,"荻窪ー夜勤")+COUNTIF('10月'!CA8:CB8,"荻窪ー夜勤")+COUNTIF('10月'!CF8:CG8,"荻窪ー夜勤")+COUNTIF('10月'!CK8:CL8,"荻窪ー夜勤")+COUNTIF('10月'!CP8:CQ8,"荻窪ー夜勤")+COUNTIF('10月'!CU8:CV8,"荻窪ー夜勤")+COUNTIF('10月'!CZ8:DA8,"荻窪ー夜勤")+COUNTIF('10月'!DE8:DF8,"荻窪ー夜勤")+COUNTIF('10月'!DJ8:DK8,"荻窪ー夜勤")+COUNTIF('10月'!DO8:DP8,"荻窪ー夜勤")+COUNTIF('10月'!DT8:DU8,"荻窪ー夜勤")+COUNTIF('10月'!DY8:DZ8,"荻窪ー夜勤")+COUNTIF('10月'!ED8:EE8,"荻窪ー夜勤")+COUNTIF('10月'!EI8:EJ8,"荻窪ー夜勤")+COUNTIF('10月'!EN8:EO8,"荻窪ー夜勤")+COUNTIF('10月'!ES8:ET8,"荻窪ー夜勤")</f>
        <v>0</v>
      </c>
      <c r="Q343" s="76">
        <f t="shared" si="115"/>
        <v>0</v>
      </c>
      <c r="R343" s="76">
        <f>COUNTIF('10月'!D8:E8,R$337)+COUNTIF('10月'!I8:J8,R$337)+COUNTIF('10月'!N8:O8,R$337)+COUNTIF('10月'!S8:T8,R$337)+COUNTIF('10月'!X8:Y8,R$337)+COUNTIF('10月'!AC8:AD8,R$337)+COUNTIF('10月'!AH8:AI8,R$337)+COUNTIF('10月'!AM8:AN8,R$337)+COUNTIF('10月'!AR8:AS8,R$337)+COUNTIF('10月'!AW8:AX8,R$337)+COUNTIF('10月'!BB8:BC8,R$337)+COUNTIF('10月'!BG8:BH8,R$337)+COUNTIF('10月'!BL8:BM8,R$337)+COUNTIF('10月'!BQ8:BR8,R$337)+COUNTIF('10月'!BV8:BW8,R$337)+COUNTIF('10月'!CA8:CB8,R$337)+COUNTIF('10月'!CF8:CG8,R$337)+COUNTIF('10月'!CK8:CL8,R$337)+COUNTIF('10月'!CP8:CQ8,R$337)+COUNTIF('10月'!CU8:CV8,R$337)+COUNTIF('10月'!CZ8:DA8,R$337)+COUNTIF('10月'!DE8:DF8,R$337)+COUNTIF('10月'!DJ8:DK8,R$337)+COUNTIF('10月'!DO8:DP8,R$337)+COUNTIF('10月'!DT8:DU8,R$337)+COUNTIF('10月'!DY8:DZ8,R$337)+COUNTIF('10月'!ED8:EE8,R$337)+COUNTIF('10月'!EI8:EJ8,R$337)+COUNTIF('10月'!EN8:EO8,R$337)+COUNTIF('10月'!ES8:ET8,R$337)</f>
        <v>0</v>
      </c>
      <c r="S343" s="76">
        <f t="shared" si="116"/>
        <v>0</v>
      </c>
      <c r="T343" s="76">
        <f>COUNTIF('10月'!D8:E8,T$337)+COUNTIF('10月'!I8:J8,T$337)+COUNTIF('10月'!N8:O8,T$337)+COUNTIF('10月'!S8:T8,T$337)+COUNTIF('10月'!X8:Y8,T$337)+COUNTIF('10月'!AC8:AD8,T$337)+COUNTIF('10月'!AH8:AI8,T$337)+COUNTIF('10月'!AM8:AN8,T$337)+COUNTIF('10月'!AR8:AS8,T$337)+COUNTIF('10月'!AW8:AX8,T$337)+COUNTIF('10月'!BB8:BC8,T$337)+COUNTIF('10月'!BG8:BH8,T$337)+COUNTIF('10月'!BL8:BM8,T$337)+COUNTIF('10月'!BQ8:BR8,T$337)+COUNTIF('10月'!BV8:BW8,T$337)+COUNTIF('10月'!CA8:CB8,T$337)+COUNTIF('10月'!CF8:CG8,T$337)+COUNTIF('10月'!CK8:CL8,T$337)+COUNTIF('10月'!CP8:CQ8,T$337)+COUNTIF('10月'!CU8:CV8,T$337)+COUNTIF('10月'!CZ8:DA8,T$337)+COUNTIF('10月'!DE8:DF8,T$337)+COUNTIF('10月'!DJ8:DK8,T$337)+COUNTIF('10月'!DO8:DP8,T$337)+COUNTIF('10月'!DT8:DU8,T$337)+COUNTIF('10月'!DY8:DZ8,T$337)+COUNTIF('10月'!ED8:EE8,T$337)+COUNTIF('10月'!EI8:EJ8,T$337)+COUNTIF('10月'!EN8:EO8,T$337)+COUNTIF('10月'!ES8:ET8,T$337)</f>
        <v>0</v>
      </c>
      <c r="U343" s="76">
        <f t="shared" si="117"/>
        <v>0</v>
      </c>
      <c r="V343" s="76">
        <f>COUNTIF('10月'!D8:E8,V$337)+COUNTIF('10月'!I8:J8,V$337)+COUNTIF('10月'!N8:O8,V$337)+COUNTIF('10月'!S8:T8,V$337)+COUNTIF('10月'!X8:Y8,V$337)+COUNTIF('10月'!AC8:AD8,V$337)+COUNTIF('10月'!AH8:AI8,V$337)+COUNTIF('10月'!AM8:AN8,V$337)+COUNTIF('10月'!AR8:AS8,V$337)+COUNTIF('10月'!AW8:AX8,V$337)+COUNTIF('10月'!BB8:BC8,V$337)+COUNTIF('10月'!BG8:BH8,V$337)+COUNTIF('10月'!BL8:BM8,V$337)+COUNTIF('10月'!BQ8:BR8,V$337)+COUNTIF('10月'!BV8:BW8,V$337)+COUNTIF('10月'!CA8:CB8,V$337)+COUNTIF('10月'!CF8:CG8,V$337)+COUNTIF('10月'!CK8:CL8,V$337)+COUNTIF('10月'!CP8:CQ8,V$337)+COUNTIF('10月'!CU8:CV8,V$337)+COUNTIF('10月'!CZ8:DA8,V$337)+COUNTIF('10月'!DE8:DF8,V$337)+COUNTIF('10月'!DJ8:DK8,V$337)+COUNTIF('10月'!DO8:DP8,V$337)+COUNTIF('10月'!DT8:DU8,V$337)+COUNTIF('10月'!DY8:DZ8,V$337)+COUNTIF('10月'!ED8:EE8,V$337)+COUNTIF('10月'!EI8:EJ8,V$337)+COUNTIF('10月'!EN8:EO8,V$337)+COUNTIF('10月'!ES8:ET8,V$337)</f>
        <v>0</v>
      </c>
      <c r="W343" s="76">
        <f t="shared" si="118"/>
        <v>0</v>
      </c>
      <c r="X343" s="76">
        <f>COUNTIF('10月'!D8:E8,X$337)+COUNTIF('10月'!I8:J8,X$337)+COUNTIF('10月'!N8:O8,X$337)+COUNTIF('10月'!S8:T8,X$337)+COUNTIF('10月'!X8:Y8,X$337)+COUNTIF('10月'!AC8:AD8,X$337)+COUNTIF('10月'!AH8:AI8,X$337)+COUNTIF('10月'!AM8:AN8,X$337)+COUNTIF('10月'!AR8:AS8,X$337)+COUNTIF('10月'!AW8:AX8,X$337)+COUNTIF('10月'!BB8:BC8,X$337)+COUNTIF('10月'!BG8:BH8,X$337)+COUNTIF('10月'!BL8:BM8,X$337)+COUNTIF('10月'!BQ8:BR8,X$337)+COUNTIF('10月'!BV8:BW8,X$337)+COUNTIF('10月'!CA8:CB8,X$337)+COUNTIF('10月'!CF8:CG8,X$337)+COUNTIF('10月'!CK8:CL8,X$337)+COUNTIF('10月'!CP8:CQ8,X$337)+COUNTIF('10月'!CU8:CV8,X$337)+COUNTIF('10月'!CZ8:DA8,X$337)+COUNTIF('10月'!DE8:DF8,X$337)+COUNTIF('10月'!DJ8:DK8,X$337)+COUNTIF('10月'!DO8:DP8,X$337)+COUNTIF('10月'!DT8:DU8,X$337)+COUNTIF('10月'!DY8:DZ8,X$337)+COUNTIF('10月'!ED8:EE8,X$337)+COUNTIF('10月'!EI8:EJ8,X$337)+COUNTIF('10月'!EN8:EO8,X$337)+COUNTIF('10月'!ES8:ET8,X$337)</f>
        <v>0</v>
      </c>
      <c r="Y343" s="76">
        <f t="shared" si="119"/>
        <v>0</v>
      </c>
    </row>
    <row r="344" spans="1:25" ht="18" customHeight="1">
      <c r="A344" s="76">
        <v>6</v>
      </c>
      <c r="B344" s="76">
        <f>COUNTIF('10月'!D9:E9,B$337)+COUNTIF('10月'!I9:J9,B$337)+COUNTIF('10月'!N9:O9,B$337)+COUNTIF('10月'!S9:T9,B$337)+COUNTIF('10月'!X9:Y9,B$337)+COUNTIF('10月'!AC9:AD9,B$337)+COUNTIF('10月'!AH9:AI9,B$337)+COUNTIF('10月'!AM9:AN9,B$337)+COUNTIF('10月'!AR9:AS9,B$337)+COUNTIF('10月'!AW9:AX9,B$337)+COUNTIF('10月'!BB9:BC9,B$337)+COUNTIF('10月'!BG9:BH9,B$337)+COUNTIF('10月'!BL9:BM9,B$337)+COUNTIF('10月'!BQ9:BR9,B$337)+COUNTIF('10月'!BV9:BW9,B$337)+COUNTIF('10月'!CA9:CB9,B$337)+COUNTIF('10月'!CF9:CG9,B$337)+COUNTIF('10月'!CK9:CL9,B$337)+COUNTIF('10月'!CP9:CQ9,B$337)+COUNTIF('10月'!CU9:CV9,B$337)+COUNTIF('10月'!CZ9:DA9,B$337)+COUNTIF('10月'!DE9:DF9,B$337)+COUNTIF('10月'!DJ9:DK9,B$337)+COUNTIF('10月'!DO9:DP9,B$337)+COUNTIF('10月'!DT9:DU9,B$337)+COUNTIF('10月'!DY9:DZ9,B$337)+COUNTIF('10月'!ED9:EE9,B$337)+COUNTIF('10月'!EI9:EJ9,B$337)+COUNTIF('10月'!EN9:EO9,B$337)+COUNTIF('10月'!ES9:ET9,B$337)</f>
        <v>0</v>
      </c>
      <c r="C344" s="76">
        <f t="shared" si="108"/>
        <v>0</v>
      </c>
      <c r="D344" s="76">
        <f>COUNTIF('10月'!D9:E9,D$337)+COUNTIF('10月'!I9:J9,D$337)+COUNTIF('10月'!N9:O9,D$337)+COUNTIF('10月'!S9:T9,D$337)+COUNTIF('10月'!X9:Y9,D$337)+COUNTIF('10月'!AC9:AD9,D$337)+COUNTIF('10月'!AH9:AI9,D$337)+COUNTIF('10月'!AM9:AN9,D$337)+COUNTIF('10月'!AR9:AS9,D$337)+COUNTIF('10月'!AW9:AX9,D$337)+COUNTIF('10月'!BB9:BC9,D$337)+COUNTIF('10月'!BG9:BH9,D$337)+COUNTIF('10月'!BL9:BM9,D$337)+COUNTIF('10月'!BQ9:BR9,D$337)+COUNTIF('10月'!BV9:BW9,D$337)+COUNTIF('10月'!CA9:CB9,D$337)+COUNTIF('10月'!CF9:CG9,D$337)+COUNTIF('10月'!CK9:CL9,D$337)+COUNTIF('10月'!CP9:CQ9,D$337)+COUNTIF('10月'!CU9:CV9,D$337)+COUNTIF('10月'!CZ9:DA9,D$337)+COUNTIF('10月'!DE9:DF9,D$337)+COUNTIF('10月'!DJ9:DK9,D$337)+COUNTIF('10月'!DO9:DP9,D$337)+COUNTIF('10月'!DT9:DU9,D$337)+COUNTIF('10月'!DY9:DZ9,D$337)+COUNTIF('10月'!ED9:EE9,D$337)+COUNTIF('10月'!EI9:EJ9,D$337)+COUNTIF('10月'!EN9:EO9,D$337)+COUNTIF('10月'!ES9:ET9,D$337)</f>
        <v>0</v>
      </c>
      <c r="E344" s="76">
        <f t="shared" si="109"/>
        <v>0</v>
      </c>
      <c r="F344" s="76">
        <f>COUNTIF('10月'!D9:E9,F$337)+COUNTIF('10月'!I9:J9,F$337)+COUNTIF('10月'!N9:O9,F$337)+COUNTIF('10月'!S9:T9,F$337)+COUNTIF('10月'!X9:Y9,F$337)+COUNTIF('10月'!AC9:AD9,F$337)+COUNTIF('10月'!AH9:AI9,F$337)+COUNTIF('10月'!AM9:AN9,F$337)+COUNTIF('10月'!AR9:AS9,F$337)+COUNTIF('10月'!AW9:AX9,F$337)+COUNTIF('10月'!BB9:BC9,F$337)+COUNTIF('10月'!BG9:BH9,F$337)+COUNTIF('10月'!BL9:BM9,F$337)+COUNTIF('10月'!BQ9:BR9,F$337)+COUNTIF('10月'!BV9:BW9,F$337)+COUNTIF('10月'!CA9:CB9,F$337)+COUNTIF('10月'!CF9:CG9,F$337)+COUNTIF('10月'!CK9:CL9,F$337)+COUNTIF('10月'!CP9:CQ9,F$337)+COUNTIF('10月'!CU9:CV9,F$337)+COUNTIF('10月'!CZ9:DA9,F$337)+COUNTIF('10月'!DE9:DF9,F$337)+COUNTIF('10月'!DJ9:DK9,F$337)+COUNTIF('10月'!DO9:DP9,F$337)+COUNTIF('10月'!DT9:DU9,F$337)+COUNTIF('10月'!DY9:DZ9,F$337)+COUNTIF('10月'!ED9:EE9,F$337)+COUNTIF('10月'!EI9:EJ9,F$337)+COUNTIF('10月'!EN9:EO9,F$337)+COUNTIF('10月'!ES9:ET9,F$337)</f>
        <v>0</v>
      </c>
      <c r="G344" s="76">
        <f t="shared" si="110"/>
        <v>0</v>
      </c>
      <c r="H344" s="76">
        <f>COUNTIF('10月'!D9:E9,H$337)+COUNTIF('10月'!I9:J9,H$337)+COUNTIF('10月'!N9:O9,H$337)+COUNTIF('10月'!S9:T9,H$337)+COUNTIF('10月'!X9:Y9,H$337)+COUNTIF('10月'!AC9:AD9,H$337)+COUNTIF('10月'!AH9:AI9,H$337)+COUNTIF('10月'!AM9:AN9,H$337)+COUNTIF('10月'!AR9:AS9,H$337)+COUNTIF('10月'!AW9:AX9,H$337)+COUNTIF('10月'!BB9:BC9,H$337)+COUNTIF('10月'!BG9:BH9,H$337)+COUNTIF('10月'!BL9:BM9,H$337)+COUNTIF('10月'!BQ9:BR9,H$337)+COUNTIF('10月'!BV9:BW9,H$337)+COUNTIF('10月'!CA9:CB9,H$337)+COUNTIF('10月'!CF9:CG9,H$337)+COUNTIF('10月'!CK9:CL9,H$337)+COUNTIF('10月'!CP9:CQ9,H$337)+COUNTIF('10月'!CU9:CV9,H$337)+COUNTIF('10月'!CZ9:DA9,H$337)+COUNTIF('10月'!DE9:DF9,H$337)+COUNTIF('10月'!DJ9:DK9,H$337)+COUNTIF('10月'!DO9:DP9,H$337)+COUNTIF('10月'!DT9:DU9,H$337)+COUNTIF('10月'!DY9:DZ9,H$337)+COUNTIF('10月'!ED9:EE9,H$337)+COUNTIF('10月'!EI9:EJ9,H$337)+COUNTIF('10月'!EN9:EO9,H$337)+COUNTIF('10月'!ES9:ET9,H$337)+COUNTIF('10月'!D9:E9,"渋谷-夜勤")+COUNTIF('10月'!I9:J9,"渋谷-夜勤")+COUNTIF('10月'!N9:O9,"渋谷-夜勤")+COUNTIF('10月'!S9:T9,"渋谷-夜勤")+COUNTIF('10月'!X9:Y9,"渋谷-夜勤")+COUNTIF('10月'!AC9:AD9,"渋谷-夜勤")+COUNTIF('10月'!AH9:AI9,"渋谷-夜勤")+COUNTIF('10月'!AM9:AN9,"渋谷-夜勤")+COUNTIF('10月'!AR9:AS9,"渋谷-夜勤")+COUNTIF('10月'!AW9:AX9,"渋谷-夜勤")+COUNTIF('10月'!BB9:BC9,"渋谷-夜勤")+COUNTIF('10月'!BG9:BH9,"渋谷-夜勤")+COUNTIF('10月'!BL9:BM9,"渋谷-夜勤")+COUNTIF('10月'!BQ9:BR9,"渋谷-夜勤")+COUNTIF('10月'!BV9:BW9,"渋谷-夜勤")+COUNTIF('10月'!CA9:CB9,"渋谷-夜勤")+COUNTIF('10月'!CF9:CG9,"渋谷-夜勤")+COUNTIF('10月'!CK9:CL9,"渋谷-夜勤")+COUNTIF('10月'!CP9:CQ9,"渋谷-夜勤")+COUNTIF('10月'!CU9:CV9,"渋谷-夜勤")+COUNTIF('10月'!CZ9:DA9,"渋谷-夜勤")+COUNTIF('10月'!DE9:DF9,"渋谷-夜勤")+COUNTIF('10月'!DJ9:DK9,"渋谷-夜勤")+COUNTIF('10月'!DO9:DP9,"渋谷-夜勤")+COUNTIF('10月'!DT9:DU9,"渋谷-夜勤")+COUNTIF('10月'!DY9:DZ9,"渋谷-夜勤")+COUNTIF('10月'!ED9:EE9,"渋谷-夜勤")+COUNTIF('10月'!EI9:EJ9,"渋谷-夜勤")+COUNTIF('10月'!EN9:EO9,"渋谷-夜勤")+COUNTIF('10月'!ES9:ET9,"渋谷-夜勤")</f>
        <v>0</v>
      </c>
      <c r="I344" s="76">
        <f t="shared" si="111"/>
        <v>0</v>
      </c>
      <c r="J344" s="76">
        <f>COUNTIF('10月'!D9:E9,J$337)+COUNTIF('10月'!I9:J9,J$337)+COUNTIF('10月'!N9:O9,J$337)+COUNTIF('10月'!S9:T9,J$337)+COUNTIF('10月'!X9:Y9,J$337)+COUNTIF('10月'!AC9:AD9,J$337)+COUNTIF('10月'!AH9:AI9,J$337)+COUNTIF('10月'!AM9:AN9,J$337)+COUNTIF('10月'!AR9:AS9,J$337)+COUNTIF('10月'!AW9:AX9,J$337)+COUNTIF('10月'!BB9:BC9,J$337)+COUNTIF('10月'!BG9:BH9,J$337)+COUNTIF('10月'!BL9:BM9,J$337)+COUNTIF('10月'!BQ9:BR9,J$337)+COUNTIF('10月'!BV9:BW9,J$337)+COUNTIF('10月'!CA9:CB9,J$337)+COUNTIF('10月'!CF9:CG9,J$337)+COUNTIF('10月'!CK9:CL9,J$337)+COUNTIF('10月'!CP9:CQ9,J$337)+COUNTIF('10月'!CU9:CV9,J$337)+COUNTIF('10月'!CZ9:DA9,J$337)+COUNTIF('10月'!DE9:DF9,J$337)+COUNTIF('10月'!DJ9:DK9,J$337)+COUNTIF('10月'!DO9:DP9,J$337)+COUNTIF('10月'!DT9:DU9,J$337)+COUNTIF('10月'!DY9:DZ9,J$337)+COUNTIF('10月'!ED9:EE9,J$337)+COUNTIF('10月'!EI9:EJ9,J$337)+COUNTIF('10月'!EN9:EO9,J$337)+COUNTIF('10月'!ES9:ET9,J$337)+COUNTIF('10月'!D9:E9,"六本木-夜勤")+COUNTIF('10月'!I9:J9,"六本木-夜勤")+COUNTIF('10月'!N9:O9,"六本木-夜勤")+COUNTIF('10月'!S9:T9,"六本木-夜勤")+COUNTIF('10月'!X9:Y9,"六本木-夜勤")+COUNTIF('10月'!AC9:AD9,"六本木-夜勤")+COUNTIF('10月'!AH9:AI9,"六本木-夜勤")+COUNTIF('10月'!AM9:AN9,"六本木-夜勤")+COUNTIF('10月'!AR9:AS9,"六本木-夜勤")+COUNTIF('10月'!AW9:AX9,"六本木-夜勤")+COUNTIF('10月'!BB9:BC9,"六本木-夜勤")+COUNTIF('10月'!BG9:BH9,"六本木-夜勤")+COUNTIF('10月'!BL9:BM9,"六本木-夜勤")+COUNTIF('10月'!BQ9:BR9,"六本木-夜勤")+COUNTIF('10月'!BV9:BW9,"六本木-夜勤")+COUNTIF('10月'!CA9:CB9,"六本木-夜勤")+COUNTIF('10月'!CF9:CG9,"六本木-夜勤")+COUNTIF('10月'!CK9:CL9,"六本木-夜勤")+COUNTIF('10月'!CP9:CQ9,"六本木-夜勤")+COUNTIF('10月'!CU9:CV9,"六本木-夜勤")+COUNTIF('10月'!CZ9:DA9,"六本木-夜勤")+COUNTIF('10月'!DE9:DF9,"六本木-夜勤")+COUNTIF('10月'!DJ9:DK9,"六本木-夜勤")+COUNTIF('10月'!DO9:DP9,"六本木-夜勤")+COUNTIF('10月'!DT9:DU9,"六本木-夜勤")+COUNTIF('10月'!DY9:DZ9,"六本木-夜勤")+COUNTIF('10月'!ED9:EE9,"六本木-夜勤")+COUNTIF('10月'!EI9:EJ9,"六本木-夜勤")+COUNTIF('10月'!EN9:EO9,"六本木-夜勤")+COUNTIF('10月'!ES9:ET9,"六本木-夜勤")+COUNTIF('10月'!D9:E9,"六本木ー夜勤")+COUNTIF('10月'!I9:J9,"六本木ー夜勤")+COUNTIF('10月'!N9:O9,"六本木ー夜勤")+COUNTIF('10月'!S9:T9,"六本木ー夜勤")+COUNTIF('10月'!X9:Y9,"六本木ー夜勤")+COUNTIF('10月'!AC9:AD9,"六本木ー夜勤")+COUNTIF('10月'!AH9:AI9,"六本木ー夜勤")+COUNTIF('10月'!AM9:AN9,"六本木ー夜勤")+COUNTIF('10月'!AR9:AS9,"六本木ー夜勤")+COUNTIF('10月'!AW9:AX9,"六本木ー夜勤")+COUNTIF('10月'!BB9:BC9,"六本木ー夜勤")+COUNTIF('10月'!BG9:BH9,"六本木ー夜勤")+COUNTIF('10月'!BL9:BM9,"六本木ー夜勤")+COUNTIF('10月'!BQ9:BR9,"六本木ー夜勤")+COUNTIF('10月'!BV9:BW9,"六本木ー夜勤")+COUNTIF('10月'!CA9:CB9,"六本木ー夜勤")+COUNTIF('10月'!CF9:CG9,"六本木ー夜勤")+COUNTIF('10月'!CK9:CL9,"六本木ー夜勤")+COUNTIF('10月'!CP9:CQ9,"六本木ー夜勤")+COUNTIF('10月'!CU9:CV9,"六本木ー夜勤")+COUNTIF('10月'!CZ9:DA9,"六本木ー夜勤")+COUNTIF('10月'!DE9:DF9,"六本木ー夜勤")+COUNTIF('10月'!DJ9:DK9,"六本木ー夜勤")+COUNTIF('10月'!DO9:DP9,"六本木ー夜勤")+COUNTIF('10月'!DT9:DU9,"六本木ー夜勤")+COUNTIF('10月'!DY9:DZ9,"六本木ー夜勤")+COUNTIF('10月'!ED9:EE9,"六本木ー夜勤")+COUNTIF('10月'!EI9:EJ9,"六本木ー夜勤")+COUNTIF('10月'!EN9:EO9,"六本木ー夜勤")+COUNTIF('10月'!ES9:ET9,"六本木ー夜勤")</f>
        <v>0</v>
      </c>
      <c r="K344" s="76">
        <f t="shared" si="112"/>
        <v>0</v>
      </c>
      <c r="L344" s="76">
        <f>COUNTIF('10月'!D9:E9,L$337)+COUNTIF('10月'!I9:J9,L$337)+COUNTIF('10月'!N9:O9,L$337)+COUNTIF('10月'!S9:T9,L$337)+COUNTIF('10月'!X9:Y9,L$337)+COUNTIF('10月'!AC9:AD9,L$337)+COUNTIF('10月'!AH9:AI9,L$337)+COUNTIF('10月'!AM9:AN9,L$337)+COUNTIF('10月'!AR9:AS9,L$337)+COUNTIF('10月'!AW9:AX9,L$337)+COUNTIF('10月'!BB9:BC9,L$337)+COUNTIF('10月'!BG9:BH9,L$337)+COUNTIF('10月'!BL9:BM9,L$337)+COUNTIF('10月'!BQ9:BR9,L$337)+COUNTIF('10月'!BV9:BW9,L$337)+COUNTIF('10月'!CA9:CB9,L$337)+COUNTIF('10月'!CF9:CG9,L$337)+COUNTIF('10月'!CK9:CL9,L$337)+COUNTIF('10月'!CP9:CQ9,L$337)+COUNTIF('10月'!CU9:CV9,L$337)+COUNTIF('10月'!CZ9:DA9,L$337)+COUNTIF('10月'!DE9:DF9,L$337)+COUNTIF('10月'!DJ9:DK9,L$337)+COUNTIF('10月'!DO9:DP9,L$337)+COUNTIF('10月'!DT9:DU9,L$337)+COUNTIF('10月'!DY9:DZ9,L$337)+COUNTIF('10月'!ED9:EE9,L$337)+COUNTIF('10月'!EI9:EJ9,L$337)+COUNTIF('10月'!EN9:EO9,L$337)+COUNTIF('10月'!ES9:ET9,L$337)</f>
        <v>0</v>
      </c>
      <c r="M344" s="76">
        <f t="shared" si="113"/>
        <v>0</v>
      </c>
      <c r="N344" s="76">
        <f>COUNTIF('10月'!D9:E9,N$337)+COUNTIF('10月'!I9:J9,N$337)+COUNTIF('10月'!N9:O9,N$337)+COUNTIF('10月'!S9:T9,N$337)+COUNTIF('10月'!X9:Y9,N$337)+COUNTIF('10月'!AC9:AD9,N$337)+COUNTIF('10月'!AH9:AI9,N$337)+COUNTIF('10月'!AM9:AN9,N$337)+COUNTIF('10月'!AR9:AS9,N$337)+COUNTIF('10月'!AW9:AX9,N$337)+COUNTIF('10月'!BB9:BC9,N$337)+COUNTIF('10月'!BG9:BH9,N$337)+COUNTIF('10月'!BL9:BM9,N$337)+COUNTIF('10月'!BQ9:BR9,N$337)+COUNTIF('10月'!BV9:BW9,N$337)+COUNTIF('10月'!CA9:CB9,N$337)+COUNTIF('10月'!CF9:CG9,N$337)+COUNTIF('10月'!CK9:CL9,N$337)+COUNTIF('10月'!CP9:CQ9,N$337)+COUNTIF('10月'!CU9:CV9,N$337)+COUNTIF('10月'!CZ9:DA9,N$337)+COUNTIF('10月'!DE9:DF9,N$337)+COUNTIF('10月'!DJ9:DK9,N$337)+COUNTIF('10月'!DO9:DP9,N$337)+COUNTIF('10月'!DT9:DU9,N$337)+COUNTIF('10月'!DY9:DZ9,N$337)+COUNTIF('10月'!ED9:EE9,N$337)+COUNTIF('10月'!EI9:EJ9,N$337)+COUNTIF('10月'!EN9:EO9,N$337)+COUNTIF('10月'!ES9:ET9,N$337)+COUNTIF('10月'!D9:E9,"三軒茶屋－夜勤")+COUNTIF('10月'!I9:J9,"三軒茶屋－夜勤")+COUNTIF('10月'!N9:O9,"三軒茶屋－夜勤")+COUNTIF('10月'!S9:T9,"三軒茶屋－夜勤")+COUNTIF('10月'!X9:Y9,"三軒茶屋－夜勤")+COUNTIF('10月'!AC9:AD9,"三軒茶屋－夜勤")+COUNTIF('10月'!AH9:AI9,"三軒茶屋－夜勤")+COUNTIF('10月'!AM9:AN9,"三軒茶屋－夜勤")+COUNTIF('10月'!AR9:AS9,"三軒茶屋－夜勤")+COUNTIF('10月'!AW9:AX9,"三軒茶屋－夜勤")+COUNTIF('10月'!BB9:BC9,"三軒茶屋－夜勤")+COUNTIF('10月'!BG9:BH9,"三軒茶屋－夜勤")+COUNTIF('10月'!BL9:BM9,"三軒茶屋－夜勤")+COUNTIF('10月'!BQ9:BR9,"三軒茶屋－夜勤")+COUNTIF('10月'!BV9:BW9,"三軒茶屋－夜勤")+COUNTIF('10月'!CA9:CB9,"三軒茶屋－夜勤")+COUNTIF('10月'!CF9:CG9,"三軒茶屋－夜勤")+COUNTIF('10月'!CK9:CL9,"三軒茶屋－夜勤")+COUNTIF('10月'!CP9:CQ9,"三軒茶屋－夜勤")+COUNTIF('10月'!CU9:CV9,"三軒茶屋－夜勤")+COUNTIF('10月'!CZ9:DA9,"三軒茶屋－夜勤")+COUNTIF('10月'!DE9:DF9,"三軒茶屋－夜勤")+COUNTIF('10月'!DJ9:DK9,"三軒茶屋－夜勤")+COUNTIF('10月'!DO9:DP9,"三軒茶屋－夜勤")+COUNTIF('10月'!DT9:DU9,"三軒茶屋－夜勤")+COUNTIF('10月'!DY9:DZ9,"三軒茶屋－夜勤")+COUNTIF('10月'!ED9:EE9,"三軒茶屋－夜勤")+COUNTIF('10月'!EI9:EJ9,"三軒茶屋－夜勤")+COUNTIF('10月'!EN9:EO9,"三軒茶屋－夜勤")+COUNTIF('10月'!ES9:ET9,"三軒茶屋－夜勤")</f>
        <v>0</v>
      </c>
      <c r="O344" s="76">
        <f t="shared" si="114"/>
        <v>0</v>
      </c>
      <c r="P344" s="76">
        <f>COUNTIF('10月'!D9:E9,P$337)+COUNTIF('10月'!I9:J9,P$337)+COUNTIF('10月'!N9:O9,P$337)+COUNTIF('10月'!S9:T9,P$337)+COUNTIF('10月'!X9:Y9,P$337)+COUNTIF('10月'!AC9:AD9,P$337)+COUNTIF('10月'!AH9:AI9,P$337)+COUNTIF('10月'!AM9:AN9,P$337)+COUNTIF('10月'!AR9:AS9,P$337)+COUNTIF('10月'!AW9:AX9,P$337)+COUNTIF('10月'!BB9:BC9,P$337)+COUNTIF('10月'!BG9:BH9,P$337)+COUNTIF('10月'!BL9:BM9,P$337)+COUNTIF('10月'!BQ9:BR9,P$337)+COUNTIF('10月'!BV9:BW9,P$337)+COUNTIF('10月'!CA9:CB9,P$337)+COUNTIF('10月'!CF9:CG9,P$337)+COUNTIF('10月'!CK9:CL9,P$337)+COUNTIF('10月'!CP9:CQ9,P$337)+COUNTIF('10月'!CU9:CV9,P$337)+COUNTIF('10月'!CZ9:DA9,P$337)+COUNTIF('10月'!DE9:DF9,P$337)+COUNTIF('10月'!DJ9:DK9,P$337)+COUNTIF('10月'!DO9:DP9,P$337)+COUNTIF('10月'!DT9:DU9,P$337)+COUNTIF('10月'!DY9:DZ9,P$337)+COUNTIF('10月'!ED9:EE9,P$337)+COUNTIF('10月'!EI9:EJ9,P$337)+COUNTIF('10月'!EN9:EO9,P$337)+COUNTIF('10月'!ES9:ET9,P$337)+COUNTIF('10月'!D9:E9,"荻窪ー夜勤")+COUNTIF('10月'!I9:J9,"荻窪ー夜勤")+COUNTIF('10月'!N9:O9,"荻窪ー夜勤")+COUNTIF('10月'!S9:T9,"荻窪ー夜勤")+COUNTIF('10月'!X9:Y9,"荻窪ー夜勤")+COUNTIF('10月'!AC9:AD9,"荻窪ー夜勤")+COUNTIF('10月'!AH9:AI9,"荻窪ー夜勤")+COUNTIF('10月'!AM9:AN9,"荻窪ー夜勤")+COUNTIF('10月'!AR9:AS9,"荻窪ー夜勤")+COUNTIF('10月'!AW9:AX9,"荻窪ー夜勤")+COUNTIF('10月'!BB9:BC9,"荻窪ー夜勤")+COUNTIF('10月'!BG9:BH9,"荻窪ー夜勤")+COUNTIF('10月'!BL9:BM9,"荻窪ー夜勤")+COUNTIF('10月'!BQ9:BR9,"荻窪ー夜勤")+COUNTIF('10月'!BV9:BW9,"荻窪ー夜勤")+COUNTIF('10月'!CA9:CB9,"荻窪ー夜勤")+COUNTIF('10月'!CF9:CG9,"荻窪ー夜勤")+COUNTIF('10月'!CK9:CL9,"荻窪ー夜勤")+COUNTIF('10月'!CP9:CQ9,"荻窪ー夜勤")+COUNTIF('10月'!CU9:CV9,"荻窪ー夜勤")+COUNTIF('10月'!CZ9:DA9,"荻窪ー夜勤")+COUNTIF('10月'!DE9:DF9,"荻窪ー夜勤")+COUNTIF('10月'!DJ9:DK9,"荻窪ー夜勤")+COUNTIF('10月'!DO9:DP9,"荻窪ー夜勤")+COUNTIF('10月'!DT9:DU9,"荻窪ー夜勤")+COUNTIF('10月'!DY9:DZ9,"荻窪ー夜勤")+COUNTIF('10月'!ED9:EE9,"荻窪ー夜勤")+COUNTIF('10月'!EI9:EJ9,"荻窪ー夜勤")+COUNTIF('10月'!EN9:EO9,"荻窪ー夜勤")+COUNTIF('10月'!ES9:ET9,"荻窪ー夜勤")</f>
        <v>0</v>
      </c>
      <c r="Q344" s="76">
        <f t="shared" si="115"/>
        <v>0</v>
      </c>
      <c r="R344" s="76">
        <f>COUNTIF('10月'!D9:E9,R$337)+COUNTIF('10月'!I9:J9,R$337)+COUNTIF('10月'!N9:O9,R$337)+COUNTIF('10月'!S9:T9,R$337)+COUNTIF('10月'!X9:Y9,R$337)+COUNTIF('10月'!AC9:AD9,R$337)+COUNTIF('10月'!AH9:AI9,R$337)+COUNTIF('10月'!AM9:AN9,R$337)+COUNTIF('10月'!AR9:AS9,R$337)+COUNTIF('10月'!AW9:AX9,R$337)+COUNTIF('10月'!BB9:BC9,R$337)+COUNTIF('10月'!BG9:BH9,R$337)+COUNTIF('10月'!BL9:BM9,R$337)+COUNTIF('10月'!BQ9:BR9,R$337)+COUNTIF('10月'!BV9:BW9,R$337)+COUNTIF('10月'!CA9:CB9,R$337)+COUNTIF('10月'!CF9:CG9,R$337)+COUNTIF('10月'!CK9:CL9,R$337)+COUNTIF('10月'!CP9:CQ9,R$337)+COUNTIF('10月'!CU9:CV9,R$337)+COUNTIF('10月'!CZ9:DA9,R$337)+COUNTIF('10月'!DE9:DF9,R$337)+COUNTIF('10月'!DJ9:DK9,R$337)+COUNTIF('10月'!DO9:DP9,R$337)+COUNTIF('10月'!DT9:DU9,R$337)+COUNTIF('10月'!DY9:DZ9,R$337)+COUNTIF('10月'!ED9:EE9,R$337)+COUNTIF('10月'!EI9:EJ9,R$337)+COUNTIF('10月'!EN9:EO9,R$337)+COUNTIF('10月'!ES9:ET9,R$337)</f>
        <v>0</v>
      </c>
      <c r="S344" s="76">
        <f t="shared" si="116"/>
        <v>0</v>
      </c>
      <c r="T344" s="76">
        <f>COUNTIF('10月'!D9:E9,T$337)+COUNTIF('10月'!I9:J9,T$337)+COUNTIF('10月'!N9:O9,T$337)+COUNTIF('10月'!S9:T9,T$337)+COUNTIF('10月'!X9:Y9,T$337)+COUNTIF('10月'!AC9:AD9,T$337)+COUNTIF('10月'!AH9:AI9,T$337)+COUNTIF('10月'!AM9:AN9,T$337)+COUNTIF('10月'!AR9:AS9,T$337)+COUNTIF('10月'!AW9:AX9,T$337)+COUNTIF('10月'!BB9:BC9,T$337)+COUNTIF('10月'!BG9:BH9,T$337)+COUNTIF('10月'!BL9:BM9,T$337)+COUNTIF('10月'!BQ9:BR9,T$337)+COUNTIF('10月'!BV9:BW9,T$337)+COUNTIF('10月'!CA9:CB9,T$337)+COUNTIF('10月'!CF9:CG9,T$337)+COUNTIF('10月'!CK9:CL9,T$337)+COUNTIF('10月'!CP9:CQ9,T$337)+COUNTIF('10月'!CU9:CV9,T$337)+COUNTIF('10月'!CZ9:DA9,T$337)+COUNTIF('10月'!DE9:DF9,T$337)+COUNTIF('10月'!DJ9:DK9,T$337)+COUNTIF('10月'!DO9:DP9,T$337)+COUNTIF('10月'!DT9:DU9,T$337)+COUNTIF('10月'!DY9:DZ9,T$337)+COUNTIF('10月'!ED9:EE9,T$337)+COUNTIF('10月'!EI9:EJ9,T$337)+COUNTIF('10月'!EN9:EO9,T$337)+COUNTIF('10月'!ES9:ET9,T$337)</f>
        <v>0</v>
      </c>
      <c r="U344" s="76">
        <f t="shared" si="117"/>
        <v>0</v>
      </c>
      <c r="V344" s="76">
        <f>COUNTIF('10月'!D9:E9,V$337)+COUNTIF('10月'!I9:J9,V$337)+COUNTIF('10月'!N9:O9,V$337)+COUNTIF('10月'!S9:T9,V$337)+COUNTIF('10月'!X9:Y9,V$337)+COUNTIF('10月'!AC9:AD9,V$337)+COUNTIF('10月'!AH9:AI9,V$337)+COUNTIF('10月'!AM9:AN9,V$337)+COUNTIF('10月'!AR9:AS9,V$337)+COUNTIF('10月'!AW9:AX9,V$337)+COUNTIF('10月'!BB9:BC9,V$337)+COUNTIF('10月'!BG9:BH9,V$337)+COUNTIF('10月'!BL9:BM9,V$337)+COUNTIF('10月'!BQ9:BR9,V$337)+COUNTIF('10月'!BV9:BW9,V$337)+COUNTIF('10月'!CA9:CB9,V$337)+COUNTIF('10月'!CF9:CG9,V$337)+COUNTIF('10月'!CK9:CL9,V$337)+COUNTIF('10月'!CP9:CQ9,V$337)+COUNTIF('10月'!CU9:CV9,V$337)+COUNTIF('10月'!CZ9:DA9,V$337)+COUNTIF('10月'!DE9:DF9,V$337)+COUNTIF('10月'!DJ9:DK9,V$337)+COUNTIF('10月'!DO9:DP9,V$337)+COUNTIF('10月'!DT9:DU9,V$337)+COUNTIF('10月'!DY9:DZ9,V$337)+COUNTIF('10月'!ED9:EE9,V$337)+COUNTIF('10月'!EI9:EJ9,V$337)+COUNTIF('10月'!EN9:EO9,V$337)+COUNTIF('10月'!ES9:ET9,V$337)</f>
        <v>0</v>
      </c>
      <c r="W344" s="76">
        <f t="shared" si="118"/>
        <v>0</v>
      </c>
      <c r="X344" s="76">
        <f>COUNTIF('10月'!D9:E9,X$337)+COUNTIF('10月'!I9:J9,X$337)+COUNTIF('10月'!N9:O9,X$337)+COUNTIF('10月'!S9:T9,X$337)+COUNTIF('10月'!X9:Y9,X$337)+COUNTIF('10月'!AC9:AD9,X$337)+COUNTIF('10月'!AH9:AI9,X$337)+COUNTIF('10月'!AM9:AN9,X$337)+COUNTIF('10月'!AR9:AS9,X$337)+COUNTIF('10月'!AW9:AX9,X$337)+COUNTIF('10月'!BB9:BC9,X$337)+COUNTIF('10月'!BG9:BH9,X$337)+COUNTIF('10月'!BL9:BM9,X$337)+COUNTIF('10月'!BQ9:BR9,X$337)+COUNTIF('10月'!BV9:BW9,X$337)+COUNTIF('10月'!CA9:CB9,X$337)+COUNTIF('10月'!CF9:CG9,X$337)+COUNTIF('10月'!CK9:CL9,X$337)+COUNTIF('10月'!CP9:CQ9,X$337)+COUNTIF('10月'!CU9:CV9,X$337)+COUNTIF('10月'!CZ9:DA9,X$337)+COUNTIF('10月'!DE9:DF9,X$337)+COUNTIF('10月'!DJ9:DK9,X$337)+COUNTIF('10月'!DO9:DP9,X$337)+COUNTIF('10月'!DT9:DU9,X$337)+COUNTIF('10月'!DY9:DZ9,X$337)+COUNTIF('10月'!ED9:EE9,X$337)+COUNTIF('10月'!EI9:EJ9,X$337)+COUNTIF('10月'!EN9:EO9,X$337)+COUNTIF('10月'!ES9:ET9,X$337)</f>
        <v>0</v>
      </c>
      <c r="Y344" s="76">
        <f t="shared" si="119"/>
        <v>0</v>
      </c>
    </row>
    <row r="345" spans="1:25" ht="18" customHeight="1">
      <c r="A345" s="76">
        <v>7</v>
      </c>
      <c r="B345" s="76">
        <f>COUNTIF('10月'!D10:E10,B$337)+COUNTIF('10月'!I10:J10,B$337)+COUNTIF('10月'!N10:O10,B$337)+COUNTIF('10月'!S10:T10,B$337)+COUNTIF('10月'!X10:Y10,B$337)+COUNTIF('10月'!AC10:AD10,B$337)+COUNTIF('10月'!AH10:AI10,B$337)+COUNTIF('10月'!AM10:AN10,B$337)+COUNTIF('10月'!AR10:AS10,B$337)+COUNTIF('10月'!AW10:AX10,B$337)+COUNTIF('10月'!BB10:BC10,B$337)+COUNTIF('10月'!BG10:BH10,B$337)+COUNTIF('10月'!BL10:BM10,B$337)+COUNTIF('10月'!BQ10:BR10,B$337)+COUNTIF('10月'!BV10:BW10,B$337)+COUNTIF('10月'!CA10:CB10,B$337)+COUNTIF('10月'!CF10:CG10,B$337)+COUNTIF('10月'!CK10:CL10,B$337)+COUNTIF('10月'!CP10:CQ10,B$337)+COUNTIF('10月'!CU10:CV10,B$337)+COUNTIF('10月'!CZ10:DA10,B$337)+COUNTIF('10月'!DE10:DF10,B$337)+COUNTIF('10月'!DJ10:DK10,B$337)+COUNTIF('10月'!DO10:DP10,B$337)+COUNTIF('10月'!DT10:DU10,B$337)+COUNTIF('10月'!DY10:DZ10,B$337)+COUNTIF('10月'!ED10:EE10,B$337)+COUNTIF('10月'!EI10:EJ10,B$337)+COUNTIF('10月'!EN10:EO10,B$337)+COUNTIF('10月'!ES10:ET10,B$337)</f>
        <v>0</v>
      </c>
      <c r="C345" s="76">
        <f t="shared" si="108"/>
        <v>0</v>
      </c>
      <c r="D345" s="76">
        <f>COUNTIF('10月'!D10:E10,D$337)+COUNTIF('10月'!I10:J10,D$337)+COUNTIF('10月'!N10:O10,D$337)+COUNTIF('10月'!S10:T10,D$337)+COUNTIF('10月'!X10:Y10,D$337)+COUNTIF('10月'!AC10:AD10,D$337)+COUNTIF('10月'!AH10:AI10,D$337)+COUNTIF('10月'!AM10:AN10,D$337)+COUNTIF('10月'!AR10:AS10,D$337)+COUNTIF('10月'!AW10:AX10,D$337)+COUNTIF('10月'!BB10:BC10,D$337)+COUNTIF('10月'!BG10:BH10,D$337)+COUNTIF('10月'!BL10:BM10,D$337)+COUNTIF('10月'!BQ10:BR10,D$337)+COUNTIF('10月'!BV10:BW10,D$337)+COUNTIF('10月'!CA10:CB10,D$337)+COUNTIF('10月'!CF10:CG10,D$337)+COUNTIF('10月'!CK10:CL10,D$337)+COUNTIF('10月'!CP10:CQ10,D$337)+COUNTIF('10月'!CU10:CV10,D$337)+COUNTIF('10月'!CZ10:DA10,D$337)+COUNTIF('10月'!DE10:DF10,D$337)+COUNTIF('10月'!DJ10:DK10,D$337)+COUNTIF('10月'!DO10:DP10,D$337)+COUNTIF('10月'!DT10:DU10,D$337)+COUNTIF('10月'!DY10:DZ10,D$337)+COUNTIF('10月'!ED10:EE10,D$337)+COUNTIF('10月'!EI10:EJ10,D$337)+COUNTIF('10月'!EN10:EO10,D$337)+COUNTIF('10月'!ES10:ET10,D$337)</f>
        <v>0</v>
      </c>
      <c r="E345" s="76">
        <f t="shared" si="109"/>
        <v>0</v>
      </c>
      <c r="F345" s="76">
        <f>COUNTIF('10月'!D10:E10,F$337)+COUNTIF('10月'!I10:J10,F$337)+COUNTIF('10月'!N10:O10,F$337)+COUNTIF('10月'!S10:T10,F$337)+COUNTIF('10月'!X10:Y10,F$337)+COUNTIF('10月'!AC10:AD10,F$337)+COUNTIF('10月'!AH10:AI10,F$337)+COUNTIF('10月'!AM10:AN10,F$337)+COUNTIF('10月'!AR10:AS10,F$337)+COUNTIF('10月'!AW10:AX10,F$337)+COUNTIF('10月'!BB10:BC10,F$337)+COUNTIF('10月'!BG10:BH10,F$337)+COUNTIF('10月'!BL10:BM10,F$337)+COUNTIF('10月'!BQ10:BR10,F$337)+COUNTIF('10月'!BV10:BW10,F$337)+COUNTIF('10月'!CA10:CB10,F$337)+COUNTIF('10月'!CF10:CG10,F$337)+COUNTIF('10月'!CK10:CL10,F$337)+COUNTIF('10月'!CP10:CQ10,F$337)+COUNTIF('10月'!CU10:CV10,F$337)+COUNTIF('10月'!CZ10:DA10,F$337)+COUNTIF('10月'!DE10:DF10,F$337)+COUNTIF('10月'!DJ10:DK10,F$337)+COUNTIF('10月'!DO10:DP10,F$337)+COUNTIF('10月'!DT10:DU10,F$337)+COUNTIF('10月'!DY10:DZ10,F$337)+COUNTIF('10月'!ED10:EE10,F$337)+COUNTIF('10月'!EI10:EJ10,F$337)+COUNTIF('10月'!EN10:EO10,F$337)+COUNTIF('10月'!ES10:ET10,F$337)</f>
        <v>0</v>
      </c>
      <c r="G345" s="76">
        <f t="shared" si="110"/>
        <v>0</v>
      </c>
      <c r="H345" s="76">
        <f>COUNTIF('10月'!D10:E10,H$337)+COUNTIF('10月'!I10:J10,H$337)+COUNTIF('10月'!N10:O10,H$337)+COUNTIF('10月'!S10:T10,H$337)+COUNTIF('10月'!X10:Y10,H$337)+COUNTIF('10月'!AC10:AD10,H$337)+COUNTIF('10月'!AH10:AI10,H$337)+COUNTIF('10月'!AM10:AN10,H$337)+COUNTIF('10月'!AR10:AS10,H$337)+COUNTIF('10月'!AW10:AX10,H$337)+COUNTIF('10月'!BB10:BC10,H$337)+COUNTIF('10月'!BG10:BH10,H$337)+COUNTIF('10月'!BL10:BM10,H$337)+COUNTIF('10月'!BQ10:BR10,H$337)+COUNTIF('10月'!BV10:BW10,H$337)+COUNTIF('10月'!CA10:CB10,H$337)+COUNTIF('10月'!CF10:CG10,H$337)+COUNTIF('10月'!CK10:CL10,H$337)+COUNTIF('10月'!CP10:CQ10,H$337)+COUNTIF('10月'!CU10:CV10,H$337)+COUNTIF('10月'!CZ10:DA10,H$337)+COUNTIF('10月'!DE10:DF10,H$337)+COUNTIF('10月'!DJ10:DK10,H$337)+COUNTIF('10月'!DO10:DP10,H$337)+COUNTIF('10月'!DT10:DU10,H$337)+COUNTIF('10月'!DY10:DZ10,H$337)+COUNTIF('10月'!ED10:EE10,H$337)+COUNTIF('10月'!EI10:EJ10,H$337)+COUNTIF('10月'!EN10:EO10,H$337)+COUNTIF('10月'!ES10:ET10,H$337)+COUNTIF('10月'!D10:E10,"渋谷-夜勤")+COUNTIF('10月'!I10:J10,"渋谷-夜勤")+COUNTIF('10月'!N10:O10,"渋谷-夜勤")+COUNTIF('10月'!S10:T10,"渋谷-夜勤")+COUNTIF('10月'!X10:Y10,"渋谷-夜勤")+COUNTIF('10月'!AC10:AD10,"渋谷-夜勤")+COUNTIF('10月'!AH10:AI10,"渋谷-夜勤")+COUNTIF('10月'!AM10:AN10,"渋谷-夜勤")+COUNTIF('10月'!AR10:AS10,"渋谷-夜勤")+COUNTIF('10月'!AW10:AX10,"渋谷-夜勤")+COUNTIF('10月'!BB10:BC10,"渋谷-夜勤")+COUNTIF('10月'!BG10:BH10,"渋谷-夜勤")+COUNTIF('10月'!BL10:BM10,"渋谷-夜勤")+COUNTIF('10月'!BQ10:BR10,"渋谷-夜勤")+COUNTIF('10月'!BV10:BW10,"渋谷-夜勤")+COUNTIF('10月'!CA10:CB10,"渋谷-夜勤")+COUNTIF('10月'!CF10:CG10,"渋谷-夜勤")+COUNTIF('10月'!CK10:CL10,"渋谷-夜勤")+COUNTIF('10月'!CP10:CQ10,"渋谷-夜勤")+COUNTIF('10月'!CU10:CV10,"渋谷-夜勤")+COUNTIF('10月'!CZ10:DA10,"渋谷-夜勤")+COUNTIF('10月'!DE10:DF10,"渋谷-夜勤")+COUNTIF('10月'!DJ10:DK10,"渋谷-夜勤")+COUNTIF('10月'!DO10:DP10,"渋谷-夜勤")+COUNTIF('10月'!DT10:DU10,"渋谷-夜勤")+COUNTIF('10月'!DY10:DZ10,"渋谷-夜勤")+COUNTIF('10月'!ED10:EE10,"渋谷-夜勤")+COUNTIF('10月'!EI10:EJ10,"渋谷-夜勤")+COUNTIF('10月'!EN10:EO10,"渋谷-夜勤")+COUNTIF('10月'!ES10:ET10,"渋谷-夜勤")</f>
        <v>0</v>
      </c>
      <c r="I345" s="76">
        <f t="shared" si="111"/>
        <v>0</v>
      </c>
      <c r="J345" s="76">
        <f>COUNTIF('10月'!D10:E10,J$337)+COUNTIF('10月'!I10:J10,J$337)+COUNTIF('10月'!N10:O10,J$337)+COUNTIF('10月'!S10:T10,J$337)+COUNTIF('10月'!X10:Y10,J$337)+COUNTIF('10月'!AC10:AD10,J$337)+COUNTIF('10月'!AH10:AI10,J$337)+COUNTIF('10月'!AM10:AN10,J$337)+COUNTIF('10月'!AR10:AS10,J$337)+COUNTIF('10月'!AW10:AX10,J$337)+COUNTIF('10月'!BB10:BC10,J$337)+COUNTIF('10月'!BG10:BH10,J$337)+COUNTIF('10月'!BL10:BM10,J$337)+COUNTIF('10月'!BQ10:BR10,J$337)+COUNTIF('10月'!BV10:BW10,J$337)+COUNTIF('10月'!CA10:CB10,J$337)+COUNTIF('10月'!CF10:CG10,J$337)+COUNTIF('10月'!CK10:CL10,J$337)+COUNTIF('10月'!CP10:CQ10,J$337)+COUNTIF('10月'!CU10:CV10,J$337)+COUNTIF('10月'!CZ10:DA10,J$337)+COUNTIF('10月'!DE10:DF10,J$337)+COUNTIF('10月'!DJ10:DK10,J$337)+COUNTIF('10月'!DO10:DP10,J$337)+COUNTIF('10月'!DT10:DU10,J$337)+COUNTIF('10月'!DY10:DZ10,J$337)+COUNTIF('10月'!ED10:EE10,J$337)+COUNTIF('10月'!EI10:EJ10,J$337)+COUNTIF('10月'!EN10:EO10,J$337)+COUNTIF('10月'!ES10:ET10,J$337)+COUNTIF('10月'!D10:E10,"六本木-夜勤")+COUNTIF('10月'!I10:J10,"六本木-夜勤")+COUNTIF('10月'!N10:O10,"六本木-夜勤")+COUNTIF('10月'!S10:T10,"六本木-夜勤")+COUNTIF('10月'!X10:Y10,"六本木-夜勤")+COUNTIF('10月'!AC10:AD10,"六本木-夜勤")+COUNTIF('10月'!AH10:AI10,"六本木-夜勤")+COUNTIF('10月'!AM10:AN10,"六本木-夜勤")+COUNTIF('10月'!AR10:AS10,"六本木-夜勤")+COUNTIF('10月'!AW10:AX10,"六本木-夜勤")+COUNTIF('10月'!BB10:BC10,"六本木-夜勤")+COUNTIF('10月'!BG10:BH10,"六本木-夜勤")+COUNTIF('10月'!BL10:BM10,"六本木-夜勤")+COUNTIF('10月'!BQ10:BR10,"六本木-夜勤")+COUNTIF('10月'!BV10:BW10,"六本木-夜勤")+COUNTIF('10月'!CA10:CB10,"六本木-夜勤")+COUNTIF('10月'!CF10:CG10,"六本木-夜勤")+COUNTIF('10月'!CK10:CL10,"六本木-夜勤")+COUNTIF('10月'!CP10:CQ10,"六本木-夜勤")+COUNTIF('10月'!CU10:CV10,"六本木-夜勤")+COUNTIF('10月'!CZ10:DA10,"六本木-夜勤")+COUNTIF('10月'!DE10:DF10,"六本木-夜勤")+COUNTIF('10月'!DJ10:DK10,"六本木-夜勤")+COUNTIF('10月'!DO10:DP10,"六本木-夜勤")+COUNTIF('10月'!DT10:DU10,"六本木-夜勤")+COUNTIF('10月'!DY10:DZ10,"六本木-夜勤")+COUNTIF('10月'!ED10:EE10,"六本木-夜勤")+COUNTIF('10月'!EI10:EJ10,"六本木-夜勤")+COUNTIF('10月'!EN10:EO10,"六本木-夜勤")+COUNTIF('10月'!ES10:ET10,"六本木-夜勤")+COUNTIF('10月'!D10:E10,"六本木ー夜勤")+COUNTIF('10月'!I10:J10,"六本木ー夜勤")+COUNTIF('10月'!N10:O10,"六本木ー夜勤")+COUNTIF('10月'!S10:T10,"六本木ー夜勤")+COUNTIF('10月'!X10:Y10,"六本木ー夜勤")+COUNTIF('10月'!AC10:AD10,"六本木ー夜勤")+COUNTIF('10月'!AH10:AI10,"六本木ー夜勤")+COUNTIF('10月'!AM10:AN10,"六本木ー夜勤")+COUNTIF('10月'!AR10:AS10,"六本木ー夜勤")+COUNTIF('10月'!AW10:AX10,"六本木ー夜勤")+COUNTIF('10月'!BB10:BC10,"六本木ー夜勤")+COUNTIF('10月'!BG10:BH10,"六本木ー夜勤")+COUNTIF('10月'!BL10:BM10,"六本木ー夜勤")+COUNTIF('10月'!BQ10:BR10,"六本木ー夜勤")+COUNTIF('10月'!BV10:BW10,"六本木ー夜勤")+COUNTIF('10月'!CA10:CB10,"六本木ー夜勤")+COUNTIF('10月'!CF10:CG10,"六本木ー夜勤")+COUNTIF('10月'!CK10:CL10,"六本木ー夜勤")+COUNTIF('10月'!CP10:CQ10,"六本木ー夜勤")+COUNTIF('10月'!CU10:CV10,"六本木ー夜勤")+COUNTIF('10月'!CZ10:DA10,"六本木ー夜勤")+COUNTIF('10月'!DE10:DF10,"六本木ー夜勤")+COUNTIF('10月'!DJ10:DK10,"六本木ー夜勤")+COUNTIF('10月'!DO10:DP10,"六本木ー夜勤")+COUNTIF('10月'!DT10:DU10,"六本木ー夜勤")+COUNTIF('10月'!DY10:DZ10,"六本木ー夜勤")+COUNTIF('10月'!ED10:EE10,"六本木ー夜勤")+COUNTIF('10月'!EI10:EJ10,"六本木ー夜勤")+COUNTIF('10月'!EN10:EO10,"六本木ー夜勤")+COUNTIF('10月'!ES10:ET10,"六本木ー夜勤")</f>
        <v>0</v>
      </c>
      <c r="K345" s="76">
        <f t="shared" si="112"/>
        <v>0</v>
      </c>
      <c r="L345" s="76">
        <f>COUNTIF('10月'!D10:E10,L$337)+COUNTIF('10月'!I10:J10,L$337)+COUNTIF('10月'!N10:O10,L$337)+COUNTIF('10月'!S10:T10,L$337)+COUNTIF('10月'!X10:Y10,L$337)+COUNTIF('10月'!AC10:AD10,L$337)+COUNTIF('10月'!AH10:AI10,L$337)+COUNTIF('10月'!AM10:AN10,L$337)+COUNTIF('10月'!AR10:AS10,L$337)+COUNTIF('10月'!AW10:AX10,L$337)+COUNTIF('10月'!BB10:BC10,L$337)+COUNTIF('10月'!BG10:BH10,L$337)+COUNTIF('10月'!BL10:BM10,L$337)+COUNTIF('10月'!BQ10:BR10,L$337)+COUNTIF('10月'!BV10:BW10,L$337)+COUNTIF('10月'!CA10:CB10,L$337)+COUNTIF('10月'!CF10:CG10,L$337)+COUNTIF('10月'!CK10:CL10,L$337)+COUNTIF('10月'!CP10:CQ10,L$337)+COUNTIF('10月'!CU10:CV10,L$337)+COUNTIF('10月'!CZ10:DA10,L$337)+COUNTIF('10月'!DE10:DF10,L$337)+COUNTIF('10月'!DJ10:DK10,L$337)+COUNTIF('10月'!DO10:DP10,L$337)+COUNTIF('10月'!DT10:DU10,L$337)+COUNTIF('10月'!DY10:DZ10,L$337)+COUNTIF('10月'!ED10:EE10,L$337)+COUNTIF('10月'!EI10:EJ10,L$337)+COUNTIF('10月'!EN10:EO10,L$337)+COUNTIF('10月'!ES10:ET10,L$337)</f>
        <v>0</v>
      </c>
      <c r="M345" s="76">
        <f t="shared" si="113"/>
        <v>0</v>
      </c>
      <c r="N345" s="76">
        <f>COUNTIF('10月'!D10:E10,N$337)+COUNTIF('10月'!I10:J10,N$337)+COUNTIF('10月'!N10:O10,N$337)+COUNTIF('10月'!S10:T10,N$337)+COUNTIF('10月'!X10:Y10,N$337)+COUNTIF('10月'!AC10:AD10,N$337)+COUNTIF('10月'!AH10:AI10,N$337)+COUNTIF('10月'!AM10:AN10,N$337)+COUNTIF('10月'!AR10:AS10,N$337)+COUNTIF('10月'!AW10:AX10,N$337)+COUNTIF('10月'!BB10:BC10,N$337)+COUNTIF('10月'!BG10:BH10,N$337)+COUNTIF('10月'!BL10:BM10,N$337)+COUNTIF('10月'!BQ10:BR10,N$337)+COUNTIF('10月'!BV10:BW10,N$337)+COUNTIF('10月'!CA10:CB10,N$337)+COUNTIF('10月'!CF10:CG10,N$337)+COUNTIF('10月'!CK10:CL10,N$337)+COUNTIF('10月'!CP10:CQ10,N$337)+COUNTIF('10月'!CU10:CV10,N$337)+COUNTIF('10月'!CZ10:DA10,N$337)+COUNTIF('10月'!DE10:DF10,N$337)+COUNTIF('10月'!DJ10:DK10,N$337)+COUNTIF('10月'!DO10:DP10,N$337)+COUNTIF('10月'!DT10:DU10,N$337)+COUNTIF('10月'!DY10:DZ10,N$337)+COUNTIF('10月'!ED10:EE10,N$337)+COUNTIF('10月'!EI10:EJ10,N$337)+COUNTIF('10月'!EN10:EO10,N$337)+COUNTIF('10月'!ES10:ET10,N$337)+COUNTIF('10月'!D10:E10,"三軒茶屋－夜勤")+COUNTIF('10月'!I10:J10,"三軒茶屋－夜勤")+COUNTIF('10月'!N10:O10,"三軒茶屋－夜勤")+COUNTIF('10月'!S10:T10,"三軒茶屋－夜勤")+COUNTIF('10月'!X10:Y10,"三軒茶屋－夜勤")+COUNTIF('10月'!AC10:AD10,"三軒茶屋－夜勤")+COUNTIF('10月'!AH10:AI10,"三軒茶屋－夜勤")+COUNTIF('10月'!AM10:AN10,"三軒茶屋－夜勤")+COUNTIF('10月'!AR10:AS10,"三軒茶屋－夜勤")+COUNTIF('10月'!AW10:AX10,"三軒茶屋－夜勤")+COUNTIF('10月'!BB10:BC10,"三軒茶屋－夜勤")+COUNTIF('10月'!BG10:BH10,"三軒茶屋－夜勤")+COUNTIF('10月'!BL10:BM10,"三軒茶屋－夜勤")+COUNTIF('10月'!BQ10:BR10,"三軒茶屋－夜勤")+COUNTIF('10月'!BV10:BW10,"三軒茶屋－夜勤")+COUNTIF('10月'!CA10:CB10,"三軒茶屋－夜勤")+COUNTIF('10月'!CF10:CG10,"三軒茶屋－夜勤")+COUNTIF('10月'!CK10:CL10,"三軒茶屋－夜勤")+COUNTIF('10月'!CP10:CQ10,"三軒茶屋－夜勤")+COUNTIF('10月'!CU10:CV10,"三軒茶屋－夜勤")+COUNTIF('10月'!CZ10:DA10,"三軒茶屋－夜勤")+COUNTIF('10月'!DE10:DF10,"三軒茶屋－夜勤")+COUNTIF('10月'!DJ10:DK10,"三軒茶屋－夜勤")+COUNTIF('10月'!DO10:DP10,"三軒茶屋－夜勤")+COUNTIF('10月'!DT10:DU10,"三軒茶屋－夜勤")+COUNTIF('10月'!DY10:DZ10,"三軒茶屋－夜勤")+COUNTIF('10月'!ED10:EE10,"三軒茶屋－夜勤")+COUNTIF('10月'!EI10:EJ10,"三軒茶屋－夜勤")+COUNTIF('10月'!EN10:EO10,"三軒茶屋－夜勤")+COUNTIF('10月'!ES10:ET10,"三軒茶屋－夜勤")</f>
        <v>0</v>
      </c>
      <c r="O345" s="76">
        <f t="shared" si="114"/>
        <v>0</v>
      </c>
      <c r="P345" s="76">
        <f>COUNTIF('10月'!D10:E10,P$337)+COUNTIF('10月'!I10:J10,P$337)+COUNTIF('10月'!N10:O10,P$337)+COUNTIF('10月'!S10:T10,P$337)+COUNTIF('10月'!X10:Y10,P$337)+COUNTIF('10月'!AC10:AD10,P$337)+COUNTIF('10月'!AH10:AI10,P$337)+COUNTIF('10月'!AM10:AN10,P$337)+COUNTIF('10月'!AR10:AS10,P$337)+COUNTIF('10月'!AW10:AX10,P$337)+COUNTIF('10月'!BB10:BC10,P$337)+COUNTIF('10月'!BG10:BH10,P$337)+COUNTIF('10月'!BL10:BM10,P$337)+COUNTIF('10月'!BQ10:BR10,P$337)+COUNTIF('10月'!BV10:BW10,P$337)+COUNTIF('10月'!CA10:CB10,P$337)+COUNTIF('10月'!CF10:CG10,P$337)+COUNTIF('10月'!CK10:CL10,P$337)+COUNTIF('10月'!CP10:CQ10,P$337)+COUNTIF('10月'!CU10:CV10,P$337)+COUNTIF('10月'!CZ10:DA10,P$337)+COUNTIF('10月'!DE10:DF10,P$337)+COUNTIF('10月'!DJ10:DK10,P$337)+COUNTIF('10月'!DO10:DP10,P$337)+COUNTIF('10月'!DT10:DU10,P$337)+COUNTIF('10月'!DY10:DZ10,P$337)+COUNTIF('10月'!ED10:EE10,P$337)+COUNTIF('10月'!EI10:EJ10,P$337)+COUNTIF('10月'!EN10:EO10,P$337)+COUNTIF('10月'!ES10:ET10,P$337)+COUNTIF('10月'!D10:E10,"荻窪ー夜勤")+COUNTIF('10月'!I10:J10,"荻窪ー夜勤")+COUNTIF('10月'!N10:O10,"荻窪ー夜勤")+COUNTIF('10月'!S10:T10,"荻窪ー夜勤")+COUNTIF('10月'!X10:Y10,"荻窪ー夜勤")+COUNTIF('10月'!AC10:AD10,"荻窪ー夜勤")+COUNTIF('10月'!AH10:AI10,"荻窪ー夜勤")+COUNTIF('10月'!AM10:AN10,"荻窪ー夜勤")+COUNTIF('10月'!AR10:AS10,"荻窪ー夜勤")+COUNTIF('10月'!AW10:AX10,"荻窪ー夜勤")+COUNTIF('10月'!BB10:BC10,"荻窪ー夜勤")+COUNTIF('10月'!BG10:BH10,"荻窪ー夜勤")+COUNTIF('10月'!BL10:BM10,"荻窪ー夜勤")+COUNTIF('10月'!BQ10:BR10,"荻窪ー夜勤")+COUNTIF('10月'!BV10:BW10,"荻窪ー夜勤")+COUNTIF('10月'!CA10:CB10,"荻窪ー夜勤")+COUNTIF('10月'!CF10:CG10,"荻窪ー夜勤")+COUNTIF('10月'!CK10:CL10,"荻窪ー夜勤")+COUNTIF('10月'!CP10:CQ10,"荻窪ー夜勤")+COUNTIF('10月'!CU10:CV10,"荻窪ー夜勤")+COUNTIF('10月'!CZ10:DA10,"荻窪ー夜勤")+COUNTIF('10月'!DE10:DF10,"荻窪ー夜勤")+COUNTIF('10月'!DJ10:DK10,"荻窪ー夜勤")+COUNTIF('10月'!DO10:DP10,"荻窪ー夜勤")+COUNTIF('10月'!DT10:DU10,"荻窪ー夜勤")+COUNTIF('10月'!DY10:DZ10,"荻窪ー夜勤")+COUNTIF('10月'!ED10:EE10,"荻窪ー夜勤")+COUNTIF('10月'!EI10:EJ10,"荻窪ー夜勤")+COUNTIF('10月'!EN10:EO10,"荻窪ー夜勤")+COUNTIF('10月'!ES10:ET10,"荻窪ー夜勤")</f>
        <v>0</v>
      </c>
      <c r="Q345" s="76">
        <f t="shared" si="115"/>
        <v>0</v>
      </c>
      <c r="R345" s="76">
        <f>COUNTIF('10月'!D10:E10,R$337)+COUNTIF('10月'!I10:J10,R$337)+COUNTIF('10月'!N10:O10,R$337)+COUNTIF('10月'!S10:T10,R$337)+COUNTIF('10月'!X10:Y10,R$337)+COUNTIF('10月'!AC10:AD10,R$337)+COUNTIF('10月'!AH10:AI10,R$337)+COUNTIF('10月'!AM10:AN10,R$337)+COUNTIF('10月'!AR10:AS10,R$337)+COUNTIF('10月'!AW10:AX10,R$337)+COUNTIF('10月'!BB10:BC10,R$337)+COUNTIF('10月'!BG10:BH10,R$337)+COUNTIF('10月'!BL10:BM10,R$337)+COUNTIF('10月'!BQ10:BR10,R$337)+COUNTIF('10月'!BV10:BW10,R$337)+COUNTIF('10月'!CA10:CB10,R$337)+COUNTIF('10月'!CF10:CG10,R$337)+COUNTIF('10月'!CK10:CL10,R$337)+COUNTIF('10月'!CP10:CQ10,R$337)+COUNTIF('10月'!CU10:CV10,R$337)+COUNTIF('10月'!CZ10:DA10,R$337)+COUNTIF('10月'!DE10:DF10,R$337)+COUNTIF('10月'!DJ10:DK10,R$337)+COUNTIF('10月'!DO10:DP10,R$337)+COUNTIF('10月'!DT10:DU10,R$337)+COUNTIF('10月'!DY10:DZ10,R$337)+COUNTIF('10月'!ED10:EE10,R$337)+COUNTIF('10月'!EI10:EJ10,R$337)+COUNTIF('10月'!EN10:EO10,R$337)+COUNTIF('10月'!ES10:ET10,R$337)</f>
        <v>0</v>
      </c>
      <c r="S345" s="76">
        <f t="shared" si="116"/>
        <v>0</v>
      </c>
      <c r="T345" s="76">
        <f>COUNTIF('10月'!D10:E10,T$337)+COUNTIF('10月'!I10:J10,T$337)+COUNTIF('10月'!N10:O10,T$337)+COUNTIF('10月'!S10:T10,T$337)+COUNTIF('10月'!X10:Y10,T$337)+COUNTIF('10月'!AC10:AD10,T$337)+COUNTIF('10月'!AH10:AI10,T$337)+COUNTIF('10月'!AM10:AN10,T$337)+COUNTIF('10月'!AR10:AS10,T$337)+COUNTIF('10月'!AW10:AX10,T$337)+COUNTIF('10月'!BB10:BC10,T$337)+COUNTIF('10月'!BG10:BH10,T$337)+COUNTIF('10月'!BL10:BM10,T$337)+COUNTIF('10月'!BQ10:BR10,T$337)+COUNTIF('10月'!BV10:BW10,T$337)+COUNTIF('10月'!CA10:CB10,T$337)+COUNTIF('10月'!CF10:CG10,T$337)+COUNTIF('10月'!CK10:CL10,T$337)+COUNTIF('10月'!CP10:CQ10,T$337)+COUNTIF('10月'!CU10:CV10,T$337)+COUNTIF('10月'!CZ10:DA10,T$337)+COUNTIF('10月'!DE10:DF10,T$337)+COUNTIF('10月'!DJ10:DK10,T$337)+COUNTIF('10月'!DO10:DP10,T$337)+COUNTIF('10月'!DT10:DU10,T$337)+COUNTIF('10月'!DY10:DZ10,T$337)+COUNTIF('10月'!ED10:EE10,T$337)+COUNTIF('10月'!EI10:EJ10,T$337)+COUNTIF('10月'!EN10:EO10,T$337)+COUNTIF('10月'!ES10:ET10,T$337)</f>
        <v>0</v>
      </c>
      <c r="U345" s="76">
        <f t="shared" si="117"/>
        <v>0</v>
      </c>
      <c r="V345" s="76">
        <f>COUNTIF('10月'!D10:E10,V$337)+COUNTIF('10月'!I10:J10,V$337)+COUNTIF('10月'!N10:O10,V$337)+COUNTIF('10月'!S10:T10,V$337)+COUNTIF('10月'!X10:Y10,V$337)+COUNTIF('10月'!AC10:AD10,V$337)+COUNTIF('10月'!AH10:AI10,V$337)+COUNTIF('10月'!AM10:AN10,V$337)+COUNTIF('10月'!AR10:AS10,V$337)+COUNTIF('10月'!AW10:AX10,V$337)+COUNTIF('10月'!BB10:BC10,V$337)+COUNTIF('10月'!BG10:BH10,V$337)+COUNTIF('10月'!BL10:BM10,V$337)+COUNTIF('10月'!BQ10:BR10,V$337)+COUNTIF('10月'!BV10:BW10,V$337)+COUNTIF('10月'!CA10:CB10,V$337)+COUNTIF('10月'!CF10:CG10,V$337)+COUNTIF('10月'!CK10:CL10,V$337)+COUNTIF('10月'!CP10:CQ10,V$337)+COUNTIF('10月'!CU10:CV10,V$337)+COUNTIF('10月'!CZ10:DA10,V$337)+COUNTIF('10月'!DE10:DF10,V$337)+COUNTIF('10月'!DJ10:DK10,V$337)+COUNTIF('10月'!DO10:DP10,V$337)+COUNTIF('10月'!DT10:DU10,V$337)+COUNTIF('10月'!DY10:DZ10,V$337)+COUNTIF('10月'!ED10:EE10,V$337)+COUNTIF('10月'!EI10:EJ10,V$337)+COUNTIF('10月'!EN10:EO10,V$337)+COUNTIF('10月'!ES10:ET10,V$337)</f>
        <v>0</v>
      </c>
      <c r="W345" s="76">
        <f t="shared" si="118"/>
        <v>0</v>
      </c>
      <c r="X345" s="76">
        <f>COUNTIF('10月'!D10:E10,X$337)+COUNTIF('10月'!I10:J10,X$337)+COUNTIF('10月'!N10:O10,X$337)+COUNTIF('10月'!S10:T10,X$337)+COUNTIF('10月'!X10:Y10,X$337)+COUNTIF('10月'!AC10:AD10,X$337)+COUNTIF('10月'!AH10:AI10,X$337)+COUNTIF('10月'!AM10:AN10,X$337)+COUNTIF('10月'!AR10:AS10,X$337)+COUNTIF('10月'!AW10:AX10,X$337)+COUNTIF('10月'!BB10:BC10,X$337)+COUNTIF('10月'!BG10:BH10,X$337)+COUNTIF('10月'!BL10:BM10,X$337)+COUNTIF('10月'!BQ10:BR10,X$337)+COUNTIF('10月'!BV10:BW10,X$337)+COUNTIF('10月'!CA10:CB10,X$337)+COUNTIF('10月'!CF10:CG10,X$337)+COUNTIF('10月'!CK10:CL10,X$337)+COUNTIF('10月'!CP10:CQ10,X$337)+COUNTIF('10月'!CU10:CV10,X$337)+COUNTIF('10月'!CZ10:DA10,X$337)+COUNTIF('10月'!DE10:DF10,X$337)+COUNTIF('10月'!DJ10:DK10,X$337)+COUNTIF('10月'!DO10:DP10,X$337)+COUNTIF('10月'!DT10:DU10,X$337)+COUNTIF('10月'!DY10:DZ10,X$337)+COUNTIF('10月'!ED10:EE10,X$337)+COUNTIF('10月'!EI10:EJ10,X$337)+COUNTIF('10月'!EN10:EO10,X$337)+COUNTIF('10月'!ES10:ET10,X$337)</f>
        <v>0</v>
      </c>
      <c r="Y345" s="76">
        <f t="shared" si="119"/>
        <v>0</v>
      </c>
    </row>
    <row r="346" spans="1:25" ht="18" customHeight="1">
      <c r="A346" s="76">
        <v>8</v>
      </c>
      <c r="B346" s="76">
        <f>COUNTIF('10月'!D11:E11,B$337)+COUNTIF('10月'!I11:J11,B$337)+COUNTIF('10月'!N11:O11,B$337)+COUNTIF('10月'!S11:T11,B$337)+COUNTIF('10月'!X11:Y11,B$337)+COUNTIF('10月'!AC11:AD11,B$337)+COUNTIF('10月'!AH11:AI11,B$337)+COUNTIF('10月'!AM11:AN11,B$337)+COUNTIF('10月'!AR11:AS11,B$337)+COUNTIF('10月'!AW11:AX11,B$337)+COUNTIF('10月'!BB11:BC11,B$337)+COUNTIF('10月'!BG11:BH11,B$337)+COUNTIF('10月'!BL11:BM11,B$337)+COUNTIF('10月'!BQ11:BR11,B$337)+COUNTIF('10月'!BV11:BW11,B$337)+COUNTIF('10月'!CA11:CB11,B$337)+COUNTIF('10月'!CF11:CG11,B$337)+COUNTIF('10月'!CK11:CL11,B$337)+COUNTIF('10月'!CP11:CQ11,B$337)+COUNTIF('10月'!CU11:CV11,B$337)+COUNTIF('10月'!CZ11:DA11,B$337)+COUNTIF('10月'!DE11:DF11,B$337)+COUNTIF('10月'!DJ11:DK11,B$337)+COUNTIF('10月'!DO11:DP11,B$337)+COUNTIF('10月'!DT11:DU11,B$337)+COUNTIF('10月'!DY11:DZ11,B$337)+COUNTIF('10月'!ED11:EE11,B$337)+COUNTIF('10月'!EI11:EJ11,B$337)+COUNTIF('10月'!EN11:EO11,B$337)+COUNTIF('10月'!ES11:ET11,B$337)</f>
        <v>0</v>
      </c>
      <c r="C346" s="76">
        <f t="shared" si="108"/>
        <v>0</v>
      </c>
      <c r="D346" s="76">
        <f>COUNTIF('10月'!D11:E11,D$337)+COUNTIF('10月'!I11:J11,D$337)+COUNTIF('10月'!N11:O11,D$337)+COUNTIF('10月'!S11:T11,D$337)+COUNTIF('10月'!X11:Y11,D$337)+COUNTIF('10月'!AC11:AD11,D$337)+COUNTIF('10月'!AH11:AI11,D$337)+COUNTIF('10月'!AM11:AN11,D$337)+COUNTIF('10月'!AR11:AS11,D$337)+COUNTIF('10月'!AW11:AX11,D$337)+COUNTIF('10月'!BB11:BC11,D$337)+COUNTIF('10月'!BG11:BH11,D$337)+COUNTIF('10月'!BL11:BM11,D$337)+COUNTIF('10月'!BQ11:BR11,D$337)+COUNTIF('10月'!BV11:BW11,D$337)+COUNTIF('10月'!CA11:CB11,D$337)+COUNTIF('10月'!CF11:CG11,D$337)+COUNTIF('10月'!CK11:CL11,D$337)+COUNTIF('10月'!CP11:CQ11,D$337)+COUNTIF('10月'!CU11:CV11,D$337)+COUNTIF('10月'!CZ11:DA11,D$337)+COUNTIF('10月'!DE11:DF11,D$337)+COUNTIF('10月'!DJ11:DK11,D$337)+COUNTIF('10月'!DO11:DP11,D$337)+COUNTIF('10月'!DT11:DU11,D$337)+COUNTIF('10月'!DY11:DZ11,D$337)+COUNTIF('10月'!ED11:EE11,D$337)+COUNTIF('10月'!EI11:EJ11,D$337)+COUNTIF('10月'!EN11:EO11,D$337)+COUNTIF('10月'!ES11:ET11,D$337)</f>
        <v>0</v>
      </c>
      <c r="E346" s="76">
        <f t="shared" si="109"/>
        <v>0</v>
      </c>
      <c r="F346" s="76">
        <f>COUNTIF('10月'!D11:E11,F$337)+COUNTIF('10月'!I11:J11,F$337)+COUNTIF('10月'!N11:O11,F$337)+COUNTIF('10月'!S11:T11,F$337)+COUNTIF('10月'!X11:Y11,F$337)+COUNTIF('10月'!AC11:AD11,F$337)+COUNTIF('10月'!AH11:AI11,F$337)+COUNTIF('10月'!AM11:AN11,F$337)+COUNTIF('10月'!AR11:AS11,F$337)+COUNTIF('10月'!AW11:AX11,F$337)+COUNTIF('10月'!BB11:BC11,F$337)+COUNTIF('10月'!BG11:BH11,F$337)+COUNTIF('10月'!BL11:BM11,F$337)+COUNTIF('10月'!BQ11:BR11,F$337)+COUNTIF('10月'!BV11:BW11,F$337)+COUNTIF('10月'!CA11:CB11,F$337)+COUNTIF('10月'!CF11:CG11,F$337)+COUNTIF('10月'!CK11:CL11,F$337)+COUNTIF('10月'!CP11:CQ11,F$337)+COUNTIF('10月'!CU11:CV11,F$337)+COUNTIF('10月'!CZ11:DA11,F$337)+COUNTIF('10月'!DE11:DF11,F$337)+COUNTIF('10月'!DJ11:DK11,F$337)+COUNTIF('10月'!DO11:DP11,F$337)+COUNTIF('10月'!DT11:DU11,F$337)+COUNTIF('10月'!DY11:DZ11,F$337)+COUNTIF('10月'!ED11:EE11,F$337)+COUNTIF('10月'!EI11:EJ11,F$337)+COUNTIF('10月'!EN11:EO11,F$337)+COUNTIF('10月'!ES11:ET11,F$337)</f>
        <v>0</v>
      </c>
      <c r="G346" s="76">
        <f t="shared" si="110"/>
        <v>0</v>
      </c>
      <c r="H346" s="76">
        <f>COUNTIF('10月'!D11:E11,H$337)+COUNTIF('10月'!I11:J11,H$337)+COUNTIF('10月'!N11:O11,H$337)+COUNTIF('10月'!S11:T11,H$337)+COUNTIF('10月'!X11:Y11,H$337)+COUNTIF('10月'!AC11:AD11,H$337)+COUNTIF('10月'!AH11:AI11,H$337)+COUNTIF('10月'!AM11:AN11,H$337)+COUNTIF('10月'!AR11:AS11,H$337)+COUNTIF('10月'!AW11:AX11,H$337)+COUNTIF('10月'!BB11:BC11,H$337)+COUNTIF('10月'!BG11:BH11,H$337)+COUNTIF('10月'!BL11:BM11,H$337)+COUNTIF('10月'!BQ11:BR11,H$337)+COUNTIF('10月'!BV11:BW11,H$337)+COUNTIF('10月'!CA11:CB11,H$337)+COUNTIF('10月'!CF11:CG11,H$337)+COUNTIF('10月'!CK11:CL11,H$337)+COUNTIF('10月'!CP11:CQ11,H$337)+COUNTIF('10月'!CU11:CV11,H$337)+COUNTIF('10月'!CZ11:DA11,H$337)+COUNTIF('10月'!DE11:DF11,H$337)+COUNTIF('10月'!DJ11:DK11,H$337)+COUNTIF('10月'!DO11:DP11,H$337)+COUNTIF('10月'!DT11:DU11,H$337)+COUNTIF('10月'!DY11:DZ11,H$337)+COUNTIF('10月'!ED11:EE11,H$337)+COUNTIF('10月'!EI11:EJ11,H$337)+COUNTIF('10月'!EN11:EO11,H$337)+COUNTIF('10月'!ES11:ET11,H$337)+COUNTIF('10月'!D11:E11,"渋谷-夜勤")+COUNTIF('10月'!I11:J11,"渋谷-夜勤")+COUNTIF('10月'!N11:O11,"渋谷-夜勤")+COUNTIF('10月'!S11:T11,"渋谷-夜勤")+COUNTIF('10月'!X11:Y11,"渋谷-夜勤")+COUNTIF('10月'!AC11:AD11,"渋谷-夜勤")+COUNTIF('10月'!AH11:AI11,"渋谷-夜勤")+COUNTIF('10月'!AM11:AN11,"渋谷-夜勤")+COUNTIF('10月'!AR11:AS11,"渋谷-夜勤")+COUNTIF('10月'!AW11:AX11,"渋谷-夜勤")+COUNTIF('10月'!BB11:BC11,"渋谷-夜勤")+COUNTIF('10月'!BG11:BH11,"渋谷-夜勤")+COUNTIF('10月'!BL11:BM11,"渋谷-夜勤")+COUNTIF('10月'!BQ11:BR11,"渋谷-夜勤")+COUNTIF('10月'!BV11:BW11,"渋谷-夜勤")+COUNTIF('10月'!CA11:CB11,"渋谷-夜勤")+COUNTIF('10月'!CF11:CG11,"渋谷-夜勤")+COUNTIF('10月'!CK11:CL11,"渋谷-夜勤")+COUNTIF('10月'!CP11:CQ11,"渋谷-夜勤")+COUNTIF('10月'!CU11:CV11,"渋谷-夜勤")+COUNTIF('10月'!CZ11:DA11,"渋谷-夜勤")+COUNTIF('10月'!DE11:DF11,"渋谷-夜勤")+COUNTIF('10月'!DJ11:DK11,"渋谷-夜勤")+COUNTIF('10月'!DO11:DP11,"渋谷-夜勤")+COUNTIF('10月'!DT11:DU11,"渋谷-夜勤")+COUNTIF('10月'!DY11:DZ11,"渋谷-夜勤")+COUNTIF('10月'!ED11:EE11,"渋谷-夜勤")+COUNTIF('10月'!EI11:EJ11,"渋谷-夜勤")+COUNTIF('10月'!EN11:EO11,"渋谷-夜勤")+COUNTIF('10月'!ES11:ET11,"渋谷-夜勤")</f>
        <v>0</v>
      </c>
      <c r="I346" s="76">
        <f t="shared" si="111"/>
        <v>0</v>
      </c>
      <c r="J346" s="76">
        <f>COUNTIF('10月'!D11:E11,J$337)+COUNTIF('10月'!I11:J11,J$337)+COUNTIF('10月'!N11:O11,J$337)+COUNTIF('10月'!S11:T11,J$337)+COUNTIF('10月'!X11:Y11,J$337)+COUNTIF('10月'!AC11:AD11,J$337)+COUNTIF('10月'!AH11:AI11,J$337)+COUNTIF('10月'!AM11:AN11,J$337)+COUNTIF('10月'!AR11:AS11,J$337)+COUNTIF('10月'!AW11:AX11,J$337)+COUNTIF('10月'!BB11:BC11,J$337)+COUNTIF('10月'!BG11:BH11,J$337)+COUNTIF('10月'!BL11:BM11,J$337)+COUNTIF('10月'!BQ11:BR11,J$337)+COUNTIF('10月'!BV11:BW11,J$337)+COUNTIF('10月'!CA11:CB11,J$337)+COUNTIF('10月'!CF11:CG11,J$337)+COUNTIF('10月'!CK11:CL11,J$337)+COUNTIF('10月'!CP11:CQ11,J$337)+COUNTIF('10月'!CU11:CV11,J$337)+COUNTIF('10月'!CZ11:DA11,J$337)+COUNTIF('10月'!DE11:DF11,J$337)+COUNTIF('10月'!DJ11:DK11,J$337)+COUNTIF('10月'!DO11:DP11,J$337)+COUNTIF('10月'!DT11:DU11,J$337)+COUNTIF('10月'!DY11:DZ11,J$337)+COUNTIF('10月'!ED11:EE11,J$337)+COUNTIF('10月'!EI11:EJ11,J$337)+COUNTIF('10月'!EN11:EO11,J$337)+COUNTIF('10月'!ES11:ET11,J$337)+COUNTIF('10月'!D11:E11,"六本木-夜勤")+COUNTIF('10月'!I11:J11,"六本木-夜勤")+COUNTIF('10月'!N11:O11,"六本木-夜勤")+COUNTIF('10月'!S11:T11,"六本木-夜勤")+COUNTIF('10月'!X11:Y11,"六本木-夜勤")+COUNTIF('10月'!AC11:AD11,"六本木-夜勤")+COUNTIF('10月'!AH11:AI11,"六本木-夜勤")+COUNTIF('10月'!AM11:AN11,"六本木-夜勤")+COUNTIF('10月'!AR11:AS11,"六本木-夜勤")+COUNTIF('10月'!AW11:AX11,"六本木-夜勤")+COUNTIF('10月'!BB11:BC11,"六本木-夜勤")+COUNTIF('10月'!BG11:BH11,"六本木-夜勤")+COUNTIF('10月'!BL11:BM11,"六本木-夜勤")+COUNTIF('10月'!BQ11:BR11,"六本木-夜勤")+COUNTIF('10月'!BV11:BW11,"六本木-夜勤")+COUNTIF('10月'!CA11:CB11,"六本木-夜勤")+COUNTIF('10月'!CF11:CG11,"六本木-夜勤")+COUNTIF('10月'!CK11:CL11,"六本木-夜勤")+COUNTIF('10月'!CP11:CQ11,"六本木-夜勤")+COUNTIF('10月'!CU11:CV11,"六本木-夜勤")+COUNTIF('10月'!CZ11:DA11,"六本木-夜勤")+COUNTIF('10月'!DE11:DF11,"六本木-夜勤")+COUNTIF('10月'!DJ11:DK11,"六本木-夜勤")+COUNTIF('10月'!DO11:DP11,"六本木-夜勤")+COUNTIF('10月'!DT11:DU11,"六本木-夜勤")+COUNTIF('10月'!DY11:DZ11,"六本木-夜勤")+COUNTIF('10月'!ED11:EE11,"六本木-夜勤")+COUNTIF('10月'!EI11:EJ11,"六本木-夜勤")+COUNTIF('10月'!EN11:EO11,"六本木-夜勤")+COUNTIF('10月'!ES11:ET11,"六本木-夜勤")+COUNTIF('10月'!D11:E11,"六本木ー夜勤")+COUNTIF('10月'!I11:J11,"六本木ー夜勤")+COUNTIF('10月'!N11:O11,"六本木ー夜勤")+COUNTIF('10月'!S11:T11,"六本木ー夜勤")+COUNTIF('10月'!X11:Y11,"六本木ー夜勤")+COUNTIF('10月'!AC11:AD11,"六本木ー夜勤")+COUNTIF('10月'!AH11:AI11,"六本木ー夜勤")+COUNTIF('10月'!AM11:AN11,"六本木ー夜勤")+COUNTIF('10月'!AR11:AS11,"六本木ー夜勤")+COUNTIF('10月'!AW11:AX11,"六本木ー夜勤")+COUNTIF('10月'!BB11:BC11,"六本木ー夜勤")+COUNTIF('10月'!BG11:BH11,"六本木ー夜勤")+COUNTIF('10月'!BL11:BM11,"六本木ー夜勤")+COUNTIF('10月'!BQ11:BR11,"六本木ー夜勤")+COUNTIF('10月'!BV11:BW11,"六本木ー夜勤")+COUNTIF('10月'!CA11:CB11,"六本木ー夜勤")+COUNTIF('10月'!CF11:CG11,"六本木ー夜勤")+COUNTIF('10月'!CK11:CL11,"六本木ー夜勤")+COUNTIF('10月'!CP11:CQ11,"六本木ー夜勤")+COUNTIF('10月'!CU11:CV11,"六本木ー夜勤")+COUNTIF('10月'!CZ11:DA11,"六本木ー夜勤")+COUNTIF('10月'!DE11:DF11,"六本木ー夜勤")+COUNTIF('10月'!DJ11:DK11,"六本木ー夜勤")+COUNTIF('10月'!DO11:DP11,"六本木ー夜勤")+COUNTIF('10月'!DT11:DU11,"六本木ー夜勤")+COUNTIF('10月'!DY11:DZ11,"六本木ー夜勤")+COUNTIF('10月'!ED11:EE11,"六本木ー夜勤")+COUNTIF('10月'!EI11:EJ11,"六本木ー夜勤")+COUNTIF('10月'!EN11:EO11,"六本木ー夜勤")+COUNTIF('10月'!ES11:ET11,"六本木ー夜勤")</f>
        <v>0</v>
      </c>
      <c r="K346" s="76">
        <f t="shared" si="112"/>
        <v>0</v>
      </c>
      <c r="L346" s="76">
        <f>COUNTIF('10月'!D11:E11,L$337)+COUNTIF('10月'!I11:J11,L$337)+COUNTIF('10月'!N11:O11,L$337)+COUNTIF('10月'!S11:T11,L$337)+COUNTIF('10月'!X11:Y11,L$337)+COUNTIF('10月'!AC11:AD11,L$337)+COUNTIF('10月'!AH11:AI11,L$337)+COUNTIF('10月'!AM11:AN11,L$337)+COUNTIF('10月'!AR11:AS11,L$337)+COUNTIF('10月'!AW11:AX11,L$337)+COUNTIF('10月'!BB11:BC11,L$337)+COUNTIF('10月'!BG11:BH11,L$337)+COUNTIF('10月'!BL11:BM11,L$337)+COUNTIF('10月'!BQ11:BR11,L$337)+COUNTIF('10月'!BV11:BW11,L$337)+COUNTIF('10月'!CA11:CB11,L$337)+COUNTIF('10月'!CF11:CG11,L$337)+COUNTIF('10月'!CK11:CL11,L$337)+COUNTIF('10月'!CP11:CQ11,L$337)+COUNTIF('10月'!CU11:CV11,L$337)+COUNTIF('10月'!CZ11:DA11,L$337)+COUNTIF('10月'!DE11:DF11,L$337)+COUNTIF('10月'!DJ11:DK11,L$337)+COUNTIF('10月'!DO11:DP11,L$337)+COUNTIF('10月'!DT11:DU11,L$337)+COUNTIF('10月'!DY11:DZ11,L$337)+COUNTIF('10月'!ED11:EE11,L$337)+COUNTIF('10月'!EI11:EJ11,L$337)+COUNTIF('10月'!EN11:EO11,L$337)+COUNTIF('10月'!ES11:ET11,L$337)</f>
        <v>0</v>
      </c>
      <c r="M346" s="76">
        <f t="shared" si="113"/>
        <v>0</v>
      </c>
      <c r="N346" s="76">
        <f>COUNTIF('10月'!D11:E11,N$337)+COUNTIF('10月'!I11:J11,N$337)+COUNTIF('10月'!N11:O11,N$337)+COUNTIF('10月'!S11:T11,N$337)+COUNTIF('10月'!X11:Y11,N$337)+COUNTIF('10月'!AC11:AD11,N$337)+COUNTIF('10月'!AH11:AI11,N$337)+COUNTIF('10月'!AM11:AN11,N$337)+COUNTIF('10月'!AR11:AS11,N$337)+COUNTIF('10月'!AW11:AX11,N$337)+COUNTIF('10月'!BB11:BC11,N$337)+COUNTIF('10月'!BG11:BH11,N$337)+COUNTIF('10月'!BL11:BM11,N$337)+COUNTIF('10月'!BQ11:BR11,N$337)+COUNTIF('10月'!BV11:BW11,N$337)+COUNTIF('10月'!CA11:CB11,N$337)+COUNTIF('10月'!CF11:CG11,N$337)+COUNTIF('10月'!CK11:CL11,N$337)+COUNTIF('10月'!CP11:CQ11,N$337)+COUNTIF('10月'!CU11:CV11,N$337)+COUNTIF('10月'!CZ11:DA11,N$337)+COUNTIF('10月'!DE11:DF11,N$337)+COUNTIF('10月'!DJ11:DK11,N$337)+COUNTIF('10月'!DO11:DP11,N$337)+COUNTIF('10月'!DT11:DU11,N$337)+COUNTIF('10月'!DY11:DZ11,N$337)+COUNTIF('10月'!ED11:EE11,N$337)+COUNTIF('10月'!EI11:EJ11,N$337)+COUNTIF('10月'!EN11:EO11,N$337)+COUNTIF('10月'!ES11:ET11,N$337)+COUNTIF('10月'!D11:E11,"三軒茶屋－夜勤")+COUNTIF('10月'!I11:J11,"三軒茶屋－夜勤")+COUNTIF('10月'!N11:O11,"三軒茶屋－夜勤")+COUNTIF('10月'!S11:T11,"三軒茶屋－夜勤")+COUNTIF('10月'!X11:Y11,"三軒茶屋－夜勤")+COUNTIF('10月'!AC11:AD11,"三軒茶屋－夜勤")+COUNTIF('10月'!AH11:AI11,"三軒茶屋－夜勤")+COUNTIF('10月'!AM11:AN11,"三軒茶屋－夜勤")+COUNTIF('10月'!AR11:AS11,"三軒茶屋－夜勤")+COUNTIF('10月'!AW11:AX11,"三軒茶屋－夜勤")+COUNTIF('10月'!BB11:BC11,"三軒茶屋－夜勤")+COUNTIF('10月'!BG11:BH11,"三軒茶屋－夜勤")+COUNTIF('10月'!BL11:BM11,"三軒茶屋－夜勤")+COUNTIF('10月'!BQ11:BR11,"三軒茶屋－夜勤")+COUNTIF('10月'!BV11:BW11,"三軒茶屋－夜勤")+COUNTIF('10月'!CA11:CB11,"三軒茶屋－夜勤")+COUNTIF('10月'!CF11:CG11,"三軒茶屋－夜勤")+COUNTIF('10月'!CK11:CL11,"三軒茶屋－夜勤")+COUNTIF('10月'!CP11:CQ11,"三軒茶屋－夜勤")+COUNTIF('10月'!CU11:CV11,"三軒茶屋－夜勤")+COUNTIF('10月'!CZ11:DA11,"三軒茶屋－夜勤")+COUNTIF('10月'!DE11:DF11,"三軒茶屋－夜勤")+COUNTIF('10月'!DJ11:DK11,"三軒茶屋－夜勤")+COUNTIF('10月'!DO11:DP11,"三軒茶屋－夜勤")+COUNTIF('10月'!DT11:DU11,"三軒茶屋－夜勤")+COUNTIF('10月'!DY11:DZ11,"三軒茶屋－夜勤")+COUNTIF('10月'!ED11:EE11,"三軒茶屋－夜勤")+COUNTIF('10月'!EI11:EJ11,"三軒茶屋－夜勤")+COUNTIF('10月'!EN11:EO11,"三軒茶屋－夜勤")+COUNTIF('10月'!ES11:ET11,"三軒茶屋－夜勤")</f>
        <v>0</v>
      </c>
      <c r="O346" s="76">
        <f t="shared" si="114"/>
        <v>0</v>
      </c>
      <c r="P346" s="76">
        <f>COUNTIF('10月'!D11:E11,P$337)+COUNTIF('10月'!I11:J11,P$337)+COUNTIF('10月'!N11:O11,P$337)+COUNTIF('10月'!S11:T11,P$337)+COUNTIF('10月'!X11:Y11,P$337)+COUNTIF('10月'!AC11:AD11,P$337)+COUNTIF('10月'!AH11:AI11,P$337)+COUNTIF('10月'!AM11:AN11,P$337)+COUNTIF('10月'!AR11:AS11,P$337)+COUNTIF('10月'!AW11:AX11,P$337)+COUNTIF('10月'!BB11:BC11,P$337)+COUNTIF('10月'!BG11:BH11,P$337)+COUNTIF('10月'!BL11:BM11,P$337)+COUNTIF('10月'!BQ11:BR11,P$337)+COUNTIF('10月'!BV11:BW11,P$337)+COUNTIF('10月'!CA11:CB11,P$337)+COUNTIF('10月'!CF11:CG11,P$337)+COUNTIF('10月'!CK11:CL11,P$337)+COUNTIF('10月'!CP11:CQ11,P$337)+COUNTIF('10月'!CU11:CV11,P$337)+COUNTIF('10月'!CZ11:DA11,P$337)+COUNTIF('10月'!DE11:DF11,P$337)+COUNTIF('10月'!DJ11:DK11,P$337)+COUNTIF('10月'!DO11:DP11,P$337)+COUNTIF('10月'!DT11:DU11,P$337)+COUNTIF('10月'!DY11:DZ11,P$337)+COUNTIF('10月'!ED11:EE11,P$337)+COUNTIF('10月'!EI11:EJ11,P$337)+COUNTIF('10月'!EN11:EO11,P$337)+COUNTIF('10月'!ES11:ET11,P$337)+COUNTIF('10月'!D11:E11,"荻窪ー夜勤")+COUNTIF('10月'!I11:J11,"荻窪ー夜勤")+COUNTIF('10月'!N11:O11,"荻窪ー夜勤")+COUNTIF('10月'!S11:T11,"荻窪ー夜勤")+COUNTIF('10月'!X11:Y11,"荻窪ー夜勤")+COUNTIF('10月'!AC11:AD11,"荻窪ー夜勤")+COUNTIF('10月'!AH11:AI11,"荻窪ー夜勤")+COUNTIF('10月'!AM11:AN11,"荻窪ー夜勤")+COUNTIF('10月'!AR11:AS11,"荻窪ー夜勤")+COUNTIF('10月'!AW11:AX11,"荻窪ー夜勤")+COUNTIF('10月'!BB11:BC11,"荻窪ー夜勤")+COUNTIF('10月'!BG11:BH11,"荻窪ー夜勤")+COUNTIF('10月'!BL11:BM11,"荻窪ー夜勤")+COUNTIF('10月'!BQ11:BR11,"荻窪ー夜勤")+COUNTIF('10月'!BV11:BW11,"荻窪ー夜勤")+COUNTIF('10月'!CA11:CB11,"荻窪ー夜勤")+COUNTIF('10月'!CF11:CG11,"荻窪ー夜勤")+COUNTIF('10月'!CK11:CL11,"荻窪ー夜勤")+COUNTIF('10月'!CP11:CQ11,"荻窪ー夜勤")+COUNTIF('10月'!CU11:CV11,"荻窪ー夜勤")+COUNTIF('10月'!CZ11:DA11,"荻窪ー夜勤")+COUNTIF('10月'!DE11:DF11,"荻窪ー夜勤")+COUNTIF('10月'!DJ11:DK11,"荻窪ー夜勤")+COUNTIF('10月'!DO11:DP11,"荻窪ー夜勤")+COUNTIF('10月'!DT11:DU11,"荻窪ー夜勤")+COUNTIF('10月'!DY11:DZ11,"荻窪ー夜勤")+COUNTIF('10月'!ED11:EE11,"荻窪ー夜勤")+COUNTIF('10月'!EI11:EJ11,"荻窪ー夜勤")+COUNTIF('10月'!EN11:EO11,"荻窪ー夜勤")+COUNTIF('10月'!ES11:ET11,"荻窪ー夜勤")</f>
        <v>0</v>
      </c>
      <c r="Q346" s="76">
        <f t="shared" si="115"/>
        <v>0</v>
      </c>
      <c r="R346" s="76">
        <f>COUNTIF('10月'!D11:E11,R$337)+COUNTIF('10月'!I11:J11,R$337)+COUNTIF('10月'!N11:O11,R$337)+COUNTIF('10月'!S11:T11,R$337)+COUNTIF('10月'!X11:Y11,R$337)+COUNTIF('10月'!AC11:AD11,R$337)+COUNTIF('10月'!AH11:AI11,R$337)+COUNTIF('10月'!AM11:AN11,R$337)+COUNTIF('10月'!AR11:AS11,R$337)+COUNTIF('10月'!AW11:AX11,R$337)+COUNTIF('10月'!BB11:BC11,R$337)+COUNTIF('10月'!BG11:BH11,R$337)+COUNTIF('10月'!BL11:BM11,R$337)+COUNTIF('10月'!BQ11:BR11,R$337)+COUNTIF('10月'!BV11:BW11,R$337)+COUNTIF('10月'!CA11:CB11,R$337)+COUNTIF('10月'!CF11:CG11,R$337)+COUNTIF('10月'!CK11:CL11,R$337)+COUNTIF('10月'!CP11:CQ11,R$337)+COUNTIF('10月'!CU11:CV11,R$337)+COUNTIF('10月'!CZ11:DA11,R$337)+COUNTIF('10月'!DE11:DF11,R$337)+COUNTIF('10月'!DJ11:DK11,R$337)+COUNTIF('10月'!DO11:DP11,R$337)+COUNTIF('10月'!DT11:DU11,R$337)+COUNTIF('10月'!DY11:DZ11,R$337)+COUNTIF('10月'!ED11:EE11,R$337)+COUNTIF('10月'!EI11:EJ11,R$337)+COUNTIF('10月'!EN11:EO11,R$337)+COUNTIF('10月'!ES11:ET11,R$337)</f>
        <v>0</v>
      </c>
      <c r="S346" s="76">
        <f t="shared" si="116"/>
        <v>0</v>
      </c>
      <c r="T346" s="76">
        <f>COUNTIF('10月'!D11:E11,T$337)+COUNTIF('10月'!I11:J11,T$337)+COUNTIF('10月'!N11:O11,T$337)+COUNTIF('10月'!S11:T11,T$337)+COUNTIF('10月'!X11:Y11,T$337)+COUNTIF('10月'!AC11:AD11,T$337)+COUNTIF('10月'!AH11:AI11,T$337)+COUNTIF('10月'!AM11:AN11,T$337)+COUNTIF('10月'!AR11:AS11,T$337)+COUNTIF('10月'!AW11:AX11,T$337)+COUNTIF('10月'!BB11:BC11,T$337)+COUNTIF('10月'!BG11:BH11,T$337)+COUNTIF('10月'!BL11:BM11,T$337)+COUNTIF('10月'!BQ11:BR11,T$337)+COUNTIF('10月'!BV11:BW11,T$337)+COUNTIF('10月'!CA11:CB11,T$337)+COUNTIF('10月'!CF11:CG11,T$337)+COUNTIF('10月'!CK11:CL11,T$337)+COUNTIF('10月'!CP11:CQ11,T$337)+COUNTIF('10月'!CU11:CV11,T$337)+COUNTIF('10月'!CZ11:DA11,T$337)+COUNTIF('10月'!DE11:DF11,T$337)+COUNTIF('10月'!DJ11:DK11,T$337)+COUNTIF('10月'!DO11:DP11,T$337)+COUNTIF('10月'!DT11:DU11,T$337)+COUNTIF('10月'!DY11:DZ11,T$337)+COUNTIF('10月'!ED11:EE11,T$337)+COUNTIF('10月'!EI11:EJ11,T$337)+COUNTIF('10月'!EN11:EO11,T$337)+COUNTIF('10月'!ES11:ET11,T$337)</f>
        <v>0</v>
      </c>
      <c r="U346" s="76">
        <f t="shared" si="117"/>
        <v>0</v>
      </c>
      <c r="V346" s="76">
        <f>COUNTIF('10月'!D11:E11,V$337)+COUNTIF('10月'!I11:J11,V$337)+COUNTIF('10月'!N11:O11,V$337)+COUNTIF('10月'!S11:T11,V$337)+COUNTIF('10月'!X11:Y11,V$337)+COUNTIF('10月'!AC11:AD11,V$337)+COUNTIF('10月'!AH11:AI11,V$337)+COUNTIF('10月'!AM11:AN11,V$337)+COUNTIF('10月'!AR11:AS11,V$337)+COUNTIF('10月'!AW11:AX11,V$337)+COUNTIF('10月'!BB11:BC11,V$337)+COUNTIF('10月'!BG11:BH11,V$337)+COUNTIF('10月'!BL11:BM11,V$337)+COUNTIF('10月'!BQ11:BR11,V$337)+COUNTIF('10月'!BV11:BW11,V$337)+COUNTIF('10月'!CA11:CB11,V$337)+COUNTIF('10月'!CF11:CG11,V$337)+COUNTIF('10月'!CK11:CL11,V$337)+COUNTIF('10月'!CP11:CQ11,V$337)+COUNTIF('10月'!CU11:CV11,V$337)+COUNTIF('10月'!CZ11:DA11,V$337)+COUNTIF('10月'!DE11:DF11,V$337)+COUNTIF('10月'!DJ11:DK11,V$337)+COUNTIF('10月'!DO11:DP11,V$337)+COUNTIF('10月'!DT11:DU11,V$337)+COUNTIF('10月'!DY11:DZ11,V$337)+COUNTIF('10月'!ED11:EE11,V$337)+COUNTIF('10月'!EI11:EJ11,V$337)+COUNTIF('10月'!EN11:EO11,V$337)+COUNTIF('10月'!ES11:ET11,V$337)</f>
        <v>0</v>
      </c>
      <c r="W346" s="76">
        <f t="shared" si="118"/>
        <v>0</v>
      </c>
      <c r="X346" s="76">
        <f>COUNTIF('10月'!D11:E11,X$337)+COUNTIF('10月'!I11:J11,X$337)+COUNTIF('10月'!N11:O11,X$337)+COUNTIF('10月'!S11:T11,X$337)+COUNTIF('10月'!X11:Y11,X$337)+COUNTIF('10月'!AC11:AD11,X$337)+COUNTIF('10月'!AH11:AI11,X$337)+COUNTIF('10月'!AM11:AN11,X$337)+COUNTIF('10月'!AR11:AS11,X$337)+COUNTIF('10月'!AW11:AX11,X$337)+COUNTIF('10月'!BB11:BC11,X$337)+COUNTIF('10月'!BG11:BH11,X$337)+COUNTIF('10月'!BL11:BM11,X$337)+COUNTIF('10月'!BQ11:BR11,X$337)+COUNTIF('10月'!BV11:BW11,X$337)+COUNTIF('10月'!CA11:CB11,X$337)+COUNTIF('10月'!CF11:CG11,X$337)+COUNTIF('10月'!CK11:CL11,X$337)+COUNTIF('10月'!CP11:CQ11,X$337)+COUNTIF('10月'!CU11:CV11,X$337)+COUNTIF('10月'!CZ11:DA11,X$337)+COUNTIF('10月'!DE11:DF11,X$337)+COUNTIF('10月'!DJ11:DK11,X$337)+COUNTIF('10月'!DO11:DP11,X$337)+COUNTIF('10月'!DT11:DU11,X$337)+COUNTIF('10月'!DY11:DZ11,X$337)+COUNTIF('10月'!ED11:EE11,X$337)+COUNTIF('10月'!EI11:EJ11,X$337)+COUNTIF('10月'!EN11:EO11,X$337)+COUNTIF('10月'!ES11:ET11,X$337)</f>
        <v>0</v>
      </c>
      <c r="Y346" s="76">
        <f t="shared" si="119"/>
        <v>0</v>
      </c>
    </row>
    <row r="347" spans="1:25" ht="18" customHeight="1">
      <c r="A347" s="76">
        <v>9</v>
      </c>
      <c r="B347" s="76">
        <f>COUNTIF('10月'!D12:E12,B$337)+COUNTIF('10月'!I12:J12,B$337)+COUNTIF('10月'!N12:O12,B$337)+COUNTIF('10月'!S12:T12,B$337)+COUNTIF('10月'!X12:Y12,B$337)+COUNTIF('10月'!AC12:AD12,B$337)+COUNTIF('10月'!AH12:AI12,B$337)+COUNTIF('10月'!AM12:AN12,B$337)+COUNTIF('10月'!AR12:AS12,B$337)+COUNTIF('10月'!AW12:AX12,B$337)+COUNTIF('10月'!BB12:BC12,B$337)+COUNTIF('10月'!BG12:BH12,B$337)+COUNTIF('10月'!BL12:BM12,B$337)+COUNTIF('10月'!BQ12:BR12,B$337)+COUNTIF('10月'!BV12:BW12,B$337)+COUNTIF('10月'!CA12:CB12,B$337)+COUNTIF('10月'!CF12:CG12,B$337)+COUNTIF('10月'!CK12:CL12,B$337)+COUNTIF('10月'!CP12:CQ12,B$337)+COUNTIF('10月'!CU12:CV12,B$337)+COUNTIF('10月'!CZ12:DA12,B$337)+COUNTIF('10月'!DE12:DF12,B$337)+COUNTIF('10月'!DJ12:DK12,B$337)+COUNTIF('10月'!DO12:DP12,B$337)+COUNTIF('10月'!DT12:DU12,B$337)+COUNTIF('10月'!DY12:DZ12,B$337)+COUNTIF('10月'!ED12:EE12,B$337)+COUNTIF('10月'!EI12:EJ12,B$337)+COUNTIF('10月'!EN12:EO12,B$337)+COUNTIF('10月'!ES12:ET12,B$337)</f>
        <v>0</v>
      </c>
      <c r="C347" s="76">
        <f t="shared" si="108"/>
        <v>0</v>
      </c>
      <c r="D347" s="76">
        <f>COUNTIF('10月'!D12:E12,D$337)+COUNTIF('10月'!I12:J12,D$337)+COUNTIF('10月'!N12:O12,D$337)+COUNTIF('10月'!S12:T12,D$337)+COUNTIF('10月'!X12:Y12,D$337)+COUNTIF('10月'!AC12:AD12,D$337)+COUNTIF('10月'!AH12:AI12,D$337)+COUNTIF('10月'!AM12:AN12,D$337)+COUNTIF('10月'!AR12:AS12,D$337)+COUNTIF('10月'!AW12:AX12,D$337)+COUNTIF('10月'!BB12:BC12,D$337)+COUNTIF('10月'!BG12:BH12,D$337)+COUNTIF('10月'!BL12:BM12,D$337)+COUNTIF('10月'!BQ12:BR12,D$337)+COUNTIF('10月'!BV12:BW12,D$337)+COUNTIF('10月'!CA12:CB12,D$337)+COUNTIF('10月'!CF12:CG12,D$337)+COUNTIF('10月'!CK12:CL12,D$337)+COUNTIF('10月'!CP12:CQ12,D$337)+COUNTIF('10月'!CU12:CV12,D$337)+COUNTIF('10月'!CZ12:DA12,D$337)+COUNTIF('10月'!DE12:DF12,D$337)+COUNTIF('10月'!DJ12:DK12,D$337)+COUNTIF('10月'!DO12:DP12,D$337)+COUNTIF('10月'!DT12:DU12,D$337)+COUNTIF('10月'!DY12:DZ12,D$337)+COUNTIF('10月'!ED12:EE12,D$337)+COUNTIF('10月'!EI12:EJ12,D$337)+COUNTIF('10月'!EN12:EO12,D$337)+COUNTIF('10月'!ES12:ET12,D$337)</f>
        <v>0</v>
      </c>
      <c r="E347" s="76">
        <f t="shared" si="109"/>
        <v>0</v>
      </c>
      <c r="F347" s="76">
        <f>COUNTIF('10月'!D12:E12,F$337)+COUNTIF('10月'!I12:J12,F$337)+COUNTIF('10月'!N12:O12,F$337)+COUNTIF('10月'!S12:T12,F$337)+COUNTIF('10月'!X12:Y12,F$337)+COUNTIF('10月'!AC12:AD12,F$337)+COUNTIF('10月'!AH12:AI12,F$337)+COUNTIF('10月'!AM12:AN12,F$337)+COUNTIF('10月'!AR12:AS12,F$337)+COUNTIF('10月'!AW12:AX12,F$337)+COUNTIF('10月'!BB12:BC12,F$337)+COUNTIF('10月'!BG12:BH12,F$337)+COUNTIF('10月'!BL12:BM12,F$337)+COUNTIF('10月'!BQ12:BR12,F$337)+COUNTIF('10月'!BV12:BW12,F$337)+COUNTIF('10月'!CA12:CB12,F$337)+COUNTIF('10月'!CF12:CG12,F$337)+COUNTIF('10月'!CK12:CL12,F$337)+COUNTIF('10月'!CP12:CQ12,F$337)+COUNTIF('10月'!CU12:CV12,F$337)+COUNTIF('10月'!CZ12:DA12,F$337)+COUNTIF('10月'!DE12:DF12,F$337)+COUNTIF('10月'!DJ12:DK12,F$337)+COUNTIF('10月'!DO12:DP12,F$337)+COUNTIF('10月'!DT12:DU12,F$337)+COUNTIF('10月'!DY12:DZ12,F$337)+COUNTIF('10月'!ED12:EE12,F$337)+COUNTIF('10月'!EI12:EJ12,F$337)+COUNTIF('10月'!EN12:EO12,F$337)+COUNTIF('10月'!ES12:ET12,F$337)</f>
        <v>0</v>
      </c>
      <c r="G347" s="76">
        <f t="shared" si="110"/>
        <v>0</v>
      </c>
      <c r="H347" s="76">
        <f>COUNTIF('10月'!D12:E12,H$337)+COUNTIF('10月'!I12:J12,H$337)+COUNTIF('10月'!N12:O12,H$337)+COUNTIF('10月'!S12:T12,H$337)+COUNTIF('10月'!X12:Y12,H$337)+COUNTIF('10月'!AC12:AD12,H$337)+COUNTIF('10月'!AH12:AI12,H$337)+COUNTIF('10月'!AM12:AN12,H$337)+COUNTIF('10月'!AR12:AS12,H$337)+COUNTIF('10月'!AW12:AX12,H$337)+COUNTIF('10月'!BB12:BC12,H$337)+COUNTIF('10月'!BG12:BH12,H$337)+COUNTIF('10月'!BL12:BM12,H$337)+COUNTIF('10月'!BQ12:BR12,H$337)+COUNTIF('10月'!BV12:BW12,H$337)+COUNTIF('10月'!CA12:CB12,H$337)+COUNTIF('10月'!CF12:CG12,H$337)+COUNTIF('10月'!CK12:CL12,H$337)+COUNTIF('10月'!CP12:CQ12,H$337)+COUNTIF('10月'!CU12:CV12,H$337)+COUNTIF('10月'!CZ12:DA12,H$337)+COUNTIF('10月'!DE12:DF12,H$337)+COUNTIF('10月'!DJ12:DK12,H$337)+COUNTIF('10月'!DO12:DP12,H$337)+COUNTIF('10月'!DT12:DU12,H$337)+COUNTIF('10月'!DY12:DZ12,H$337)+COUNTIF('10月'!ED12:EE12,H$337)+COUNTIF('10月'!EI12:EJ12,H$337)+COUNTIF('10月'!EN12:EO12,H$337)+COUNTIF('10月'!ES12:ET12,H$337)+COUNTIF('10月'!D12:E12,"渋谷-夜勤")+COUNTIF('10月'!I12:J12,"渋谷-夜勤")+COUNTIF('10月'!N12:O12,"渋谷-夜勤")+COUNTIF('10月'!S12:T12,"渋谷-夜勤")+COUNTIF('10月'!X12:Y12,"渋谷-夜勤")+COUNTIF('10月'!AC12:AD12,"渋谷-夜勤")+COUNTIF('10月'!AH12:AI12,"渋谷-夜勤")+COUNTIF('10月'!AM12:AN12,"渋谷-夜勤")+COUNTIF('10月'!AR12:AS12,"渋谷-夜勤")+COUNTIF('10月'!AW12:AX12,"渋谷-夜勤")+COUNTIF('10月'!BB12:BC12,"渋谷-夜勤")+COUNTIF('10月'!BG12:BH12,"渋谷-夜勤")+COUNTIF('10月'!BL12:BM12,"渋谷-夜勤")+COUNTIF('10月'!BQ12:BR12,"渋谷-夜勤")+COUNTIF('10月'!BV12:BW12,"渋谷-夜勤")+COUNTIF('10月'!CA12:CB12,"渋谷-夜勤")+COUNTIF('10月'!CF12:CG12,"渋谷-夜勤")+COUNTIF('10月'!CK12:CL12,"渋谷-夜勤")+COUNTIF('10月'!CP12:CQ12,"渋谷-夜勤")+COUNTIF('10月'!CU12:CV12,"渋谷-夜勤")+COUNTIF('10月'!CZ12:DA12,"渋谷-夜勤")+COUNTIF('10月'!DE12:DF12,"渋谷-夜勤")+COUNTIF('10月'!DJ12:DK12,"渋谷-夜勤")+COUNTIF('10月'!DO12:DP12,"渋谷-夜勤")+COUNTIF('10月'!DT12:DU12,"渋谷-夜勤")+COUNTIF('10月'!DY12:DZ12,"渋谷-夜勤")+COUNTIF('10月'!ED12:EE12,"渋谷-夜勤")+COUNTIF('10月'!EI12:EJ12,"渋谷-夜勤")+COUNTIF('10月'!EN12:EO12,"渋谷-夜勤")+COUNTIF('10月'!ES12:ET12,"渋谷-夜勤")</f>
        <v>0</v>
      </c>
      <c r="I347" s="76">
        <f t="shared" si="111"/>
        <v>0</v>
      </c>
      <c r="J347" s="76">
        <f>COUNTIF('10月'!D12:E12,J$337)+COUNTIF('10月'!I12:J12,J$337)+COUNTIF('10月'!N12:O12,J$337)+COUNTIF('10月'!S12:T12,J$337)+COUNTIF('10月'!X12:Y12,J$337)+COUNTIF('10月'!AC12:AD12,J$337)+COUNTIF('10月'!AH12:AI12,J$337)+COUNTIF('10月'!AM12:AN12,J$337)+COUNTIF('10月'!AR12:AS12,J$337)+COUNTIF('10月'!AW12:AX12,J$337)+COUNTIF('10月'!BB12:BC12,J$337)+COUNTIF('10月'!BG12:BH12,J$337)+COUNTIF('10月'!BL12:BM12,J$337)+COUNTIF('10月'!BQ12:BR12,J$337)+COUNTIF('10月'!BV12:BW12,J$337)+COUNTIF('10月'!CA12:CB12,J$337)+COUNTIF('10月'!CF12:CG12,J$337)+COUNTIF('10月'!CK12:CL12,J$337)+COUNTIF('10月'!CP12:CQ12,J$337)+COUNTIF('10月'!CU12:CV12,J$337)+COUNTIF('10月'!CZ12:DA12,J$337)+COUNTIF('10月'!DE12:DF12,J$337)+COUNTIF('10月'!DJ12:DK12,J$337)+COUNTIF('10月'!DO12:DP12,J$337)+COUNTIF('10月'!DT12:DU12,J$337)+COUNTIF('10月'!DY12:DZ12,J$337)+COUNTIF('10月'!ED12:EE12,J$337)+COUNTIF('10月'!EI12:EJ12,J$337)+COUNTIF('10月'!EN12:EO12,J$337)+COUNTIF('10月'!ES12:ET12,J$337)+COUNTIF('10月'!D12:E12,"六本木-夜勤")+COUNTIF('10月'!I12:J12,"六本木-夜勤")+COUNTIF('10月'!N12:O12,"六本木-夜勤")+COUNTIF('10月'!S12:T12,"六本木-夜勤")+COUNTIF('10月'!X12:Y12,"六本木-夜勤")+COUNTIF('10月'!AC12:AD12,"六本木-夜勤")+COUNTIF('10月'!AH12:AI12,"六本木-夜勤")+COUNTIF('10月'!AM12:AN12,"六本木-夜勤")+COUNTIF('10月'!AR12:AS12,"六本木-夜勤")+COUNTIF('10月'!AW12:AX12,"六本木-夜勤")+COUNTIF('10月'!BB12:BC12,"六本木-夜勤")+COUNTIF('10月'!BG12:BH12,"六本木-夜勤")+COUNTIF('10月'!BL12:BM12,"六本木-夜勤")+COUNTIF('10月'!BQ12:BR12,"六本木-夜勤")+COUNTIF('10月'!BV12:BW12,"六本木-夜勤")+COUNTIF('10月'!CA12:CB12,"六本木-夜勤")+COUNTIF('10月'!CF12:CG12,"六本木-夜勤")+COUNTIF('10月'!CK12:CL12,"六本木-夜勤")+COUNTIF('10月'!CP12:CQ12,"六本木-夜勤")+COUNTIF('10月'!CU12:CV12,"六本木-夜勤")+COUNTIF('10月'!CZ12:DA12,"六本木-夜勤")+COUNTIF('10月'!DE12:DF12,"六本木-夜勤")+COUNTIF('10月'!DJ12:DK12,"六本木-夜勤")+COUNTIF('10月'!DO12:DP12,"六本木-夜勤")+COUNTIF('10月'!DT12:DU12,"六本木-夜勤")+COUNTIF('10月'!DY12:DZ12,"六本木-夜勤")+COUNTIF('10月'!ED12:EE12,"六本木-夜勤")+COUNTIF('10月'!EI12:EJ12,"六本木-夜勤")+COUNTIF('10月'!EN12:EO12,"六本木-夜勤")+COUNTIF('10月'!ES12:ET12,"六本木-夜勤")+COUNTIF('10月'!D12:E12,"六本木ー夜勤")+COUNTIF('10月'!I12:J12,"六本木ー夜勤")+COUNTIF('10月'!N12:O12,"六本木ー夜勤")+COUNTIF('10月'!S12:T12,"六本木ー夜勤")+COUNTIF('10月'!X12:Y12,"六本木ー夜勤")+COUNTIF('10月'!AC12:AD12,"六本木ー夜勤")+COUNTIF('10月'!AH12:AI12,"六本木ー夜勤")+COUNTIF('10月'!AM12:AN12,"六本木ー夜勤")+COUNTIF('10月'!AR12:AS12,"六本木ー夜勤")+COUNTIF('10月'!AW12:AX12,"六本木ー夜勤")+COUNTIF('10月'!BB12:BC12,"六本木ー夜勤")+COUNTIF('10月'!BG12:BH12,"六本木ー夜勤")+COUNTIF('10月'!BL12:BM12,"六本木ー夜勤")+COUNTIF('10月'!BQ12:BR12,"六本木ー夜勤")+COUNTIF('10月'!BV12:BW12,"六本木ー夜勤")+COUNTIF('10月'!CA12:CB12,"六本木ー夜勤")+COUNTIF('10月'!CF12:CG12,"六本木ー夜勤")+COUNTIF('10月'!CK12:CL12,"六本木ー夜勤")+COUNTIF('10月'!CP12:CQ12,"六本木ー夜勤")+COUNTIF('10月'!CU12:CV12,"六本木ー夜勤")+COUNTIF('10月'!CZ12:DA12,"六本木ー夜勤")+COUNTIF('10月'!DE12:DF12,"六本木ー夜勤")+COUNTIF('10月'!DJ12:DK12,"六本木ー夜勤")+COUNTIF('10月'!DO12:DP12,"六本木ー夜勤")+COUNTIF('10月'!DT12:DU12,"六本木ー夜勤")+COUNTIF('10月'!DY12:DZ12,"六本木ー夜勤")+COUNTIF('10月'!ED12:EE12,"六本木ー夜勤")+COUNTIF('10月'!EI12:EJ12,"六本木ー夜勤")+COUNTIF('10月'!EN12:EO12,"六本木ー夜勤")+COUNTIF('10月'!ES12:ET12,"六本木ー夜勤")</f>
        <v>0</v>
      </c>
      <c r="K347" s="76">
        <f t="shared" si="112"/>
        <v>0</v>
      </c>
      <c r="L347" s="76">
        <f>COUNTIF('10月'!D12:E12,L$337)+COUNTIF('10月'!I12:J12,L$337)+COUNTIF('10月'!N12:O12,L$337)+COUNTIF('10月'!S12:T12,L$337)+COUNTIF('10月'!X12:Y12,L$337)+COUNTIF('10月'!AC12:AD12,L$337)+COUNTIF('10月'!AH12:AI12,L$337)+COUNTIF('10月'!AM12:AN12,L$337)+COUNTIF('10月'!AR12:AS12,L$337)+COUNTIF('10月'!AW12:AX12,L$337)+COUNTIF('10月'!BB12:BC12,L$337)+COUNTIF('10月'!BG12:BH12,L$337)+COUNTIF('10月'!BL12:BM12,L$337)+COUNTIF('10月'!BQ12:BR12,L$337)+COUNTIF('10月'!BV12:BW12,L$337)+COUNTIF('10月'!CA12:CB12,L$337)+COUNTIF('10月'!CF12:CG12,L$337)+COUNTIF('10月'!CK12:CL12,L$337)+COUNTIF('10月'!CP12:CQ12,L$337)+COUNTIF('10月'!CU12:CV12,L$337)+COUNTIF('10月'!CZ12:DA12,L$337)+COUNTIF('10月'!DE12:DF12,L$337)+COUNTIF('10月'!DJ12:DK12,L$337)+COUNTIF('10月'!DO12:DP12,L$337)+COUNTIF('10月'!DT12:DU12,L$337)+COUNTIF('10月'!DY12:DZ12,L$337)+COUNTIF('10月'!ED12:EE12,L$337)+COUNTIF('10月'!EI12:EJ12,L$337)+COUNTIF('10月'!EN12:EO12,L$337)+COUNTIF('10月'!ES12:ET12,L$337)</f>
        <v>0</v>
      </c>
      <c r="M347" s="76">
        <f t="shared" si="113"/>
        <v>0</v>
      </c>
      <c r="N347" s="76">
        <f>COUNTIF('10月'!D12:E12,N$337)+COUNTIF('10月'!I12:J12,N$337)+COUNTIF('10月'!N12:O12,N$337)+COUNTIF('10月'!S12:T12,N$337)+COUNTIF('10月'!X12:Y12,N$337)+COUNTIF('10月'!AC12:AD12,N$337)+COUNTIF('10月'!AH12:AI12,N$337)+COUNTIF('10月'!AM12:AN12,N$337)+COUNTIF('10月'!AR12:AS12,N$337)+COUNTIF('10月'!AW12:AX12,N$337)+COUNTIF('10月'!BB12:BC12,N$337)+COUNTIF('10月'!BG12:BH12,N$337)+COUNTIF('10月'!BL12:BM12,N$337)+COUNTIF('10月'!BQ12:BR12,N$337)+COUNTIF('10月'!BV12:BW12,N$337)+COUNTIF('10月'!CA12:CB12,N$337)+COUNTIF('10月'!CF12:CG12,N$337)+COUNTIF('10月'!CK12:CL12,N$337)+COUNTIF('10月'!CP12:CQ12,N$337)+COUNTIF('10月'!CU12:CV12,N$337)+COUNTIF('10月'!CZ12:DA12,N$337)+COUNTIF('10月'!DE12:DF12,N$337)+COUNTIF('10月'!DJ12:DK12,N$337)+COUNTIF('10月'!DO12:DP12,N$337)+COUNTIF('10月'!DT12:DU12,N$337)+COUNTIF('10月'!DY12:DZ12,N$337)+COUNTIF('10月'!ED12:EE12,N$337)+COUNTIF('10月'!EI12:EJ12,N$337)+COUNTIF('10月'!EN12:EO12,N$337)+COUNTIF('10月'!ES12:ET12,N$337)+COUNTIF('10月'!D12:E12,"三軒茶屋－夜勤")+COUNTIF('10月'!I12:J12,"三軒茶屋－夜勤")+COUNTIF('10月'!N12:O12,"三軒茶屋－夜勤")+COUNTIF('10月'!S12:T12,"三軒茶屋－夜勤")+COUNTIF('10月'!X12:Y12,"三軒茶屋－夜勤")+COUNTIF('10月'!AC12:AD12,"三軒茶屋－夜勤")+COUNTIF('10月'!AH12:AI12,"三軒茶屋－夜勤")+COUNTIF('10月'!AM12:AN12,"三軒茶屋－夜勤")+COUNTIF('10月'!AR12:AS12,"三軒茶屋－夜勤")+COUNTIF('10月'!AW12:AX12,"三軒茶屋－夜勤")+COUNTIF('10月'!BB12:BC12,"三軒茶屋－夜勤")+COUNTIF('10月'!BG12:BH12,"三軒茶屋－夜勤")+COUNTIF('10月'!BL12:BM12,"三軒茶屋－夜勤")+COUNTIF('10月'!BQ12:BR12,"三軒茶屋－夜勤")+COUNTIF('10月'!BV12:BW12,"三軒茶屋－夜勤")+COUNTIF('10月'!CA12:CB12,"三軒茶屋－夜勤")+COUNTIF('10月'!CF12:CG12,"三軒茶屋－夜勤")+COUNTIF('10月'!CK12:CL12,"三軒茶屋－夜勤")+COUNTIF('10月'!CP12:CQ12,"三軒茶屋－夜勤")+COUNTIF('10月'!CU12:CV12,"三軒茶屋－夜勤")+COUNTIF('10月'!CZ12:DA12,"三軒茶屋－夜勤")+COUNTIF('10月'!DE12:DF12,"三軒茶屋－夜勤")+COUNTIF('10月'!DJ12:DK12,"三軒茶屋－夜勤")+COUNTIF('10月'!DO12:DP12,"三軒茶屋－夜勤")+COUNTIF('10月'!DT12:DU12,"三軒茶屋－夜勤")+COUNTIF('10月'!DY12:DZ12,"三軒茶屋－夜勤")+COUNTIF('10月'!ED12:EE12,"三軒茶屋－夜勤")+COUNTIF('10月'!EI12:EJ12,"三軒茶屋－夜勤")+COUNTIF('10月'!EN12:EO12,"三軒茶屋－夜勤")+COUNTIF('10月'!ES12:ET12,"三軒茶屋－夜勤")</f>
        <v>0</v>
      </c>
      <c r="O347" s="76">
        <f t="shared" si="114"/>
        <v>0</v>
      </c>
      <c r="P347" s="76">
        <f>COUNTIF('10月'!D12:E12,P$337)+COUNTIF('10月'!I12:J12,P$337)+COUNTIF('10月'!N12:O12,P$337)+COUNTIF('10月'!S12:T12,P$337)+COUNTIF('10月'!X12:Y12,P$337)+COUNTIF('10月'!AC12:AD12,P$337)+COUNTIF('10月'!AH12:AI12,P$337)+COUNTIF('10月'!AM12:AN12,P$337)+COUNTIF('10月'!AR12:AS12,P$337)+COUNTIF('10月'!AW12:AX12,P$337)+COUNTIF('10月'!BB12:BC12,P$337)+COUNTIF('10月'!BG12:BH12,P$337)+COUNTIF('10月'!BL12:BM12,P$337)+COUNTIF('10月'!BQ12:BR12,P$337)+COUNTIF('10月'!BV12:BW12,P$337)+COUNTIF('10月'!CA12:CB12,P$337)+COUNTIF('10月'!CF12:CG12,P$337)+COUNTIF('10月'!CK12:CL12,P$337)+COUNTIF('10月'!CP12:CQ12,P$337)+COUNTIF('10月'!CU12:CV12,P$337)+COUNTIF('10月'!CZ12:DA12,P$337)+COUNTIF('10月'!DE12:DF12,P$337)+COUNTIF('10月'!DJ12:DK12,P$337)+COUNTIF('10月'!DO12:DP12,P$337)+COUNTIF('10月'!DT12:DU12,P$337)+COUNTIF('10月'!DY12:DZ12,P$337)+COUNTIF('10月'!ED12:EE12,P$337)+COUNTIF('10月'!EI12:EJ12,P$337)+COUNTIF('10月'!EN12:EO12,P$337)+COUNTIF('10月'!ES12:ET12,P$337)+COUNTIF('10月'!D12:E12,"荻窪ー夜勤")+COUNTIF('10月'!I12:J12,"荻窪ー夜勤")+COUNTIF('10月'!N12:O12,"荻窪ー夜勤")+COUNTIF('10月'!S12:T12,"荻窪ー夜勤")+COUNTIF('10月'!X12:Y12,"荻窪ー夜勤")+COUNTIF('10月'!AC12:AD12,"荻窪ー夜勤")+COUNTIF('10月'!AH12:AI12,"荻窪ー夜勤")+COUNTIF('10月'!AM12:AN12,"荻窪ー夜勤")+COUNTIF('10月'!AR12:AS12,"荻窪ー夜勤")+COUNTIF('10月'!AW12:AX12,"荻窪ー夜勤")+COUNTIF('10月'!BB12:BC12,"荻窪ー夜勤")+COUNTIF('10月'!BG12:BH12,"荻窪ー夜勤")+COUNTIF('10月'!BL12:BM12,"荻窪ー夜勤")+COUNTIF('10月'!BQ12:BR12,"荻窪ー夜勤")+COUNTIF('10月'!BV12:BW12,"荻窪ー夜勤")+COUNTIF('10月'!CA12:CB12,"荻窪ー夜勤")+COUNTIF('10月'!CF12:CG12,"荻窪ー夜勤")+COUNTIF('10月'!CK12:CL12,"荻窪ー夜勤")+COUNTIF('10月'!CP12:CQ12,"荻窪ー夜勤")+COUNTIF('10月'!CU12:CV12,"荻窪ー夜勤")+COUNTIF('10月'!CZ12:DA12,"荻窪ー夜勤")+COUNTIF('10月'!DE12:DF12,"荻窪ー夜勤")+COUNTIF('10月'!DJ12:DK12,"荻窪ー夜勤")+COUNTIF('10月'!DO12:DP12,"荻窪ー夜勤")+COUNTIF('10月'!DT12:DU12,"荻窪ー夜勤")+COUNTIF('10月'!DY12:DZ12,"荻窪ー夜勤")+COUNTIF('10月'!ED12:EE12,"荻窪ー夜勤")+COUNTIF('10月'!EI12:EJ12,"荻窪ー夜勤")+COUNTIF('10月'!EN12:EO12,"荻窪ー夜勤")+COUNTIF('10月'!ES12:ET12,"荻窪ー夜勤")</f>
        <v>0</v>
      </c>
      <c r="Q347" s="76">
        <f t="shared" si="115"/>
        <v>0</v>
      </c>
      <c r="R347" s="76">
        <f>COUNTIF('10月'!D12:E12,R$337)+COUNTIF('10月'!I12:J12,R$337)+COUNTIF('10月'!N12:O12,R$337)+COUNTIF('10月'!S12:T12,R$337)+COUNTIF('10月'!X12:Y12,R$337)+COUNTIF('10月'!AC12:AD12,R$337)+COUNTIF('10月'!AH12:AI12,R$337)+COUNTIF('10月'!AM12:AN12,R$337)+COUNTIF('10月'!AR12:AS12,R$337)+COUNTIF('10月'!AW12:AX12,R$337)+COUNTIF('10月'!BB12:BC12,R$337)+COUNTIF('10月'!BG12:BH12,R$337)+COUNTIF('10月'!BL12:BM12,R$337)+COUNTIF('10月'!BQ12:BR12,R$337)+COUNTIF('10月'!BV12:BW12,R$337)+COUNTIF('10月'!CA12:CB12,R$337)+COUNTIF('10月'!CF12:CG12,R$337)+COUNTIF('10月'!CK12:CL12,R$337)+COUNTIF('10月'!CP12:CQ12,R$337)+COUNTIF('10月'!CU12:CV12,R$337)+COUNTIF('10月'!CZ12:DA12,R$337)+COUNTIF('10月'!DE12:DF12,R$337)+COUNTIF('10月'!DJ12:DK12,R$337)+COUNTIF('10月'!DO12:DP12,R$337)+COUNTIF('10月'!DT12:DU12,R$337)+COUNTIF('10月'!DY12:DZ12,R$337)+COUNTIF('10月'!ED12:EE12,R$337)+COUNTIF('10月'!EI12:EJ12,R$337)+COUNTIF('10月'!EN12:EO12,R$337)+COUNTIF('10月'!ES12:ET12,R$337)</f>
        <v>0</v>
      </c>
      <c r="S347" s="76">
        <f t="shared" si="116"/>
        <v>0</v>
      </c>
      <c r="T347" s="76">
        <f>COUNTIF('10月'!D12:E12,T$337)+COUNTIF('10月'!I12:J12,T$337)+COUNTIF('10月'!N12:O12,T$337)+COUNTIF('10月'!S12:T12,T$337)+COUNTIF('10月'!X12:Y12,T$337)+COUNTIF('10月'!AC12:AD12,T$337)+COUNTIF('10月'!AH12:AI12,T$337)+COUNTIF('10月'!AM12:AN12,T$337)+COUNTIF('10月'!AR12:AS12,T$337)+COUNTIF('10月'!AW12:AX12,T$337)+COUNTIF('10月'!BB12:BC12,T$337)+COUNTIF('10月'!BG12:BH12,T$337)+COUNTIF('10月'!BL12:BM12,T$337)+COUNTIF('10月'!BQ12:BR12,T$337)+COUNTIF('10月'!BV12:BW12,T$337)+COUNTIF('10月'!CA12:CB12,T$337)+COUNTIF('10月'!CF12:CG12,T$337)+COUNTIF('10月'!CK12:CL12,T$337)+COUNTIF('10月'!CP12:CQ12,T$337)+COUNTIF('10月'!CU12:CV12,T$337)+COUNTIF('10月'!CZ12:DA12,T$337)+COUNTIF('10月'!DE12:DF12,T$337)+COUNTIF('10月'!DJ12:DK12,T$337)+COUNTIF('10月'!DO12:DP12,T$337)+COUNTIF('10月'!DT12:DU12,T$337)+COUNTIF('10月'!DY12:DZ12,T$337)+COUNTIF('10月'!ED12:EE12,T$337)+COUNTIF('10月'!EI12:EJ12,T$337)+COUNTIF('10月'!EN12:EO12,T$337)+COUNTIF('10月'!ES12:ET12,T$337)</f>
        <v>0</v>
      </c>
      <c r="U347" s="76">
        <f t="shared" si="117"/>
        <v>0</v>
      </c>
      <c r="V347" s="76">
        <f>COUNTIF('10月'!D12:E12,V$337)+COUNTIF('10月'!I12:J12,V$337)+COUNTIF('10月'!N12:O12,V$337)+COUNTIF('10月'!S12:T12,V$337)+COUNTIF('10月'!X12:Y12,V$337)+COUNTIF('10月'!AC12:AD12,V$337)+COUNTIF('10月'!AH12:AI12,V$337)+COUNTIF('10月'!AM12:AN12,V$337)+COUNTIF('10月'!AR12:AS12,V$337)+COUNTIF('10月'!AW12:AX12,V$337)+COUNTIF('10月'!BB12:BC12,V$337)+COUNTIF('10月'!BG12:BH12,V$337)+COUNTIF('10月'!BL12:BM12,V$337)+COUNTIF('10月'!BQ12:BR12,V$337)+COUNTIF('10月'!BV12:BW12,V$337)+COUNTIF('10月'!CA12:CB12,V$337)+COUNTIF('10月'!CF12:CG12,V$337)+COUNTIF('10月'!CK12:CL12,V$337)+COUNTIF('10月'!CP12:CQ12,V$337)+COUNTIF('10月'!CU12:CV12,V$337)+COUNTIF('10月'!CZ12:DA12,V$337)+COUNTIF('10月'!DE12:DF12,V$337)+COUNTIF('10月'!DJ12:DK12,V$337)+COUNTIF('10月'!DO12:DP12,V$337)+COUNTIF('10月'!DT12:DU12,V$337)+COUNTIF('10月'!DY12:DZ12,V$337)+COUNTIF('10月'!ED12:EE12,V$337)+COUNTIF('10月'!EI12:EJ12,V$337)+COUNTIF('10月'!EN12:EO12,V$337)+COUNTIF('10月'!ES12:ET12,V$337)</f>
        <v>0</v>
      </c>
      <c r="W347" s="76">
        <f t="shared" si="118"/>
        <v>0</v>
      </c>
      <c r="X347" s="76">
        <f>COUNTIF('10月'!D12:E12,X$337)+COUNTIF('10月'!I12:J12,X$337)+COUNTIF('10月'!N12:O12,X$337)+COUNTIF('10月'!S12:T12,X$337)+COUNTIF('10月'!X12:Y12,X$337)+COUNTIF('10月'!AC12:AD12,X$337)+COUNTIF('10月'!AH12:AI12,X$337)+COUNTIF('10月'!AM12:AN12,X$337)+COUNTIF('10月'!AR12:AS12,X$337)+COUNTIF('10月'!AW12:AX12,X$337)+COUNTIF('10月'!BB12:BC12,X$337)+COUNTIF('10月'!BG12:BH12,X$337)+COUNTIF('10月'!BL12:BM12,X$337)+COUNTIF('10月'!BQ12:BR12,X$337)+COUNTIF('10月'!BV12:BW12,X$337)+COUNTIF('10月'!CA12:CB12,X$337)+COUNTIF('10月'!CF12:CG12,X$337)+COUNTIF('10月'!CK12:CL12,X$337)+COUNTIF('10月'!CP12:CQ12,X$337)+COUNTIF('10月'!CU12:CV12,X$337)+COUNTIF('10月'!CZ12:DA12,X$337)+COUNTIF('10月'!DE12:DF12,X$337)+COUNTIF('10月'!DJ12:DK12,X$337)+COUNTIF('10月'!DO12:DP12,X$337)+COUNTIF('10月'!DT12:DU12,X$337)+COUNTIF('10月'!DY12:DZ12,X$337)+COUNTIF('10月'!ED12:EE12,X$337)+COUNTIF('10月'!EI12:EJ12,X$337)+COUNTIF('10月'!EN12:EO12,X$337)+COUNTIF('10月'!ES12:ET12,X$337)</f>
        <v>0</v>
      </c>
      <c r="Y347" s="76">
        <f t="shared" si="119"/>
        <v>0</v>
      </c>
    </row>
    <row r="348" spans="1:25" ht="18" customHeight="1">
      <c r="A348" s="76">
        <v>10</v>
      </c>
      <c r="B348" s="76">
        <f>COUNTIF('10月'!D13:E13,B$337)+COUNTIF('10月'!I13:J13,B$337)+COUNTIF('10月'!N13:O13,B$337)+COUNTIF('10月'!S13:T13,B$337)+COUNTIF('10月'!X13:Y13,B$337)+COUNTIF('10月'!AC13:AD13,B$337)+COUNTIF('10月'!AH13:AI13,B$337)+COUNTIF('10月'!AM13:AN13,B$337)+COUNTIF('10月'!AR13:AS13,B$337)+COUNTIF('10月'!AW13:AX13,B$337)+COUNTIF('10月'!BB13:BC13,B$337)+COUNTIF('10月'!BG13:BH13,B$337)+COUNTIF('10月'!BL13:BM13,B$337)+COUNTIF('10月'!BQ13:BR13,B$337)+COUNTIF('10月'!BV13:BW13,B$337)+COUNTIF('10月'!CA13:CB13,B$337)+COUNTIF('10月'!CF13:CG13,B$337)+COUNTIF('10月'!CK13:CL13,B$337)+COUNTIF('10月'!CP13:CQ13,B$337)+COUNTIF('10月'!CU13:CV13,B$337)+COUNTIF('10月'!CZ13:DA13,B$337)+COUNTIF('10月'!DE13:DF13,B$337)+COUNTIF('10月'!DJ13:DK13,B$337)+COUNTIF('10月'!DO13:DP13,B$337)+COUNTIF('10月'!DT13:DU13,B$337)+COUNTIF('10月'!DY13:DZ13,B$337)+COUNTIF('10月'!ED13:EE13,B$337)+COUNTIF('10月'!EI13:EJ13,B$337)+COUNTIF('10月'!EN13:EO13,B$337)+COUNTIF('10月'!ES13:ET13,B$337)</f>
        <v>0</v>
      </c>
      <c r="C348" s="76">
        <f t="shared" si="108"/>
        <v>0</v>
      </c>
      <c r="D348" s="76">
        <f>COUNTIF('10月'!D13:E13,D$337)+COUNTIF('10月'!I13:J13,D$337)+COUNTIF('10月'!N13:O13,D$337)+COUNTIF('10月'!S13:T13,D$337)+COUNTIF('10月'!X13:Y13,D$337)+COUNTIF('10月'!AC13:AD13,D$337)+COUNTIF('10月'!AH13:AI13,D$337)+COUNTIF('10月'!AM13:AN13,D$337)+COUNTIF('10月'!AR13:AS13,D$337)+COUNTIF('10月'!AW13:AX13,D$337)+COUNTIF('10月'!BB13:BC13,D$337)+COUNTIF('10月'!BG13:BH13,D$337)+COUNTIF('10月'!BL13:BM13,D$337)+COUNTIF('10月'!BQ13:BR13,D$337)+COUNTIF('10月'!BV13:BW13,D$337)+COUNTIF('10月'!CA13:CB13,D$337)+COUNTIF('10月'!CF13:CG13,D$337)+COUNTIF('10月'!CK13:CL13,D$337)+COUNTIF('10月'!CP13:CQ13,D$337)+COUNTIF('10月'!CU13:CV13,D$337)+COUNTIF('10月'!CZ13:DA13,D$337)+COUNTIF('10月'!DE13:DF13,D$337)+COUNTIF('10月'!DJ13:DK13,D$337)+COUNTIF('10月'!DO13:DP13,D$337)+COUNTIF('10月'!DT13:DU13,D$337)+COUNTIF('10月'!DY13:DZ13,D$337)+COUNTIF('10月'!ED13:EE13,D$337)+COUNTIF('10月'!EI13:EJ13,D$337)+COUNTIF('10月'!EN13:EO13,D$337)+COUNTIF('10月'!ES13:ET13,D$337)</f>
        <v>0</v>
      </c>
      <c r="E348" s="76">
        <f t="shared" si="109"/>
        <v>0</v>
      </c>
      <c r="F348" s="76">
        <f>COUNTIF('10月'!D13:E13,F$337)+COUNTIF('10月'!I13:J13,F$337)+COUNTIF('10月'!N13:O13,F$337)+COUNTIF('10月'!S13:T13,F$337)+COUNTIF('10月'!X13:Y13,F$337)+COUNTIF('10月'!AC13:AD13,F$337)+COUNTIF('10月'!AH13:AI13,F$337)+COUNTIF('10月'!AM13:AN13,F$337)+COUNTIF('10月'!AR13:AS13,F$337)+COUNTIF('10月'!AW13:AX13,F$337)+COUNTIF('10月'!BB13:BC13,F$337)+COUNTIF('10月'!BG13:BH13,F$337)+COUNTIF('10月'!BL13:BM13,F$337)+COUNTIF('10月'!BQ13:BR13,F$337)+COUNTIF('10月'!BV13:BW13,F$337)+COUNTIF('10月'!CA13:CB13,F$337)+COUNTIF('10月'!CF13:CG13,F$337)+COUNTIF('10月'!CK13:CL13,F$337)+COUNTIF('10月'!CP13:CQ13,F$337)+COUNTIF('10月'!CU13:CV13,F$337)+COUNTIF('10月'!CZ13:DA13,F$337)+COUNTIF('10月'!DE13:DF13,F$337)+COUNTIF('10月'!DJ13:DK13,F$337)+COUNTIF('10月'!DO13:DP13,F$337)+COUNTIF('10月'!DT13:DU13,F$337)+COUNTIF('10月'!DY13:DZ13,F$337)+COUNTIF('10月'!ED13:EE13,F$337)+COUNTIF('10月'!EI13:EJ13,F$337)+COUNTIF('10月'!EN13:EO13,F$337)+COUNTIF('10月'!ES13:ET13,F$337)</f>
        <v>0</v>
      </c>
      <c r="G348" s="76">
        <f t="shared" si="110"/>
        <v>0</v>
      </c>
      <c r="H348" s="76">
        <f>COUNTIF('10月'!D13:E13,H$337)+COUNTIF('10月'!I13:J13,H$337)+COUNTIF('10月'!N13:O13,H$337)+COUNTIF('10月'!S13:T13,H$337)+COUNTIF('10月'!X13:Y13,H$337)+COUNTIF('10月'!AC13:AD13,H$337)+COUNTIF('10月'!AH13:AI13,H$337)+COUNTIF('10月'!AM13:AN13,H$337)+COUNTIF('10月'!AR13:AS13,H$337)+COUNTIF('10月'!AW13:AX13,H$337)+COUNTIF('10月'!BB13:BC13,H$337)+COUNTIF('10月'!BG13:BH13,H$337)+COUNTIF('10月'!BL13:BM13,H$337)+COUNTIF('10月'!BQ13:BR13,H$337)+COUNTIF('10月'!BV13:BW13,H$337)+COUNTIF('10月'!CA13:CB13,H$337)+COUNTIF('10月'!CF13:CG13,H$337)+COUNTIF('10月'!CK13:CL13,H$337)+COUNTIF('10月'!CP13:CQ13,H$337)+COUNTIF('10月'!CU13:CV13,H$337)+COUNTIF('10月'!CZ13:DA13,H$337)+COUNTIF('10月'!DE13:DF13,H$337)+COUNTIF('10月'!DJ13:DK13,H$337)+COUNTIF('10月'!DO13:DP13,H$337)+COUNTIF('10月'!DT13:DU13,H$337)+COUNTIF('10月'!DY13:DZ13,H$337)+COUNTIF('10月'!ED13:EE13,H$337)+COUNTIF('10月'!EI13:EJ13,H$337)+COUNTIF('10月'!EN13:EO13,H$337)+COUNTIF('10月'!ES13:ET13,H$337)+COUNTIF('10月'!D13:E13,"渋谷-夜勤")+COUNTIF('10月'!I13:J13,"渋谷-夜勤")+COUNTIF('10月'!N13:O13,"渋谷-夜勤")+COUNTIF('10月'!S13:T13,"渋谷-夜勤")+COUNTIF('10月'!X13:Y13,"渋谷-夜勤")+COUNTIF('10月'!AC13:AD13,"渋谷-夜勤")+COUNTIF('10月'!AH13:AI13,"渋谷-夜勤")+COUNTIF('10月'!AM13:AN13,"渋谷-夜勤")+COUNTIF('10月'!AR13:AS13,"渋谷-夜勤")+COUNTIF('10月'!AW13:AX13,"渋谷-夜勤")+COUNTIF('10月'!BB13:BC13,"渋谷-夜勤")+COUNTIF('10月'!BG13:BH13,"渋谷-夜勤")+COUNTIF('10月'!BL13:BM13,"渋谷-夜勤")+COUNTIF('10月'!BQ13:BR13,"渋谷-夜勤")+COUNTIF('10月'!BV13:BW13,"渋谷-夜勤")+COUNTIF('10月'!CA13:CB13,"渋谷-夜勤")+COUNTIF('10月'!CF13:CG13,"渋谷-夜勤")+COUNTIF('10月'!CK13:CL13,"渋谷-夜勤")+COUNTIF('10月'!CP13:CQ13,"渋谷-夜勤")+COUNTIF('10月'!CU13:CV13,"渋谷-夜勤")+COUNTIF('10月'!CZ13:DA13,"渋谷-夜勤")+COUNTIF('10月'!DE13:DF13,"渋谷-夜勤")+COUNTIF('10月'!DJ13:DK13,"渋谷-夜勤")+COUNTIF('10月'!DO13:DP13,"渋谷-夜勤")+COUNTIF('10月'!DT13:DU13,"渋谷-夜勤")+COUNTIF('10月'!DY13:DZ13,"渋谷-夜勤")+COUNTIF('10月'!ED13:EE13,"渋谷-夜勤")+COUNTIF('10月'!EI13:EJ13,"渋谷-夜勤")+COUNTIF('10月'!EN13:EO13,"渋谷-夜勤")+COUNTIF('10月'!ES13:ET13,"渋谷-夜勤")</f>
        <v>0</v>
      </c>
      <c r="I348" s="76">
        <f t="shared" si="111"/>
        <v>0</v>
      </c>
      <c r="J348" s="76">
        <f>COUNTIF('10月'!D13:E13,J$337)+COUNTIF('10月'!I13:J13,J$337)+COUNTIF('10月'!N13:O13,J$337)+COUNTIF('10月'!S13:T13,J$337)+COUNTIF('10月'!X13:Y13,J$337)+COUNTIF('10月'!AC13:AD13,J$337)+COUNTIF('10月'!AH13:AI13,J$337)+COUNTIF('10月'!AM13:AN13,J$337)+COUNTIF('10月'!AR13:AS13,J$337)+COUNTIF('10月'!AW13:AX13,J$337)+COUNTIF('10月'!BB13:BC13,J$337)+COUNTIF('10月'!BG13:BH13,J$337)+COUNTIF('10月'!BL13:BM13,J$337)+COUNTIF('10月'!BQ13:BR13,J$337)+COUNTIF('10月'!BV13:BW13,J$337)+COUNTIF('10月'!CA13:CB13,J$337)+COUNTIF('10月'!CF13:CG13,J$337)+COUNTIF('10月'!CK13:CL13,J$337)+COUNTIF('10月'!CP13:CQ13,J$337)+COUNTIF('10月'!CU13:CV13,J$337)+COUNTIF('10月'!CZ13:DA13,J$337)+COUNTIF('10月'!DE13:DF13,J$337)+COUNTIF('10月'!DJ13:DK13,J$337)+COUNTIF('10月'!DO13:DP13,J$337)+COUNTIF('10月'!DT13:DU13,J$337)+COUNTIF('10月'!DY13:DZ13,J$337)+COUNTIF('10月'!ED13:EE13,J$337)+COUNTIF('10月'!EI13:EJ13,J$337)+COUNTIF('10月'!EN13:EO13,J$337)+COUNTIF('10月'!ES13:ET13,J$337)+COUNTIF('10月'!D13:E13,"六本木-夜勤")+COUNTIF('10月'!I13:J13,"六本木-夜勤")+COUNTIF('10月'!N13:O13,"六本木-夜勤")+COUNTIF('10月'!S13:T13,"六本木-夜勤")+COUNTIF('10月'!X13:Y13,"六本木-夜勤")+COUNTIF('10月'!AC13:AD13,"六本木-夜勤")+COUNTIF('10月'!AH13:AI13,"六本木-夜勤")+COUNTIF('10月'!AM13:AN13,"六本木-夜勤")+COUNTIF('10月'!AR13:AS13,"六本木-夜勤")+COUNTIF('10月'!AW13:AX13,"六本木-夜勤")+COUNTIF('10月'!BB13:BC13,"六本木-夜勤")+COUNTIF('10月'!BG13:BH13,"六本木-夜勤")+COUNTIF('10月'!BL13:BM13,"六本木-夜勤")+COUNTIF('10月'!BQ13:BR13,"六本木-夜勤")+COUNTIF('10月'!BV13:BW13,"六本木-夜勤")+COUNTIF('10月'!CA13:CB13,"六本木-夜勤")+COUNTIF('10月'!CF13:CG13,"六本木-夜勤")+COUNTIF('10月'!CK13:CL13,"六本木-夜勤")+COUNTIF('10月'!CP13:CQ13,"六本木-夜勤")+COUNTIF('10月'!CU13:CV13,"六本木-夜勤")+COUNTIF('10月'!CZ13:DA13,"六本木-夜勤")+COUNTIF('10月'!DE13:DF13,"六本木-夜勤")+COUNTIF('10月'!DJ13:DK13,"六本木-夜勤")+COUNTIF('10月'!DO13:DP13,"六本木-夜勤")+COUNTIF('10月'!DT13:DU13,"六本木-夜勤")+COUNTIF('10月'!DY13:DZ13,"六本木-夜勤")+COUNTIF('10月'!ED13:EE13,"六本木-夜勤")+COUNTIF('10月'!EI13:EJ13,"六本木-夜勤")+COUNTIF('10月'!EN13:EO13,"六本木-夜勤")+COUNTIF('10月'!ES13:ET13,"六本木-夜勤")+COUNTIF('10月'!D13:E13,"六本木ー夜勤")+COUNTIF('10月'!I13:J13,"六本木ー夜勤")+COUNTIF('10月'!N13:O13,"六本木ー夜勤")+COUNTIF('10月'!S13:T13,"六本木ー夜勤")+COUNTIF('10月'!X13:Y13,"六本木ー夜勤")+COUNTIF('10月'!AC13:AD13,"六本木ー夜勤")+COUNTIF('10月'!AH13:AI13,"六本木ー夜勤")+COUNTIF('10月'!AM13:AN13,"六本木ー夜勤")+COUNTIF('10月'!AR13:AS13,"六本木ー夜勤")+COUNTIF('10月'!AW13:AX13,"六本木ー夜勤")+COUNTIF('10月'!BB13:BC13,"六本木ー夜勤")+COUNTIF('10月'!BG13:BH13,"六本木ー夜勤")+COUNTIF('10月'!BL13:BM13,"六本木ー夜勤")+COUNTIF('10月'!BQ13:BR13,"六本木ー夜勤")+COUNTIF('10月'!BV13:BW13,"六本木ー夜勤")+COUNTIF('10月'!CA13:CB13,"六本木ー夜勤")+COUNTIF('10月'!CF13:CG13,"六本木ー夜勤")+COUNTIF('10月'!CK13:CL13,"六本木ー夜勤")+COUNTIF('10月'!CP13:CQ13,"六本木ー夜勤")+COUNTIF('10月'!CU13:CV13,"六本木ー夜勤")+COUNTIF('10月'!CZ13:DA13,"六本木ー夜勤")+COUNTIF('10月'!DE13:DF13,"六本木ー夜勤")+COUNTIF('10月'!DJ13:DK13,"六本木ー夜勤")+COUNTIF('10月'!DO13:DP13,"六本木ー夜勤")+COUNTIF('10月'!DT13:DU13,"六本木ー夜勤")+COUNTIF('10月'!DY13:DZ13,"六本木ー夜勤")+COUNTIF('10月'!ED13:EE13,"六本木ー夜勤")+COUNTIF('10月'!EI13:EJ13,"六本木ー夜勤")+COUNTIF('10月'!EN13:EO13,"六本木ー夜勤")+COUNTIF('10月'!ES13:ET13,"六本木ー夜勤")</f>
        <v>0</v>
      </c>
      <c r="K348" s="76">
        <f t="shared" si="112"/>
        <v>0</v>
      </c>
      <c r="L348" s="76">
        <f>COUNTIF('10月'!D13:E13,L$337)+COUNTIF('10月'!I13:J13,L$337)+COUNTIF('10月'!N13:O13,L$337)+COUNTIF('10月'!S13:T13,L$337)+COUNTIF('10月'!X13:Y13,L$337)+COUNTIF('10月'!AC13:AD13,L$337)+COUNTIF('10月'!AH13:AI13,L$337)+COUNTIF('10月'!AM13:AN13,L$337)+COUNTIF('10月'!AR13:AS13,L$337)+COUNTIF('10月'!AW13:AX13,L$337)+COUNTIF('10月'!BB13:BC13,L$337)+COUNTIF('10月'!BG13:BH13,L$337)+COUNTIF('10月'!BL13:BM13,L$337)+COUNTIF('10月'!BQ13:BR13,L$337)+COUNTIF('10月'!BV13:BW13,L$337)+COUNTIF('10月'!CA13:CB13,L$337)+COUNTIF('10月'!CF13:CG13,L$337)+COUNTIF('10月'!CK13:CL13,L$337)+COUNTIF('10月'!CP13:CQ13,L$337)+COUNTIF('10月'!CU13:CV13,L$337)+COUNTIF('10月'!CZ13:DA13,L$337)+COUNTIF('10月'!DE13:DF13,L$337)+COUNTIF('10月'!DJ13:DK13,L$337)+COUNTIF('10月'!DO13:DP13,L$337)+COUNTIF('10月'!DT13:DU13,L$337)+COUNTIF('10月'!DY13:DZ13,L$337)+COUNTIF('10月'!ED13:EE13,L$337)+COUNTIF('10月'!EI13:EJ13,L$337)+COUNTIF('10月'!EN13:EO13,L$337)+COUNTIF('10月'!ES13:ET13,L$337)</f>
        <v>0</v>
      </c>
      <c r="M348" s="76">
        <f t="shared" si="113"/>
        <v>0</v>
      </c>
      <c r="N348" s="76">
        <f>COUNTIF('10月'!D13:E13,N$337)+COUNTIF('10月'!I13:J13,N$337)+COUNTIF('10月'!N13:O13,N$337)+COUNTIF('10月'!S13:T13,N$337)+COUNTIF('10月'!X13:Y13,N$337)+COUNTIF('10月'!AC13:AD13,N$337)+COUNTIF('10月'!AH13:AI13,N$337)+COUNTIF('10月'!AM13:AN13,N$337)+COUNTIF('10月'!AR13:AS13,N$337)+COUNTIF('10月'!AW13:AX13,N$337)+COUNTIF('10月'!BB13:BC13,N$337)+COUNTIF('10月'!BG13:BH13,N$337)+COUNTIF('10月'!BL13:BM13,N$337)+COUNTIF('10月'!BQ13:BR13,N$337)+COUNTIF('10月'!BV13:BW13,N$337)+COUNTIF('10月'!CA13:CB13,N$337)+COUNTIF('10月'!CF13:CG13,N$337)+COUNTIF('10月'!CK13:CL13,N$337)+COUNTIF('10月'!CP13:CQ13,N$337)+COUNTIF('10月'!CU13:CV13,N$337)+COUNTIF('10月'!CZ13:DA13,N$337)+COUNTIF('10月'!DE13:DF13,N$337)+COUNTIF('10月'!DJ13:DK13,N$337)+COUNTIF('10月'!DO13:DP13,N$337)+COUNTIF('10月'!DT13:DU13,N$337)+COUNTIF('10月'!DY13:DZ13,N$337)+COUNTIF('10月'!ED13:EE13,N$337)+COUNTIF('10月'!EI13:EJ13,N$337)+COUNTIF('10月'!EN13:EO13,N$337)+COUNTIF('10月'!ES13:ET13,N$337)+COUNTIF('10月'!D13:E13,"三軒茶屋－夜勤")+COUNTIF('10月'!I13:J13,"三軒茶屋－夜勤")+COUNTIF('10月'!N13:O13,"三軒茶屋－夜勤")+COUNTIF('10月'!S13:T13,"三軒茶屋－夜勤")+COUNTIF('10月'!X13:Y13,"三軒茶屋－夜勤")+COUNTIF('10月'!AC13:AD13,"三軒茶屋－夜勤")+COUNTIF('10月'!AH13:AI13,"三軒茶屋－夜勤")+COUNTIF('10月'!AM13:AN13,"三軒茶屋－夜勤")+COUNTIF('10月'!AR13:AS13,"三軒茶屋－夜勤")+COUNTIF('10月'!AW13:AX13,"三軒茶屋－夜勤")+COUNTIF('10月'!BB13:BC13,"三軒茶屋－夜勤")+COUNTIF('10月'!BG13:BH13,"三軒茶屋－夜勤")+COUNTIF('10月'!BL13:BM13,"三軒茶屋－夜勤")+COUNTIF('10月'!BQ13:BR13,"三軒茶屋－夜勤")+COUNTIF('10月'!BV13:BW13,"三軒茶屋－夜勤")+COUNTIF('10月'!CA13:CB13,"三軒茶屋－夜勤")+COUNTIF('10月'!CF13:CG13,"三軒茶屋－夜勤")+COUNTIF('10月'!CK13:CL13,"三軒茶屋－夜勤")+COUNTIF('10月'!CP13:CQ13,"三軒茶屋－夜勤")+COUNTIF('10月'!CU13:CV13,"三軒茶屋－夜勤")+COUNTIF('10月'!CZ13:DA13,"三軒茶屋－夜勤")+COUNTIF('10月'!DE13:DF13,"三軒茶屋－夜勤")+COUNTIF('10月'!DJ13:DK13,"三軒茶屋－夜勤")+COUNTIF('10月'!DO13:DP13,"三軒茶屋－夜勤")+COUNTIF('10月'!DT13:DU13,"三軒茶屋－夜勤")+COUNTIF('10月'!DY13:DZ13,"三軒茶屋－夜勤")+COUNTIF('10月'!ED13:EE13,"三軒茶屋－夜勤")+COUNTIF('10月'!EI13:EJ13,"三軒茶屋－夜勤")+COUNTIF('10月'!EN13:EO13,"三軒茶屋－夜勤")+COUNTIF('10月'!ES13:ET13,"三軒茶屋－夜勤")</f>
        <v>0</v>
      </c>
      <c r="O348" s="76">
        <f t="shared" si="114"/>
        <v>0</v>
      </c>
      <c r="P348" s="76">
        <f>COUNTIF('10月'!D13:E13,P$337)+COUNTIF('10月'!I13:J13,P$337)+COUNTIF('10月'!N13:O13,P$337)+COUNTIF('10月'!S13:T13,P$337)+COUNTIF('10月'!X13:Y13,P$337)+COUNTIF('10月'!AC13:AD13,P$337)+COUNTIF('10月'!AH13:AI13,P$337)+COUNTIF('10月'!AM13:AN13,P$337)+COUNTIF('10月'!AR13:AS13,P$337)+COUNTIF('10月'!AW13:AX13,P$337)+COUNTIF('10月'!BB13:BC13,P$337)+COUNTIF('10月'!BG13:BH13,P$337)+COUNTIF('10月'!BL13:BM13,P$337)+COUNTIF('10月'!BQ13:BR13,P$337)+COUNTIF('10月'!BV13:BW13,P$337)+COUNTIF('10月'!CA13:CB13,P$337)+COUNTIF('10月'!CF13:CG13,P$337)+COUNTIF('10月'!CK13:CL13,P$337)+COUNTIF('10月'!CP13:CQ13,P$337)+COUNTIF('10月'!CU13:CV13,P$337)+COUNTIF('10月'!CZ13:DA13,P$337)+COUNTIF('10月'!DE13:DF13,P$337)+COUNTIF('10月'!DJ13:DK13,P$337)+COUNTIF('10月'!DO13:DP13,P$337)+COUNTIF('10月'!DT13:DU13,P$337)+COUNTIF('10月'!DY13:DZ13,P$337)+COUNTIF('10月'!ED13:EE13,P$337)+COUNTIF('10月'!EI13:EJ13,P$337)+COUNTIF('10月'!EN13:EO13,P$337)+COUNTIF('10月'!ES13:ET13,P$337)+COUNTIF('10月'!D13:E13,"荻窪ー夜勤")+COUNTIF('10月'!I13:J13,"荻窪ー夜勤")+COUNTIF('10月'!N13:O13,"荻窪ー夜勤")+COUNTIF('10月'!S13:T13,"荻窪ー夜勤")+COUNTIF('10月'!X13:Y13,"荻窪ー夜勤")+COUNTIF('10月'!AC13:AD13,"荻窪ー夜勤")+COUNTIF('10月'!AH13:AI13,"荻窪ー夜勤")+COUNTIF('10月'!AM13:AN13,"荻窪ー夜勤")+COUNTIF('10月'!AR13:AS13,"荻窪ー夜勤")+COUNTIF('10月'!AW13:AX13,"荻窪ー夜勤")+COUNTIF('10月'!BB13:BC13,"荻窪ー夜勤")+COUNTIF('10月'!BG13:BH13,"荻窪ー夜勤")+COUNTIF('10月'!BL13:BM13,"荻窪ー夜勤")+COUNTIF('10月'!BQ13:BR13,"荻窪ー夜勤")+COUNTIF('10月'!BV13:BW13,"荻窪ー夜勤")+COUNTIF('10月'!CA13:CB13,"荻窪ー夜勤")+COUNTIF('10月'!CF13:CG13,"荻窪ー夜勤")+COUNTIF('10月'!CK13:CL13,"荻窪ー夜勤")+COUNTIF('10月'!CP13:CQ13,"荻窪ー夜勤")+COUNTIF('10月'!CU13:CV13,"荻窪ー夜勤")+COUNTIF('10月'!CZ13:DA13,"荻窪ー夜勤")+COUNTIF('10月'!DE13:DF13,"荻窪ー夜勤")+COUNTIF('10月'!DJ13:DK13,"荻窪ー夜勤")+COUNTIF('10月'!DO13:DP13,"荻窪ー夜勤")+COUNTIF('10月'!DT13:DU13,"荻窪ー夜勤")+COUNTIF('10月'!DY13:DZ13,"荻窪ー夜勤")+COUNTIF('10月'!ED13:EE13,"荻窪ー夜勤")+COUNTIF('10月'!EI13:EJ13,"荻窪ー夜勤")+COUNTIF('10月'!EN13:EO13,"荻窪ー夜勤")+COUNTIF('10月'!ES13:ET13,"荻窪ー夜勤")</f>
        <v>0</v>
      </c>
      <c r="Q348" s="76">
        <f t="shared" si="115"/>
        <v>0</v>
      </c>
      <c r="R348" s="76">
        <f>COUNTIF('10月'!D13:E13,R$337)+COUNTIF('10月'!I13:J13,R$337)+COUNTIF('10月'!N13:O13,R$337)+COUNTIF('10月'!S13:T13,R$337)+COUNTIF('10月'!X13:Y13,R$337)+COUNTIF('10月'!AC13:AD13,R$337)+COUNTIF('10月'!AH13:AI13,R$337)+COUNTIF('10月'!AM13:AN13,R$337)+COUNTIF('10月'!AR13:AS13,R$337)+COUNTIF('10月'!AW13:AX13,R$337)+COUNTIF('10月'!BB13:BC13,R$337)+COUNTIF('10月'!BG13:BH13,R$337)+COUNTIF('10月'!BL13:BM13,R$337)+COUNTIF('10月'!BQ13:BR13,R$337)+COUNTIF('10月'!BV13:BW13,R$337)+COUNTIF('10月'!CA13:CB13,R$337)+COUNTIF('10月'!CF13:CG13,R$337)+COUNTIF('10月'!CK13:CL13,R$337)+COUNTIF('10月'!CP13:CQ13,R$337)+COUNTIF('10月'!CU13:CV13,R$337)+COUNTIF('10月'!CZ13:DA13,R$337)+COUNTIF('10月'!DE13:DF13,R$337)+COUNTIF('10月'!DJ13:DK13,R$337)+COUNTIF('10月'!DO13:DP13,R$337)+COUNTIF('10月'!DT13:DU13,R$337)+COUNTIF('10月'!DY13:DZ13,R$337)+COUNTIF('10月'!ED13:EE13,R$337)+COUNTIF('10月'!EI13:EJ13,R$337)+COUNTIF('10月'!EN13:EO13,R$337)+COUNTIF('10月'!ES13:ET13,R$337)</f>
        <v>0</v>
      </c>
      <c r="S348" s="76">
        <f t="shared" si="116"/>
        <v>0</v>
      </c>
      <c r="T348" s="76">
        <f>COUNTIF('10月'!D13:E13,T$337)+COUNTIF('10月'!I13:J13,T$337)+COUNTIF('10月'!N13:O13,T$337)+COUNTIF('10月'!S13:T13,T$337)+COUNTIF('10月'!X13:Y13,T$337)+COUNTIF('10月'!AC13:AD13,T$337)+COUNTIF('10月'!AH13:AI13,T$337)+COUNTIF('10月'!AM13:AN13,T$337)+COUNTIF('10月'!AR13:AS13,T$337)+COUNTIF('10月'!AW13:AX13,T$337)+COUNTIF('10月'!BB13:BC13,T$337)+COUNTIF('10月'!BG13:BH13,T$337)+COUNTIF('10月'!BL13:BM13,T$337)+COUNTIF('10月'!BQ13:BR13,T$337)+COUNTIF('10月'!BV13:BW13,T$337)+COUNTIF('10月'!CA13:CB13,T$337)+COUNTIF('10月'!CF13:CG13,T$337)+COUNTIF('10月'!CK13:CL13,T$337)+COUNTIF('10月'!CP13:CQ13,T$337)+COUNTIF('10月'!CU13:CV13,T$337)+COUNTIF('10月'!CZ13:DA13,T$337)+COUNTIF('10月'!DE13:DF13,T$337)+COUNTIF('10月'!DJ13:DK13,T$337)+COUNTIF('10月'!DO13:DP13,T$337)+COUNTIF('10月'!DT13:DU13,T$337)+COUNTIF('10月'!DY13:DZ13,T$337)+COUNTIF('10月'!ED13:EE13,T$337)+COUNTIF('10月'!EI13:EJ13,T$337)+COUNTIF('10月'!EN13:EO13,T$337)+COUNTIF('10月'!ES13:ET13,T$337)</f>
        <v>0</v>
      </c>
      <c r="U348" s="76">
        <f t="shared" si="117"/>
        <v>0</v>
      </c>
      <c r="V348" s="76">
        <f>COUNTIF('10月'!D13:E13,V$337)+COUNTIF('10月'!I13:J13,V$337)+COUNTIF('10月'!N13:O13,V$337)+COUNTIF('10月'!S13:T13,V$337)+COUNTIF('10月'!X13:Y13,V$337)+COUNTIF('10月'!AC13:AD13,V$337)+COUNTIF('10月'!AH13:AI13,V$337)+COUNTIF('10月'!AM13:AN13,V$337)+COUNTIF('10月'!AR13:AS13,V$337)+COUNTIF('10月'!AW13:AX13,V$337)+COUNTIF('10月'!BB13:BC13,V$337)+COUNTIF('10月'!BG13:BH13,V$337)+COUNTIF('10月'!BL13:BM13,V$337)+COUNTIF('10月'!BQ13:BR13,V$337)+COUNTIF('10月'!BV13:BW13,V$337)+COUNTIF('10月'!CA13:CB13,V$337)+COUNTIF('10月'!CF13:CG13,V$337)+COUNTIF('10月'!CK13:CL13,V$337)+COUNTIF('10月'!CP13:CQ13,V$337)+COUNTIF('10月'!CU13:CV13,V$337)+COUNTIF('10月'!CZ13:DA13,V$337)+COUNTIF('10月'!DE13:DF13,V$337)+COUNTIF('10月'!DJ13:DK13,V$337)+COUNTIF('10月'!DO13:DP13,V$337)+COUNTIF('10月'!DT13:DU13,V$337)+COUNTIF('10月'!DY13:DZ13,V$337)+COUNTIF('10月'!ED13:EE13,V$337)+COUNTIF('10月'!EI13:EJ13,V$337)+COUNTIF('10月'!EN13:EO13,V$337)+COUNTIF('10月'!ES13:ET13,V$337)</f>
        <v>0</v>
      </c>
      <c r="W348" s="76">
        <f t="shared" si="118"/>
        <v>0</v>
      </c>
      <c r="X348" s="76">
        <f>COUNTIF('10月'!D13:E13,X$337)+COUNTIF('10月'!I13:J13,X$337)+COUNTIF('10月'!N13:O13,X$337)+COUNTIF('10月'!S13:T13,X$337)+COUNTIF('10月'!X13:Y13,X$337)+COUNTIF('10月'!AC13:AD13,X$337)+COUNTIF('10月'!AH13:AI13,X$337)+COUNTIF('10月'!AM13:AN13,X$337)+COUNTIF('10月'!AR13:AS13,X$337)+COUNTIF('10月'!AW13:AX13,X$337)+COUNTIF('10月'!BB13:BC13,X$337)+COUNTIF('10月'!BG13:BH13,X$337)+COUNTIF('10月'!BL13:BM13,X$337)+COUNTIF('10月'!BQ13:BR13,X$337)+COUNTIF('10月'!BV13:BW13,X$337)+COUNTIF('10月'!CA13:CB13,X$337)+COUNTIF('10月'!CF13:CG13,X$337)+COUNTIF('10月'!CK13:CL13,X$337)+COUNTIF('10月'!CP13:CQ13,X$337)+COUNTIF('10月'!CU13:CV13,X$337)+COUNTIF('10月'!CZ13:DA13,X$337)+COUNTIF('10月'!DE13:DF13,X$337)+COUNTIF('10月'!DJ13:DK13,X$337)+COUNTIF('10月'!DO13:DP13,X$337)+COUNTIF('10月'!DT13:DU13,X$337)+COUNTIF('10月'!DY13:DZ13,X$337)+COUNTIF('10月'!ED13:EE13,X$337)+COUNTIF('10月'!EI13:EJ13,X$337)+COUNTIF('10月'!EN13:EO13,X$337)+COUNTIF('10月'!ES13:ET13,X$337)</f>
        <v>0</v>
      </c>
      <c r="Y348" s="76">
        <f t="shared" si="119"/>
        <v>0</v>
      </c>
    </row>
    <row r="349" spans="1:25" ht="18" customHeight="1">
      <c r="A349" s="76">
        <v>11</v>
      </c>
      <c r="B349" s="76">
        <f>COUNTIF('10月'!D14:E14,B$337)+COUNTIF('10月'!I14:J14,B$337)+COUNTIF('10月'!N14:O14,B$337)+COUNTIF('10月'!S14:T14,B$337)+COUNTIF('10月'!X14:Y14,B$337)+COUNTIF('10月'!AC14:AD14,B$337)+COUNTIF('10月'!AH14:AI14,B$337)+COUNTIF('10月'!AM14:AN14,B$337)+COUNTIF('10月'!AR14:AS14,B$337)+COUNTIF('10月'!AW14:AX14,B$337)+COUNTIF('10月'!BB14:BC14,B$337)+COUNTIF('10月'!BG14:BH14,B$337)+COUNTIF('10月'!BL14:BM14,B$337)+COUNTIF('10月'!BQ14:BR14,B$337)+COUNTIF('10月'!BV14:BW14,B$337)+COUNTIF('10月'!CA14:CB14,B$337)+COUNTIF('10月'!CF14:CG14,B$337)+COUNTIF('10月'!CK14:CL14,B$337)+COUNTIF('10月'!CP14:CQ14,B$337)+COUNTIF('10月'!CU14:CV14,B$337)+COUNTIF('10月'!CZ14:DA14,B$337)+COUNTIF('10月'!DE14:DF14,B$337)+COUNTIF('10月'!DJ14:DK14,B$337)+COUNTIF('10月'!DO14:DP14,B$337)+COUNTIF('10月'!DT14:DU14,B$337)+COUNTIF('10月'!DY14:DZ14,B$337)+COUNTIF('10月'!ED14:EE14,B$337)+COUNTIF('10月'!EI14:EJ14,B$337)+COUNTIF('10月'!EN14:EO14,B$337)+COUNTIF('10月'!ES14:ET14,B$337)</f>
        <v>0</v>
      </c>
      <c r="C349" s="76">
        <f t="shared" si="108"/>
        <v>0</v>
      </c>
      <c r="D349" s="76">
        <f>COUNTIF('10月'!D14:E14,D$337)+COUNTIF('10月'!I14:J14,D$337)+COUNTIF('10月'!N14:O14,D$337)+COUNTIF('10月'!S14:T14,D$337)+COUNTIF('10月'!X14:Y14,D$337)+COUNTIF('10月'!AC14:AD14,D$337)+COUNTIF('10月'!AH14:AI14,D$337)+COUNTIF('10月'!AM14:AN14,D$337)+COUNTIF('10月'!AR14:AS14,D$337)+COUNTIF('10月'!AW14:AX14,D$337)+COUNTIF('10月'!BB14:BC14,D$337)+COUNTIF('10月'!BG14:BH14,D$337)+COUNTIF('10月'!BL14:BM14,D$337)+COUNTIF('10月'!BQ14:BR14,D$337)+COUNTIF('10月'!BV14:BW14,D$337)+COUNTIF('10月'!CA14:CB14,D$337)+COUNTIF('10月'!CF14:CG14,D$337)+COUNTIF('10月'!CK14:CL14,D$337)+COUNTIF('10月'!CP14:CQ14,D$337)+COUNTIF('10月'!CU14:CV14,D$337)+COUNTIF('10月'!CZ14:DA14,D$337)+COUNTIF('10月'!DE14:DF14,D$337)+COUNTIF('10月'!DJ14:DK14,D$337)+COUNTIF('10月'!DO14:DP14,D$337)+COUNTIF('10月'!DT14:DU14,D$337)+COUNTIF('10月'!DY14:DZ14,D$337)+COUNTIF('10月'!ED14:EE14,D$337)+COUNTIF('10月'!EI14:EJ14,D$337)+COUNTIF('10月'!EN14:EO14,D$337)+COUNTIF('10月'!ES14:ET14,D$337)</f>
        <v>0</v>
      </c>
      <c r="E349" s="76">
        <f t="shared" si="109"/>
        <v>0</v>
      </c>
      <c r="F349" s="76">
        <f>COUNTIF('10月'!D14:E14,F$337)+COUNTIF('10月'!I14:J14,F$337)+COUNTIF('10月'!N14:O14,F$337)+COUNTIF('10月'!S14:T14,F$337)+COUNTIF('10月'!X14:Y14,F$337)+COUNTIF('10月'!AC14:AD14,F$337)+COUNTIF('10月'!AH14:AI14,F$337)+COUNTIF('10月'!AM14:AN14,F$337)+COUNTIF('10月'!AR14:AS14,F$337)+COUNTIF('10月'!AW14:AX14,F$337)+COUNTIF('10月'!BB14:BC14,F$337)+COUNTIF('10月'!BG14:BH14,F$337)+COUNTIF('10月'!BL14:BM14,F$337)+COUNTIF('10月'!BQ14:BR14,F$337)+COUNTIF('10月'!BV14:BW14,F$337)+COUNTIF('10月'!CA14:CB14,F$337)+COUNTIF('10月'!CF14:CG14,F$337)+COUNTIF('10月'!CK14:CL14,F$337)+COUNTIF('10月'!CP14:CQ14,F$337)+COUNTIF('10月'!CU14:CV14,F$337)+COUNTIF('10月'!CZ14:DA14,F$337)+COUNTIF('10月'!DE14:DF14,F$337)+COUNTIF('10月'!DJ14:DK14,F$337)+COUNTIF('10月'!DO14:DP14,F$337)+COUNTIF('10月'!DT14:DU14,F$337)+COUNTIF('10月'!DY14:DZ14,F$337)+COUNTIF('10月'!ED14:EE14,F$337)+COUNTIF('10月'!EI14:EJ14,F$337)+COUNTIF('10月'!EN14:EO14,F$337)+COUNTIF('10月'!ES14:ET14,F$337)</f>
        <v>0</v>
      </c>
      <c r="G349" s="76">
        <f t="shared" si="110"/>
        <v>0</v>
      </c>
      <c r="H349" s="76">
        <f>COUNTIF('10月'!D14:E14,H$337)+COUNTIF('10月'!I14:J14,H$337)+COUNTIF('10月'!N14:O14,H$337)+COUNTIF('10月'!S14:T14,H$337)+COUNTIF('10月'!X14:Y14,H$337)+COUNTIF('10月'!AC14:AD14,H$337)+COUNTIF('10月'!AH14:AI14,H$337)+COUNTIF('10月'!AM14:AN14,H$337)+COUNTIF('10月'!AR14:AS14,H$337)+COUNTIF('10月'!AW14:AX14,H$337)+COUNTIF('10月'!BB14:BC14,H$337)+COUNTIF('10月'!BG14:BH14,H$337)+COUNTIF('10月'!BL14:BM14,H$337)+COUNTIF('10月'!BQ14:BR14,H$337)+COUNTIF('10月'!BV14:BW14,H$337)+COUNTIF('10月'!CA14:CB14,H$337)+COUNTIF('10月'!CF14:CG14,H$337)+COUNTIF('10月'!CK14:CL14,H$337)+COUNTIF('10月'!CP14:CQ14,H$337)+COUNTIF('10月'!CU14:CV14,H$337)+COUNTIF('10月'!CZ14:DA14,H$337)+COUNTIF('10月'!DE14:DF14,H$337)+COUNTIF('10月'!DJ14:DK14,H$337)+COUNTIF('10月'!DO14:DP14,H$337)+COUNTIF('10月'!DT14:DU14,H$337)+COUNTIF('10月'!DY14:DZ14,H$337)+COUNTIF('10月'!ED14:EE14,H$337)+COUNTIF('10月'!EI14:EJ14,H$337)+COUNTIF('10月'!EN14:EO14,H$337)+COUNTIF('10月'!ES14:ET14,H$337)+COUNTIF('10月'!D14:E14,"渋谷-夜勤")+COUNTIF('10月'!I14:J14,"渋谷-夜勤")+COUNTIF('10月'!N14:O14,"渋谷-夜勤")+COUNTIF('10月'!S14:T14,"渋谷-夜勤")+COUNTIF('10月'!X14:Y14,"渋谷-夜勤")+COUNTIF('10月'!AC14:AD14,"渋谷-夜勤")+COUNTIF('10月'!AH14:AI14,"渋谷-夜勤")+COUNTIF('10月'!AM14:AN14,"渋谷-夜勤")+COUNTIF('10月'!AR14:AS14,"渋谷-夜勤")+COUNTIF('10月'!AW14:AX14,"渋谷-夜勤")+COUNTIF('10月'!BB14:BC14,"渋谷-夜勤")+COUNTIF('10月'!BG14:BH14,"渋谷-夜勤")+COUNTIF('10月'!BL14:BM14,"渋谷-夜勤")+COUNTIF('10月'!BQ14:BR14,"渋谷-夜勤")+COUNTIF('10月'!BV14:BW14,"渋谷-夜勤")+COUNTIF('10月'!CA14:CB14,"渋谷-夜勤")+COUNTIF('10月'!CF14:CG14,"渋谷-夜勤")+COUNTIF('10月'!CK14:CL14,"渋谷-夜勤")+COUNTIF('10月'!CP14:CQ14,"渋谷-夜勤")+COUNTIF('10月'!CU14:CV14,"渋谷-夜勤")+COUNTIF('10月'!CZ14:DA14,"渋谷-夜勤")+COUNTIF('10月'!DE14:DF14,"渋谷-夜勤")+COUNTIF('10月'!DJ14:DK14,"渋谷-夜勤")+COUNTIF('10月'!DO14:DP14,"渋谷-夜勤")+COUNTIF('10月'!DT14:DU14,"渋谷-夜勤")+COUNTIF('10月'!DY14:DZ14,"渋谷-夜勤")+COUNTIF('10月'!ED14:EE14,"渋谷-夜勤")+COUNTIF('10月'!EI14:EJ14,"渋谷-夜勤")+COUNTIF('10月'!EN14:EO14,"渋谷-夜勤")+COUNTIF('10月'!ES14:ET14,"渋谷-夜勤")</f>
        <v>0</v>
      </c>
      <c r="I349" s="76">
        <f t="shared" si="111"/>
        <v>0</v>
      </c>
      <c r="J349" s="76">
        <f>COUNTIF('10月'!D14:E14,J$337)+COUNTIF('10月'!I14:J14,J$337)+COUNTIF('10月'!N14:O14,J$337)+COUNTIF('10月'!S14:T14,J$337)+COUNTIF('10月'!X14:Y14,J$337)+COUNTIF('10月'!AC14:AD14,J$337)+COUNTIF('10月'!AH14:AI14,J$337)+COUNTIF('10月'!AM14:AN14,J$337)+COUNTIF('10月'!AR14:AS14,J$337)+COUNTIF('10月'!AW14:AX14,J$337)+COUNTIF('10月'!BB14:BC14,J$337)+COUNTIF('10月'!BG14:BH14,J$337)+COUNTIF('10月'!BL14:BM14,J$337)+COUNTIF('10月'!BQ14:BR14,J$337)+COUNTIF('10月'!BV14:BW14,J$337)+COUNTIF('10月'!CA14:CB14,J$337)+COUNTIF('10月'!CF14:CG14,J$337)+COUNTIF('10月'!CK14:CL14,J$337)+COUNTIF('10月'!CP14:CQ14,J$337)+COUNTIF('10月'!CU14:CV14,J$337)+COUNTIF('10月'!CZ14:DA14,J$337)+COUNTIF('10月'!DE14:DF14,J$337)+COUNTIF('10月'!DJ14:DK14,J$337)+COUNTIF('10月'!DO14:DP14,J$337)+COUNTIF('10月'!DT14:DU14,J$337)+COUNTIF('10月'!DY14:DZ14,J$337)+COUNTIF('10月'!ED14:EE14,J$337)+COUNTIF('10月'!EI14:EJ14,J$337)+COUNTIF('10月'!EN14:EO14,J$337)+COUNTIF('10月'!ES14:ET14,J$337)+COUNTIF('10月'!D14:E14,"六本木-夜勤")+COUNTIF('10月'!I14:J14,"六本木-夜勤")+COUNTIF('10月'!N14:O14,"六本木-夜勤")+COUNTIF('10月'!S14:T14,"六本木-夜勤")+COUNTIF('10月'!X14:Y14,"六本木-夜勤")+COUNTIF('10月'!AC14:AD14,"六本木-夜勤")+COUNTIF('10月'!AH14:AI14,"六本木-夜勤")+COUNTIF('10月'!AM14:AN14,"六本木-夜勤")+COUNTIF('10月'!AR14:AS14,"六本木-夜勤")+COUNTIF('10月'!AW14:AX14,"六本木-夜勤")+COUNTIF('10月'!BB14:BC14,"六本木-夜勤")+COUNTIF('10月'!BG14:BH14,"六本木-夜勤")+COUNTIF('10月'!BL14:BM14,"六本木-夜勤")+COUNTIF('10月'!BQ14:BR14,"六本木-夜勤")+COUNTIF('10月'!BV14:BW14,"六本木-夜勤")+COUNTIF('10月'!CA14:CB14,"六本木-夜勤")+COUNTIF('10月'!CF14:CG14,"六本木-夜勤")+COUNTIF('10月'!CK14:CL14,"六本木-夜勤")+COUNTIF('10月'!CP14:CQ14,"六本木-夜勤")+COUNTIF('10月'!CU14:CV14,"六本木-夜勤")+COUNTIF('10月'!CZ14:DA14,"六本木-夜勤")+COUNTIF('10月'!DE14:DF14,"六本木-夜勤")+COUNTIF('10月'!DJ14:DK14,"六本木-夜勤")+COUNTIF('10月'!DO14:DP14,"六本木-夜勤")+COUNTIF('10月'!DT14:DU14,"六本木-夜勤")+COUNTIF('10月'!DY14:DZ14,"六本木-夜勤")+COUNTIF('10月'!ED14:EE14,"六本木-夜勤")+COUNTIF('10月'!EI14:EJ14,"六本木-夜勤")+COUNTIF('10月'!EN14:EO14,"六本木-夜勤")+COUNTIF('10月'!ES14:ET14,"六本木-夜勤")+COUNTIF('10月'!D14:E14,"六本木ー夜勤")+COUNTIF('10月'!I14:J14,"六本木ー夜勤")+COUNTIF('10月'!N14:O14,"六本木ー夜勤")+COUNTIF('10月'!S14:T14,"六本木ー夜勤")+COUNTIF('10月'!X14:Y14,"六本木ー夜勤")+COUNTIF('10月'!AC14:AD14,"六本木ー夜勤")+COUNTIF('10月'!AH14:AI14,"六本木ー夜勤")+COUNTIF('10月'!AM14:AN14,"六本木ー夜勤")+COUNTIF('10月'!AR14:AS14,"六本木ー夜勤")+COUNTIF('10月'!AW14:AX14,"六本木ー夜勤")+COUNTIF('10月'!BB14:BC14,"六本木ー夜勤")+COUNTIF('10月'!BG14:BH14,"六本木ー夜勤")+COUNTIF('10月'!BL14:BM14,"六本木ー夜勤")+COUNTIF('10月'!BQ14:BR14,"六本木ー夜勤")+COUNTIF('10月'!BV14:BW14,"六本木ー夜勤")+COUNTIF('10月'!CA14:CB14,"六本木ー夜勤")+COUNTIF('10月'!CF14:CG14,"六本木ー夜勤")+COUNTIF('10月'!CK14:CL14,"六本木ー夜勤")+COUNTIF('10月'!CP14:CQ14,"六本木ー夜勤")+COUNTIF('10月'!CU14:CV14,"六本木ー夜勤")+COUNTIF('10月'!CZ14:DA14,"六本木ー夜勤")+COUNTIF('10月'!DE14:DF14,"六本木ー夜勤")+COUNTIF('10月'!DJ14:DK14,"六本木ー夜勤")+COUNTIF('10月'!DO14:DP14,"六本木ー夜勤")+COUNTIF('10月'!DT14:DU14,"六本木ー夜勤")+COUNTIF('10月'!DY14:DZ14,"六本木ー夜勤")+COUNTIF('10月'!ED14:EE14,"六本木ー夜勤")+COUNTIF('10月'!EI14:EJ14,"六本木ー夜勤")+COUNTIF('10月'!EN14:EO14,"六本木ー夜勤")+COUNTIF('10月'!ES14:ET14,"六本木ー夜勤")</f>
        <v>0</v>
      </c>
      <c r="K349" s="76">
        <f t="shared" si="112"/>
        <v>0</v>
      </c>
      <c r="L349" s="76">
        <f>COUNTIF('10月'!D14:E14,L$337)+COUNTIF('10月'!I14:J14,L$337)+COUNTIF('10月'!N14:O14,L$337)+COUNTIF('10月'!S14:T14,L$337)+COUNTIF('10月'!X14:Y14,L$337)+COUNTIF('10月'!AC14:AD14,L$337)+COUNTIF('10月'!AH14:AI14,L$337)+COUNTIF('10月'!AM14:AN14,L$337)+COUNTIF('10月'!AR14:AS14,L$337)+COUNTIF('10月'!AW14:AX14,L$337)+COUNTIF('10月'!BB14:BC14,L$337)+COUNTIF('10月'!BG14:BH14,L$337)+COUNTIF('10月'!BL14:BM14,L$337)+COUNTIF('10月'!BQ14:BR14,L$337)+COUNTIF('10月'!BV14:BW14,L$337)+COUNTIF('10月'!CA14:CB14,L$337)+COUNTIF('10月'!CF14:CG14,L$337)+COUNTIF('10月'!CK14:CL14,L$337)+COUNTIF('10月'!CP14:CQ14,L$337)+COUNTIF('10月'!CU14:CV14,L$337)+COUNTIF('10月'!CZ14:DA14,L$337)+COUNTIF('10月'!DE14:DF14,L$337)+COUNTIF('10月'!DJ14:DK14,L$337)+COUNTIF('10月'!DO14:DP14,L$337)+COUNTIF('10月'!DT14:DU14,L$337)+COUNTIF('10月'!DY14:DZ14,L$337)+COUNTIF('10月'!ED14:EE14,L$337)+COUNTIF('10月'!EI14:EJ14,L$337)+COUNTIF('10月'!EN14:EO14,L$337)+COUNTIF('10月'!ES14:ET14,L$337)</f>
        <v>0</v>
      </c>
      <c r="M349" s="76">
        <f t="shared" si="113"/>
        <v>0</v>
      </c>
      <c r="N349" s="76">
        <f>COUNTIF('10月'!D14:E14,N$337)+COUNTIF('10月'!I14:J14,N$337)+COUNTIF('10月'!N14:O14,N$337)+COUNTIF('10月'!S14:T14,N$337)+COUNTIF('10月'!X14:Y14,N$337)+COUNTIF('10月'!AC14:AD14,N$337)+COUNTIF('10月'!AH14:AI14,N$337)+COUNTIF('10月'!AM14:AN14,N$337)+COUNTIF('10月'!AR14:AS14,N$337)+COUNTIF('10月'!AW14:AX14,N$337)+COUNTIF('10月'!BB14:BC14,N$337)+COUNTIF('10月'!BG14:BH14,N$337)+COUNTIF('10月'!BL14:BM14,N$337)+COUNTIF('10月'!BQ14:BR14,N$337)+COUNTIF('10月'!BV14:BW14,N$337)+COUNTIF('10月'!CA14:CB14,N$337)+COUNTIF('10月'!CF14:CG14,N$337)+COUNTIF('10月'!CK14:CL14,N$337)+COUNTIF('10月'!CP14:CQ14,N$337)+COUNTIF('10月'!CU14:CV14,N$337)+COUNTIF('10月'!CZ14:DA14,N$337)+COUNTIF('10月'!DE14:DF14,N$337)+COUNTIF('10月'!DJ14:DK14,N$337)+COUNTIF('10月'!DO14:DP14,N$337)+COUNTIF('10月'!DT14:DU14,N$337)+COUNTIF('10月'!DY14:DZ14,N$337)+COUNTIF('10月'!ED14:EE14,N$337)+COUNTIF('10月'!EI14:EJ14,N$337)+COUNTIF('10月'!EN14:EO14,N$337)+COUNTIF('10月'!ES14:ET14,N$337)+COUNTIF('10月'!D14:E14,"三軒茶屋－夜勤")+COUNTIF('10月'!I14:J14,"三軒茶屋－夜勤")+COUNTIF('10月'!N14:O14,"三軒茶屋－夜勤")+COUNTIF('10月'!S14:T14,"三軒茶屋－夜勤")+COUNTIF('10月'!X14:Y14,"三軒茶屋－夜勤")+COUNTIF('10月'!AC14:AD14,"三軒茶屋－夜勤")+COUNTIF('10月'!AH14:AI14,"三軒茶屋－夜勤")+COUNTIF('10月'!AM14:AN14,"三軒茶屋－夜勤")+COUNTIF('10月'!AR14:AS14,"三軒茶屋－夜勤")+COUNTIF('10月'!AW14:AX14,"三軒茶屋－夜勤")+COUNTIF('10月'!BB14:BC14,"三軒茶屋－夜勤")+COUNTIF('10月'!BG14:BH14,"三軒茶屋－夜勤")+COUNTIF('10月'!BL14:BM14,"三軒茶屋－夜勤")+COUNTIF('10月'!BQ14:BR14,"三軒茶屋－夜勤")+COUNTIF('10月'!BV14:BW14,"三軒茶屋－夜勤")+COUNTIF('10月'!CA14:CB14,"三軒茶屋－夜勤")+COUNTIF('10月'!CF14:CG14,"三軒茶屋－夜勤")+COUNTIF('10月'!CK14:CL14,"三軒茶屋－夜勤")+COUNTIF('10月'!CP14:CQ14,"三軒茶屋－夜勤")+COUNTIF('10月'!CU14:CV14,"三軒茶屋－夜勤")+COUNTIF('10月'!CZ14:DA14,"三軒茶屋－夜勤")+COUNTIF('10月'!DE14:DF14,"三軒茶屋－夜勤")+COUNTIF('10月'!DJ14:DK14,"三軒茶屋－夜勤")+COUNTIF('10月'!DO14:DP14,"三軒茶屋－夜勤")+COUNTIF('10月'!DT14:DU14,"三軒茶屋－夜勤")+COUNTIF('10月'!DY14:DZ14,"三軒茶屋－夜勤")+COUNTIF('10月'!ED14:EE14,"三軒茶屋－夜勤")+COUNTIF('10月'!EI14:EJ14,"三軒茶屋－夜勤")+COUNTIF('10月'!EN14:EO14,"三軒茶屋－夜勤")+COUNTIF('10月'!ES14:ET14,"三軒茶屋－夜勤")</f>
        <v>0</v>
      </c>
      <c r="O349" s="76">
        <f t="shared" si="114"/>
        <v>0</v>
      </c>
      <c r="P349" s="76">
        <f>COUNTIF('10月'!D14:E14,P$337)+COUNTIF('10月'!I14:J14,P$337)+COUNTIF('10月'!N14:O14,P$337)+COUNTIF('10月'!S14:T14,P$337)+COUNTIF('10月'!X14:Y14,P$337)+COUNTIF('10月'!AC14:AD14,P$337)+COUNTIF('10月'!AH14:AI14,P$337)+COUNTIF('10月'!AM14:AN14,P$337)+COUNTIF('10月'!AR14:AS14,P$337)+COUNTIF('10月'!AW14:AX14,P$337)+COUNTIF('10月'!BB14:BC14,P$337)+COUNTIF('10月'!BG14:BH14,P$337)+COUNTIF('10月'!BL14:BM14,P$337)+COUNTIF('10月'!BQ14:BR14,P$337)+COUNTIF('10月'!BV14:BW14,P$337)+COUNTIF('10月'!CA14:CB14,P$337)+COUNTIF('10月'!CF14:CG14,P$337)+COUNTIF('10月'!CK14:CL14,P$337)+COUNTIF('10月'!CP14:CQ14,P$337)+COUNTIF('10月'!CU14:CV14,P$337)+COUNTIF('10月'!CZ14:DA14,P$337)+COUNTIF('10月'!DE14:DF14,P$337)+COUNTIF('10月'!DJ14:DK14,P$337)+COUNTIF('10月'!DO14:DP14,P$337)+COUNTIF('10月'!DT14:DU14,P$337)+COUNTIF('10月'!DY14:DZ14,P$337)+COUNTIF('10月'!ED14:EE14,P$337)+COUNTIF('10月'!EI14:EJ14,P$337)+COUNTIF('10月'!EN14:EO14,P$337)+COUNTIF('10月'!ES14:ET14,P$337)+COUNTIF('10月'!D14:E14,"荻窪ー夜勤")+COUNTIF('10月'!I14:J14,"荻窪ー夜勤")+COUNTIF('10月'!N14:O14,"荻窪ー夜勤")+COUNTIF('10月'!S14:T14,"荻窪ー夜勤")+COUNTIF('10月'!X14:Y14,"荻窪ー夜勤")+COUNTIF('10月'!AC14:AD14,"荻窪ー夜勤")+COUNTIF('10月'!AH14:AI14,"荻窪ー夜勤")+COUNTIF('10月'!AM14:AN14,"荻窪ー夜勤")+COUNTIF('10月'!AR14:AS14,"荻窪ー夜勤")+COUNTIF('10月'!AW14:AX14,"荻窪ー夜勤")+COUNTIF('10月'!BB14:BC14,"荻窪ー夜勤")+COUNTIF('10月'!BG14:BH14,"荻窪ー夜勤")+COUNTIF('10月'!BL14:BM14,"荻窪ー夜勤")+COUNTIF('10月'!BQ14:BR14,"荻窪ー夜勤")+COUNTIF('10月'!BV14:BW14,"荻窪ー夜勤")+COUNTIF('10月'!CA14:CB14,"荻窪ー夜勤")+COUNTIF('10月'!CF14:CG14,"荻窪ー夜勤")+COUNTIF('10月'!CK14:CL14,"荻窪ー夜勤")+COUNTIF('10月'!CP14:CQ14,"荻窪ー夜勤")+COUNTIF('10月'!CU14:CV14,"荻窪ー夜勤")+COUNTIF('10月'!CZ14:DA14,"荻窪ー夜勤")+COUNTIF('10月'!DE14:DF14,"荻窪ー夜勤")+COUNTIF('10月'!DJ14:DK14,"荻窪ー夜勤")+COUNTIF('10月'!DO14:DP14,"荻窪ー夜勤")+COUNTIF('10月'!DT14:DU14,"荻窪ー夜勤")+COUNTIF('10月'!DY14:DZ14,"荻窪ー夜勤")+COUNTIF('10月'!ED14:EE14,"荻窪ー夜勤")+COUNTIF('10月'!EI14:EJ14,"荻窪ー夜勤")+COUNTIF('10月'!EN14:EO14,"荻窪ー夜勤")+COUNTIF('10月'!ES14:ET14,"荻窪ー夜勤")</f>
        <v>0</v>
      </c>
      <c r="Q349" s="76">
        <f t="shared" si="115"/>
        <v>0</v>
      </c>
      <c r="R349" s="76">
        <f>COUNTIF('10月'!D14:E14,R$337)+COUNTIF('10月'!I14:J14,R$337)+COUNTIF('10月'!N14:O14,R$337)+COUNTIF('10月'!S14:T14,R$337)+COUNTIF('10月'!X14:Y14,R$337)+COUNTIF('10月'!AC14:AD14,R$337)+COUNTIF('10月'!AH14:AI14,R$337)+COUNTIF('10月'!AM14:AN14,R$337)+COUNTIF('10月'!AR14:AS14,R$337)+COUNTIF('10月'!AW14:AX14,R$337)+COUNTIF('10月'!BB14:BC14,R$337)+COUNTIF('10月'!BG14:BH14,R$337)+COUNTIF('10月'!BL14:BM14,R$337)+COUNTIF('10月'!BQ14:BR14,R$337)+COUNTIF('10月'!BV14:BW14,R$337)+COUNTIF('10月'!CA14:CB14,R$337)+COUNTIF('10月'!CF14:CG14,R$337)+COUNTIF('10月'!CK14:CL14,R$337)+COUNTIF('10月'!CP14:CQ14,R$337)+COUNTIF('10月'!CU14:CV14,R$337)+COUNTIF('10月'!CZ14:DA14,R$337)+COUNTIF('10月'!DE14:DF14,R$337)+COUNTIF('10月'!DJ14:DK14,R$337)+COUNTIF('10月'!DO14:DP14,R$337)+COUNTIF('10月'!DT14:DU14,R$337)+COUNTIF('10月'!DY14:DZ14,R$337)+COUNTIF('10月'!ED14:EE14,R$337)+COUNTIF('10月'!EI14:EJ14,R$337)+COUNTIF('10月'!EN14:EO14,R$337)+COUNTIF('10月'!ES14:ET14,R$337)</f>
        <v>0</v>
      </c>
      <c r="S349" s="76">
        <f t="shared" si="116"/>
        <v>0</v>
      </c>
      <c r="T349" s="76">
        <f>COUNTIF('10月'!D14:E14,T$337)+COUNTIF('10月'!I14:J14,T$337)+COUNTIF('10月'!N14:O14,T$337)+COUNTIF('10月'!S14:T14,T$337)+COUNTIF('10月'!X14:Y14,T$337)+COUNTIF('10月'!AC14:AD14,T$337)+COUNTIF('10月'!AH14:AI14,T$337)+COUNTIF('10月'!AM14:AN14,T$337)+COUNTIF('10月'!AR14:AS14,T$337)+COUNTIF('10月'!AW14:AX14,T$337)+COUNTIF('10月'!BB14:BC14,T$337)+COUNTIF('10月'!BG14:BH14,T$337)+COUNTIF('10月'!BL14:BM14,T$337)+COUNTIF('10月'!BQ14:BR14,T$337)+COUNTIF('10月'!BV14:BW14,T$337)+COUNTIF('10月'!CA14:CB14,T$337)+COUNTIF('10月'!CF14:CG14,T$337)+COUNTIF('10月'!CK14:CL14,T$337)+COUNTIF('10月'!CP14:CQ14,T$337)+COUNTIF('10月'!CU14:CV14,T$337)+COUNTIF('10月'!CZ14:DA14,T$337)+COUNTIF('10月'!DE14:DF14,T$337)+COUNTIF('10月'!DJ14:DK14,T$337)+COUNTIF('10月'!DO14:DP14,T$337)+COUNTIF('10月'!DT14:DU14,T$337)+COUNTIF('10月'!DY14:DZ14,T$337)+COUNTIF('10月'!ED14:EE14,T$337)+COUNTIF('10月'!EI14:EJ14,T$337)+COUNTIF('10月'!EN14:EO14,T$337)+COUNTIF('10月'!ES14:ET14,T$337)</f>
        <v>0</v>
      </c>
      <c r="U349" s="76">
        <f t="shared" si="117"/>
        <v>0</v>
      </c>
      <c r="V349" s="76">
        <f>COUNTIF('10月'!D14:E14,V$337)+COUNTIF('10月'!I14:J14,V$337)+COUNTIF('10月'!N14:O14,V$337)+COUNTIF('10月'!S14:T14,V$337)+COUNTIF('10月'!X14:Y14,V$337)+COUNTIF('10月'!AC14:AD14,V$337)+COUNTIF('10月'!AH14:AI14,V$337)+COUNTIF('10月'!AM14:AN14,V$337)+COUNTIF('10月'!AR14:AS14,V$337)+COUNTIF('10月'!AW14:AX14,V$337)+COUNTIF('10月'!BB14:BC14,V$337)+COUNTIF('10月'!BG14:BH14,V$337)+COUNTIF('10月'!BL14:BM14,V$337)+COUNTIF('10月'!BQ14:BR14,V$337)+COUNTIF('10月'!BV14:BW14,V$337)+COUNTIF('10月'!CA14:CB14,V$337)+COUNTIF('10月'!CF14:CG14,V$337)+COUNTIF('10月'!CK14:CL14,V$337)+COUNTIF('10月'!CP14:CQ14,V$337)+COUNTIF('10月'!CU14:CV14,V$337)+COUNTIF('10月'!CZ14:DA14,V$337)+COUNTIF('10月'!DE14:DF14,V$337)+COUNTIF('10月'!DJ14:DK14,V$337)+COUNTIF('10月'!DO14:DP14,V$337)+COUNTIF('10月'!DT14:DU14,V$337)+COUNTIF('10月'!DY14:DZ14,V$337)+COUNTIF('10月'!ED14:EE14,V$337)+COUNTIF('10月'!EI14:EJ14,V$337)+COUNTIF('10月'!EN14:EO14,V$337)+COUNTIF('10月'!ES14:ET14,V$337)</f>
        <v>0</v>
      </c>
      <c r="W349" s="76">
        <f t="shared" si="118"/>
        <v>0</v>
      </c>
      <c r="X349" s="76">
        <f>COUNTIF('10月'!D14:E14,X$337)+COUNTIF('10月'!I14:J14,X$337)+COUNTIF('10月'!N14:O14,X$337)+COUNTIF('10月'!S14:T14,X$337)+COUNTIF('10月'!X14:Y14,X$337)+COUNTIF('10月'!AC14:AD14,X$337)+COUNTIF('10月'!AH14:AI14,X$337)+COUNTIF('10月'!AM14:AN14,X$337)+COUNTIF('10月'!AR14:AS14,X$337)+COUNTIF('10月'!AW14:AX14,X$337)+COUNTIF('10月'!BB14:BC14,X$337)+COUNTIF('10月'!BG14:BH14,X$337)+COUNTIF('10月'!BL14:BM14,X$337)+COUNTIF('10月'!BQ14:BR14,X$337)+COUNTIF('10月'!BV14:BW14,X$337)+COUNTIF('10月'!CA14:CB14,X$337)+COUNTIF('10月'!CF14:CG14,X$337)+COUNTIF('10月'!CK14:CL14,X$337)+COUNTIF('10月'!CP14:CQ14,X$337)+COUNTIF('10月'!CU14:CV14,X$337)+COUNTIF('10月'!CZ14:DA14,X$337)+COUNTIF('10月'!DE14:DF14,X$337)+COUNTIF('10月'!DJ14:DK14,X$337)+COUNTIF('10月'!DO14:DP14,X$337)+COUNTIF('10月'!DT14:DU14,X$337)+COUNTIF('10月'!DY14:DZ14,X$337)+COUNTIF('10月'!ED14:EE14,X$337)+COUNTIF('10月'!EI14:EJ14,X$337)+COUNTIF('10月'!EN14:EO14,X$337)+COUNTIF('10月'!ES14:ET14,X$337)</f>
        <v>0</v>
      </c>
      <c r="Y349" s="76">
        <f t="shared" si="119"/>
        <v>0</v>
      </c>
    </row>
    <row r="350" spans="1:25" ht="18" customHeight="1">
      <c r="A350" s="76">
        <v>12</v>
      </c>
      <c r="B350" s="76">
        <f>COUNTIF('10月'!D15:E15,B$337)+COUNTIF('10月'!I15:J15,B$337)+COUNTIF('10月'!N15:O15,B$337)+COUNTIF('10月'!S15:T15,B$337)+COUNTIF('10月'!X15:Y15,B$337)+COUNTIF('10月'!AC15:AD15,B$337)+COUNTIF('10月'!AH15:AI15,B$337)+COUNTIF('10月'!AM15:AN15,B$337)+COUNTIF('10月'!AR15:AS15,B$337)+COUNTIF('10月'!AW15:AX15,B$337)+COUNTIF('10月'!BB15:BC15,B$337)+COUNTIF('10月'!BG15:BH15,B$337)+COUNTIF('10月'!BL15:BM15,B$337)+COUNTIF('10月'!BQ15:BR15,B$337)+COUNTIF('10月'!BV15:BW15,B$337)+COUNTIF('10月'!CA15:CB15,B$337)+COUNTIF('10月'!CF15:CG15,B$337)+COUNTIF('10月'!CK15:CL15,B$337)+COUNTIF('10月'!CP15:CQ15,B$337)+COUNTIF('10月'!CU15:CV15,B$337)+COUNTIF('10月'!CZ15:DA15,B$337)+COUNTIF('10月'!DE15:DF15,B$337)+COUNTIF('10月'!DJ15:DK15,B$337)+COUNTIF('10月'!DO15:DP15,B$337)+COUNTIF('10月'!DT15:DU15,B$337)+COUNTIF('10月'!DY15:DZ15,B$337)+COUNTIF('10月'!ED15:EE15,B$337)+COUNTIF('10月'!EI15:EJ15,B$337)+COUNTIF('10月'!EN15:EO15,B$337)+COUNTIF('10月'!ES15:ET15,B$337)</f>
        <v>0</v>
      </c>
      <c r="C350" s="76">
        <f t="shared" si="108"/>
        <v>0</v>
      </c>
      <c r="D350" s="76">
        <f>COUNTIF('10月'!D15:E15,D$337)+COUNTIF('10月'!I15:J15,D$337)+COUNTIF('10月'!N15:O15,D$337)+COUNTIF('10月'!S15:T15,D$337)+COUNTIF('10月'!X15:Y15,D$337)+COUNTIF('10月'!AC15:AD15,D$337)+COUNTIF('10月'!AH15:AI15,D$337)+COUNTIF('10月'!AM15:AN15,D$337)+COUNTIF('10月'!AR15:AS15,D$337)+COUNTIF('10月'!AW15:AX15,D$337)+COUNTIF('10月'!BB15:BC15,D$337)+COUNTIF('10月'!BG15:BH15,D$337)+COUNTIF('10月'!BL15:BM15,D$337)+COUNTIF('10月'!BQ15:BR15,D$337)+COUNTIF('10月'!BV15:BW15,D$337)+COUNTIF('10月'!CA15:CB15,D$337)+COUNTIF('10月'!CF15:CG15,D$337)+COUNTIF('10月'!CK15:CL15,D$337)+COUNTIF('10月'!CP15:CQ15,D$337)+COUNTIF('10月'!CU15:CV15,D$337)+COUNTIF('10月'!CZ15:DA15,D$337)+COUNTIF('10月'!DE15:DF15,D$337)+COUNTIF('10月'!DJ15:DK15,D$337)+COUNTIF('10月'!DO15:DP15,D$337)+COUNTIF('10月'!DT15:DU15,D$337)+COUNTIF('10月'!DY15:DZ15,D$337)+COUNTIF('10月'!ED15:EE15,D$337)+COUNTIF('10月'!EI15:EJ15,D$337)+COUNTIF('10月'!EN15:EO15,D$337)+COUNTIF('10月'!ES15:ET15,D$337)</f>
        <v>0</v>
      </c>
      <c r="E350" s="76">
        <f t="shared" si="109"/>
        <v>0</v>
      </c>
      <c r="F350" s="76">
        <f>COUNTIF('10月'!D15:E15,F$337)+COUNTIF('10月'!I15:J15,F$337)+COUNTIF('10月'!N15:O15,F$337)+COUNTIF('10月'!S15:T15,F$337)+COUNTIF('10月'!X15:Y15,F$337)+COUNTIF('10月'!AC15:AD15,F$337)+COUNTIF('10月'!AH15:AI15,F$337)+COUNTIF('10月'!AM15:AN15,F$337)+COUNTIF('10月'!AR15:AS15,F$337)+COUNTIF('10月'!AW15:AX15,F$337)+COUNTIF('10月'!BB15:BC15,F$337)+COUNTIF('10月'!BG15:BH15,F$337)+COUNTIF('10月'!BL15:BM15,F$337)+COUNTIF('10月'!BQ15:BR15,F$337)+COUNTIF('10月'!BV15:BW15,F$337)+COUNTIF('10月'!CA15:CB15,F$337)+COUNTIF('10月'!CF15:CG15,F$337)+COUNTIF('10月'!CK15:CL15,F$337)+COUNTIF('10月'!CP15:CQ15,F$337)+COUNTIF('10月'!CU15:CV15,F$337)+COUNTIF('10月'!CZ15:DA15,F$337)+COUNTIF('10月'!DE15:DF15,F$337)+COUNTIF('10月'!DJ15:DK15,F$337)+COUNTIF('10月'!DO15:DP15,F$337)+COUNTIF('10月'!DT15:DU15,F$337)+COUNTIF('10月'!DY15:DZ15,F$337)+COUNTIF('10月'!ED15:EE15,F$337)+COUNTIF('10月'!EI15:EJ15,F$337)+COUNTIF('10月'!EN15:EO15,F$337)+COUNTIF('10月'!ES15:ET15,F$337)</f>
        <v>0</v>
      </c>
      <c r="G350" s="76">
        <f t="shared" si="110"/>
        <v>0</v>
      </c>
      <c r="H350" s="76">
        <f>COUNTIF('10月'!D15:E15,H$337)+COUNTIF('10月'!I15:J15,H$337)+COUNTIF('10月'!N15:O15,H$337)+COUNTIF('10月'!S15:T15,H$337)+COUNTIF('10月'!X15:Y15,H$337)+COUNTIF('10月'!AC15:AD15,H$337)+COUNTIF('10月'!AH15:AI15,H$337)+COUNTIF('10月'!AM15:AN15,H$337)+COUNTIF('10月'!AR15:AS15,H$337)+COUNTIF('10月'!AW15:AX15,H$337)+COUNTIF('10月'!BB15:BC15,H$337)+COUNTIF('10月'!BG15:BH15,H$337)+COUNTIF('10月'!BL15:BM15,H$337)+COUNTIF('10月'!BQ15:BR15,H$337)+COUNTIF('10月'!BV15:BW15,H$337)+COUNTIF('10月'!CA15:CB15,H$337)+COUNTIF('10月'!CF15:CG15,H$337)+COUNTIF('10月'!CK15:CL15,H$337)+COUNTIF('10月'!CP15:CQ15,H$337)+COUNTIF('10月'!CU15:CV15,H$337)+COUNTIF('10月'!CZ15:DA15,H$337)+COUNTIF('10月'!DE15:DF15,H$337)+COUNTIF('10月'!DJ15:DK15,H$337)+COUNTIF('10月'!DO15:DP15,H$337)+COUNTIF('10月'!DT15:DU15,H$337)+COUNTIF('10月'!DY15:DZ15,H$337)+COUNTIF('10月'!ED15:EE15,H$337)+COUNTIF('10月'!EI15:EJ15,H$337)+COUNTIF('10月'!EN15:EO15,H$337)+COUNTIF('10月'!ES15:ET15,H$337)+COUNTIF('10月'!D15:E15,"渋谷-夜勤")+COUNTIF('10月'!I15:J15,"渋谷-夜勤")+COUNTIF('10月'!N15:O15,"渋谷-夜勤")+COUNTIF('10月'!S15:T15,"渋谷-夜勤")+COUNTIF('10月'!X15:Y15,"渋谷-夜勤")+COUNTIF('10月'!AC15:AD15,"渋谷-夜勤")+COUNTIF('10月'!AH15:AI15,"渋谷-夜勤")+COUNTIF('10月'!AM15:AN15,"渋谷-夜勤")+COUNTIF('10月'!AR15:AS15,"渋谷-夜勤")+COUNTIF('10月'!AW15:AX15,"渋谷-夜勤")+COUNTIF('10月'!BB15:BC15,"渋谷-夜勤")+COUNTIF('10月'!BG15:BH15,"渋谷-夜勤")+COUNTIF('10月'!BL15:BM15,"渋谷-夜勤")+COUNTIF('10月'!BQ15:BR15,"渋谷-夜勤")+COUNTIF('10月'!BV15:BW15,"渋谷-夜勤")+COUNTIF('10月'!CA15:CB15,"渋谷-夜勤")+COUNTIF('10月'!CF15:CG15,"渋谷-夜勤")+COUNTIF('10月'!CK15:CL15,"渋谷-夜勤")+COUNTIF('10月'!CP15:CQ15,"渋谷-夜勤")+COUNTIF('10月'!CU15:CV15,"渋谷-夜勤")+COUNTIF('10月'!CZ15:DA15,"渋谷-夜勤")+COUNTIF('10月'!DE15:DF15,"渋谷-夜勤")+COUNTIF('10月'!DJ15:DK15,"渋谷-夜勤")+COUNTIF('10月'!DO15:DP15,"渋谷-夜勤")+COUNTIF('10月'!DT15:DU15,"渋谷-夜勤")+COUNTIF('10月'!DY15:DZ15,"渋谷-夜勤")+COUNTIF('10月'!ED15:EE15,"渋谷-夜勤")+COUNTIF('10月'!EI15:EJ15,"渋谷-夜勤")+COUNTIF('10月'!EN15:EO15,"渋谷-夜勤")+COUNTIF('10月'!ES15:ET15,"渋谷-夜勤")</f>
        <v>0</v>
      </c>
      <c r="I350" s="76">
        <f t="shared" si="111"/>
        <v>0</v>
      </c>
      <c r="J350" s="76">
        <f>COUNTIF('10月'!D15:E15,J$337)+COUNTIF('10月'!I15:J15,J$337)+COUNTIF('10月'!N15:O15,J$337)+COUNTIF('10月'!S15:T15,J$337)+COUNTIF('10月'!X15:Y15,J$337)+COUNTIF('10月'!AC15:AD15,J$337)+COUNTIF('10月'!AH15:AI15,J$337)+COUNTIF('10月'!AM15:AN15,J$337)+COUNTIF('10月'!AR15:AS15,J$337)+COUNTIF('10月'!AW15:AX15,J$337)+COUNTIF('10月'!BB15:BC15,J$337)+COUNTIF('10月'!BG15:BH15,J$337)+COUNTIF('10月'!BL15:BM15,J$337)+COUNTIF('10月'!BQ15:BR15,J$337)+COUNTIF('10月'!BV15:BW15,J$337)+COUNTIF('10月'!CA15:CB15,J$337)+COUNTIF('10月'!CF15:CG15,J$337)+COUNTIF('10月'!CK15:CL15,J$337)+COUNTIF('10月'!CP15:CQ15,J$337)+COUNTIF('10月'!CU15:CV15,J$337)+COUNTIF('10月'!CZ15:DA15,J$337)+COUNTIF('10月'!DE15:DF15,J$337)+COUNTIF('10月'!DJ15:DK15,J$337)+COUNTIF('10月'!DO15:DP15,J$337)+COUNTIF('10月'!DT15:DU15,J$337)+COUNTIF('10月'!DY15:DZ15,J$337)+COUNTIF('10月'!ED15:EE15,J$337)+COUNTIF('10月'!EI15:EJ15,J$337)+COUNTIF('10月'!EN15:EO15,J$337)+COUNTIF('10月'!ES15:ET15,J$337)+COUNTIF('10月'!D15:E15,"六本木-夜勤")+COUNTIF('10月'!I15:J15,"六本木-夜勤")+COUNTIF('10月'!N15:O15,"六本木-夜勤")+COUNTIF('10月'!S15:T15,"六本木-夜勤")+COUNTIF('10月'!X15:Y15,"六本木-夜勤")+COUNTIF('10月'!AC15:AD15,"六本木-夜勤")+COUNTIF('10月'!AH15:AI15,"六本木-夜勤")+COUNTIF('10月'!AM15:AN15,"六本木-夜勤")+COUNTIF('10月'!AR15:AS15,"六本木-夜勤")+COUNTIF('10月'!AW15:AX15,"六本木-夜勤")+COUNTIF('10月'!BB15:BC15,"六本木-夜勤")+COUNTIF('10月'!BG15:BH15,"六本木-夜勤")+COUNTIF('10月'!BL15:BM15,"六本木-夜勤")+COUNTIF('10月'!BQ15:BR15,"六本木-夜勤")+COUNTIF('10月'!BV15:BW15,"六本木-夜勤")+COUNTIF('10月'!CA15:CB15,"六本木-夜勤")+COUNTIF('10月'!CF15:CG15,"六本木-夜勤")+COUNTIF('10月'!CK15:CL15,"六本木-夜勤")+COUNTIF('10月'!CP15:CQ15,"六本木-夜勤")+COUNTIF('10月'!CU15:CV15,"六本木-夜勤")+COUNTIF('10月'!CZ15:DA15,"六本木-夜勤")+COUNTIF('10月'!DE15:DF15,"六本木-夜勤")+COUNTIF('10月'!DJ15:DK15,"六本木-夜勤")+COUNTIF('10月'!DO15:DP15,"六本木-夜勤")+COUNTIF('10月'!DT15:DU15,"六本木-夜勤")+COUNTIF('10月'!DY15:DZ15,"六本木-夜勤")+COUNTIF('10月'!ED15:EE15,"六本木-夜勤")+COUNTIF('10月'!EI15:EJ15,"六本木-夜勤")+COUNTIF('10月'!EN15:EO15,"六本木-夜勤")+COUNTIF('10月'!ES15:ET15,"六本木-夜勤")+COUNTIF('10月'!D15:E15,"六本木ー夜勤")+COUNTIF('10月'!I15:J15,"六本木ー夜勤")+COUNTIF('10月'!N15:O15,"六本木ー夜勤")+COUNTIF('10月'!S15:T15,"六本木ー夜勤")+COUNTIF('10月'!X15:Y15,"六本木ー夜勤")+COUNTIF('10月'!AC15:AD15,"六本木ー夜勤")+COUNTIF('10月'!AH15:AI15,"六本木ー夜勤")+COUNTIF('10月'!AM15:AN15,"六本木ー夜勤")+COUNTIF('10月'!AR15:AS15,"六本木ー夜勤")+COUNTIF('10月'!AW15:AX15,"六本木ー夜勤")+COUNTIF('10月'!BB15:BC15,"六本木ー夜勤")+COUNTIF('10月'!BG15:BH15,"六本木ー夜勤")+COUNTIF('10月'!BL15:BM15,"六本木ー夜勤")+COUNTIF('10月'!BQ15:BR15,"六本木ー夜勤")+COUNTIF('10月'!BV15:BW15,"六本木ー夜勤")+COUNTIF('10月'!CA15:CB15,"六本木ー夜勤")+COUNTIF('10月'!CF15:CG15,"六本木ー夜勤")+COUNTIF('10月'!CK15:CL15,"六本木ー夜勤")+COUNTIF('10月'!CP15:CQ15,"六本木ー夜勤")+COUNTIF('10月'!CU15:CV15,"六本木ー夜勤")+COUNTIF('10月'!CZ15:DA15,"六本木ー夜勤")+COUNTIF('10月'!DE15:DF15,"六本木ー夜勤")+COUNTIF('10月'!DJ15:DK15,"六本木ー夜勤")+COUNTIF('10月'!DO15:DP15,"六本木ー夜勤")+COUNTIF('10月'!DT15:DU15,"六本木ー夜勤")+COUNTIF('10月'!DY15:DZ15,"六本木ー夜勤")+COUNTIF('10月'!ED15:EE15,"六本木ー夜勤")+COUNTIF('10月'!EI15:EJ15,"六本木ー夜勤")+COUNTIF('10月'!EN15:EO15,"六本木ー夜勤")+COUNTIF('10月'!ES15:ET15,"六本木ー夜勤")</f>
        <v>0</v>
      </c>
      <c r="K350" s="76">
        <f t="shared" si="112"/>
        <v>0</v>
      </c>
      <c r="L350" s="76">
        <f>COUNTIF('10月'!D15:E15,L$337)+COUNTIF('10月'!I15:J15,L$337)+COUNTIF('10月'!N15:O15,L$337)+COUNTIF('10月'!S15:T15,L$337)+COUNTIF('10月'!X15:Y15,L$337)+COUNTIF('10月'!AC15:AD15,L$337)+COUNTIF('10月'!AH15:AI15,L$337)+COUNTIF('10月'!AM15:AN15,L$337)+COUNTIF('10月'!AR15:AS15,L$337)+COUNTIF('10月'!AW15:AX15,L$337)+COUNTIF('10月'!BB15:BC15,L$337)+COUNTIF('10月'!BG15:BH15,L$337)+COUNTIF('10月'!BL15:BM15,L$337)+COUNTIF('10月'!BQ15:BR15,L$337)+COUNTIF('10月'!BV15:BW15,L$337)+COUNTIF('10月'!CA15:CB15,L$337)+COUNTIF('10月'!CF15:CG15,L$337)+COUNTIF('10月'!CK15:CL15,L$337)+COUNTIF('10月'!CP15:CQ15,L$337)+COUNTIF('10月'!CU15:CV15,L$337)+COUNTIF('10月'!CZ15:DA15,L$337)+COUNTIF('10月'!DE15:DF15,L$337)+COUNTIF('10月'!DJ15:DK15,L$337)+COUNTIF('10月'!DO15:DP15,L$337)+COUNTIF('10月'!DT15:DU15,L$337)+COUNTIF('10月'!DY15:DZ15,L$337)+COUNTIF('10月'!ED15:EE15,L$337)+COUNTIF('10月'!EI15:EJ15,L$337)+COUNTIF('10月'!EN15:EO15,L$337)+COUNTIF('10月'!ES15:ET15,L$337)</f>
        <v>0</v>
      </c>
      <c r="M350" s="76">
        <f t="shared" si="113"/>
        <v>0</v>
      </c>
      <c r="N350" s="76">
        <f>COUNTIF('10月'!D15:E15,N$337)+COUNTIF('10月'!I15:J15,N$337)+COUNTIF('10月'!N15:O15,N$337)+COUNTIF('10月'!S15:T15,N$337)+COUNTIF('10月'!X15:Y15,N$337)+COUNTIF('10月'!AC15:AD15,N$337)+COUNTIF('10月'!AH15:AI15,N$337)+COUNTIF('10月'!AM15:AN15,N$337)+COUNTIF('10月'!AR15:AS15,N$337)+COUNTIF('10月'!AW15:AX15,N$337)+COUNTIF('10月'!BB15:BC15,N$337)+COUNTIF('10月'!BG15:BH15,N$337)+COUNTIF('10月'!BL15:BM15,N$337)+COUNTIF('10月'!BQ15:BR15,N$337)+COUNTIF('10月'!BV15:BW15,N$337)+COUNTIF('10月'!CA15:CB15,N$337)+COUNTIF('10月'!CF15:CG15,N$337)+COUNTIF('10月'!CK15:CL15,N$337)+COUNTIF('10月'!CP15:CQ15,N$337)+COUNTIF('10月'!CU15:CV15,N$337)+COUNTIF('10月'!CZ15:DA15,N$337)+COUNTIF('10月'!DE15:DF15,N$337)+COUNTIF('10月'!DJ15:DK15,N$337)+COUNTIF('10月'!DO15:DP15,N$337)+COUNTIF('10月'!DT15:DU15,N$337)+COUNTIF('10月'!DY15:DZ15,N$337)+COUNTIF('10月'!ED15:EE15,N$337)+COUNTIF('10月'!EI15:EJ15,N$337)+COUNTIF('10月'!EN15:EO15,N$337)+COUNTIF('10月'!ES15:ET15,N$337)+COUNTIF('10月'!D15:E15,"三軒茶屋－夜勤")+COUNTIF('10月'!I15:J15,"三軒茶屋－夜勤")+COUNTIF('10月'!N15:O15,"三軒茶屋－夜勤")+COUNTIF('10月'!S15:T15,"三軒茶屋－夜勤")+COUNTIF('10月'!X15:Y15,"三軒茶屋－夜勤")+COUNTIF('10月'!AC15:AD15,"三軒茶屋－夜勤")+COUNTIF('10月'!AH15:AI15,"三軒茶屋－夜勤")+COUNTIF('10月'!AM15:AN15,"三軒茶屋－夜勤")+COUNTIF('10月'!AR15:AS15,"三軒茶屋－夜勤")+COUNTIF('10月'!AW15:AX15,"三軒茶屋－夜勤")+COUNTIF('10月'!BB15:BC15,"三軒茶屋－夜勤")+COUNTIF('10月'!BG15:BH15,"三軒茶屋－夜勤")+COUNTIF('10月'!BL15:BM15,"三軒茶屋－夜勤")+COUNTIF('10月'!BQ15:BR15,"三軒茶屋－夜勤")+COUNTIF('10月'!BV15:BW15,"三軒茶屋－夜勤")+COUNTIF('10月'!CA15:CB15,"三軒茶屋－夜勤")+COUNTIF('10月'!CF15:CG15,"三軒茶屋－夜勤")+COUNTIF('10月'!CK15:CL15,"三軒茶屋－夜勤")+COUNTIF('10月'!CP15:CQ15,"三軒茶屋－夜勤")+COUNTIF('10月'!CU15:CV15,"三軒茶屋－夜勤")+COUNTIF('10月'!CZ15:DA15,"三軒茶屋－夜勤")+COUNTIF('10月'!DE15:DF15,"三軒茶屋－夜勤")+COUNTIF('10月'!DJ15:DK15,"三軒茶屋－夜勤")+COUNTIF('10月'!DO15:DP15,"三軒茶屋－夜勤")+COUNTIF('10月'!DT15:DU15,"三軒茶屋－夜勤")+COUNTIF('10月'!DY15:DZ15,"三軒茶屋－夜勤")+COUNTIF('10月'!ED15:EE15,"三軒茶屋－夜勤")+COUNTIF('10月'!EI15:EJ15,"三軒茶屋－夜勤")+COUNTIF('10月'!EN15:EO15,"三軒茶屋－夜勤")+COUNTIF('10月'!ES15:ET15,"三軒茶屋－夜勤")</f>
        <v>0</v>
      </c>
      <c r="O350" s="76">
        <f t="shared" si="114"/>
        <v>0</v>
      </c>
      <c r="P350" s="76">
        <f>COUNTIF('10月'!D15:E15,P$337)+COUNTIF('10月'!I15:J15,P$337)+COUNTIF('10月'!N15:O15,P$337)+COUNTIF('10月'!S15:T15,P$337)+COUNTIF('10月'!X15:Y15,P$337)+COUNTIF('10月'!AC15:AD15,P$337)+COUNTIF('10月'!AH15:AI15,P$337)+COUNTIF('10月'!AM15:AN15,P$337)+COUNTIF('10月'!AR15:AS15,P$337)+COUNTIF('10月'!AW15:AX15,P$337)+COUNTIF('10月'!BB15:BC15,P$337)+COUNTIF('10月'!BG15:BH15,P$337)+COUNTIF('10月'!BL15:BM15,P$337)+COUNTIF('10月'!BQ15:BR15,P$337)+COUNTIF('10月'!BV15:BW15,P$337)+COUNTIF('10月'!CA15:CB15,P$337)+COUNTIF('10月'!CF15:CG15,P$337)+COUNTIF('10月'!CK15:CL15,P$337)+COUNTIF('10月'!CP15:CQ15,P$337)+COUNTIF('10月'!CU15:CV15,P$337)+COUNTIF('10月'!CZ15:DA15,P$337)+COUNTIF('10月'!DE15:DF15,P$337)+COUNTIF('10月'!DJ15:DK15,P$337)+COUNTIF('10月'!DO15:DP15,P$337)+COUNTIF('10月'!DT15:DU15,P$337)+COUNTIF('10月'!DY15:DZ15,P$337)+COUNTIF('10月'!ED15:EE15,P$337)+COUNTIF('10月'!EI15:EJ15,P$337)+COUNTIF('10月'!EN15:EO15,P$337)+COUNTIF('10月'!ES15:ET15,P$337)+COUNTIF('10月'!D15:E15,"荻窪ー夜勤")+COUNTIF('10月'!I15:J15,"荻窪ー夜勤")+COUNTIF('10月'!N15:O15,"荻窪ー夜勤")+COUNTIF('10月'!S15:T15,"荻窪ー夜勤")+COUNTIF('10月'!X15:Y15,"荻窪ー夜勤")+COUNTIF('10月'!AC15:AD15,"荻窪ー夜勤")+COUNTIF('10月'!AH15:AI15,"荻窪ー夜勤")+COUNTIF('10月'!AM15:AN15,"荻窪ー夜勤")+COUNTIF('10月'!AR15:AS15,"荻窪ー夜勤")+COUNTIF('10月'!AW15:AX15,"荻窪ー夜勤")+COUNTIF('10月'!BB15:BC15,"荻窪ー夜勤")+COUNTIF('10月'!BG15:BH15,"荻窪ー夜勤")+COUNTIF('10月'!BL15:BM15,"荻窪ー夜勤")+COUNTIF('10月'!BQ15:BR15,"荻窪ー夜勤")+COUNTIF('10月'!BV15:BW15,"荻窪ー夜勤")+COUNTIF('10月'!CA15:CB15,"荻窪ー夜勤")+COUNTIF('10月'!CF15:CG15,"荻窪ー夜勤")+COUNTIF('10月'!CK15:CL15,"荻窪ー夜勤")+COUNTIF('10月'!CP15:CQ15,"荻窪ー夜勤")+COUNTIF('10月'!CU15:CV15,"荻窪ー夜勤")+COUNTIF('10月'!CZ15:DA15,"荻窪ー夜勤")+COUNTIF('10月'!DE15:DF15,"荻窪ー夜勤")+COUNTIF('10月'!DJ15:DK15,"荻窪ー夜勤")+COUNTIF('10月'!DO15:DP15,"荻窪ー夜勤")+COUNTIF('10月'!DT15:DU15,"荻窪ー夜勤")+COUNTIF('10月'!DY15:DZ15,"荻窪ー夜勤")+COUNTIF('10月'!ED15:EE15,"荻窪ー夜勤")+COUNTIF('10月'!EI15:EJ15,"荻窪ー夜勤")+COUNTIF('10月'!EN15:EO15,"荻窪ー夜勤")+COUNTIF('10月'!ES15:ET15,"荻窪ー夜勤")</f>
        <v>0</v>
      </c>
      <c r="Q350" s="76">
        <f t="shared" si="115"/>
        <v>0</v>
      </c>
      <c r="R350" s="76">
        <f>COUNTIF('10月'!D15:E15,R$337)+COUNTIF('10月'!I15:J15,R$337)+COUNTIF('10月'!N15:O15,R$337)+COUNTIF('10月'!S15:T15,R$337)+COUNTIF('10月'!X15:Y15,R$337)+COUNTIF('10月'!AC15:AD15,R$337)+COUNTIF('10月'!AH15:AI15,R$337)+COUNTIF('10月'!AM15:AN15,R$337)+COUNTIF('10月'!AR15:AS15,R$337)+COUNTIF('10月'!AW15:AX15,R$337)+COUNTIF('10月'!BB15:BC15,R$337)+COUNTIF('10月'!BG15:BH15,R$337)+COUNTIF('10月'!BL15:BM15,R$337)+COUNTIF('10月'!BQ15:BR15,R$337)+COUNTIF('10月'!BV15:BW15,R$337)+COUNTIF('10月'!CA15:CB15,R$337)+COUNTIF('10月'!CF15:CG15,R$337)+COUNTIF('10月'!CK15:CL15,R$337)+COUNTIF('10月'!CP15:CQ15,R$337)+COUNTIF('10月'!CU15:CV15,R$337)+COUNTIF('10月'!CZ15:DA15,R$337)+COUNTIF('10月'!DE15:DF15,R$337)+COUNTIF('10月'!DJ15:DK15,R$337)+COUNTIF('10月'!DO15:DP15,R$337)+COUNTIF('10月'!DT15:DU15,R$337)+COUNTIF('10月'!DY15:DZ15,R$337)+COUNTIF('10月'!ED15:EE15,R$337)+COUNTIF('10月'!EI15:EJ15,R$337)+COUNTIF('10月'!EN15:EO15,R$337)+COUNTIF('10月'!ES15:ET15,R$337)</f>
        <v>0</v>
      </c>
      <c r="S350" s="76">
        <f t="shared" si="116"/>
        <v>0</v>
      </c>
      <c r="T350" s="76">
        <f>COUNTIF('10月'!D15:E15,T$337)+COUNTIF('10月'!I15:J15,T$337)+COUNTIF('10月'!N15:O15,T$337)+COUNTIF('10月'!S15:T15,T$337)+COUNTIF('10月'!X15:Y15,T$337)+COUNTIF('10月'!AC15:AD15,T$337)+COUNTIF('10月'!AH15:AI15,T$337)+COUNTIF('10月'!AM15:AN15,T$337)+COUNTIF('10月'!AR15:AS15,T$337)+COUNTIF('10月'!AW15:AX15,T$337)+COUNTIF('10月'!BB15:BC15,T$337)+COUNTIF('10月'!BG15:BH15,T$337)+COUNTIF('10月'!BL15:BM15,T$337)+COUNTIF('10月'!BQ15:BR15,T$337)+COUNTIF('10月'!BV15:BW15,T$337)+COUNTIF('10月'!CA15:CB15,T$337)+COUNTIF('10月'!CF15:CG15,T$337)+COUNTIF('10月'!CK15:CL15,T$337)+COUNTIF('10月'!CP15:CQ15,T$337)+COUNTIF('10月'!CU15:CV15,T$337)+COUNTIF('10月'!CZ15:DA15,T$337)+COUNTIF('10月'!DE15:DF15,T$337)+COUNTIF('10月'!DJ15:DK15,T$337)+COUNTIF('10月'!DO15:DP15,T$337)+COUNTIF('10月'!DT15:DU15,T$337)+COUNTIF('10月'!DY15:DZ15,T$337)+COUNTIF('10月'!ED15:EE15,T$337)+COUNTIF('10月'!EI15:EJ15,T$337)+COUNTIF('10月'!EN15:EO15,T$337)+COUNTIF('10月'!ES15:ET15,T$337)</f>
        <v>0</v>
      </c>
      <c r="U350" s="76">
        <f t="shared" si="117"/>
        <v>0</v>
      </c>
      <c r="V350" s="76">
        <f>COUNTIF('10月'!D15:E15,V$337)+COUNTIF('10月'!I15:J15,V$337)+COUNTIF('10月'!N15:O15,V$337)+COUNTIF('10月'!S15:T15,V$337)+COUNTIF('10月'!X15:Y15,V$337)+COUNTIF('10月'!AC15:AD15,V$337)+COUNTIF('10月'!AH15:AI15,V$337)+COUNTIF('10月'!AM15:AN15,V$337)+COUNTIF('10月'!AR15:AS15,V$337)+COUNTIF('10月'!AW15:AX15,V$337)+COUNTIF('10月'!BB15:BC15,V$337)+COUNTIF('10月'!BG15:BH15,V$337)+COUNTIF('10月'!BL15:BM15,V$337)+COUNTIF('10月'!BQ15:BR15,V$337)+COUNTIF('10月'!BV15:BW15,V$337)+COUNTIF('10月'!CA15:CB15,V$337)+COUNTIF('10月'!CF15:CG15,V$337)+COUNTIF('10月'!CK15:CL15,V$337)+COUNTIF('10月'!CP15:CQ15,V$337)+COUNTIF('10月'!CU15:CV15,V$337)+COUNTIF('10月'!CZ15:DA15,V$337)+COUNTIF('10月'!DE15:DF15,V$337)+COUNTIF('10月'!DJ15:DK15,V$337)+COUNTIF('10月'!DO15:DP15,V$337)+COUNTIF('10月'!DT15:DU15,V$337)+COUNTIF('10月'!DY15:DZ15,V$337)+COUNTIF('10月'!ED15:EE15,V$337)+COUNTIF('10月'!EI15:EJ15,V$337)+COUNTIF('10月'!EN15:EO15,V$337)+COUNTIF('10月'!ES15:ET15,V$337)</f>
        <v>0</v>
      </c>
      <c r="W350" s="76">
        <f t="shared" si="118"/>
        <v>0</v>
      </c>
      <c r="X350" s="76">
        <f>COUNTIF('10月'!D15:E15,X$337)+COUNTIF('10月'!I15:J15,X$337)+COUNTIF('10月'!N15:O15,X$337)+COUNTIF('10月'!S15:T15,X$337)+COUNTIF('10月'!X15:Y15,X$337)+COUNTIF('10月'!AC15:AD15,X$337)+COUNTIF('10月'!AH15:AI15,X$337)+COUNTIF('10月'!AM15:AN15,X$337)+COUNTIF('10月'!AR15:AS15,X$337)+COUNTIF('10月'!AW15:AX15,X$337)+COUNTIF('10月'!BB15:BC15,X$337)+COUNTIF('10月'!BG15:BH15,X$337)+COUNTIF('10月'!BL15:BM15,X$337)+COUNTIF('10月'!BQ15:BR15,X$337)+COUNTIF('10月'!BV15:BW15,X$337)+COUNTIF('10月'!CA15:CB15,X$337)+COUNTIF('10月'!CF15:CG15,X$337)+COUNTIF('10月'!CK15:CL15,X$337)+COUNTIF('10月'!CP15:CQ15,X$337)+COUNTIF('10月'!CU15:CV15,X$337)+COUNTIF('10月'!CZ15:DA15,X$337)+COUNTIF('10月'!DE15:DF15,X$337)+COUNTIF('10月'!DJ15:DK15,X$337)+COUNTIF('10月'!DO15:DP15,X$337)+COUNTIF('10月'!DT15:DU15,X$337)+COUNTIF('10月'!DY15:DZ15,X$337)+COUNTIF('10月'!ED15:EE15,X$337)+COUNTIF('10月'!EI15:EJ15,X$337)+COUNTIF('10月'!EN15:EO15,X$337)+COUNTIF('10月'!ES15:ET15,X$337)</f>
        <v>0</v>
      </c>
      <c r="Y350" s="76">
        <f t="shared" si="119"/>
        <v>0</v>
      </c>
    </row>
    <row r="351" spans="1:25" ht="18" customHeight="1">
      <c r="A351" s="76">
        <v>13</v>
      </c>
      <c r="B351" s="76">
        <f>COUNTIF('10月'!D16:E16,B$337)+COUNTIF('10月'!I16:J16,B$337)+COUNTIF('10月'!N16:O16,B$337)+COUNTIF('10月'!S16:T16,B$337)+COUNTIF('10月'!X16:Y16,B$337)+COUNTIF('10月'!AC16:AD16,B$337)+COUNTIF('10月'!AH16:AI16,B$337)+COUNTIF('10月'!AM16:AN16,B$337)+COUNTIF('10月'!AR16:AS16,B$337)+COUNTIF('10月'!AW16:AX16,B$337)+COUNTIF('10月'!BB16:BC16,B$337)+COUNTIF('10月'!BG16:BH16,B$337)+COUNTIF('10月'!BL16:BM16,B$337)+COUNTIF('10月'!BQ16:BR16,B$337)+COUNTIF('10月'!BV16:BW16,B$337)+COUNTIF('10月'!CA16:CB16,B$337)+COUNTIF('10月'!CF16:CG16,B$337)+COUNTIF('10月'!CK16:CL16,B$337)+COUNTIF('10月'!CP16:CQ16,B$337)+COUNTIF('10月'!CU16:CV16,B$337)+COUNTIF('10月'!CZ16:DA16,B$337)+COUNTIF('10月'!DE16:DF16,B$337)+COUNTIF('10月'!DJ16:DK16,B$337)+COUNTIF('10月'!DO16:DP16,B$337)+COUNTIF('10月'!DT16:DU16,B$337)+COUNTIF('10月'!DY16:DZ16,B$337)+COUNTIF('10月'!ED16:EE16,B$337)+COUNTIF('10月'!EI16:EJ16,B$337)+COUNTIF('10月'!EN16:EO16,B$337)+COUNTIF('10月'!ES16:ET16,B$337)</f>
        <v>0</v>
      </c>
      <c r="C351" s="76">
        <f t="shared" si="108"/>
        <v>0</v>
      </c>
      <c r="D351" s="76">
        <f>COUNTIF('10月'!D16:E16,D$337)+COUNTIF('10月'!I16:J16,D$337)+COUNTIF('10月'!N16:O16,D$337)+COUNTIF('10月'!S16:T16,D$337)+COUNTIF('10月'!X16:Y16,D$337)+COUNTIF('10月'!AC16:AD16,D$337)+COUNTIF('10月'!AH16:AI16,D$337)+COUNTIF('10月'!AM16:AN16,D$337)+COUNTIF('10月'!AR16:AS16,D$337)+COUNTIF('10月'!AW16:AX16,D$337)+COUNTIF('10月'!BB16:BC16,D$337)+COUNTIF('10月'!BG16:BH16,D$337)+COUNTIF('10月'!BL16:BM16,D$337)+COUNTIF('10月'!BQ16:BR16,D$337)+COUNTIF('10月'!BV16:BW16,D$337)+COUNTIF('10月'!CA16:CB16,D$337)+COUNTIF('10月'!CF16:CG16,D$337)+COUNTIF('10月'!CK16:CL16,D$337)+COUNTIF('10月'!CP16:CQ16,D$337)+COUNTIF('10月'!CU16:CV16,D$337)+COUNTIF('10月'!CZ16:DA16,D$337)+COUNTIF('10月'!DE16:DF16,D$337)+COUNTIF('10月'!DJ16:DK16,D$337)+COUNTIF('10月'!DO16:DP16,D$337)+COUNTIF('10月'!DT16:DU16,D$337)+COUNTIF('10月'!DY16:DZ16,D$337)+COUNTIF('10月'!ED16:EE16,D$337)+COUNTIF('10月'!EI16:EJ16,D$337)+COUNTIF('10月'!EN16:EO16,D$337)+COUNTIF('10月'!ES16:ET16,D$337)</f>
        <v>0</v>
      </c>
      <c r="E351" s="76">
        <f t="shared" si="109"/>
        <v>0</v>
      </c>
      <c r="F351" s="76">
        <f>COUNTIF('10月'!D16:E16,F$337)+COUNTIF('10月'!I16:J16,F$337)+COUNTIF('10月'!N16:O16,F$337)+COUNTIF('10月'!S16:T16,F$337)+COUNTIF('10月'!X16:Y16,F$337)+COUNTIF('10月'!AC16:AD16,F$337)+COUNTIF('10月'!AH16:AI16,F$337)+COUNTIF('10月'!AM16:AN16,F$337)+COUNTIF('10月'!AR16:AS16,F$337)+COUNTIF('10月'!AW16:AX16,F$337)+COUNTIF('10月'!BB16:BC16,F$337)+COUNTIF('10月'!BG16:BH16,F$337)+COUNTIF('10月'!BL16:BM16,F$337)+COUNTIF('10月'!BQ16:BR16,F$337)+COUNTIF('10月'!BV16:BW16,F$337)+COUNTIF('10月'!CA16:CB16,F$337)+COUNTIF('10月'!CF16:CG16,F$337)+COUNTIF('10月'!CK16:CL16,F$337)+COUNTIF('10月'!CP16:CQ16,F$337)+COUNTIF('10月'!CU16:CV16,F$337)+COUNTIF('10月'!CZ16:DA16,F$337)+COUNTIF('10月'!DE16:DF16,F$337)+COUNTIF('10月'!DJ16:DK16,F$337)+COUNTIF('10月'!DO16:DP16,F$337)+COUNTIF('10月'!DT16:DU16,F$337)+COUNTIF('10月'!DY16:DZ16,F$337)+COUNTIF('10月'!ED16:EE16,F$337)+COUNTIF('10月'!EI16:EJ16,F$337)+COUNTIF('10月'!EN16:EO16,F$337)+COUNTIF('10月'!ES16:ET16,F$337)</f>
        <v>0</v>
      </c>
      <c r="G351" s="76">
        <f t="shared" si="110"/>
        <v>0</v>
      </c>
      <c r="H351" s="76">
        <f>COUNTIF('10月'!D16:E16,H$337)+COUNTIF('10月'!I16:J16,H$337)+COUNTIF('10月'!N16:O16,H$337)+COUNTIF('10月'!S16:T16,H$337)+COUNTIF('10月'!X16:Y16,H$337)+COUNTIF('10月'!AC16:AD16,H$337)+COUNTIF('10月'!AH16:AI16,H$337)+COUNTIF('10月'!AM16:AN16,H$337)+COUNTIF('10月'!AR16:AS16,H$337)+COUNTIF('10月'!AW16:AX16,H$337)+COUNTIF('10月'!BB16:BC16,H$337)+COUNTIF('10月'!BG16:BH16,H$337)+COUNTIF('10月'!BL16:BM16,H$337)+COUNTIF('10月'!BQ16:BR16,H$337)+COUNTIF('10月'!BV16:BW16,H$337)+COUNTIF('10月'!CA16:CB16,H$337)+COUNTIF('10月'!CF16:CG16,H$337)+COUNTIF('10月'!CK16:CL16,H$337)+COUNTIF('10月'!CP16:CQ16,H$337)+COUNTIF('10月'!CU16:CV16,H$337)+COUNTIF('10月'!CZ16:DA16,H$337)+COUNTIF('10月'!DE16:DF16,H$337)+COUNTIF('10月'!DJ16:DK16,H$337)+COUNTIF('10月'!DO16:DP16,H$337)+COUNTIF('10月'!DT16:DU16,H$337)+COUNTIF('10月'!DY16:DZ16,H$337)+COUNTIF('10月'!ED16:EE16,H$337)+COUNTIF('10月'!EI16:EJ16,H$337)+COUNTIF('10月'!EN16:EO16,H$337)+COUNTIF('10月'!ES16:ET16,H$337)+COUNTIF('10月'!D16:E16,"渋谷-夜勤")+COUNTIF('10月'!I16:J16,"渋谷-夜勤")+COUNTIF('10月'!N16:O16,"渋谷-夜勤")+COUNTIF('10月'!S16:T16,"渋谷-夜勤")+COUNTIF('10月'!X16:Y16,"渋谷-夜勤")+COUNTIF('10月'!AC16:AD16,"渋谷-夜勤")+COUNTIF('10月'!AH16:AI16,"渋谷-夜勤")+COUNTIF('10月'!AM16:AN16,"渋谷-夜勤")+COUNTIF('10月'!AR16:AS16,"渋谷-夜勤")+COUNTIF('10月'!AW16:AX16,"渋谷-夜勤")+COUNTIF('10月'!BB16:BC16,"渋谷-夜勤")+COUNTIF('10月'!BG16:BH16,"渋谷-夜勤")+COUNTIF('10月'!BL16:BM16,"渋谷-夜勤")+COUNTIF('10月'!BQ16:BR16,"渋谷-夜勤")+COUNTIF('10月'!BV16:BW16,"渋谷-夜勤")+COUNTIF('10月'!CA16:CB16,"渋谷-夜勤")+COUNTIF('10月'!CF16:CG16,"渋谷-夜勤")+COUNTIF('10月'!CK16:CL16,"渋谷-夜勤")+COUNTIF('10月'!CP16:CQ16,"渋谷-夜勤")+COUNTIF('10月'!CU16:CV16,"渋谷-夜勤")+COUNTIF('10月'!CZ16:DA16,"渋谷-夜勤")+COUNTIF('10月'!DE16:DF16,"渋谷-夜勤")+COUNTIF('10月'!DJ16:DK16,"渋谷-夜勤")+COUNTIF('10月'!DO16:DP16,"渋谷-夜勤")+COUNTIF('10月'!DT16:DU16,"渋谷-夜勤")+COUNTIF('10月'!DY16:DZ16,"渋谷-夜勤")+COUNTIF('10月'!ED16:EE16,"渋谷-夜勤")+COUNTIF('10月'!EI16:EJ16,"渋谷-夜勤")+COUNTIF('10月'!EN16:EO16,"渋谷-夜勤")+COUNTIF('10月'!ES16:ET16,"渋谷-夜勤")</f>
        <v>0</v>
      </c>
      <c r="I351" s="76">
        <f t="shared" si="111"/>
        <v>0</v>
      </c>
      <c r="J351" s="76">
        <f>COUNTIF('10月'!D16:E16,J$337)+COUNTIF('10月'!I16:J16,J$337)+COUNTIF('10月'!N16:O16,J$337)+COUNTIF('10月'!S16:T16,J$337)+COUNTIF('10月'!X16:Y16,J$337)+COUNTIF('10月'!AC16:AD16,J$337)+COUNTIF('10月'!AH16:AI16,J$337)+COUNTIF('10月'!AM16:AN16,J$337)+COUNTIF('10月'!AR16:AS16,J$337)+COUNTIF('10月'!AW16:AX16,J$337)+COUNTIF('10月'!BB16:BC16,J$337)+COUNTIF('10月'!BG16:BH16,J$337)+COUNTIF('10月'!BL16:BM16,J$337)+COUNTIF('10月'!BQ16:BR16,J$337)+COUNTIF('10月'!BV16:BW16,J$337)+COUNTIF('10月'!CA16:CB16,J$337)+COUNTIF('10月'!CF16:CG16,J$337)+COUNTIF('10月'!CK16:CL16,J$337)+COUNTIF('10月'!CP16:CQ16,J$337)+COUNTIF('10月'!CU16:CV16,J$337)+COUNTIF('10月'!CZ16:DA16,J$337)+COUNTIF('10月'!DE16:DF16,J$337)+COUNTIF('10月'!DJ16:DK16,J$337)+COUNTIF('10月'!DO16:DP16,J$337)+COUNTIF('10月'!DT16:DU16,J$337)+COUNTIF('10月'!DY16:DZ16,J$337)+COUNTIF('10月'!ED16:EE16,J$337)+COUNTIF('10月'!EI16:EJ16,J$337)+COUNTIF('10月'!EN16:EO16,J$337)+COUNTIF('10月'!ES16:ET16,J$337)+COUNTIF('10月'!D16:E16,"六本木-夜勤")+COUNTIF('10月'!I16:J16,"六本木-夜勤")+COUNTIF('10月'!N16:O16,"六本木-夜勤")+COUNTIF('10月'!S16:T16,"六本木-夜勤")+COUNTIF('10月'!X16:Y16,"六本木-夜勤")+COUNTIF('10月'!AC16:AD16,"六本木-夜勤")+COUNTIF('10月'!AH16:AI16,"六本木-夜勤")+COUNTIF('10月'!AM16:AN16,"六本木-夜勤")+COUNTIF('10月'!AR16:AS16,"六本木-夜勤")+COUNTIF('10月'!AW16:AX16,"六本木-夜勤")+COUNTIF('10月'!BB16:BC16,"六本木-夜勤")+COUNTIF('10月'!BG16:BH16,"六本木-夜勤")+COUNTIF('10月'!BL16:BM16,"六本木-夜勤")+COUNTIF('10月'!BQ16:BR16,"六本木-夜勤")+COUNTIF('10月'!BV16:BW16,"六本木-夜勤")+COUNTIF('10月'!CA16:CB16,"六本木-夜勤")+COUNTIF('10月'!CF16:CG16,"六本木-夜勤")+COUNTIF('10月'!CK16:CL16,"六本木-夜勤")+COUNTIF('10月'!CP16:CQ16,"六本木-夜勤")+COUNTIF('10月'!CU16:CV16,"六本木-夜勤")+COUNTIF('10月'!CZ16:DA16,"六本木-夜勤")+COUNTIF('10月'!DE16:DF16,"六本木-夜勤")+COUNTIF('10月'!DJ16:DK16,"六本木-夜勤")+COUNTIF('10月'!DO16:DP16,"六本木-夜勤")+COUNTIF('10月'!DT16:DU16,"六本木-夜勤")+COUNTIF('10月'!DY16:DZ16,"六本木-夜勤")+COUNTIF('10月'!ED16:EE16,"六本木-夜勤")+COUNTIF('10月'!EI16:EJ16,"六本木-夜勤")+COUNTIF('10月'!EN16:EO16,"六本木-夜勤")+COUNTIF('10月'!ES16:ET16,"六本木-夜勤")+COUNTIF('10月'!D16:E16,"六本木ー夜勤")+COUNTIF('10月'!I16:J16,"六本木ー夜勤")+COUNTIF('10月'!N16:O16,"六本木ー夜勤")+COUNTIF('10月'!S16:T16,"六本木ー夜勤")+COUNTIF('10月'!X16:Y16,"六本木ー夜勤")+COUNTIF('10月'!AC16:AD16,"六本木ー夜勤")+COUNTIF('10月'!AH16:AI16,"六本木ー夜勤")+COUNTIF('10月'!AM16:AN16,"六本木ー夜勤")+COUNTIF('10月'!AR16:AS16,"六本木ー夜勤")+COUNTIF('10月'!AW16:AX16,"六本木ー夜勤")+COUNTIF('10月'!BB16:BC16,"六本木ー夜勤")+COUNTIF('10月'!BG16:BH16,"六本木ー夜勤")+COUNTIF('10月'!BL16:BM16,"六本木ー夜勤")+COUNTIF('10月'!BQ16:BR16,"六本木ー夜勤")+COUNTIF('10月'!BV16:BW16,"六本木ー夜勤")+COUNTIF('10月'!CA16:CB16,"六本木ー夜勤")+COUNTIF('10月'!CF16:CG16,"六本木ー夜勤")+COUNTIF('10月'!CK16:CL16,"六本木ー夜勤")+COUNTIF('10月'!CP16:CQ16,"六本木ー夜勤")+COUNTIF('10月'!CU16:CV16,"六本木ー夜勤")+COUNTIF('10月'!CZ16:DA16,"六本木ー夜勤")+COUNTIF('10月'!DE16:DF16,"六本木ー夜勤")+COUNTIF('10月'!DJ16:DK16,"六本木ー夜勤")+COUNTIF('10月'!DO16:DP16,"六本木ー夜勤")+COUNTIF('10月'!DT16:DU16,"六本木ー夜勤")+COUNTIF('10月'!DY16:DZ16,"六本木ー夜勤")+COUNTIF('10月'!ED16:EE16,"六本木ー夜勤")+COUNTIF('10月'!EI16:EJ16,"六本木ー夜勤")+COUNTIF('10月'!EN16:EO16,"六本木ー夜勤")+COUNTIF('10月'!ES16:ET16,"六本木ー夜勤")</f>
        <v>0</v>
      </c>
      <c r="K351" s="76">
        <f t="shared" si="112"/>
        <v>0</v>
      </c>
      <c r="L351" s="76">
        <f>COUNTIF('10月'!D16:E16,L$337)+COUNTIF('10月'!I16:J16,L$337)+COUNTIF('10月'!N16:O16,L$337)+COUNTIF('10月'!S16:T16,L$337)+COUNTIF('10月'!X16:Y16,L$337)+COUNTIF('10月'!AC16:AD16,L$337)+COUNTIF('10月'!AH16:AI16,L$337)+COUNTIF('10月'!AM16:AN16,L$337)+COUNTIF('10月'!AR16:AS16,L$337)+COUNTIF('10月'!AW16:AX16,L$337)+COUNTIF('10月'!BB16:BC16,L$337)+COUNTIF('10月'!BG16:BH16,L$337)+COUNTIF('10月'!BL16:BM16,L$337)+COUNTIF('10月'!BQ16:BR16,L$337)+COUNTIF('10月'!BV16:BW16,L$337)+COUNTIF('10月'!CA16:CB16,L$337)+COUNTIF('10月'!CF16:CG16,L$337)+COUNTIF('10月'!CK16:CL16,L$337)+COUNTIF('10月'!CP16:CQ16,L$337)+COUNTIF('10月'!CU16:CV16,L$337)+COUNTIF('10月'!CZ16:DA16,L$337)+COUNTIF('10月'!DE16:DF16,L$337)+COUNTIF('10月'!DJ16:DK16,L$337)+COUNTIF('10月'!DO16:DP16,L$337)+COUNTIF('10月'!DT16:DU16,L$337)+COUNTIF('10月'!DY16:DZ16,L$337)+COUNTIF('10月'!ED16:EE16,L$337)+COUNTIF('10月'!EI16:EJ16,L$337)+COUNTIF('10月'!EN16:EO16,L$337)+COUNTIF('10月'!ES16:ET16,L$337)</f>
        <v>0</v>
      </c>
      <c r="M351" s="76">
        <f t="shared" si="113"/>
        <v>0</v>
      </c>
      <c r="N351" s="76">
        <f>COUNTIF('10月'!D16:E16,N$337)+COUNTIF('10月'!I16:J16,N$337)+COUNTIF('10月'!N16:O16,N$337)+COUNTIF('10月'!S16:T16,N$337)+COUNTIF('10月'!X16:Y16,N$337)+COUNTIF('10月'!AC16:AD16,N$337)+COUNTIF('10月'!AH16:AI16,N$337)+COUNTIF('10月'!AM16:AN16,N$337)+COUNTIF('10月'!AR16:AS16,N$337)+COUNTIF('10月'!AW16:AX16,N$337)+COUNTIF('10月'!BB16:BC16,N$337)+COUNTIF('10月'!BG16:BH16,N$337)+COUNTIF('10月'!BL16:BM16,N$337)+COUNTIF('10月'!BQ16:BR16,N$337)+COUNTIF('10月'!BV16:BW16,N$337)+COUNTIF('10月'!CA16:CB16,N$337)+COUNTIF('10月'!CF16:CG16,N$337)+COUNTIF('10月'!CK16:CL16,N$337)+COUNTIF('10月'!CP16:CQ16,N$337)+COUNTIF('10月'!CU16:CV16,N$337)+COUNTIF('10月'!CZ16:DA16,N$337)+COUNTIF('10月'!DE16:DF16,N$337)+COUNTIF('10月'!DJ16:DK16,N$337)+COUNTIF('10月'!DO16:DP16,N$337)+COUNTIF('10月'!DT16:DU16,N$337)+COUNTIF('10月'!DY16:DZ16,N$337)+COUNTIF('10月'!ED16:EE16,N$337)+COUNTIF('10月'!EI16:EJ16,N$337)+COUNTIF('10月'!EN16:EO16,N$337)+COUNTIF('10月'!ES16:ET16,N$337)+COUNTIF('10月'!D16:E16,"三軒茶屋－夜勤")+COUNTIF('10月'!I16:J16,"三軒茶屋－夜勤")+COUNTIF('10月'!N16:O16,"三軒茶屋－夜勤")+COUNTIF('10月'!S16:T16,"三軒茶屋－夜勤")+COUNTIF('10月'!X16:Y16,"三軒茶屋－夜勤")+COUNTIF('10月'!AC16:AD16,"三軒茶屋－夜勤")+COUNTIF('10月'!AH16:AI16,"三軒茶屋－夜勤")+COUNTIF('10月'!AM16:AN16,"三軒茶屋－夜勤")+COUNTIF('10月'!AR16:AS16,"三軒茶屋－夜勤")+COUNTIF('10月'!AW16:AX16,"三軒茶屋－夜勤")+COUNTIF('10月'!BB16:BC16,"三軒茶屋－夜勤")+COUNTIF('10月'!BG16:BH16,"三軒茶屋－夜勤")+COUNTIF('10月'!BL16:BM16,"三軒茶屋－夜勤")+COUNTIF('10月'!BQ16:BR16,"三軒茶屋－夜勤")+COUNTIF('10月'!BV16:BW16,"三軒茶屋－夜勤")+COUNTIF('10月'!CA16:CB16,"三軒茶屋－夜勤")+COUNTIF('10月'!CF16:CG16,"三軒茶屋－夜勤")+COUNTIF('10月'!CK16:CL16,"三軒茶屋－夜勤")+COUNTIF('10月'!CP16:CQ16,"三軒茶屋－夜勤")+COUNTIF('10月'!CU16:CV16,"三軒茶屋－夜勤")+COUNTIF('10月'!CZ16:DA16,"三軒茶屋－夜勤")+COUNTIF('10月'!DE16:DF16,"三軒茶屋－夜勤")+COUNTIF('10月'!DJ16:DK16,"三軒茶屋－夜勤")+COUNTIF('10月'!DO16:DP16,"三軒茶屋－夜勤")+COUNTIF('10月'!DT16:DU16,"三軒茶屋－夜勤")+COUNTIF('10月'!DY16:DZ16,"三軒茶屋－夜勤")+COUNTIF('10月'!ED16:EE16,"三軒茶屋－夜勤")+COUNTIF('10月'!EI16:EJ16,"三軒茶屋－夜勤")+COUNTIF('10月'!EN16:EO16,"三軒茶屋－夜勤")+COUNTIF('10月'!ES16:ET16,"三軒茶屋－夜勤")</f>
        <v>0</v>
      </c>
      <c r="O351" s="76">
        <f t="shared" si="114"/>
        <v>0</v>
      </c>
      <c r="P351" s="76">
        <f>COUNTIF('10月'!D16:E16,P$337)+COUNTIF('10月'!I16:J16,P$337)+COUNTIF('10月'!N16:O16,P$337)+COUNTIF('10月'!S16:T16,P$337)+COUNTIF('10月'!X16:Y16,P$337)+COUNTIF('10月'!AC16:AD16,P$337)+COUNTIF('10月'!AH16:AI16,P$337)+COUNTIF('10月'!AM16:AN16,P$337)+COUNTIF('10月'!AR16:AS16,P$337)+COUNTIF('10月'!AW16:AX16,P$337)+COUNTIF('10月'!BB16:BC16,P$337)+COUNTIF('10月'!BG16:BH16,P$337)+COUNTIF('10月'!BL16:BM16,P$337)+COUNTIF('10月'!BQ16:BR16,P$337)+COUNTIF('10月'!BV16:BW16,P$337)+COUNTIF('10月'!CA16:CB16,P$337)+COUNTIF('10月'!CF16:CG16,P$337)+COUNTIF('10月'!CK16:CL16,P$337)+COUNTIF('10月'!CP16:CQ16,P$337)+COUNTIF('10月'!CU16:CV16,P$337)+COUNTIF('10月'!CZ16:DA16,P$337)+COUNTIF('10月'!DE16:DF16,P$337)+COUNTIF('10月'!DJ16:DK16,P$337)+COUNTIF('10月'!DO16:DP16,P$337)+COUNTIF('10月'!DT16:DU16,P$337)+COUNTIF('10月'!DY16:DZ16,P$337)+COUNTIF('10月'!ED16:EE16,P$337)+COUNTIF('10月'!EI16:EJ16,P$337)+COUNTIF('10月'!EN16:EO16,P$337)+COUNTIF('10月'!ES16:ET16,P$337)+COUNTIF('10月'!D16:E16,"荻窪ー夜勤")+COUNTIF('10月'!I16:J16,"荻窪ー夜勤")+COUNTIF('10月'!N16:O16,"荻窪ー夜勤")+COUNTIF('10月'!S16:T16,"荻窪ー夜勤")+COUNTIF('10月'!X16:Y16,"荻窪ー夜勤")+COUNTIF('10月'!AC16:AD16,"荻窪ー夜勤")+COUNTIF('10月'!AH16:AI16,"荻窪ー夜勤")+COUNTIF('10月'!AM16:AN16,"荻窪ー夜勤")+COUNTIF('10月'!AR16:AS16,"荻窪ー夜勤")+COUNTIF('10月'!AW16:AX16,"荻窪ー夜勤")+COUNTIF('10月'!BB16:BC16,"荻窪ー夜勤")+COUNTIF('10月'!BG16:BH16,"荻窪ー夜勤")+COUNTIF('10月'!BL16:BM16,"荻窪ー夜勤")+COUNTIF('10月'!BQ16:BR16,"荻窪ー夜勤")+COUNTIF('10月'!BV16:BW16,"荻窪ー夜勤")+COUNTIF('10月'!CA16:CB16,"荻窪ー夜勤")+COUNTIF('10月'!CF16:CG16,"荻窪ー夜勤")+COUNTIF('10月'!CK16:CL16,"荻窪ー夜勤")+COUNTIF('10月'!CP16:CQ16,"荻窪ー夜勤")+COUNTIF('10月'!CU16:CV16,"荻窪ー夜勤")+COUNTIF('10月'!CZ16:DA16,"荻窪ー夜勤")+COUNTIF('10月'!DE16:DF16,"荻窪ー夜勤")+COUNTIF('10月'!DJ16:DK16,"荻窪ー夜勤")+COUNTIF('10月'!DO16:DP16,"荻窪ー夜勤")+COUNTIF('10月'!DT16:DU16,"荻窪ー夜勤")+COUNTIF('10月'!DY16:DZ16,"荻窪ー夜勤")+COUNTIF('10月'!ED16:EE16,"荻窪ー夜勤")+COUNTIF('10月'!EI16:EJ16,"荻窪ー夜勤")+COUNTIF('10月'!EN16:EO16,"荻窪ー夜勤")+COUNTIF('10月'!ES16:ET16,"荻窪ー夜勤")</f>
        <v>0</v>
      </c>
      <c r="Q351" s="76">
        <f t="shared" si="115"/>
        <v>0</v>
      </c>
      <c r="R351" s="76">
        <f>COUNTIF('10月'!D16:E16,R$337)+COUNTIF('10月'!I16:J16,R$337)+COUNTIF('10月'!N16:O16,R$337)+COUNTIF('10月'!S16:T16,R$337)+COUNTIF('10月'!X16:Y16,R$337)+COUNTIF('10月'!AC16:AD16,R$337)+COUNTIF('10月'!AH16:AI16,R$337)+COUNTIF('10月'!AM16:AN16,R$337)+COUNTIF('10月'!AR16:AS16,R$337)+COUNTIF('10月'!AW16:AX16,R$337)+COUNTIF('10月'!BB16:BC16,R$337)+COUNTIF('10月'!BG16:BH16,R$337)+COUNTIF('10月'!BL16:BM16,R$337)+COUNTIF('10月'!BQ16:BR16,R$337)+COUNTIF('10月'!BV16:BW16,R$337)+COUNTIF('10月'!CA16:CB16,R$337)+COUNTIF('10月'!CF16:CG16,R$337)+COUNTIF('10月'!CK16:CL16,R$337)+COUNTIF('10月'!CP16:CQ16,R$337)+COUNTIF('10月'!CU16:CV16,R$337)+COUNTIF('10月'!CZ16:DA16,R$337)+COUNTIF('10月'!DE16:DF16,R$337)+COUNTIF('10月'!DJ16:DK16,R$337)+COUNTIF('10月'!DO16:DP16,R$337)+COUNTIF('10月'!DT16:DU16,R$337)+COUNTIF('10月'!DY16:DZ16,R$337)+COUNTIF('10月'!ED16:EE16,R$337)+COUNTIF('10月'!EI16:EJ16,R$337)+COUNTIF('10月'!EN16:EO16,R$337)+COUNTIF('10月'!ES16:ET16,R$337)</f>
        <v>0</v>
      </c>
      <c r="S351" s="76">
        <f t="shared" si="116"/>
        <v>0</v>
      </c>
      <c r="T351" s="76">
        <f>COUNTIF('10月'!D16:E16,T$337)+COUNTIF('10月'!I16:J16,T$337)+COUNTIF('10月'!N16:O16,T$337)+COUNTIF('10月'!S16:T16,T$337)+COUNTIF('10月'!X16:Y16,T$337)+COUNTIF('10月'!AC16:AD16,T$337)+COUNTIF('10月'!AH16:AI16,T$337)+COUNTIF('10月'!AM16:AN16,T$337)+COUNTIF('10月'!AR16:AS16,T$337)+COUNTIF('10月'!AW16:AX16,T$337)+COUNTIF('10月'!BB16:BC16,T$337)+COUNTIF('10月'!BG16:BH16,T$337)+COUNTIF('10月'!BL16:BM16,T$337)+COUNTIF('10月'!BQ16:BR16,T$337)+COUNTIF('10月'!BV16:BW16,T$337)+COUNTIF('10月'!CA16:CB16,T$337)+COUNTIF('10月'!CF16:CG16,T$337)+COUNTIF('10月'!CK16:CL16,T$337)+COUNTIF('10月'!CP16:CQ16,T$337)+COUNTIF('10月'!CU16:CV16,T$337)+COUNTIF('10月'!CZ16:DA16,T$337)+COUNTIF('10月'!DE16:DF16,T$337)+COUNTIF('10月'!DJ16:DK16,T$337)+COUNTIF('10月'!DO16:DP16,T$337)+COUNTIF('10月'!DT16:DU16,T$337)+COUNTIF('10月'!DY16:DZ16,T$337)+COUNTIF('10月'!ED16:EE16,T$337)+COUNTIF('10月'!EI16:EJ16,T$337)+COUNTIF('10月'!EN16:EO16,T$337)+COUNTIF('10月'!ES16:ET16,T$337)</f>
        <v>0</v>
      </c>
      <c r="U351" s="76">
        <f t="shared" si="117"/>
        <v>0</v>
      </c>
      <c r="V351" s="76">
        <f>COUNTIF('10月'!D16:E16,V$337)+COUNTIF('10月'!I16:J16,V$337)+COUNTIF('10月'!N16:O16,V$337)+COUNTIF('10月'!S16:T16,V$337)+COUNTIF('10月'!X16:Y16,V$337)+COUNTIF('10月'!AC16:AD16,V$337)+COUNTIF('10月'!AH16:AI16,V$337)+COUNTIF('10月'!AM16:AN16,V$337)+COUNTIF('10月'!AR16:AS16,V$337)+COUNTIF('10月'!AW16:AX16,V$337)+COUNTIF('10月'!BB16:BC16,V$337)+COUNTIF('10月'!BG16:BH16,V$337)+COUNTIF('10月'!BL16:BM16,V$337)+COUNTIF('10月'!BQ16:BR16,V$337)+COUNTIF('10月'!BV16:BW16,V$337)+COUNTIF('10月'!CA16:CB16,V$337)+COUNTIF('10月'!CF16:CG16,V$337)+COUNTIF('10月'!CK16:CL16,V$337)+COUNTIF('10月'!CP16:CQ16,V$337)+COUNTIF('10月'!CU16:CV16,V$337)+COUNTIF('10月'!CZ16:DA16,V$337)+COUNTIF('10月'!DE16:DF16,V$337)+COUNTIF('10月'!DJ16:DK16,V$337)+COUNTIF('10月'!DO16:DP16,V$337)+COUNTIF('10月'!DT16:DU16,V$337)+COUNTIF('10月'!DY16:DZ16,V$337)+COUNTIF('10月'!ED16:EE16,V$337)+COUNTIF('10月'!EI16:EJ16,V$337)+COUNTIF('10月'!EN16:EO16,V$337)+COUNTIF('10月'!ES16:ET16,V$337)</f>
        <v>0</v>
      </c>
      <c r="W351" s="76">
        <f t="shared" si="118"/>
        <v>0</v>
      </c>
      <c r="X351" s="76">
        <f>COUNTIF('10月'!D16:E16,X$337)+COUNTIF('10月'!I16:J16,X$337)+COUNTIF('10月'!N16:O16,X$337)+COUNTIF('10月'!S16:T16,X$337)+COUNTIF('10月'!X16:Y16,X$337)+COUNTIF('10月'!AC16:AD16,X$337)+COUNTIF('10月'!AH16:AI16,X$337)+COUNTIF('10月'!AM16:AN16,X$337)+COUNTIF('10月'!AR16:AS16,X$337)+COUNTIF('10月'!AW16:AX16,X$337)+COUNTIF('10月'!BB16:BC16,X$337)+COUNTIF('10月'!BG16:BH16,X$337)+COUNTIF('10月'!BL16:BM16,X$337)+COUNTIF('10月'!BQ16:BR16,X$337)+COUNTIF('10月'!BV16:BW16,X$337)+COUNTIF('10月'!CA16:CB16,X$337)+COUNTIF('10月'!CF16:CG16,X$337)+COUNTIF('10月'!CK16:CL16,X$337)+COUNTIF('10月'!CP16:CQ16,X$337)+COUNTIF('10月'!CU16:CV16,X$337)+COUNTIF('10月'!CZ16:DA16,X$337)+COUNTIF('10月'!DE16:DF16,X$337)+COUNTIF('10月'!DJ16:DK16,X$337)+COUNTIF('10月'!DO16:DP16,X$337)+COUNTIF('10月'!DT16:DU16,X$337)+COUNTIF('10月'!DY16:DZ16,X$337)+COUNTIF('10月'!ED16:EE16,X$337)+COUNTIF('10月'!EI16:EJ16,X$337)+COUNTIF('10月'!EN16:EO16,X$337)+COUNTIF('10月'!ES16:ET16,X$337)</f>
        <v>0</v>
      </c>
      <c r="Y351" s="76">
        <f t="shared" si="119"/>
        <v>0</v>
      </c>
    </row>
    <row r="352" spans="1:25" ht="18" customHeight="1">
      <c r="A352" s="76">
        <v>14</v>
      </c>
      <c r="B352" s="76">
        <f>COUNTIF('10月'!D17:E17,B$337)+COUNTIF('10月'!I17:J17,B$337)+COUNTIF('10月'!N17:O17,B$337)+COUNTIF('10月'!S17:T17,B$337)+COUNTIF('10月'!X17:Y17,B$337)+COUNTIF('10月'!AC17:AD17,B$337)+COUNTIF('10月'!AH17:AI17,B$337)+COUNTIF('10月'!AM17:AN17,B$337)+COUNTIF('10月'!AR17:AS17,B$337)+COUNTIF('10月'!AW17:AX17,B$337)+COUNTIF('10月'!BB17:BC17,B$337)+COUNTIF('10月'!BG17:BH17,B$337)+COUNTIF('10月'!BL17:BM17,B$337)+COUNTIF('10月'!BQ17:BR17,B$337)+COUNTIF('10月'!BV17:BW17,B$337)+COUNTIF('10月'!CA17:CB17,B$337)+COUNTIF('10月'!CF17:CG17,B$337)+COUNTIF('10月'!CK17:CL17,B$337)+COUNTIF('10月'!CP17:CQ17,B$337)+COUNTIF('10月'!CU17:CV17,B$337)+COUNTIF('10月'!CZ17:DA17,B$337)+COUNTIF('10月'!DE17:DF17,B$337)+COUNTIF('10月'!DJ17:DK17,B$337)+COUNTIF('10月'!DO17:DP17,B$337)+COUNTIF('10月'!DT17:DU17,B$337)+COUNTIF('10月'!DY17:DZ17,B$337)+COUNTIF('10月'!ED17:EE17,B$337)+COUNTIF('10月'!EI17:EJ17,B$337)+COUNTIF('10月'!EN17:EO17,B$337)+COUNTIF('10月'!ES17:ET17,B$337)</f>
        <v>0</v>
      </c>
      <c r="C352" s="76">
        <f t="shared" si="108"/>
        <v>0</v>
      </c>
      <c r="D352" s="76">
        <f>COUNTIF('10月'!D17:E17,D$337)+COUNTIF('10月'!I17:J17,D$337)+COUNTIF('10月'!N17:O17,D$337)+COUNTIF('10月'!S17:T17,D$337)+COUNTIF('10月'!X17:Y17,D$337)+COUNTIF('10月'!AC17:AD17,D$337)+COUNTIF('10月'!AH17:AI17,D$337)+COUNTIF('10月'!AM17:AN17,D$337)+COUNTIF('10月'!AR17:AS17,D$337)+COUNTIF('10月'!AW17:AX17,D$337)+COUNTIF('10月'!BB17:BC17,D$337)+COUNTIF('10月'!BG17:BH17,D$337)+COUNTIF('10月'!BL17:BM17,D$337)+COUNTIF('10月'!BQ17:BR17,D$337)+COUNTIF('10月'!BV17:BW17,D$337)+COUNTIF('10月'!CA17:CB17,D$337)+COUNTIF('10月'!CF17:CG17,D$337)+COUNTIF('10月'!CK17:CL17,D$337)+COUNTIF('10月'!CP17:CQ17,D$337)+COUNTIF('10月'!CU17:CV17,D$337)+COUNTIF('10月'!CZ17:DA17,D$337)+COUNTIF('10月'!DE17:DF17,D$337)+COUNTIF('10月'!DJ17:DK17,D$337)+COUNTIF('10月'!DO17:DP17,D$337)+COUNTIF('10月'!DT17:DU17,D$337)+COUNTIF('10月'!DY17:DZ17,D$337)+COUNTIF('10月'!ED17:EE17,D$337)+COUNTIF('10月'!EI17:EJ17,D$337)+COUNTIF('10月'!EN17:EO17,D$337)+COUNTIF('10月'!ES17:ET17,D$337)</f>
        <v>0</v>
      </c>
      <c r="E352" s="76">
        <f t="shared" si="109"/>
        <v>0</v>
      </c>
      <c r="F352" s="76">
        <f>COUNTIF('10月'!D17:E17,F$337)+COUNTIF('10月'!I17:J17,F$337)+COUNTIF('10月'!N17:O17,F$337)+COUNTIF('10月'!S17:T17,F$337)+COUNTIF('10月'!X17:Y17,F$337)+COUNTIF('10月'!AC17:AD17,F$337)+COUNTIF('10月'!AH17:AI17,F$337)+COUNTIF('10月'!AM17:AN17,F$337)+COUNTIF('10月'!AR17:AS17,F$337)+COUNTIF('10月'!AW17:AX17,F$337)+COUNTIF('10月'!BB17:BC17,F$337)+COUNTIF('10月'!BG17:BH17,F$337)+COUNTIF('10月'!BL17:BM17,F$337)+COUNTIF('10月'!BQ17:BR17,F$337)+COUNTIF('10月'!BV17:BW17,F$337)+COUNTIF('10月'!CA17:CB17,F$337)+COUNTIF('10月'!CF17:CG17,F$337)+COUNTIF('10月'!CK17:CL17,F$337)+COUNTIF('10月'!CP17:CQ17,F$337)+COUNTIF('10月'!CU17:CV17,F$337)+COUNTIF('10月'!CZ17:DA17,F$337)+COUNTIF('10月'!DE17:DF17,F$337)+COUNTIF('10月'!DJ17:DK17,F$337)+COUNTIF('10月'!DO17:DP17,F$337)+COUNTIF('10月'!DT17:DU17,F$337)+COUNTIF('10月'!DY17:DZ17,F$337)+COUNTIF('10月'!ED17:EE17,F$337)+COUNTIF('10月'!EI17:EJ17,F$337)+COUNTIF('10月'!EN17:EO17,F$337)+COUNTIF('10月'!ES17:ET17,F$337)</f>
        <v>0</v>
      </c>
      <c r="G352" s="76">
        <f t="shared" si="110"/>
        <v>0</v>
      </c>
      <c r="H352" s="76">
        <f>COUNTIF('10月'!D17:E17,H$337)+COUNTIF('10月'!I17:J17,H$337)+COUNTIF('10月'!N17:O17,H$337)+COUNTIF('10月'!S17:T17,H$337)+COUNTIF('10月'!X17:Y17,H$337)+COUNTIF('10月'!AC17:AD17,H$337)+COUNTIF('10月'!AH17:AI17,H$337)+COUNTIF('10月'!AM17:AN17,H$337)+COUNTIF('10月'!AR17:AS17,H$337)+COUNTIF('10月'!AW17:AX17,H$337)+COUNTIF('10月'!BB17:BC17,H$337)+COUNTIF('10月'!BG17:BH17,H$337)+COUNTIF('10月'!BL17:BM17,H$337)+COUNTIF('10月'!BQ17:BR17,H$337)+COUNTIF('10月'!BV17:BW17,H$337)+COUNTIF('10月'!CA17:CB17,H$337)+COUNTIF('10月'!CF17:CG17,H$337)+COUNTIF('10月'!CK17:CL17,H$337)+COUNTIF('10月'!CP17:CQ17,H$337)+COUNTIF('10月'!CU17:CV17,H$337)+COUNTIF('10月'!CZ17:DA17,H$337)+COUNTIF('10月'!DE17:DF17,H$337)+COUNTIF('10月'!DJ17:DK17,H$337)+COUNTIF('10月'!DO17:DP17,H$337)+COUNTIF('10月'!DT17:DU17,H$337)+COUNTIF('10月'!DY17:DZ17,H$337)+COUNTIF('10月'!ED17:EE17,H$337)+COUNTIF('10月'!EI17:EJ17,H$337)+COUNTIF('10月'!EN17:EO17,H$337)+COUNTIF('10月'!ES17:ET17,H$337)+COUNTIF('10月'!D17:E17,"渋谷-夜勤")+COUNTIF('10月'!I17:J17,"渋谷-夜勤")+COUNTIF('10月'!N17:O17,"渋谷-夜勤")+COUNTIF('10月'!S17:T17,"渋谷-夜勤")+COUNTIF('10月'!X17:Y17,"渋谷-夜勤")+COUNTIF('10月'!AC17:AD17,"渋谷-夜勤")+COUNTIF('10月'!AH17:AI17,"渋谷-夜勤")+COUNTIF('10月'!AM17:AN17,"渋谷-夜勤")+COUNTIF('10月'!AR17:AS17,"渋谷-夜勤")+COUNTIF('10月'!AW17:AX17,"渋谷-夜勤")+COUNTIF('10月'!BB17:BC17,"渋谷-夜勤")+COUNTIF('10月'!BG17:BH17,"渋谷-夜勤")+COUNTIF('10月'!BL17:BM17,"渋谷-夜勤")+COUNTIF('10月'!BQ17:BR17,"渋谷-夜勤")+COUNTIF('10月'!BV17:BW17,"渋谷-夜勤")+COUNTIF('10月'!CA17:CB17,"渋谷-夜勤")+COUNTIF('10月'!CF17:CG17,"渋谷-夜勤")+COUNTIF('10月'!CK17:CL17,"渋谷-夜勤")+COUNTIF('10月'!CP17:CQ17,"渋谷-夜勤")+COUNTIF('10月'!CU17:CV17,"渋谷-夜勤")+COUNTIF('10月'!CZ17:DA17,"渋谷-夜勤")+COUNTIF('10月'!DE17:DF17,"渋谷-夜勤")+COUNTIF('10月'!DJ17:DK17,"渋谷-夜勤")+COUNTIF('10月'!DO17:DP17,"渋谷-夜勤")+COUNTIF('10月'!DT17:DU17,"渋谷-夜勤")+COUNTIF('10月'!DY17:DZ17,"渋谷-夜勤")+COUNTIF('10月'!ED17:EE17,"渋谷-夜勤")+COUNTIF('10月'!EI17:EJ17,"渋谷-夜勤")+COUNTIF('10月'!EN17:EO17,"渋谷-夜勤")+COUNTIF('10月'!ES17:ET17,"渋谷-夜勤")</f>
        <v>0</v>
      </c>
      <c r="I352" s="76">
        <f t="shared" si="111"/>
        <v>0</v>
      </c>
      <c r="J352" s="76">
        <f>COUNTIF('10月'!D17:E17,J$337)+COUNTIF('10月'!I17:J17,J$337)+COUNTIF('10月'!N17:O17,J$337)+COUNTIF('10月'!S17:T17,J$337)+COUNTIF('10月'!X17:Y17,J$337)+COUNTIF('10月'!AC17:AD17,J$337)+COUNTIF('10月'!AH17:AI17,J$337)+COUNTIF('10月'!AM17:AN17,J$337)+COUNTIF('10月'!AR17:AS17,J$337)+COUNTIF('10月'!AW17:AX17,J$337)+COUNTIF('10月'!BB17:BC17,J$337)+COUNTIF('10月'!BG17:BH17,J$337)+COUNTIF('10月'!BL17:BM17,J$337)+COUNTIF('10月'!BQ17:BR17,J$337)+COUNTIF('10月'!BV17:BW17,J$337)+COUNTIF('10月'!CA17:CB17,J$337)+COUNTIF('10月'!CF17:CG17,J$337)+COUNTIF('10月'!CK17:CL17,J$337)+COUNTIF('10月'!CP17:CQ17,J$337)+COUNTIF('10月'!CU17:CV17,J$337)+COUNTIF('10月'!CZ17:DA17,J$337)+COUNTIF('10月'!DE17:DF17,J$337)+COUNTIF('10月'!DJ17:DK17,J$337)+COUNTIF('10月'!DO17:DP17,J$337)+COUNTIF('10月'!DT17:DU17,J$337)+COUNTIF('10月'!DY17:DZ17,J$337)+COUNTIF('10月'!ED17:EE17,J$337)+COUNTIF('10月'!EI17:EJ17,J$337)+COUNTIF('10月'!EN17:EO17,J$337)+COUNTIF('10月'!ES17:ET17,J$337)+COUNTIF('10月'!D17:E17,"六本木-夜勤")+COUNTIF('10月'!I17:J17,"六本木-夜勤")+COUNTIF('10月'!N17:O17,"六本木-夜勤")+COUNTIF('10月'!S17:T17,"六本木-夜勤")+COUNTIF('10月'!X17:Y17,"六本木-夜勤")+COUNTIF('10月'!AC17:AD17,"六本木-夜勤")+COUNTIF('10月'!AH17:AI17,"六本木-夜勤")+COUNTIF('10月'!AM17:AN17,"六本木-夜勤")+COUNTIF('10月'!AR17:AS17,"六本木-夜勤")+COUNTIF('10月'!AW17:AX17,"六本木-夜勤")+COUNTIF('10月'!BB17:BC17,"六本木-夜勤")+COUNTIF('10月'!BG17:BH17,"六本木-夜勤")+COUNTIF('10月'!BL17:BM17,"六本木-夜勤")+COUNTIF('10月'!BQ17:BR17,"六本木-夜勤")+COUNTIF('10月'!BV17:BW17,"六本木-夜勤")+COUNTIF('10月'!CA17:CB17,"六本木-夜勤")+COUNTIF('10月'!CF17:CG17,"六本木-夜勤")+COUNTIF('10月'!CK17:CL17,"六本木-夜勤")+COUNTIF('10月'!CP17:CQ17,"六本木-夜勤")+COUNTIF('10月'!CU17:CV17,"六本木-夜勤")+COUNTIF('10月'!CZ17:DA17,"六本木-夜勤")+COUNTIF('10月'!DE17:DF17,"六本木-夜勤")+COUNTIF('10月'!DJ17:DK17,"六本木-夜勤")+COUNTIF('10月'!DO17:DP17,"六本木-夜勤")+COUNTIF('10月'!DT17:DU17,"六本木-夜勤")+COUNTIF('10月'!DY17:DZ17,"六本木-夜勤")+COUNTIF('10月'!ED17:EE17,"六本木-夜勤")+COUNTIF('10月'!EI17:EJ17,"六本木-夜勤")+COUNTIF('10月'!EN17:EO17,"六本木-夜勤")+COUNTIF('10月'!ES17:ET17,"六本木-夜勤")+COUNTIF('10月'!D17:E17,"六本木ー夜勤")+COUNTIF('10月'!I17:J17,"六本木ー夜勤")+COUNTIF('10月'!N17:O17,"六本木ー夜勤")+COUNTIF('10月'!S17:T17,"六本木ー夜勤")+COUNTIF('10月'!X17:Y17,"六本木ー夜勤")+COUNTIF('10月'!AC17:AD17,"六本木ー夜勤")+COUNTIF('10月'!AH17:AI17,"六本木ー夜勤")+COUNTIF('10月'!AM17:AN17,"六本木ー夜勤")+COUNTIF('10月'!AR17:AS17,"六本木ー夜勤")+COUNTIF('10月'!AW17:AX17,"六本木ー夜勤")+COUNTIF('10月'!BB17:BC17,"六本木ー夜勤")+COUNTIF('10月'!BG17:BH17,"六本木ー夜勤")+COUNTIF('10月'!BL17:BM17,"六本木ー夜勤")+COUNTIF('10月'!BQ17:BR17,"六本木ー夜勤")+COUNTIF('10月'!BV17:BW17,"六本木ー夜勤")+COUNTIF('10月'!CA17:CB17,"六本木ー夜勤")+COUNTIF('10月'!CF17:CG17,"六本木ー夜勤")+COUNTIF('10月'!CK17:CL17,"六本木ー夜勤")+COUNTIF('10月'!CP17:CQ17,"六本木ー夜勤")+COUNTIF('10月'!CU17:CV17,"六本木ー夜勤")+COUNTIF('10月'!CZ17:DA17,"六本木ー夜勤")+COUNTIF('10月'!DE17:DF17,"六本木ー夜勤")+COUNTIF('10月'!DJ17:DK17,"六本木ー夜勤")+COUNTIF('10月'!DO17:DP17,"六本木ー夜勤")+COUNTIF('10月'!DT17:DU17,"六本木ー夜勤")+COUNTIF('10月'!DY17:DZ17,"六本木ー夜勤")+COUNTIF('10月'!ED17:EE17,"六本木ー夜勤")+COUNTIF('10月'!EI17:EJ17,"六本木ー夜勤")+COUNTIF('10月'!EN17:EO17,"六本木ー夜勤")+COUNTIF('10月'!ES17:ET17,"六本木ー夜勤")</f>
        <v>0</v>
      </c>
      <c r="K352" s="76">
        <f t="shared" si="112"/>
        <v>0</v>
      </c>
      <c r="L352" s="76">
        <f>COUNTIF('10月'!D17:E17,L$337)+COUNTIF('10月'!I17:J17,L$337)+COUNTIF('10月'!N17:O17,L$337)+COUNTIF('10月'!S17:T17,L$337)+COUNTIF('10月'!X17:Y17,L$337)+COUNTIF('10月'!AC17:AD17,L$337)+COUNTIF('10月'!AH17:AI17,L$337)+COUNTIF('10月'!AM17:AN17,L$337)+COUNTIF('10月'!AR17:AS17,L$337)+COUNTIF('10月'!AW17:AX17,L$337)+COUNTIF('10月'!BB17:BC17,L$337)+COUNTIF('10月'!BG17:BH17,L$337)+COUNTIF('10月'!BL17:BM17,L$337)+COUNTIF('10月'!BQ17:BR17,L$337)+COUNTIF('10月'!BV17:BW17,L$337)+COUNTIF('10月'!CA17:CB17,L$337)+COUNTIF('10月'!CF17:CG17,L$337)+COUNTIF('10月'!CK17:CL17,L$337)+COUNTIF('10月'!CP17:CQ17,L$337)+COUNTIF('10月'!CU17:CV17,L$337)+COUNTIF('10月'!CZ17:DA17,L$337)+COUNTIF('10月'!DE17:DF17,L$337)+COUNTIF('10月'!DJ17:DK17,L$337)+COUNTIF('10月'!DO17:DP17,L$337)+COUNTIF('10月'!DT17:DU17,L$337)+COUNTIF('10月'!DY17:DZ17,L$337)+COUNTIF('10月'!ED17:EE17,L$337)+COUNTIF('10月'!EI17:EJ17,L$337)+COUNTIF('10月'!EN17:EO17,L$337)+COUNTIF('10月'!ES17:ET17,L$337)</f>
        <v>0</v>
      </c>
      <c r="M352" s="76">
        <f t="shared" si="113"/>
        <v>0</v>
      </c>
      <c r="N352" s="76">
        <f>COUNTIF('10月'!D17:E17,N$337)+COUNTIF('10月'!I17:J17,N$337)+COUNTIF('10月'!N17:O17,N$337)+COUNTIF('10月'!S17:T17,N$337)+COUNTIF('10月'!X17:Y17,N$337)+COUNTIF('10月'!AC17:AD17,N$337)+COUNTIF('10月'!AH17:AI17,N$337)+COUNTIF('10月'!AM17:AN17,N$337)+COUNTIF('10月'!AR17:AS17,N$337)+COUNTIF('10月'!AW17:AX17,N$337)+COUNTIF('10月'!BB17:BC17,N$337)+COUNTIF('10月'!BG17:BH17,N$337)+COUNTIF('10月'!BL17:BM17,N$337)+COUNTIF('10月'!BQ17:BR17,N$337)+COUNTIF('10月'!BV17:BW17,N$337)+COUNTIF('10月'!CA17:CB17,N$337)+COUNTIF('10月'!CF17:CG17,N$337)+COUNTIF('10月'!CK17:CL17,N$337)+COUNTIF('10月'!CP17:CQ17,N$337)+COUNTIF('10月'!CU17:CV17,N$337)+COUNTIF('10月'!CZ17:DA17,N$337)+COUNTIF('10月'!DE17:DF17,N$337)+COUNTIF('10月'!DJ17:DK17,N$337)+COUNTIF('10月'!DO17:DP17,N$337)+COUNTIF('10月'!DT17:DU17,N$337)+COUNTIF('10月'!DY17:DZ17,N$337)+COUNTIF('10月'!ED17:EE17,N$337)+COUNTIF('10月'!EI17:EJ17,N$337)+COUNTIF('10月'!EN17:EO17,N$337)+COUNTIF('10月'!ES17:ET17,N$337)+COUNTIF('10月'!D17:E17,"三軒茶屋－夜勤")+COUNTIF('10月'!I17:J17,"三軒茶屋－夜勤")+COUNTIF('10月'!N17:O17,"三軒茶屋－夜勤")+COUNTIF('10月'!S17:T17,"三軒茶屋－夜勤")+COUNTIF('10月'!X17:Y17,"三軒茶屋－夜勤")+COUNTIF('10月'!AC17:AD17,"三軒茶屋－夜勤")+COUNTIF('10月'!AH17:AI17,"三軒茶屋－夜勤")+COUNTIF('10月'!AM17:AN17,"三軒茶屋－夜勤")+COUNTIF('10月'!AR17:AS17,"三軒茶屋－夜勤")+COUNTIF('10月'!AW17:AX17,"三軒茶屋－夜勤")+COUNTIF('10月'!BB17:BC17,"三軒茶屋－夜勤")+COUNTIF('10月'!BG17:BH17,"三軒茶屋－夜勤")+COUNTIF('10月'!BL17:BM17,"三軒茶屋－夜勤")+COUNTIF('10月'!BQ17:BR17,"三軒茶屋－夜勤")+COUNTIF('10月'!BV17:BW17,"三軒茶屋－夜勤")+COUNTIF('10月'!CA17:CB17,"三軒茶屋－夜勤")+COUNTIF('10月'!CF17:CG17,"三軒茶屋－夜勤")+COUNTIF('10月'!CK17:CL17,"三軒茶屋－夜勤")+COUNTIF('10月'!CP17:CQ17,"三軒茶屋－夜勤")+COUNTIF('10月'!CU17:CV17,"三軒茶屋－夜勤")+COUNTIF('10月'!CZ17:DA17,"三軒茶屋－夜勤")+COUNTIF('10月'!DE17:DF17,"三軒茶屋－夜勤")+COUNTIF('10月'!DJ17:DK17,"三軒茶屋－夜勤")+COUNTIF('10月'!DO17:DP17,"三軒茶屋－夜勤")+COUNTIF('10月'!DT17:DU17,"三軒茶屋－夜勤")+COUNTIF('10月'!DY17:DZ17,"三軒茶屋－夜勤")+COUNTIF('10月'!ED17:EE17,"三軒茶屋－夜勤")+COUNTIF('10月'!EI17:EJ17,"三軒茶屋－夜勤")+COUNTIF('10月'!EN17:EO17,"三軒茶屋－夜勤")+COUNTIF('10月'!ES17:ET17,"三軒茶屋－夜勤")</f>
        <v>0</v>
      </c>
      <c r="O352" s="76">
        <f t="shared" si="114"/>
        <v>0</v>
      </c>
      <c r="P352" s="76">
        <f>COUNTIF('10月'!D17:E17,P$337)+COUNTIF('10月'!I17:J17,P$337)+COUNTIF('10月'!N17:O17,P$337)+COUNTIF('10月'!S17:T17,P$337)+COUNTIF('10月'!X17:Y17,P$337)+COUNTIF('10月'!AC17:AD17,P$337)+COUNTIF('10月'!AH17:AI17,P$337)+COUNTIF('10月'!AM17:AN17,P$337)+COUNTIF('10月'!AR17:AS17,P$337)+COUNTIF('10月'!AW17:AX17,P$337)+COUNTIF('10月'!BB17:BC17,P$337)+COUNTIF('10月'!BG17:BH17,P$337)+COUNTIF('10月'!BL17:BM17,P$337)+COUNTIF('10月'!BQ17:BR17,P$337)+COUNTIF('10月'!BV17:BW17,P$337)+COUNTIF('10月'!CA17:CB17,P$337)+COUNTIF('10月'!CF17:CG17,P$337)+COUNTIF('10月'!CK17:CL17,P$337)+COUNTIF('10月'!CP17:CQ17,P$337)+COUNTIF('10月'!CU17:CV17,P$337)+COUNTIF('10月'!CZ17:DA17,P$337)+COUNTIF('10月'!DE17:DF17,P$337)+COUNTIF('10月'!DJ17:DK17,P$337)+COUNTIF('10月'!DO17:DP17,P$337)+COUNTIF('10月'!DT17:DU17,P$337)+COUNTIF('10月'!DY17:DZ17,P$337)+COUNTIF('10月'!ED17:EE17,P$337)+COUNTIF('10月'!EI17:EJ17,P$337)+COUNTIF('10月'!EN17:EO17,P$337)+COUNTIF('10月'!ES17:ET17,P$337)+COUNTIF('10月'!D17:E17,"荻窪ー夜勤")+COUNTIF('10月'!I17:J17,"荻窪ー夜勤")+COUNTIF('10月'!N17:O17,"荻窪ー夜勤")+COUNTIF('10月'!S17:T17,"荻窪ー夜勤")+COUNTIF('10月'!X17:Y17,"荻窪ー夜勤")+COUNTIF('10月'!AC17:AD17,"荻窪ー夜勤")+COUNTIF('10月'!AH17:AI17,"荻窪ー夜勤")+COUNTIF('10月'!AM17:AN17,"荻窪ー夜勤")+COUNTIF('10月'!AR17:AS17,"荻窪ー夜勤")+COUNTIF('10月'!AW17:AX17,"荻窪ー夜勤")+COUNTIF('10月'!BB17:BC17,"荻窪ー夜勤")+COUNTIF('10月'!BG17:BH17,"荻窪ー夜勤")+COUNTIF('10月'!BL17:BM17,"荻窪ー夜勤")+COUNTIF('10月'!BQ17:BR17,"荻窪ー夜勤")+COUNTIF('10月'!BV17:BW17,"荻窪ー夜勤")+COUNTIF('10月'!CA17:CB17,"荻窪ー夜勤")+COUNTIF('10月'!CF17:CG17,"荻窪ー夜勤")+COUNTIF('10月'!CK17:CL17,"荻窪ー夜勤")+COUNTIF('10月'!CP17:CQ17,"荻窪ー夜勤")+COUNTIF('10月'!CU17:CV17,"荻窪ー夜勤")+COUNTIF('10月'!CZ17:DA17,"荻窪ー夜勤")+COUNTIF('10月'!DE17:DF17,"荻窪ー夜勤")+COUNTIF('10月'!DJ17:DK17,"荻窪ー夜勤")+COUNTIF('10月'!DO17:DP17,"荻窪ー夜勤")+COUNTIF('10月'!DT17:DU17,"荻窪ー夜勤")+COUNTIF('10月'!DY17:DZ17,"荻窪ー夜勤")+COUNTIF('10月'!ED17:EE17,"荻窪ー夜勤")+COUNTIF('10月'!EI17:EJ17,"荻窪ー夜勤")+COUNTIF('10月'!EN17:EO17,"荻窪ー夜勤")+COUNTIF('10月'!ES17:ET17,"荻窪ー夜勤")</f>
        <v>0</v>
      </c>
      <c r="Q352" s="76">
        <f t="shared" si="115"/>
        <v>0</v>
      </c>
      <c r="R352" s="76">
        <f>COUNTIF('10月'!D17:E17,R$337)+COUNTIF('10月'!I17:J17,R$337)+COUNTIF('10月'!N17:O17,R$337)+COUNTIF('10月'!S17:T17,R$337)+COUNTIF('10月'!X17:Y17,R$337)+COUNTIF('10月'!AC17:AD17,R$337)+COUNTIF('10月'!AH17:AI17,R$337)+COUNTIF('10月'!AM17:AN17,R$337)+COUNTIF('10月'!AR17:AS17,R$337)+COUNTIF('10月'!AW17:AX17,R$337)+COUNTIF('10月'!BB17:BC17,R$337)+COUNTIF('10月'!BG17:BH17,R$337)+COUNTIF('10月'!BL17:BM17,R$337)+COUNTIF('10月'!BQ17:BR17,R$337)+COUNTIF('10月'!BV17:BW17,R$337)+COUNTIF('10月'!CA17:CB17,R$337)+COUNTIF('10月'!CF17:CG17,R$337)+COUNTIF('10月'!CK17:CL17,R$337)+COUNTIF('10月'!CP17:CQ17,R$337)+COUNTIF('10月'!CU17:CV17,R$337)+COUNTIF('10月'!CZ17:DA17,R$337)+COUNTIF('10月'!DE17:DF17,R$337)+COUNTIF('10月'!DJ17:DK17,R$337)+COUNTIF('10月'!DO17:DP17,R$337)+COUNTIF('10月'!DT17:DU17,R$337)+COUNTIF('10月'!DY17:DZ17,R$337)+COUNTIF('10月'!ED17:EE17,R$337)+COUNTIF('10月'!EI17:EJ17,R$337)+COUNTIF('10月'!EN17:EO17,R$337)+COUNTIF('10月'!ES17:ET17,R$337)</f>
        <v>0</v>
      </c>
      <c r="S352" s="76">
        <f t="shared" si="116"/>
        <v>0</v>
      </c>
      <c r="T352" s="76">
        <f>COUNTIF('10月'!D17:E17,T$337)+COUNTIF('10月'!I17:J17,T$337)+COUNTIF('10月'!N17:O17,T$337)+COUNTIF('10月'!S17:T17,T$337)+COUNTIF('10月'!X17:Y17,T$337)+COUNTIF('10月'!AC17:AD17,T$337)+COUNTIF('10月'!AH17:AI17,T$337)+COUNTIF('10月'!AM17:AN17,T$337)+COUNTIF('10月'!AR17:AS17,T$337)+COUNTIF('10月'!AW17:AX17,T$337)+COUNTIF('10月'!BB17:BC17,T$337)+COUNTIF('10月'!BG17:BH17,T$337)+COUNTIF('10月'!BL17:BM17,T$337)+COUNTIF('10月'!BQ17:BR17,T$337)+COUNTIF('10月'!BV17:BW17,T$337)+COUNTIF('10月'!CA17:CB17,T$337)+COUNTIF('10月'!CF17:CG17,T$337)+COUNTIF('10月'!CK17:CL17,T$337)+COUNTIF('10月'!CP17:CQ17,T$337)+COUNTIF('10月'!CU17:CV17,T$337)+COUNTIF('10月'!CZ17:DA17,T$337)+COUNTIF('10月'!DE17:DF17,T$337)+COUNTIF('10月'!DJ17:DK17,T$337)+COUNTIF('10月'!DO17:DP17,T$337)+COUNTIF('10月'!DT17:DU17,T$337)+COUNTIF('10月'!DY17:DZ17,T$337)+COUNTIF('10月'!ED17:EE17,T$337)+COUNTIF('10月'!EI17:EJ17,T$337)+COUNTIF('10月'!EN17:EO17,T$337)+COUNTIF('10月'!ES17:ET17,T$337)</f>
        <v>0</v>
      </c>
      <c r="U352" s="76">
        <f t="shared" si="117"/>
        <v>0</v>
      </c>
      <c r="V352" s="76">
        <f>COUNTIF('10月'!D17:E17,V$337)+COUNTIF('10月'!I17:J17,V$337)+COUNTIF('10月'!N17:O17,V$337)+COUNTIF('10月'!S17:T17,V$337)+COUNTIF('10月'!X17:Y17,V$337)+COUNTIF('10月'!AC17:AD17,V$337)+COUNTIF('10月'!AH17:AI17,V$337)+COUNTIF('10月'!AM17:AN17,V$337)+COUNTIF('10月'!AR17:AS17,V$337)+COUNTIF('10月'!AW17:AX17,V$337)+COUNTIF('10月'!BB17:BC17,V$337)+COUNTIF('10月'!BG17:BH17,V$337)+COUNTIF('10月'!BL17:BM17,V$337)+COUNTIF('10月'!BQ17:BR17,V$337)+COUNTIF('10月'!BV17:BW17,V$337)+COUNTIF('10月'!CA17:CB17,V$337)+COUNTIF('10月'!CF17:CG17,V$337)+COUNTIF('10月'!CK17:CL17,V$337)+COUNTIF('10月'!CP17:CQ17,V$337)+COUNTIF('10月'!CU17:CV17,V$337)+COUNTIF('10月'!CZ17:DA17,V$337)+COUNTIF('10月'!DE17:DF17,V$337)+COUNTIF('10月'!DJ17:DK17,V$337)+COUNTIF('10月'!DO17:DP17,V$337)+COUNTIF('10月'!DT17:DU17,V$337)+COUNTIF('10月'!DY17:DZ17,V$337)+COUNTIF('10月'!ED17:EE17,V$337)+COUNTIF('10月'!EI17:EJ17,V$337)+COUNTIF('10月'!EN17:EO17,V$337)+COUNTIF('10月'!ES17:ET17,V$337)</f>
        <v>0</v>
      </c>
      <c r="W352" s="76">
        <f t="shared" si="118"/>
        <v>0</v>
      </c>
      <c r="X352" s="76">
        <f>COUNTIF('10月'!D17:E17,X$337)+COUNTIF('10月'!I17:J17,X$337)+COUNTIF('10月'!N17:O17,X$337)+COUNTIF('10月'!S17:T17,X$337)+COUNTIF('10月'!X17:Y17,X$337)+COUNTIF('10月'!AC17:AD17,X$337)+COUNTIF('10月'!AH17:AI17,X$337)+COUNTIF('10月'!AM17:AN17,X$337)+COUNTIF('10月'!AR17:AS17,X$337)+COUNTIF('10月'!AW17:AX17,X$337)+COUNTIF('10月'!BB17:BC17,X$337)+COUNTIF('10月'!BG17:BH17,X$337)+COUNTIF('10月'!BL17:BM17,X$337)+COUNTIF('10月'!BQ17:BR17,X$337)+COUNTIF('10月'!BV17:BW17,X$337)+COUNTIF('10月'!CA17:CB17,X$337)+COUNTIF('10月'!CF17:CG17,X$337)+COUNTIF('10月'!CK17:CL17,X$337)+COUNTIF('10月'!CP17:CQ17,X$337)+COUNTIF('10月'!CU17:CV17,X$337)+COUNTIF('10月'!CZ17:DA17,X$337)+COUNTIF('10月'!DE17:DF17,X$337)+COUNTIF('10月'!DJ17:DK17,X$337)+COUNTIF('10月'!DO17:DP17,X$337)+COUNTIF('10月'!DT17:DU17,X$337)+COUNTIF('10月'!DY17:DZ17,X$337)+COUNTIF('10月'!ED17:EE17,X$337)+COUNTIF('10月'!EI17:EJ17,X$337)+COUNTIF('10月'!EN17:EO17,X$337)+COUNTIF('10月'!ES17:ET17,X$337)</f>
        <v>0</v>
      </c>
      <c r="Y352" s="76">
        <f t="shared" si="119"/>
        <v>0</v>
      </c>
    </row>
    <row r="353" spans="1:25" ht="18" customHeight="1">
      <c r="A353" s="76">
        <v>15</v>
      </c>
      <c r="B353" s="76">
        <f>COUNTIF('10月'!D18:E18,B$337)+COUNTIF('10月'!I18:J18,B$337)+COUNTIF('10月'!N18:O18,B$337)+COUNTIF('10月'!S18:T18,B$337)+COUNTIF('10月'!X18:Y18,B$337)+COUNTIF('10月'!AC18:AD18,B$337)+COUNTIF('10月'!AH18:AI18,B$337)+COUNTIF('10月'!AM18:AN18,B$337)+COUNTIF('10月'!AR18:AS18,B$337)+COUNTIF('10月'!AW18:AX18,B$337)+COUNTIF('10月'!BB18:BC18,B$337)+COUNTIF('10月'!BG18:BH18,B$337)+COUNTIF('10月'!BL18:BM18,B$337)+COUNTIF('10月'!BQ18:BR18,B$337)+COUNTIF('10月'!BV18:BW18,B$337)+COUNTIF('10月'!CA18:CB18,B$337)+COUNTIF('10月'!CF18:CG18,B$337)+COUNTIF('10月'!CK18:CL18,B$337)+COUNTIF('10月'!CP18:CQ18,B$337)+COUNTIF('10月'!CU18:CV18,B$337)+COUNTIF('10月'!CZ18:DA18,B$337)+COUNTIF('10月'!DE18:DF18,B$337)+COUNTIF('10月'!DJ18:DK18,B$337)+COUNTIF('10月'!DO18:DP18,B$337)+COUNTIF('10月'!DT18:DU18,B$337)+COUNTIF('10月'!DY18:DZ18,B$337)+COUNTIF('10月'!ED18:EE18,B$337)+COUNTIF('10月'!EI18:EJ18,B$337)+COUNTIF('10月'!EN18:EO18,B$337)+COUNTIF('10月'!ES18:ET18,B$337)</f>
        <v>0</v>
      </c>
      <c r="C353" s="76">
        <f t="shared" si="108"/>
        <v>0</v>
      </c>
      <c r="D353" s="76">
        <f>COUNTIF('10月'!D18:E18,D$337)+COUNTIF('10月'!I18:J18,D$337)+COUNTIF('10月'!N18:O18,D$337)+COUNTIF('10月'!S18:T18,D$337)+COUNTIF('10月'!X18:Y18,D$337)+COUNTIF('10月'!AC18:AD18,D$337)+COUNTIF('10月'!AH18:AI18,D$337)+COUNTIF('10月'!AM18:AN18,D$337)+COUNTIF('10月'!AR18:AS18,D$337)+COUNTIF('10月'!AW18:AX18,D$337)+COUNTIF('10月'!BB18:BC18,D$337)+COUNTIF('10月'!BG18:BH18,D$337)+COUNTIF('10月'!BL18:BM18,D$337)+COUNTIF('10月'!BQ18:BR18,D$337)+COUNTIF('10月'!BV18:BW18,D$337)+COUNTIF('10月'!CA18:CB18,D$337)+COUNTIF('10月'!CF18:CG18,D$337)+COUNTIF('10月'!CK18:CL18,D$337)+COUNTIF('10月'!CP18:CQ18,D$337)+COUNTIF('10月'!CU18:CV18,D$337)+COUNTIF('10月'!CZ18:DA18,D$337)+COUNTIF('10月'!DE18:DF18,D$337)+COUNTIF('10月'!DJ18:DK18,D$337)+COUNTIF('10月'!DO18:DP18,D$337)+COUNTIF('10月'!DT18:DU18,D$337)+COUNTIF('10月'!DY18:DZ18,D$337)+COUNTIF('10月'!ED18:EE18,D$337)+COUNTIF('10月'!EI18:EJ18,D$337)+COUNTIF('10月'!EN18:EO18,D$337)+COUNTIF('10月'!ES18:ET18,D$337)</f>
        <v>0</v>
      </c>
      <c r="E353" s="76">
        <f t="shared" si="109"/>
        <v>0</v>
      </c>
      <c r="F353" s="76">
        <f>COUNTIF('10月'!D18:E18,F$337)+COUNTIF('10月'!I18:J18,F$337)+COUNTIF('10月'!N18:O18,F$337)+COUNTIF('10月'!S18:T18,F$337)+COUNTIF('10月'!X18:Y18,F$337)+COUNTIF('10月'!AC18:AD18,F$337)+COUNTIF('10月'!AH18:AI18,F$337)+COUNTIF('10月'!AM18:AN18,F$337)+COUNTIF('10月'!AR18:AS18,F$337)+COUNTIF('10月'!AW18:AX18,F$337)+COUNTIF('10月'!BB18:BC18,F$337)+COUNTIF('10月'!BG18:BH18,F$337)+COUNTIF('10月'!BL18:BM18,F$337)+COUNTIF('10月'!BQ18:BR18,F$337)+COUNTIF('10月'!BV18:BW18,F$337)+COUNTIF('10月'!CA18:CB18,F$337)+COUNTIF('10月'!CF18:CG18,F$337)+COUNTIF('10月'!CK18:CL18,F$337)+COUNTIF('10月'!CP18:CQ18,F$337)+COUNTIF('10月'!CU18:CV18,F$337)+COUNTIF('10月'!CZ18:DA18,F$337)+COUNTIF('10月'!DE18:DF18,F$337)+COUNTIF('10月'!DJ18:DK18,F$337)+COUNTIF('10月'!DO18:DP18,F$337)+COUNTIF('10月'!DT18:DU18,F$337)+COUNTIF('10月'!DY18:DZ18,F$337)+COUNTIF('10月'!ED18:EE18,F$337)+COUNTIF('10月'!EI18:EJ18,F$337)+COUNTIF('10月'!EN18:EO18,F$337)+COUNTIF('10月'!ES18:ET18,F$337)</f>
        <v>0</v>
      </c>
      <c r="G353" s="76">
        <f t="shared" si="110"/>
        <v>0</v>
      </c>
      <c r="H353" s="76">
        <f>COUNTIF('10月'!D18:E18,H$337)+COUNTIF('10月'!I18:J18,H$337)+COUNTIF('10月'!N18:O18,H$337)+COUNTIF('10月'!S18:T18,H$337)+COUNTIF('10月'!X18:Y18,H$337)+COUNTIF('10月'!AC18:AD18,H$337)+COUNTIF('10月'!AH18:AI18,H$337)+COUNTIF('10月'!AM18:AN18,H$337)+COUNTIF('10月'!AR18:AS18,H$337)+COUNTIF('10月'!AW18:AX18,H$337)+COUNTIF('10月'!BB18:BC18,H$337)+COUNTIF('10月'!BG18:BH18,H$337)+COUNTIF('10月'!BL18:BM18,H$337)+COUNTIF('10月'!BQ18:BR18,H$337)+COUNTIF('10月'!BV18:BW18,H$337)+COUNTIF('10月'!CA18:CB18,H$337)+COUNTIF('10月'!CF18:CG18,H$337)+COUNTIF('10月'!CK18:CL18,H$337)+COUNTIF('10月'!CP18:CQ18,H$337)+COUNTIF('10月'!CU18:CV18,H$337)+COUNTIF('10月'!CZ18:DA18,H$337)+COUNTIF('10月'!DE18:DF18,H$337)+COUNTIF('10月'!DJ18:DK18,H$337)+COUNTIF('10月'!DO18:DP18,H$337)+COUNTIF('10月'!DT18:DU18,H$337)+COUNTIF('10月'!DY18:DZ18,H$337)+COUNTIF('10月'!ED18:EE18,H$337)+COUNTIF('10月'!EI18:EJ18,H$337)+COUNTIF('10月'!EN18:EO18,H$337)+COUNTIF('10月'!ES18:ET18,H$337)+COUNTIF('10月'!D18:E18,"渋谷-夜勤")+COUNTIF('10月'!I18:J18,"渋谷-夜勤")+COUNTIF('10月'!N18:O18,"渋谷-夜勤")+COUNTIF('10月'!S18:T18,"渋谷-夜勤")+COUNTIF('10月'!X18:Y18,"渋谷-夜勤")+COUNTIF('10月'!AC18:AD18,"渋谷-夜勤")+COUNTIF('10月'!AH18:AI18,"渋谷-夜勤")+COUNTIF('10月'!AM18:AN18,"渋谷-夜勤")+COUNTIF('10月'!AR18:AS18,"渋谷-夜勤")+COUNTIF('10月'!AW18:AX18,"渋谷-夜勤")+COUNTIF('10月'!BB18:BC18,"渋谷-夜勤")+COUNTIF('10月'!BG18:BH18,"渋谷-夜勤")+COUNTIF('10月'!BL18:BM18,"渋谷-夜勤")+COUNTIF('10月'!BQ18:BR18,"渋谷-夜勤")+COUNTIF('10月'!BV18:BW18,"渋谷-夜勤")+COUNTIF('10月'!CA18:CB18,"渋谷-夜勤")+COUNTIF('10月'!CF18:CG18,"渋谷-夜勤")+COUNTIF('10月'!CK18:CL18,"渋谷-夜勤")+COUNTIF('10月'!CP18:CQ18,"渋谷-夜勤")+COUNTIF('10月'!CU18:CV18,"渋谷-夜勤")+COUNTIF('10月'!CZ18:DA18,"渋谷-夜勤")+COUNTIF('10月'!DE18:DF18,"渋谷-夜勤")+COUNTIF('10月'!DJ18:DK18,"渋谷-夜勤")+COUNTIF('10月'!DO18:DP18,"渋谷-夜勤")+COUNTIF('10月'!DT18:DU18,"渋谷-夜勤")+COUNTIF('10月'!DY18:DZ18,"渋谷-夜勤")+COUNTIF('10月'!ED18:EE18,"渋谷-夜勤")+COUNTIF('10月'!EI18:EJ18,"渋谷-夜勤")+COUNTIF('10月'!EN18:EO18,"渋谷-夜勤")+COUNTIF('10月'!ES18:ET18,"渋谷-夜勤")</f>
        <v>0</v>
      </c>
      <c r="I353" s="76">
        <f t="shared" si="111"/>
        <v>0</v>
      </c>
      <c r="J353" s="76">
        <f>COUNTIF('10月'!D18:E18,J$337)+COUNTIF('10月'!I18:J18,J$337)+COUNTIF('10月'!N18:O18,J$337)+COUNTIF('10月'!S18:T18,J$337)+COUNTIF('10月'!X18:Y18,J$337)+COUNTIF('10月'!AC18:AD18,J$337)+COUNTIF('10月'!AH18:AI18,J$337)+COUNTIF('10月'!AM18:AN18,J$337)+COUNTIF('10月'!AR18:AS18,J$337)+COUNTIF('10月'!AW18:AX18,J$337)+COUNTIF('10月'!BB18:BC18,J$337)+COUNTIF('10月'!BG18:BH18,J$337)+COUNTIF('10月'!BL18:BM18,J$337)+COUNTIF('10月'!BQ18:BR18,J$337)+COUNTIF('10月'!BV18:BW18,J$337)+COUNTIF('10月'!CA18:CB18,J$337)+COUNTIF('10月'!CF18:CG18,J$337)+COUNTIF('10月'!CK18:CL18,J$337)+COUNTIF('10月'!CP18:CQ18,J$337)+COUNTIF('10月'!CU18:CV18,J$337)+COUNTIF('10月'!CZ18:DA18,J$337)+COUNTIF('10月'!DE18:DF18,J$337)+COUNTIF('10月'!DJ18:DK18,J$337)+COUNTIF('10月'!DO18:DP18,J$337)+COUNTIF('10月'!DT18:DU18,J$337)+COUNTIF('10月'!DY18:DZ18,J$337)+COUNTIF('10月'!ED18:EE18,J$337)+COUNTIF('10月'!EI18:EJ18,J$337)+COUNTIF('10月'!EN18:EO18,J$337)+COUNTIF('10月'!ES18:ET18,J$337)+COUNTIF('10月'!D18:E18,"六本木-夜勤")+COUNTIF('10月'!I18:J18,"六本木-夜勤")+COUNTIF('10月'!N18:O18,"六本木-夜勤")+COUNTIF('10月'!S18:T18,"六本木-夜勤")+COUNTIF('10月'!X18:Y18,"六本木-夜勤")+COUNTIF('10月'!AC18:AD18,"六本木-夜勤")+COUNTIF('10月'!AH18:AI18,"六本木-夜勤")+COUNTIF('10月'!AM18:AN18,"六本木-夜勤")+COUNTIF('10月'!AR18:AS18,"六本木-夜勤")+COUNTIF('10月'!AW18:AX18,"六本木-夜勤")+COUNTIF('10月'!BB18:BC18,"六本木-夜勤")+COUNTIF('10月'!BG18:BH18,"六本木-夜勤")+COUNTIF('10月'!BL18:BM18,"六本木-夜勤")+COUNTIF('10月'!BQ18:BR18,"六本木-夜勤")+COUNTIF('10月'!BV18:BW18,"六本木-夜勤")+COUNTIF('10月'!CA18:CB18,"六本木-夜勤")+COUNTIF('10月'!CF18:CG18,"六本木-夜勤")+COUNTIF('10月'!CK18:CL18,"六本木-夜勤")+COUNTIF('10月'!CP18:CQ18,"六本木-夜勤")+COUNTIF('10月'!CU18:CV18,"六本木-夜勤")+COUNTIF('10月'!CZ18:DA18,"六本木-夜勤")+COUNTIF('10月'!DE18:DF18,"六本木-夜勤")+COUNTIF('10月'!DJ18:DK18,"六本木-夜勤")+COUNTIF('10月'!DO18:DP18,"六本木-夜勤")+COUNTIF('10月'!DT18:DU18,"六本木-夜勤")+COUNTIF('10月'!DY18:DZ18,"六本木-夜勤")+COUNTIF('10月'!ED18:EE18,"六本木-夜勤")+COUNTIF('10月'!EI18:EJ18,"六本木-夜勤")+COUNTIF('10月'!EN18:EO18,"六本木-夜勤")+COUNTIF('10月'!ES18:ET18,"六本木-夜勤")+COUNTIF('10月'!D18:E18,"六本木ー夜勤")+COUNTIF('10月'!I18:J18,"六本木ー夜勤")+COUNTIF('10月'!N18:O18,"六本木ー夜勤")+COUNTIF('10月'!S18:T18,"六本木ー夜勤")+COUNTIF('10月'!X18:Y18,"六本木ー夜勤")+COUNTIF('10月'!AC18:AD18,"六本木ー夜勤")+COUNTIF('10月'!AH18:AI18,"六本木ー夜勤")+COUNTIF('10月'!AM18:AN18,"六本木ー夜勤")+COUNTIF('10月'!AR18:AS18,"六本木ー夜勤")+COUNTIF('10月'!AW18:AX18,"六本木ー夜勤")+COUNTIF('10月'!BB18:BC18,"六本木ー夜勤")+COUNTIF('10月'!BG18:BH18,"六本木ー夜勤")+COUNTIF('10月'!BL18:BM18,"六本木ー夜勤")+COUNTIF('10月'!BQ18:BR18,"六本木ー夜勤")+COUNTIF('10月'!BV18:BW18,"六本木ー夜勤")+COUNTIF('10月'!CA18:CB18,"六本木ー夜勤")+COUNTIF('10月'!CF18:CG18,"六本木ー夜勤")+COUNTIF('10月'!CK18:CL18,"六本木ー夜勤")+COUNTIF('10月'!CP18:CQ18,"六本木ー夜勤")+COUNTIF('10月'!CU18:CV18,"六本木ー夜勤")+COUNTIF('10月'!CZ18:DA18,"六本木ー夜勤")+COUNTIF('10月'!DE18:DF18,"六本木ー夜勤")+COUNTIF('10月'!DJ18:DK18,"六本木ー夜勤")+COUNTIF('10月'!DO18:DP18,"六本木ー夜勤")+COUNTIF('10月'!DT18:DU18,"六本木ー夜勤")+COUNTIF('10月'!DY18:DZ18,"六本木ー夜勤")+COUNTIF('10月'!ED18:EE18,"六本木ー夜勤")+COUNTIF('10月'!EI18:EJ18,"六本木ー夜勤")+COUNTIF('10月'!EN18:EO18,"六本木ー夜勤")+COUNTIF('10月'!ES18:ET18,"六本木ー夜勤")</f>
        <v>0</v>
      </c>
      <c r="K353" s="76">
        <f t="shared" si="112"/>
        <v>0</v>
      </c>
      <c r="L353" s="76">
        <f>COUNTIF('10月'!D18:E18,L$337)+COUNTIF('10月'!I18:J18,L$337)+COUNTIF('10月'!N18:O18,L$337)+COUNTIF('10月'!S18:T18,L$337)+COUNTIF('10月'!X18:Y18,L$337)+COUNTIF('10月'!AC18:AD18,L$337)+COUNTIF('10月'!AH18:AI18,L$337)+COUNTIF('10月'!AM18:AN18,L$337)+COUNTIF('10月'!AR18:AS18,L$337)+COUNTIF('10月'!AW18:AX18,L$337)+COUNTIF('10月'!BB18:BC18,L$337)+COUNTIF('10月'!BG18:BH18,L$337)+COUNTIF('10月'!BL18:BM18,L$337)+COUNTIF('10月'!BQ18:BR18,L$337)+COUNTIF('10月'!BV18:BW18,L$337)+COUNTIF('10月'!CA18:CB18,L$337)+COUNTIF('10月'!CF18:CG18,L$337)+COUNTIF('10月'!CK18:CL18,L$337)+COUNTIF('10月'!CP18:CQ18,L$337)+COUNTIF('10月'!CU18:CV18,L$337)+COUNTIF('10月'!CZ18:DA18,L$337)+COUNTIF('10月'!DE18:DF18,L$337)+COUNTIF('10月'!DJ18:DK18,L$337)+COUNTIF('10月'!DO18:DP18,L$337)+COUNTIF('10月'!DT18:DU18,L$337)+COUNTIF('10月'!DY18:DZ18,L$337)+COUNTIF('10月'!ED18:EE18,L$337)+COUNTIF('10月'!EI18:EJ18,L$337)+COUNTIF('10月'!EN18:EO18,L$337)+COUNTIF('10月'!ES18:ET18,L$337)</f>
        <v>0</v>
      </c>
      <c r="M353" s="76">
        <f t="shared" si="113"/>
        <v>0</v>
      </c>
      <c r="N353" s="76">
        <f>COUNTIF('10月'!D18:E18,N$337)+COUNTIF('10月'!I18:J18,N$337)+COUNTIF('10月'!N18:O18,N$337)+COUNTIF('10月'!S18:T18,N$337)+COUNTIF('10月'!X18:Y18,N$337)+COUNTIF('10月'!AC18:AD18,N$337)+COUNTIF('10月'!AH18:AI18,N$337)+COUNTIF('10月'!AM18:AN18,N$337)+COUNTIF('10月'!AR18:AS18,N$337)+COUNTIF('10月'!AW18:AX18,N$337)+COUNTIF('10月'!BB18:BC18,N$337)+COUNTIF('10月'!BG18:BH18,N$337)+COUNTIF('10月'!BL18:BM18,N$337)+COUNTIF('10月'!BQ18:BR18,N$337)+COUNTIF('10月'!BV18:BW18,N$337)+COUNTIF('10月'!CA18:CB18,N$337)+COUNTIF('10月'!CF18:CG18,N$337)+COUNTIF('10月'!CK18:CL18,N$337)+COUNTIF('10月'!CP18:CQ18,N$337)+COUNTIF('10月'!CU18:CV18,N$337)+COUNTIF('10月'!CZ18:DA18,N$337)+COUNTIF('10月'!DE18:DF18,N$337)+COUNTIF('10月'!DJ18:DK18,N$337)+COUNTIF('10月'!DO18:DP18,N$337)+COUNTIF('10月'!DT18:DU18,N$337)+COUNTIF('10月'!DY18:DZ18,N$337)+COUNTIF('10月'!ED18:EE18,N$337)+COUNTIF('10月'!EI18:EJ18,N$337)+COUNTIF('10月'!EN18:EO18,N$337)+COUNTIF('10月'!ES18:ET18,N$337)+COUNTIF('10月'!D18:E18,"三軒茶屋－夜勤")+COUNTIF('10月'!I18:J18,"三軒茶屋－夜勤")+COUNTIF('10月'!N18:O18,"三軒茶屋－夜勤")+COUNTIF('10月'!S18:T18,"三軒茶屋－夜勤")+COUNTIF('10月'!X18:Y18,"三軒茶屋－夜勤")+COUNTIF('10月'!AC18:AD18,"三軒茶屋－夜勤")+COUNTIF('10月'!AH18:AI18,"三軒茶屋－夜勤")+COUNTIF('10月'!AM18:AN18,"三軒茶屋－夜勤")+COUNTIF('10月'!AR18:AS18,"三軒茶屋－夜勤")+COUNTIF('10月'!AW18:AX18,"三軒茶屋－夜勤")+COUNTIF('10月'!BB18:BC18,"三軒茶屋－夜勤")+COUNTIF('10月'!BG18:BH18,"三軒茶屋－夜勤")+COUNTIF('10月'!BL18:BM18,"三軒茶屋－夜勤")+COUNTIF('10月'!BQ18:BR18,"三軒茶屋－夜勤")+COUNTIF('10月'!BV18:BW18,"三軒茶屋－夜勤")+COUNTIF('10月'!CA18:CB18,"三軒茶屋－夜勤")+COUNTIF('10月'!CF18:CG18,"三軒茶屋－夜勤")+COUNTIF('10月'!CK18:CL18,"三軒茶屋－夜勤")+COUNTIF('10月'!CP18:CQ18,"三軒茶屋－夜勤")+COUNTIF('10月'!CU18:CV18,"三軒茶屋－夜勤")+COUNTIF('10月'!CZ18:DA18,"三軒茶屋－夜勤")+COUNTIF('10月'!DE18:DF18,"三軒茶屋－夜勤")+COUNTIF('10月'!DJ18:DK18,"三軒茶屋－夜勤")+COUNTIF('10月'!DO18:DP18,"三軒茶屋－夜勤")+COUNTIF('10月'!DT18:DU18,"三軒茶屋－夜勤")+COUNTIF('10月'!DY18:DZ18,"三軒茶屋－夜勤")+COUNTIF('10月'!ED18:EE18,"三軒茶屋－夜勤")+COUNTIF('10月'!EI18:EJ18,"三軒茶屋－夜勤")+COUNTIF('10月'!EN18:EO18,"三軒茶屋－夜勤")+COUNTIF('10月'!ES18:ET18,"三軒茶屋－夜勤")</f>
        <v>0</v>
      </c>
      <c r="O353" s="76">
        <f t="shared" si="114"/>
        <v>0</v>
      </c>
      <c r="P353" s="76">
        <f>COUNTIF('10月'!D18:E18,P$337)+COUNTIF('10月'!I18:J18,P$337)+COUNTIF('10月'!N18:O18,P$337)+COUNTIF('10月'!S18:T18,P$337)+COUNTIF('10月'!X18:Y18,P$337)+COUNTIF('10月'!AC18:AD18,P$337)+COUNTIF('10月'!AH18:AI18,P$337)+COUNTIF('10月'!AM18:AN18,P$337)+COUNTIF('10月'!AR18:AS18,P$337)+COUNTIF('10月'!AW18:AX18,P$337)+COUNTIF('10月'!BB18:BC18,P$337)+COUNTIF('10月'!BG18:BH18,P$337)+COUNTIF('10月'!BL18:BM18,P$337)+COUNTIF('10月'!BQ18:BR18,P$337)+COUNTIF('10月'!BV18:BW18,P$337)+COUNTIF('10月'!CA18:CB18,P$337)+COUNTIF('10月'!CF18:CG18,P$337)+COUNTIF('10月'!CK18:CL18,P$337)+COUNTIF('10月'!CP18:CQ18,P$337)+COUNTIF('10月'!CU18:CV18,P$337)+COUNTIF('10月'!CZ18:DA18,P$337)+COUNTIF('10月'!DE18:DF18,P$337)+COUNTIF('10月'!DJ18:DK18,P$337)+COUNTIF('10月'!DO18:DP18,P$337)+COUNTIF('10月'!DT18:DU18,P$337)+COUNTIF('10月'!DY18:DZ18,P$337)+COUNTIF('10月'!ED18:EE18,P$337)+COUNTIF('10月'!EI18:EJ18,P$337)+COUNTIF('10月'!EN18:EO18,P$337)+COUNTIF('10月'!ES18:ET18,P$337)+COUNTIF('10月'!D18:E18,"荻窪ー夜勤")+COUNTIF('10月'!I18:J18,"荻窪ー夜勤")+COUNTIF('10月'!N18:O18,"荻窪ー夜勤")+COUNTIF('10月'!S18:T18,"荻窪ー夜勤")+COUNTIF('10月'!X18:Y18,"荻窪ー夜勤")+COUNTIF('10月'!AC18:AD18,"荻窪ー夜勤")+COUNTIF('10月'!AH18:AI18,"荻窪ー夜勤")+COUNTIF('10月'!AM18:AN18,"荻窪ー夜勤")+COUNTIF('10月'!AR18:AS18,"荻窪ー夜勤")+COUNTIF('10月'!AW18:AX18,"荻窪ー夜勤")+COUNTIF('10月'!BB18:BC18,"荻窪ー夜勤")+COUNTIF('10月'!BG18:BH18,"荻窪ー夜勤")+COUNTIF('10月'!BL18:BM18,"荻窪ー夜勤")+COUNTIF('10月'!BQ18:BR18,"荻窪ー夜勤")+COUNTIF('10月'!BV18:BW18,"荻窪ー夜勤")+COUNTIF('10月'!CA18:CB18,"荻窪ー夜勤")+COUNTIF('10月'!CF18:CG18,"荻窪ー夜勤")+COUNTIF('10月'!CK18:CL18,"荻窪ー夜勤")+COUNTIF('10月'!CP18:CQ18,"荻窪ー夜勤")+COUNTIF('10月'!CU18:CV18,"荻窪ー夜勤")+COUNTIF('10月'!CZ18:DA18,"荻窪ー夜勤")+COUNTIF('10月'!DE18:DF18,"荻窪ー夜勤")+COUNTIF('10月'!DJ18:DK18,"荻窪ー夜勤")+COUNTIF('10月'!DO18:DP18,"荻窪ー夜勤")+COUNTIF('10月'!DT18:DU18,"荻窪ー夜勤")+COUNTIF('10月'!DY18:DZ18,"荻窪ー夜勤")+COUNTIF('10月'!ED18:EE18,"荻窪ー夜勤")+COUNTIF('10月'!EI18:EJ18,"荻窪ー夜勤")+COUNTIF('10月'!EN18:EO18,"荻窪ー夜勤")+COUNTIF('10月'!ES18:ET18,"荻窪ー夜勤")</f>
        <v>0</v>
      </c>
      <c r="Q353" s="76">
        <f t="shared" si="115"/>
        <v>0</v>
      </c>
      <c r="R353" s="76">
        <f>COUNTIF('10月'!D18:E18,R$337)+COUNTIF('10月'!I18:J18,R$337)+COUNTIF('10月'!N18:O18,R$337)+COUNTIF('10月'!S18:T18,R$337)+COUNTIF('10月'!X18:Y18,R$337)+COUNTIF('10月'!AC18:AD18,R$337)+COUNTIF('10月'!AH18:AI18,R$337)+COUNTIF('10月'!AM18:AN18,R$337)+COUNTIF('10月'!AR18:AS18,R$337)+COUNTIF('10月'!AW18:AX18,R$337)+COUNTIF('10月'!BB18:BC18,R$337)+COUNTIF('10月'!BG18:BH18,R$337)+COUNTIF('10月'!BL18:BM18,R$337)+COUNTIF('10月'!BQ18:BR18,R$337)+COUNTIF('10月'!BV18:BW18,R$337)+COUNTIF('10月'!CA18:CB18,R$337)+COUNTIF('10月'!CF18:CG18,R$337)+COUNTIF('10月'!CK18:CL18,R$337)+COUNTIF('10月'!CP18:CQ18,R$337)+COUNTIF('10月'!CU18:CV18,R$337)+COUNTIF('10月'!CZ18:DA18,R$337)+COUNTIF('10月'!DE18:DF18,R$337)+COUNTIF('10月'!DJ18:DK18,R$337)+COUNTIF('10月'!DO18:DP18,R$337)+COUNTIF('10月'!DT18:DU18,R$337)+COUNTIF('10月'!DY18:DZ18,R$337)+COUNTIF('10月'!ED18:EE18,R$337)+COUNTIF('10月'!EI18:EJ18,R$337)+COUNTIF('10月'!EN18:EO18,R$337)+COUNTIF('10月'!ES18:ET18,R$337)</f>
        <v>0</v>
      </c>
      <c r="S353" s="76">
        <f t="shared" si="116"/>
        <v>0</v>
      </c>
      <c r="T353" s="76">
        <f>COUNTIF('10月'!D18:E18,T$337)+COUNTIF('10月'!I18:J18,T$337)+COUNTIF('10月'!N18:O18,T$337)+COUNTIF('10月'!S18:T18,T$337)+COUNTIF('10月'!X18:Y18,T$337)+COUNTIF('10月'!AC18:AD18,T$337)+COUNTIF('10月'!AH18:AI18,T$337)+COUNTIF('10月'!AM18:AN18,T$337)+COUNTIF('10月'!AR18:AS18,T$337)+COUNTIF('10月'!AW18:AX18,T$337)+COUNTIF('10月'!BB18:BC18,T$337)+COUNTIF('10月'!BG18:BH18,T$337)+COUNTIF('10月'!BL18:BM18,T$337)+COUNTIF('10月'!BQ18:BR18,T$337)+COUNTIF('10月'!BV18:BW18,T$337)+COUNTIF('10月'!CA18:CB18,T$337)+COUNTIF('10月'!CF18:CG18,T$337)+COUNTIF('10月'!CK18:CL18,T$337)+COUNTIF('10月'!CP18:CQ18,T$337)+COUNTIF('10月'!CU18:CV18,T$337)+COUNTIF('10月'!CZ18:DA18,T$337)+COUNTIF('10月'!DE18:DF18,T$337)+COUNTIF('10月'!DJ18:DK18,T$337)+COUNTIF('10月'!DO18:DP18,T$337)+COUNTIF('10月'!DT18:DU18,T$337)+COUNTIF('10月'!DY18:DZ18,T$337)+COUNTIF('10月'!ED18:EE18,T$337)+COUNTIF('10月'!EI18:EJ18,T$337)+COUNTIF('10月'!EN18:EO18,T$337)+COUNTIF('10月'!ES18:ET18,T$337)</f>
        <v>0</v>
      </c>
      <c r="U353" s="76">
        <f t="shared" si="117"/>
        <v>0</v>
      </c>
      <c r="V353" s="76">
        <f>COUNTIF('10月'!D18:E18,V$337)+COUNTIF('10月'!I18:J18,V$337)+COUNTIF('10月'!N18:O18,V$337)+COUNTIF('10月'!S18:T18,V$337)+COUNTIF('10月'!X18:Y18,V$337)+COUNTIF('10月'!AC18:AD18,V$337)+COUNTIF('10月'!AH18:AI18,V$337)+COUNTIF('10月'!AM18:AN18,V$337)+COUNTIF('10月'!AR18:AS18,V$337)+COUNTIF('10月'!AW18:AX18,V$337)+COUNTIF('10月'!BB18:BC18,V$337)+COUNTIF('10月'!BG18:BH18,V$337)+COUNTIF('10月'!BL18:BM18,V$337)+COUNTIF('10月'!BQ18:BR18,V$337)+COUNTIF('10月'!BV18:BW18,V$337)+COUNTIF('10月'!CA18:CB18,V$337)+COUNTIF('10月'!CF18:CG18,V$337)+COUNTIF('10月'!CK18:CL18,V$337)+COUNTIF('10月'!CP18:CQ18,V$337)+COUNTIF('10月'!CU18:CV18,V$337)+COUNTIF('10月'!CZ18:DA18,V$337)+COUNTIF('10月'!DE18:DF18,V$337)+COUNTIF('10月'!DJ18:DK18,V$337)+COUNTIF('10月'!DO18:DP18,V$337)+COUNTIF('10月'!DT18:DU18,V$337)+COUNTIF('10月'!DY18:DZ18,V$337)+COUNTIF('10月'!ED18:EE18,V$337)+COUNTIF('10月'!EI18:EJ18,V$337)+COUNTIF('10月'!EN18:EO18,V$337)+COUNTIF('10月'!ES18:ET18,V$337)</f>
        <v>0</v>
      </c>
      <c r="W353" s="76">
        <f t="shared" si="118"/>
        <v>0</v>
      </c>
      <c r="X353" s="76">
        <f>COUNTIF('10月'!D18:E18,X$337)+COUNTIF('10月'!I18:J18,X$337)+COUNTIF('10月'!N18:O18,X$337)+COUNTIF('10月'!S18:T18,X$337)+COUNTIF('10月'!X18:Y18,X$337)+COUNTIF('10月'!AC18:AD18,X$337)+COUNTIF('10月'!AH18:AI18,X$337)+COUNTIF('10月'!AM18:AN18,X$337)+COUNTIF('10月'!AR18:AS18,X$337)+COUNTIF('10月'!AW18:AX18,X$337)+COUNTIF('10月'!BB18:BC18,X$337)+COUNTIF('10月'!BG18:BH18,X$337)+COUNTIF('10月'!BL18:BM18,X$337)+COUNTIF('10月'!BQ18:BR18,X$337)+COUNTIF('10月'!BV18:BW18,X$337)+COUNTIF('10月'!CA18:CB18,X$337)+COUNTIF('10月'!CF18:CG18,X$337)+COUNTIF('10月'!CK18:CL18,X$337)+COUNTIF('10月'!CP18:CQ18,X$337)+COUNTIF('10月'!CU18:CV18,X$337)+COUNTIF('10月'!CZ18:DA18,X$337)+COUNTIF('10月'!DE18:DF18,X$337)+COUNTIF('10月'!DJ18:DK18,X$337)+COUNTIF('10月'!DO18:DP18,X$337)+COUNTIF('10月'!DT18:DU18,X$337)+COUNTIF('10月'!DY18:DZ18,X$337)+COUNTIF('10月'!ED18:EE18,X$337)+COUNTIF('10月'!EI18:EJ18,X$337)+COUNTIF('10月'!EN18:EO18,X$337)+COUNTIF('10月'!ES18:ET18,X$337)</f>
        <v>0</v>
      </c>
      <c r="Y353" s="76">
        <f t="shared" si="119"/>
        <v>0</v>
      </c>
    </row>
    <row r="354" spans="1:25" ht="18" customHeight="1">
      <c r="A354" s="76">
        <v>16</v>
      </c>
      <c r="B354" s="76">
        <f>COUNTIF('10月'!D19:E19,B$337)+COUNTIF('10月'!I19:J19,B$337)+COUNTIF('10月'!N19:O19,B$337)+COUNTIF('10月'!S19:T19,B$337)+COUNTIF('10月'!X19:Y19,B$337)+COUNTIF('10月'!AC19:AD19,B$337)+COUNTIF('10月'!AH19:AI19,B$337)+COUNTIF('10月'!AM19:AN19,B$337)+COUNTIF('10月'!AR19:AS19,B$337)+COUNTIF('10月'!AW19:AX19,B$337)+COUNTIF('10月'!BB19:BC19,B$337)+COUNTIF('10月'!BG19:BH19,B$337)+COUNTIF('10月'!BL19:BM19,B$337)+COUNTIF('10月'!BQ19:BR19,B$337)+COUNTIF('10月'!BV19:BW19,B$337)+COUNTIF('10月'!CA19:CB19,B$337)+COUNTIF('10月'!CF19:CG19,B$337)+COUNTIF('10月'!CK19:CL19,B$337)+COUNTIF('10月'!CP19:CQ19,B$337)+COUNTIF('10月'!CU19:CV19,B$337)+COUNTIF('10月'!CZ19:DA19,B$337)+COUNTIF('10月'!DE19:DF19,B$337)+COUNTIF('10月'!DJ19:DK19,B$337)+COUNTIF('10月'!DO19:DP19,B$337)+COUNTIF('10月'!DT19:DU19,B$337)+COUNTIF('10月'!DY19:DZ19,B$337)+COUNTIF('10月'!ED19:EE19,B$337)+COUNTIF('10月'!EI19:EJ19,B$337)+COUNTIF('10月'!EN19:EO19,B$337)+COUNTIF('10月'!ES19:ET19,B$337)</f>
        <v>0</v>
      </c>
      <c r="C354" s="76">
        <f t="shared" si="108"/>
        <v>0</v>
      </c>
      <c r="D354" s="76">
        <f>COUNTIF('10月'!D19:E19,D$337)+COUNTIF('10月'!I19:J19,D$337)+COUNTIF('10月'!N19:O19,D$337)+COUNTIF('10月'!S19:T19,D$337)+COUNTIF('10月'!X19:Y19,D$337)+COUNTIF('10月'!AC19:AD19,D$337)+COUNTIF('10月'!AH19:AI19,D$337)+COUNTIF('10月'!AM19:AN19,D$337)+COUNTIF('10月'!AR19:AS19,D$337)+COUNTIF('10月'!AW19:AX19,D$337)+COUNTIF('10月'!BB19:BC19,D$337)+COUNTIF('10月'!BG19:BH19,D$337)+COUNTIF('10月'!BL19:BM19,D$337)+COUNTIF('10月'!BQ19:BR19,D$337)+COUNTIF('10月'!BV19:BW19,D$337)+COUNTIF('10月'!CA19:CB19,D$337)+COUNTIF('10月'!CF19:CG19,D$337)+COUNTIF('10月'!CK19:CL19,D$337)+COUNTIF('10月'!CP19:CQ19,D$337)+COUNTIF('10月'!CU19:CV19,D$337)+COUNTIF('10月'!CZ19:DA19,D$337)+COUNTIF('10月'!DE19:DF19,D$337)+COUNTIF('10月'!DJ19:DK19,D$337)+COUNTIF('10月'!DO19:DP19,D$337)+COUNTIF('10月'!DT19:DU19,D$337)+COUNTIF('10月'!DY19:DZ19,D$337)+COUNTIF('10月'!ED19:EE19,D$337)+COUNTIF('10月'!EI19:EJ19,D$337)+COUNTIF('10月'!EN19:EO19,D$337)+COUNTIF('10月'!ES19:ET19,D$337)</f>
        <v>0</v>
      </c>
      <c r="E354" s="76">
        <f t="shared" si="109"/>
        <v>0</v>
      </c>
      <c r="F354" s="76">
        <f>COUNTIF('10月'!D19:E19,F$337)+COUNTIF('10月'!I19:J19,F$337)+COUNTIF('10月'!N19:O19,F$337)+COUNTIF('10月'!S19:T19,F$337)+COUNTIF('10月'!X19:Y19,F$337)+COUNTIF('10月'!AC19:AD19,F$337)+COUNTIF('10月'!AH19:AI19,F$337)+COUNTIF('10月'!AM19:AN19,F$337)+COUNTIF('10月'!AR19:AS19,F$337)+COUNTIF('10月'!AW19:AX19,F$337)+COUNTIF('10月'!BB19:BC19,F$337)+COUNTIF('10月'!BG19:BH19,F$337)+COUNTIF('10月'!BL19:BM19,F$337)+COUNTIF('10月'!BQ19:BR19,F$337)+COUNTIF('10月'!BV19:BW19,F$337)+COUNTIF('10月'!CA19:CB19,F$337)+COUNTIF('10月'!CF19:CG19,F$337)+COUNTIF('10月'!CK19:CL19,F$337)+COUNTIF('10月'!CP19:CQ19,F$337)+COUNTIF('10月'!CU19:CV19,F$337)+COUNTIF('10月'!CZ19:DA19,F$337)+COUNTIF('10月'!DE19:DF19,F$337)+COUNTIF('10月'!DJ19:DK19,F$337)+COUNTIF('10月'!DO19:DP19,F$337)+COUNTIF('10月'!DT19:DU19,F$337)+COUNTIF('10月'!DY19:DZ19,F$337)+COUNTIF('10月'!ED19:EE19,F$337)+COUNTIF('10月'!EI19:EJ19,F$337)+COUNTIF('10月'!EN19:EO19,F$337)+COUNTIF('10月'!ES19:ET19,F$337)</f>
        <v>0</v>
      </c>
      <c r="G354" s="76">
        <f t="shared" si="110"/>
        <v>0</v>
      </c>
      <c r="H354" s="76">
        <f>COUNTIF('10月'!D19:E19,H$337)+COUNTIF('10月'!I19:J19,H$337)+COUNTIF('10月'!N19:O19,H$337)+COUNTIF('10月'!S19:T19,H$337)+COUNTIF('10月'!X19:Y19,H$337)+COUNTIF('10月'!AC19:AD19,H$337)+COUNTIF('10月'!AH19:AI19,H$337)+COUNTIF('10月'!AM19:AN19,H$337)+COUNTIF('10月'!AR19:AS19,H$337)+COUNTIF('10月'!AW19:AX19,H$337)+COUNTIF('10月'!BB19:BC19,H$337)+COUNTIF('10月'!BG19:BH19,H$337)+COUNTIF('10月'!BL19:BM19,H$337)+COUNTIF('10月'!BQ19:BR19,H$337)+COUNTIF('10月'!BV19:BW19,H$337)+COUNTIF('10月'!CA19:CB19,H$337)+COUNTIF('10月'!CF19:CG19,H$337)+COUNTIF('10月'!CK19:CL19,H$337)+COUNTIF('10月'!CP19:CQ19,H$337)+COUNTIF('10月'!CU19:CV19,H$337)+COUNTIF('10月'!CZ19:DA19,H$337)+COUNTIF('10月'!DE19:DF19,H$337)+COUNTIF('10月'!DJ19:DK19,H$337)+COUNTIF('10月'!DO19:DP19,H$337)+COUNTIF('10月'!DT19:DU19,H$337)+COUNTIF('10月'!DY19:DZ19,H$337)+COUNTIF('10月'!ED19:EE19,H$337)+COUNTIF('10月'!EI19:EJ19,H$337)+COUNTIF('10月'!EN19:EO19,H$337)+COUNTIF('10月'!ES19:ET19,H$337)+COUNTIF('10月'!D19:E19,"渋谷-夜勤")+COUNTIF('10月'!I19:J19,"渋谷-夜勤")+COUNTIF('10月'!N19:O19,"渋谷-夜勤")+COUNTIF('10月'!S19:T19,"渋谷-夜勤")+COUNTIF('10月'!X19:Y19,"渋谷-夜勤")+COUNTIF('10月'!AC19:AD19,"渋谷-夜勤")+COUNTIF('10月'!AH19:AI19,"渋谷-夜勤")+COUNTIF('10月'!AM19:AN19,"渋谷-夜勤")+COUNTIF('10月'!AR19:AS19,"渋谷-夜勤")+COUNTIF('10月'!AW19:AX19,"渋谷-夜勤")+COUNTIF('10月'!BB19:BC19,"渋谷-夜勤")+COUNTIF('10月'!BG19:BH19,"渋谷-夜勤")+COUNTIF('10月'!BL19:BM19,"渋谷-夜勤")+COUNTIF('10月'!BQ19:BR19,"渋谷-夜勤")+COUNTIF('10月'!BV19:BW19,"渋谷-夜勤")+COUNTIF('10月'!CA19:CB19,"渋谷-夜勤")+COUNTIF('10月'!CF19:CG19,"渋谷-夜勤")+COUNTIF('10月'!CK19:CL19,"渋谷-夜勤")+COUNTIF('10月'!CP19:CQ19,"渋谷-夜勤")+COUNTIF('10月'!CU19:CV19,"渋谷-夜勤")+COUNTIF('10月'!CZ19:DA19,"渋谷-夜勤")+COUNTIF('10月'!DE19:DF19,"渋谷-夜勤")+COUNTIF('10月'!DJ19:DK19,"渋谷-夜勤")+COUNTIF('10月'!DO19:DP19,"渋谷-夜勤")+COUNTIF('10月'!DT19:DU19,"渋谷-夜勤")+COUNTIF('10月'!DY19:DZ19,"渋谷-夜勤")+COUNTIF('10月'!ED19:EE19,"渋谷-夜勤")+COUNTIF('10月'!EI19:EJ19,"渋谷-夜勤")+COUNTIF('10月'!EN19:EO19,"渋谷-夜勤")+COUNTIF('10月'!ES19:ET19,"渋谷-夜勤")</f>
        <v>0</v>
      </c>
      <c r="I354" s="76">
        <f t="shared" si="111"/>
        <v>0</v>
      </c>
      <c r="J354" s="76">
        <f>COUNTIF('10月'!D19:E19,J$337)+COUNTIF('10月'!I19:J19,J$337)+COUNTIF('10月'!N19:O19,J$337)+COUNTIF('10月'!S19:T19,J$337)+COUNTIF('10月'!X19:Y19,J$337)+COUNTIF('10月'!AC19:AD19,J$337)+COUNTIF('10月'!AH19:AI19,J$337)+COUNTIF('10月'!AM19:AN19,J$337)+COUNTIF('10月'!AR19:AS19,J$337)+COUNTIF('10月'!AW19:AX19,J$337)+COUNTIF('10月'!BB19:BC19,J$337)+COUNTIF('10月'!BG19:BH19,J$337)+COUNTIF('10月'!BL19:BM19,J$337)+COUNTIF('10月'!BQ19:BR19,J$337)+COUNTIF('10月'!BV19:BW19,J$337)+COUNTIF('10月'!CA19:CB19,J$337)+COUNTIF('10月'!CF19:CG19,J$337)+COUNTIF('10月'!CK19:CL19,J$337)+COUNTIF('10月'!CP19:CQ19,J$337)+COUNTIF('10月'!CU19:CV19,J$337)+COUNTIF('10月'!CZ19:DA19,J$337)+COUNTIF('10月'!DE19:DF19,J$337)+COUNTIF('10月'!DJ19:DK19,J$337)+COUNTIF('10月'!DO19:DP19,J$337)+COUNTIF('10月'!DT19:DU19,J$337)+COUNTIF('10月'!DY19:DZ19,J$337)+COUNTIF('10月'!ED19:EE19,J$337)+COUNTIF('10月'!EI19:EJ19,J$337)+COUNTIF('10月'!EN19:EO19,J$337)+COUNTIF('10月'!ES19:ET19,J$337)+COUNTIF('10月'!D19:E19,"六本木-夜勤")+COUNTIF('10月'!I19:J19,"六本木-夜勤")+COUNTIF('10月'!N19:O19,"六本木-夜勤")+COUNTIF('10月'!S19:T19,"六本木-夜勤")+COUNTIF('10月'!X19:Y19,"六本木-夜勤")+COUNTIF('10月'!AC19:AD19,"六本木-夜勤")+COUNTIF('10月'!AH19:AI19,"六本木-夜勤")+COUNTIF('10月'!AM19:AN19,"六本木-夜勤")+COUNTIF('10月'!AR19:AS19,"六本木-夜勤")+COUNTIF('10月'!AW19:AX19,"六本木-夜勤")+COUNTIF('10月'!BB19:BC19,"六本木-夜勤")+COUNTIF('10月'!BG19:BH19,"六本木-夜勤")+COUNTIF('10月'!BL19:BM19,"六本木-夜勤")+COUNTIF('10月'!BQ19:BR19,"六本木-夜勤")+COUNTIF('10月'!BV19:BW19,"六本木-夜勤")+COUNTIF('10月'!CA19:CB19,"六本木-夜勤")+COUNTIF('10月'!CF19:CG19,"六本木-夜勤")+COUNTIF('10月'!CK19:CL19,"六本木-夜勤")+COUNTIF('10月'!CP19:CQ19,"六本木-夜勤")+COUNTIF('10月'!CU19:CV19,"六本木-夜勤")+COUNTIF('10月'!CZ19:DA19,"六本木-夜勤")+COUNTIF('10月'!DE19:DF19,"六本木-夜勤")+COUNTIF('10月'!DJ19:DK19,"六本木-夜勤")+COUNTIF('10月'!DO19:DP19,"六本木-夜勤")+COUNTIF('10月'!DT19:DU19,"六本木-夜勤")+COUNTIF('10月'!DY19:DZ19,"六本木-夜勤")+COUNTIF('10月'!ED19:EE19,"六本木-夜勤")+COUNTIF('10月'!EI19:EJ19,"六本木-夜勤")+COUNTIF('10月'!EN19:EO19,"六本木-夜勤")+COUNTIF('10月'!ES19:ET19,"六本木-夜勤")+COUNTIF('10月'!D19:E19,"六本木ー夜勤")+COUNTIF('10月'!I19:J19,"六本木ー夜勤")+COUNTIF('10月'!N19:O19,"六本木ー夜勤")+COUNTIF('10月'!S19:T19,"六本木ー夜勤")+COUNTIF('10月'!X19:Y19,"六本木ー夜勤")+COUNTIF('10月'!AC19:AD19,"六本木ー夜勤")+COUNTIF('10月'!AH19:AI19,"六本木ー夜勤")+COUNTIF('10月'!AM19:AN19,"六本木ー夜勤")+COUNTIF('10月'!AR19:AS19,"六本木ー夜勤")+COUNTIF('10月'!AW19:AX19,"六本木ー夜勤")+COUNTIF('10月'!BB19:BC19,"六本木ー夜勤")+COUNTIF('10月'!BG19:BH19,"六本木ー夜勤")+COUNTIF('10月'!BL19:BM19,"六本木ー夜勤")+COUNTIF('10月'!BQ19:BR19,"六本木ー夜勤")+COUNTIF('10月'!BV19:BW19,"六本木ー夜勤")+COUNTIF('10月'!CA19:CB19,"六本木ー夜勤")+COUNTIF('10月'!CF19:CG19,"六本木ー夜勤")+COUNTIF('10月'!CK19:CL19,"六本木ー夜勤")+COUNTIF('10月'!CP19:CQ19,"六本木ー夜勤")+COUNTIF('10月'!CU19:CV19,"六本木ー夜勤")+COUNTIF('10月'!CZ19:DA19,"六本木ー夜勤")+COUNTIF('10月'!DE19:DF19,"六本木ー夜勤")+COUNTIF('10月'!DJ19:DK19,"六本木ー夜勤")+COUNTIF('10月'!DO19:DP19,"六本木ー夜勤")+COUNTIF('10月'!DT19:DU19,"六本木ー夜勤")+COUNTIF('10月'!DY19:DZ19,"六本木ー夜勤")+COUNTIF('10月'!ED19:EE19,"六本木ー夜勤")+COUNTIF('10月'!EI19:EJ19,"六本木ー夜勤")+COUNTIF('10月'!EN19:EO19,"六本木ー夜勤")+COUNTIF('10月'!ES19:ET19,"六本木ー夜勤")</f>
        <v>0</v>
      </c>
      <c r="K354" s="76">
        <f t="shared" si="112"/>
        <v>0</v>
      </c>
      <c r="L354" s="76">
        <f>COUNTIF('10月'!D19:E19,L$337)+COUNTIF('10月'!I19:J19,L$337)+COUNTIF('10月'!N19:O19,L$337)+COUNTIF('10月'!S19:T19,L$337)+COUNTIF('10月'!X19:Y19,L$337)+COUNTIF('10月'!AC19:AD19,L$337)+COUNTIF('10月'!AH19:AI19,L$337)+COUNTIF('10月'!AM19:AN19,L$337)+COUNTIF('10月'!AR19:AS19,L$337)+COUNTIF('10月'!AW19:AX19,L$337)+COUNTIF('10月'!BB19:BC19,L$337)+COUNTIF('10月'!BG19:BH19,L$337)+COUNTIF('10月'!BL19:BM19,L$337)+COUNTIF('10月'!BQ19:BR19,L$337)+COUNTIF('10月'!BV19:BW19,L$337)+COUNTIF('10月'!CA19:CB19,L$337)+COUNTIF('10月'!CF19:CG19,L$337)+COUNTIF('10月'!CK19:CL19,L$337)+COUNTIF('10月'!CP19:CQ19,L$337)+COUNTIF('10月'!CU19:CV19,L$337)+COUNTIF('10月'!CZ19:DA19,L$337)+COUNTIF('10月'!DE19:DF19,L$337)+COUNTIF('10月'!DJ19:DK19,L$337)+COUNTIF('10月'!DO19:DP19,L$337)+COUNTIF('10月'!DT19:DU19,L$337)+COUNTIF('10月'!DY19:DZ19,L$337)+COUNTIF('10月'!ED19:EE19,L$337)+COUNTIF('10月'!EI19:EJ19,L$337)+COUNTIF('10月'!EN19:EO19,L$337)+COUNTIF('10月'!ES19:ET19,L$337)</f>
        <v>0</v>
      </c>
      <c r="M354" s="76">
        <f t="shared" si="113"/>
        <v>0</v>
      </c>
      <c r="N354" s="76">
        <f>COUNTIF('10月'!D19:E19,N$337)+COUNTIF('10月'!I19:J19,N$337)+COUNTIF('10月'!N19:O19,N$337)+COUNTIF('10月'!S19:T19,N$337)+COUNTIF('10月'!X19:Y19,N$337)+COUNTIF('10月'!AC19:AD19,N$337)+COUNTIF('10月'!AH19:AI19,N$337)+COUNTIF('10月'!AM19:AN19,N$337)+COUNTIF('10月'!AR19:AS19,N$337)+COUNTIF('10月'!AW19:AX19,N$337)+COUNTIF('10月'!BB19:BC19,N$337)+COUNTIF('10月'!BG19:BH19,N$337)+COUNTIF('10月'!BL19:BM19,N$337)+COUNTIF('10月'!BQ19:BR19,N$337)+COUNTIF('10月'!BV19:BW19,N$337)+COUNTIF('10月'!CA19:CB19,N$337)+COUNTIF('10月'!CF19:CG19,N$337)+COUNTIF('10月'!CK19:CL19,N$337)+COUNTIF('10月'!CP19:CQ19,N$337)+COUNTIF('10月'!CU19:CV19,N$337)+COUNTIF('10月'!CZ19:DA19,N$337)+COUNTIF('10月'!DE19:DF19,N$337)+COUNTIF('10月'!DJ19:DK19,N$337)+COUNTIF('10月'!DO19:DP19,N$337)+COUNTIF('10月'!DT19:DU19,N$337)+COUNTIF('10月'!DY19:DZ19,N$337)+COUNTIF('10月'!ED19:EE19,N$337)+COUNTIF('10月'!EI19:EJ19,N$337)+COUNTIF('10月'!EN19:EO19,N$337)+COUNTIF('10月'!ES19:ET19,N$337)+COUNTIF('10月'!D19:E19,"三軒茶屋－夜勤")+COUNTIF('10月'!I19:J19,"三軒茶屋－夜勤")+COUNTIF('10月'!N19:O19,"三軒茶屋－夜勤")+COUNTIF('10月'!S19:T19,"三軒茶屋－夜勤")+COUNTIF('10月'!X19:Y19,"三軒茶屋－夜勤")+COUNTIF('10月'!AC19:AD19,"三軒茶屋－夜勤")+COUNTIF('10月'!AH19:AI19,"三軒茶屋－夜勤")+COUNTIF('10月'!AM19:AN19,"三軒茶屋－夜勤")+COUNTIF('10月'!AR19:AS19,"三軒茶屋－夜勤")+COUNTIF('10月'!AW19:AX19,"三軒茶屋－夜勤")+COUNTIF('10月'!BB19:BC19,"三軒茶屋－夜勤")+COUNTIF('10月'!BG19:BH19,"三軒茶屋－夜勤")+COUNTIF('10月'!BL19:BM19,"三軒茶屋－夜勤")+COUNTIF('10月'!BQ19:BR19,"三軒茶屋－夜勤")+COUNTIF('10月'!BV19:BW19,"三軒茶屋－夜勤")+COUNTIF('10月'!CA19:CB19,"三軒茶屋－夜勤")+COUNTIF('10月'!CF19:CG19,"三軒茶屋－夜勤")+COUNTIF('10月'!CK19:CL19,"三軒茶屋－夜勤")+COUNTIF('10月'!CP19:CQ19,"三軒茶屋－夜勤")+COUNTIF('10月'!CU19:CV19,"三軒茶屋－夜勤")+COUNTIF('10月'!CZ19:DA19,"三軒茶屋－夜勤")+COUNTIF('10月'!DE19:DF19,"三軒茶屋－夜勤")+COUNTIF('10月'!DJ19:DK19,"三軒茶屋－夜勤")+COUNTIF('10月'!DO19:DP19,"三軒茶屋－夜勤")+COUNTIF('10月'!DT19:DU19,"三軒茶屋－夜勤")+COUNTIF('10月'!DY19:DZ19,"三軒茶屋－夜勤")+COUNTIF('10月'!ED19:EE19,"三軒茶屋－夜勤")+COUNTIF('10月'!EI19:EJ19,"三軒茶屋－夜勤")+COUNTIF('10月'!EN19:EO19,"三軒茶屋－夜勤")+COUNTIF('10月'!ES19:ET19,"三軒茶屋－夜勤")</f>
        <v>0</v>
      </c>
      <c r="O354" s="76">
        <f t="shared" si="114"/>
        <v>0</v>
      </c>
      <c r="P354" s="76">
        <f>COUNTIF('10月'!D19:E19,P$337)+COUNTIF('10月'!I19:J19,P$337)+COUNTIF('10月'!N19:O19,P$337)+COUNTIF('10月'!S19:T19,P$337)+COUNTIF('10月'!X19:Y19,P$337)+COUNTIF('10月'!AC19:AD19,P$337)+COUNTIF('10月'!AH19:AI19,P$337)+COUNTIF('10月'!AM19:AN19,P$337)+COUNTIF('10月'!AR19:AS19,P$337)+COUNTIF('10月'!AW19:AX19,P$337)+COUNTIF('10月'!BB19:BC19,P$337)+COUNTIF('10月'!BG19:BH19,P$337)+COUNTIF('10月'!BL19:BM19,P$337)+COUNTIF('10月'!BQ19:BR19,P$337)+COUNTIF('10月'!BV19:BW19,P$337)+COUNTIF('10月'!CA19:CB19,P$337)+COUNTIF('10月'!CF19:CG19,P$337)+COUNTIF('10月'!CK19:CL19,P$337)+COUNTIF('10月'!CP19:CQ19,P$337)+COUNTIF('10月'!CU19:CV19,P$337)+COUNTIF('10月'!CZ19:DA19,P$337)+COUNTIF('10月'!DE19:DF19,P$337)+COUNTIF('10月'!DJ19:DK19,P$337)+COUNTIF('10月'!DO19:DP19,P$337)+COUNTIF('10月'!DT19:DU19,P$337)+COUNTIF('10月'!DY19:DZ19,P$337)+COUNTIF('10月'!ED19:EE19,P$337)+COUNTIF('10月'!EI19:EJ19,P$337)+COUNTIF('10月'!EN19:EO19,P$337)+COUNTIF('10月'!ES19:ET19,P$337)+COUNTIF('10月'!D19:E19,"荻窪ー夜勤")+COUNTIF('10月'!I19:J19,"荻窪ー夜勤")+COUNTIF('10月'!N19:O19,"荻窪ー夜勤")+COUNTIF('10月'!S19:T19,"荻窪ー夜勤")+COUNTIF('10月'!X19:Y19,"荻窪ー夜勤")+COUNTIF('10月'!AC19:AD19,"荻窪ー夜勤")+COUNTIF('10月'!AH19:AI19,"荻窪ー夜勤")+COUNTIF('10月'!AM19:AN19,"荻窪ー夜勤")+COUNTIF('10月'!AR19:AS19,"荻窪ー夜勤")+COUNTIF('10月'!AW19:AX19,"荻窪ー夜勤")+COUNTIF('10月'!BB19:BC19,"荻窪ー夜勤")+COUNTIF('10月'!BG19:BH19,"荻窪ー夜勤")+COUNTIF('10月'!BL19:BM19,"荻窪ー夜勤")+COUNTIF('10月'!BQ19:BR19,"荻窪ー夜勤")+COUNTIF('10月'!BV19:BW19,"荻窪ー夜勤")+COUNTIF('10月'!CA19:CB19,"荻窪ー夜勤")+COUNTIF('10月'!CF19:CG19,"荻窪ー夜勤")+COUNTIF('10月'!CK19:CL19,"荻窪ー夜勤")+COUNTIF('10月'!CP19:CQ19,"荻窪ー夜勤")+COUNTIF('10月'!CU19:CV19,"荻窪ー夜勤")+COUNTIF('10月'!CZ19:DA19,"荻窪ー夜勤")+COUNTIF('10月'!DE19:DF19,"荻窪ー夜勤")+COUNTIF('10月'!DJ19:DK19,"荻窪ー夜勤")+COUNTIF('10月'!DO19:DP19,"荻窪ー夜勤")+COUNTIF('10月'!DT19:DU19,"荻窪ー夜勤")+COUNTIF('10月'!DY19:DZ19,"荻窪ー夜勤")+COUNTIF('10月'!ED19:EE19,"荻窪ー夜勤")+COUNTIF('10月'!EI19:EJ19,"荻窪ー夜勤")+COUNTIF('10月'!EN19:EO19,"荻窪ー夜勤")+COUNTIF('10月'!ES19:ET19,"荻窪ー夜勤")</f>
        <v>0</v>
      </c>
      <c r="Q354" s="76">
        <f t="shared" si="115"/>
        <v>0</v>
      </c>
      <c r="R354" s="76">
        <f>COUNTIF('10月'!D19:E19,R$337)+COUNTIF('10月'!I19:J19,R$337)+COUNTIF('10月'!N19:O19,R$337)+COUNTIF('10月'!S19:T19,R$337)+COUNTIF('10月'!X19:Y19,R$337)+COUNTIF('10月'!AC19:AD19,R$337)+COUNTIF('10月'!AH19:AI19,R$337)+COUNTIF('10月'!AM19:AN19,R$337)+COUNTIF('10月'!AR19:AS19,R$337)+COUNTIF('10月'!AW19:AX19,R$337)+COUNTIF('10月'!BB19:BC19,R$337)+COUNTIF('10月'!BG19:BH19,R$337)+COUNTIF('10月'!BL19:BM19,R$337)+COUNTIF('10月'!BQ19:BR19,R$337)+COUNTIF('10月'!BV19:BW19,R$337)+COUNTIF('10月'!CA19:CB19,R$337)+COUNTIF('10月'!CF19:CG19,R$337)+COUNTIF('10月'!CK19:CL19,R$337)+COUNTIF('10月'!CP19:CQ19,R$337)+COUNTIF('10月'!CU19:CV19,R$337)+COUNTIF('10月'!CZ19:DA19,R$337)+COUNTIF('10月'!DE19:DF19,R$337)+COUNTIF('10月'!DJ19:DK19,R$337)+COUNTIF('10月'!DO19:DP19,R$337)+COUNTIF('10月'!DT19:DU19,R$337)+COUNTIF('10月'!DY19:DZ19,R$337)+COUNTIF('10月'!ED19:EE19,R$337)+COUNTIF('10月'!EI19:EJ19,R$337)+COUNTIF('10月'!EN19:EO19,R$337)+COUNTIF('10月'!ES19:ET19,R$337)</f>
        <v>0</v>
      </c>
      <c r="S354" s="76">
        <f t="shared" si="116"/>
        <v>0</v>
      </c>
      <c r="T354" s="76">
        <f>COUNTIF('10月'!D19:E19,T$337)+COUNTIF('10月'!I19:J19,T$337)+COUNTIF('10月'!N19:O19,T$337)+COUNTIF('10月'!S19:T19,T$337)+COUNTIF('10月'!X19:Y19,T$337)+COUNTIF('10月'!AC19:AD19,T$337)+COUNTIF('10月'!AH19:AI19,T$337)+COUNTIF('10月'!AM19:AN19,T$337)+COUNTIF('10月'!AR19:AS19,T$337)+COUNTIF('10月'!AW19:AX19,T$337)+COUNTIF('10月'!BB19:BC19,T$337)+COUNTIF('10月'!BG19:BH19,T$337)+COUNTIF('10月'!BL19:BM19,T$337)+COUNTIF('10月'!BQ19:BR19,T$337)+COUNTIF('10月'!BV19:BW19,T$337)+COUNTIF('10月'!CA19:CB19,T$337)+COUNTIF('10月'!CF19:CG19,T$337)+COUNTIF('10月'!CK19:CL19,T$337)+COUNTIF('10月'!CP19:CQ19,T$337)+COUNTIF('10月'!CU19:CV19,T$337)+COUNTIF('10月'!CZ19:DA19,T$337)+COUNTIF('10月'!DE19:DF19,T$337)+COUNTIF('10月'!DJ19:DK19,T$337)+COUNTIF('10月'!DO19:DP19,T$337)+COUNTIF('10月'!DT19:DU19,T$337)+COUNTIF('10月'!DY19:DZ19,T$337)+COUNTIF('10月'!ED19:EE19,T$337)+COUNTIF('10月'!EI19:EJ19,T$337)+COUNTIF('10月'!EN19:EO19,T$337)+COUNTIF('10月'!ES19:ET19,T$337)</f>
        <v>0</v>
      </c>
      <c r="U354" s="76">
        <f t="shared" si="117"/>
        <v>0</v>
      </c>
      <c r="V354" s="76">
        <f>COUNTIF('10月'!D19:E19,V$337)+COUNTIF('10月'!I19:J19,V$337)+COUNTIF('10月'!N19:O19,V$337)+COUNTIF('10月'!S19:T19,V$337)+COUNTIF('10月'!X19:Y19,V$337)+COUNTIF('10月'!AC19:AD19,V$337)+COUNTIF('10月'!AH19:AI19,V$337)+COUNTIF('10月'!AM19:AN19,V$337)+COUNTIF('10月'!AR19:AS19,V$337)+COUNTIF('10月'!AW19:AX19,V$337)+COUNTIF('10月'!BB19:BC19,V$337)+COUNTIF('10月'!BG19:BH19,V$337)+COUNTIF('10月'!BL19:BM19,V$337)+COUNTIF('10月'!BQ19:BR19,V$337)+COUNTIF('10月'!BV19:BW19,V$337)+COUNTIF('10月'!CA19:CB19,V$337)+COUNTIF('10月'!CF19:CG19,V$337)+COUNTIF('10月'!CK19:CL19,V$337)+COUNTIF('10月'!CP19:CQ19,V$337)+COUNTIF('10月'!CU19:CV19,V$337)+COUNTIF('10月'!CZ19:DA19,V$337)+COUNTIF('10月'!DE19:DF19,V$337)+COUNTIF('10月'!DJ19:DK19,V$337)+COUNTIF('10月'!DO19:DP19,V$337)+COUNTIF('10月'!DT19:DU19,V$337)+COUNTIF('10月'!DY19:DZ19,V$337)+COUNTIF('10月'!ED19:EE19,V$337)+COUNTIF('10月'!EI19:EJ19,V$337)+COUNTIF('10月'!EN19:EO19,V$337)+COUNTIF('10月'!ES19:ET19,V$337)</f>
        <v>0</v>
      </c>
      <c r="W354" s="76">
        <f t="shared" si="118"/>
        <v>0</v>
      </c>
      <c r="X354" s="76">
        <f>COUNTIF('10月'!D19:E19,X$337)+COUNTIF('10月'!I19:J19,X$337)+COUNTIF('10月'!N19:O19,X$337)+COUNTIF('10月'!S19:T19,X$337)+COUNTIF('10月'!X19:Y19,X$337)+COUNTIF('10月'!AC19:AD19,X$337)+COUNTIF('10月'!AH19:AI19,X$337)+COUNTIF('10月'!AM19:AN19,X$337)+COUNTIF('10月'!AR19:AS19,X$337)+COUNTIF('10月'!AW19:AX19,X$337)+COUNTIF('10月'!BB19:BC19,X$337)+COUNTIF('10月'!BG19:BH19,X$337)+COUNTIF('10月'!BL19:BM19,X$337)+COUNTIF('10月'!BQ19:BR19,X$337)+COUNTIF('10月'!BV19:BW19,X$337)+COUNTIF('10月'!CA19:CB19,X$337)+COUNTIF('10月'!CF19:CG19,X$337)+COUNTIF('10月'!CK19:CL19,X$337)+COUNTIF('10月'!CP19:CQ19,X$337)+COUNTIF('10月'!CU19:CV19,X$337)+COUNTIF('10月'!CZ19:DA19,X$337)+COUNTIF('10月'!DE19:DF19,X$337)+COUNTIF('10月'!DJ19:DK19,X$337)+COUNTIF('10月'!DO19:DP19,X$337)+COUNTIF('10月'!DT19:DU19,X$337)+COUNTIF('10月'!DY19:DZ19,X$337)+COUNTIF('10月'!ED19:EE19,X$337)+COUNTIF('10月'!EI19:EJ19,X$337)+COUNTIF('10月'!EN19:EO19,X$337)+COUNTIF('10月'!ES19:ET19,X$337)</f>
        <v>0</v>
      </c>
      <c r="Y354" s="76">
        <f t="shared" si="119"/>
        <v>0</v>
      </c>
    </row>
    <row r="355" spans="1:25" ht="18" customHeight="1">
      <c r="A355" s="76">
        <v>17</v>
      </c>
      <c r="B355" s="76">
        <f>COUNTIF('10月'!D20:E20,B$337)+COUNTIF('10月'!I20:J20,B$337)+COUNTIF('10月'!N20:O20,B$337)+COUNTIF('10月'!S20:T20,B$337)+COUNTIF('10月'!X20:Y20,B$337)+COUNTIF('10月'!AC20:AD20,B$337)+COUNTIF('10月'!AH20:AI20,B$337)+COUNTIF('10月'!AM20:AN20,B$337)+COUNTIF('10月'!AR20:AS20,B$337)+COUNTIF('10月'!AW20:AX20,B$337)+COUNTIF('10月'!BB20:BC20,B$337)+COUNTIF('10月'!BG20:BH20,B$337)+COUNTIF('10月'!BL20:BM20,B$337)+COUNTIF('10月'!BQ20:BR20,B$337)+COUNTIF('10月'!BV20:BW20,B$337)+COUNTIF('10月'!CA20:CB20,B$337)+COUNTIF('10月'!CF20:CG20,B$337)+COUNTIF('10月'!CK20:CL20,B$337)+COUNTIF('10月'!CP20:CQ20,B$337)+COUNTIF('10月'!CU20:CV20,B$337)+COUNTIF('10月'!CZ20:DA20,B$337)+COUNTIF('10月'!DE20:DF20,B$337)+COUNTIF('10月'!DJ20:DK20,B$337)+COUNTIF('10月'!DO20:DP20,B$337)+COUNTIF('10月'!DT20:DU20,B$337)+COUNTIF('10月'!DY20:DZ20,B$337)+COUNTIF('10月'!ED20:EE20,B$337)+COUNTIF('10月'!EI20:EJ20,B$337)+COUNTIF('10月'!EN20:EO20,B$337)+COUNTIF('10月'!ES20:ET20,B$337)</f>
        <v>0</v>
      </c>
      <c r="C355" s="76">
        <f t="shared" si="108"/>
        <v>0</v>
      </c>
      <c r="D355" s="76">
        <f>COUNTIF('10月'!D20:E20,D$337)+COUNTIF('10月'!I20:J20,D$337)+COUNTIF('10月'!N20:O20,D$337)+COUNTIF('10月'!S20:T20,D$337)+COUNTIF('10月'!X20:Y20,D$337)+COUNTIF('10月'!AC20:AD20,D$337)+COUNTIF('10月'!AH20:AI20,D$337)+COUNTIF('10月'!AM20:AN20,D$337)+COUNTIF('10月'!AR20:AS20,D$337)+COUNTIF('10月'!AW20:AX20,D$337)+COUNTIF('10月'!BB20:BC20,D$337)+COUNTIF('10月'!BG20:BH20,D$337)+COUNTIF('10月'!BL20:BM20,D$337)+COUNTIF('10月'!BQ20:BR20,D$337)+COUNTIF('10月'!BV20:BW20,D$337)+COUNTIF('10月'!CA20:CB20,D$337)+COUNTIF('10月'!CF20:CG20,D$337)+COUNTIF('10月'!CK20:CL20,D$337)+COUNTIF('10月'!CP20:CQ20,D$337)+COUNTIF('10月'!CU20:CV20,D$337)+COUNTIF('10月'!CZ20:DA20,D$337)+COUNTIF('10月'!DE20:DF20,D$337)+COUNTIF('10月'!DJ20:DK20,D$337)+COUNTIF('10月'!DO20:DP20,D$337)+COUNTIF('10月'!DT20:DU20,D$337)+COUNTIF('10月'!DY20:DZ20,D$337)+COUNTIF('10月'!ED20:EE20,D$337)+COUNTIF('10月'!EI20:EJ20,D$337)+COUNTIF('10月'!EN20:EO20,D$337)+COUNTIF('10月'!ES20:ET20,D$337)</f>
        <v>0</v>
      </c>
      <c r="E355" s="76">
        <f t="shared" si="109"/>
        <v>0</v>
      </c>
      <c r="F355" s="76">
        <f>COUNTIF('10月'!D20:E20,F$337)+COUNTIF('10月'!I20:J20,F$337)+COUNTIF('10月'!N20:O20,F$337)+COUNTIF('10月'!S20:T20,F$337)+COUNTIF('10月'!X20:Y20,F$337)+COUNTIF('10月'!AC20:AD20,F$337)+COUNTIF('10月'!AH20:AI20,F$337)+COUNTIF('10月'!AM20:AN20,F$337)+COUNTIF('10月'!AR20:AS20,F$337)+COUNTIF('10月'!AW20:AX20,F$337)+COUNTIF('10月'!BB20:BC20,F$337)+COUNTIF('10月'!BG20:BH20,F$337)+COUNTIF('10月'!BL20:BM20,F$337)+COUNTIF('10月'!BQ20:BR20,F$337)+COUNTIF('10月'!BV20:BW20,F$337)+COUNTIF('10月'!CA20:CB20,F$337)+COUNTIF('10月'!CF20:CG20,F$337)+COUNTIF('10月'!CK20:CL20,F$337)+COUNTIF('10月'!CP20:CQ20,F$337)+COUNTIF('10月'!CU20:CV20,F$337)+COUNTIF('10月'!CZ20:DA20,F$337)+COUNTIF('10月'!DE20:DF20,F$337)+COUNTIF('10月'!DJ20:DK20,F$337)+COUNTIF('10月'!DO20:DP20,F$337)+COUNTIF('10月'!DT20:DU20,F$337)+COUNTIF('10月'!DY20:DZ20,F$337)+COUNTIF('10月'!ED20:EE20,F$337)+COUNTIF('10月'!EI20:EJ20,F$337)+COUNTIF('10月'!EN20:EO20,F$337)+COUNTIF('10月'!ES20:ET20,F$337)</f>
        <v>0</v>
      </c>
      <c r="G355" s="76">
        <f t="shared" si="110"/>
        <v>0</v>
      </c>
      <c r="H355" s="76">
        <f>COUNTIF('10月'!D20:E20,H$337)+COUNTIF('10月'!I20:J20,H$337)+COUNTIF('10月'!N20:O20,H$337)+COUNTIF('10月'!S20:T20,H$337)+COUNTIF('10月'!X20:Y20,H$337)+COUNTIF('10月'!AC20:AD20,H$337)+COUNTIF('10月'!AH20:AI20,H$337)+COUNTIF('10月'!AM20:AN20,H$337)+COUNTIF('10月'!AR20:AS20,H$337)+COUNTIF('10月'!AW20:AX20,H$337)+COUNTIF('10月'!BB20:BC20,H$337)+COUNTIF('10月'!BG20:BH20,H$337)+COUNTIF('10月'!BL20:BM20,H$337)+COUNTIF('10月'!BQ20:BR20,H$337)+COUNTIF('10月'!BV20:BW20,H$337)+COUNTIF('10月'!CA20:CB20,H$337)+COUNTIF('10月'!CF20:CG20,H$337)+COUNTIF('10月'!CK20:CL20,H$337)+COUNTIF('10月'!CP20:CQ20,H$337)+COUNTIF('10月'!CU20:CV20,H$337)+COUNTIF('10月'!CZ20:DA20,H$337)+COUNTIF('10月'!DE20:DF20,H$337)+COUNTIF('10月'!DJ20:DK20,H$337)+COUNTIF('10月'!DO20:DP20,H$337)+COUNTIF('10月'!DT20:DU20,H$337)+COUNTIF('10月'!DY20:DZ20,H$337)+COUNTIF('10月'!ED20:EE20,H$337)+COUNTIF('10月'!EI20:EJ20,H$337)+COUNTIF('10月'!EN20:EO20,H$337)+COUNTIF('10月'!ES20:ET20,H$337)+COUNTIF('10月'!D20:E20,"渋谷-夜勤")+COUNTIF('10月'!I20:J20,"渋谷-夜勤")+COUNTIF('10月'!N20:O20,"渋谷-夜勤")+COUNTIF('10月'!S20:T20,"渋谷-夜勤")+COUNTIF('10月'!X20:Y20,"渋谷-夜勤")+COUNTIF('10月'!AC20:AD20,"渋谷-夜勤")+COUNTIF('10月'!AH20:AI20,"渋谷-夜勤")+COUNTIF('10月'!AM20:AN20,"渋谷-夜勤")+COUNTIF('10月'!AR20:AS20,"渋谷-夜勤")+COUNTIF('10月'!AW20:AX20,"渋谷-夜勤")+COUNTIF('10月'!BB20:BC20,"渋谷-夜勤")+COUNTIF('10月'!BG20:BH20,"渋谷-夜勤")+COUNTIF('10月'!BL20:BM20,"渋谷-夜勤")+COUNTIF('10月'!BQ20:BR20,"渋谷-夜勤")+COUNTIF('10月'!BV20:BW20,"渋谷-夜勤")+COUNTIF('10月'!CA20:CB20,"渋谷-夜勤")+COUNTIF('10月'!CF20:CG20,"渋谷-夜勤")+COUNTIF('10月'!CK20:CL20,"渋谷-夜勤")+COUNTIF('10月'!CP20:CQ20,"渋谷-夜勤")+COUNTIF('10月'!CU20:CV20,"渋谷-夜勤")+COUNTIF('10月'!CZ20:DA20,"渋谷-夜勤")+COUNTIF('10月'!DE20:DF20,"渋谷-夜勤")+COUNTIF('10月'!DJ20:DK20,"渋谷-夜勤")+COUNTIF('10月'!DO20:DP20,"渋谷-夜勤")+COUNTIF('10月'!DT20:DU20,"渋谷-夜勤")+COUNTIF('10月'!DY20:DZ20,"渋谷-夜勤")+COUNTIF('10月'!ED20:EE20,"渋谷-夜勤")+COUNTIF('10月'!EI20:EJ20,"渋谷-夜勤")+COUNTIF('10月'!EN20:EO20,"渋谷-夜勤")+COUNTIF('10月'!ES20:ET20,"渋谷-夜勤")</f>
        <v>0</v>
      </c>
      <c r="I355" s="76">
        <f t="shared" si="111"/>
        <v>0</v>
      </c>
      <c r="J355" s="76">
        <f>COUNTIF('10月'!D20:E20,J$337)+COUNTIF('10月'!I20:J20,J$337)+COUNTIF('10月'!N20:O20,J$337)+COUNTIF('10月'!S20:T20,J$337)+COUNTIF('10月'!X20:Y20,J$337)+COUNTIF('10月'!AC20:AD20,J$337)+COUNTIF('10月'!AH20:AI20,J$337)+COUNTIF('10月'!AM20:AN20,J$337)+COUNTIF('10月'!AR20:AS20,J$337)+COUNTIF('10月'!AW20:AX20,J$337)+COUNTIF('10月'!BB20:BC20,J$337)+COUNTIF('10月'!BG20:BH20,J$337)+COUNTIF('10月'!BL20:BM20,J$337)+COUNTIF('10月'!BQ20:BR20,J$337)+COUNTIF('10月'!BV20:BW20,J$337)+COUNTIF('10月'!CA20:CB20,J$337)+COUNTIF('10月'!CF20:CG20,J$337)+COUNTIF('10月'!CK20:CL20,J$337)+COUNTIF('10月'!CP20:CQ20,J$337)+COUNTIF('10月'!CU20:CV20,J$337)+COUNTIF('10月'!CZ20:DA20,J$337)+COUNTIF('10月'!DE20:DF20,J$337)+COUNTIF('10月'!DJ20:DK20,J$337)+COUNTIF('10月'!DO20:DP20,J$337)+COUNTIF('10月'!DT20:DU20,J$337)+COUNTIF('10月'!DY20:DZ20,J$337)+COUNTIF('10月'!ED20:EE20,J$337)+COUNTIF('10月'!EI20:EJ20,J$337)+COUNTIF('10月'!EN20:EO20,J$337)+COUNTIF('10月'!ES20:ET20,J$337)+COUNTIF('10月'!D20:E20,"六本木-夜勤")+COUNTIF('10月'!I20:J20,"六本木-夜勤")+COUNTIF('10月'!N20:O20,"六本木-夜勤")+COUNTIF('10月'!S20:T20,"六本木-夜勤")+COUNTIF('10月'!X20:Y20,"六本木-夜勤")+COUNTIF('10月'!AC20:AD20,"六本木-夜勤")+COUNTIF('10月'!AH20:AI20,"六本木-夜勤")+COUNTIF('10月'!AM20:AN20,"六本木-夜勤")+COUNTIF('10月'!AR20:AS20,"六本木-夜勤")+COUNTIF('10月'!AW20:AX20,"六本木-夜勤")+COUNTIF('10月'!BB20:BC20,"六本木-夜勤")+COUNTIF('10月'!BG20:BH20,"六本木-夜勤")+COUNTIF('10月'!BL20:BM20,"六本木-夜勤")+COUNTIF('10月'!BQ20:BR20,"六本木-夜勤")+COUNTIF('10月'!BV20:BW20,"六本木-夜勤")+COUNTIF('10月'!CA20:CB20,"六本木-夜勤")+COUNTIF('10月'!CF20:CG20,"六本木-夜勤")+COUNTIF('10月'!CK20:CL20,"六本木-夜勤")+COUNTIF('10月'!CP20:CQ20,"六本木-夜勤")+COUNTIF('10月'!CU20:CV20,"六本木-夜勤")+COUNTIF('10月'!CZ20:DA20,"六本木-夜勤")+COUNTIF('10月'!DE20:DF20,"六本木-夜勤")+COUNTIF('10月'!DJ20:DK20,"六本木-夜勤")+COUNTIF('10月'!DO20:DP20,"六本木-夜勤")+COUNTIF('10月'!DT20:DU20,"六本木-夜勤")+COUNTIF('10月'!DY20:DZ20,"六本木-夜勤")+COUNTIF('10月'!ED20:EE20,"六本木-夜勤")+COUNTIF('10月'!EI20:EJ20,"六本木-夜勤")+COUNTIF('10月'!EN20:EO20,"六本木-夜勤")+COUNTIF('10月'!ES20:ET20,"六本木-夜勤")+COUNTIF('10月'!D20:E20,"六本木ー夜勤")+COUNTIF('10月'!I20:J20,"六本木ー夜勤")+COUNTIF('10月'!N20:O20,"六本木ー夜勤")+COUNTIF('10月'!S20:T20,"六本木ー夜勤")+COUNTIF('10月'!X20:Y20,"六本木ー夜勤")+COUNTIF('10月'!AC20:AD20,"六本木ー夜勤")+COUNTIF('10月'!AH20:AI20,"六本木ー夜勤")+COUNTIF('10月'!AM20:AN20,"六本木ー夜勤")+COUNTIF('10月'!AR20:AS20,"六本木ー夜勤")+COUNTIF('10月'!AW20:AX20,"六本木ー夜勤")+COUNTIF('10月'!BB20:BC20,"六本木ー夜勤")+COUNTIF('10月'!BG20:BH20,"六本木ー夜勤")+COUNTIF('10月'!BL20:BM20,"六本木ー夜勤")+COUNTIF('10月'!BQ20:BR20,"六本木ー夜勤")+COUNTIF('10月'!BV20:BW20,"六本木ー夜勤")+COUNTIF('10月'!CA20:CB20,"六本木ー夜勤")+COUNTIF('10月'!CF20:CG20,"六本木ー夜勤")+COUNTIF('10月'!CK20:CL20,"六本木ー夜勤")+COUNTIF('10月'!CP20:CQ20,"六本木ー夜勤")+COUNTIF('10月'!CU20:CV20,"六本木ー夜勤")+COUNTIF('10月'!CZ20:DA20,"六本木ー夜勤")+COUNTIF('10月'!DE20:DF20,"六本木ー夜勤")+COUNTIF('10月'!DJ20:DK20,"六本木ー夜勤")+COUNTIF('10月'!DO20:DP20,"六本木ー夜勤")+COUNTIF('10月'!DT20:DU20,"六本木ー夜勤")+COUNTIF('10月'!DY20:DZ20,"六本木ー夜勤")+COUNTIF('10月'!ED20:EE20,"六本木ー夜勤")+COUNTIF('10月'!EI20:EJ20,"六本木ー夜勤")+COUNTIF('10月'!EN20:EO20,"六本木ー夜勤")+COUNTIF('10月'!ES20:ET20,"六本木ー夜勤")</f>
        <v>0</v>
      </c>
      <c r="K355" s="76">
        <f t="shared" si="112"/>
        <v>0</v>
      </c>
      <c r="L355" s="76">
        <f>COUNTIF('10月'!D20:E20,L$337)+COUNTIF('10月'!I20:J20,L$337)+COUNTIF('10月'!N20:O20,L$337)+COUNTIF('10月'!S20:T20,L$337)+COUNTIF('10月'!X20:Y20,L$337)+COUNTIF('10月'!AC20:AD20,L$337)+COUNTIF('10月'!AH20:AI20,L$337)+COUNTIF('10月'!AM20:AN20,L$337)+COUNTIF('10月'!AR20:AS20,L$337)+COUNTIF('10月'!AW20:AX20,L$337)+COUNTIF('10月'!BB20:BC20,L$337)+COUNTIF('10月'!BG20:BH20,L$337)+COUNTIF('10月'!BL20:BM20,L$337)+COUNTIF('10月'!BQ20:BR20,L$337)+COUNTIF('10月'!BV20:BW20,L$337)+COUNTIF('10月'!CA20:CB20,L$337)+COUNTIF('10月'!CF20:CG20,L$337)+COUNTIF('10月'!CK20:CL20,L$337)+COUNTIF('10月'!CP20:CQ20,L$337)+COUNTIF('10月'!CU20:CV20,L$337)+COUNTIF('10月'!CZ20:DA20,L$337)+COUNTIF('10月'!DE20:DF20,L$337)+COUNTIF('10月'!DJ20:DK20,L$337)+COUNTIF('10月'!DO20:DP20,L$337)+COUNTIF('10月'!DT20:DU20,L$337)+COUNTIF('10月'!DY20:DZ20,L$337)+COUNTIF('10月'!ED20:EE20,L$337)+COUNTIF('10月'!EI20:EJ20,L$337)+COUNTIF('10月'!EN20:EO20,L$337)+COUNTIF('10月'!ES20:ET20,L$337)</f>
        <v>0</v>
      </c>
      <c r="M355" s="76">
        <f t="shared" si="113"/>
        <v>0</v>
      </c>
      <c r="N355" s="76">
        <f>COUNTIF('10月'!D20:E20,N$337)+COUNTIF('10月'!I20:J20,N$337)+COUNTIF('10月'!N20:O20,N$337)+COUNTIF('10月'!S20:T20,N$337)+COUNTIF('10月'!X20:Y20,N$337)+COUNTIF('10月'!AC20:AD20,N$337)+COUNTIF('10月'!AH20:AI20,N$337)+COUNTIF('10月'!AM20:AN20,N$337)+COUNTIF('10月'!AR20:AS20,N$337)+COUNTIF('10月'!AW20:AX20,N$337)+COUNTIF('10月'!BB20:BC20,N$337)+COUNTIF('10月'!BG20:BH20,N$337)+COUNTIF('10月'!BL20:BM20,N$337)+COUNTIF('10月'!BQ20:BR20,N$337)+COUNTIF('10月'!BV20:BW20,N$337)+COUNTIF('10月'!CA20:CB20,N$337)+COUNTIF('10月'!CF20:CG20,N$337)+COUNTIF('10月'!CK20:CL20,N$337)+COUNTIF('10月'!CP20:CQ20,N$337)+COUNTIF('10月'!CU20:CV20,N$337)+COUNTIF('10月'!CZ20:DA20,N$337)+COUNTIF('10月'!DE20:DF20,N$337)+COUNTIF('10月'!DJ20:DK20,N$337)+COUNTIF('10月'!DO20:DP20,N$337)+COUNTIF('10月'!DT20:DU20,N$337)+COUNTIF('10月'!DY20:DZ20,N$337)+COUNTIF('10月'!ED20:EE20,N$337)+COUNTIF('10月'!EI20:EJ20,N$337)+COUNTIF('10月'!EN20:EO20,N$337)+COUNTIF('10月'!ES20:ET20,N$337)+COUNTIF('10月'!D20:E20,"三軒茶屋－夜勤")+COUNTIF('10月'!I20:J20,"三軒茶屋－夜勤")+COUNTIF('10月'!N20:O20,"三軒茶屋－夜勤")+COUNTIF('10月'!S20:T20,"三軒茶屋－夜勤")+COUNTIF('10月'!X20:Y20,"三軒茶屋－夜勤")+COUNTIF('10月'!AC20:AD20,"三軒茶屋－夜勤")+COUNTIF('10月'!AH20:AI20,"三軒茶屋－夜勤")+COUNTIF('10月'!AM20:AN20,"三軒茶屋－夜勤")+COUNTIF('10月'!AR20:AS20,"三軒茶屋－夜勤")+COUNTIF('10月'!AW20:AX20,"三軒茶屋－夜勤")+COUNTIF('10月'!BB20:BC20,"三軒茶屋－夜勤")+COUNTIF('10月'!BG20:BH20,"三軒茶屋－夜勤")+COUNTIF('10月'!BL20:BM20,"三軒茶屋－夜勤")+COUNTIF('10月'!BQ20:BR20,"三軒茶屋－夜勤")+COUNTIF('10月'!BV20:BW20,"三軒茶屋－夜勤")+COUNTIF('10月'!CA20:CB20,"三軒茶屋－夜勤")+COUNTIF('10月'!CF20:CG20,"三軒茶屋－夜勤")+COUNTIF('10月'!CK20:CL20,"三軒茶屋－夜勤")+COUNTIF('10月'!CP20:CQ20,"三軒茶屋－夜勤")+COUNTIF('10月'!CU20:CV20,"三軒茶屋－夜勤")+COUNTIF('10月'!CZ20:DA20,"三軒茶屋－夜勤")+COUNTIF('10月'!DE20:DF20,"三軒茶屋－夜勤")+COUNTIF('10月'!DJ20:DK20,"三軒茶屋－夜勤")+COUNTIF('10月'!DO20:DP20,"三軒茶屋－夜勤")+COUNTIF('10月'!DT20:DU20,"三軒茶屋－夜勤")+COUNTIF('10月'!DY20:DZ20,"三軒茶屋－夜勤")+COUNTIF('10月'!ED20:EE20,"三軒茶屋－夜勤")+COUNTIF('10月'!EI20:EJ20,"三軒茶屋－夜勤")+COUNTIF('10月'!EN20:EO20,"三軒茶屋－夜勤")+COUNTIF('10月'!ES20:ET20,"三軒茶屋－夜勤")</f>
        <v>0</v>
      </c>
      <c r="O355" s="76">
        <f t="shared" si="114"/>
        <v>0</v>
      </c>
      <c r="P355" s="76">
        <f>COUNTIF('10月'!D20:E20,P$337)+COUNTIF('10月'!I20:J20,P$337)+COUNTIF('10月'!N20:O20,P$337)+COUNTIF('10月'!S20:T20,P$337)+COUNTIF('10月'!X20:Y20,P$337)+COUNTIF('10月'!AC20:AD20,P$337)+COUNTIF('10月'!AH20:AI20,P$337)+COUNTIF('10月'!AM20:AN20,P$337)+COUNTIF('10月'!AR20:AS20,P$337)+COUNTIF('10月'!AW20:AX20,P$337)+COUNTIF('10月'!BB20:BC20,P$337)+COUNTIF('10月'!BG20:BH20,P$337)+COUNTIF('10月'!BL20:BM20,P$337)+COUNTIF('10月'!BQ20:BR20,P$337)+COUNTIF('10月'!BV20:BW20,P$337)+COUNTIF('10月'!CA20:CB20,P$337)+COUNTIF('10月'!CF20:CG20,P$337)+COUNTIF('10月'!CK20:CL20,P$337)+COUNTIF('10月'!CP20:CQ20,P$337)+COUNTIF('10月'!CU20:CV20,P$337)+COUNTIF('10月'!CZ20:DA20,P$337)+COUNTIF('10月'!DE20:DF20,P$337)+COUNTIF('10月'!DJ20:DK20,P$337)+COUNTIF('10月'!DO20:DP20,P$337)+COUNTIF('10月'!DT20:DU20,P$337)+COUNTIF('10月'!DY20:DZ20,P$337)+COUNTIF('10月'!ED20:EE20,P$337)+COUNTIF('10月'!EI20:EJ20,P$337)+COUNTIF('10月'!EN20:EO20,P$337)+COUNTIF('10月'!ES20:ET20,P$337)+COUNTIF('10月'!D20:E20,"荻窪ー夜勤")+COUNTIF('10月'!I20:J20,"荻窪ー夜勤")+COUNTIF('10月'!N20:O20,"荻窪ー夜勤")+COUNTIF('10月'!S20:T20,"荻窪ー夜勤")+COUNTIF('10月'!X20:Y20,"荻窪ー夜勤")+COUNTIF('10月'!AC20:AD20,"荻窪ー夜勤")+COUNTIF('10月'!AH20:AI20,"荻窪ー夜勤")+COUNTIF('10月'!AM20:AN20,"荻窪ー夜勤")+COUNTIF('10月'!AR20:AS20,"荻窪ー夜勤")+COUNTIF('10月'!AW20:AX20,"荻窪ー夜勤")+COUNTIF('10月'!BB20:BC20,"荻窪ー夜勤")+COUNTIF('10月'!BG20:BH20,"荻窪ー夜勤")+COUNTIF('10月'!BL20:BM20,"荻窪ー夜勤")+COUNTIF('10月'!BQ20:BR20,"荻窪ー夜勤")+COUNTIF('10月'!BV20:BW20,"荻窪ー夜勤")+COUNTIF('10月'!CA20:CB20,"荻窪ー夜勤")+COUNTIF('10月'!CF20:CG20,"荻窪ー夜勤")+COUNTIF('10月'!CK20:CL20,"荻窪ー夜勤")+COUNTIF('10月'!CP20:CQ20,"荻窪ー夜勤")+COUNTIF('10月'!CU20:CV20,"荻窪ー夜勤")+COUNTIF('10月'!CZ20:DA20,"荻窪ー夜勤")+COUNTIF('10月'!DE20:DF20,"荻窪ー夜勤")+COUNTIF('10月'!DJ20:DK20,"荻窪ー夜勤")+COUNTIF('10月'!DO20:DP20,"荻窪ー夜勤")+COUNTIF('10月'!DT20:DU20,"荻窪ー夜勤")+COUNTIF('10月'!DY20:DZ20,"荻窪ー夜勤")+COUNTIF('10月'!ED20:EE20,"荻窪ー夜勤")+COUNTIF('10月'!EI20:EJ20,"荻窪ー夜勤")+COUNTIF('10月'!EN20:EO20,"荻窪ー夜勤")+COUNTIF('10月'!ES20:ET20,"荻窪ー夜勤")</f>
        <v>0</v>
      </c>
      <c r="Q355" s="76">
        <f t="shared" si="115"/>
        <v>0</v>
      </c>
      <c r="R355" s="76">
        <f>COUNTIF('10月'!D20:E20,R$337)+COUNTIF('10月'!I20:J20,R$337)+COUNTIF('10月'!N20:O20,R$337)+COUNTIF('10月'!S20:T20,R$337)+COUNTIF('10月'!X20:Y20,R$337)+COUNTIF('10月'!AC20:AD20,R$337)+COUNTIF('10月'!AH20:AI20,R$337)+COUNTIF('10月'!AM20:AN20,R$337)+COUNTIF('10月'!AR20:AS20,R$337)+COUNTIF('10月'!AW20:AX20,R$337)+COUNTIF('10月'!BB20:BC20,R$337)+COUNTIF('10月'!BG20:BH20,R$337)+COUNTIF('10月'!BL20:BM20,R$337)+COUNTIF('10月'!BQ20:BR20,R$337)+COUNTIF('10月'!BV20:BW20,R$337)+COUNTIF('10月'!CA20:CB20,R$337)+COUNTIF('10月'!CF20:CG20,R$337)+COUNTIF('10月'!CK20:CL20,R$337)+COUNTIF('10月'!CP20:CQ20,R$337)+COUNTIF('10月'!CU20:CV20,R$337)+COUNTIF('10月'!CZ20:DA20,R$337)+COUNTIF('10月'!DE20:DF20,R$337)+COUNTIF('10月'!DJ20:DK20,R$337)+COUNTIF('10月'!DO20:DP20,R$337)+COUNTIF('10月'!DT20:DU20,R$337)+COUNTIF('10月'!DY20:DZ20,R$337)+COUNTIF('10月'!ED20:EE20,R$337)+COUNTIF('10月'!EI20:EJ20,R$337)+COUNTIF('10月'!EN20:EO20,R$337)+COUNTIF('10月'!ES20:ET20,R$337)</f>
        <v>0</v>
      </c>
      <c r="S355" s="76">
        <f t="shared" si="116"/>
        <v>0</v>
      </c>
      <c r="T355" s="76">
        <f>COUNTIF('10月'!D20:E20,T$337)+COUNTIF('10月'!I20:J20,T$337)+COUNTIF('10月'!N20:O20,T$337)+COUNTIF('10月'!S20:T20,T$337)+COUNTIF('10月'!X20:Y20,T$337)+COUNTIF('10月'!AC20:AD20,T$337)+COUNTIF('10月'!AH20:AI20,T$337)+COUNTIF('10月'!AM20:AN20,T$337)+COUNTIF('10月'!AR20:AS20,T$337)+COUNTIF('10月'!AW20:AX20,T$337)+COUNTIF('10月'!BB20:BC20,T$337)+COUNTIF('10月'!BG20:BH20,T$337)+COUNTIF('10月'!BL20:BM20,T$337)+COUNTIF('10月'!BQ20:BR20,T$337)+COUNTIF('10月'!BV20:BW20,T$337)+COUNTIF('10月'!CA20:CB20,T$337)+COUNTIF('10月'!CF20:CG20,T$337)+COUNTIF('10月'!CK20:CL20,T$337)+COUNTIF('10月'!CP20:CQ20,T$337)+COUNTIF('10月'!CU20:CV20,T$337)+COUNTIF('10月'!CZ20:DA20,T$337)+COUNTIF('10月'!DE20:DF20,T$337)+COUNTIF('10月'!DJ20:DK20,T$337)+COUNTIF('10月'!DO20:DP20,T$337)+COUNTIF('10月'!DT20:DU20,T$337)+COUNTIF('10月'!DY20:DZ20,T$337)+COUNTIF('10月'!ED20:EE20,T$337)+COUNTIF('10月'!EI20:EJ20,T$337)+COUNTIF('10月'!EN20:EO20,T$337)+COUNTIF('10月'!ES20:ET20,T$337)</f>
        <v>0</v>
      </c>
      <c r="U355" s="76">
        <f t="shared" si="117"/>
        <v>0</v>
      </c>
      <c r="V355" s="76">
        <f>COUNTIF('10月'!D20:E20,V$337)+COUNTIF('10月'!I20:J20,V$337)+COUNTIF('10月'!N20:O20,V$337)+COUNTIF('10月'!S20:T20,V$337)+COUNTIF('10月'!X20:Y20,V$337)+COUNTIF('10月'!AC20:AD20,V$337)+COUNTIF('10月'!AH20:AI20,V$337)+COUNTIF('10月'!AM20:AN20,V$337)+COUNTIF('10月'!AR20:AS20,V$337)+COUNTIF('10月'!AW20:AX20,V$337)+COUNTIF('10月'!BB20:BC20,V$337)+COUNTIF('10月'!BG20:BH20,V$337)+COUNTIF('10月'!BL20:BM20,V$337)+COUNTIF('10月'!BQ20:BR20,V$337)+COUNTIF('10月'!BV20:BW20,V$337)+COUNTIF('10月'!CA20:CB20,V$337)+COUNTIF('10月'!CF20:CG20,V$337)+COUNTIF('10月'!CK20:CL20,V$337)+COUNTIF('10月'!CP20:CQ20,V$337)+COUNTIF('10月'!CU20:CV20,V$337)+COUNTIF('10月'!CZ20:DA20,V$337)+COUNTIF('10月'!DE20:DF20,V$337)+COUNTIF('10月'!DJ20:DK20,V$337)+COUNTIF('10月'!DO20:DP20,V$337)+COUNTIF('10月'!DT20:DU20,V$337)+COUNTIF('10月'!DY20:DZ20,V$337)+COUNTIF('10月'!ED20:EE20,V$337)+COUNTIF('10月'!EI20:EJ20,V$337)+COUNTIF('10月'!EN20:EO20,V$337)+COUNTIF('10月'!ES20:ET20,V$337)</f>
        <v>0</v>
      </c>
      <c r="W355" s="76">
        <f t="shared" si="118"/>
        <v>0</v>
      </c>
      <c r="X355" s="76">
        <f>COUNTIF('10月'!D20:E20,X$337)+COUNTIF('10月'!I20:J20,X$337)+COUNTIF('10月'!N20:O20,X$337)+COUNTIF('10月'!S20:T20,X$337)+COUNTIF('10月'!X20:Y20,X$337)+COUNTIF('10月'!AC20:AD20,X$337)+COUNTIF('10月'!AH20:AI20,X$337)+COUNTIF('10月'!AM20:AN20,X$337)+COUNTIF('10月'!AR20:AS20,X$337)+COUNTIF('10月'!AW20:AX20,X$337)+COUNTIF('10月'!BB20:BC20,X$337)+COUNTIF('10月'!BG20:BH20,X$337)+COUNTIF('10月'!BL20:BM20,X$337)+COUNTIF('10月'!BQ20:BR20,X$337)+COUNTIF('10月'!BV20:BW20,X$337)+COUNTIF('10月'!CA20:CB20,X$337)+COUNTIF('10月'!CF20:CG20,X$337)+COUNTIF('10月'!CK20:CL20,X$337)+COUNTIF('10月'!CP20:CQ20,X$337)+COUNTIF('10月'!CU20:CV20,X$337)+COUNTIF('10月'!CZ20:DA20,X$337)+COUNTIF('10月'!DE20:DF20,X$337)+COUNTIF('10月'!DJ20:DK20,X$337)+COUNTIF('10月'!DO20:DP20,X$337)+COUNTIF('10月'!DT20:DU20,X$337)+COUNTIF('10月'!DY20:DZ20,X$337)+COUNTIF('10月'!ED20:EE20,X$337)+COUNTIF('10月'!EI20:EJ20,X$337)+COUNTIF('10月'!EN20:EO20,X$337)+COUNTIF('10月'!ES20:ET20,X$337)</f>
        <v>0</v>
      </c>
      <c r="Y355" s="76">
        <f t="shared" si="119"/>
        <v>0</v>
      </c>
    </row>
    <row r="356" spans="1:25" ht="18" customHeight="1">
      <c r="A356" s="76">
        <v>18</v>
      </c>
      <c r="B356" s="76">
        <f>COUNTIF('10月'!D21:E21,B$337)+COUNTIF('10月'!I21:J21,B$337)+COUNTIF('10月'!N21:O21,B$337)+COUNTIF('10月'!S21:T21,B$337)+COUNTIF('10月'!X21:Y21,B$337)+COUNTIF('10月'!AC21:AD21,B$337)+COUNTIF('10月'!AH21:AI21,B$337)+COUNTIF('10月'!AM21:AN21,B$337)+COUNTIF('10月'!AR21:AS21,B$337)+COUNTIF('10月'!AW21:AX21,B$337)+COUNTIF('10月'!BB21:BC21,B$337)+COUNTIF('10月'!BG21:BH21,B$337)+COUNTIF('10月'!BL21:BM21,B$337)+COUNTIF('10月'!BQ21:BR21,B$337)+COUNTIF('10月'!BV21:BW21,B$337)+COUNTIF('10月'!CA21:CB21,B$337)+COUNTIF('10月'!CF21:CG21,B$337)+COUNTIF('10月'!CK21:CL21,B$337)+COUNTIF('10月'!CP21:CQ21,B$337)+COUNTIF('10月'!CU21:CV21,B$337)+COUNTIF('10月'!CZ21:DA21,B$337)+COUNTIF('10月'!DE21:DF21,B$337)+COUNTIF('10月'!DJ21:DK21,B$337)+COUNTIF('10月'!DO21:DP21,B$337)+COUNTIF('10月'!DT21:DU21,B$337)+COUNTIF('10月'!DY21:DZ21,B$337)+COUNTIF('10月'!ED21:EE21,B$337)+COUNTIF('10月'!EI21:EJ21,B$337)+COUNTIF('10月'!EN21:EO21,B$337)+COUNTIF('10月'!ES21:ET21,B$337)</f>
        <v>0</v>
      </c>
      <c r="C356" s="76">
        <f t="shared" si="108"/>
        <v>0</v>
      </c>
      <c r="D356" s="76">
        <f>COUNTIF('10月'!D21:E21,D$337)+COUNTIF('10月'!I21:J21,D$337)+COUNTIF('10月'!N21:O21,D$337)+COUNTIF('10月'!S21:T21,D$337)+COUNTIF('10月'!X21:Y21,D$337)+COUNTIF('10月'!AC21:AD21,D$337)+COUNTIF('10月'!AH21:AI21,D$337)+COUNTIF('10月'!AM21:AN21,D$337)+COUNTIF('10月'!AR21:AS21,D$337)+COUNTIF('10月'!AW21:AX21,D$337)+COUNTIF('10月'!BB21:BC21,D$337)+COUNTIF('10月'!BG21:BH21,D$337)+COUNTIF('10月'!BL21:BM21,D$337)+COUNTIF('10月'!BQ21:BR21,D$337)+COUNTIF('10月'!BV21:BW21,D$337)+COUNTIF('10月'!CA21:CB21,D$337)+COUNTIF('10月'!CF21:CG21,D$337)+COUNTIF('10月'!CK21:CL21,D$337)+COUNTIF('10月'!CP21:CQ21,D$337)+COUNTIF('10月'!CU21:CV21,D$337)+COUNTIF('10月'!CZ21:DA21,D$337)+COUNTIF('10月'!DE21:DF21,D$337)+COUNTIF('10月'!DJ21:DK21,D$337)+COUNTIF('10月'!DO21:DP21,D$337)+COUNTIF('10月'!DT21:DU21,D$337)+COUNTIF('10月'!DY21:DZ21,D$337)+COUNTIF('10月'!ED21:EE21,D$337)+COUNTIF('10月'!EI21:EJ21,D$337)+COUNTIF('10月'!EN21:EO21,D$337)+COUNTIF('10月'!ES21:ET21,D$337)</f>
        <v>0</v>
      </c>
      <c r="E356" s="76">
        <f t="shared" si="109"/>
        <v>0</v>
      </c>
      <c r="F356" s="76">
        <f>COUNTIF('10月'!D21:E21,F$337)+COUNTIF('10月'!I21:J21,F$337)+COUNTIF('10月'!N21:O21,F$337)+COUNTIF('10月'!S21:T21,F$337)+COUNTIF('10月'!X21:Y21,F$337)+COUNTIF('10月'!AC21:AD21,F$337)+COUNTIF('10月'!AH21:AI21,F$337)+COUNTIF('10月'!AM21:AN21,F$337)+COUNTIF('10月'!AR21:AS21,F$337)+COUNTIF('10月'!AW21:AX21,F$337)+COUNTIF('10月'!BB21:BC21,F$337)+COUNTIF('10月'!BG21:BH21,F$337)+COUNTIF('10月'!BL21:BM21,F$337)+COUNTIF('10月'!BQ21:BR21,F$337)+COUNTIF('10月'!BV21:BW21,F$337)+COUNTIF('10月'!CA21:CB21,F$337)+COUNTIF('10月'!CF21:CG21,F$337)+COUNTIF('10月'!CK21:CL21,F$337)+COUNTIF('10月'!CP21:CQ21,F$337)+COUNTIF('10月'!CU21:CV21,F$337)+COUNTIF('10月'!CZ21:DA21,F$337)+COUNTIF('10月'!DE21:DF21,F$337)+COUNTIF('10月'!DJ21:DK21,F$337)+COUNTIF('10月'!DO21:DP21,F$337)+COUNTIF('10月'!DT21:DU21,F$337)+COUNTIF('10月'!DY21:DZ21,F$337)+COUNTIF('10月'!ED21:EE21,F$337)+COUNTIF('10月'!EI21:EJ21,F$337)+COUNTIF('10月'!EN21:EO21,F$337)+COUNTIF('10月'!ES21:ET21,F$337)</f>
        <v>0</v>
      </c>
      <c r="G356" s="76">
        <f t="shared" si="110"/>
        <v>0</v>
      </c>
      <c r="H356" s="76">
        <f>COUNTIF('10月'!D21:E21,H$337)+COUNTIF('10月'!I21:J21,H$337)+COUNTIF('10月'!N21:O21,H$337)+COUNTIF('10月'!S21:T21,H$337)+COUNTIF('10月'!X21:Y21,H$337)+COUNTIF('10月'!AC21:AD21,H$337)+COUNTIF('10月'!AH21:AI21,H$337)+COUNTIF('10月'!AM21:AN21,H$337)+COUNTIF('10月'!AR21:AS21,H$337)+COUNTIF('10月'!AW21:AX21,H$337)+COUNTIF('10月'!BB21:BC21,H$337)+COUNTIF('10月'!BG21:BH21,H$337)+COUNTIF('10月'!BL21:BM21,H$337)+COUNTIF('10月'!BQ21:BR21,H$337)+COUNTIF('10月'!BV21:BW21,H$337)+COUNTIF('10月'!CA21:CB21,H$337)+COUNTIF('10月'!CF21:CG21,H$337)+COUNTIF('10月'!CK21:CL21,H$337)+COUNTIF('10月'!CP21:CQ21,H$337)+COUNTIF('10月'!CU21:CV21,H$337)+COUNTIF('10月'!CZ21:DA21,H$337)+COUNTIF('10月'!DE21:DF21,H$337)+COUNTIF('10月'!DJ21:DK21,H$337)+COUNTIF('10月'!DO21:DP21,H$337)+COUNTIF('10月'!DT21:DU21,H$337)+COUNTIF('10月'!DY21:DZ21,H$337)+COUNTIF('10月'!ED21:EE21,H$337)+COUNTIF('10月'!EI21:EJ21,H$337)+COUNTIF('10月'!EN21:EO21,H$337)+COUNTIF('10月'!ES21:ET21,H$337)+COUNTIF('10月'!D21:E21,"渋谷-夜勤")+COUNTIF('10月'!I21:J21,"渋谷-夜勤")+COUNTIF('10月'!N21:O21,"渋谷-夜勤")+COUNTIF('10月'!S21:T21,"渋谷-夜勤")+COUNTIF('10月'!X21:Y21,"渋谷-夜勤")+COUNTIF('10月'!AC21:AD21,"渋谷-夜勤")+COUNTIF('10月'!AH21:AI21,"渋谷-夜勤")+COUNTIF('10月'!AM21:AN21,"渋谷-夜勤")+COUNTIF('10月'!AR21:AS21,"渋谷-夜勤")+COUNTIF('10月'!AW21:AX21,"渋谷-夜勤")+COUNTIF('10月'!BB21:BC21,"渋谷-夜勤")+COUNTIF('10月'!BG21:BH21,"渋谷-夜勤")+COUNTIF('10月'!BL21:BM21,"渋谷-夜勤")+COUNTIF('10月'!BQ21:BR21,"渋谷-夜勤")+COUNTIF('10月'!BV21:BW21,"渋谷-夜勤")+COUNTIF('10月'!CA21:CB21,"渋谷-夜勤")+COUNTIF('10月'!CF21:CG21,"渋谷-夜勤")+COUNTIF('10月'!CK21:CL21,"渋谷-夜勤")+COUNTIF('10月'!CP21:CQ21,"渋谷-夜勤")+COUNTIF('10月'!CU21:CV21,"渋谷-夜勤")+COUNTIF('10月'!CZ21:DA21,"渋谷-夜勤")+COUNTIF('10月'!DE21:DF21,"渋谷-夜勤")+COUNTIF('10月'!DJ21:DK21,"渋谷-夜勤")+COUNTIF('10月'!DO21:DP21,"渋谷-夜勤")+COUNTIF('10月'!DT21:DU21,"渋谷-夜勤")+COUNTIF('10月'!DY21:DZ21,"渋谷-夜勤")+COUNTIF('10月'!ED21:EE21,"渋谷-夜勤")+COUNTIF('10月'!EI21:EJ21,"渋谷-夜勤")+COUNTIF('10月'!EN21:EO21,"渋谷-夜勤")+COUNTIF('10月'!ES21:ET21,"渋谷-夜勤")</f>
        <v>0</v>
      </c>
      <c r="I356" s="76">
        <f t="shared" si="111"/>
        <v>0</v>
      </c>
      <c r="J356" s="76">
        <f>COUNTIF('10月'!D21:E21,J$337)+COUNTIF('10月'!I21:J21,J$337)+COUNTIF('10月'!N21:O21,J$337)+COUNTIF('10月'!S21:T21,J$337)+COUNTIF('10月'!X21:Y21,J$337)+COUNTIF('10月'!AC21:AD21,J$337)+COUNTIF('10月'!AH21:AI21,J$337)+COUNTIF('10月'!AM21:AN21,J$337)+COUNTIF('10月'!AR21:AS21,J$337)+COUNTIF('10月'!AW21:AX21,J$337)+COUNTIF('10月'!BB21:BC21,J$337)+COUNTIF('10月'!BG21:BH21,J$337)+COUNTIF('10月'!BL21:BM21,J$337)+COUNTIF('10月'!BQ21:BR21,J$337)+COUNTIF('10月'!BV21:BW21,J$337)+COUNTIF('10月'!CA21:CB21,J$337)+COUNTIF('10月'!CF21:CG21,J$337)+COUNTIF('10月'!CK21:CL21,J$337)+COUNTIF('10月'!CP21:CQ21,J$337)+COUNTIF('10月'!CU21:CV21,J$337)+COUNTIF('10月'!CZ21:DA21,J$337)+COUNTIF('10月'!DE21:DF21,J$337)+COUNTIF('10月'!DJ21:DK21,J$337)+COUNTIF('10月'!DO21:DP21,J$337)+COUNTIF('10月'!DT21:DU21,J$337)+COUNTIF('10月'!DY21:DZ21,J$337)+COUNTIF('10月'!ED21:EE21,J$337)+COUNTIF('10月'!EI21:EJ21,J$337)+COUNTIF('10月'!EN21:EO21,J$337)+COUNTIF('10月'!ES21:ET21,J$337)+COUNTIF('10月'!D21:E21,"六本木-夜勤")+COUNTIF('10月'!I21:J21,"六本木-夜勤")+COUNTIF('10月'!N21:O21,"六本木-夜勤")+COUNTIF('10月'!S21:T21,"六本木-夜勤")+COUNTIF('10月'!X21:Y21,"六本木-夜勤")+COUNTIF('10月'!AC21:AD21,"六本木-夜勤")+COUNTIF('10月'!AH21:AI21,"六本木-夜勤")+COUNTIF('10月'!AM21:AN21,"六本木-夜勤")+COUNTIF('10月'!AR21:AS21,"六本木-夜勤")+COUNTIF('10月'!AW21:AX21,"六本木-夜勤")+COUNTIF('10月'!BB21:BC21,"六本木-夜勤")+COUNTIF('10月'!BG21:BH21,"六本木-夜勤")+COUNTIF('10月'!BL21:BM21,"六本木-夜勤")+COUNTIF('10月'!BQ21:BR21,"六本木-夜勤")+COUNTIF('10月'!BV21:BW21,"六本木-夜勤")+COUNTIF('10月'!CA21:CB21,"六本木-夜勤")+COUNTIF('10月'!CF21:CG21,"六本木-夜勤")+COUNTIF('10月'!CK21:CL21,"六本木-夜勤")+COUNTIF('10月'!CP21:CQ21,"六本木-夜勤")+COUNTIF('10月'!CU21:CV21,"六本木-夜勤")+COUNTIF('10月'!CZ21:DA21,"六本木-夜勤")+COUNTIF('10月'!DE21:DF21,"六本木-夜勤")+COUNTIF('10月'!DJ21:DK21,"六本木-夜勤")+COUNTIF('10月'!DO21:DP21,"六本木-夜勤")+COUNTIF('10月'!DT21:DU21,"六本木-夜勤")+COUNTIF('10月'!DY21:DZ21,"六本木-夜勤")+COUNTIF('10月'!ED21:EE21,"六本木-夜勤")+COUNTIF('10月'!EI21:EJ21,"六本木-夜勤")+COUNTIF('10月'!EN21:EO21,"六本木-夜勤")+COUNTIF('10月'!ES21:ET21,"六本木-夜勤")+COUNTIF('10月'!D21:E21,"六本木ー夜勤")+COUNTIF('10月'!I21:J21,"六本木ー夜勤")+COUNTIF('10月'!N21:O21,"六本木ー夜勤")+COUNTIF('10月'!S21:T21,"六本木ー夜勤")+COUNTIF('10月'!X21:Y21,"六本木ー夜勤")+COUNTIF('10月'!AC21:AD21,"六本木ー夜勤")+COUNTIF('10月'!AH21:AI21,"六本木ー夜勤")+COUNTIF('10月'!AM21:AN21,"六本木ー夜勤")+COUNTIF('10月'!AR21:AS21,"六本木ー夜勤")+COUNTIF('10月'!AW21:AX21,"六本木ー夜勤")+COUNTIF('10月'!BB21:BC21,"六本木ー夜勤")+COUNTIF('10月'!BG21:BH21,"六本木ー夜勤")+COUNTIF('10月'!BL21:BM21,"六本木ー夜勤")+COUNTIF('10月'!BQ21:BR21,"六本木ー夜勤")+COUNTIF('10月'!BV21:BW21,"六本木ー夜勤")+COUNTIF('10月'!CA21:CB21,"六本木ー夜勤")+COUNTIF('10月'!CF21:CG21,"六本木ー夜勤")+COUNTIF('10月'!CK21:CL21,"六本木ー夜勤")+COUNTIF('10月'!CP21:CQ21,"六本木ー夜勤")+COUNTIF('10月'!CU21:CV21,"六本木ー夜勤")+COUNTIF('10月'!CZ21:DA21,"六本木ー夜勤")+COUNTIF('10月'!DE21:DF21,"六本木ー夜勤")+COUNTIF('10月'!DJ21:DK21,"六本木ー夜勤")+COUNTIF('10月'!DO21:DP21,"六本木ー夜勤")+COUNTIF('10月'!DT21:DU21,"六本木ー夜勤")+COUNTIF('10月'!DY21:DZ21,"六本木ー夜勤")+COUNTIF('10月'!ED21:EE21,"六本木ー夜勤")+COUNTIF('10月'!EI21:EJ21,"六本木ー夜勤")+COUNTIF('10月'!EN21:EO21,"六本木ー夜勤")+COUNTIF('10月'!ES21:ET21,"六本木ー夜勤")</f>
        <v>0</v>
      </c>
      <c r="K356" s="76">
        <f t="shared" si="112"/>
        <v>0</v>
      </c>
      <c r="L356" s="76">
        <f>COUNTIF('10月'!D21:E21,L$337)+COUNTIF('10月'!I21:J21,L$337)+COUNTIF('10月'!N21:O21,L$337)+COUNTIF('10月'!S21:T21,L$337)+COUNTIF('10月'!X21:Y21,L$337)+COUNTIF('10月'!AC21:AD21,L$337)+COUNTIF('10月'!AH21:AI21,L$337)+COUNTIF('10月'!AM21:AN21,L$337)+COUNTIF('10月'!AR21:AS21,L$337)+COUNTIF('10月'!AW21:AX21,L$337)+COUNTIF('10月'!BB21:BC21,L$337)+COUNTIF('10月'!BG21:BH21,L$337)+COUNTIF('10月'!BL21:BM21,L$337)+COUNTIF('10月'!BQ21:BR21,L$337)+COUNTIF('10月'!BV21:BW21,L$337)+COUNTIF('10月'!CA21:CB21,L$337)+COUNTIF('10月'!CF21:CG21,L$337)+COUNTIF('10月'!CK21:CL21,L$337)+COUNTIF('10月'!CP21:CQ21,L$337)+COUNTIF('10月'!CU21:CV21,L$337)+COUNTIF('10月'!CZ21:DA21,L$337)+COUNTIF('10月'!DE21:DF21,L$337)+COUNTIF('10月'!DJ21:DK21,L$337)+COUNTIF('10月'!DO21:DP21,L$337)+COUNTIF('10月'!DT21:DU21,L$337)+COUNTIF('10月'!DY21:DZ21,L$337)+COUNTIF('10月'!ED21:EE21,L$337)+COUNTIF('10月'!EI21:EJ21,L$337)+COUNTIF('10月'!EN21:EO21,L$337)+COUNTIF('10月'!ES21:ET21,L$337)</f>
        <v>0</v>
      </c>
      <c r="M356" s="76">
        <f t="shared" si="113"/>
        <v>0</v>
      </c>
      <c r="N356" s="76">
        <f>COUNTIF('10月'!D21:E21,N$337)+COUNTIF('10月'!I21:J21,N$337)+COUNTIF('10月'!N21:O21,N$337)+COUNTIF('10月'!S21:T21,N$337)+COUNTIF('10月'!X21:Y21,N$337)+COUNTIF('10月'!AC21:AD21,N$337)+COUNTIF('10月'!AH21:AI21,N$337)+COUNTIF('10月'!AM21:AN21,N$337)+COUNTIF('10月'!AR21:AS21,N$337)+COUNTIF('10月'!AW21:AX21,N$337)+COUNTIF('10月'!BB21:BC21,N$337)+COUNTIF('10月'!BG21:BH21,N$337)+COUNTIF('10月'!BL21:BM21,N$337)+COUNTIF('10月'!BQ21:BR21,N$337)+COUNTIF('10月'!BV21:BW21,N$337)+COUNTIF('10月'!CA21:CB21,N$337)+COUNTIF('10月'!CF21:CG21,N$337)+COUNTIF('10月'!CK21:CL21,N$337)+COUNTIF('10月'!CP21:CQ21,N$337)+COUNTIF('10月'!CU21:CV21,N$337)+COUNTIF('10月'!CZ21:DA21,N$337)+COUNTIF('10月'!DE21:DF21,N$337)+COUNTIF('10月'!DJ21:DK21,N$337)+COUNTIF('10月'!DO21:DP21,N$337)+COUNTIF('10月'!DT21:DU21,N$337)+COUNTIF('10月'!DY21:DZ21,N$337)+COUNTIF('10月'!ED21:EE21,N$337)+COUNTIF('10月'!EI21:EJ21,N$337)+COUNTIF('10月'!EN21:EO21,N$337)+COUNTIF('10月'!ES21:ET21,N$337)+COUNTIF('10月'!D21:E21,"三軒茶屋－夜勤")+COUNTIF('10月'!I21:J21,"三軒茶屋－夜勤")+COUNTIF('10月'!N21:O21,"三軒茶屋－夜勤")+COUNTIF('10月'!S21:T21,"三軒茶屋－夜勤")+COUNTIF('10月'!X21:Y21,"三軒茶屋－夜勤")+COUNTIF('10月'!AC21:AD21,"三軒茶屋－夜勤")+COUNTIF('10月'!AH21:AI21,"三軒茶屋－夜勤")+COUNTIF('10月'!AM21:AN21,"三軒茶屋－夜勤")+COUNTIF('10月'!AR21:AS21,"三軒茶屋－夜勤")+COUNTIF('10月'!AW21:AX21,"三軒茶屋－夜勤")+COUNTIF('10月'!BB21:BC21,"三軒茶屋－夜勤")+COUNTIF('10月'!BG21:BH21,"三軒茶屋－夜勤")+COUNTIF('10月'!BL21:BM21,"三軒茶屋－夜勤")+COUNTIF('10月'!BQ21:BR21,"三軒茶屋－夜勤")+COUNTIF('10月'!BV21:BW21,"三軒茶屋－夜勤")+COUNTIF('10月'!CA21:CB21,"三軒茶屋－夜勤")+COUNTIF('10月'!CF21:CG21,"三軒茶屋－夜勤")+COUNTIF('10月'!CK21:CL21,"三軒茶屋－夜勤")+COUNTIF('10月'!CP21:CQ21,"三軒茶屋－夜勤")+COUNTIF('10月'!CU21:CV21,"三軒茶屋－夜勤")+COUNTIF('10月'!CZ21:DA21,"三軒茶屋－夜勤")+COUNTIF('10月'!DE21:DF21,"三軒茶屋－夜勤")+COUNTIF('10月'!DJ21:DK21,"三軒茶屋－夜勤")+COUNTIF('10月'!DO21:DP21,"三軒茶屋－夜勤")+COUNTIF('10月'!DT21:DU21,"三軒茶屋－夜勤")+COUNTIF('10月'!DY21:DZ21,"三軒茶屋－夜勤")+COUNTIF('10月'!ED21:EE21,"三軒茶屋－夜勤")+COUNTIF('10月'!EI21:EJ21,"三軒茶屋－夜勤")+COUNTIF('10月'!EN21:EO21,"三軒茶屋－夜勤")+COUNTIF('10月'!ES21:ET21,"三軒茶屋－夜勤")</f>
        <v>0</v>
      </c>
      <c r="O356" s="76">
        <f t="shared" si="114"/>
        <v>0</v>
      </c>
      <c r="P356" s="76">
        <f>COUNTIF('10月'!D21:E21,P$337)+COUNTIF('10月'!I21:J21,P$337)+COUNTIF('10月'!N21:O21,P$337)+COUNTIF('10月'!S21:T21,P$337)+COUNTIF('10月'!X21:Y21,P$337)+COUNTIF('10月'!AC21:AD21,P$337)+COUNTIF('10月'!AH21:AI21,P$337)+COUNTIF('10月'!AM21:AN21,P$337)+COUNTIF('10月'!AR21:AS21,P$337)+COUNTIF('10月'!AW21:AX21,P$337)+COUNTIF('10月'!BB21:BC21,P$337)+COUNTIF('10月'!BG21:BH21,P$337)+COUNTIF('10月'!BL21:BM21,P$337)+COUNTIF('10月'!BQ21:BR21,P$337)+COUNTIF('10月'!BV21:BW21,P$337)+COUNTIF('10月'!CA21:CB21,P$337)+COUNTIF('10月'!CF21:CG21,P$337)+COUNTIF('10月'!CK21:CL21,P$337)+COUNTIF('10月'!CP21:CQ21,P$337)+COUNTIF('10月'!CU21:CV21,P$337)+COUNTIF('10月'!CZ21:DA21,P$337)+COUNTIF('10月'!DE21:DF21,P$337)+COUNTIF('10月'!DJ21:DK21,P$337)+COUNTIF('10月'!DO21:DP21,P$337)+COUNTIF('10月'!DT21:DU21,P$337)+COUNTIF('10月'!DY21:DZ21,P$337)+COUNTIF('10月'!ED21:EE21,P$337)+COUNTIF('10月'!EI21:EJ21,P$337)+COUNTIF('10月'!EN21:EO21,P$337)+COUNTIF('10月'!ES21:ET21,P$337)+COUNTIF('10月'!D21:E21,"荻窪ー夜勤")+COUNTIF('10月'!I21:J21,"荻窪ー夜勤")+COUNTIF('10月'!N21:O21,"荻窪ー夜勤")+COUNTIF('10月'!S21:T21,"荻窪ー夜勤")+COUNTIF('10月'!X21:Y21,"荻窪ー夜勤")+COUNTIF('10月'!AC21:AD21,"荻窪ー夜勤")+COUNTIF('10月'!AH21:AI21,"荻窪ー夜勤")+COUNTIF('10月'!AM21:AN21,"荻窪ー夜勤")+COUNTIF('10月'!AR21:AS21,"荻窪ー夜勤")+COUNTIF('10月'!AW21:AX21,"荻窪ー夜勤")+COUNTIF('10月'!BB21:BC21,"荻窪ー夜勤")+COUNTIF('10月'!BG21:BH21,"荻窪ー夜勤")+COUNTIF('10月'!BL21:BM21,"荻窪ー夜勤")+COUNTIF('10月'!BQ21:BR21,"荻窪ー夜勤")+COUNTIF('10月'!BV21:BW21,"荻窪ー夜勤")+COUNTIF('10月'!CA21:CB21,"荻窪ー夜勤")+COUNTIF('10月'!CF21:CG21,"荻窪ー夜勤")+COUNTIF('10月'!CK21:CL21,"荻窪ー夜勤")+COUNTIF('10月'!CP21:CQ21,"荻窪ー夜勤")+COUNTIF('10月'!CU21:CV21,"荻窪ー夜勤")+COUNTIF('10月'!CZ21:DA21,"荻窪ー夜勤")+COUNTIF('10月'!DE21:DF21,"荻窪ー夜勤")+COUNTIF('10月'!DJ21:DK21,"荻窪ー夜勤")+COUNTIF('10月'!DO21:DP21,"荻窪ー夜勤")+COUNTIF('10月'!DT21:DU21,"荻窪ー夜勤")+COUNTIF('10月'!DY21:DZ21,"荻窪ー夜勤")+COUNTIF('10月'!ED21:EE21,"荻窪ー夜勤")+COUNTIF('10月'!EI21:EJ21,"荻窪ー夜勤")+COUNTIF('10月'!EN21:EO21,"荻窪ー夜勤")+COUNTIF('10月'!ES21:ET21,"荻窪ー夜勤")</f>
        <v>0</v>
      </c>
      <c r="Q356" s="76">
        <f t="shared" si="115"/>
        <v>0</v>
      </c>
      <c r="R356" s="76">
        <f>COUNTIF('10月'!D21:E21,R$337)+COUNTIF('10月'!I21:J21,R$337)+COUNTIF('10月'!N21:O21,R$337)+COUNTIF('10月'!S21:T21,R$337)+COUNTIF('10月'!X21:Y21,R$337)+COUNTIF('10月'!AC21:AD21,R$337)+COUNTIF('10月'!AH21:AI21,R$337)+COUNTIF('10月'!AM21:AN21,R$337)+COUNTIF('10月'!AR21:AS21,R$337)+COUNTIF('10月'!AW21:AX21,R$337)+COUNTIF('10月'!BB21:BC21,R$337)+COUNTIF('10月'!BG21:BH21,R$337)+COUNTIF('10月'!BL21:BM21,R$337)+COUNTIF('10月'!BQ21:BR21,R$337)+COUNTIF('10月'!BV21:BW21,R$337)+COUNTIF('10月'!CA21:CB21,R$337)+COUNTIF('10月'!CF21:CG21,R$337)+COUNTIF('10月'!CK21:CL21,R$337)+COUNTIF('10月'!CP21:CQ21,R$337)+COUNTIF('10月'!CU21:CV21,R$337)+COUNTIF('10月'!CZ21:DA21,R$337)+COUNTIF('10月'!DE21:DF21,R$337)+COUNTIF('10月'!DJ21:DK21,R$337)+COUNTIF('10月'!DO21:DP21,R$337)+COUNTIF('10月'!DT21:DU21,R$337)+COUNTIF('10月'!DY21:DZ21,R$337)+COUNTIF('10月'!ED21:EE21,R$337)+COUNTIF('10月'!EI21:EJ21,R$337)+COUNTIF('10月'!EN21:EO21,R$337)+COUNTIF('10月'!ES21:ET21,R$337)</f>
        <v>0</v>
      </c>
      <c r="S356" s="76">
        <f t="shared" si="116"/>
        <v>0</v>
      </c>
      <c r="T356" s="76">
        <f>COUNTIF('10月'!D21:E21,T$337)+COUNTIF('10月'!I21:J21,T$337)+COUNTIF('10月'!N21:O21,T$337)+COUNTIF('10月'!S21:T21,T$337)+COUNTIF('10月'!X21:Y21,T$337)+COUNTIF('10月'!AC21:AD21,T$337)+COUNTIF('10月'!AH21:AI21,T$337)+COUNTIF('10月'!AM21:AN21,T$337)+COUNTIF('10月'!AR21:AS21,T$337)+COUNTIF('10月'!AW21:AX21,T$337)+COUNTIF('10月'!BB21:BC21,T$337)+COUNTIF('10月'!BG21:BH21,T$337)+COUNTIF('10月'!BL21:BM21,T$337)+COUNTIF('10月'!BQ21:BR21,T$337)+COUNTIF('10月'!BV21:BW21,T$337)+COUNTIF('10月'!CA21:CB21,T$337)+COUNTIF('10月'!CF21:CG21,T$337)+COUNTIF('10月'!CK21:CL21,T$337)+COUNTIF('10月'!CP21:CQ21,T$337)+COUNTIF('10月'!CU21:CV21,T$337)+COUNTIF('10月'!CZ21:DA21,T$337)+COUNTIF('10月'!DE21:DF21,T$337)+COUNTIF('10月'!DJ21:DK21,T$337)+COUNTIF('10月'!DO21:DP21,T$337)+COUNTIF('10月'!DT21:DU21,T$337)+COUNTIF('10月'!DY21:DZ21,T$337)+COUNTIF('10月'!ED21:EE21,T$337)+COUNTIF('10月'!EI21:EJ21,T$337)+COUNTIF('10月'!EN21:EO21,T$337)+COUNTIF('10月'!ES21:ET21,T$337)</f>
        <v>0</v>
      </c>
      <c r="U356" s="76">
        <f t="shared" si="117"/>
        <v>0</v>
      </c>
      <c r="V356" s="76">
        <f>COUNTIF('10月'!D21:E21,V$337)+COUNTIF('10月'!I21:J21,V$337)+COUNTIF('10月'!N21:O21,V$337)+COUNTIF('10月'!S21:T21,V$337)+COUNTIF('10月'!X21:Y21,V$337)+COUNTIF('10月'!AC21:AD21,V$337)+COUNTIF('10月'!AH21:AI21,V$337)+COUNTIF('10月'!AM21:AN21,V$337)+COUNTIF('10月'!AR21:AS21,V$337)+COUNTIF('10月'!AW21:AX21,V$337)+COUNTIF('10月'!BB21:BC21,V$337)+COUNTIF('10月'!BG21:BH21,V$337)+COUNTIF('10月'!BL21:BM21,V$337)+COUNTIF('10月'!BQ21:BR21,V$337)+COUNTIF('10月'!BV21:BW21,V$337)+COUNTIF('10月'!CA21:CB21,V$337)+COUNTIF('10月'!CF21:CG21,V$337)+COUNTIF('10月'!CK21:CL21,V$337)+COUNTIF('10月'!CP21:CQ21,V$337)+COUNTIF('10月'!CU21:CV21,V$337)+COUNTIF('10月'!CZ21:DA21,V$337)+COUNTIF('10月'!DE21:DF21,V$337)+COUNTIF('10月'!DJ21:DK21,V$337)+COUNTIF('10月'!DO21:DP21,V$337)+COUNTIF('10月'!DT21:DU21,V$337)+COUNTIF('10月'!DY21:DZ21,V$337)+COUNTIF('10月'!ED21:EE21,V$337)+COUNTIF('10月'!EI21:EJ21,V$337)+COUNTIF('10月'!EN21:EO21,V$337)+COUNTIF('10月'!ES21:ET21,V$337)</f>
        <v>0</v>
      </c>
      <c r="W356" s="76">
        <f t="shared" si="118"/>
        <v>0</v>
      </c>
      <c r="X356" s="76">
        <f>COUNTIF('10月'!D21:E21,X$337)+COUNTIF('10月'!I21:J21,X$337)+COUNTIF('10月'!N21:O21,X$337)+COUNTIF('10月'!S21:T21,X$337)+COUNTIF('10月'!X21:Y21,X$337)+COUNTIF('10月'!AC21:AD21,X$337)+COUNTIF('10月'!AH21:AI21,X$337)+COUNTIF('10月'!AM21:AN21,X$337)+COUNTIF('10月'!AR21:AS21,X$337)+COUNTIF('10月'!AW21:AX21,X$337)+COUNTIF('10月'!BB21:BC21,X$337)+COUNTIF('10月'!BG21:BH21,X$337)+COUNTIF('10月'!BL21:BM21,X$337)+COUNTIF('10月'!BQ21:BR21,X$337)+COUNTIF('10月'!BV21:BW21,X$337)+COUNTIF('10月'!CA21:CB21,X$337)+COUNTIF('10月'!CF21:CG21,X$337)+COUNTIF('10月'!CK21:CL21,X$337)+COUNTIF('10月'!CP21:CQ21,X$337)+COUNTIF('10月'!CU21:CV21,X$337)+COUNTIF('10月'!CZ21:DA21,X$337)+COUNTIF('10月'!DE21:DF21,X$337)+COUNTIF('10月'!DJ21:DK21,X$337)+COUNTIF('10月'!DO21:DP21,X$337)+COUNTIF('10月'!DT21:DU21,X$337)+COUNTIF('10月'!DY21:DZ21,X$337)+COUNTIF('10月'!ED21:EE21,X$337)+COUNTIF('10月'!EI21:EJ21,X$337)+COUNTIF('10月'!EN21:EO21,X$337)+COUNTIF('10月'!ES21:ET21,X$337)</f>
        <v>0</v>
      </c>
      <c r="Y356" s="76">
        <f t="shared" si="119"/>
        <v>0</v>
      </c>
    </row>
    <row r="357" spans="1:25" ht="18" customHeight="1">
      <c r="A357" s="76">
        <v>19</v>
      </c>
      <c r="B357" s="76">
        <f>COUNTIF('10月'!D22:E22,B$337)+COUNTIF('10月'!I22:J22,B$337)+COUNTIF('10月'!N22:O22,B$337)+COUNTIF('10月'!S22:T22,B$337)+COUNTIF('10月'!X22:Y22,B$337)+COUNTIF('10月'!AC22:AD22,B$337)+COUNTIF('10月'!AH22:AI22,B$337)+COUNTIF('10月'!AM22:AN22,B$337)+COUNTIF('10月'!AR22:AS22,B$337)+COUNTIF('10月'!AW22:AX22,B$337)+COUNTIF('10月'!BB22:BC22,B$337)+COUNTIF('10月'!BG22:BH22,B$337)+COUNTIF('10月'!BL22:BM22,B$337)+COUNTIF('10月'!BQ22:BR22,B$337)+COUNTIF('10月'!BV22:BW22,B$337)+COUNTIF('10月'!CA22:CB22,B$337)+COUNTIF('10月'!CF22:CG22,B$337)+COUNTIF('10月'!CK22:CL22,B$337)+COUNTIF('10月'!CP22:CQ22,B$337)+COUNTIF('10月'!CU22:CV22,B$337)+COUNTIF('10月'!CZ22:DA22,B$337)+COUNTIF('10月'!DE22:DF22,B$337)+COUNTIF('10月'!DJ22:DK22,B$337)+COUNTIF('10月'!DO22:DP22,B$337)+COUNTIF('10月'!DT22:DU22,B$337)+COUNTIF('10月'!DY22:DZ22,B$337)+COUNTIF('10月'!ED22:EE22,B$337)+COUNTIF('10月'!EI22:EJ22,B$337)+COUNTIF('10月'!EN22:EO22,B$337)+COUNTIF('10月'!ES22:ET22,B$337)</f>
        <v>0</v>
      </c>
      <c r="C357" s="76">
        <f t="shared" si="108"/>
        <v>0</v>
      </c>
      <c r="D357" s="76">
        <f>COUNTIF('10月'!D22:E22,D$337)+COUNTIF('10月'!I22:J22,D$337)+COUNTIF('10月'!N22:O22,D$337)+COUNTIF('10月'!S22:T22,D$337)+COUNTIF('10月'!X22:Y22,D$337)+COUNTIF('10月'!AC22:AD22,D$337)+COUNTIF('10月'!AH22:AI22,D$337)+COUNTIF('10月'!AM22:AN22,D$337)+COUNTIF('10月'!AR22:AS22,D$337)+COUNTIF('10月'!AW22:AX22,D$337)+COUNTIF('10月'!BB22:BC22,D$337)+COUNTIF('10月'!BG22:BH22,D$337)+COUNTIF('10月'!BL22:BM22,D$337)+COUNTIF('10月'!BQ22:BR22,D$337)+COUNTIF('10月'!BV22:BW22,D$337)+COUNTIF('10月'!CA22:CB22,D$337)+COUNTIF('10月'!CF22:CG22,D$337)+COUNTIF('10月'!CK22:CL22,D$337)+COUNTIF('10月'!CP22:CQ22,D$337)+COUNTIF('10月'!CU22:CV22,D$337)+COUNTIF('10月'!CZ22:DA22,D$337)+COUNTIF('10月'!DE22:DF22,D$337)+COUNTIF('10月'!DJ22:DK22,D$337)+COUNTIF('10月'!DO22:DP22,D$337)+COUNTIF('10月'!DT22:DU22,D$337)+COUNTIF('10月'!DY22:DZ22,D$337)+COUNTIF('10月'!ED22:EE22,D$337)+COUNTIF('10月'!EI22:EJ22,D$337)+COUNTIF('10月'!EN22:EO22,D$337)+COUNTIF('10月'!ES22:ET22,D$337)</f>
        <v>0</v>
      </c>
      <c r="E357" s="76">
        <f t="shared" si="109"/>
        <v>0</v>
      </c>
      <c r="F357" s="76">
        <f>COUNTIF('10月'!D22:E22,F$337)+COUNTIF('10月'!I22:J22,F$337)+COUNTIF('10月'!N22:O22,F$337)+COUNTIF('10月'!S22:T22,F$337)+COUNTIF('10月'!X22:Y22,F$337)+COUNTIF('10月'!AC22:AD22,F$337)+COUNTIF('10月'!AH22:AI22,F$337)+COUNTIF('10月'!AM22:AN22,F$337)+COUNTIF('10月'!AR22:AS22,F$337)+COUNTIF('10月'!AW22:AX22,F$337)+COUNTIF('10月'!BB22:BC22,F$337)+COUNTIF('10月'!BG22:BH22,F$337)+COUNTIF('10月'!BL22:BM22,F$337)+COUNTIF('10月'!BQ22:BR22,F$337)+COUNTIF('10月'!BV22:BW22,F$337)+COUNTIF('10月'!CA22:CB22,F$337)+COUNTIF('10月'!CF22:CG22,F$337)+COUNTIF('10月'!CK22:CL22,F$337)+COUNTIF('10月'!CP22:CQ22,F$337)+COUNTIF('10月'!CU22:CV22,F$337)+COUNTIF('10月'!CZ22:DA22,F$337)+COUNTIF('10月'!DE22:DF22,F$337)+COUNTIF('10月'!DJ22:DK22,F$337)+COUNTIF('10月'!DO22:DP22,F$337)+COUNTIF('10月'!DT22:DU22,F$337)+COUNTIF('10月'!DY22:DZ22,F$337)+COUNTIF('10月'!ED22:EE22,F$337)+COUNTIF('10月'!EI22:EJ22,F$337)+COUNTIF('10月'!EN22:EO22,F$337)+COUNTIF('10月'!ES22:ET22,F$337)</f>
        <v>0</v>
      </c>
      <c r="G357" s="76">
        <f t="shared" si="110"/>
        <v>0</v>
      </c>
      <c r="H357" s="76">
        <f>COUNTIF('10月'!D22:E22,H$337)+COUNTIF('10月'!I22:J22,H$337)+COUNTIF('10月'!N22:O22,H$337)+COUNTIF('10月'!S22:T22,H$337)+COUNTIF('10月'!X22:Y22,H$337)+COUNTIF('10月'!AC22:AD22,H$337)+COUNTIF('10月'!AH22:AI22,H$337)+COUNTIF('10月'!AM22:AN22,H$337)+COUNTIF('10月'!AR22:AS22,H$337)+COUNTIF('10月'!AW22:AX22,H$337)+COUNTIF('10月'!BB22:BC22,H$337)+COUNTIF('10月'!BG22:BH22,H$337)+COUNTIF('10月'!BL22:BM22,H$337)+COUNTIF('10月'!BQ22:BR22,H$337)+COUNTIF('10月'!BV22:BW22,H$337)+COUNTIF('10月'!CA22:CB22,H$337)+COUNTIF('10月'!CF22:CG22,H$337)+COUNTIF('10月'!CK22:CL22,H$337)+COUNTIF('10月'!CP22:CQ22,H$337)+COUNTIF('10月'!CU22:CV22,H$337)+COUNTIF('10月'!CZ22:DA22,H$337)+COUNTIF('10月'!DE22:DF22,H$337)+COUNTIF('10月'!DJ22:DK22,H$337)+COUNTIF('10月'!DO22:DP22,H$337)+COUNTIF('10月'!DT22:DU22,H$337)+COUNTIF('10月'!DY22:DZ22,H$337)+COUNTIF('10月'!ED22:EE22,H$337)+COUNTIF('10月'!EI22:EJ22,H$337)+COUNTIF('10月'!EN22:EO22,H$337)+COUNTIF('10月'!ES22:ET22,H$337)+COUNTIF('10月'!D22:E22,"渋谷-夜勤")+COUNTIF('10月'!I22:J22,"渋谷-夜勤")+COUNTIF('10月'!N22:O22,"渋谷-夜勤")+COUNTIF('10月'!S22:T22,"渋谷-夜勤")+COUNTIF('10月'!X22:Y22,"渋谷-夜勤")+COUNTIF('10月'!AC22:AD22,"渋谷-夜勤")+COUNTIF('10月'!AH22:AI22,"渋谷-夜勤")+COUNTIF('10月'!AM22:AN22,"渋谷-夜勤")+COUNTIF('10月'!AR22:AS22,"渋谷-夜勤")+COUNTIF('10月'!AW22:AX22,"渋谷-夜勤")+COUNTIF('10月'!BB22:BC22,"渋谷-夜勤")+COUNTIF('10月'!BG22:BH22,"渋谷-夜勤")+COUNTIF('10月'!BL22:BM22,"渋谷-夜勤")+COUNTIF('10月'!BQ22:BR22,"渋谷-夜勤")+COUNTIF('10月'!BV22:BW22,"渋谷-夜勤")+COUNTIF('10月'!CA22:CB22,"渋谷-夜勤")+COUNTIF('10月'!CF22:CG22,"渋谷-夜勤")+COUNTIF('10月'!CK22:CL22,"渋谷-夜勤")+COUNTIF('10月'!CP22:CQ22,"渋谷-夜勤")+COUNTIF('10月'!CU22:CV22,"渋谷-夜勤")+COUNTIF('10月'!CZ22:DA22,"渋谷-夜勤")+COUNTIF('10月'!DE22:DF22,"渋谷-夜勤")+COUNTIF('10月'!DJ22:DK22,"渋谷-夜勤")+COUNTIF('10月'!DO22:DP22,"渋谷-夜勤")+COUNTIF('10月'!DT22:DU22,"渋谷-夜勤")+COUNTIF('10月'!DY22:DZ22,"渋谷-夜勤")+COUNTIF('10月'!ED22:EE22,"渋谷-夜勤")+COUNTIF('10月'!EI22:EJ22,"渋谷-夜勤")+COUNTIF('10月'!EN22:EO22,"渋谷-夜勤")+COUNTIF('10月'!ES22:ET22,"渋谷-夜勤")</f>
        <v>0</v>
      </c>
      <c r="I357" s="76">
        <f t="shared" si="111"/>
        <v>0</v>
      </c>
      <c r="J357" s="76">
        <f>COUNTIF('10月'!D22:E22,J$337)+COUNTIF('10月'!I22:J22,J$337)+COUNTIF('10月'!N22:O22,J$337)+COUNTIF('10月'!S22:T22,J$337)+COUNTIF('10月'!X22:Y22,J$337)+COUNTIF('10月'!AC22:AD22,J$337)+COUNTIF('10月'!AH22:AI22,J$337)+COUNTIF('10月'!AM22:AN22,J$337)+COUNTIF('10月'!AR22:AS22,J$337)+COUNTIF('10月'!AW22:AX22,J$337)+COUNTIF('10月'!BB22:BC22,J$337)+COUNTIF('10月'!BG22:BH22,J$337)+COUNTIF('10月'!BL22:BM22,J$337)+COUNTIF('10月'!BQ22:BR22,J$337)+COUNTIF('10月'!BV22:BW22,J$337)+COUNTIF('10月'!CA22:CB22,J$337)+COUNTIF('10月'!CF22:CG22,J$337)+COUNTIF('10月'!CK22:CL22,J$337)+COUNTIF('10月'!CP22:CQ22,J$337)+COUNTIF('10月'!CU22:CV22,J$337)+COUNTIF('10月'!CZ22:DA22,J$337)+COUNTIF('10月'!DE22:DF22,J$337)+COUNTIF('10月'!DJ22:DK22,J$337)+COUNTIF('10月'!DO22:DP22,J$337)+COUNTIF('10月'!DT22:DU22,J$337)+COUNTIF('10月'!DY22:DZ22,J$337)+COUNTIF('10月'!ED22:EE22,J$337)+COUNTIF('10月'!EI22:EJ22,J$337)+COUNTIF('10月'!EN22:EO22,J$337)+COUNTIF('10月'!ES22:ET22,J$337)+COUNTIF('10月'!D22:E22,"六本木-夜勤")+COUNTIF('10月'!I22:J22,"六本木-夜勤")+COUNTIF('10月'!N22:O22,"六本木-夜勤")+COUNTIF('10月'!S22:T22,"六本木-夜勤")+COUNTIF('10月'!X22:Y22,"六本木-夜勤")+COUNTIF('10月'!AC22:AD22,"六本木-夜勤")+COUNTIF('10月'!AH22:AI22,"六本木-夜勤")+COUNTIF('10月'!AM22:AN22,"六本木-夜勤")+COUNTIF('10月'!AR22:AS22,"六本木-夜勤")+COUNTIF('10月'!AW22:AX22,"六本木-夜勤")+COUNTIF('10月'!BB22:BC22,"六本木-夜勤")+COUNTIF('10月'!BG22:BH22,"六本木-夜勤")+COUNTIF('10月'!BL22:BM22,"六本木-夜勤")+COUNTIF('10月'!BQ22:BR22,"六本木-夜勤")+COUNTIF('10月'!BV22:BW22,"六本木-夜勤")+COUNTIF('10月'!CA22:CB22,"六本木-夜勤")+COUNTIF('10月'!CF22:CG22,"六本木-夜勤")+COUNTIF('10月'!CK22:CL22,"六本木-夜勤")+COUNTIF('10月'!CP22:CQ22,"六本木-夜勤")+COUNTIF('10月'!CU22:CV22,"六本木-夜勤")+COUNTIF('10月'!CZ22:DA22,"六本木-夜勤")+COUNTIF('10月'!DE22:DF22,"六本木-夜勤")+COUNTIF('10月'!DJ22:DK22,"六本木-夜勤")+COUNTIF('10月'!DO22:DP22,"六本木-夜勤")+COUNTIF('10月'!DT22:DU22,"六本木-夜勤")+COUNTIF('10月'!DY22:DZ22,"六本木-夜勤")+COUNTIF('10月'!ED22:EE22,"六本木-夜勤")+COUNTIF('10月'!EI22:EJ22,"六本木-夜勤")+COUNTIF('10月'!EN22:EO22,"六本木-夜勤")+COUNTIF('10月'!ES22:ET22,"六本木-夜勤")+COUNTIF('10月'!D22:E22,"六本木ー夜勤")+COUNTIF('10月'!I22:J22,"六本木ー夜勤")+COUNTIF('10月'!N22:O22,"六本木ー夜勤")+COUNTIF('10月'!S22:T22,"六本木ー夜勤")+COUNTIF('10月'!X22:Y22,"六本木ー夜勤")+COUNTIF('10月'!AC22:AD22,"六本木ー夜勤")+COUNTIF('10月'!AH22:AI22,"六本木ー夜勤")+COUNTIF('10月'!AM22:AN22,"六本木ー夜勤")+COUNTIF('10月'!AR22:AS22,"六本木ー夜勤")+COUNTIF('10月'!AW22:AX22,"六本木ー夜勤")+COUNTIF('10月'!BB22:BC22,"六本木ー夜勤")+COUNTIF('10月'!BG22:BH22,"六本木ー夜勤")+COUNTIF('10月'!BL22:BM22,"六本木ー夜勤")+COUNTIF('10月'!BQ22:BR22,"六本木ー夜勤")+COUNTIF('10月'!BV22:BW22,"六本木ー夜勤")+COUNTIF('10月'!CA22:CB22,"六本木ー夜勤")+COUNTIF('10月'!CF22:CG22,"六本木ー夜勤")+COUNTIF('10月'!CK22:CL22,"六本木ー夜勤")+COUNTIF('10月'!CP22:CQ22,"六本木ー夜勤")+COUNTIF('10月'!CU22:CV22,"六本木ー夜勤")+COUNTIF('10月'!CZ22:DA22,"六本木ー夜勤")+COUNTIF('10月'!DE22:DF22,"六本木ー夜勤")+COUNTIF('10月'!DJ22:DK22,"六本木ー夜勤")+COUNTIF('10月'!DO22:DP22,"六本木ー夜勤")+COUNTIF('10月'!DT22:DU22,"六本木ー夜勤")+COUNTIF('10月'!DY22:DZ22,"六本木ー夜勤")+COUNTIF('10月'!ED22:EE22,"六本木ー夜勤")+COUNTIF('10月'!EI22:EJ22,"六本木ー夜勤")+COUNTIF('10月'!EN22:EO22,"六本木ー夜勤")+COUNTIF('10月'!ES22:ET22,"六本木ー夜勤")</f>
        <v>0</v>
      </c>
      <c r="K357" s="76">
        <f t="shared" si="112"/>
        <v>0</v>
      </c>
      <c r="L357" s="76">
        <f>COUNTIF('10月'!D22:E22,L$337)+COUNTIF('10月'!I22:J22,L$337)+COUNTIF('10月'!N22:O22,L$337)+COUNTIF('10月'!S22:T22,L$337)+COUNTIF('10月'!X22:Y22,L$337)+COUNTIF('10月'!AC22:AD22,L$337)+COUNTIF('10月'!AH22:AI22,L$337)+COUNTIF('10月'!AM22:AN22,L$337)+COUNTIF('10月'!AR22:AS22,L$337)+COUNTIF('10月'!AW22:AX22,L$337)+COUNTIF('10月'!BB22:BC22,L$337)+COUNTIF('10月'!BG22:BH22,L$337)+COUNTIF('10月'!BL22:BM22,L$337)+COUNTIF('10月'!BQ22:BR22,L$337)+COUNTIF('10月'!BV22:BW22,L$337)+COUNTIF('10月'!CA22:CB22,L$337)+COUNTIF('10月'!CF22:CG22,L$337)+COUNTIF('10月'!CK22:CL22,L$337)+COUNTIF('10月'!CP22:CQ22,L$337)+COUNTIF('10月'!CU22:CV22,L$337)+COUNTIF('10月'!CZ22:DA22,L$337)+COUNTIF('10月'!DE22:DF22,L$337)+COUNTIF('10月'!DJ22:DK22,L$337)+COUNTIF('10月'!DO22:DP22,L$337)+COUNTIF('10月'!DT22:DU22,L$337)+COUNTIF('10月'!DY22:DZ22,L$337)+COUNTIF('10月'!ED22:EE22,L$337)+COUNTIF('10月'!EI22:EJ22,L$337)+COUNTIF('10月'!EN22:EO22,L$337)+COUNTIF('10月'!ES22:ET22,L$337)</f>
        <v>0</v>
      </c>
      <c r="M357" s="76">
        <f t="shared" si="113"/>
        <v>0</v>
      </c>
      <c r="N357" s="76">
        <f>COUNTIF('10月'!D22:E22,N$337)+COUNTIF('10月'!I22:J22,N$337)+COUNTIF('10月'!N22:O22,N$337)+COUNTIF('10月'!S22:T22,N$337)+COUNTIF('10月'!X22:Y22,N$337)+COUNTIF('10月'!AC22:AD22,N$337)+COUNTIF('10月'!AH22:AI22,N$337)+COUNTIF('10月'!AM22:AN22,N$337)+COUNTIF('10月'!AR22:AS22,N$337)+COUNTIF('10月'!AW22:AX22,N$337)+COUNTIF('10月'!BB22:BC22,N$337)+COUNTIF('10月'!BG22:BH22,N$337)+COUNTIF('10月'!BL22:BM22,N$337)+COUNTIF('10月'!BQ22:BR22,N$337)+COUNTIF('10月'!BV22:BW22,N$337)+COUNTIF('10月'!CA22:CB22,N$337)+COUNTIF('10月'!CF22:CG22,N$337)+COUNTIF('10月'!CK22:CL22,N$337)+COUNTIF('10月'!CP22:CQ22,N$337)+COUNTIF('10月'!CU22:CV22,N$337)+COUNTIF('10月'!CZ22:DA22,N$337)+COUNTIF('10月'!DE22:DF22,N$337)+COUNTIF('10月'!DJ22:DK22,N$337)+COUNTIF('10月'!DO22:DP22,N$337)+COUNTIF('10月'!DT22:DU22,N$337)+COUNTIF('10月'!DY22:DZ22,N$337)+COUNTIF('10月'!ED22:EE22,N$337)+COUNTIF('10月'!EI22:EJ22,N$337)+COUNTIF('10月'!EN22:EO22,N$337)+COUNTIF('10月'!ES22:ET22,N$337)+COUNTIF('10月'!D22:E22,"三軒茶屋－夜勤")+COUNTIF('10月'!I22:J22,"三軒茶屋－夜勤")+COUNTIF('10月'!N22:O22,"三軒茶屋－夜勤")+COUNTIF('10月'!S22:T22,"三軒茶屋－夜勤")+COUNTIF('10月'!X22:Y22,"三軒茶屋－夜勤")+COUNTIF('10月'!AC22:AD22,"三軒茶屋－夜勤")+COUNTIF('10月'!AH22:AI22,"三軒茶屋－夜勤")+COUNTIF('10月'!AM22:AN22,"三軒茶屋－夜勤")+COUNTIF('10月'!AR22:AS22,"三軒茶屋－夜勤")+COUNTIF('10月'!AW22:AX22,"三軒茶屋－夜勤")+COUNTIF('10月'!BB22:BC22,"三軒茶屋－夜勤")+COUNTIF('10月'!BG22:BH22,"三軒茶屋－夜勤")+COUNTIF('10月'!BL22:BM22,"三軒茶屋－夜勤")+COUNTIF('10月'!BQ22:BR22,"三軒茶屋－夜勤")+COUNTIF('10月'!BV22:BW22,"三軒茶屋－夜勤")+COUNTIF('10月'!CA22:CB22,"三軒茶屋－夜勤")+COUNTIF('10月'!CF22:CG22,"三軒茶屋－夜勤")+COUNTIF('10月'!CK22:CL22,"三軒茶屋－夜勤")+COUNTIF('10月'!CP22:CQ22,"三軒茶屋－夜勤")+COUNTIF('10月'!CU22:CV22,"三軒茶屋－夜勤")+COUNTIF('10月'!CZ22:DA22,"三軒茶屋－夜勤")+COUNTIF('10月'!DE22:DF22,"三軒茶屋－夜勤")+COUNTIF('10月'!DJ22:DK22,"三軒茶屋－夜勤")+COUNTIF('10月'!DO22:DP22,"三軒茶屋－夜勤")+COUNTIF('10月'!DT22:DU22,"三軒茶屋－夜勤")+COUNTIF('10月'!DY22:DZ22,"三軒茶屋－夜勤")+COUNTIF('10月'!ED22:EE22,"三軒茶屋－夜勤")+COUNTIF('10月'!EI22:EJ22,"三軒茶屋－夜勤")+COUNTIF('10月'!EN22:EO22,"三軒茶屋－夜勤")+COUNTIF('10月'!ES22:ET22,"三軒茶屋－夜勤")</f>
        <v>0</v>
      </c>
      <c r="O357" s="76">
        <f t="shared" si="114"/>
        <v>0</v>
      </c>
      <c r="P357" s="76">
        <f>COUNTIF('10月'!D22:E22,P$337)+COUNTIF('10月'!I22:J22,P$337)+COUNTIF('10月'!N22:O22,P$337)+COUNTIF('10月'!S22:T22,P$337)+COUNTIF('10月'!X22:Y22,P$337)+COUNTIF('10月'!AC22:AD22,P$337)+COUNTIF('10月'!AH22:AI22,P$337)+COUNTIF('10月'!AM22:AN22,P$337)+COUNTIF('10月'!AR22:AS22,P$337)+COUNTIF('10月'!AW22:AX22,P$337)+COUNTIF('10月'!BB22:BC22,P$337)+COUNTIF('10月'!BG22:BH22,P$337)+COUNTIF('10月'!BL22:BM22,P$337)+COUNTIF('10月'!BQ22:BR22,P$337)+COUNTIF('10月'!BV22:BW22,P$337)+COUNTIF('10月'!CA22:CB22,P$337)+COUNTIF('10月'!CF22:CG22,P$337)+COUNTIF('10月'!CK22:CL22,P$337)+COUNTIF('10月'!CP22:CQ22,P$337)+COUNTIF('10月'!CU22:CV22,P$337)+COUNTIF('10月'!CZ22:DA22,P$337)+COUNTIF('10月'!DE22:DF22,P$337)+COUNTIF('10月'!DJ22:DK22,P$337)+COUNTIF('10月'!DO22:DP22,P$337)+COUNTIF('10月'!DT22:DU22,P$337)+COUNTIF('10月'!DY22:DZ22,P$337)+COUNTIF('10月'!ED22:EE22,P$337)+COUNTIF('10月'!EI22:EJ22,P$337)+COUNTIF('10月'!EN22:EO22,P$337)+COUNTIF('10月'!ES22:ET22,P$337)+COUNTIF('10月'!D22:E22,"荻窪ー夜勤")+COUNTIF('10月'!I22:J22,"荻窪ー夜勤")+COUNTIF('10月'!N22:O22,"荻窪ー夜勤")+COUNTIF('10月'!S22:T22,"荻窪ー夜勤")+COUNTIF('10月'!X22:Y22,"荻窪ー夜勤")+COUNTIF('10月'!AC22:AD22,"荻窪ー夜勤")+COUNTIF('10月'!AH22:AI22,"荻窪ー夜勤")+COUNTIF('10月'!AM22:AN22,"荻窪ー夜勤")+COUNTIF('10月'!AR22:AS22,"荻窪ー夜勤")+COUNTIF('10月'!AW22:AX22,"荻窪ー夜勤")+COUNTIF('10月'!BB22:BC22,"荻窪ー夜勤")+COUNTIF('10月'!BG22:BH22,"荻窪ー夜勤")+COUNTIF('10月'!BL22:BM22,"荻窪ー夜勤")+COUNTIF('10月'!BQ22:BR22,"荻窪ー夜勤")+COUNTIF('10月'!BV22:BW22,"荻窪ー夜勤")+COUNTIF('10月'!CA22:CB22,"荻窪ー夜勤")+COUNTIF('10月'!CF22:CG22,"荻窪ー夜勤")+COUNTIF('10月'!CK22:CL22,"荻窪ー夜勤")+COUNTIF('10月'!CP22:CQ22,"荻窪ー夜勤")+COUNTIF('10月'!CU22:CV22,"荻窪ー夜勤")+COUNTIF('10月'!CZ22:DA22,"荻窪ー夜勤")+COUNTIF('10月'!DE22:DF22,"荻窪ー夜勤")+COUNTIF('10月'!DJ22:DK22,"荻窪ー夜勤")+COUNTIF('10月'!DO22:DP22,"荻窪ー夜勤")+COUNTIF('10月'!DT22:DU22,"荻窪ー夜勤")+COUNTIF('10月'!DY22:DZ22,"荻窪ー夜勤")+COUNTIF('10月'!ED22:EE22,"荻窪ー夜勤")+COUNTIF('10月'!EI22:EJ22,"荻窪ー夜勤")+COUNTIF('10月'!EN22:EO22,"荻窪ー夜勤")+COUNTIF('10月'!ES22:ET22,"荻窪ー夜勤")</f>
        <v>0</v>
      </c>
      <c r="Q357" s="76">
        <f t="shared" si="115"/>
        <v>0</v>
      </c>
      <c r="R357" s="76">
        <f>COUNTIF('10月'!D22:E22,R$337)+COUNTIF('10月'!I22:J22,R$337)+COUNTIF('10月'!N22:O22,R$337)+COUNTIF('10月'!S22:T22,R$337)+COUNTIF('10月'!X22:Y22,R$337)+COUNTIF('10月'!AC22:AD22,R$337)+COUNTIF('10月'!AH22:AI22,R$337)+COUNTIF('10月'!AM22:AN22,R$337)+COUNTIF('10月'!AR22:AS22,R$337)+COUNTIF('10月'!AW22:AX22,R$337)+COUNTIF('10月'!BB22:BC22,R$337)+COUNTIF('10月'!BG22:BH22,R$337)+COUNTIF('10月'!BL22:BM22,R$337)+COUNTIF('10月'!BQ22:BR22,R$337)+COUNTIF('10月'!BV22:BW22,R$337)+COUNTIF('10月'!CA22:CB22,R$337)+COUNTIF('10月'!CF22:CG22,R$337)+COUNTIF('10月'!CK22:CL22,R$337)+COUNTIF('10月'!CP22:CQ22,R$337)+COUNTIF('10月'!CU22:CV22,R$337)+COUNTIF('10月'!CZ22:DA22,R$337)+COUNTIF('10月'!DE22:DF22,R$337)+COUNTIF('10月'!DJ22:DK22,R$337)+COUNTIF('10月'!DO22:DP22,R$337)+COUNTIF('10月'!DT22:DU22,R$337)+COUNTIF('10月'!DY22:DZ22,R$337)+COUNTIF('10月'!ED22:EE22,R$337)+COUNTIF('10月'!EI22:EJ22,R$337)+COUNTIF('10月'!EN22:EO22,R$337)+COUNTIF('10月'!ES22:ET22,R$337)</f>
        <v>0</v>
      </c>
      <c r="S357" s="76">
        <f t="shared" si="116"/>
        <v>0</v>
      </c>
      <c r="T357" s="76">
        <f>COUNTIF('10月'!D22:E22,T$337)+COUNTIF('10月'!I22:J22,T$337)+COUNTIF('10月'!N22:O22,T$337)+COUNTIF('10月'!S22:T22,T$337)+COUNTIF('10月'!X22:Y22,T$337)+COUNTIF('10月'!AC22:AD22,T$337)+COUNTIF('10月'!AH22:AI22,T$337)+COUNTIF('10月'!AM22:AN22,T$337)+COUNTIF('10月'!AR22:AS22,T$337)+COUNTIF('10月'!AW22:AX22,T$337)+COUNTIF('10月'!BB22:BC22,T$337)+COUNTIF('10月'!BG22:BH22,T$337)+COUNTIF('10月'!BL22:BM22,T$337)+COUNTIF('10月'!BQ22:BR22,T$337)+COUNTIF('10月'!BV22:BW22,T$337)+COUNTIF('10月'!CA22:CB22,T$337)+COUNTIF('10月'!CF22:CG22,T$337)+COUNTIF('10月'!CK22:CL22,T$337)+COUNTIF('10月'!CP22:CQ22,T$337)+COUNTIF('10月'!CU22:CV22,T$337)+COUNTIF('10月'!CZ22:DA22,T$337)+COUNTIF('10月'!DE22:DF22,T$337)+COUNTIF('10月'!DJ22:DK22,T$337)+COUNTIF('10月'!DO22:DP22,T$337)+COUNTIF('10月'!DT22:DU22,T$337)+COUNTIF('10月'!DY22:DZ22,T$337)+COUNTIF('10月'!ED22:EE22,T$337)+COUNTIF('10月'!EI22:EJ22,T$337)+COUNTIF('10月'!EN22:EO22,T$337)+COUNTIF('10月'!ES22:ET22,T$337)</f>
        <v>0</v>
      </c>
      <c r="U357" s="76">
        <f t="shared" si="117"/>
        <v>0</v>
      </c>
      <c r="V357" s="76">
        <f>COUNTIF('10月'!D22:E22,V$337)+COUNTIF('10月'!I22:J22,V$337)+COUNTIF('10月'!N22:O22,V$337)+COUNTIF('10月'!S22:T22,V$337)+COUNTIF('10月'!X22:Y22,V$337)+COUNTIF('10月'!AC22:AD22,V$337)+COUNTIF('10月'!AH22:AI22,V$337)+COUNTIF('10月'!AM22:AN22,V$337)+COUNTIF('10月'!AR22:AS22,V$337)+COUNTIF('10月'!AW22:AX22,V$337)+COUNTIF('10月'!BB22:BC22,V$337)+COUNTIF('10月'!BG22:BH22,V$337)+COUNTIF('10月'!BL22:BM22,V$337)+COUNTIF('10月'!BQ22:BR22,V$337)+COUNTIF('10月'!BV22:BW22,V$337)+COUNTIF('10月'!CA22:CB22,V$337)+COUNTIF('10月'!CF22:CG22,V$337)+COUNTIF('10月'!CK22:CL22,V$337)+COUNTIF('10月'!CP22:CQ22,V$337)+COUNTIF('10月'!CU22:CV22,V$337)+COUNTIF('10月'!CZ22:DA22,V$337)+COUNTIF('10月'!DE22:DF22,V$337)+COUNTIF('10月'!DJ22:DK22,V$337)+COUNTIF('10月'!DO22:DP22,V$337)+COUNTIF('10月'!DT22:DU22,V$337)+COUNTIF('10月'!DY22:DZ22,V$337)+COUNTIF('10月'!ED22:EE22,V$337)+COUNTIF('10月'!EI22:EJ22,V$337)+COUNTIF('10月'!EN22:EO22,V$337)+COUNTIF('10月'!ES22:ET22,V$337)</f>
        <v>0</v>
      </c>
      <c r="W357" s="76">
        <f t="shared" si="118"/>
        <v>0</v>
      </c>
      <c r="X357" s="76">
        <f>COUNTIF('10月'!D22:E22,X$337)+COUNTIF('10月'!I22:J22,X$337)+COUNTIF('10月'!N22:O22,X$337)+COUNTIF('10月'!S22:T22,X$337)+COUNTIF('10月'!X22:Y22,X$337)+COUNTIF('10月'!AC22:AD22,X$337)+COUNTIF('10月'!AH22:AI22,X$337)+COUNTIF('10月'!AM22:AN22,X$337)+COUNTIF('10月'!AR22:AS22,X$337)+COUNTIF('10月'!AW22:AX22,X$337)+COUNTIF('10月'!BB22:BC22,X$337)+COUNTIF('10月'!BG22:BH22,X$337)+COUNTIF('10月'!BL22:BM22,X$337)+COUNTIF('10月'!BQ22:BR22,X$337)+COUNTIF('10月'!BV22:BW22,X$337)+COUNTIF('10月'!CA22:CB22,X$337)+COUNTIF('10月'!CF22:CG22,X$337)+COUNTIF('10月'!CK22:CL22,X$337)+COUNTIF('10月'!CP22:CQ22,X$337)+COUNTIF('10月'!CU22:CV22,X$337)+COUNTIF('10月'!CZ22:DA22,X$337)+COUNTIF('10月'!DE22:DF22,X$337)+COUNTIF('10月'!DJ22:DK22,X$337)+COUNTIF('10月'!DO22:DP22,X$337)+COUNTIF('10月'!DT22:DU22,X$337)+COUNTIF('10月'!DY22:DZ22,X$337)+COUNTIF('10月'!ED22:EE22,X$337)+COUNTIF('10月'!EI22:EJ22,X$337)+COUNTIF('10月'!EN22:EO22,X$337)+COUNTIF('10月'!ES22:ET22,X$337)</f>
        <v>0</v>
      </c>
      <c r="Y357" s="76">
        <f t="shared" si="119"/>
        <v>0</v>
      </c>
    </row>
    <row r="358" spans="1:25" ht="18" customHeight="1">
      <c r="A358" s="76">
        <v>20</v>
      </c>
      <c r="B358" s="76">
        <f>COUNTIF('10月'!D23:E23,B$337)+COUNTIF('10月'!I23:J23,B$337)+COUNTIF('10月'!N23:O23,B$337)+COUNTIF('10月'!S23:T23,B$337)+COUNTIF('10月'!X23:Y23,B$337)+COUNTIF('10月'!AC23:AD23,B$337)+COUNTIF('10月'!AH23:AI23,B$337)+COUNTIF('10月'!AM23:AN23,B$337)+COUNTIF('10月'!AR23:AS23,B$337)+COUNTIF('10月'!AW23:AX23,B$337)+COUNTIF('10月'!BB23:BC23,B$337)+COUNTIF('10月'!BG23:BH23,B$337)+COUNTIF('10月'!BL23:BM23,B$337)+COUNTIF('10月'!BQ23:BR23,B$337)+COUNTIF('10月'!BV23:BW23,B$337)+COUNTIF('10月'!CA23:CB23,B$337)+COUNTIF('10月'!CF23:CG23,B$337)+COUNTIF('10月'!CK23:CL23,B$337)+COUNTIF('10月'!CP23:CQ23,B$337)+COUNTIF('10月'!CU23:CV23,B$337)+COUNTIF('10月'!CZ23:DA23,B$337)+COUNTIF('10月'!DE23:DF23,B$337)+COUNTIF('10月'!DJ23:DK23,B$337)+COUNTIF('10月'!DO23:DP23,B$337)+COUNTIF('10月'!DT23:DU23,B$337)+COUNTIF('10月'!DY23:DZ23,B$337)+COUNTIF('10月'!ED23:EE23,B$337)+COUNTIF('10月'!EI23:EJ23,B$337)+COUNTIF('10月'!EN23:EO23,B$337)+COUNTIF('10月'!ES23:ET23,B$337)</f>
        <v>0</v>
      </c>
      <c r="C358" s="76">
        <f t="shared" si="108"/>
        <v>0</v>
      </c>
      <c r="D358" s="76">
        <f>COUNTIF('10月'!D23:E23,D$337)+COUNTIF('10月'!I23:J23,D$337)+COUNTIF('10月'!N23:O23,D$337)+COUNTIF('10月'!S23:T23,D$337)+COUNTIF('10月'!X23:Y23,D$337)+COUNTIF('10月'!AC23:AD23,D$337)+COUNTIF('10月'!AH23:AI23,D$337)+COUNTIF('10月'!AM23:AN23,D$337)+COUNTIF('10月'!AR23:AS23,D$337)+COUNTIF('10月'!AW23:AX23,D$337)+COUNTIF('10月'!BB23:BC23,D$337)+COUNTIF('10月'!BG23:BH23,D$337)+COUNTIF('10月'!BL23:BM23,D$337)+COUNTIF('10月'!BQ23:BR23,D$337)+COUNTIF('10月'!BV23:BW23,D$337)+COUNTIF('10月'!CA23:CB23,D$337)+COUNTIF('10月'!CF23:CG23,D$337)+COUNTIF('10月'!CK23:CL23,D$337)+COUNTIF('10月'!CP23:CQ23,D$337)+COUNTIF('10月'!CU23:CV23,D$337)+COUNTIF('10月'!CZ23:DA23,D$337)+COUNTIF('10月'!DE23:DF23,D$337)+COUNTIF('10月'!DJ23:DK23,D$337)+COUNTIF('10月'!DO23:DP23,D$337)+COUNTIF('10月'!DT23:DU23,D$337)+COUNTIF('10月'!DY23:DZ23,D$337)+COUNTIF('10月'!ED23:EE23,D$337)+COUNTIF('10月'!EI23:EJ23,D$337)+COUNTIF('10月'!EN23:EO23,D$337)+COUNTIF('10月'!ES23:ET23,D$337)</f>
        <v>0</v>
      </c>
      <c r="E358" s="76">
        <f t="shared" si="109"/>
        <v>0</v>
      </c>
      <c r="F358" s="76">
        <f>COUNTIF('10月'!D23:E23,F$337)+COUNTIF('10月'!I23:J23,F$337)+COUNTIF('10月'!N23:O23,F$337)+COUNTIF('10月'!S23:T23,F$337)+COUNTIF('10月'!X23:Y23,F$337)+COUNTIF('10月'!AC23:AD23,F$337)+COUNTIF('10月'!AH23:AI23,F$337)+COUNTIF('10月'!AM23:AN23,F$337)+COUNTIF('10月'!AR23:AS23,F$337)+COUNTIF('10月'!AW23:AX23,F$337)+COUNTIF('10月'!BB23:BC23,F$337)+COUNTIF('10月'!BG23:BH23,F$337)+COUNTIF('10月'!BL23:BM23,F$337)+COUNTIF('10月'!BQ23:BR23,F$337)+COUNTIF('10月'!BV23:BW23,F$337)+COUNTIF('10月'!CA23:CB23,F$337)+COUNTIF('10月'!CF23:CG23,F$337)+COUNTIF('10月'!CK23:CL23,F$337)+COUNTIF('10月'!CP23:CQ23,F$337)+COUNTIF('10月'!CU23:CV23,F$337)+COUNTIF('10月'!CZ23:DA23,F$337)+COUNTIF('10月'!DE23:DF23,F$337)+COUNTIF('10月'!DJ23:DK23,F$337)+COUNTIF('10月'!DO23:DP23,F$337)+COUNTIF('10月'!DT23:DU23,F$337)+COUNTIF('10月'!DY23:DZ23,F$337)+COUNTIF('10月'!ED23:EE23,F$337)+COUNTIF('10月'!EI23:EJ23,F$337)+COUNTIF('10月'!EN23:EO23,F$337)+COUNTIF('10月'!ES23:ET23,F$337)</f>
        <v>0</v>
      </c>
      <c r="G358" s="76">
        <f t="shared" si="110"/>
        <v>0</v>
      </c>
      <c r="H358" s="76">
        <f>COUNTIF('10月'!D23:E23,H$337)+COUNTIF('10月'!I23:J23,H$337)+COUNTIF('10月'!N23:O23,H$337)+COUNTIF('10月'!S23:T23,H$337)+COUNTIF('10月'!X23:Y23,H$337)+COUNTIF('10月'!AC23:AD23,H$337)+COUNTIF('10月'!AH23:AI23,H$337)+COUNTIF('10月'!AM23:AN23,H$337)+COUNTIF('10月'!AR23:AS23,H$337)+COUNTIF('10月'!AW23:AX23,H$337)+COUNTIF('10月'!BB23:BC23,H$337)+COUNTIF('10月'!BG23:BH23,H$337)+COUNTIF('10月'!BL23:BM23,H$337)+COUNTIF('10月'!BQ23:BR23,H$337)+COUNTIF('10月'!BV23:BW23,H$337)+COUNTIF('10月'!CA23:CB23,H$337)+COUNTIF('10月'!CF23:CG23,H$337)+COUNTIF('10月'!CK23:CL23,H$337)+COUNTIF('10月'!CP23:CQ23,H$337)+COUNTIF('10月'!CU23:CV23,H$337)+COUNTIF('10月'!CZ23:DA23,H$337)+COUNTIF('10月'!DE23:DF23,H$337)+COUNTIF('10月'!DJ23:DK23,H$337)+COUNTIF('10月'!DO23:DP23,H$337)+COUNTIF('10月'!DT23:DU23,H$337)+COUNTIF('10月'!DY23:DZ23,H$337)+COUNTIF('10月'!ED23:EE23,H$337)+COUNTIF('10月'!EI23:EJ23,H$337)+COUNTIF('10月'!EN23:EO23,H$337)+COUNTIF('10月'!ES23:ET23,H$337)+COUNTIF('10月'!D23:E23,"渋谷-夜勤")+COUNTIF('10月'!I23:J23,"渋谷-夜勤")+COUNTIF('10月'!N23:O23,"渋谷-夜勤")+COUNTIF('10月'!S23:T23,"渋谷-夜勤")+COUNTIF('10月'!X23:Y23,"渋谷-夜勤")+COUNTIF('10月'!AC23:AD23,"渋谷-夜勤")+COUNTIF('10月'!AH23:AI23,"渋谷-夜勤")+COUNTIF('10月'!AM23:AN23,"渋谷-夜勤")+COUNTIF('10月'!AR23:AS23,"渋谷-夜勤")+COUNTIF('10月'!AW23:AX23,"渋谷-夜勤")+COUNTIF('10月'!BB23:BC23,"渋谷-夜勤")+COUNTIF('10月'!BG23:BH23,"渋谷-夜勤")+COUNTIF('10月'!BL23:BM23,"渋谷-夜勤")+COUNTIF('10月'!BQ23:BR23,"渋谷-夜勤")+COUNTIF('10月'!BV23:BW23,"渋谷-夜勤")+COUNTIF('10月'!CA23:CB23,"渋谷-夜勤")+COUNTIF('10月'!CF23:CG23,"渋谷-夜勤")+COUNTIF('10月'!CK23:CL23,"渋谷-夜勤")+COUNTIF('10月'!CP23:CQ23,"渋谷-夜勤")+COUNTIF('10月'!CU23:CV23,"渋谷-夜勤")+COUNTIF('10月'!CZ23:DA23,"渋谷-夜勤")+COUNTIF('10月'!DE23:DF23,"渋谷-夜勤")+COUNTIF('10月'!DJ23:DK23,"渋谷-夜勤")+COUNTIF('10月'!DO23:DP23,"渋谷-夜勤")+COUNTIF('10月'!DT23:DU23,"渋谷-夜勤")+COUNTIF('10月'!DY23:DZ23,"渋谷-夜勤")+COUNTIF('10月'!ED23:EE23,"渋谷-夜勤")+COUNTIF('10月'!EI23:EJ23,"渋谷-夜勤")+COUNTIF('10月'!EN23:EO23,"渋谷-夜勤")+COUNTIF('10月'!ES23:ET23,"渋谷-夜勤")</f>
        <v>0</v>
      </c>
      <c r="I358" s="76">
        <f t="shared" si="111"/>
        <v>0</v>
      </c>
      <c r="J358" s="76">
        <f>COUNTIF('10月'!D23:E23,J$337)+COUNTIF('10月'!I23:J23,J$337)+COUNTIF('10月'!N23:O23,J$337)+COUNTIF('10月'!S23:T23,J$337)+COUNTIF('10月'!X23:Y23,J$337)+COUNTIF('10月'!AC23:AD23,J$337)+COUNTIF('10月'!AH23:AI23,J$337)+COUNTIF('10月'!AM23:AN23,J$337)+COUNTIF('10月'!AR23:AS23,J$337)+COUNTIF('10月'!AW23:AX23,J$337)+COUNTIF('10月'!BB23:BC23,J$337)+COUNTIF('10月'!BG23:BH23,J$337)+COUNTIF('10月'!BL23:BM23,J$337)+COUNTIF('10月'!BQ23:BR23,J$337)+COUNTIF('10月'!BV23:BW23,J$337)+COUNTIF('10月'!CA23:CB23,J$337)+COUNTIF('10月'!CF23:CG23,J$337)+COUNTIF('10月'!CK23:CL23,J$337)+COUNTIF('10月'!CP23:CQ23,J$337)+COUNTIF('10月'!CU23:CV23,J$337)+COUNTIF('10月'!CZ23:DA23,J$337)+COUNTIF('10月'!DE23:DF23,J$337)+COUNTIF('10月'!DJ23:DK23,J$337)+COUNTIF('10月'!DO23:DP23,J$337)+COUNTIF('10月'!DT23:DU23,J$337)+COUNTIF('10月'!DY23:DZ23,J$337)+COUNTIF('10月'!ED23:EE23,J$337)+COUNTIF('10月'!EI23:EJ23,J$337)+COUNTIF('10月'!EN23:EO23,J$337)+COUNTIF('10月'!ES23:ET23,J$337)+COUNTIF('10月'!D23:E23,"六本木-夜勤")+COUNTIF('10月'!I23:J23,"六本木-夜勤")+COUNTIF('10月'!N23:O23,"六本木-夜勤")+COUNTIF('10月'!S23:T23,"六本木-夜勤")+COUNTIF('10月'!X23:Y23,"六本木-夜勤")+COUNTIF('10月'!AC23:AD23,"六本木-夜勤")+COUNTIF('10月'!AH23:AI23,"六本木-夜勤")+COUNTIF('10月'!AM23:AN23,"六本木-夜勤")+COUNTIF('10月'!AR23:AS23,"六本木-夜勤")+COUNTIF('10月'!AW23:AX23,"六本木-夜勤")+COUNTIF('10月'!BB23:BC23,"六本木-夜勤")+COUNTIF('10月'!BG23:BH23,"六本木-夜勤")+COUNTIF('10月'!BL23:BM23,"六本木-夜勤")+COUNTIF('10月'!BQ23:BR23,"六本木-夜勤")+COUNTIF('10月'!BV23:BW23,"六本木-夜勤")+COUNTIF('10月'!CA23:CB23,"六本木-夜勤")+COUNTIF('10月'!CF23:CG23,"六本木-夜勤")+COUNTIF('10月'!CK23:CL23,"六本木-夜勤")+COUNTIF('10月'!CP23:CQ23,"六本木-夜勤")+COUNTIF('10月'!CU23:CV23,"六本木-夜勤")+COUNTIF('10月'!CZ23:DA23,"六本木-夜勤")+COUNTIF('10月'!DE23:DF23,"六本木-夜勤")+COUNTIF('10月'!DJ23:DK23,"六本木-夜勤")+COUNTIF('10月'!DO23:DP23,"六本木-夜勤")+COUNTIF('10月'!DT23:DU23,"六本木-夜勤")+COUNTIF('10月'!DY23:DZ23,"六本木-夜勤")+COUNTIF('10月'!ED23:EE23,"六本木-夜勤")+COUNTIF('10月'!EI23:EJ23,"六本木-夜勤")+COUNTIF('10月'!EN23:EO23,"六本木-夜勤")+COUNTIF('10月'!ES23:ET23,"六本木-夜勤")+COUNTIF('10月'!D23:E23,"六本木ー夜勤")+COUNTIF('10月'!I23:J23,"六本木ー夜勤")+COUNTIF('10月'!N23:O23,"六本木ー夜勤")+COUNTIF('10月'!S23:T23,"六本木ー夜勤")+COUNTIF('10月'!X23:Y23,"六本木ー夜勤")+COUNTIF('10月'!AC23:AD23,"六本木ー夜勤")+COUNTIF('10月'!AH23:AI23,"六本木ー夜勤")+COUNTIF('10月'!AM23:AN23,"六本木ー夜勤")+COUNTIF('10月'!AR23:AS23,"六本木ー夜勤")+COUNTIF('10月'!AW23:AX23,"六本木ー夜勤")+COUNTIF('10月'!BB23:BC23,"六本木ー夜勤")+COUNTIF('10月'!BG23:BH23,"六本木ー夜勤")+COUNTIF('10月'!BL23:BM23,"六本木ー夜勤")+COUNTIF('10月'!BQ23:BR23,"六本木ー夜勤")+COUNTIF('10月'!BV23:BW23,"六本木ー夜勤")+COUNTIF('10月'!CA23:CB23,"六本木ー夜勤")+COUNTIF('10月'!CF23:CG23,"六本木ー夜勤")+COUNTIF('10月'!CK23:CL23,"六本木ー夜勤")+COUNTIF('10月'!CP23:CQ23,"六本木ー夜勤")+COUNTIF('10月'!CU23:CV23,"六本木ー夜勤")+COUNTIF('10月'!CZ23:DA23,"六本木ー夜勤")+COUNTIF('10月'!DE23:DF23,"六本木ー夜勤")+COUNTIF('10月'!DJ23:DK23,"六本木ー夜勤")+COUNTIF('10月'!DO23:DP23,"六本木ー夜勤")+COUNTIF('10月'!DT23:DU23,"六本木ー夜勤")+COUNTIF('10月'!DY23:DZ23,"六本木ー夜勤")+COUNTIF('10月'!ED23:EE23,"六本木ー夜勤")+COUNTIF('10月'!EI23:EJ23,"六本木ー夜勤")+COUNTIF('10月'!EN23:EO23,"六本木ー夜勤")+COUNTIF('10月'!ES23:ET23,"六本木ー夜勤")</f>
        <v>0</v>
      </c>
      <c r="K358" s="76">
        <f t="shared" si="112"/>
        <v>0</v>
      </c>
      <c r="L358" s="76">
        <f>COUNTIF('10月'!D23:E23,L$337)+COUNTIF('10月'!I23:J23,L$337)+COUNTIF('10月'!N23:O23,L$337)+COUNTIF('10月'!S23:T23,L$337)+COUNTIF('10月'!X23:Y23,L$337)+COUNTIF('10月'!AC23:AD23,L$337)+COUNTIF('10月'!AH23:AI23,L$337)+COUNTIF('10月'!AM23:AN23,L$337)+COUNTIF('10月'!AR23:AS23,L$337)+COUNTIF('10月'!AW23:AX23,L$337)+COUNTIF('10月'!BB23:BC23,L$337)+COUNTIF('10月'!BG23:BH23,L$337)+COUNTIF('10月'!BL23:BM23,L$337)+COUNTIF('10月'!BQ23:BR23,L$337)+COUNTIF('10月'!BV23:BW23,L$337)+COUNTIF('10月'!CA23:CB23,L$337)+COUNTIF('10月'!CF23:CG23,L$337)+COUNTIF('10月'!CK23:CL23,L$337)+COUNTIF('10月'!CP23:CQ23,L$337)+COUNTIF('10月'!CU23:CV23,L$337)+COUNTIF('10月'!CZ23:DA23,L$337)+COUNTIF('10月'!DE23:DF23,L$337)+COUNTIF('10月'!DJ23:DK23,L$337)+COUNTIF('10月'!DO23:DP23,L$337)+COUNTIF('10月'!DT23:DU23,L$337)+COUNTIF('10月'!DY23:DZ23,L$337)+COUNTIF('10月'!ED23:EE23,L$337)+COUNTIF('10月'!EI23:EJ23,L$337)+COUNTIF('10月'!EN23:EO23,L$337)+COUNTIF('10月'!ES23:ET23,L$337)</f>
        <v>0</v>
      </c>
      <c r="M358" s="76">
        <f t="shared" si="113"/>
        <v>0</v>
      </c>
      <c r="N358" s="76">
        <f>COUNTIF('10月'!D23:E23,N$337)+COUNTIF('10月'!I23:J23,N$337)+COUNTIF('10月'!N23:O23,N$337)+COUNTIF('10月'!S23:T23,N$337)+COUNTIF('10月'!X23:Y23,N$337)+COUNTIF('10月'!AC23:AD23,N$337)+COUNTIF('10月'!AH23:AI23,N$337)+COUNTIF('10月'!AM23:AN23,N$337)+COUNTIF('10月'!AR23:AS23,N$337)+COUNTIF('10月'!AW23:AX23,N$337)+COUNTIF('10月'!BB23:BC23,N$337)+COUNTIF('10月'!BG23:BH23,N$337)+COUNTIF('10月'!BL23:BM23,N$337)+COUNTIF('10月'!BQ23:BR23,N$337)+COUNTIF('10月'!BV23:BW23,N$337)+COUNTIF('10月'!CA23:CB23,N$337)+COUNTIF('10月'!CF23:CG23,N$337)+COUNTIF('10月'!CK23:CL23,N$337)+COUNTIF('10月'!CP23:CQ23,N$337)+COUNTIF('10月'!CU23:CV23,N$337)+COUNTIF('10月'!CZ23:DA23,N$337)+COUNTIF('10月'!DE23:DF23,N$337)+COUNTIF('10月'!DJ23:DK23,N$337)+COUNTIF('10月'!DO23:DP23,N$337)+COUNTIF('10月'!DT23:DU23,N$337)+COUNTIF('10月'!DY23:DZ23,N$337)+COUNTIF('10月'!ED23:EE23,N$337)+COUNTIF('10月'!EI23:EJ23,N$337)+COUNTIF('10月'!EN23:EO23,N$337)+COUNTIF('10月'!ES23:ET23,N$337)+COUNTIF('10月'!D23:E23,"三軒茶屋－夜勤")+COUNTIF('10月'!I23:J23,"三軒茶屋－夜勤")+COUNTIF('10月'!N23:O23,"三軒茶屋－夜勤")+COUNTIF('10月'!S23:T23,"三軒茶屋－夜勤")+COUNTIF('10月'!X23:Y23,"三軒茶屋－夜勤")+COUNTIF('10月'!AC23:AD23,"三軒茶屋－夜勤")+COUNTIF('10月'!AH23:AI23,"三軒茶屋－夜勤")+COUNTIF('10月'!AM23:AN23,"三軒茶屋－夜勤")+COUNTIF('10月'!AR23:AS23,"三軒茶屋－夜勤")+COUNTIF('10月'!AW23:AX23,"三軒茶屋－夜勤")+COUNTIF('10月'!BB23:BC23,"三軒茶屋－夜勤")+COUNTIF('10月'!BG23:BH23,"三軒茶屋－夜勤")+COUNTIF('10月'!BL23:BM23,"三軒茶屋－夜勤")+COUNTIF('10月'!BQ23:BR23,"三軒茶屋－夜勤")+COUNTIF('10月'!BV23:BW23,"三軒茶屋－夜勤")+COUNTIF('10月'!CA23:CB23,"三軒茶屋－夜勤")+COUNTIF('10月'!CF23:CG23,"三軒茶屋－夜勤")+COUNTIF('10月'!CK23:CL23,"三軒茶屋－夜勤")+COUNTIF('10月'!CP23:CQ23,"三軒茶屋－夜勤")+COUNTIF('10月'!CU23:CV23,"三軒茶屋－夜勤")+COUNTIF('10月'!CZ23:DA23,"三軒茶屋－夜勤")+COUNTIF('10月'!DE23:DF23,"三軒茶屋－夜勤")+COUNTIF('10月'!DJ23:DK23,"三軒茶屋－夜勤")+COUNTIF('10月'!DO23:DP23,"三軒茶屋－夜勤")+COUNTIF('10月'!DT23:DU23,"三軒茶屋－夜勤")+COUNTIF('10月'!DY23:DZ23,"三軒茶屋－夜勤")+COUNTIF('10月'!ED23:EE23,"三軒茶屋－夜勤")+COUNTIF('10月'!EI23:EJ23,"三軒茶屋－夜勤")+COUNTIF('10月'!EN23:EO23,"三軒茶屋－夜勤")+COUNTIF('10月'!ES23:ET23,"三軒茶屋－夜勤")</f>
        <v>0</v>
      </c>
      <c r="O358" s="76">
        <f t="shared" si="114"/>
        <v>0</v>
      </c>
      <c r="P358" s="76">
        <f>COUNTIF('10月'!D23:E23,P$337)+COUNTIF('10月'!I23:J23,P$337)+COUNTIF('10月'!N23:O23,P$337)+COUNTIF('10月'!S23:T23,P$337)+COUNTIF('10月'!X23:Y23,P$337)+COUNTIF('10月'!AC23:AD23,P$337)+COUNTIF('10月'!AH23:AI23,P$337)+COUNTIF('10月'!AM23:AN23,P$337)+COUNTIF('10月'!AR23:AS23,P$337)+COUNTIF('10月'!AW23:AX23,P$337)+COUNTIF('10月'!BB23:BC23,P$337)+COUNTIF('10月'!BG23:BH23,P$337)+COUNTIF('10月'!BL23:BM23,P$337)+COUNTIF('10月'!BQ23:BR23,P$337)+COUNTIF('10月'!BV23:BW23,P$337)+COUNTIF('10月'!CA23:CB23,P$337)+COUNTIF('10月'!CF23:CG23,P$337)+COUNTIF('10月'!CK23:CL23,P$337)+COUNTIF('10月'!CP23:CQ23,P$337)+COUNTIF('10月'!CU23:CV23,P$337)+COUNTIF('10月'!CZ23:DA23,P$337)+COUNTIF('10月'!DE23:DF23,P$337)+COUNTIF('10月'!DJ23:DK23,P$337)+COUNTIF('10月'!DO23:DP23,P$337)+COUNTIF('10月'!DT23:DU23,P$337)+COUNTIF('10月'!DY23:DZ23,P$337)+COUNTIF('10月'!ED23:EE23,P$337)+COUNTIF('10月'!EI23:EJ23,P$337)+COUNTIF('10月'!EN23:EO23,P$337)+COUNTIF('10月'!ES23:ET23,P$337)+COUNTIF('10月'!D23:E23,"荻窪ー夜勤")+COUNTIF('10月'!I23:J23,"荻窪ー夜勤")+COUNTIF('10月'!N23:O23,"荻窪ー夜勤")+COUNTIF('10月'!S23:T23,"荻窪ー夜勤")+COUNTIF('10月'!X23:Y23,"荻窪ー夜勤")+COUNTIF('10月'!AC23:AD23,"荻窪ー夜勤")+COUNTIF('10月'!AH23:AI23,"荻窪ー夜勤")+COUNTIF('10月'!AM23:AN23,"荻窪ー夜勤")+COUNTIF('10月'!AR23:AS23,"荻窪ー夜勤")+COUNTIF('10月'!AW23:AX23,"荻窪ー夜勤")+COUNTIF('10月'!BB23:BC23,"荻窪ー夜勤")+COUNTIF('10月'!BG23:BH23,"荻窪ー夜勤")+COUNTIF('10月'!BL23:BM23,"荻窪ー夜勤")+COUNTIF('10月'!BQ23:BR23,"荻窪ー夜勤")+COUNTIF('10月'!BV23:BW23,"荻窪ー夜勤")+COUNTIF('10月'!CA23:CB23,"荻窪ー夜勤")+COUNTIF('10月'!CF23:CG23,"荻窪ー夜勤")+COUNTIF('10月'!CK23:CL23,"荻窪ー夜勤")+COUNTIF('10月'!CP23:CQ23,"荻窪ー夜勤")+COUNTIF('10月'!CU23:CV23,"荻窪ー夜勤")+COUNTIF('10月'!CZ23:DA23,"荻窪ー夜勤")+COUNTIF('10月'!DE23:DF23,"荻窪ー夜勤")+COUNTIF('10月'!DJ23:DK23,"荻窪ー夜勤")+COUNTIF('10月'!DO23:DP23,"荻窪ー夜勤")+COUNTIF('10月'!DT23:DU23,"荻窪ー夜勤")+COUNTIF('10月'!DY23:DZ23,"荻窪ー夜勤")+COUNTIF('10月'!ED23:EE23,"荻窪ー夜勤")+COUNTIF('10月'!EI23:EJ23,"荻窪ー夜勤")+COUNTIF('10月'!EN23:EO23,"荻窪ー夜勤")+COUNTIF('10月'!ES23:ET23,"荻窪ー夜勤")</f>
        <v>0</v>
      </c>
      <c r="Q358" s="76">
        <f t="shared" si="115"/>
        <v>0</v>
      </c>
      <c r="R358" s="76">
        <f>COUNTIF('10月'!D23:E23,R$337)+COUNTIF('10月'!I23:J23,R$337)+COUNTIF('10月'!N23:O23,R$337)+COUNTIF('10月'!S23:T23,R$337)+COUNTIF('10月'!X23:Y23,R$337)+COUNTIF('10月'!AC23:AD23,R$337)+COUNTIF('10月'!AH23:AI23,R$337)+COUNTIF('10月'!AM23:AN23,R$337)+COUNTIF('10月'!AR23:AS23,R$337)+COUNTIF('10月'!AW23:AX23,R$337)+COUNTIF('10月'!BB23:BC23,R$337)+COUNTIF('10月'!BG23:BH23,R$337)+COUNTIF('10月'!BL23:BM23,R$337)+COUNTIF('10月'!BQ23:BR23,R$337)+COUNTIF('10月'!BV23:BW23,R$337)+COUNTIF('10月'!CA23:CB23,R$337)+COUNTIF('10月'!CF23:CG23,R$337)+COUNTIF('10月'!CK23:CL23,R$337)+COUNTIF('10月'!CP23:CQ23,R$337)+COUNTIF('10月'!CU23:CV23,R$337)+COUNTIF('10月'!CZ23:DA23,R$337)+COUNTIF('10月'!DE23:DF23,R$337)+COUNTIF('10月'!DJ23:DK23,R$337)+COUNTIF('10月'!DO23:DP23,R$337)+COUNTIF('10月'!DT23:DU23,R$337)+COUNTIF('10月'!DY23:DZ23,R$337)+COUNTIF('10月'!ED23:EE23,R$337)+COUNTIF('10月'!EI23:EJ23,R$337)+COUNTIF('10月'!EN23:EO23,R$337)+COUNTIF('10月'!ES23:ET23,R$337)</f>
        <v>0</v>
      </c>
      <c r="S358" s="76">
        <f t="shared" si="116"/>
        <v>0</v>
      </c>
      <c r="T358" s="76">
        <f>COUNTIF('10月'!D23:E23,T$337)+COUNTIF('10月'!I23:J23,T$337)+COUNTIF('10月'!N23:O23,T$337)+COUNTIF('10月'!S23:T23,T$337)+COUNTIF('10月'!X23:Y23,T$337)+COUNTIF('10月'!AC23:AD23,T$337)+COUNTIF('10月'!AH23:AI23,T$337)+COUNTIF('10月'!AM23:AN23,T$337)+COUNTIF('10月'!AR23:AS23,T$337)+COUNTIF('10月'!AW23:AX23,T$337)+COUNTIF('10月'!BB23:BC23,T$337)+COUNTIF('10月'!BG23:BH23,T$337)+COUNTIF('10月'!BL23:BM23,T$337)+COUNTIF('10月'!BQ23:BR23,T$337)+COUNTIF('10月'!BV23:BW23,T$337)+COUNTIF('10月'!CA23:CB23,T$337)+COUNTIF('10月'!CF23:CG23,T$337)+COUNTIF('10月'!CK23:CL23,T$337)+COUNTIF('10月'!CP23:CQ23,T$337)+COUNTIF('10月'!CU23:CV23,T$337)+COUNTIF('10月'!CZ23:DA23,T$337)+COUNTIF('10月'!DE23:DF23,T$337)+COUNTIF('10月'!DJ23:DK23,T$337)+COUNTIF('10月'!DO23:DP23,T$337)+COUNTIF('10月'!DT23:DU23,T$337)+COUNTIF('10月'!DY23:DZ23,T$337)+COUNTIF('10月'!ED23:EE23,T$337)+COUNTIF('10月'!EI23:EJ23,T$337)+COUNTIF('10月'!EN23:EO23,T$337)+COUNTIF('10月'!ES23:ET23,T$337)</f>
        <v>0</v>
      </c>
      <c r="U358" s="76">
        <f t="shared" si="117"/>
        <v>0</v>
      </c>
      <c r="V358" s="76">
        <f>COUNTIF('10月'!D23:E23,V$337)+COUNTIF('10月'!I23:J23,V$337)+COUNTIF('10月'!N23:O23,V$337)+COUNTIF('10月'!S23:T23,V$337)+COUNTIF('10月'!X23:Y23,V$337)+COUNTIF('10月'!AC23:AD23,V$337)+COUNTIF('10月'!AH23:AI23,V$337)+COUNTIF('10月'!AM23:AN23,V$337)+COUNTIF('10月'!AR23:AS23,V$337)+COUNTIF('10月'!AW23:AX23,V$337)+COUNTIF('10月'!BB23:BC23,V$337)+COUNTIF('10月'!BG23:BH23,V$337)+COUNTIF('10月'!BL23:BM23,V$337)+COUNTIF('10月'!BQ23:BR23,V$337)+COUNTIF('10月'!BV23:BW23,V$337)+COUNTIF('10月'!CA23:CB23,V$337)+COUNTIF('10月'!CF23:CG23,V$337)+COUNTIF('10月'!CK23:CL23,V$337)+COUNTIF('10月'!CP23:CQ23,V$337)+COUNTIF('10月'!CU23:CV23,V$337)+COUNTIF('10月'!CZ23:DA23,V$337)+COUNTIF('10月'!DE23:DF23,V$337)+COUNTIF('10月'!DJ23:DK23,V$337)+COUNTIF('10月'!DO23:DP23,V$337)+COUNTIF('10月'!DT23:DU23,V$337)+COUNTIF('10月'!DY23:DZ23,V$337)+COUNTIF('10月'!ED23:EE23,V$337)+COUNTIF('10月'!EI23:EJ23,V$337)+COUNTIF('10月'!EN23:EO23,V$337)+COUNTIF('10月'!ES23:ET23,V$337)</f>
        <v>0</v>
      </c>
      <c r="W358" s="76">
        <f t="shared" si="118"/>
        <v>0</v>
      </c>
      <c r="X358" s="76">
        <f>COUNTIF('10月'!D23:E23,X$337)+COUNTIF('10月'!I23:J23,X$337)+COUNTIF('10月'!N23:O23,X$337)+COUNTIF('10月'!S23:T23,X$337)+COUNTIF('10月'!X23:Y23,X$337)+COUNTIF('10月'!AC23:AD23,X$337)+COUNTIF('10月'!AH23:AI23,X$337)+COUNTIF('10月'!AM23:AN23,X$337)+COUNTIF('10月'!AR23:AS23,X$337)+COUNTIF('10月'!AW23:AX23,X$337)+COUNTIF('10月'!BB23:BC23,X$337)+COUNTIF('10月'!BG23:BH23,X$337)+COUNTIF('10月'!BL23:BM23,X$337)+COUNTIF('10月'!BQ23:BR23,X$337)+COUNTIF('10月'!BV23:BW23,X$337)+COUNTIF('10月'!CA23:CB23,X$337)+COUNTIF('10月'!CF23:CG23,X$337)+COUNTIF('10月'!CK23:CL23,X$337)+COUNTIF('10月'!CP23:CQ23,X$337)+COUNTIF('10月'!CU23:CV23,X$337)+COUNTIF('10月'!CZ23:DA23,X$337)+COUNTIF('10月'!DE23:DF23,X$337)+COUNTIF('10月'!DJ23:DK23,X$337)+COUNTIF('10月'!DO23:DP23,X$337)+COUNTIF('10月'!DT23:DU23,X$337)+COUNTIF('10月'!DY23:DZ23,X$337)+COUNTIF('10月'!ED23:EE23,X$337)+COUNTIF('10月'!EI23:EJ23,X$337)+COUNTIF('10月'!EN23:EO23,X$337)+COUNTIF('10月'!ES23:ET23,X$337)</f>
        <v>0</v>
      </c>
      <c r="Y358" s="76">
        <f t="shared" si="119"/>
        <v>0</v>
      </c>
    </row>
    <row r="359" spans="1:25" ht="18" customHeight="1">
      <c r="A359" s="76">
        <v>21</v>
      </c>
      <c r="B359" s="76">
        <f>COUNTIF('10月'!D24:E24,B$337)+COUNTIF('10月'!I24:J24,B$337)+COUNTIF('10月'!N24:O24,B$337)+COUNTIF('10月'!S24:T24,B$337)+COUNTIF('10月'!X24:Y24,B$337)+COUNTIF('10月'!AC24:AD24,B$337)+COUNTIF('10月'!AH24:AI24,B$337)+COUNTIF('10月'!AM24:AN24,B$337)+COUNTIF('10月'!AR24:AS24,B$337)+COUNTIF('10月'!AW24:AX24,B$337)+COUNTIF('10月'!BB24:BC24,B$337)+COUNTIF('10月'!BG24:BH24,B$337)+COUNTIF('10月'!BL24:BM24,B$337)+COUNTIF('10月'!BQ24:BR24,B$337)+COUNTIF('10月'!BV24:BW24,B$337)+COUNTIF('10月'!CA24:CB24,B$337)+COUNTIF('10月'!CF24:CG24,B$337)+COUNTIF('10月'!CK24:CL24,B$337)+COUNTIF('10月'!CP24:CQ24,B$337)+COUNTIF('10月'!CU24:CV24,B$337)+COUNTIF('10月'!CZ24:DA24,B$337)+COUNTIF('10月'!DE24:DF24,B$337)+COUNTIF('10月'!DJ24:DK24,B$337)+COUNTIF('10月'!DO24:DP24,B$337)+COUNTIF('10月'!DT24:DU24,B$337)+COUNTIF('10月'!DY24:DZ24,B$337)+COUNTIF('10月'!ED24:EE24,B$337)+COUNTIF('10月'!EI24:EJ24,B$337)+COUNTIF('10月'!EN24:EO24,B$337)+COUNTIF('10月'!ES24:ET24,B$337)</f>
        <v>0</v>
      </c>
      <c r="C359" s="76">
        <f t="shared" si="108"/>
        <v>0</v>
      </c>
      <c r="D359" s="76">
        <f>COUNTIF('10月'!D24:E24,D$337)+COUNTIF('10月'!I24:J24,D$337)+COUNTIF('10月'!N24:O24,D$337)+COUNTIF('10月'!S24:T24,D$337)+COUNTIF('10月'!X24:Y24,D$337)+COUNTIF('10月'!AC24:AD24,D$337)+COUNTIF('10月'!AH24:AI24,D$337)+COUNTIF('10月'!AM24:AN24,D$337)+COUNTIF('10月'!AR24:AS24,D$337)+COUNTIF('10月'!AW24:AX24,D$337)+COUNTIF('10月'!BB24:BC24,D$337)+COUNTIF('10月'!BG24:BH24,D$337)+COUNTIF('10月'!BL24:BM24,D$337)+COUNTIF('10月'!BQ24:BR24,D$337)+COUNTIF('10月'!BV24:BW24,D$337)+COUNTIF('10月'!CA24:CB24,D$337)+COUNTIF('10月'!CF24:CG24,D$337)+COUNTIF('10月'!CK24:CL24,D$337)+COUNTIF('10月'!CP24:CQ24,D$337)+COUNTIF('10月'!CU24:CV24,D$337)+COUNTIF('10月'!CZ24:DA24,D$337)+COUNTIF('10月'!DE24:DF24,D$337)+COUNTIF('10月'!DJ24:DK24,D$337)+COUNTIF('10月'!DO24:DP24,D$337)+COUNTIF('10月'!DT24:DU24,D$337)+COUNTIF('10月'!DY24:DZ24,D$337)+COUNTIF('10月'!ED24:EE24,D$337)+COUNTIF('10月'!EI24:EJ24,D$337)+COUNTIF('10月'!EN24:EO24,D$337)+COUNTIF('10月'!ES24:ET24,D$337)</f>
        <v>0</v>
      </c>
      <c r="E359" s="76">
        <f t="shared" si="109"/>
        <v>0</v>
      </c>
      <c r="F359" s="76">
        <f>COUNTIF('10月'!D24:E24,F$337)+COUNTIF('10月'!I24:J24,F$337)+COUNTIF('10月'!N24:O24,F$337)+COUNTIF('10月'!S24:T24,F$337)+COUNTIF('10月'!X24:Y24,F$337)+COUNTIF('10月'!AC24:AD24,F$337)+COUNTIF('10月'!AH24:AI24,F$337)+COUNTIF('10月'!AM24:AN24,F$337)+COUNTIF('10月'!AR24:AS24,F$337)+COUNTIF('10月'!AW24:AX24,F$337)+COUNTIF('10月'!BB24:BC24,F$337)+COUNTIF('10月'!BG24:BH24,F$337)+COUNTIF('10月'!BL24:BM24,F$337)+COUNTIF('10月'!BQ24:BR24,F$337)+COUNTIF('10月'!BV24:BW24,F$337)+COUNTIF('10月'!CA24:CB24,F$337)+COUNTIF('10月'!CF24:CG24,F$337)+COUNTIF('10月'!CK24:CL24,F$337)+COUNTIF('10月'!CP24:CQ24,F$337)+COUNTIF('10月'!CU24:CV24,F$337)+COUNTIF('10月'!CZ24:DA24,F$337)+COUNTIF('10月'!DE24:DF24,F$337)+COUNTIF('10月'!DJ24:DK24,F$337)+COUNTIF('10月'!DO24:DP24,F$337)+COUNTIF('10月'!DT24:DU24,F$337)+COUNTIF('10月'!DY24:DZ24,F$337)+COUNTIF('10月'!ED24:EE24,F$337)+COUNTIF('10月'!EI24:EJ24,F$337)+COUNTIF('10月'!EN24:EO24,F$337)+COUNTIF('10月'!ES24:ET24,F$337)</f>
        <v>0</v>
      </c>
      <c r="G359" s="76">
        <f t="shared" si="110"/>
        <v>0</v>
      </c>
      <c r="H359" s="76">
        <f>COUNTIF('10月'!D24:E24,H$337)+COUNTIF('10月'!I24:J24,H$337)+COUNTIF('10月'!N24:O24,H$337)+COUNTIF('10月'!S24:T24,H$337)+COUNTIF('10月'!X24:Y24,H$337)+COUNTIF('10月'!AC24:AD24,H$337)+COUNTIF('10月'!AH24:AI24,H$337)+COUNTIF('10月'!AM24:AN24,H$337)+COUNTIF('10月'!AR24:AS24,H$337)+COUNTIF('10月'!AW24:AX24,H$337)+COUNTIF('10月'!BB24:BC24,H$337)+COUNTIF('10月'!BG24:BH24,H$337)+COUNTIF('10月'!BL24:BM24,H$337)+COUNTIF('10月'!BQ24:BR24,H$337)+COUNTIF('10月'!BV24:BW24,H$337)+COUNTIF('10月'!CA24:CB24,H$337)+COUNTIF('10月'!CF24:CG24,H$337)+COUNTIF('10月'!CK24:CL24,H$337)+COUNTIF('10月'!CP24:CQ24,H$337)+COUNTIF('10月'!CU24:CV24,H$337)+COUNTIF('10月'!CZ24:DA24,H$337)+COUNTIF('10月'!DE24:DF24,H$337)+COUNTIF('10月'!DJ24:DK24,H$337)+COUNTIF('10月'!DO24:DP24,H$337)+COUNTIF('10月'!DT24:DU24,H$337)+COUNTIF('10月'!DY24:DZ24,H$337)+COUNTIF('10月'!ED24:EE24,H$337)+COUNTIF('10月'!EI24:EJ24,H$337)+COUNTIF('10月'!EN24:EO24,H$337)+COUNTIF('10月'!ES24:ET24,H$337)+COUNTIF('10月'!D24:E24,"渋谷-夜勤")+COUNTIF('10月'!I24:J24,"渋谷-夜勤")+COUNTIF('10月'!N24:O24,"渋谷-夜勤")+COUNTIF('10月'!S24:T24,"渋谷-夜勤")+COUNTIF('10月'!X24:Y24,"渋谷-夜勤")+COUNTIF('10月'!AC24:AD24,"渋谷-夜勤")+COUNTIF('10月'!AH24:AI24,"渋谷-夜勤")+COUNTIF('10月'!AM24:AN24,"渋谷-夜勤")+COUNTIF('10月'!AR24:AS24,"渋谷-夜勤")+COUNTIF('10月'!AW24:AX24,"渋谷-夜勤")+COUNTIF('10月'!BB24:BC24,"渋谷-夜勤")+COUNTIF('10月'!BG24:BH24,"渋谷-夜勤")+COUNTIF('10月'!BL24:BM24,"渋谷-夜勤")+COUNTIF('10月'!BQ24:BR24,"渋谷-夜勤")+COUNTIF('10月'!BV24:BW24,"渋谷-夜勤")+COUNTIF('10月'!CA24:CB24,"渋谷-夜勤")+COUNTIF('10月'!CF24:CG24,"渋谷-夜勤")+COUNTIF('10月'!CK24:CL24,"渋谷-夜勤")+COUNTIF('10月'!CP24:CQ24,"渋谷-夜勤")+COUNTIF('10月'!CU24:CV24,"渋谷-夜勤")+COUNTIF('10月'!CZ24:DA24,"渋谷-夜勤")+COUNTIF('10月'!DE24:DF24,"渋谷-夜勤")+COUNTIF('10月'!DJ24:DK24,"渋谷-夜勤")+COUNTIF('10月'!DO24:DP24,"渋谷-夜勤")+COUNTIF('10月'!DT24:DU24,"渋谷-夜勤")+COUNTIF('10月'!DY24:DZ24,"渋谷-夜勤")+COUNTIF('10月'!ED24:EE24,"渋谷-夜勤")+COUNTIF('10月'!EI24:EJ24,"渋谷-夜勤")+COUNTIF('10月'!EN24:EO24,"渋谷-夜勤")+COUNTIF('10月'!ES24:ET24,"渋谷-夜勤")</f>
        <v>0</v>
      </c>
      <c r="I359" s="76">
        <f t="shared" si="111"/>
        <v>0</v>
      </c>
      <c r="J359" s="76">
        <f>COUNTIF('10月'!D24:E24,J$337)+COUNTIF('10月'!I24:J24,J$337)+COUNTIF('10月'!N24:O24,J$337)+COUNTIF('10月'!S24:T24,J$337)+COUNTIF('10月'!X24:Y24,J$337)+COUNTIF('10月'!AC24:AD24,J$337)+COUNTIF('10月'!AH24:AI24,J$337)+COUNTIF('10月'!AM24:AN24,J$337)+COUNTIF('10月'!AR24:AS24,J$337)+COUNTIF('10月'!AW24:AX24,J$337)+COUNTIF('10月'!BB24:BC24,J$337)+COUNTIF('10月'!BG24:BH24,J$337)+COUNTIF('10月'!BL24:BM24,J$337)+COUNTIF('10月'!BQ24:BR24,J$337)+COUNTIF('10月'!BV24:BW24,J$337)+COUNTIF('10月'!CA24:CB24,J$337)+COUNTIF('10月'!CF24:CG24,J$337)+COUNTIF('10月'!CK24:CL24,J$337)+COUNTIF('10月'!CP24:CQ24,J$337)+COUNTIF('10月'!CU24:CV24,J$337)+COUNTIF('10月'!CZ24:DA24,J$337)+COUNTIF('10月'!DE24:DF24,J$337)+COUNTIF('10月'!DJ24:DK24,J$337)+COUNTIF('10月'!DO24:DP24,J$337)+COUNTIF('10月'!DT24:DU24,J$337)+COUNTIF('10月'!DY24:DZ24,J$337)+COUNTIF('10月'!ED24:EE24,J$337)+COUNTIF('10月'!EI24:EJ24,J$337)+COUNTIF('10月'!EN24:EO24,J$337)+COUNTIF('10月'!ES24:ET24,J$337)+COUNTIF('10月'!D24:E24,"六本木-夜勤")+COUNTIF('10月'!I24:J24,"六本木-夜勤")+COUNTIF('10月'!N24:O24,"六本木-夜勤")+COUNTIF('10月'!S24:T24,"六本木-夜勤")+COUNTIF('10月'!X24:Y24,"六本木-夜勤")+COUNTIF('10月'!AC24:AD24,"六本木-夜勤")+COUNTIF('10月'!AH24:AI24,"六本木-夜勤")+COUNTIF('10月'!AM24:AN24,"六本木-夜勤")+COUNTIF('10月'!AR24:AS24,"六本木-夜勤")+COUNTIF('10月'!AW24:AX24,"六本木-夜勤")+COUNTIF('10月'!BB24:BC24,"六本木-夜勤")+COUNTIF('10月'!BG24:BH24,"六本木-夜勤")+COUNTIF('10月'!BL24:BM24,"六本木-夜勤")+COUNTIF('10月'!BQ24:BR24,"六本木-夜勤")+COUNTIF('10月'!BV24:BW24,"六本木-夜勤")+COUNTIF('10月'!CA24:CB24,"六本木-夜勤")+COUNTIF('10月'!CF24:CG24,"六本木-夜勤")+COUNTIF('10月'!CK24:CL24,"六本木-夜勤")+COUNTIF('10月'!CP24:CQ24,"六本木-夜勤")+COUNTIF('10月'!CU24:CV24,"六本木-夜勤")+COUNTIF('10月'!CZ24:DA24,"六本木-夜勤")+COUNTIF('10月'!DE24:DF24,"六本木-夜勤")+COUNTIF('10月'!DJ24:DK24,"六本木-夜勤")+COUNTIF('10月'!DO24:DP24,"六本木-夜勤")+COUNTIF('10月'!DT24:DU24,"六本木-夜勤")+COUNTIF('10月'!DY24:DZ24,"六本木-夜勤")+COUNTIF('10月'!ED24:EE24,"六本木-夜勤")+COUNTIF('10月'!EI24:EJ24,"六本木-夜勤")+COUNTIF('10月'!EN24:EO24,"六本木-夜勤")+COUNTIF('10月'!ES24:ET24,"六本木-夜勤")+COUNTIF('10月'!D24:E24,"六本木ー夜勤")+COUNTIF('10月'!I24:J24,"六本木ー夜勤")+COUNTIF('10月'!N24:O24,"六本木ー夜勤")+COUNTIF('10月'!S24:T24,"六本木ー夜勤")+COUNTIF('10月'!X24:Y24,"六本木ー夜勤")+COUNTIF('10月'!AC24:AD24,"六本木ー夜勤")+COUNTIF('10月'!AH24:AI24,"六本木ー夜勤")+COUNTIF('10月'!AM24:AN24,"六本木ー夜勤")+COUNTIF('10月'!AR24:AS24,"六本木ー夜勤")+COUNTIF('10月'!AW24:AX24,"六本木ー夜勤")+COUNTIF('10月'!BB24:BC24,"六本木ー夜勤")+COUNTIF('10月'!BG24:BH24,"六本木ー夜勤")+COUNTIF('10月'!BL24:BM24,"六本木ー夜勤")+COUNTIF('10月'!BQ24:BR24,"六本木ー夜勤")+COUNTIF('10月'!BV24:BW24,"六本木ー夜勤")+COUNTIF('10月'!CA24:CB24,"六本木ー夜勤")+COUNTIF('10月'!CF24:CG24,"六本木ー夜勤")+COUNTIF('10月'!CK24:CL24,"六本木ー夜勤")+COUNTIF('10月'!CP24:CQ24,"六本木ー夜勤")+COUNTIF('10月'!CU24:CV24,"六本木ー夜勤")+COUNTIF('10月'!CZ24:DA24,"六本木ー夜勤")+COUNTIF('10月'!DE24:DF24,"六本木ー夜勤")+COUNTIF('10月'!DJ24:DK24,"六本木ー夜勤")+COUNTIF('10月'!DO24:DP24,"六本木ー夜勤")+COUNTIF('10月'!DT24:DU24,"六本木ー夜勤")+COUNTIF('10月'!DY24:DZ24,"六本木ー夜勤")+COUNTIF('10月'!ED24:EE24,"六本木ー夜勤")+COUNTIF('10月'!EI24:EJ24,"六本木ー夜勤")+COUNTIF('10月'!EN24:EO24,"六本木ー夜勤")+COUNTIF('10月'!ES24:ET24,"六本木ー夜勤")</f>
        <v>0</v>
      </c>
      <c r="K359" s="76">
        <f t="shared" si="112"/>
        <v>0</v>
      </c>
      <c r="L359" s="76">
        <f>COUNTIF('10月'!D24:E24,L$337)+COUNTIF('10月'!I24:J24,L$337)+COUNTIF('10月'!N24:O24,L$337)+COUNTIF('10月'!S24:T24,L$337)+COUNTIF('10月'!X24:Y24,L$337)+COUNTIF('10月'!AC24:AD24,L$337)+COUNTIF('10月'!AH24:AI24,L$337)+COUNTIF('10月'!AM24:AN24,L$337)+COUNTIF('10月'!AR24:AS24,L$337)+COUNTIF('10月'!AW24:AX24,L$337)+COUNTIF('10月'!BB24:BC24,L$337)+COUNTIF('10月'!BG24:BH24,L$337)+COUNTIF('10月'!BL24:BM24,L$337)+COUNTIF('10月'!BQ24:BR24,L$337)+COUNTIF('10月'!BV24:BW24,L$337)+COUNTIF('10月'!CA24:CB24,L$337)+COUNTIF('10月'!CF24:CG24,L$337)+COUNTIF('10月'!CK24:CL24,L$337)+COUNTIF('10月'!CP24:CQ24,L$337)+COUNTIF('10月'!CU24:CV24,L$337)+COUNTIF('10月'!CZ24:DA24,L$337)+COUNTIF('10月'!DE24:DF24,L$337)+COUNTIF('10月'!DJ24:DK24,L$337)+COUNTIF('10月'!DO24:DP24,L$337)+COUNTIF('10月'!DT24:DU24,L$337)+COUNTIF('10月'!DY24:DZ24,L$337)+COUNTIF('10月'!ED24:EE24,L$337)+COUNTIF('10月'!EI24:EJ24,L$337)+COUNTIF('10月'!EN24:EO24,L$337)+COUNTIF('10月'!ES24:ET24,L$337)</f>
        <v>0</v>
      </c>
      <c r="M359" s="76">
        <f t="shared" si="113"/>
        <v>0</v>
      </c>
      <c r="N359" s="76">
        <f>COUNTIF('10月'!D24:E24,N$337)+COUNTIF('10月'!I24:J24,N$337)+COUNTIF('10月'!N24:O24,N$337)+COUNTIF('10月'!S24:T24,N$337)+COUNTIF('10月'!X24:Y24,N$337)+COUNTIF('10月'!AC24:AD24,N$337)+COUNTIF('10月'!AH24:AI24,N$337)+COUNTIF('10月'!AM24:AN24,N$337)+COUNTIF('10月'!AR24:AS24,N$337)+COUNTIF('10月'!AW24:AX24,N$337)+COUNTIF('10月'!BB24:BC24,N$337)+COUNTIF('10月'!BG24:BH24,N$337)+COUNTIF('10月'!BL24:BM24,N$337)+COUNTIF('10月'!BQ24:BR24,N$337)+COUNTIF('10月'!BV24:BW24,N$337)+COUNTIF('10月'!CA24:CB24,N$337)+COUNTIF('10月'!CF24:CG24,N$337)+COUNTIF('10月'!CK24:CL24,N$337)+COUNTIF('10月'!CP24:CQ24,N$337)+COUNTIF('10月'!CU24:CV24,N$337)+COUNTIF('10月'!CZ24:DA24,N$337)+COUNTIF('10月'!DE24:DF24,N$337)+COUNTIF('10月'!DJ24:DK24,N$337)+COUNTIF('10月'!DO24:DP24,N$337)+COUNTIF('10月'!DT24:DU24,N$337)+COUNTIF('10月'!DY24:DZ24,N$337)+COUNTIF('10月'!ED24:EE24,N$337)+COUNTIF('10月'!EI24:EJ24,N$337)+COUNTIF('10月'!EN24:EO24,N$337)+COUNTIF('10月'!ES24:ET24,N$337)+COUNTIF('10月'!D24:E24,"三軒茶屋－夜勤")+COUNTIF('10月'!I24:J24,"三軒茶屋－夜勤")+COUNTIF('10月'!N24:O24,"三軒茶屋－夜勤")+COUNTIF('10月'!S24:T24,"三軒茶屋－夜勤")+COUNTIF('10月'!X24:Y24,"三軒茶屋－夜勤")+COUNTIF('10月'!AC24:AD24,"三軒茶屋－夜勤")+COUNTIF('10月'!AH24:AI24,"三軒茶屋－夜勤")+COUNTIF('10月'!AM24:AN24,"三軒茶屋－夜勤")+COUNTIF('10月'!AR24:AS24,"三軒茶屋－夜勤")+COUNTIF('10月'!AW24:AX24,"三軒茶屋－夜勤")+COUNTIF('10月'!BB24:BC24,"三軒茶屋－夜勤")+COUNTIF('10月'!BG24:BH24,"三軒茶屋－夜勤")+COUNTIF('10月'!BL24:BM24,"三軒茶屋－夜勤")+COUNTIF('10月'!BQ24:BR24,"三軒茶屋－夜勤")+COUNTIF('10月'!BV24:BW24,"三軒茶屋－夜勤")+COUNTIF('10月'!CA24:CB24,"三軒茶屋－夜勤")+COUNTIF('10月'!CF24:CG24,"三軒茶屋－夜勤")+COUNTIF('10月'!CK24:CL24,"三軒茶屋－夜勤")+COUNTIF('10月'!CP24:CQ24,"三軒茶屋－夜勤")+COUNTIF('10月'!CU24:CV24,"三軒茶屋－夜勤")+COUNTIF('10月'!CZ24:DA24,"三軒茶屋－夜勤")+COUNTIF('10月'!DE24:DF24,"三軒茶屋－夜勤")+COUNTIF('10月'!DJ24:DK24,"三軒茶屋－夜勤")+COUNTIF('10月'!DO24:DP24,"三軒茶屋－夜勤")+COUNTIF('10月'!DT24:DU24,"三軒茶屋－夜勤")+COUNTIF('10月'!DY24:DZ24,"三軒茶屋－夜勤")+COUNTIF('10月'!ED24:EE24,"三軒茶屋－夜勤")+COUNTIF('10月'!EI24:EJ24,"三軒茶屋－夜勤")+COUNTIF('10月'!EN24:EO24,"三軒茶屋－夜勤")+COUNTIF('10月'!ES24:ET24,"三軒茶屋－夜勤")</f>
        <v>0</v>
      </c>
      <c r="O359" s="76">
        <f t="shared" si="114"/>
        <v>0</v>
      </c>
      <c r="P359" s="76">
        <f>COUNTIF('10月'!D24:E24,P$337)+COUNTIF('10月'!I24:J24,P$337)+COUNTIF('10月'!N24:O24,P$337)+COUNTIF('10月'!S24:T24,P$337)+COUNTIF('10月'!X24:Y24,P$337)+COUNTIF('10月'!AC24:AD24,P$337)+COUNTIF('10月'!AH24:AI24,P$337)+COUNTIF('10月'!AM24:AN24,P$337)+COUNTIF('10月'!AR24:AS24,P$337)+COUNTIF('10月'!AW24:AX24,P$337)+COUNTIF('10月'!BB24:BC24,P$337)+COUNTIF('10月'!BG24:BH24,P$337)+COUNTIF('10月'!BL24:BM24,P$337)+COUNTIF('10月'!BQ24:BR24,P$337)+COUNTIF('10月'!BV24:BW24,P$337)+COUNTIF('10月'!CA24:CB24,P$337)+COUNTIF('10月'!CF24:CG24,P$337)+COUNTIF('10月'!CK24:CL24,P$337)+COUNTIF('10月'!CP24:CQ24,P$337)+COUNTIF('10月'!CU24:CV24,P$337)+COUNTIF('10月'!CZ24:DA24,P$337)+COUNTIF('10月'!DE24:DF24,P$337)+COUNTIF('10月'!DJ24:DK24,P$337)+COUNTIF('10月'!DO24:DP24,P$337)+COUNTIF('10月'!DT24:DU24,P$337)+COUNTIF('10月'!DY24:DZ24,P$337)+COUNTIF('10月'!ED24:EE24,P$337)+COUNTIF('10月'!EI24:EJ24,P$337)+COUNTIF('10月'!EN24:EO24,P$337)+COUNTIF('10月'!ES24:ET24,P$337)+COUNTIF('10月'!D24:E24,"荻窪ー夜勤")+COUNTIF('10月'!I24:J24,"荻窪ー夜勤")+COUNTIF('10月'!N24:O24,"荻窪ー夜勤")+COUNTIF('10月'!S24:T24,"荻窪ー夜勤")+COUNTIF('10月'!X24:Y24,"荻窪ー夜勤")+COUNTIF('10月'!AC24:AD24,"荻窪ー夜勤")+COUNTIF('10月'!AH24:AI24,"荻窪ー夜勤")+COUNTIF('10月'!AM24:AN24,"荻窪ー夜勤")+COUNTIF('10月'!AR24:AS24,"荻窪ー夜勤")+COUNTIF('10月'!AW24:AX24,"荻窪ー夜勤")+COUNTIF('10月'!BB24:BC24,"荻窪ー夜勤")+COUNTIF('10月'!BG24:BH24,"荻窪ー夜勤")+COUNTIF('10月'!BL24:BM24,"荻窪ー夜勤")+COUNTIF('10月'!BQ24:BR24,"荻窪ー夜勤")+COUNTIF('10月'!BV24:BW24,"荻窪ー夜勤")+COUNTIF('10月'!CA24:CB24,"荻窪ー夜勤")+COUNTIF('10月'!CF24:CG24,"荻窪ー夜勤")+COUNTIF('10月'!CK24:CL24,"荻窪ー夜勤")+COUNTIF('10月'!CP24:CQ24,"荻窪ー夜勤")+COUNTIF('10月'!CU24:CV24,"荻窪ー夜勤")+COUNTIF('10月'!CZ24:DA24,"荻窪ー夜勤")+COUNTIF('10月'!DE24:DF24,"荻窪ー夜勤")+COUNTIF('10月'!DJ24:DK24,"荻窪ー夜勤")+COUNTIF('10月'!DO24:DP24,"荻窪ー夜勤")+COUNTIF('10月'!DT24:DU24,"荻窪ー夜勤")+COUNTIF('10月'!DY24:DZ24,"荻窪ー夜勤")+COUNTIF('10月'!ED24:EE24,"荻窪ー夜勤")+COUNTIF('10月'!EI24:EJ24,"荻窪ー夜勤")+COUNTIF('10月'!EN24:EO24,"荻窪ー夜勤")+COUNTIF('10月'!ES24:ET24,"荻窪ー夜勤")</f>
        <v>0</v>
      </c>
      <c r="Q359" s="76">
        <f t="shared" si="115"/>
        <v>0</v>
      </c>
      <c r="R359" s="76">
        <f>COUNTIF('10月'!D24:E24,R$337)+COUNTIF('10月'!I24:J24,R$337)+COUNTIF('10月'!N24:O24,R$337)+COUNTIF('10月'!S24:T24,R$337)+COUNTIF('10月'!X24:Y24,R$337)+COUNTIF('10月'!AC24:AD24,R$337)+COUNTIF('10月'!AH24:AI24,R$337)+COUNTIF('10月'!AM24:AN24,R$337)+COUNTIF('10月'!AR24:AS24,R$337)+COUNTIF('10月'!AW24:AX24,R$337)+COUNTIF('10月'!BB24:BC24,R$337)+COUNTIF('10月'!BG24:BH24,R$337)+COUNTIF('10月'!BL24:BM24,R$337)+COUNTIF('10月'!BQ24:BR24,R$337)+COUNTIF('10月'!BV24:BW24,R$337)+COUNTIF('10月'!CA24:CB24,R$337)+COUNTIF('10月'!CF24:CG24,R$337)+COUNTIF('10月'!CK24:CL24,R$337)+COUNTIF('10月'!CP24:CQ24,R$337)+COUNTIF('10月'!CU24:CV24,R$337)+COUNTIF('10月'!CZ24:DA24,R$337)+COUNTIF('10月'!DE24:DF24,R$337)+COUNTIF('10月'!DJ24:DK24,R$337)+COUNTIF('10月'!DO24:DP24,R$337)+COUNTIF('10月'!DT24:DU24,R$337)+COUNTIF('10月'!DY24:DZ24,R$337)+COUNTIF('10月'!ED24:EE24,R$337)+COUNTIF('10月'!EI24:EJ24,R$337)+COUNTIF('10月'!EN24:EO24,R$337)+COUNTIF('10月'!ES24:ET24,R$337)</f>
        <v>0</v>
      </c>
      <c r="S359" s="76">
        <f t="shared" si="116"/>
        <v>0</v>
      </c>
      <c r="T359" s="76">
        <f>COUNTIF('10月'!D24:E24,T$337)+COUNTIF('10月'!I24:J24,T$337)+COUNTIF('10月'!N24:O24,T$337)+COUNTIF('10月'!S24:T24,T$337)+COUNTIF('10月'!X24:Y24,T$337)+COUNTIF('10月'!AC24:AD24,T$337)+COUNTIF('10月'!AH24:AI24,T$337)+COUNTIF('10月'!AM24:AN24,T$337)+COUNTIF('10月'!AR24:AS24,T$337)+COUNTIF('10月'!AW24:AX24,T$337)+COUNTIF('10月'!BB24:BC24,T$337)+COUNTIF('10月'!BG24:BH24,T$337)+COUNTIF('10月'!BL24:BM24,T$337)+COUNTIF('10月'!BQ24:BR24,T$337)+COUNTIF('10月'!BV24:BW24,T$337)+COUNTIF('10月'!CA24:CB24,T$337)+COUNTIF('10月'!CF24:CG24,T$337)+COUNTIF('10月'!CK24:CL24,T$337)+COUNTIF('10月'!CP24:CQ24,T$337)+COUNTIF('10月'!CU24:CV24,T$337)+COUNTIF('10月'!CZ24:DA24,T$337)+COUNTIF('10月'!DE24:DF24,T$337)+COUNTIF('10月'!DJ24:DK24,T$337)+COUNTIF('10月'!DO24:DP24,T$337)+COUNTIF('10月'!DT24:DU24,T$337)+COUNTIF('10月'!DY24:DZ24,T$337)+COUNTIF('10月'!ED24:EE24,T$337)+COUNTIF('10月'!EI24:EJ24,T$337)+COUNTIF('10月'!EN24:EO24,T$337)+COUNTIF('10月'!ES24:ET24,T$337)</f>
        <v>0</v>
      </c>
      <c r="U359" s="76">
        <f t="shared" si="117"/>
        <v>0</v>
      </c>
      <c r="V359" s="76">
        <f>COUNTIF('10月'!D24:E24,V$337)+COUNTIF('10月'!I24:J24,V$337)+COUNTIF('10月'!N24:O24,V$337)+COUNTIF('10月'!S24:T24,V$337)+COUNTIF('10月'!X24:Y24,V$337)+COUNTIF('10月'!AC24:AD24,V$337)+COUNTIF('10月'!AH24:AI24,V$337)+COUNTIF('10月'!AM24:AN24,V$337)+COUNTIF('10月'!AR24:AS24,V$337)+COUNTIF('10月'!AW24:AX24,V$337)+COUNTIF('10月'!BB24:BC24,V$337)+COUNTIF('10月'!BG24:BH24,V$337)+COUNTIF('10月'!BL24:BM24,V$337)+COUNTIF('10月'!BQ24:BR24,V$337)+COUNTIF('10月'!BV24:BW24,V$337)+COUNTIF('10月'!CA24:CB24,V$337)+COUNTIF('10月'!CF24:CG24,V$337)+COUNTIF('10月'!CK24:CL24,V$337)+COUNTIF('10月'!CP24:CQ24,V$337)+COUNTIF('10月'!CU24:CV24,V$337)+COUNTIF('10月'!CZ24:DA24,V$337)+COUNTIF('10月'!DE24:DF24,V$337)+COUNTIF('10月'!DJ24:DK24,V$337)+COUNTIF('10月'!DO24:DP24,V$337)+COUNTIF('10月'!DT24:DU24,V$337)+COUNTIF('10月'!DY24:DZ24,V$337)+COUNTIF('10月'!ED24:EE24,V$337)+COUNTIF('10月'!EI24:EJ24,V$337)+COUNTIF('10月'!EN24:EO24,V$337)+COUNTIF('10月'!ES24:ET24,V$337)</f>
        <v>0</v>
      </c>
      <c r="W359" s="76">
        <f t="shared" si="118"/>
        <v>0</v>
      </c>
      <c r="X359" s="76">
        <f>COUNTIF('10月'!D24:E24,X$337)+COUNTIF('10月'!I24:J24,X$337)+COUNTIF('10月'!N24:O24,X$337)+COUNTIF('10月'!S24:T24,X$337)+COUNTIF('10月'!X24:Y24,X$337)+COUNTIF('10月'!AC24:AD24,X$337)+COUNTIF('10月'!AH24:AI24,X$337)+COUNTIF('10月'!AM24:AN24,X$337)+COUNTIF('10月'!AR24:AS24,X$337)+COUNTIF('10月'!AW24:AX24,X$337)+COUNTIF('10月'!BB24:BC24,X$337)+COUNTIF('10月'!BG24:BH24,X$337)+COUNTIF('10月'!BL24:BM24,X$337)+COUNTIF('10月'!BQ24:BR24,X$337)+COUNTIF('10月'!BV24:BW24,X$337)+COUNTIF('10月'!CA24:CB24,X$337)+COUNTIF('10月'!CF24:CG24,X$337)+COUNTIF('10月'!CK24:CL24,X$337)+COUNTIF('10月'!CP24:CQ24,X$337)+COUNTIF('10月'!CU24:CV24,X$337)+COUNTIF('10月'!CZ24:DA24,X$337)+COUNTIF('10月'!DE24:DF24,X$337)+COUNTIF('10月'!DJ24:DK24,X$337)+COUNTIF('10月'!DO24:DP24,X$337)+COUNTIF('10月'!DT24:DU24,X$337)+COUNTIF('10月'!DY24:DZ24,X$337)+COUNTIF('10月'!ED24:EE24,X$337)+COUNTIF('10月'!EI24:EJ24,X$337)+COUNTIF('10月'!EN24:EO24,X$337)+COUNTIF('10月'!ES24:ET24,X$337)</f>
        <v>0</v>
      </c>
      <c r="Y359" s="76">
        <f t="shared" si="119"/>
        <v>0</v>
      </c>
    </row>
    <row r="360" spans="1:25" ht="18" customHeight="1">
      <c r="A360" s="76">
        <v>22</v>
      </c>
      <c r="B360" s="76">
        <f>COUNTIF('10月'!D25:E25,B$337)+COUNTIF('10月'!I25:J25,B$337)+COUNTIF('10月'!N25:O25,B$337)+COUNTIF('10月'!S25:T25,B$337)+COUNTIF('10月'!X25:Y25,B$337)+COUNTIF('10月'!AC25:AD25,B$337)+COUNTIF('10月'!AH25:AI25,B$337)+COUNTIF('10月'!AM25:AN25,B$337)+COUNTIF('10月'!AR25:AS25,B$337)+COUNTIF('10月'!AW25:AX25,B$337)+COUNTIF('10月'!BB25:BC25,B$337)+COUNTIF('10月'!BG25:BH25,B$337)+COUNTIF('10月'!BL25:BM25,B$337)+COUNTIF('10月'!BQ25:BR25,B$337)+COUNTIF('10月'!BV25:BW25,B$337)+COUNTIF('10月'!CA25:CB25,B$337)+COUNTIF('10月'!CF25:CG25,B$337)+COUNTIF('10月'!CK25:CL25,B$337)+COUNTIF('10月'!CP25:CQ25,B$337)+COUNTIF('10月'!CU25:CV25,B$337)+COUNTIF('10月'!CZ25:DA25,B$337)+COUNTIF('10月'!DE25:DF25,B$337)+COUNTIF('10月'!DJ25:DK25,B$337)+COUNTIF('10月'!DO25:DP25,B$337)+COUNTIF('10月'!DT25:DU25,B$337)+COUNTIF('10月'!DY25:DZ25,B$337)+COUNTIF('10月'!ED25:EE25,B$337)+COUNTIF('10月'!EI25:EJ25,B$337)+COUNTIF('10月'!EN25:EO25,B$337)+COUNTIF('10月'!ES25:ET25,B$337)</f>
        <v>0</v>
      </c>
      <c r="C360" s="76">
        <f t="shared" si="108"/>
        <v>0</v>
      </c>
      <c r="D360" s="76">
        <f>COUNTIF('10月'!D25:E25,D$337)+COUNTIF('10月'!I25:J25,D$337)+COUNTIF('10月'!N25:O25,D$337)+COUNTIF('10月'!S25:T25,D$337)+COUNTIF('10月'!X25:Y25,D$337)+COUNTIF('10月'!AC25:AD25,D$337)+COUNTIF('10月'!AH25:AI25,D$337)+COUNTIF('10月'!AM25:AN25,D$337)+COUNTIF('10月'!AR25:AS25,D$337)+COUNTIF('10月'!AW25:AX25,D$337)+COUNTIF('10月'!BB25:BC25,D$337)+COUNTIF('10月'!BG25:BH25,D$337)+COUNTIF('10月'!BL25:BM25,D$337)+COUNTIF('10月'!BQ25:BR25,D$337)+COUNTIF('10月'!BV25:BW25,D$337)+COUNTIF('10月'!CA25:CB25,D$337)+COUNTIF('10月'!CF25:CG25,D$337)+COUNTIF('10月'!CK25:CL25,D$337)+COUNTIF('10月'!CP25:CQ25,D$337)+COUNTIF('10月'!CU25:CV25,D$337)+COUNTIF('10月'!CZ25:DA25,D$337)+COUNTIF('10月'!DE25:DF25,D$337)+COUNTIF('10月'!DJ25:DK25,D$337)+COUNTIF('10月'!DO25:DP25,D$337)+COUNTIF('10月'!DT25:DU25,D$337)+COUNTIF('10月'!DY25:DZ25,D$337)+COUNTIF('10月'!ED25:EE25,D$337)+COUNTIF('10月'!EI25:EJ25,D$337)+COUNTIF('10月'!EN25:EO25,D$337)+COUNTIF('10月'!ES25:ET25,D$337)</f>
        <v>0</v>
      </c>
      <c r="E360" s="76">
        <f t="shared" si="109"/>
        <v>0</v>
      </c>
      <c r="F360" s="76">
        <f>COUNTIF('10月'!D25:E25,F$337)+COUNTIF('10月'!I25:J25,F$337)+COUNTIF('10月'!N25:O25,F$337)+COUNTIF('10月'!S25:T25,F$337)+COUNTIF('10月'!X25:Y25,F$337)+COUNTIF('10月'!AC25:AD25,F$337)+COUNTIF('10月'!AH25:AI25,F$337)+COUNTIF('10月'!AM25:AN25,F$337)+COUNTIF('10月'!AR25:AS25,F$337)+COUNTIF('10月'!AW25:AX25,F$337)+COUNTIF('10月'!BB25:BC25,F$337)+COUNTIF('10月'!BG25:BH25,F$337)+COUNTIF('10月'!BL25:BM25,F$337)+COUNTIF('10月'!BQ25:BR25,F$337)+COUNTIF('10月'!BV25:BW25,F$337)+COUNTIF('10月'!CA25:CB25,F$337)+COUNTIF('10月'!CF25:CG25,F$337)+COUNTIF('10月'!CK25:CL25,F$337)+COUNTIF('10月'!CP25:CQ25,F$337)+COUNTIF('10月'!CU25:CV25,F$337)+COUNTIF('10月'!CZ25:DA25,F$337)+COUNTIF('10月'!DE25:DF25,F$337)+COUNTIF('10月'!DJ25:DK25,F$337)+COUNTIF('10月'!DO25:DP25,F$337)+COUNTIF('10月'!DT25:DU25,F$337)+COUNTIF('10月'!DY25:DZ25,F$337)+COUNTIF('10月'!ED25:EE25,F$337)+COUNTIF('10月'!EI25:EJ25,F$337)+COUNTIF('10月'!EN25:EO25,F$337)+COUNTIF('10月'!ES25:ET25,F$337)</f>
        <v>0</v>
      </c>
      <c r="G360" s="76">
        <f t="shared" si="110"/>
        <v>0</v>
      </c>
      <c r="H360" s="76">
        <f>COUNTIF('10月'!D25:E25,H$337)+COUNTIF('10月'!I25:J25,H$337)+COUNTIF('10月'!N25:O25,H$337)+COUNTIF('10月'!S25:T25,H$337)+COUNTIF('10月'!X25:Y25,H$337)+COUNTIF('10月'!AC25:AD25,H$337)+COUNTIF('10月'!AH25:AI25,H$337)+COUNTIF('10月'!AM25:AN25,H$337)+COUNTIF('10月'!AR25:AS25,H$337)+COUNTIF('10月'!AW25:AX25,H$337)+COUNTIF('10月'!BB25:BC25,H$337)+COUNTIF('10月'!BG25:BH25,H$337)+COUNTIF('10月'!BL25:BM25,H$337)+COUNTIF('10月'!BQ25:BR25,H$337)+COUNTIF('10月'!BV25:BW25,H$337)+COUNTIF('10月'!CA25:CB25,H$337)+COUNTIF('10月'!CF25:CG25,H$337)+COUNTIF('10月'!CK25:CL25,H$337)+COUNTIF('10月'!CP25:CQ25,H$337)+COUNTIF('10月'!CU25:CV25,H$337)+COUNTIF('10月'!CZ25:DA25,H$337)+COUNTIF('10月'!DE25:DF25,H$337)+COUNTIF('10月'!DJ25:DK25,H$337)+COUNTIF('10月'!DO25:DP25,H$337)+COUNTIF('10月'!DT25:DU25,H$337)+COUNTIF('10月'!DY25:DZ25,H$337)+COUNTIF('10月'!ED25:EE25,H$337)+COUNTIF('10月'!EI25:EJ25,H$337)+COUNTIF('10月'!EN25:EO25,H$337)+COUNTIF('10月'!ES25:ET25,H$337)+COUNTIF('10月'!D25:E25,"渋谷-夜勤")+COUNTIF('10月'!I25:J25,"渋谷-夜勤")+COUNTIF('10月'!N25:O25,"渋谷-夜勤")+COUNTIF('10月'!S25:T25,"渋谷-夜勤")+COUNTIF('10月'!X25:Y25,"渋谷-夜勤")+COUNTIF('10月'!AC25:AD25,"渋谷-夜勤")+COUNTIF('10月'!AH25:AI25,"渋谷-夜勤")+COUNTIF('10月'!AM25:AN25,"渋谷-夜勤")+COUNTIF('10月'!AR25:AS25,"渋谷-夜勤")+COUNTIF('10月'!AW25:AX25,"渋谷-夜勤")+COUNTIF('10月'!BB25:BC25,"渋谷-夜勤")+COUNTIF('10月'!BG25:BH25,"渋谷-夜勤")+COUNTIF('10月'!BL25:BM25,"渋谷-夜勤")+COUNTIF('10月'!BQ25:BR25,"渋谷-夜勤")+COUNTIF('10月'!BV25:BW25,"渋谷-夜勤")+COUNTIF('10月'!CA25:CB25,"渋谷-夜勤")+COUNTIF('10月'!CF25:CG25,"渋谷-夜勤")+COUNTIF('10月'!CK25:CL25,"渋谷-夜勤")+COUNTIF('10月'!CP25:CQ25,"渋谷-夜勤")+COUNTIF('10月'!CU25:CV25,"渋谷-夜勤")+COUNTIF('10月'!CZ25:DA25,"渋谷-夜勤")+COUNTIF('10月'!DE25:DF25,"渋谷-夜勤")+COUNTIF('10月'!DJ25:DK25,"渋谷-夜勤")+COUNTIF('10月'!DO25:DP25,"渋谷-夜勤")+COUNTIF('10月'!DT25:DU25,"渋谷-夜勤")+COUNTIF('10月'!DY25:DZ25,"渋谷-夜勤")+COUNTIF('10月'!ED25:EE25,"渋谷-夜勤")+COUNTIF('10月'!EI25:EJ25,"渋谷-夜勤")+COUNTIF('10月'!EN25:EO25,"渋谷-夜勤")+COUNTIF('10月'!ES25:ET25,"渋谷-夜勤")</f>
        <v>0</v>
      </c>
      <c r="I360" s="76">
        <f t="shared" si="111"/>
        <v>0</v>
      </c>
      <c r="J360" s="76">
        <f>COUNTIF('10月'!D25:E25,J$337)+COUNTIF('10月'!I25:J25,J$337)+COUNTIF('10月'!N25:O25,J$337)+COUNTIF('10月'!S25:T25,J$337)+COUNTIF('10月'!X25:Y25,J$337)+COUNTIF('10月'!AC25:AD25,J$337)+COUNTIF('10月'!AH25:AI25,J$337)+COUNTIF('10月'!AM25:AN25,J$337)+COUNTIF('10月'!AR25:AS25,J$337)+COUNTIF('10月'!AW25:AX25,J$337)+COUNTIF('10月'!BB25:BC25,J$337)+COUNTIF('10月'!BG25:BH25,J$337)+COUNTIF('10月'!BL25:BM25,J$337)+COUNTIF('10月'!BQ25:BR25,J$337)+COUNTIF('10月'!BV25:BW25,J$337)+COUNTIF('10月'!CA25:CB25,J$337)+COUNTIF('10月'!CF25:CG25,J$337)+COUNTIF('10月'!CK25:CL25,J$337)+COUNTIF('10月'!CP25:CQ25,J$337)+COUNTIF('10月'!CU25:CV25,J$337)+COUNTIF('10月'!CZ25:DA25,J$337)+COUNTIF('10月'!DE25:DF25,J$337)+COUNTIF('10月'!DJ25:DK25,J$337)+COUNTIF('10月'!DO25:DP25,J$337)+COUNTIF('10月'!DT25:DU25,J$337)+COUNTIF('10月'!DY25:DZ25,J$337)+COUNTIF('10月'!ED25:EE25,J$337)+COUNTIF('10月'!EI25:EJ25,J$337)+COUNTIF('10月'!EN25:EO25,J$337)+COUNTIF('10月'!ES25:ET25,J$337)+COUNTIF('10月'!D25:E25,"六本木-夜勤")+COUNTIF('10月'!I25:J25,"六本木-夜勤")+COUNTIF('10月'!N25:O25,"六本木-夜勤")+COUNTIF('10月'!S25:T25,"六本木-夜勤")+COUNTIF('10月'!X25:Y25,"六本木-夜勤")+COUNTIF('10月'!AC25:AD25,"六本木-夜勤")+COUNTIF('10月'!AH25:AI25,"六本木-夜勤")+COUNTIF('10月'!AM25:AN25,"六本木-夜勤")+COUNTIF('10月'!AR25:AS25,"六本木-夜勤")+COUNTIF('10月'!AW25:AX25,"六本木-夜勤")+COUNTIF('10月'!BB25:BC25,"六本木-夜勤")+COUNTIF('10月'!BG25:BH25,"六本木-夜勤")+COUNTIF('10月'!BL25:BM25,"六本木-夜勤")+COUNTIF('10月'!BQ25:BR25,"六本木-夜勤")+COUNTIF('10月'!BV25:BW25,"六本木-夜勤")+COUNTIF('10月'!CA25:CB25,"六本木-夜勤")+COUNTIF('10月'!CF25:CG25,"六本木-夜勤")+COUNTIF('10月'!CK25:CL25,"六本木-夜勤")+COUNTIF('10月'!CP25:CQ25,"六本木-夜勤")+COUNTIF('10月'!CU25:CV25,"六本木-夜勤")+COUNTIF('10月'!CZ25:DA25,"六本木-夜勤")+COUNTIF('10月'!DE25:DF25,"六本木-夜勤")+COUNTIF('10月'!DJ25:DK25,"六本木-夜勤")+COUNTIF('10月'!DO25:DP25,"六本木-夜勤")+COUNTIF('10月'!DT25:DU25,"六本木-夜勤")+COUNTIF('10月'!DY25:DZ25,"六本木-夜勤")+COUNTIF('10月'!ED25:EE25,"六本木-夜勤")+COUNTIF('10月'!EI25:EJ25,"六本木-夜勤")+COUNTIF('10月'!EN25:EO25,"六本木-夜勤")+COUNTIF('10月'!ES25:ET25,"六本木-夜勤")+COUNTIF('10月'!D25:E25,"六本木ー夜勤")+COUNTIF('10月'!I25:J25,"六本木ー夜勤")+COUNTIF('10月'!N25:O25,"六本木ー夜勤")+COUNTIF('10月'!S25:T25,"六本木ー夜勤")+COUNTIF('10月'!X25:Y25,"六本木ー夜勤")+COUNTIF('10月'!AC25:AD25,"六本木ー夜勤")+COUNTIF('10月'!AH25:AI25,"六本木ー夜勤")+COUNTIF('10月'!AM25:AN25,"六本木ー夜勤")+COUNTIF('10月'!AR25:AS25,"六本木ー夜勤")+COUNTIF('10月'!AW25:AX25,"六本木ー夜勤")+COUNTIF('10月'!BB25:BC25,"六本木ー夜勤")+COUNTIF('10月'!BG25:BH25,"六本木ー夜勤")+COUNTIF('10月'!BL25:BM25,"六本木ー夜勤")+COUNTIF('10月'!BQ25:BR25,"六本木ー夜勤")+COUNTIF('10月'!BV25:BW25,"六本木ー夜勤")+COUNTIF('10月'!CA25:CB25,"六本木ー夜勤")+COUNTIF('10月'!CF25:CG25,"六本木ー夜勤")+COUNTIF('10月'!CK25:CL25,"六本木ー夜勤")+COUNTIF('10月'!CP25:CQ25,"六本木ー夜勤")+COUNTIF('10月'!CU25:CV25,"六本木ー夜勤")+COUNTIF('10月'!CZ25:DA25,"六本木ー夜勤")+COUNTIF('10月'!DE25:DF25,"六本木ー夜勤")+COUNTIF('10月'!DJ25:DK25,"六本木ー夜勤")+COUNTIF('10月'!DO25:DP25,"六本木ー夜勤")+COUNTIF('10月'!DT25:DU25,"六本木ー夜勤")+COUNTIF('10月'!DY25:DZ25,"六本木ー夜勤")+COUNTIF('10月'!ED25:EE25,"六本木ー夜勤")+COUNTIF('10月'!EI25:EJ25,"六本木ー夜勤")+COUNTIF('10月'!EN25:EO25,"六本木ー夜勤")+COUNTIF('10月'!ES25:ET25,"六本木ー夜勤")</f>
        <v>0</v>
      </c>
      <c r="K360" s="76">
        <f t="shared" si="112"/>
        <v>0</v>
      </c>
      <c r="L360" s="76">
        <f>COUNTIF('10月'!D25:E25,L$337)+COUNTIF('10月'!I25:J25,L$337)+COUNTIF('10月'!N25:O25,L$337)+COUNTIF('10月'!S25:T25,L$337)+COUNTIF('10月'!X25:Y25,L$337)+COUNTIF('10月'!AC25:AD25,L$337)+COUNTIF('10月'!AH25:AI25,L$337)+COUNTIF('10月'!AM25:AN25,L$337)+COUNTIF('10月'!AR25:AS25,L$337)+COUNTIF('10月'!AW25:AX25,L$337)+COUNTIF('10月'!BB25:BC25,L$337)+COUNTIF('10月'!BG25:BH25,L$337)+COUNTIF('10月'!BL25:BM25,L$337)+COUNTIF('10月'!BQ25:BR25,L$337)+COUNTIF('10月'!BV25:BW25,L$337)+COUNTIF('10月'!CA25:CB25,L$337)+COUNTIF('10月'!CF25:CG25,L$337)+COUNTIF('10月'!CK25:CL25,L$337)+COUNTIF('10月'!CP25:CQ25,L$337)+COUNTIF('10月'!CU25:CV25,L$337)+COUNTIF('10月'!CZ25:DA25,L$337)+COUNTIF('10月'!DE25:DF25,L$337)+COUNTIF('10月'!DJ25:DK25,L$337)+COUNTIF('10月'!DO25:DP25,L$337)+COUNTIF('10月'!DT25:DU25,L$337)+COUNTIF('10月'!DY25:DZ25,L$337)+COUNTIF('10月'!ED25:EE25,L$337)+COUNTIF('10月'!EI25:EJ25,L$337)+COUNTIF('10月'!EN25:EO25,L$337)+COUNTIF('10月'!ES25:ET25,L$337)</f>
        <v>0</v>
      </c>
      <c r="M360" s="76">
        <f t="shared" si="113"/>
        <v>0</v>
      </c>
      <c r="N360" s="76">
        <f>COUNTIF('10月'!D25:E25,N$337)+COUNTIF('10月'!I25:J25,N$337)+COUNTIF('10月'!N25:O25,N$337)+COUNTIF('10月'!S25:T25,N$337)+COUNTIF('10月'!X25:Y25,N$337)+COUNTIF('10月'!AC25:AD25,N$337)+COUNTIF('10月'!AH25:AI25,N$337)+COUNTIF('10月'!AM25:AN25,N$337)+COUNTIF('10月'!AR25:AS25,N$337)+COUNTIF('10月'!AW25:AX25,N$337)+COUNTIF('10月'!BB25:BC25,N$337)+COUNTIF('10月'!BG25:BH25,N$337)+COUNTIF('10月'!BL25:BM25,N$337)+COUNTIF('10月'!BQ25:BR25,N$337)+COUNTIF('10月'!BV25:BW25,N$337)+COUNTIF('10月'!CA25:CB25,N$337)+COUNTIF('10月'!CF25:CG25,N$337)+COUNTIF('10月'!CK25:CL25,N$337)+COUNTIF('10月'!CP25:CQ25,N$337)+COUNTIF('10月'!CU25:CV25,N$337)+COUNTIF('10月'!CZ25:DA25,N$337)+COUNTIF('10月'!DE25:DF25,N$337)+COUNTIF('10月'!DJ25:DK25,N$337)+COUNTIF('10月'!DO25:DP25,N$337)+COUNTIF('10月'!DT25:DU25,N$337)+COUNTIF('10月'!DY25:DZ25,N$337)+COUNTIF('10月'!ED25:EE25,N$337)+COUNTIF('10月'!EI25:EJ25,N$337)+COUNTIF('10月'!EN25:EO25,N$337)+COUNTIF('10月'!ES25:ET25,N$337)+COUNTIF('10月'!D25:E25,"三軒茶屋－夜勤")+COUNTIF('10月'!I25:J25,"三軒茶屋－夜勤")+COUNTIF('10月'!N25:O25,"三軒茶屋－夜勤")+COUNTIF('10月'!S25:T25,"三軒茶屋－夜勤")+COUNTIF('10月'!X25:Y25,"三軒茶屋－夜勤")+COUNTIF('10月'!AC25:AD25,"三軒茶屋－夜勤")+COUNTIF('10月'!AH25:AI25,"三軒茶屋－夜勤")+COUNTIF('10月'!AM25:AN25,"三軒茶屋－夜勤")+COUNTIF('10月'!AR25:AS25,"三軒茶屋－夜勤")+COUNTIF('10月'!AW25:AX25,"三軒茶屋－夜勤")+COUNTIF('10月'!BB25:BC25,"三軒茶屋－夜勤")+COUNTIF('10月'!BG25:BH25,"三軒茶屋－夜勤")+COUNTIF('10月'!BL25:BM25,"三軒茶屋－夜勤")+COUNTIF('10月'!BQ25:BR25,"三軒茶屋－夜勤")+COUNTIF('10月'!BV25:BW25,"三軒茶屋－夜勤")+COUNTIF('10月'!CA25:CB25,"三軒茶屋－夜勤")+COUNTIF('10月'!CF25:CG25,"三軒茶屋－夜勤")+COUNTIF('10月'!CK25:CL25,"三軒茶屋－夜勤")+COUNTIF('10月'!CP25:CQ25,"三軒茶屋－夜勤")+COUNTIF('10月'!CU25:CV25,"三軒茶屋－夜勤")+COUNTIF('10月'!CZ25:DA25,"三軒茶屋－夜勤")+COUNTIF('10月'!DE25:DF25,"三軒茶屋－夜勤")+COUNTIF('10月'!DJ25:DK25,"三軒茶屋－夜勤")+COUNTIF('10月'!DO25:DP25,"三軒茶屋－夜勤")+COUNTIF('10月'!DT25:DU25,"三軒茶屋－夜勤")+COUNTIF('10月'!DY25:DZ25,"三軒茶屋－夜勤")+COUNTIF('10月'!ED25:EE25,"三軒茶屋－夜勤")+COUNTIF('10月'!EI25:EJ25,"三軒茶屋－夜勤")+COUNTIF('10月'!EN25:EO25,"三軒茶屋－夜勤")+COUNTIF('10月'!ES25:ET25,"三軒茶屋－夜勤")</f>
        <v>0</v>
      </c>
      <c r="O360" s="76">
        <f t="shared" si="114"/>
        <v>0</v>
      </c>
      <c r="P360" s="76">
        <f>COUNTIF('10月'!D25:E25,P$337)+COUNTIF('10月'!I25:J25,P$337)+COUNTIF('10月'!N25:O25,P$337)+COUNTIF('10月'!S25:T25,P$337)+COUNTIF('10月'!X25:Y25,P$337)+COUNTIF('10月'!AC25:AD25,P$337)+COUNTIF('10月'!AH25:AI25,P$337)+COUNTIF('10月'!AM25:AN25,P$337)+COUNTIF('10月'!AR25:AS25,P$337)+COUNTIF('10月'!AW25:AX25,P$337)+COUNTIF('10月'!BB25:BC25,P$337)+COUNTIF('10月'!BG25:BH25,P$337)+COUNTIF('10月'!BL25:BM25,P$337)+COUNTIF('10月'!BQ25:BR25,P$337)+COUNTIF('10月'!BV25:BW25,P$337)+COUNTIF('10月'!CA25:CB25,P$337)+COUNTIF('10月'!CF25:CG25,P$337)+COUNTIF('10月'!CK25:CL25,P$337)+COUNTIF('10月'!CP25:CQ25,P$337)+COUNTIF('10月'!CU25:CV25,P$337)+COUNTIF('10月'!CZ25:DA25,P$337)+COUNTIF('10月'!DE25:DF25,P$337)+COUNTIF('10月'!DJ25:DK25,P$337)+COUNTIF('10月'!DO25:DP25,P$337)+COUNTIF('10月'!DT25:DU25,P$337)+COUNTIF('10月'!DY25:DZ25,P$337)+COUNTIF('10月'!ED25:EE25,P$337)+COUNTIF('10月'!EI25:EJ25,P$337)+COUNTIF('10月'!EN25:EO25,P$337)+COUNTIF('10月'!ES25:ET25,P$337)+COUNTIF('10月'!D25:E25,"荻窪ー夜勤")+COUNTIF('10月'!I25:J25,"荻窪ー夜勤")+COUNTIF('10月'!N25:O25,"荻窪ー夜勤")+COUNTIF('10月'!S25:T25,"荻窪ー夜勤")+COUNTIF('10月'!X25:Y25,"荻窪ー夜勤")+COUNTIF('10月'!AC25:AD25,"荻窪ー夜勤")+COUNTIF('10月'!AH25:AI25,"荻窪ー夜勤")+COUNTIF('10月'!AM25:AN25,"荻窪ー夜勤")+COUNTIF('10月'!AR25:AS25,"荻窪ー夜勤")+COUNTIF('10月'!AW25:AX25,"荻窪ー夜勤")+COUNTIF('10月'!BB25:BC25,"荻窪ー夜勤")+COUNTIF('10月'!BG25:BH25,"荻窪ー夜勤")+COUNTIF('10月'!BL25:BM25,"荻窪ー夜勤")+COUNTIF('10月'!BQ25:BR25,"荻窪ー夜勤")+COUNTIF('10月'!BV25:BW25,"荻窪ー夜勤")+COUNTIF('10月'!CA25:CB25,"荻窪ー夜勤")+COUNTIF('10月'!CF25:CG25,"荻窪ー夜勤")+COUNTIF('10月'!CK25:CL25,"荻窪ー夜勤")+COUNTIF('10月'!CP25:CQ25,"荻窪ー夜勤")+COUNTIF('10月'!CU25:CV25,"荻窪ー夜勤")+COUNTIF('10月'!CZ25:DA25,"荻窪ー夜勤")+COUNTIF('10月'!DE25:DF25,"荻窪ー夜勤")+COUNTIF('10月'!DJ25:DK25,"荻窪ー夜勤")+COUNTIF('10月'!DO25:DP25,"荻窪ー夜勤")+COUNTIF('10月'!DT25:DU25,"荻窪ー夜勤")+COUNTIF('10月'!DY25:DZ25,"荻窪ー夜勤")+COUNTIF('10月'!ED25:EE25,"荻窪ー夜勤")+COUNTIF('10月'!EI25:EJ25,"荻窪ー夜勤")+COUNTIF('10月'!EN25:EO25,"荻窪ー夜勤")+COUNTIF('10月'!ES25:ET25,"荻窪ー夜勤")</f>
        <v>0</v>
      </c>
      <c r="Q360" s="76">
        <f t="shared" si="115"/>
        <v>0</v>
      </c>
      <c r="R360" s="76">
        <f>COUNTIF('10月'!D25:E25,R$337)+COUNTIF('10月'!I25:J25,R$337)+COUNTIF('10月'!N25:O25,R$337)+COUNTIF('10月'!S25:T25,R$337)+COUNTIF('10月'!X25:Y25,R$337)+COUNTIF('10月'!AC25:AD25,R$337)+COUNTIF('10月'!AH25:AI25,R$337)+COUNTIF('10月'!AM25:AN25,R$337)+COUNTIF('10月'!AR25:AS25,R$337)+COUNTIF('10月'!AW25:AX25,R$337)+COUNTIF('10月'!BB25:BC25,R$337)+COUNTIF('10月'!BG25:BH25,R$337)+COUNTIF('10月'!BL25:BM25,R$337)+COUNTIF('10月'!BQ25:BR25,R$337)+COUNTIF('10月'!BV25:BW25,R$337)+COUNTIF('10月'!CA25:CB25,R$337)+COUNTIF('10月'!CF25:CG25,R$337)+COUNTIF('10月'!CK25:CL25,R$337)+COUNTIF('10月'!CP25:CQ25,R$337)+COUNTIF('10月'!CU25:CV25,R$337)+COUNTIF('10月'!CZ25:DA25,R$337)+COUNTIF('10月'!DE25:DF25,R$337)+COUNTIF('10月'!DJ25:DK25,R$337)+COUNTIF('10月'!DO25:DP25,R$337)+COUNTIF('10月'!DT25:DU25,R$337)+COUNTIF('10月'!DY25:DZ25,R$337)+COUNTIF('10月'!ED25:EE25,R$337)+COUNTIF('10月'!EI25:EJ25,R$337)+COUNTIF('10月'!EN25:EO25,R$337)+COUNTIF('10月'!ES25:ET25,R$337)</f>
        <v>0</v>
      </c>
      <c r="S360" s="76">
        <f t="shared" si="116"/>
        <v>0</v>
      </c>
      <c r="T360" s="76">
        <f>COUNTIF('10月'!D25:E25,T$337)+COUNTIF('10月'!I25:J25,T$337)+COUNTIF('10月'!N25:O25,T$337)+COUNTIF('10月'!S25:T25,T$337)+COUNTIF('10月'!X25:Y25,T$337)+COUNTIF('10月'!AC25:AD25,T$337)+COUNTIF('10月'!AH25:AI25,T$337)+COUNTIF('10月'!AM25:AN25,T$337)+COUNTIF('10月'!AR25:AS25,T$337)+COUNTIF('10月'!AW25:AX25,T$337)+COUNTIF('10月'!BB25:BC25,T$337)+COUNTIF('10月'!BG25:BH25,T$337)+COUNTIF('10月'!BL25:BM25,T$337)+COUNTIF('10月'!BQ25:BR25,T$337)+COUNTIF('10月'!BV25:BW25,T$337)+COUNTIF('10月'!CA25:CB25,T$337)+COUNTIF('10月'!CF25:CG25,T$337)+COUNTIF('10月'!CK25:CL25,T$337)+COUNTIF('10月'!CP25:CQ25,T$337)+COUNTIF('10月'!CU25:CV25,T$337)+COUNTIF('10月'!CZ25:DA25,T$337)+COUNTIF('10月'!DE25:DF25,T$337)+COUNTIF('10月'!DJ25:DK25,T$337)+COUNTIF('10月'!DO25:DP25,T$337)+COUNTIF('10月'!DT25:DU25,T$337)+COUNTIF('10月'!DY25:DZ25,T$337)+COUNTIF('10月'!ED25:EE25,T$337)+COUNTIF('10月'!EI25:EJ25,T$337)+COUNTIF('10月'!EN25:EO25,T$337)+COUNTIF('10月'!ES25:ET25,T$337)</f>
        <v>0</v>
      </c>
      <c r="U360" s="76">
        <f t="shared" si="117"/>
        <v>0</v>
      </c>
      <c r="V360" s="76">
        <f>COUNTIF('10月'!D25:E25,V$337)+COUNTIF('10月'!I25:J25,V$337)+COUNTIF('10月'!N25:O25,V$337)+COUNTIF('10月'!S25:T25,V$337)+COUNTIF('10月'!X25:Y25,V$337)+COUNTIF('10月'!AC25:AD25,V$337)+COUNTIF('10月'!AH25:AI25,V$337)+COUNTIF('10月'!AM25:AN25,V$337)+COUNTIF('10月'!AR25:AS25,V$337)+COUNTIF('10月'!AW25:AX25,V$337)+COUNTIF('10月'!BB25:BC25,V$337)+COUNTIF('10月'!BG25:BH25,V$337)+COUNTIF('10月'!BL25:BM25,V$337)+COUNTIF('10月'!BQ25:BR25,V$337)+COUNTIF('10月'!BV25:BW25,V$337)+COUNTIF('10月'!CA25:CB25,V$337)+COUNTIF('10月'!CF25:CG25,V$337)+COUNTIF('10月'!CK25:CL25,V$337)+COUNTIF('10月'!CP25:CQ25,V$337)+COUNTIF('10月'!CU25:CV25,V$337)+COUNTIF('10月'!CZ25:DA25,V$337)+COUNTIF('10月'!DE25:DF25,V$337)+COUNTIF('10月'!DJ25:DK25,V$337)+COUNTIF('10月'!DO25:DP25,V$337)+COUNTIF('10月'!DT25:DU25,V$337)+COUNTIF('10月'!DY25:DZ25,V$337)+COUNTIF('10月'!ED25:EE25,V$337)+COUNTIF('10月'!EI25:EJ25,V$337)+COUNTIF('10月'!EN25:EO25,V$337)+COUNTIF('10月'!ES25:ET25,V$337)</f>
        <v>0</v>
      </c>
      <c r="W360" s="76">
        <f t="shared" si="118"/>
        <v>0</v>
      </c>
      <c r="X360" s="76">
        <f>COUNTIF('10月'!D25:E25,X$337)+COUNTIF('10月'!I25:J25,X$337)+COUNTIF('10月'!N25:O25,X$337)+COUNTIF('10月'!S25:T25,X$337)+COUNTIF('10月'!X25:Y25,X$337)+COUNTIF('10月'!AC25:AD25,X$337)+COUNTIF('10月'!AH25:AI25,X$337)+COUNTIF('10月'!AM25:AN25,X$337)+COUNTIF('10月'!AR25:AS25,X$337)+COUNTIF('10月'!AW25:AX25,X$337)+COUNTIF('10月'!BB25:BC25,X$337)+COUNTIF('10月'!BG25:BH25,X$337)+COUNTIF('10月'!BL25:BM25,X$337)+COUNTIF('10月'!BQ25:BR25,X$337)+COUNTIF('10月'!BV25:BW25,X$337)+COUNTIF('10月'!CA25:CB25,X$337)+COUNTIF('10月'!CF25:CG25,X$337)+COUNTIF('10月'!CK25:CL25,X$337)+COUNTIF('10月'!CP25:CQ25,X$337)+COUNTIF('10月'!CU25:CV25,X$337)+COUNTIF('10月'!CZ25:DA25,X$337)+COUNTIF('10月'!DE25:DF25,X$337)+COUNTIF('10月'!DJ25:DK25,X$337)+COUNTIF('10月'!DO25:DP25,X$337)+COUNTIF('10月'!DT25:DU25,X$337)+COUNTIF('10月'!DY25:DZ25,X$337)+COUNTIF('10月'!ED25:EE25,X$337)+COUNTIF('10月'!EI25:EJ25,X$337)+COUNTIF('10月'!EN25:EO25,X$337)+COUNTIF('10月'!ES25:ET25,X$337)</f>
        <v>0</v>
      </c>
      <c r="Y360" s="76">
        <f t="shared" si="119"/>
        <v>0</v>
      </c>
    </row>
    <row r="361" spans="1:25" ht="18" customHeight="1">
      <c r="A361" s="76">
        <v>23</v>
      </c>
      <c r="B361" s="76">
        <f>COUNTIF('10月'!D26:E26,B$337)+COUNTIF('10月'!I26:J26,B$337)+COUNTIF('10月'!N26:O26,B$337)+COUNTIF('10月'!S26:T26,B$337)+COUNTIF('10月'!X26:Y26,B$337)+COUNTIF('10月'!AC26:AD26,B$337)+COUNTIF('10月'!AH26:AI26,B$337)+COUNTIF('10月'!AM26:AN26,B$337)+COUNTIF('10月'!AR26:AS26,B$337)+COUNTIF('10月'!AW26:AX26,B$337)+COUNTIF('10月'!BB26:BC26,B$337)+COUNTIF('10月'!BG26:BH26,B$337)+COUNTIF('10月'!BL26:BM26,B$337)+COUNTIF('10月'!BQ26:BR26,B$337)+COUNTIF('10月'!BV26:BW26,B$337)+COUNTIF('10月'!CA26:CB26,B$337)+COUNTIF('10月'!CF26:CG26,B$337)+COUNTIF('10月'!CK26:CL26,B$337)+COUNTIF('10月'!CP26:CQ26,B$337)+COUNTIF('10月'!CU26:CV26,B$337)+COUNTIF('10月'!CZ26:DA26,B$337)+COUNTIF('10月'!DE26:DF26,B$337)+COUNTIF('10月'!DJ26:DK26,B$337)+COUNTIF('10月'!DO26:DP26,B$337)+COUNTIF('10月'!DT26:DU26,B$337)+COUNTIF('10月'!DY26:DZ26,B$337)+COUNTIF('10月'!ED26:EE26,B$337)+COUNTIF('10月'!EI26:EJ26,B$337)+COUNTIF('10月'!EN26:EO26,B$337)+COUNTIF('10月'!ES26:ET26,B$337)</f>
        <v>0</v>
      </c>
      <c r="C361" s="76">
        <f t="shared" si="108"/>
        <v>0</v>
      </c>
      <c r="D361" s="76">
        <f>COUNTIF('10月'!D26:E26,D$337)+COUNTIF('10月'!I26:J26,D$337)+COUNTIF('10月'!N26:O26,D$337)+COUNTIF('10月'!S26:T26,D$337)+COUNTIF('10月'!X26:Y26,D$337)+COUNTIF('10月'!AC26:AD26,D$337)+COUNTIF('10月'!AH26:AI26,D$337)+COUNTIF('10月'!AM26:AN26,D$337)+COUNTIF('10月'!AR26:AS26,D$337)+COUNTIF('10月'!AW26:AX26,D$337)+COUNTIF('10月'!BB26:BC26,D$337)+COUNTIF('10月'!BG26:BH26,D$337)+COUNTIF('10月'!BL26:BM26,D$337)+COUNTIF('10月'!BQ26:BR26,D$337)+COUNTIF('10月'!BV26:BW26,D$337)+COUNTIF('10月'!CA26:CB26,D$337)+COUNTIF('10月'!CF26:CG26,D$337)+COUNTIF('10月'!CK26:CL26,D$337)+COUNTIF('10月'!CP26:CQ26,D$337)+COUNTIF('10月'!CU26:CV26,D$337)+COUNTIF('10月'!CZ26:DA26,D$337)+COUNTIF('10月'!DE26:DF26,D$337)+COUNTIF('10月'!DJ26:DK26,D$337)+COUNTIF('10月'!DO26:DP26,D$337)+COUNTIF('10月'!DT26:DU26,D$337)+COUNTIF('10月'!DY26:DZ26,D$337)+COUNTIF('10月'!ED26:EE26,D$337)+COUNTIF('10月'!EI26:EJ26,D$337)+COUNTIF('10月'!EN26:EO26,D$337)+COUNTIF('10月'!ES26:ET26,D$337)</f>
        <v>0</v>
      </c>
      <c r="E361" s="76">
        <f t="shared" si="109"/>
        <v>0</v>
      </c>
      <c r="F361" s="76">
        <f>COUNTIF('10月'!D26:E26,F$337)+COUNTIF('10月'!I26:J26,F$337)+COUNTIF('10月'!N26:O26,F$337)+COUNTIF('10月'!S26:T26,F$337)+COUNTIF('10月'!X26:Y26,F$337)+COUNTIF('10月'!AC26:AD26,F$337)+COUNTIF('10月'!AH26:AI26,F$337)+COUNTIF('10月'!AM26:AN26,F$337)+COUNTIF('10月'!AR26:AS26,F$337)+COUNTIF('10月'!AW26:AX26,F$337)+COUNTIF('10月'!BB26:BC26,F$337)+COUNTIF('10月'!BG26:BH26,F$337)+COUNTIF('10月'!BL26:BM26,F$337)+COUNTIF('10月'!BQ26:BR26,F$337)+COUNTIF('10月'!BV26:BW26,F$337)+COUNTIF('10月'!CA26:CB26,F$337)+COUNTIF('10月'!CF26:CG26,F$337)+COUNTIF('10月'!CK26:CL26,F$337)+COUNTIF('10月'!CP26:CQ26,F$337)+COUNTIF('10月'!CU26:CV26,F$337)+COUNTIF('10月'!CZ26:DA26,F$337)+COUNTIF('10月'!DE26:DF26,F$337)+COUNTIF('10月'!DJ26:DK26,F$337)+COUNTIF('10月'!DO26:DP26,F$337)+COUNTIF('10月'!DT26:DU26,F$337)+COUNTIF('10月'!DY26:DZ26,F$337)+COUNTIF('10月'!ED26:EE26,F$337)+COUNTIF('10月'!EI26:EJ26,F$337)+COUNTIF('10月'!EN26:EO26,F$337)+COUNTIF('10月'!ES26:ET26,F$337)</f>
        <v>0</v>
      </c>
      <c r="G361" s="76">
        <f t="shared" si="110"/>
        <v>0</v>
      </c>
      <c r="H361" s="76">
        <f>COUNTIF('10月'!D26:E26,H$337)+COUNTIF('10月'!I26:J26,H$337)+COUNTIF('10月'!N26:O26,H$337)+COUNTIF('10月'!S26:T26,H$337)+COUNTIF('10月'!X26:Y26,H$337)+COUNTIF('10月'!AC26:AD26,H$337)+COUNTIF('10月'!AH26:AI26,H$337)+COUNTIF('10月'!AM26:AN26,H$337)+COUNTIF('10月'!AR26:AS26,H$337)+COUNTIF('10月'!AW26:AX26,H$337)+COUNTIF('10月'!BB26:BC26,H$337)+COUNTIF('10月'!BG26:BH26,H$337)+COUNTIF('10月'!BL26:BM26,H$337)+COUNTIF('10月'!BQ26:BR26,H$337)+COUNTIF('10月'!BV26:BW26,H$337)+COUNTIF('10月'!CA26:CB26,H$337)+COUNTIF('10月'!CF26:CG26,H$337)+COUNTIF('10月'!CK26:CL26,H$337)+COUNTIF('10月'!CP26:CQ26,H$337)+COUNTIF('10月'!CU26:CV26,H$337)+COUNTIF('10月'!CZ26:DA26,H$337)+COUNTIF('10月'!DE26:DF26,H$337)+COUNTIF('10月'!DJ26:DK26,H$337)+COUNTIF('10月'!DO26:DP26,H$337)+COUNTIF('10月'!DT26:DU26,H$337)+COUNTIF('10月'!DY26:DZ26,H$337)+COUNTIF('10月'!ED26:EE26,H$337)+COUNTIF('10月'!EI26:EJ26,H$337)+COUNTIF('10月'!EN26:EO26,H$337)+COUNTIF('10月'!ES26:ET26,H$337)+COUNTIF('10月'!D26:E26,"渋谷-夜勤")+COUNTIF('10月'!I26:J26,"渋谷-夜勤")+COUNTIF('10月'!N26:O26,"渋谷-夜勤")+COUNTIF('10月'!S26:T26,"渋谷-夜勤")+COUNTIF('10月'!X26:Y26,"渋谷-夜勤")+COUNTIF('10月'!AC26:AD26,"渋谷-夜勤")+COUNTIF('10月'!AH26:AI26,"渋谷-夜勤")+COUNTIF('10月'!AM26:AN26,"渋谷-夜勤")+COUNTIF('10月'!AR26:AS26,"渋谷-夜勤")+COUNTIF('10月'!AW26:AX26,"渋谷-夜勤")+COUNTIF('10月'!BB26:BC26,"渋谷-夜勤")+COUNTIF('10月'!BG26:BH26,"渋谷-夜勤")+COUNTIF('10月'!BL26:BM26,"渋谷-夜勤")+COUNTIF('10月'!BQ26:BR26,"渋谷-夜勤")+COUNTIF('10月'!BV26:BW26,"渋谷-夜勤")+COUNTIF('10月'!CA26:CB26,"渋谷-夜勤")+COUNTIF('10月'!CF26:CG26,"渋谷-夜勤")+COUNTIF('10月'!CK26:CL26,"渋谷-夜勤")+COUNTIF('10月'!CP26:CQ26,"渋谷-夜勤")+COUNTIF('10月'!CU26:CV26,"渋谷-夜勤")+COUNTIF('10月'!CZ26:DA26,"渋谷-夜勤")+COUNTIF('10月'!DE26:DF26,"渋谷-夜勤")+COUNTIF('10月'!DJ26:DK26,"渋谷-夜勤")+COUNTIF('10月'!DO26:DP26,"渋谷-夜勤")+COUNTIF('10月'!DT26:DU26,"渋谷-夜勤")+COUNTIF('10月'!DY26:DZ26,"渋谷-夜勤")+COUNTIF('10月'!ED26:EE26,"渋谷-夜勤")+COUNTIF('10月'!EI26:EJ26,"渋谷-夜勤")+COUNTIF('10月'!EN26:EO26,"渋谷-夜勤")+COUNTIF('10月'!ES26:ET26,"渋谷-夜勤")</f>
        <v>0</v>
      </c>
      <c r="I361" s="76">
        <f t="shared" si="111"/>
        <v>0</v>
      </c>
      <c r="J361" s="76">
        <f>COUNTIF('10月'!D26:E26,J$337)+COUNTIF('10月'!I26:J26,J$337)+COUNTIF('10月'!N26:O26,J$337)+COUNTIF('10月'!S26:T26,J$337)+COUNTIF('10月'!X26:Y26,J$337)+COUNTIF('10月'!AC26:AD26,J$337)+COUNTIF('10月'!AH26:AI26,J$337)+COUNTIF('10月'!AM26:AN26,J$337)+COUNTIF('10月'!AR26:AS26,J$337)+COUNTIF('10月'!AW26:AX26,J$337)+COUNTIF('10月'!BB26:BC26,J$337)+COUNTIF('10月'!BG26:BH26,J$337)+COUNTIF('10月'!BL26:BM26,J$337)+COUNTIF('10月'!BQ26:BR26,J$337)+COUNTIF('10月'!BV26:BW26,J$337)+COUNTIF('10月'!CA26:CB26,J$337)+COUNTIF('10月'!CF26:CG26,J$337)+COUNTIF('10月'!CK26:CL26,J$337)+COUNTIF('10月'!CP26:CQ26,J$337)+COUNTIF('10月'!CU26:CV26,J$337)+COUNTIF('10月'!CZ26:DA26,J$337)+COUNTIF('10月'!DE26:DF26,J$337)+COUNTIF('10月'!DJ26:DK26,J$337)+COUNTIF('10月'!DO26:DP26,J$337)+COUNTIF('10月'!DT26:DU26,J$337)+COUNTIF('10月'!DY26:DZ26,J$337)+COUNTIF('10月'!ED26:EE26,J$337)+COUNTIF('10月'!EI26:EJ26,J$337)+COUNTIF('10月'!EN26:EO26,J$337)+COUNTIF('10月'!ES26:ET26,J$337)+COUNTIF('10月'!D26:E26,"六本木-夜勤")+COUNTIF('10月'!I26:J26,"六本木-夜勤")+COUNTIF('10月'!N26:O26,"六本木-夜勤")+COUNTIF('10月'!S26:T26,"六本木-夜勤")+COUNTIF('10月'!X26:Y26,"六本木-夜勤")+COUNTIF('10月'!AC26:AD26,"六本木-夜勤")+COUNTIF('10月'!AH26:AI26,"六本木-夜勤")+COUNTIF('10月'!AM26:AN26,"六本木-夜勤")+COUNTIF('10月'!AR26:AS26,"六本木-夜勤")+COUNTIF('10月'!AW26:AX26,"六本木-夜勤")+COUNTIF('10月'!BB26:BC26,"六本木-夜勤")+COUNTIF('10月'!BG26:BH26,"六本木-夜勤")+COUNTIF('10月'!BL26:BM26,"六本木-夜勤")+COUNTIF('10月'!BQ26:BR26,"六本木-夜勤")+COUNTIF('10月'!BV26:BW26,"六本木-夜勤")+COUNTIF('10月'!CA26:CB26,"六本木-夜勤")+COUNTIF('10月'!CF26:CG26,"六本木-夜勤")+COUNTIF('10月'!CK26:CL26,"六本木-夜勤")+COUNTIF('10月'!CP26:CQ26,"六本木-夜勤")+COUNTIF('10月'!CU26:CV26,"六本木-夜勤")+COUNTIF('10月'!CZ26:DA26,"六本木-夜勤")+COUNTIF('10月'!DE26:DF26,"六本木-夜勤")+COUNTIF('10月'!DJ26:DK26,"六本木-夜勤")+COUNTIF('10月'!DO26:DP26,"六本木-夜勤")+COUNTIF('10月'!DT26:DU26,"六本木-夜勤")+COUNTIF('10月'!DY26:DZ26,"六本木-夜勤")+COUNTIF('10月'!ED26:EE26,"六本木-夜勤")+COUNTIF('10月'!EI26:EJ26,"六本木-夜勤")+COUNTIF('10月'!EN26:EO26,"六本木-夜勤")+COUNTIF('10月'!ES26:ET26,"六本木-夜勤")+COUNTIF('10月'!D26:E26,"六本木ー夜勤")+COUNTIF('10月'!I26:J26,"六本木ー夜勤")+COUNTIF('10月'!N26:O26,"六本木ー夜勤")+COUNTIF('10月'!S26:T26,"六本木ー夜勤")+COUNTIF('10月'!X26:Y26,"六本木ー夜勤")+COUNTIF('10月'!AC26:AD26,"六本木ー夜勤")+COUNTIF('10月'!AH26:AI26,"六本木ー夜勤")+COUNTIF('10月'!AM26:AN26,"六本木ー夜勤")+COUNTIF('10月'!AR26:AS26,"六本木ー夜勤")+COUNTIF('10月'!AW26:AX26,"六本木ー夜勤")+COUNTIF('10月'!BB26:BC26,"六本木ー夜勤")+COUNTIF('10月'!BG26:BH26,"六本木ー夜勤")+COUNTIF('10月'!BL26:BM26,"六本木ー夜勤")+COUNTIF('10月'!BQ26:BR26,"六本木ー夜勤")+COUNTIF('10月'!BV26:BW26,"六本木ー夜勤")+COUNTIF('10月'!CA26:CB26,"六本木ー夜勤")+COUNTIF('10月'!CF26:CG26,"六本木ー夜勤")+COUNTIF('10月'!CK26:CL26,"六本木ー夜勤")+COUNTIF('10月'!CP26:CQ26,"六本木ー夜勤")+COUNTIF('10月'!CU26:CV26,"六本木ー夜勤")+COUNTIF('10月'!CZ26:DA26,"六本木ー夜勤")+COUNTIF('10月'!DE26:DF26,"六本木ー夜勤")+COUNTIF('10月'!DJ26:DK26,"六本木ー夜勤")+COUNTIF('10月'!DO26:DP26,"六本木ー夜勤")+COUNTIF('10月'!DT26:DU26,"六本木ー夜勤")+COUNTIF('10月'!DY26:DZ26,"六本木ー夜勤")+COUNTIF('10月'!ED26:EE26,"六本木ー夜勤")+COUNTIF('10月'!EI26:EJ26,"六本木ー夜勤")+COUNTIF('10月'!EN26:EO26,"六本木ー夜勤")+COUNTIF('10月'!ES26:ET26,"六本木ー夜勤")</f>
        <v>0</v>
      </c>
      <c r="K361" s="76">
        <f t="shared" si="112"/>
        <v>0</v>
      </c>
      <c r="L361" s="76">
        <f>COUNTIF('10月'!D26:E26,L$337)+COUNTIF('10月'!I26:J26,L$337)+COUNTIF('10月'!N26:O26,L$337)+COUNTIF('10月'!S26:T26,L$337)+COUNTIF('10月'!X26:Y26,L$337)+COUNTIF('10月'!AC26:AD26,L$337)+COUNTIF('10月'!AH26:AI26,L$337)+COUNTIF('10月'!AM26:AN26,L$337)+COUNTIF('10月'!AR26:AS26,L$337)+COUNTIF('10月'!AW26:AX26,L$337)+COUNTIF('10月'!BB26:BC26,L$337)+COUNTIF('10月'!BG26:BH26,L$337)+COUNTIF('10月'!BL26:BM26,L$337)+COUNTIF('10月'!BQ26:BR26,L$337)+COUNTIF('10月'!BV26:BW26,L$337)+COUNTIF('10月'!CA26:CB26,L$337)+COUNTIF('10月'!CF26:CG26,L$337)+COUNTIF('10月'!CK26:CL26,L$337)+COUNTIF('10月'!CP26:CQ26,L$337)+COUNTIF('10月'!CU26:CV26,L$337)+COUNTIF('10月'!CZ26:DA26,L$337)+COUNTIF('10月'!DE26:DF26,L$337)+COUNTIF('10月'!DJ26:DK26,L$337)+COUNTIF('10月'!DO26:DP26,L$337)+COUNTIF('10月'!DT26:DU26,L$337)+COUNTIF('10月'!DY26:DZ26,L$337)+COUNTIF('10月'!ED26:EE26,L$337)+COUNTIF('10月'!EI26:EJ26,L$337)+COUNTIF('10月'!EN26:EO26,L$337)+COUNTIF('10月'!ES26:ET26,L$337)</f>
        <v>0</v>
      </c>
      <c r="M361" s="76">
        <f t="shared" si="113"/>
        <v>0</v>
      </c>
      <c r="N361" s="76">
        <f>COUNTIF('10月'!D26:E26,N$337)+COUNTIF('10月'!I26:J26,N$337)+COUNTIF('10月'!N26:O26,N$337)+COUNTIF('10月'!S26:T26,N$337)+COUNTIF('10月'!X26:Y26,N$337)+COUNTIF('10月'!AC26:AD26,N$337)+COUNTIF('10月'!AH26:AI26,N$337)+COUNTIF('10月'!AM26:AN26,N$337)+COUNTIF('10月'!AR26:AS26,N$337)+COUNTIF('10月'!AW26:AX26,N$337)+COUNTIF('10月'!BB26:BC26,N$337)+COUNTIF('10月'!BG26:BH26,N$337)+COUNTIF('10月'!BL26:BM26,N$337)+COUNTIF('10月'!BQ26:BR26,N$337)+COUNTIF('10月'!BV26:BW26,N$337)+COUNTIF('10月'!CA26:CB26,N$337)+COUNTIF('10月'!CF26:CG26,N$337)+COUNTIF('10月'!CK26:CL26,N$337)+COUNTIF('10月'!CP26:CQ26,N$337)+COUNTIF('10月'!CU26:CV26,N$337)+COUNTIF('10月'!CZ26:DA26,N$337)+COUNTIF('10月'!DE26:DF26,N$337)+COUNTIF('10月'!DJ26:DK26,N$337)+COUNTIF('10月'!DO26:DP26,N$337)+COUNTIF('10月'!DT26:DU26,N$337)+COUNTIF('10月'!DY26:DZ26,N$337)+COUNTIF('10月'!ED26:EE26,N$337)+COUNTIF('10月'!EI26:EJ26,N$337)+COUNTIF('10月'!EN26:EO26,N$337)+COUNTIF('10月'!ES26:ET26,N$337)+COUNTIF('10月'!D26:E26,"三軒茶屋－夜勤")+COUNTIF('10月'!I26:J26,"三軒茶屋－夜勤")+COUNTIF('10月'!N26:O26,"三軒茶屋－夜勤")+COUNTIF('10月'!S26:T26,"三軒茶屋－夜勤")+COUNTIF('10月'!X26:Y26,"三軒茶屋－夜勤")+COUNTIF('10月'!AC26:AD26,"三軒茶屋－夜勤")+COUNTIF('10月'!AH26:AI26,"三軒茶屋－夜勤")+COUNTIF('10月'!AM26:AN26,"三軒茶屋－夜勤")+COUNTIF('10月'!AR26:AS26,"三軒茶屋－夜勤")+COUNTIF('10月'!AW26:AX26,"三軒茶屋－夜勤")+COUNTIF('10月'!BB26:BC26,"三軒茶屋－夜勤")+COUNTIF('10月'!BG26:BH26,"三軒茶屋－夜勤")+COUNTIF('10月'!BL26:BM26,"三軒茶屋－夜勤")+COUNTIF('10月'!BQ26:BR26,"三軒茶屋－夜勤")+COUNTIF('10月'!BV26:BW26,"三軒茶屋－夜勤")+COUNTIF('10月'!CA26:CB26,"三軒茶屋－夜勤")+COUNTIF('10月'!CF26:CG26,"三軒茶屋－夜勤")+COUNTIF('10月'!CK26:CL26,"三軒茶屋－夜勤")+COUNTIF('10月'!CP26:CQ26,"三軒茶屋－夜勤")+COUNTIF('10月'!CU26:CV26,"三軒茶屋－夜勤")+COUNTIF('10月'!CZ26:DA26,"三軒茶屋－夜勤")+COUNTIF('10月'!DE26:DF26,"三軒茶屋－夜勤")+COUNTIF('10月'!DJ26:DK26,"三軒茶屋－夜勤")+COUNTIF('10月'!DO26:DP26,"三軒茶屋－夜勤")+COUNTIF('10月'!DT26:DU26,"三軒茶屋－夜勤")+COUNTIF('10月'!DY26:DZ26,"三軒茶屋－夜勤")+COUNTIF('10月'!ED26:EE26,"三軒茶屋－夜勤")+COUNTIF('10月'!EI26:EJ26,"三軒茶屋－夜勤")+COUNTIF('10月'!EN26:EO26,"三軒茶屋－夜勤")+COUNTIF('10月'!ES26:ET26,"三軒茶屋－夜勤")</f>
        <v>0</v>
      </c>
      <c r="O361" s="76">
        <f t="shared" si="114"/>
        <v>0</v>
      </c>
      <c r="P361" s="76">
        <f>COUNTIF('10月'!D26:E26,P$337)+COUNTIF('10月'!I26:J26,P$337)+COUNTIF('10月'!N26:O26,P$337)+COUNTIF('10月'!S26:T26,P$337)+COUNTIF('10月'!X26:Y26,P$337)+COUNTIF('10月'!AC26:AD26,P$337)+COUNTIF('10月'!AH26:AI26,P$337)+COUNTIF('10月'!AM26:AN26,P$337)+COUNTIF('10月'!AR26:AS26,P$337)+COUNTIF('10月'!AW26:AX26,P$337)+COUNTIF('10月'!BB26:BC26,P$337)+COUNTIF('10月'!BG26:BH26,P$337)+COUNTIF('10月'!BL26:BM26,P$337)+COUNTIF('10月'!BQ26:BR26,P$337)+COUNTIF('10月'!BV26:BW26,P$337)+COUNTIF('10月'!CA26:CB26,P$337)+COUNTIF('10月'!CF26:CG26,P$337)+COUNTIF('10月'!CK26:CL26,P$337)+COUNTIF('10月'!CP26:CQ26,P$337)+COUNTIF('10月'!CU26:CV26,P$337)+COUNTIF('10月'!CZ26:DA26,P$337)+COUNTIF('10月'!DE26:DF26,P$337)+COUNTIF('10月'!DJ26:DK26,P$337)+COUNTIF('10月'!DO26:DP26,P$337)+COUNTIF('10月'!DT26:DU26,P$337)+COUNTIF('10月'!DY26:DZ26,P$337)+COUNTIF('10月'!ED26:EE26,P$337)+COUNTIF('10月'!EI26:EJ26,P$337)+COUNTIF('10月'!EN26:EO26,P$337)+COUNTIF('10月'!ES26:ET26,P$337)+COUNTIF('10月'!D26:E26,"荻窪ー夜勤")+COUNTIF('10月'!I26:J26,"荻窪ー夜勤")+COUNTIF('10月'!N26:O26,"荻窪ー夜勤")+COUNTIF('10月'!S26:T26,"荻窪ー夜勤")+COUNTIF('10月'!X26:Y26,"荻窪ー夜勤")+COUNTIF('10月'!AC26:AD26,"荻窪ー夜勤")+COUNTIF('10月'!AH26:AI26,"荻窪ー夜勤")+COUNTIF('10月'!AM26:AN26,"荻窪ー夜勤")+COUNTIF('10月'!AR26:AS26,"荻窪ー夜勤")+COUNTIF('10月'!AW26:AX26,"荻窪ー夜勤")+COUNTIF('10月'!BB26:BC26,"荻窪ー夜勤")+COUNTIF('10月'!BG26:BH26,"荻窪ー夜勤")+COUNTIF('10月'!BL26:BM26,"荻窪ー夜勤")+COUNTIF('10月'!BQ26:BR26,"荻窪ー夜勤")+COUNTIF('10月'!BV26:BW26,"荻窪ー夜勤")+COUNTIF('10月'!CA26:CB26,"荻窪ー夜勤")+COUNTIF('10月'!CF26:CG26,"荻窪ー夜勤")+COUNTIF('10月'!CK26:CL26,"荻窪ー夜勤")+COUNTIF('10月'!CP26:CQ26,"荻窪ー夜勤")+COUNTIF('10月'!CU26:CV26,"荻窪ー夜勤")+COUNTIF('10月'!CZ26:DA26,"荻窪ー夜勤")+COUNTIF('10月'!DE26:DF26,"荻窪ー夜勤")+COUNTIF('10月'!DJ26:DK26,"荻窪ー夜勤")+COUNTIF('10月'!DO26:DP26,"荻窪ー夜勤")+COUNTIF('10月'!DT26:DU26,"荻窪ー夜勤")+COUNTIF('10月'!DY26:DZ26,"荻窪ー夜勤")+COUNTIF('10月'!ED26:EE26,"荻窪ー夜勤")+COUNTIF('10月'!EI26:EJ26,"荻窪ー夜勤")+COUNTIF('10月'!EN26:EO26,"荻窪ー夜勤")+COUNTIF('10月'!ES26:ET26,"荻窪ー夜勤")</f>
        <v>0</v>
      </c>
      <c r="Q361" s="76">
        <f t="shared" si="115"/>
        <v>0</v>
      </c>
      <c r="R361" s="76">
        <f>COUNTIF('10月'!D26:E26,R$337)+COUNTIF('10月'!I26:J26,R$337)+COUNTIF('10月'!N26:O26,R$337)+COUNTIF('10月'!S26:T26,R$337)+COUNTIF('10月'!X26:Y26,R$337)+COUNTIF('10月'!AC26:AD26,R$337)+COUNTIF('10月'!AH26:AI26,R$337)+COUNTIF('10月'!AM26:AN26,R$337)+COUNTIF('10月'!AR26:AS26,R$337)+COUNTIF('10月'!AW26:AX26,R$337)+COUNTIF('10月'!BB26:BC26,R$337)+COUNTIF('10月'!BG26:BH26,R$337)+COUNTIF('10月'!BL26:BM26,R$337)+COUNTIF('10月'!BQ26:BR26,R$337)+COUNTIF('10月'!BV26:BW26,R$337)+COUNTIF('10月'!CA26:CB26,R$337)+COUNTIF('10月'!CF26:CG26,R$337)+COUNTIF('10月'!CK26:CL26,R$337)+COUNTIF('10月'!CP26:CQ26,R$337)+COUNTIF('10月'!CU26:CV26,R$337)+COUNTIF('10月'!CZ26:DA26,R$337)+COUNTIF('10月'!DE26:DF26,R$337)+COUNTIF('10月'!DJ26:DK26,R$337)+COUNTIF('10月'!DO26:DP26,R$337)+COUNTIF('10月'!DT26:DU26,R$337)+COUNTIF('10月'!DY26:DZ26,R$337)+COUNTIF('10月'!ED26:EE26,R$337)+COUNTIF('10月'!EI26:EJ26,R$337)+COUNTIF('10月'!EN26:EO26,R$337)+COUNTIF('10月'!ES26:ET26,R$337)</f>
        <v>0</v>
      </c>
      <c r="S361" s="76">
        <f t="shared" si="116"/>
        <v>0</v>
      </c>
      <c r="T361" s="76">
        <f>COUNTIF('10月'!D26:E26,T$337)+COUNTIF('10月'!I26:J26,T$337)+COUNTIF('10月'!N26:O26,T$337)+COUNTIF('10月'!S26:T26,T$337)+COUNTIF('10月'!X26:Y26,T$337)+COUNTIF('10月'!AC26:AD26,T$337)+COUNTIF('10月'!AH26:AI26,T$337)+COUNTIF('10月'!AM26:AN26,T$337)+COUNTIF('10月'!AR26:AS26,T$337)+COUNTIF('10月'!AW26:AX26,T$337)+COUNTIF('10月'!BB26:BC26,T$337)+COUNTIF('10月'!BG26:BH26,T$337)+COUNTIF('10月'!BL26:BM26,T$337)+COUNTIF('10月'!BQ26:BR26,T$337)+COUNTIF('10月'!BV26:BW26,T$337)+COUNTIF('10月'!CA26:CB26,T$337)+COUNTIF('10月'!CF26:CG26,T$337)+COUNTIF('10月'!CK26:CL26,T$337)+COUNTIF('10月'!CP26:CQ26,T$337)+COUNTIF('10月'!CU26:CV26,T$337)+COUNTIF('10月'!CZ26:DA26,T$337)+COUNTIF('10月'!DE26:DF26,T$337)+COUNTIF('10月'!DJ26:DK26,T$337)+COUNTIF('10月'!DO26:DP26,T$337)+COUNTIF('10月'!DT26:DU26,T$337)+COUNTIF('10月'!DY26:DZ26,T$337)+COUNTIF('10月'!ED26:EE26,T$337)+COUNTIF('10月'!EI26:EJ26,T$337)+COUNTIF('10月'!EN26:EO26,T$337)+COUNTIF('10月'!ES26:ET26,T$337)</f>
        <v>0</v>
      </c>
      <c r="U361" s="76">
        <f t="shared" si="117"/>
        <v>0</v>
      </c>
      <c r="V361" s="76">
        <f>COUNTIF('10月'!D26:E26,V$337)+COUNTIF('10月'!I26:J26,V$337)+COUNTIF('10月'!N26:O26,V$337)+COUNTIF('10月'!S26:T26,V$337)+COUNTIF('10月'!X26:Y26,V$337)+COUNTIF('10月'!AC26:AD26,V$337)+COUNTIF('10月'!AH26:AI26,V$337)+COUNTIF('10月'!AM26:AN26,V$337)+COUNTIF('10月'!AR26:AS26,V$337)+COUNTIF('10月'!AW26:AX26,V$337)+COUNTIF('10月'!BB26:BC26,V$337)+COUNTIF('10月'!BG26:BH26,V$337)+COUNTIF('10月'!BL26:BM26,V$337)+COUNTIF('10月'!BQ26:BR26,V$337)+COUNTIF('10月'!BV26:BW26,V$337)+COUNTIF('10月'!CA26:CB26,V$337)+COUNTIF('10月'!CF26:CG26,V$337)+COUNTIF('10月'!CK26:CL26,V$337)+COUNTIF('10月'!CP26:CQ26,V$337)+COUNTIF('10月'!CU26:CV26,V$337)+COUNTIF('10月'!CZ26:DA26,V$337)+COUNTIF('10月'!DE26:DF26,V$337)+COUNTIF('10月'!DJ26:DK26,V$337)+COUNTIF('10月'!DO26:DP26,V$337)+COUNTIF('10月'!DT26:DU26,V$337)+COUNTIF('10月'!DY26:DZ26,V$337)+COUNTIF('10月'!ED26:EE26,V$337)+COUNTIF('10月'!EI26:EJ26,V$337)+COUNTIF('10月'!EN26:EO26,V$337)+COUNTIF('10月'!ES26:ET26,V$337)</f>
        <v>0</v>
      </c>
      <c r="W361" s="76">
        <f t="shared" si="118"/>
        <v>0</v>
      </c>
      <c r="X361" s="76">
        <f>COUNTIF('10月'!D26:E26,X$337)+COUNTIF('10月'!I26:J26,X$337)+COUNTIF('10月'!N26:O26,X$337)+COUNTIF('10月'!S26:T26,X$337)+COUNTIF('10月'!X26:Y26,X$337)+COUNTIF('10月'!AC26:AD26,X$337)+COUNTIF('10月'!AH26:AI26,X$337)+COUNTIF('10月'!AM26:AN26,X$337)+COUNTIF('10月'!AR26:AS26,X$337)+COUNTIF('10月'!AW26:AX26,X$337)+COUNTIF('10月'!BB26:BC26,X$337)+COUNTIF('10月'!BG26:BH26,X$337)+COUNTIF('10月'!BL26:BM26,X$337)+COUNTIF('10月'!BQ26:BR26,X$337)+COUNTIF('10月'!BV26:BW26,X$337)+COUNTIF('10月'!CA26:CB26,X$337)+COUNTIF('10月'!CF26:CG26,X$337)+COUNTIF('10月'!CK26:CL26,X$337)+COUNTIF('10月'!CP26:CQ26,X$337)+COUNTIF('10月'!CU26:CV26,X$337)+COUNTIF('10月'!CZ26:DA26,X$337)+COUNTIF('10月'!DE26:DF26,X$337)+COUNTIF('10月'!DJ26:DK26,X$337)+COUNTIF('10月'!DO26:DP26,X$337)+COUNTIF('10月'!DT26:DU26,X$337)+COUNTIF('10月'!DY26:DZ26,X$337)+COUNTIF('10月'!ED26:EE26,X$337)+COUNTIF('10月'!EI26:EJ26,X$337)+COUNTIF('10月'!EN26:EO26,X$337)+COUNTIF('10月'!ES26:ET26,X$337)</f>
        <v>0</v>
      </c>
      <c r="Y361" s="76">
        <f t="shared" si="119"/>
        <v>0</v>
      </c>
    </row>
    <row r="362" spans="1:25" ht="18" customHeight="1">
      <c r="A362" s="76">
        <v>24</v>
      </c>
      <c r="B362" s="76">
        <f>COUNTIF('10月'!D27:E27,B$337)+COUNTIF('10月'!I27:J27,B$337)+COUNTIF('10月'!N27:O27,B$337)+COUNTIF('10月'!S27:T27,B$337)+COUNTIF('10月'!X27:Y27,B$337)+COUNTIF('10月'!AC27:AD27,B$337)+COUNTIF('10月'!AH27:AI27,B$337)+COUNTIF('10月'!AM27:AN27,B$337)+COUNTIF('10月'!AR27:AS27,B$337)+COUNTIF('10月'!AW27:AX27,B$337)+COUNTIF('10月'!BB27:BC27,B$337)+COUNTIF('10月'!BG27:BH27,B$337)+COUNTIF('10月'!BL27:BM27,B$337)+COUNTIF('10月'!BQ27:BR27,B$337)+COUNTIF('10月'!BV27:BW27,B$337)+COUNTIF('10月'!CA27:CB27,B$337)+COUNTIF('10月'!CF27:CG27,B$337)+COUNTIF('10月'!CK27:CL27,B$337)+COUNTIF('10月'!CP27:CQ27,B$337)+COUNTIF('10月'!CU27:CV27,B$337)+COUNTIF('10月'!CZ27:DA27,B$337)+COUNTIF('10月'!DE27:DF27,B$337)+COUNTIF('10月'!DJ27:DK27,B$337)+COUNTIF('10月'!DO27:DP27,B$337)+COUNTIF('10月'!DT27:DU27,B$337)+COUNTIF('10月'!DY27:DZ27,B$337)+COUNTIF('10月'!ED27:EE27,B$337)+COUNTIF('10月'!EI27:EJ27,B$337)+COUNTIF('10月'!EN27:EO27,B$337)+COUNTIF('10月'!ES27:ET27,B$337)</f>
        <v>0</v>
      </c>
      <c r="C362" s="76">
        <f t="shared" si="108"/>
        <v>0</v>
      </c>
      <c r="D362" s="76">
        <f>COUNTIF('10月'!D27:E27,D$337)+COUNTIF('10月'!I27:J27,D$337)+COUNTIF('10月'!N27:O27,D$337)+COUNTIF('10月'!S27:T27,D$337)+COUNTIF('10月'!X27:Y27,D$337)+COUNTIF('10月'!AC27:AD27,D$337)+COUNTIF('10月'!AH27:AI27,D$337)+COUNTIF('10月'!AM27:AN27,D$337)+COUNTIF('10月'!AR27:AS27,D$337)+COUNTIF('10月'!AW27:AX27,D$337)+COUNTIF('10月'!BB27:BC27,D$337)+COUNTIF('10月'!BG27:BH27,D$337)+COUNTIF('10月'!BL27:BM27,D$337)+COUNTIF('10月'!BQ27:BR27,D$337)+COUNTIF('10月'!BV27:BW27,D$337)+COUNTIF('10月'!CA27:CB27,D$337)+COUNTIF('10月'!CF27:CG27,D$337)+COUNTIF('10月'!CK27:CL27,D$337)+COUNTIF('10月'!CP27:CQ27,D$337)+COUNTIF('10月'!CU27:CV27,D$337)+COUNTIF('10月'!CZ27:DA27,D$337)+COUNTIF('10月'!DE27:DF27,D$337)+COUNTIF('10月'!DJ27:DK27,D$337)+COUNTIF('10月'!DO27:DP27,D$337)+COUNTIF('10月'!DT27:DU27,D$337)+COUNTIF('10月'!DY27:DZ27,D$337)+COUNTIF('10月'!ED27:EE27,D$337)+COUNTIF('10月'!EI27:EJ27,D$337)+COUNTIF('10月'!EN27:EO27,D$337)+COUNTIF('10月'!ES27:ET27,D$337)</f>
        <v>0</v>
      </c>
      <c r="E362" s="76">
        <f t="shared" si="109"/>
        <v>0</v>
      </c>
      <c r="F362" s="76">
        <f>COUNTIF('10月'!D27:E27,F$337)+COUNTIF('10月'!I27:J27,F$337)+COUNTIF('10月'!N27:O27,F$337)+COUNTIF('10月'!S27:T27,F$337)+COUNTIF('10月'!X27:Y27,F$337)+COUNTIF('10月'!AC27:AD27,F$337)+COUNTIF('10月'!AH27:AI27,F$337)+COUNTIF('10月'!AM27:AN27,F$337)+COUNTIF('10月'!AR27:AS27,F$337)+COUNTIF('10月'!AW27:AX27,F$337)+COUNTIF('10月'!BB27:BC27,F$337)+COUNTIF('10月'!BG27:BH27,F$337)+COUNTIF('10月'!BL27:BM27,F$337)+COUNTIF('10月'!BQ27:BR27,F$337)+COUNTIF('10月'!BV27:BW27,F$337)+COUNTIF('10月'!CA27:CB27,F$337)+COUNTIF('10月'!CF27:CG27,F$337)+COUNTIF('10月'!CK27:CL27,F$337)+COUNTIF('10月'!CP27:CQ27,F$337)+COUNTIF('10月'!CU27:CV27,F$337)+COUNTIF('10月'!CZ27:DA27,F$337)+COUNTIF('10月'!DE27:DF27,F$337)+COUNTIF('10月'!DJ27:DK27,F$337)+COUNTIF('10月'!DO27:DP27,F$337)+COUNTIF('10月'!DT27:DU27,F$337)+COUNTIF('10月'!DY27:DZ27,F$337)+COUNTIF('10月'!ED27:EE27,F$337)+COUNTIF('10月'!EI27:EJ27,F$337)+COUNTIF('10月'!EN27:EO27,F$337)+COUNTIF('10月'!ES27:ET27,F$337)</f>
        <v>0</v>
      </c>
      <c r="G362" s="76">
        <f t="shared" si="110"/>
        <v>0</v>
      </c>
      <c r="H362" s="76">
        <f>COUNTIF('10月'!D27:E27,H$337)+COUNTIF('10月'!I27:J27,H$337)+COUNTIF('10月'!N27:O27,H$337)+COUNTIF('10月'!S27:T27,H$337)+COUNTIF('10月'!X27:Y27,H$337)+COUNTIF('10月'!AC27:AD27,H$337)+COUNTIF('10月'!AH27:AI27,H$337)+COUNTIF('10月'!AM27:AN27,H$337)+COUNTIF('10月'!AR27:AS27,H$337)+COUNTIF('10月'!AW27:AX27,H$337)+COUNTIF('10月'!BB27:BC27,H$337)+COUNTIF('10月'!BG27:BH27,H$337)+COUNTIF('10月'!BL27:BM27,H$337)+COUNTIF('10月'!BQ27:BR27,H$337)+COUNTIF('10月'!BV27:BW27,H$337)+COUNTIF('10月'!CA27:CB27,H$337)+COUNTIF('10月'!CF27:CG27,H$337)+COUNTIF('10月'!CK27:CL27,H$337)+COUNTIF('10月'!CP27:CQ27,H$337)+COUNTIF('10月'!CU27:CV27,H$337)+COUNTIF('10月'!CZ27:DA27,H$337)+COUNTIF('10月'!DE27:DF27,H$337)+COUNTIF('10月'!DJ27:DK27,H$337)+COUNTIF('10月'!DO27:DP27,H$337)+COUNTIF('10月'!DT27:DU27,H$337)+COUNTIF('10月'!DY27:DZ27,H$337)+COUNTIF('10月'!ED27:EE27,H$337)+COUNTIF('10月'!EI27:EJ27,H$337)+COUNTIF('10月'!EN27:EO27,H$337)+COUNTIF('10月'!ES27:ET27,H$337)+COUNTIF('10月'!D27:E27,"渋谷-夜勤")+COUNTIF('10月'!I27:J27,"渋谷-夜勤")+COUNTIF('10月'!N27:O27,"渋谷-夜勤")+COUNTIF('10月'!S27:T27,"渋谷-夜勤")+COUNTIF('10月'!X27:Y27,"渋谷-夜勤")+COUNTIF('10月'!AC27:AD27,"渋谷-夜勤")+COUNTIF('10月'!AH27:AI27,"渋谷-夜勤")+COUNTIF('10月'!AM27:AN27,"渋谷-夜勤")+COUNTIF('10月'!AR27:AS27,"渋谷-夜勤")+COUNTIF('10月'!AW27:AX27,"渋谷-夜勤")+COUNTIF('10月'!BB27:BC27,"渋谷-夜勤")+COUNTIF('10月'!BG27:BH27,"渋谷-夜勤")+COUNTIF('10月'!BL27:BM27,"渋谷-夜勤")+COUNTIF('10月'!BQ27:BR27,"渋谷-夜勤")+COUNTIF('10月'!BV27:BW27,"渋谷-夜勤")+COUNTIF('10月'!CA27:CB27,"渋谷-夜勤")+COUNTIF('10月'!CF27:CG27,"渋谷-夜勤")+COUNTIF('10月'!CK27:CL27,"渋谷-夜勤")+COUNTIF('10月'!CP27:CQ27,"渋谷-夜勤")+COUNTIF('10月'!CU27:CV27,"渋谷-夜勤")+COUNTIF('10月'!CZ27:DA27,"渋谷-夜勤")+COUNTIF('10月'!DE27:DF27,"渋谷-夜勤")+COUNTIF('10月'!DJ27:DK27,"渋谷-夜勤")+COUNTIF('10月'!DO27:DP27,"渋谷-夜勤")+COUNTIF('10月'!DT27:DU27,"渋谷-夜勤")+COUNTIF('10月'!DY27:DZ27,"渋谷-夜勤")+COUNTIF('10月'!ED27:EE27,"渋谷-夜勤")+COUNTIF('10月'!EI27:EJ27,"渋谷-夜勤")+COUNTIF('10月'!EN27:EO27,"渋谷-夜勤")+COUNTIF('10月'!ES27:ET27,"渋谷-夜勤")</f>
        <v>0</v>
      </c>
      <c r="I362" s="76">
        <f t="shared" si="111"/>
        <v>0</v>
      </c>
      <c r="J362" s="76">
        <f>COUNTIF('10月'!D27:E27,J$337)+COUNTIF('10月'!I27:J27,J$337)+COUNTIF('10月'!N27:O27,J$337)+COUNTIF('10月'!S27:T27,J$337)+COUNTIF('10月'!X27:Y27,J$337)+COUNTIF('10月'!AC27:AD27,J$337)+COUNTIF('10月'!AH27:AI27,J$337)+COUNTIF('10月'!AM27:AN27,J$337)+COUNTIF('10月'!AR27:AS27,J$337)+COUNTIF('10月'!AW27:AX27,J$337)+COUNTIF('10月'!BB27:BC27,J$337)+COUNTIF('10月'!BG27:BH27,J$337)+COUNTIF('10月'!BL27:BM27,J$337)+COUNTIF('10月'!BQ27:BR27,J$337)+COUNTIF('10月'!BV27:BW27,J$337)+COUNTIF('10月'!CA27:CB27,J$337)+COUNTIF('10月'!CF27:CG27,J$337)+COUNTIF('10月'!CK27:CL27,J$337)+COUNTIF('10月'!CP27:CQ27,J$337)+COUNTIF('10月'!CU27:CV27,J$337)+COUNTIF('10月'!CZ27:DA27,J$337)+COUNTIF('10月'!DE27:DF27,J$337)+COUNTIF('10月'!DJ27:DK27,J$337)+COUNTIF('10月'!DO27:DP27,J$337)+COUNTIF('10月'!DT27:DU27,J$337)+COUNTIF('10月'!DY27:DZ27,J$337)+COUNTIF('10月'!ED27:EE27,J$337)+COUNTIF('10月'!EI27:EJ27,J$337)+COUNTIF('10月'!EN27:EO27,J$337)+COUNTIF('10月'!ES27:ET27,J$337)+COUNTIF('10月'!D27:E27,"六本木-夜勤")+COUNTIF('10月'!I27:J27,"六本木-夜勤")+COUNTIF('10月'!N27:O27,"六本木-夜勤")+COUNTIF('10月'!S27:T27,"六本木-夜勤")+COUNTIF('10月'!X27:Y27,"六本木-夜勤")+COUNTIF('10月'!AC27:AD27,"六本木-夜勤")+COUNTIF('10月'!AH27:AI27,"六本木-夜勤")+COUNTIF('10月'!AM27:AN27,"六本木-夜勤")+COUNTIF('10月'!AR27:AS27,"六本木-夜勤")+COUNTIF('10月'!AW27:AX27,"六本木-夜勤")+COUNTIF('10月'!BB27:BC27,"六本木-夜勤")+COUNTIF('10月'!BG27:BH27,"六本木-夜勤")+COUNTIF('10月'!BL27:BM27,"六本木-夜勤")+COUNTIF('10月'!BQ27:BR27,"六本木-夜勤")+COUNTIF('10月'!BV27:BW27,"六本木-夜勤")+COUNTIF('10月'!CA27:CB27,"六本木-夜勤")+COUNTIF('10月'!CF27:CG27,"六本木-夜勤")+COUNTIF('10月'!CK27:CL27,"六本木-夜勤")+COUNTIF('10月'!CP27:CQ27,"六本木-夜勤")+COUNTIF('10月'!CU27:CV27,"六本木-夜勤")+COUNTIF('10月'!CZ27:DA27,"六本木-夜勤")+COUNTIF('10月'!DE27:DF27,"六本木-夜勤")+COUNTIF('10月'!DJ27:DK27,"六本木-夜勤")+COUNTIF('10月'!DO27:DP27,"六本木-夜勤")+COUNTIF('10月'!DT27:DU27,"六本木-夜勤")+COUNTIF('10月'!DY27:DZ27,"六本木-夜勤")+COUNTIF('10月'!ED27:EE27,"六本木-夜勤")+COUNTIF('10月'!EI27:EJ27,"六本木-夜勤")+COUNTIF('10月'!EN27:EO27,"六本木-夜勤")+COUNTIF('10月'!ES27:ET27,"六本木-夜勤")+COUNTIF('10月'!D27:E27,"六本木ー夜勤")+COUNTIF('10月'!I27:J27,"六本木ー夜勤")+COUNTIF('10月'!N27:O27,"六本木ー夜勤")+COUNTIF('10月'!S27:T27,"六本木ー夜勤")+COUNTIF('10月'!X27:Y27,"六本木ー夜勤")+COUNTIF('10月'!AC27:AD27,"六本木ー夜勤")+COUNTIF('10月'!AH27:AI27,"六本木ー夜勤")+COUNTIF('10月'!AM27:AN27,"六本木ー夜勤")+COUNTIF('10月'!AR27:AS27,"六本木ー夜勤")+COUNTIF('10月'!AW27:AX27,"六本木ー夜勤")+COUNTIF('10月'!BB27:BC27,"六本木ー夜勤")+COUNTIF('10月'!BG27:BH27,"六本木ー夜勤")+COUNTIF('10月'!BL27:BM27,"六本木ー夜勤")+COUNTIF('10月'!BQ27:BR27,"六本木ー夜勤")+COUNTIF('10月'!BV27:BW27,"六本木ー夜勤")+COUNTIF('10月'!CA27:CB27,"六本木ー夜勤")+COUNTIF('10月'!CF27:CG27,"六本木ー夜勤")+COUNTIF('10月'!CK27:CL27,"六本木ー夜勤")+COUNTIF('10月'!CP27:CQ27,"六本木ー夜勤")+COUNTIF('10月'!CU27:CV27,"六本木ー夜勤")+COUNTIF('10月'!CZ27:DA27,"六本木ー夜勤")+COUNTIF('10月'!DE27:DF27,"六本木ー夜勤")+COUNTIF('10月'!DJ27:DK27,"六本木ー夜勤")+COUNTIF('10月'!DO27:DP27,"六本木ー夜勤")+COUNTIF('10月'!DT27:DU27,"六本木ー夜勤")+COUNTIF('10月'!DY27:DZ27,"六本木ー夜勤")+COUNTIF('10月'!ED27:EE27,"六本木ー夜勤")+COUNTIF('10月'!EI27:EJ27,"六本木ー夜勤")+COUNTIF('10月'!EN27:EO27,"六本木ー夜勤")+COUNTIF('10月'!ES27:ET27,"六本木ー夜勤")</f>
        <v>0</v>
      </c>
      <c r="K362" s="76">
        <f t="shared" si="112"/>
        <v>0</v>
      </c>
      <c r="L362" s="76">
        <f>COUNTIF('10月'!D27:E27,L$337)+COUNTIF('10月'!I27:J27,L$337)+COUNTIF('10月'!N27:O27,L$337)+COUNTIF('10月'!S27:T27,L$337)+COUNTIF('10月'!X27:Y27,L$337)+COUNTIF('10月'!AC27:AD27,L$337)+COUNTIF('10月'!AH27:AI27,L$337)+COUNTIF('10月'!AM27:AN27,L$337)+COUNTIF('10月'!AR27:AS27,L$337)+COUNTIF('10月'!AW27:AX27,L$337)+COUNTIF('10月'!BB27:BC27,L$337)+COUNTIF('10月'!BG27:BH27,L$337)+COUNTIF('10月'!BL27:BM27,L$337)+COUNTIF('10月'!BQ27:BR27,L$337)+COUNTIF('10月'!BV27:BW27,L$337)+COUNTIF('10月'!CA27:CB27,L$337)+COUNTIF('10月'!CF27:CG27,L$337)+COUNTIF('10月'!CK27:CL27,L$337)+COUNTIF('10月'!CP27:CQ27,L$337)+COUNTIF('10月'!CU27:CV27,L$337)+COUNTIF('10月'!CZ27:DA27,L$337)+COUNTIF('10月'!DE27:DF27,L$337)+COUNTIF('10月'!DJ27:DK27,L$337)+COUNTIF('10月'!DO27:DP27,L$337)+COUNTIF('10月'!DT27:DU27,L$337)+COUNTIF('10月'!DY27:DZ27,L$337)+COUNTIF('10月'!ED27:EE27,L$337)+COUNTIF('10月'!EI27:EJ27,L$337)+COUNTIF('10月'!EN27:EO27,L$337)+COUNTIF('10月'!ES27:ET27,L$337)</f>
        <v>0</v>
      </c>
      <c r="M362" s="76">
        <f t="shared" si="113"/>
        <v>0</v>
      </c>
      <c r="N362" s="76">
        <f>COUNTIF('10月'!D27:E27,N$337)+COUNTIF('10月'!I27:J27,N$337)+COUNTIF('10月'!N27:O27,N$337)+COUNTIF('10月'!S27:T27,N$337)+COUNTIF('10月'!X27:Y27,N$337)+COUNTIF('10月'!AC27:AD27,N$337)+COUNTIF('10月'!AH27:AI27,N$337)+COUNTIF('10月'!AM27:AN27,N$337)+COUNTIF('10月'!AR27:AS27,N$337)+COUNTIF('10月'!AW27:AX27,N$337)+COUNTIF('10月'!BB27:BC27,N$337)+COUNTIF('10月'!BG27:BH27,N$337)+COUNTIF('10月'!BL27:BM27,N$337)+COUNTIF('10月'!BQ27:BR27,N$337)+COUNTIF('10月'!BV27:BW27,N$337)+COUNTIF('10月'!CA27:CB27,N$337)+COUNTIF('10月'!CF27:CG27,N$337)+COUNTIF('10月'!CK27:CL27,N$337)+COUNTIF('10月'!CP27:CQ27,N$337)+COUNTIF('10月'!CU27:CV27,N$337)+COUNTIF('10月'!CZ27:DA27,N$337)+COUNTIF('10月'!DE27:DF27,N$337)+COUNTIF('10月'!DJ27:DK27,N$337)+COUNTIF('10月'!DO27:DP27,N$337)+COUNTIF('10月'!DT27:DU27,N$337)+COUNTIF('10月'!DY27:DZ27,N$337)+COUNTIF('10月'!ED27:EE27,N$337)+COUNTIF('10月'!EI27:EJ27,N$337)+COUNTIF('10月'!EN27:EO27,N$337)+COUNTIF('10月'!ES27:ET27,N$337)+COUNTIF('10月'!D27:E27,"三軒茶屋－夜勤")+COUNTIF('10月'!I27:J27,"三軒茶屋－夜勤")+COUNTIF('10月'!N27:O27,"三軒茶屋－夜勤")+COUNTIF('10月'!S27:T27,"三軒茶屋－夜勤")+COUNTIF('10月'!X27:Y27,"三軒茶屋－夜勤")+COUNTIF('10月'!AC27:AD27,"三軒茶屋－夜勤")+COUNTIF('10月'!AH27:AI27,"三軒茶屋－夜勤")+COUNTIF('10月'!AM27:AN27,"三軒茶屋－夜勤")+COUNTIF('10月'!AR27:AS27,"三軒茶屋－夜勤")+COUNTIF('10月'!AW27:AX27,"三軒茶屋－夜勤")+COUNTIF('10月'!BB27:BC27,"三軒茶屋－夜勤")+COUNTIF('10月'!BG27:BH27,"三軒茶屋－夜勤")+COUNTIF('10月'!BL27:BM27,"三軒茶屋－夜勤")+COUNTIF('10月'!BQ27:BR27,"三軒茶屋－夜勤")+COUNTIF('10月'!BV27:BW27,"三軒茶屋－夜勤")+COUNTIF('10月'!CA27:CB27,"三軒茶屋－夜勤")+COUNTIF('10月'!CF27:CG27,"三軒茶屋－夜勤")+COUNTIF('10月'!CK27:CL27,"三軒茶屋－夜勤")+COUNTIF('10月'!CP27:CQ27,"三軒茶屋－夜勤")+COUNTIF('10月'!CU27:CV27,"三軒茶屋－夜勤")+COUNTIF('10月'!CZ27:DA27,"三軒茶屋－夜勤")+COUNTIF('10月'!DE27:DF27,"三軒茶屋－夜勤")+COUNTIF('10月'!DJ27:DK27,"三軒茶屋－夜勤")+COUNTIF('10月'!DO27:DP27,"三軒茶屋－夜勤")+COUNTIF('10月'!DT27:DU27,"三軒茶屋－夜勤")+COUNTIF('10月'!DY27:DZ27,"三軒茶屋－夜勤")+COUNTIF('10月'!ED27:EE27,"三軒茶屋－夜勤")+COUNTIF('10月'!EI27:EJ27,"三軒茶屋－夜勤")+COUNTIF('10月'!EN27:EO27,"三軒茶屋－夜勤")+COUNTIF('10月'!ES27:ET27,"三軒茶屋－夜勤")</f>
        <v>0</v>
      </c>
      <c r="O362" s="76">
        <f t="shared" si="114"/>
        <v>0</v>
      </c>
      <c r="P362" s="76">
        <f>COUNTIF('10月'!D27:E27,P$337)+COUNTIF('10月'!I27:J27,P$337)+COUNTIF('10月'!N27:O27,P$337)+COUNTIF('10月'!S27:T27,P$337)+COUNTIF('10月'!X27:Y27,P$337)+COUNTIF('10月'!AC27:AD27,P$337)+COUNTIF('10月'!AH27:AI27,P$337)+COUNTIF('10月'!AM27:AN27,P$337)+COUNTIF('10月'!AR27:AS27,P$337)+COUNTIF('10月'!AW27:AX27,P$337)+COUNTIF('10月'!BB27:BC27,P$337)+COUNTIF('10月'!BG27:BH27,P$337)+COUNTIF('10月'!BL27:BM27,P$337)+COUNTIF('10月'!BQ27:BR27,P$337)+COUNTIF('10月'!BV27:BW27,P$337)+COUNTIF('10月'!CA27:CB27,P$337)+COUNTIF('10月'!CF27:CG27,P$337)+COUNTIF('10月'!CK27:CL27,P$337)+COUNTIF('10月'!CP27:CQ27,P$337)+COUNTIF('10月'!CU27:CV27,P$337)+COUNTIF('10月'!CZ27:DA27,P$337)+COUNTIF('10月'!DE27:DF27,P$337)+COUNTIF('10月'!DJ27:DK27,P$337)+COUNTIF('10月'!DO27:DP27,P$337)+COUNTIF('10月'!DT27:DU27,P$337)+COUNTIF('10月'!DY27:DZ27,P$337)+COUNTIF('10月'!ED27:EE27,P$337)+COUNTIF('10月'!EI27:EJ27,P$337)+COUNTIF('10月'!EN27:EO27,P$337)+COUNTIF('10月'!ES27:ET27,P$337)+COUNTIF('10月'!D27:E27,"荻窪ー夜勤")+COUNTIF('10月'!I27:J27,"荻窪ー夜勤")+COUNTIF('10月'!N27:O27,"荻窪ー夜勤")+COUNTIF('10月'!S27:T27,"荻窪ー夜勤")+COUNTIF('10月'!X27:Y27,"荻窪ー夜勤")+COUNTIF('10月'!AC27:AD27,"荻窪ー夜勤")+COUNTIF('10月'!AH27:AI27,"荻窪ー夜勤")+COUNTIF('10月'!AM27:AN27,"荻窪ー夜勤")+COUNTIF('10月'!AR27:AS27,"荻窪ー夜勤")+COUNTIF('10月'!AW27:AX27,"荻窪ー夜勤")+COUNTIF('10月'!BB27:BC27,"荻窪ー夜勤")+COUNTIF('10月'!BG27:BH27,"荻窪ー夜勤")+COUNTIF('10月'!BL27:BM27,"荻窪ー夜勤")+COUNTIF('10月'!BQ27:BR27,"荻窪ー夜勤")+COUNTIF('10月'!BV27:BW27,"荻窪ー夜勤")+COUNTIF('10月'!CA27:CB27,"荻窪ー夜勤")+COUNTIF('10月'!CF27:CG27,"荻窪ー夜勤")+COUNTIF('10月'!CK27:CL27,"荻窪ー夜勤")+COUNTIF('10月'!CP27:CQ27,"荻窪ー夜勤")+COUNTIF('10月'!CU27:CV27,"荻窪ー夜勤")+COUNTIF('10月'!CZ27:DA27,"荻窪ー夜勤")+COUNTIF('10月'!DE27:DF27,"荻窪ー夜勤")+COUNTIF('10月'!DJ27:DK27,"荻窪ー夜勤")+COUNTIF('10月'!DO27:DP27,"荻窪ー夜勤")+COUNTIF('10月'!DT27:DU27,"荻窪ー夜勤")+COUNTIF('10月'!DY27:DZ27,"荻窪ー夜勤")+COUNTIF('10月'!ED27:EE27,"荻窪ー夜勤")+COUNTIF('10月'!EI27:EJ27,"荻窪ー夜勤")+COUNTIF('10月'!EN27:EO27,"荻窪ー夜勤")+COUNTIF('10月'!ES27:ET27,"荻窪ー夜勤")</f>
        <v>0</v>
      </c>
      <c r="Q362" s="76">
        <f t="shared" si="115"/>
        <v>0</v>
      </c>
      <c r="R362" s="76">
        <f>COUNTIF('10月'!D27:E27,R$337)+COUNTIF('10月'!I27:J27,R$337)+COUNTIF('10月'!N27:O27,R$337)+COUNTIF('10月'!S27:T27,R$337)+COUNTIF('10月'!X27:Y27,R$337)+COUNTIF('10月'!AC27:AD27,R$337)+COUNTIF('10月'!AH27:AI27,R$337)+COUNTIF('10月'!AM27:AN27,R$337)+COUNTIF('10月'!AR27:AS27,R$337)+COUNTIF('10月'!AW27:AX27,R$337)+COUNTIF('10月'!BB27:BC27,R$337)+COUNTIF('10月'!BG27:BH27,R$337)+COUNTIF('10月'!BL27:BM27,R$337)+COUNTIF('10月'!BQ27:BR27,R$337)+COUNTIF('10月'!BV27:BW27,R$337)+COUNTIF('10月'!CA27:CB27,R$337)+COUNTIF('10月'!CF27:CG27,R$337)+COUNTIF('10月'!CK27:CL27,R$337)+COUNTIF('10月'!CP27:CQ27,R$337)+COUNTIF('10月'!CU27:CV27,R$337)+COUNTIF('10月'!CZ27:DA27,R$337)+COUNTIF('10月'!DE27:DF27,R$337)+COUNTIF('10月'!DJ27:DK27,R$337)+COUNTIF('10月'!DO27:DP27,R$337)+COUNTIF('10月'!DT27:DU27,R$337)+COUNTIF('10月'!DY27:DZ27,R$337)+COUNTIF('10月'!ED27:EE27,R$337)+COUNTIF('10月'!EI27:EJ27,R$337)+COUNTIF('10月'!EN27:EO27,R$337)+COUNTIF('10月'!ES27:ET27,R$337)</f>
        <v>0</v>
      </c>
      <c r="S362" s="76">
        <f t="shared" si="116"/>
        <v>0</v>
      </c>
      <c r="T362" s="76">
        <f>COUNTIF('10月'!D27:E27,T$337)+COUNTIF('10月'!I27:J27,T$337)+COUNTIF('10月'!N27:O27,T$337)+COUNTIF('10月'!S27:T27,T$337)+COUNTIF('10月'!X27:Y27,T$337)+COUNTIF('10月'!AC27:AD27,T$337)+COUNTIF('10月'!AH27:AI27,T$337)+COUNTIF('10月'!AM27:AN27,T$337)+COUNTIF('10月'!AR27:AS27,T$337)+COUNTIF('10月'!AW27:AX27,T$337)+COUNTIF('10月'!BB27:BC27,T$337)+COUNTIF('10月'!BG27:BH27,T$337)+COUNTIF('10月'!BL27:BM27,T$337)+COUNTIF('10月'!BQ27:BR27,T$337)+COUNTIF('10月'!BV27:BW27,T$337)+COUNTIF('10月'!CA27:CB27,T$337)+COUNTIF('10月'!CF27:CG27,T$337)+COUNTIF('10月'!CK27:CL27,T$337)+COUNTIF('10月'!CP27:CQ27,T$337)+COUNTIF('10月'!CU27:CV27,T$337)+COUNTIF('10月'!CZ27:DA27,T$337)+COUNTIF('10月'!DE27:DF27,T$337)+COUNTIF('10月'!DJ27:DK27,T$337)+COUNTIF('10月'!DO27:DP27,T$337)+COUNTIF('10月'!DT27:DU27,T$337)+COUNTIF('10月'!DY27:DZ27,T$337)+COUNTIF('10月'!ED27:EE27,T$337)+COUNTIF('10月'!EI27:EJ27,T$337)+COUNTIF('10月'!EN27:EO27,T$337)+COUNTIF('10月'!ES27:ET27,T$337)</f>
        <v>0</v>
      </c>
      <c r="U362" s="76">
        <f t="shared" si="117"/>
        <v>0</v>
      </c>
      <c r="V362" s="76">
        <f>COUNTIF('10月'!D27:E27,V$337)+COUNTIF('10月'!I27:J27,V$337)+COUNTIF('10月'!N27:O27,V$337)+COUNTIF('10月'!S27:T27,V$337)+COUNTIF('10月'!X27:Y27,V$337)+COUNTIF('10月'!AC27:AD27,V$337)+COUNTIF('10月'!AH27:AI27,V$337)+COUNTIF('10月'!AM27:AN27,V$337)+COUNTIF('10月'!AR27:AS27,V$337)+COUNTIF('10月'!AW27:AX27,V$337)+COUNTIF('10月'!BB27:BC27,V$337)+COUNTIF('10月'!BG27:BH27,V$337)+COUNTIF('10月'!BL27:BM27,V$337)+COUNTIF('10月'!BQ27:BR27,V$337)+COUNTIF('10月'!BV27:BW27,V$337)+COUNTIF('10月'!CA27:CB27,V$337)+COUNTIF('10月'!CF27:CG27,V$337)+COUNTIF('10月'!CK27:CL27,V$337)+COUNTIF('10月'!CP27:CQ27,V$337)+COUNTIF('10月'!CU27:CV27,V$337)+COUNTIF('10月'!CZ27:DA27,V$337)+COUNTIF('10月'!DE27:DF27,V$337)+COUNTIF('10月'!DJ27:DK27,V$337)+COUNTIF('10月'!DO27:DP27,V$337)+COUNTIF('10月'!DT27:DU27,V$337)+COUNTIF('10月'!DY27:DZ27,V$337)+COUNTIF('10月'!ED27:EE27,V$337)+COUNTIF('10月'!EI27:EJ27,V$337)+COUNTIF('10月'!EN27:EO27,V$337)+COUNTIF('10月'!ES27:ET27,V$337)</f>
        <v>0</v>
      </c>
      <c r="W362" s="76">
        <f t="shared" si="118"/>
        <v>0</v>
      </c>
      <c r="X362" s="76">
        <f>COUNTIF('10月'!D27:E27,X$337)+COUNTIF('10月'!I27:J27,X$337)+COUNTIF('10月'!N27:O27,X$337)+COUNTIF('10月'!S27:T27,X$337)+COUNTIF('10月'!X27:Y27,X$337)+COUNTIF('10月'!AC27:AD27,X$337)+COUNTIF('10月'!AH27:AI27,X$337)+COUNTIF('10月'!AM27:AN27,X$337)+COUNTIF('10月'!AR27:AS27,X$337)+COUNTIF('10月'!AW27:AX27,X$337)+COUNTIF('10月'!BB27:BC27,X$337)+COUNTIF('10月'!BG27:BH27,X$337)+COUNTIF('10月'!BL27:BM27,X$337)+COUNTIF('10月'!BQ27:BR27,X$337)+COUNTIF('10月'!BV27:BW27,X$337)+COUNTIF('10月'!CA27:CB27,X$337)+COUNTIF('10月'!CF27:CG27,X$337)+COUNTIF('10月'!CK27:CL27,X$337)+COUNTIF('10月'!CP27:CQ27,X$337)+COUNTIF('10月'!CU27:CV27,X$337)+COUNTIF('10月'!CZ27:DA27,X$337)+COUNTIF('10月'!DE27:DF27,X$337)+COUNTIF('10月'!DJ27:DK27,X$337)+COUNTIF('10月'!DO27:DP27,X$337)+COUNTIF('10月'!DT27:DU27,X$337)+COUNTIF('10月'!DY27:DZ27,X$337)+COUNTIF('10月'!ED27:EE27,X$337)+COUNTIF('10月'!EI27:EJ27,X$337)+COUNTIF('10月'!EN27:EO27,X$337)+COUNTIF('10月'!ES27:ET27,X$337)</f>
        <v>0</v>
      </c>
      <c r="Y362" s="76">
        <f t="shared" si="119"/>
        <v>0</v>
      </c>
    </row>
    <row r="363" spans="1:25" ht="18" customHeight="1">
      <c r="A363" s="76">
        <v>25</v>
      </c>
      <c r="B363" s="76">
        <f>COUNTIF('10月'!D28:E28,B$337)+COUNTIF('10月'!I28:J28,B$337)+COUNTIF('10月'!N28:O28,B$337)+COUNTIF('10月'!S28:T28,B$337)+COUNTIF('10月'!X28:Y28,B$337)+COUNTIF('10月'!AC28:AD28,B$337)+COUNTIF('10月'!AH28:AI28,B$337)+COUNTIF('10月'!AM28:AN28,B$337)+COUNTIF('10月'!AR28:AS28,B$337)+COUNTIF('10月'!AW28:AX28,B$337)+COUNTIF('10月'!BB28:BC28,B$337)+COUNTIF('10月'!BG28:BH28,B$337)+COUNTIF('10月'!BL28:BM28,B$337)+COUNTIF('10月'!BQ28:BR28,B$337)+COUNTIF('10月'!BV28:BW28,B$337)+COUNTIF('10月'!CA28:CB28,B$337)+COUNTIF('10月'!CF28:CG28,B$337)+COUNTIF('10月'!CK28:CL28,B$337)+COUNTIF('10月'!CP28:CQ28,B$337)+COUNTIF('10月'!CU28:CV28,B$337)+COUNTIF('10月'!CZ28:DA28,B$337)+COUNTIF('10月'!DE28:DF28,B$337)+COUNTIF('10月'!DJ28:DK28,B$337)+COUNTIF('10月'!DO28:DP28,B$337)+COUNTIF('10月'!DT28:DU28,B$337)+COUNTIF('10月'!DY28:DZ28,B$337)+COUNTIF('10月'!ED28:EE28,B$337)+COUNTIF('10月'!EI28:EJ28,B$337)+COUNTIF('10月'!EN28:EO28,B$337)+COUNTIF('10月'!ES28:ET28,B$337)</f>
        <v>0</v>
      </c>
      <c r="C363" s="76">
        <f t="shared" si="108"/>
        <v>0</v>
      </c>
      <c r="D363" s="76">
        <f>COUNTIF('10月'!D28:E28,D$337)+COUNTIF('10月'!I28:J28,D$337)+COUNTIF('10月'!N28:O28,D$337)+COUNTIF('10月'!S28:T28,D$337)+COUNTIF('10月'!X28:Y28,D$337)+COUNTIF('10月'!AC28:AD28,D$337)+COUNTIF('10月'!AH28:AI28,D$337)+COUNTIF('10月'!AM28:AN28,D$337)+COUNTIF('10月'!AR28:AS28,D$337)+COUNTIF('10月'!AW28:AX28,D$337)+COUNTIF('10月'!BB28:BC28,D$337)+COUNTIF('10月'!BG28:BH28,D$337)+COUNTIF('10月'!BL28:BM28,D$337)+COUNTIF('10月'!BQ28:BR28,D$337)+COUNTIF('10月'!BV28:BW28,D$337)+COUNTIF('10月'!CA28:CB28,D$337)+COUNTIF('10月'!CF28:CG28,D$337)+COUNTIF('10月'!CK28:CL28,D$337)+COUNTIF('10月'!CP28:CQ28,D$337)+COUNTIF('10月'!CU28:CV28,D$337)+COUNTIF('10月'!CZ28:DA28,D$337)+COUNTIF('10月'!DE28:DF28,D$337)+COUNTIF('10月'!DJ28:DK28,D$337)+COUNTIF('10月'!DO28:DP28,D$337)+COUNTIF('10月'!DT28:DU28,D$337)+COUNTIF('10月'!DY28:DZ28,D$337)+COUNTIF('10月'!ED28:EE28,D$337)+COUNTIF('10月'!EI28:EJ28,D$337)+COUNTIF('10月'!EN28:EO28,D$337)+COUNTIF('10月'!ES28:ET28,D$337)</f>
        <v>0</v>
      </c>
      <c r="E363" s="76">
        <f t="shared" si="109"/>
        <v>0</v>
      </c>
      <c r="F363" s="76">
        <f>COUNTIF('10月'!D28:E28,F$337)+COUNTIF('10月'!I28:J28,F$337)+COUNTIF('10月'!N28:O28,F$337)+COUNTIF('10月'!S28:T28,F$337)+COUNTIF('10月'!X28:Y28,F$337)+COUNTIF('10月'!AC28:AD28,F$337)+COUNTIF('10月'!AH28:AI28,F$337)+COUNTIF('10月'!AM28:AN28,F$337)+COUNTIF('10月'!AR28:AS28,F$337)+COUNTIF('10月'!AW28:AX28,F$337)+COUNTIF('10月'!BB28:BC28,F$337)+COUNTIF('10月'!BG28:BH28,F$337)+COUNTIF('10月'!BL28:BM28,F$337)+COUNTIF('10月'!BQ28:BR28,F$337)+COUNTIF('10月'!BV28:BW28,F$337)+COUNTIF('10月'!CA28:CB28,F$337)+COUNTIF('10月'!CF28:CG28,F$337)+COUNTIF('10月'!CK28:CL28,F$337)+COUNTIF('10月'!CP28:CQ28,F$337)+COUNTIF('10月'!CU28:CV28,F$337)+COUNTIF('10月'!CZ28:DA28,F$337)+COUNTIF('10月'!DE28:DF28,F$337)+COUNTIF('10月'!DJ28:DK28,F$337)+COUNTIF('10月'!DO28:DP28,F$337)+COUNTIF('10月'!DT28:DU28,F$337)+COUNTIF('10月'!DY28:DZ28,F$337)+COUNTIF('10月'!ED28:EE28,F$337)+COUNTIF('10月'!EI28:EJ28,F$337)+COUNTIF('10月'!EN28:EO28,F$337)+COUNTIF('10月'!ES28:ET28,F$337)</f>
        <v>0</v>
      </c>
      <c r="G363" s="76">
        <f t="shared" si="110"/>
        <v>0</v>
      </c>
      <c r="H363" s="76">
        <f>COUNTIF('10月'!D28:E28,H$337)+COUNTIF('10月'!I28:J28,H$337)+COUNTIF('10月'!N28:O28,H$337)+COUNTIF('10月'!S28:T28,H$337)+COUNTIF('10月'!X28:Y28,H$337)+COUNTIF('10月'!AC28:AD28,H$337)+COUNTIF('10月'!AH28:AI28,H$337)+COUNTIF('10月'!AM28:AN28,H$337)+COUNTIF('10月'!AR28:AS28,H$337)+COUNTIF('10月'!AW28:AX28,H$337)+COUNTIF('10月'!BB28:BC28,H$337)+COUNTIF('10月'!BG28:BH28,H$337)+COUNTIF('10月'!BL28:BM28,H$337)+COUNTIF('10月'!BQ28:BR28,H$337)+COUNTIF('10月'!BV28:BW28,H$337)+COUNTIF('10月'!CA28:CB28,H$337)+COUNTIF('10月'!CF28:CG28,H$337)+COUNTIF('10月'!CK28:CL28,H$337)+COUNTIF('10月'!CP28:CQ28,H$337)+COUNTIF('10月'!CU28:CV28,H$337)+COUNTIF('10月'!CZ28:DA28,H$337)+COUNTIF('10月'!DE28:DF28,H$337)+COUNTIF('10月'!DJ28:DK28,H$337)+COUNTIF('10月'!DO28:DP28,H$337)+COUNTIF('10月'!DT28:DU28,H$337)+COUNTIF('10月'!DY28:DZ28,H$337)+COUNTIF('10月'!ED28:EE28,H$337)+COUNTIF('10月'!EI28:EJ28,H$337)+COUNTIF('10月'!EN28:EO28,H$337)+COUNTIF('10月'!ES28:ET28,H$337)+COUNTIF('10月'!D28:E28,"渋谷-夜勤")+COUNTIF('10月'!I28:J28,"渋谷-夜勤")+COUNTIF('10月'!N28:O28,"渋谷-夜勤")+COUNTIF('10月'!S28:T28,"渋谷-夜勤")+COUNTIF('10月'!X28:Y28,"渋谷-夜勤")+COUNTIF('10月'!AC28:AD28,"渋谷-夜勤")+COUNTIF('10月'!AH28:AI28,"渋谷-夜勤")+COUNTIF('10月'!AM28:AN28,"渋谷-夜勤")+COUNTIF('10月'!AR28:AS28,"渋谷-夜勤")+COUNTIF('10月'!AW28:AX28,"渋谷-夜勤")+COUNTIF('10月'!BB28:BC28,"渋谷-夜勤")+COUNTIF('10月'!BG28:BH28,"渋谷-夜勤")+COUNTIF('10月'!BL28:BM28,"渋谷-夜勤")+COUNTIF('10月'!BQ28:BR28,"渋谷-夜勤")+COUNTIF('10月'!BV28:BW28,"渋谷-夜勤")+COUNTIF('10月'!CA28:CB28,"渋谷-夜勤")+COUNTIF('10月'!CF28:CG28,"渋谷-夜勤")+COUNTIF('10月'!CK28:CL28,"渋谷-夜勤")+COUNTIF('10月'!CP28:CQ28,"渋谷-夜勤")+COUNTIF('10月'!CU28:CV28,"渋谷-夜勤")+COUNTIF('10月'!CZ28:DA28,"渋谷-夜勤")+COUNTIF('10月'!DE28:DF28,"渋谷-夜勤")+COUNTIF('10月'!DJ28:DK28,"渋谷-夜勤")+COUNTIF('10月'!DO28:DP28,"渋谷-夜勤")+COUNTIF('10月'!DT28:DU28,"渋谷-夜勤")+COUNTIF('10月'!DY28:DZ28,"渋谷-夜勤")+COUNTIF('10月'!ED28:EE28,"渋谷-夜勤")+COUNTIF('10月'!EI28:EJ28,"渋谷-夜勤")+COUNTIF('10月'!EN28:EO28,"渋谷-夜勤")+COUNTIF('10月'!ES28:ET28,"渋谷-夜勤")</f>
        <v>0</v>
      </c>
      <c r="I363" s="76">
        <f t="shared" si="111"/>
        <v>0</v>
      </c>
      <c r="J363" s="76">
        <f>COUNTIF('10月'!D28:E28,J$337)+COUNTIF('10月'!I28:J28,J$337)+COUNTIF('10月'!N28:O28,J$337)+COUNTIF('10月'!S28:T28,J$337)+COUNTIF('10月'!X28:Y28,J$337)+COUNTIF('10月'!AC28:AD28,J$337)+COUNTIF('10月'!AH28:AI28,J$337)+COUNTIF('10月'!AM28:AN28,J$337)+COUNTIF('10月'!AR28:AS28,J$337)+COUNTIF('10月'!AW28:AX28,J$337)+COUNTIF('10月'!BB28:BC28,J$337)+COUNTIF('10月'!BG28:BH28,J$337)+COUNTIF('10月'!BL28:BM28,J$337)+COUNTIF('10月'!BQ28:BR28,J$337)+COUNTIF('10月'!BV28:BW28,J$337)+COUNTIF('10月'!CA28:CB28,J$337)+COUNTIF('10月'!CF28:CG28,J$337)+COUNTIF('10月'!CK28:CL28,J$337)+COUNTIF('10月'!CP28:CQ28,J$337)+COUNTIF('10月'!CU28:CV28,J$337)+COUNTIF('10月'!CZ28:DA28,J$337)+COUNTIF('10月'!DE28:DF28,J$337)+COUNTIF('10月'!DJ28:DK28,J$337)+COUNTIF('10月'!DO28:DP28,J$337)+COUNTIF('10月'!DT28:DU28,J$337)+COUNTIF('10月'!DY28:DZ28,J$337)+COUNTIF('10月'!ED28:EE28,J$337)+COUNTIF('10月'!EI28:EJ28,J$337)+COUNTIF('10月'!EN28:EO28,J$337)+COUNTIF('10月'!ES28:ET28,J$337)+COUNTIF('10月'!D28:E28,"六本木-夜勤")+COUNTIF('10月'!I28:J28,"六本木-夜勤")+COUNTIF('10月'!N28:O28,"六本木-夜勤")+COUNTIF('10月'!S28:T28,"六本木-夜勤")+COUNTIF('10月'!X28:Y28,"六本木-夜勤")+COUNTIF('10月'!AC28:AD28,"六本木-夜勤")+COUNTIF('10月'!AH28:AI28,"六本木-夜勤")+COUNTIF('10月'!AM28:AN28,"六本木-夜勤")+COUNTIF('10月'!AR28:AS28,"六本木-夜勤")+COUNTIF('10月'!AW28:AX28,"六本木-夜勤")+COUNTIF('10月'!BB28:BC28,"六本木-夜勤")+COUNTIF('10月'!BG28:BH28,"六本木-夜勤")+COUNTIF('10月'!BL28:BM28,"六本木-夜勤")+COUNTIF('10月'!BQ28:BR28,"六本木-夜勤")+COUNTIF('10月'!BV28:BW28,"六本木-夜勤")+COUNTIF('10月'!CA28:CB28,"六本木-夜勤")+COUNTIF('10月'!CF28:CG28,"六本木-夜勤")+COUNTIF('10月'!CK28:CL28,"六本木-夜勤")+COUNTIF('10月'!CP28:CQ28,"六本木-夜勤")+COUNTIF('10月'!CU28:CV28,"六本木-夜勤")+COUNTIF('10月'!CZ28:DA28,"六本木-夜勤")+COUNTIF('10月'!DE28:DF28,"六本木-夜勤")+COUNTIF('10月'!DJ28:DK28,"六本木-夜勤")+COUNTIF('10月'!DO28:DP28,"六本木-夜勤")+COUNTIF('10月'!DT28:DU28,"六本木-夜勤")+COUNTIF('10月'!DY28:DZ28,"六本木-夜勤")+COUNTIF('10月'!ED28:EE28,"六本木-夜勤")+COUNTIF('10月'!EI28:EJ28,"六本木-夜勤")+COUNTIF('10月'!EN28:EO28,"六本木-夜勤")+COUNTIF('10月'!ES28:ET28,"六本木-夜勤")+COUNTIF('10月'!D28:E28,"六本木ー夜勤")+COUNTIF('10月'!I28:J28,"六本木ー夜勤")+COUNTIF('10月'!N28:O28,"六本木ー夜勤")+COUNTIF('10月'!S28:T28,"六本木ー夜勤")+COUNTIF('10月'!X28:Y28,"六本木ー夜勤")+COUNTIF('10月'!AC28:AD28,"六本木ー夜勤")+COUNTIF('10月'!AH28:AI28,"六本木ー夜勤")+COUNTIF('10月'!AM28:AN28,"六本木ー夜勤")+COUNTIF('10月'!AR28:AS28,"六本木ー夜勤")+COUNTIF('10月'!AW28:AX28,"六本木ー夜勤")+COUNTIF('10月'!BB28:BC28,"六本木ー夜勤")+COUNTIF('10月'!BG28:BH28,"六本木ー夜勤")+COUNTIF('10月'!BL28:BM28,"六本木ー夜勤")+COUNTIF('10月'!BQ28:BR28,"六本木ー夜勤")+COUNTIF('10月'!BV28:BW28,"六本木ー夜勤")+COUNTIF('10月'!CA28:CB28,"六本木ー夜勤")+COUNTIF('10月'!CF28:CG28,"六本木ー夜勤")+COUNTIF('10月'!CK28:CL28,"六本木ー夜勤")+COUNTIF('10月'!CP28:CQ28,"六本木ー夜勤")+COUNTIF('10月'!CU28:CV28,"六本木ー夜勤")+COUNTIF('10月'!CZ28:DA28,"六本木ー夜勤")+COUNTIF('10月'!DE28:DF28,"六本木ー夜勤")+COUNTIF('10月'!DJ28:DK28,"六本木ー夜勤")+COUNTIF('10月'!DO28:DP28,"六本木ー夜勤")+COUNTIF('10月'!DT28:DU28,"六本木ー夜勤")+COUNTIF('10月'!DY28:DZ28,"六本木ー夜勤")+COUNTIF('10月'!ED28:EE28,"六本木ー夜勤")+COUNTIF('10月'!EI28:EJ28,"六本木ー夜勤")+COUNTIF('10月'!EN28:EO28,"六本木ー夜勤")+COUNTIF('10月'!ES28:ET28,"六本木ー夜勤")</f>
        <v>0</v>
      </c>
      <c r="K363" s="76">
        <f t="shared" si="112"/>
        <v>0</v>
      </c>
      <c r="L363" s="76">
        <f>COUNTIF('10月'!D28:E28,L$337)+COUNTIF('10月'!I28:J28,L$337)+COUNTIF('10月'!N28:O28,L$337)+COUNTIF('10月'!S28:T28,L$337)+COUNTIF('10月'!X28:Y28,L$337)+COUNTIF('10月'!AC28:AD28,L$337)+COUNTIF('10月'!AH28:AI28,L$337)+COUNTIF('10月'!AM28:AN28,L$337)+COUNTIF('10月'!AR28:AS28,L$337)+COUNTIF('10月'!AW28:AX28,L$337)+COUNTIF('10月'!BB28:BC28,L$337)+COUNTIF('10月'!BG28:BH28,L$337)+COUNTIF('10月'!BL28:BM28,L$337)+COUNTIF('10月'!BQ28:BR28,L$337)+COUNTIF('10月'!BV28:BW28,L$337)+COUNTIF('10月'!CA28:CB28,L$337)+COUNTIF('10月'!CF28:CG28,L$337)+COUNTIF('10月'!CK28:CL28,L$337)+COUNTIF('10月'!CP28:CQ28,L$337)+COUNTIF('10月'!CU28:CV28,L$337)+COUNTIF('10月'!CZ28:DA28,L$337)+COUNTIF('10月'!DE28:DF28,L$337)+COUNTIF('10月'!DJ28:DK28,L$337)+COUNTIF('10月'!DO28:DP28,L$337)+COUNTIF('10月'!DT28:DU28,L$337)+COUNTIF('10月'!DY28:DZ28,L$337)+COUNTIF('10月'!ED28:EE28,L$337)+COUNTIF('10月'!EI28:EJ28,L$337)+COUNTIF('10月'!EN28:EO28,L$337)+COUNTIF('10月'!ES28:ET28,L$337)</f>
        <v>0</v>
      </c>
      <c r="M363" s="76">
        <f t="shared" si="113"/>
        <v>0</v>
      </c>
      <c r="N363" s="76">
        <f>COUNTIF('10月'!D28:E28,N$337)+COUNTIF('10月'!I28:J28,N$337)+COUNTIF('10月'!N28:O28,N$337)+COUNTIF('10月'!S28:T28,N$337)+COUNTIF('10月'!X28:Y28,N$337)+COUNTIF('10月'!AC28:AD28,N$337)+COUNTIF('10月'!AH28:AI28,N$337)+COUNTIF('10月'!AM28:AN28,N$337)+COUNTIF('10月'!AR28:AS28,N$337)+COUNTIF('10月'!AW28:AX28,N$337)+COUNTIF('10月'!BB28:BC28,N$337)+COUNTIF('10月'!BG28:BH28,N$337)+COUNTIF('10月'!BL28:BM28,N$337)+COUNTIF('10月'!BQ28:BR28,N$337)+COUNTIF('10月'!BV28:BW28,N$337)+COUNTIF('10月'!CA28:CB28,N$337)+COUNTIF('10月'!CF28:CG28,N$337)+COUNTIF('10月'!CK28:CL28,N$337)+COUNTIF('10月'!CP28:CQ28,N$337)+COUNTIF('10月'!CU28:CV28,N$337)+COUNTIF('10月'!CZ28:DA28,N$337)+COUNTIF('10月'!DE28:DF28,N$337)+COUNTIF('10月'!DJ28:DK28,N$337)+COUNTIF('10月'!DO28:DP28,N$337)+COUNTIF('10月'!DT28:DU28,N$337)+COUNTIF('10月'!DY28:DZ28,N$337)+COUNTIF('10月'!ED28:EE28,N$337)+COUNTIF('10月'!EI28:EJ28,N$337)+COUNTIF('10月'!EN28:EO28,N$337)+COUNTIF('10月'!ES28:ET28,N$337)+COUNTIF('10月'!D28:E28,"三軒茶屋－夜勤")+COUNTIF('10月'!I28:J28,"三軒茶屋－夜勤")+COUNTIF('10月'!N28:O28,"三軒茶屋－夜勤")+COUNTIF('10月'!S28:T28,"三軒茶屋－夜勤")+COUNTIF('10月'!X28:Y28,"三軒茶屋－夜勤")+COUNTIF('10月'!AC28:AD28,"三軒茶屋－夜勤")+COUNTIF('10月'!AH28:AI28,"三軒茶屋－夜勤")+COUNTIF('10月'!AM28:AN28,"三軒茶屋－夜勤")+COUNTIF('10月'!AR28:AS28,"三軒茶屋－夜勤")+COUNTIF('10月'!AW28:AX28,"三軒茶屋－夜勤")+COUNTIF('10月'!BB28:BC28,"三軒茶屋－夜勤")+COUNTIF('10月'!BG28:BH28,"三軒茶屋－夜勤")+COUNTIF('10月'!BL28:BM28,"三軒茶屋－夜勤")+COUNTIF('10月'!BQ28:BR28,"三軒茶屋－夜勤")+COUNTIF('10月'!BV28:BW28,"三軒茶屋－夜勤")+COUNTIF('10月'!CA28:CB28,"三軒茶屋－夜勤")+COUNTIF('10月'!CF28:CG28,"三軒茶屋－夜勤")+COUNTIF('10月'!CK28:CL28,"三軒茶屋－夜勤")+COUNTIF('10月'!CP28:CQ28,"三軒茶屋－夜勤")+COUNTIF('10月'!CU28:CV28,"三軒茶屋－夜勤")+COUNTIF('10月'!CZ28:DA28,"三軒茶屋－夜勤")+COUNTIF('10月'!DE28:DF28,"三軒茶屋－夜勤")+COUNTIF('10月'!DJ28:DK28,"三軒茶屋－夜勤")+COUNTIF('10月'!DO28:DP28,"三軒茶屋－夜勤")+COUNTIF('10月'!DT28:DU28,"三軒茶屋－夜勤")+COUNTIF('10月'!DY28:DZ28,"三軒茶屋－夜勤")+COUNTIF('10月'!ED28:EE28,"三軒茶屋－夜勤")+COUNTIF('10月'!EI28:EJ28,"三軒茶屋－夜勤")+COUNTIF('10月'!EN28:EO28,"三軒茶屋－夜勤")+COUNTIF('10月'!ES28:ET28,"三軒茶屋－夜勤")</f>
        <v>0</v>
      </c>
      <c r="O363" s="76">
        <f t="shared" si="114"/>
        <v>0</v>
      </c>
      <c r="P363" s="76">
        <f>COUNTIF('10月'!D28:E28,P$337)+COUNTIF('10月'!I28:J28,P$337)+COUNTIF('10月'!N28:O28,P$337)+COUNTIF('10月'!S28:T28,P$337)+COUNTIF('10月'!X28:Y28,P$337)+COUNTIF('10月'!AC28:AD28,P$337)+COUNTIF('10月'!AH28:AI28,P$337)+COUNTIF('10月'!AM28:AN28,P$337)+COUNTIF('10月'!AR28:AS28,P$337)+COUNTIF('10月'!AW28:AX28,P$337)+COUNTIF('10月'!BB28:BC28,P$337)+COUNTIF('10月'!BG28:BH28,P$337)+COUNTIF('10月'!BL28:BM28,P$337)+COUNTIF('10月'!BQ28:BR28,P$337)+COUNTIF('10月'!BV28:BW28,P$337)+COUNTIF('10月'!CA28:CB28,P$337)+COUNTIF('10月'!CF28:CG28,P$337)+COUNTIF('10月'!CK28:CL28,P$337)+COUNTIF('10月'!CP28:CQ28,P$337)+COUNTIF('10月'!CU28:CV28,P$337)+COUNTIF('10月'!CZ28:DA28,P$337)+COUNTIF('10月'!DE28:DF28,P$337)+COUNTIF('10月'!DJ28:DK28,P$337)+COUNTIF('10月'!DO28:DP28,P$337)+COUNTIF('10月'!DT28:DU28,P$337)+COUNTIF('10月'!DY28:DZ28,P$337)+COUNTIF('10月'!ED28:EE28,P$337)+COUNTIF('10月'!EI28:EJ28,P$337)+COUNTIF('10月'!EN28:EO28,P$337)+COUNTIF('10月'!ES28:ET28,P$337)+COUNTIF('10月'!D28:E28,"荻窪ー夜勤")+COUNTIF('10月'!I28:J28,"荻窪ー夜勤")+COUNTIF('10月'!N28:O28,"荻窪ー夜勤")+COUNTIF('10月'!S28:T28,"荻窪ー夜勤")+COUNTIF('10月'!X28:Y28,"荻窪ー夜勤")+COUNTIF('10月'!AC28:AD28,"荻窪ー夜勤")+COUNTIF('10月'!AH28:AI28,"荻窪ー夜勤")+COUNTIF('10月'!AM28:AN28,"荻窪ー夜勤")+COUNTIF('10月'!AR28:AS28,"荻窪ー夜勤")+COUNTIF('10月'!AW28:AX28,"荻窪ー夜勤")+COUNTIF('10月'!BB28:BC28,"荻窪ー夜勤")+COUNTIF('10月'!BG28:BH28,"荻窪ー夜勤")+COUNTIF('10月'!BL28:BM28,"荻窪ー夜勤")+COUNTIF('10月'!BQ28:BR28,"荻窪ー夜勤")+COUNTIF('10月'!BV28:BW28,"荻窪ー夜勤")+COUNTIF('10月'!CA28:CB28,"荻窪ー夜勤")+COUNTIF('10月'!CF28:CG28,"荻窪ー夜勤")+COUNTIF('10月'!CK28:CL28,"荻窪ー夜勤")+COUNTIF('10月'!CP28:CQ28,"荻窪ー夜勤")+COUNTIF('10月'!CU28:CV28,"荻窪ー夜勤")+COUNTIF('10月'!CZ28:DA28,"荻窪ー夜勤")+COUNTIF('10月'!DE28:DF28,"荻窪ー夜勤")+COUNTIF('10月'!DJ28:DK28,"荻窪ー夜勤")+COUNTIF('10月'!DO28:DP28,"荻窪ー夜勤")+COUNTIF('10月'!DT28:DU28,"荻窪ー夜勤")+COUNTIF('10月'!DY28:DZ28,"荻窪ー夜勤")+COUNTIF('10月'!ED28:EE28,"荻窪ー夜勤")+COUNTIF('10月'!EI28:EJ28,"荻窪ー夜勤")+COUNTIF('10月'!EN28:EO28,"荻窪ー夜勤")+COUNTIF('10月'!ES28:ET28,"荻窪ー夜勤")</f>
        <v>0</v>
      </c>
      <c r="Q363" s="76">
        <f t="shared" si="115"/>
        <v>0</v>
      </c>
      <c r="R363" s="76">
        <f>COUNTIF('10月'!D28:E28,R$337)+COUNTIF('10月'!I28:J28,R$337)+COUNTIF('10月'!N28:O28,R$337)+COUNTIF('10月'!S28:T28,R$337)+COUNTIF('10月'!X28:Y28,R$337)+COUNTIF('10月'!AC28:AD28,R$337)+COUNTIF('10月'!AH28:AI28,R$337)+COUNTIF('10月'!AM28:AN28,R$337)+COUNTIF('10月'!AR28:AS28,R$337)+COUNTIF('10月'!AW28:AX28,R$337)+COUNTIF('10月'!BB28:BC28,R$337)+COUNTIF('10月'!BG28:BH28,R$337)+COUNTIF('10月'!BL28:BM28,R$337)+COUNTIF('10月'!BQ28:BR28,R$337)+COUNTIF('10月'!BV28:BW28,R$337)+COUNTIF('10月'!CA28:CB28,R$337)+COUNTIF('10月'!CF28:CG28,R$337)+COUNTIF('10月'!CK28:CL28,R$337)+COUNTIF('10月'!CP28:CQ28,R$337)+COUNTIF('10月'!CU28:CV28,R$337)+COUNTIF('10月'!CZ28:DA28,R$337)+COUNTIF('10月'!DE28:DF28,R$337)+COUNTIF('10月'!DJ28:DK28,R$337)+COUNTIF('10月'!DO28:DP28,R$337)+COUNTIF('10月'!DT28:DU28,R$337)+COUNTIF('10月'!DY28:DZ28,R$337)+COUNTIF('10月'!ED28:EE28,R$337)+COUNTIF('10月'!EI28:EJ28,R$337)+COUNTIF('10月'!EN28:EO28,R$337)+COUNTIF('10月'!ES28:ET28,R$337)</f>
        <v>0</v>
      </c>
      <c r="S363" s="76">
        <f t="shared" si="116"/>
        <v>0</v>
      </c>
      <c r="T363" s="76">
        <f>COUNTIF('10月'!D28:E28,T$337)+COUNTIF('10月'!I28:J28,T$337)+COUNTIF('10月'!N28:O28,T$337)+COUNTIF('10月'!S28:T28,T$337)+COUNTIF('10月'!X28:Y28,T$337)+COUNTIF('10月'!AC28:AD28,T$337)+COUNTIF('10月'!AH28:AI28,T$337)+COUNTIF('10月'!AM28:AN28,T$337)+COUNTIF('10月'!AR28:AS28,T$337)+COUNTIF('10月'!AW28:AX28,T$337)+COUNTIF('10月'!BB28:BC28,T$337)+COUNTIF('10月'!BG28:BH28,T$337)+COUNTIF('10月'!BL28:BM28,T$337)+COUNTIF('10月'!BQ28:BR28,T$337)+COUNTIF('10月'!BV28:BW28,T$337)+COUNTIF('10月'!CA28:CB28,T$337)+COUNTIF('10月'!CF28:CG28,T$337)+COUNTIF('10月'!CK28:CL28,T$337)+COUNTIF('10月'!CP28:CQ28,T$337)+COUNTIF('10月'!CU28:CV28,T$337)+COUNTIF('10月'!CZ28:DA28,T$337)+COUNTIF('10月'!DE28:DF28,T$337)+COUNTIF('10月'!DJ28:DK28,T$337)+COUNTIF('10月'!DO28:DP28,T$337)+COUNTIF('10月'!DT28:DU28,T$337)+COUNTIF('10月'!DY28:DZ28,T$337)+COUNTIF('10月'!ED28:EE28,T$337)+COUNTIF('10月'!EI28:EJ28,T$337)+COUNTIF('10月'!EN28:EO28,T$337)+COUNTIF('10月'!ES28:ET28,T$337)</f>
        <v>0</v>
      </c>
      <c r="U363" s="76">
        <f t="shared" si="117"/>
        <v>0</v>
      </c>
      <c r="V363" s="76">
        <f>COUNTIF('10月'!D28:E28,V$337)+COUNTIF('10月'!I28:J28,V$337)+COUNTIF('10月'!N28:O28,V$337)+COUNTIF('10月'!S28:T28,V$337)+COUNTIF('10月'!X28:Y28,V$337)+COUNTIF('10月'!AC28:AD28,V$337)+COUNTIF('10月'!AH28:AI28,V$337)+COUNTIF('10月'!AM28:AN28,V$337)+COUNTIF('10月'!AR28:AS28,V$337)+COUNTIF('10月'!AW28:AX28,V$337)+COUNTIF('10月'!BB28:BC28,V$337)+COUNTIF('10月'!BG28:BH28,V$337)+COUNTIF('10月'!BL28:BM28,V$337)+COUNTIF('10月'!BQ28:BR28,V$337)+COUNTIF('10月'!BV28:BW28,V$337)+COUNTIF('10月'!CA28:CB28,V$337)+COUNTIF('10月'!CF28:CG28,V$337)+COUNTIF('10月'!CK28:CL28,V$337)+COUNTIF('10月'!CP28:CQ28,V$337)+COUNTIF('10月'!CU28:CV28,V$337)+COUNTIF('10月'!CZ28:DA28,V$337)+COUNTIF('10月'!DE28:DF28,V$337)+COUNTIF('10月'!DJ28:DK28,V$337)+COUNTIF('10月'!DO28:DP28,V$337)+COUNTIF('10月'!DT28:DU28,V$337)+COUNTIF('10月'!DY28:DZ28,V$337)+COUNTIF('10月'!ED28:EE28,V$337)+COUNTIF('10月'!EI28:EJ28,V$337)+COUNTIF('10月'!EN28:EO28,V$337)+COUNTIF('10月'!ES28:ET28,V$337)</f>
        <v>0</v>
      </c>
      <c r="W363" s="76">
        <f t="shared" si="118"/>
        <v>0</v>
      </c>
      <c r="X363" s="76">
        <f>COUNTIF('10月'!D28:E28,X$337)+COUNTIF('10月'!I28:J28,X$337)+COUNTIF('10月'!N28:O28,X$337)+COUNTIF('10月'!S28:T28,X$337)+COUNTIF('10月'!X28:Y28,X$337)+COUNTIF('10月'!AC28:AD28,X$337)+COUNTIF('10月'!AH28:AI28,X$337)+COUNTIF('10月'!AM28:AN28,X$337)+COUNTIF('10月'!AR28:AS28,X$337)+COUNTIF('10月'!AW28:AX28,X$337)+COUNTIF('10月'!BB28:BC28,X$337)+COUNTIF('10月'!BG28:BH28,X$337)+COUNTIF('10月'!BL28:BM28,X$337)+COUNTIF('10月'!BQ28:BR28,X$337)+COUNTIF('10月'!BV28:BW28,X$337)+COUNTIF('10月'!CA28:CB28,X$337)+COUNTIF('10月'!CF28:CG28,X$337)+COUNTIF('10月'!CK28:CL28,X$337)+COUNTIF('10月'!CP28:CQ28,X$337)+COUNTIF('10月'!CU28:CV28,X$337)+COUNTIF('10月'!CZ28:DA28,X$337)+COUNTIF('10月'!DE28:DF28,X$337)+COUNTIF('10月'!DJ28:DK28,X$337)+COUNTIF('10月'!DO28:DP28,X$337)+COUNTIF('10月'!DT28:DU28,X$337)+COUNTIF('10月'!DY28:DZ28,X$337)+COUNTIF('10月'!ED28:EE28,X$337)+COUNTIF('10月'!EI28:EJ28,X$337)+COUNTIF('10月'!EN28:EO28,X$337)+COUNTIF('10月'!ES28:ET28,X$337)</f>
        <v>0</v>
      </c>
      <c r="Y363" s="76">
        <f t="shared" si="119"/>
        <v>0</v>
      </c>
    </row>
    <row r="364" spans="1:25" ht="18" customHeight="1">
      <c r="A364" s="76">
        <v>26</v>
      </c>
      <c r="B364" s="76">
        <f>COUNTIF('10月'!D29:E29,B$337)+COUNTIF('10月'!I29:J29,B$337)+COUNTIF('10月'!N29:O29,B$337)+COUNTIF('10月'!S29:T29,B$337)+COUNTIF('10月'!X29:Y29,B$337)+COUNTIF('10月'!AC29:AD29,B$337)+COUNTIF('10月'!AH29:AI29,B$337)+COUNTIF('10月'!AM29:AN29,B$337)+COUNTIF('10月'!AR29:AS29,B$337)+COUNTIF('10月'!AW29:AX29,B$337)+COUNTIF('10月'!BB29:BC29,B$337)+COUNTIF('10月'!BG29:BH29,B$337)+COUNTIF('10月'!BL29:BM29,B$337)+COUNTIF('10月'!BQ29:BR29,B$337)+COUNTIF('10月'!BV29:BW29,B$337)+COUNTIF('10月'!CA29:CB29,B$337)+COUNTIF('10月'!CF29:CG29,B$337)+COUNTIF('10月'!CK29:CL29,B$337)+COUNTIF('10月'!CP29:CQ29,B$337)+COUNTIF('10月'!CU29:CV29,B$337)+COUNTIF('10月'!CZ29:DA29,B$337)+COUNTIF('10月'!DE29:DF29,B$337)+COUNTIF('10月'!DJ29:DK29,B$337)+COUNTIF('10月'!DO29:DP29,B$337)+COUNTIF('10月'!DT29:DU29,B$337)+COUNTIF('10月'!DY29:DZ29,B$337)+COUNTIF('10月'!ED29:EE29,B$337)+COUNTIF('10月'!EI29:EJ29,B$337)+COUNTIF('10月'!EN29:EO29,B$337)+COUNTIF('10月'!ES29:ET29,B$337)</f>
        <v>0</v>
      </c>
      <c r="C364" s="76">
        <f t="shared" si="108"/>
        <v>0</v>
      </c>
      <c r="D364" s="76">
        <f>COUNTIF('10月'!D29:E29,D$337)+COUNTIF('10月'!I29:J29,D$337)+COUNTIF('10月'!N29:O29,D$337)+COUNTIF('10月'!S29:T29,D$337)+COUNTIF('10月'!X29:Y29,D$337)+COUNTIF('10月'!AC29:AD29,D$337)+COUNTIF('10月'!AH29:AI29,D$337)+COUNTIF('10月'!AM29:AN29,D$337)+COUNTIF('10月'!AR29:AS29,D$337)+COUNTIF('10月'!AW29:AX29,D$337)+COUNTIF('10月'!BB29:BC29,D$337)+COUNTIF('10月'!BG29:BH29,D$337)+COUNTIF('10月'!BL29:BM29,D$337)+COUNTIF('10月'!BQ29:BR29,D$337)+COUNTIF('10月'!BV29:BW29,D$337)+COUNTIF('10月'!CA29:CB29,D$337)+COUNTIF('10月'!CF29:CG29,D$337)+COUNTIF('10月'!CK29:CL29,D$337)+COUNTIF('10月'!CP29:CQ29,D$337)+COUNTIF('10月'!CU29:CV29,D$337)+COUNTIF('10月'!CZ29:DA29,D$337)+COUNTIF('10月'!DE29:DF29,D$337)+COUNTIF('10月'!DJ29:DK29,D$337)+COUNTIF('10月'!DO29:DP29,D$337)+COUNTIF('10月'!DT29:DU29,D$337)+COUNTIF('10月'!DY29:DZ29,D$337)+COUNTIF('10月'!ED29:EE29,D$337)+COUNTIF('10月'!EI29:EJ29,D$337)+COUNTIF('10月'!EN29:EO29,D$337)+COUNTIF('10月'!ES29:ET29,D$337)</f>
        <v>0</v>
      </c>
      <c r="E364" s="76">
        <f t="shared" si="109"/>
        <v>0</v>
      </c>
      <c r="F364" s="76">
        <f>COUNTIF('10月'!D29:E29,F$337)+COUNTIF('10月'!I29:J29,F$337)+COUNTIF('10月'!N29:O29,F$337)+COUNTIF('10月'!S29:T29,F$337)+COUNTIF('10月'!X29:Y29,F$337)+COUNTIF('10月'!AC29:AD29,F$337)+COUNTIF('10月'!AH29:AI29,F$337)+COUNTIF('10月'!AM29:AN29,F$337)+COUNTIF('10月'!AR29:AS29,F$337)+COUNTIF('10月'!AW29:AX29,F$337)+COUNTIF('10月'!BB29:BC29,F$337)+COUNTIF('10月'!BG29:BH29,F$337)+COUNTIF('10月'!BL29:BM29,F$337)+COUNTIF('10月'!BQ29:BR29,F$337)+COUNTIF('10月'!BV29:BW29,F$337)+COUNTIF('10月'!CA29:CB29,F$337)+COUNTIF('10月'!CF29:CG29,F$337)+COUNTIF('10月'!CK29:CL29,F$337)+COUNTIF('10月'!CP29:CQ29,F$337)+COUNTIF('10月'!CU29:CV29,F$337)+COUNTIF('10月'!CZ29:DA29,F$337)+COUNTIF('10月'!DE29:DF29,F$337)+COUNTIF('10月'!DJ29:DK29,F$337)+COUNTIF('10月'!DO29:DP29,F$337)+COUNTIF('10月'!DT29:DU29,F$337)+COUNTIF('10月'!DY29:DZ29,F$337)+COUNTIF('10月'!ED29:EE29,F$337)+COUNTIF('10月'!EI29:EJ29,F$337)+COUNTIF('10月'!EN29:EO29,F$337)+COUNTIF('10月'!ES29:ET29,F$337)</f>
        <v>0</v>
      </c>
      <c r="G364" s="76">
        <f t="shared" si="110"/>
        <v>0</v>
      </c>
      <c r="H364" s="76">
        <f>COUNTIF('10月'!D29:E29,H$337)+COUNTIF('10月'!I29:J29,H$337)+COUNTIF('10月'!N29:O29,H$337)+COUNTIF('10月'!S29:T29,H$337)+COUNTIF('10月'!X29:Y29,H$337)+COUNTIF('10月'!AC29:AD29,H$337)+COUNTIF('10月'!AH29:AI29,H$337)+COUNTIF('10月'!AM29:AN29,H$337)+COUNTIF('10月'!AR29:AS29,H$337)+COUNTIF('10月'!AW29:AX29,H$337)+COUNTIF('10月'!BB29:BC29,H$337)+COUNTIF('10月'!BG29:BH29,H$337)+COUNTIF('10月'!BL29:BM29,H$337)+COUNTIF('10月'!BQ29:BR29,H$337)+COUNTIF('10月'!BV29:BW29,H$337)+COUNTIF('10月'!CA29:CB29,H$337)+COUNTIF('10月'!CF29:CG29,H$337)+COUNTIF('10月'!CK29:CL29,H$337)+COUNTIF('10月'!CP29:CQ29,H$337)+COUNTIF('10月'!CU29:CV29,H$337)+COUNTIF('10月'!CZ29:DA29,H$337)+COUNTIF('10月'!DE29:DF29,H$337)+COUNTIF('10月'!DJ29:DK29,H$337)+COUNTIF('10月'!DO29:DP29,H$337)+COUNTIF('10月'!DT29:DU29,H$337)+COUNTIF('10月'!DY29:DZ29,H$337)+COUNTIF('10月'!ED29:EE29,H$337)+COUNTIF('10月'!EI29:EJ29,H$337)+COUNTIF('10月'!EN29:EO29,H$337)+COUNTIF('10月'!ES29:ET29,H$337)+COUNTIF('10月'!D29:E29,"渋谷-夜勤")+COUNTIF('10月'!I29:J29,"渋谷-夜勤")+COUNTIF('10月'!N29:O29,"渋谷-夜勤")+COUNTIF('10月'!S29:T29,"渋谷-夜勤")+COUNTIF('10月'!X29:Y29,"渋谷-夜勤")+COUNTIF('10月'!AC29:AD29,"渋谷-夜勤")+COUNTIF('10月'!AH29:AI29,"渋谷-夜勤")+COUNTIF('10月'!AM29:AN29,"渋谷-夜勤")+COUNTIF('10月'!AR29:AS29,"渋谷-夜勤")+COUNTIF('10月'!AW29:AX29,"渋谷-夜勤")+COUNTIF('10月'!BB29:BC29,"渋谷-夜勤")+COUNTIF('10月'!BG29:BH29,"渋谷-夜勤")+COUNTIF('10月'!BL29:BM29,"渋谷-夜勤")+COUNTIF('10月'!BQ29:BR29,"渋谷-夜勤")+COUNTIF('10月'!BV29:BW29,"渋谷-夜勤")+COUNTIF('10月'!CA29:CB29,"渋谷-夜勤")+COUNTIF('10月'!CF29:CG29,"渋谷-夜勤")+COUNTIF('10月'!CK29:CL29,"渋谷-夜勤")+COUNTIF('10月'!CP29:CQ29,"渋谷-夜勤")+COUNTIF('10月'!CU29:CV29,"渋谷-夜勤")+COUNTIF('10月'!CZ29:DA29,"渋谷-夜勤")+COUNTIF('10月'!DE29:DF29,"渋谷-夜勤")+COUNTIF('10月'!DJ29:DK29,"渋谷-夜勤")+COUNTIF('10月'!DO29:DP29,"渋谷-夜勤")+COUNTIF('10月'!DT29:DU29,"渋谷-夜勤")+COUNTIF('10月'!DY29:DZ29,"渋谷-夜勤")+COUNTIF('10月'!ED29:EE29,"渋谷-夜勤")+COUNTIF('10月'!EI29:EJ29,"渋谷-夜勤")+COUNTIF('10月'!EN29:EO29,"渋谷-夜勤")+COUNTIF('10月'!ES29:ET29,"渋谷-夜勤")</f>
        <v>0</v>
      </c>
      <c r="I364" s="76">
        <f t="shared" si="111"/>
        <v>0</v>
      </c>
      <c r="J364" s="76">
        <f>COUNTIF('10月'!D29:E29,J$337)+COUNTIF('10月'!I29:J29,J$337)+COUNTIF('10月'!N29:O29,J$337)+COUNTIF('10月'!S29:T29,J$337)+COUNTIF('10月'!X29:Y29,J$337)+COUNTIF('10月'!AC29:AD29,J$337)+COUNTIF('10月'!AH29:AI29,J$337)+COUNTIF('10月'!AM29:AN29,J$337)+COUNTIF('10月'!AR29:AS29,J$337)+COUNTIF('10月'!AW29:AX29,J$337)+COUNTIF('10月'!BB29:BC29,J$337)+COUNTIF('10月'!BG29:BH29,J$337)+COUNTIF('10月'!BL29:BM29,J$337)+COUNTIF('10月'!BQ29:BR29,J$337)+COUNTIF('10月'!BV29:BW29,J$337)+COUNTIF('10月'!CA29:CB29,J$337)+COUNTIF('10月'!CF29:CG29,J$337)+COUNTIF('10月'!CK29:CL29,J$337)+COUNTIF('10月'!CP29:CQ29,J$337)+COUNTIF('10月'!CU29:CV29,J$337)+COUNTIF('10月'!CZ29:DA29,J$337)+COUNTIF('10月'!DE29:DF29,J$337)+COUNTIF('10月'!DJ29:DK29,J$337)+COUNTIF('10月'!DO29:DP29,J$337)+COUNTIF('10月'!DT29:DU29,J$337)+COUNTIF('10月'!DY29:DZ29,J$337)+COUNTIF('10月'!ED29:EE29,J$337)+COUNTIF('10月'!EI29:EJ29,J$337)+COUNTIF('10月'!EN29:EO29,J$337)+COUNTIF('10月'!ES29:ET29,J$337)+COUNTIF('10月'!D29:E29,"六本木-夜勤")+COUNTIF('10月'!I29:J29,"六本木-夜勤")+COUNTIF('10月'!N29:O29,"六本木-夜勤")+COUNTIF('10月'!S29:T29,"六本木-夜勤")+COUNTIF('10月'!X29:Y29,"六本木-夜勤")+COUNTIF('10月'!AC29:AD29,"六本木-夜勤")+COUNTIF('10月'!AH29:AI29,"六本木-夜勤")+COUNTIF('10月'!AM29:AN29,"六本木-夜勤")+COUNTIF('10月'!AR29:AS29,"六本木-夜勤")+COUNTIF('10月'!AW29:AX29,"六本木-夜勤")+COUNTIF('10月'!BB29:BC29,"六本木-夜勤")+COUNTIF('10月'!BG29:BH29,"六本木-夜勤")+COUNTIF('10月'!BL29:BM29,"六本木-夜勤")+COUNTIF('10月'!BQ29:BR29,"六本木-夜勤")+COUNTIF('10月'!BV29:BW29,"六本木-夜勤")+COUNTIF('10月'!CA29:CB29,"六本木-夜勤")+COUNTIF('10月'!CF29:CG29,"六本木-夜勤")+COUNTIF('10月'!CK29:CL29,"六本木-夜勤")+COUNTIF('10月'!CP29:CQ29,"六本木-夜勤")+COUNTIF('10月'!CU29:CV29,"六本木-夜勤")+COUNTIF('10月'!CZ29:DA29,"六本木-夜勤")+COUNTIF('10月'!DE29:DF29,"六本木-夜勤")+COUNTIF('10月'!DJ29:DK29,"六本木-夜勤")+COUNTIF('10月'!DO29:DP29,"六本木-夜勤")+COUNTIF('10月'!DT29:DU29,"六本木-夜勤")+COUNTIF('10月'!DY29:DZ29,"六本木-夜勤")+COUNTIF('10月'!ED29:EE29,"六本木-夜勤")+COUNTIF('10月'!EI29:EJ29,"六本木-夜勤")+COUNTIF('10月'!EN29:EO29,"六本木-夜勤")+COUNTIF('10月'!ES29:ET29,"六本木-夜勤")+COUNTIF('10月'!D29:E29,"六本木ー夜勤")+COUNTIF('10月'!I29:J29,"六本木ー夜勤")+COUNTIF('10月'!N29:O29,"六本木ー夜勤")+COUNTIF('10月'!S29:T29,"六本木ー夜勤")+COUNTIF('10月'!X29:Y29,"六本木ー夜勤")+COUNTIF('10月'!AC29:AD29,"六本木ー夜勤")+COUNTIF('10月'!AH29:AI29,"六本木ー夜勤")+COUNTIF('10月'!AM29:AN29,"六本木ー夜勤")+COUNTIF('10月'!AR29:AS29,"六本木ー夜勤")+COUNTIF('10月'!AW29:AX29,"六本木ー夜勤")+COUNTIF('10月'!BB29:BC29,"六本木ー夜勤")+COUNTIF('10月'!BG29:BH29,"六本木ー夜勤")+COUNTIF('10月'!BL29:BM29,"六本木ー夜勤")+COUNTIF('10月'!BQ29:BR29,"六本木ー夜勤")+COUNTIF('10月'!BV29:BW29,"六本木ー夜勤")+COUNTIF('10月'!CA29:CB29,"六本木ー夜勤")+COUNTIF('10月'!CF29:CG29,"六本木ー夜勤")+COUNTIF('10月'!CK29:CL29,"六本木ー夜勤")+COUNTIF('10月'!CP29:CQ29,"六本木ー夜勤")+COUNTIF('10月'!CU29:CV29,"六本木ー夜勤")+COUNTIF('10月'!CZ29:DA29,"六本木ー夜勤")+COUNTIF('10月'!DE29:DF29,"六本木ー夜勤")+COUNTIF('10月'!DJ29:DK29,"六本木ー夜勤")+COUNTIF('10月'!DO29:DP29,"六本木ー夜勤")+COUNTIF('10月'!DT29:DU29,"六本木ー夜勤")+COUNTIF('10月'!DY29:DZ29,"六本木ー夜勤")+COUNTIF('10月'!ED29:EE29,"六本木ー夜勤")+COUNTIF('10月'!EI29:EJ29,"六本木ー夜勤")+COUNTIF('10月'!EN29:EO29,"六本木ー夜勤")+COUNTIF('10月'!ES29:ET29,"六本木ー夜勤")</f>
        <v>0</v>
      </c>
      <c r="K364" s="76">
        <f t="shared" si="112"/>
        <v>0</v>
      </c>
      <c r="L364" s="76">
        <f>COUNTIF('10月'!D29:E29,L$337)+COUNTIF('10月'!I29:J29,L$337)+COUNTIF('10月'!N29:O29,L$337)+COUNTIF('10月'!S29:T29,L$337)+COUNTIF('10月'!X29:Y29,L$337)+COUNTIF('10月'!AC29:AD29,L$337)+COUNTIF('10月'!AH29:AI29,L$337)+COUNTIF('10月'!AM29:AN29,L$337)+COUNTIF('10月'!AR29:AS29,L$337)+COUNTIF('10月'!AW29:AX29,L$337)+COUNTIF('10月'!BB29:BC29,L$337)+COUNTIF('10月'!BG29:BH29,L$337)+COUNTIF('10月'!BL29:BM29,L$337)+COUNTIF('10月'!BQ29:BR29,L$337)+COUNTIF('10月'!BV29:BW29,L$337)+COUNTIF('10月'!CA29:CB29,L$337)+COUNTIF('10月'!CF29:CG29,L$337)+COUNTIF('10月'!CK29:CL29,L$337)+COUNTIF('10月'!CP29:CQ29,L$337)+COUNTIF('10月'!CU29:CV29,L$337)+COUNTIF('10月'!CZ29:DA29,L$337)+COUNTIF('10月'!DE29:DF29,L$337)+COUNTIF('10月'!DJ29:DK29,L$337)+COUNTIF('10月'!DO29:DP29,L$337)+COUNTIF('10月'!DT29:DU29,L$337)+COUNTIF('10月'!DY29:DZ29,L$337)+COUNTIF('10月'!ED29:EE29,L$337)+COUNTIF('10月'!EI29:EJ29,L$337)+COUNTIF('10月'!EN29:EO29,L$337)+COUNTIF('10月'!ES29:ET29,L$337)</f>
        <v>0</v>
      </c>
      <c r="M364" s="76">
        <f t="shared" si="113"/>
        <v>0</v>
      </c>
      <c r="N364" s="76">
        <f>COUNTIF('10月'!D29:E29,N$337)+COUNTIF('10月'!I29:J29,N$337)+COUNTIF('10月'!N29:O29,N$337)+COUNTIF('10月'!S29:T29,N$337)+COUNTIF('10月'!X29:Y29,N$337)+COUNTIF('10月'!AC29:AD29,N$337)+COUNTIF('10月'!AH29:AI29,N$337)+COUNTIF('10月'!AM29:AN29,N$337)+COUNTIF('10月'!AR29:AS29,N$337)+COUNTIF('10月'!AW29:AX29,N$337)+COUNTIF('10月'!BB29:BC29,N$337)+COUNTIF('10月'!BG29:BH29,N$337)+COUNTIF('10月'!BL29:BM29,N$337)+COUNTIF('10月'!BQ29:BR29,N$337)+COUNTIF('10月'!BV29:BW29,N$337)+COUNTIF('10月'!CA29:CB29,N$337)+COUNTIF('10月'!CF29:CG29,N$337)+COUNTIF('10月'!CK29:CL29,N$337)+COUNTIF('10月'!CP29:CQ29,N$337)+COUNTIF('10月'!CU29:CV29,N$337)+COUNTIF('10月'!CZ29:DA29,N$337)+COUNTIF('10月'!DE29:DF29,N$337)+COUNTIF('10月'!DJ29:DK29,N$337)+COUNTIF('10月'!DO29:DP29,N$337)+COUNTIF('10月'!DT29:DU29,N$337)+COUNTIF('10月'!DY29:DZ29,N$337)+COUNTIF('10月'!ED29:EE29,N$337)+COUNTIF('10月'!EI29:EJ29,N$337)+COUNTIF('10月'!EN29:EO29,N$337)+COUNTIF('10月'!ES29:ET29,N$337)+COUNTIF('10月'!D29:E29,"三軒茶屋－夜勤")+COUNTIF('10月'!I29:J29,"三軒茶屋－夜勤")+COUNTIF('10月'!N29:O29,"三軒茶屋－夜勤")+COUNTIF('10月'!S29:T29,"三軒茶屋－夜勤")+COUNTIF('10月'!X29:Y29,"三軒茶屋－夜勤")+COUNTIF('10月'!AC29:AD29,"三軒茶屋－夜勤")+COUNTIF('10月'!AH29:AI29,"三軒茶屋－夜勤")+COUNTIF('10月'!AM29:AN29,"三軒茶屋－夜勤")+COUNTIF('10月'!AR29:AS29,"三軒茶屋－夜勤")+COUNTIF('10月'!AW29:AX29,"三軒茶屋－夜勤")+COUNTIF('10月'!BB29:BC29,"三軒茶屋－夜勤")+COUNTIF('10月'!BG29:BH29,"三軒茶屋－夜勤")+COUNTIF('10月'!BL29:BM29,"三軒茶屋－夜勤")+COUNTIF('10月'!BQ29:BR29,"三軒茶屋－夜勤")+COUNTIF('10月'!BV29:BW29,"三軒茶屋－夜勤")+COUNTIF('10月'!CA29:CB29,"三軒茶屋－夜勤")+COUNTIF('10月'!CF29:CG29,"三軒茶屋－夜勤")+COUNTIF('10月'!CK29:CL29,"三軒茶屋－夜勤")+COUNTIF('10月'!CP29:CQ29,"三軒茶屋－夜勤")+COUNTIF('10月'!CU29:CV29,"三軒茶屋－夜勤")+COUNTIF('10月'!CZ29:DA29,"三軒茶屋－夜勤")+COUNTIF('10月'!DE29:DF29,"三軒茶屋－夜勤")+COUNTIF('10月'!DJ29:DK29,"三軒茶屋－夜勤")+COUNTIF('10月'!DO29:DP29,"三軒茶屋－夜勤")+COUNTIF('10月'!DT29:DU29,"三軒茶屋－夜勤")+COUNTIF('10月'!DY29:DZ29,"三軒茶屋－夜勤")+COUNTIF('10月'!ED29:EE29,"三軒茶屋－夜勤")+COUNTIF('10月'!EI29:EJ29,"三軒茶屋－夜勤")+COUNTIF('10月'!EN29:EO29,"三軒茶屋－夜勤")+COUNTIF('10月'!ES29:ET29,"三軒茶屋－夜勤")</f>
        <v>0</v>
      </c>
      <c r="O364" s="76">
        <f t="shared" si="114"/>
        <v>0</v>
      </c>
      <c r="P364" s="76">
        <f>COUNTIF('10月'!D29:E29,P$337)+COUNTIF('10月'!I29:J29,P$337)+COUNTIF('10月'!N29:O29,P$337)+COUNTIF('10月'!S29:T29,P$337)+COUNTIF('10月'!X29:Y29,P$337)+COUNTIF('10月'!AC29:AD29,P$337)+COUNTIF('10月'!AH29:AI29,P$337)+COUNTIF('10月'!AM29:AN29,P$337)+COUNTIF('10月'!AR29:AS29,P$337)+COUNTIF('10月'!AW29:AX29,P$337)+COUNTIF('10月'!BB29:BC29,P$337)+COUNTIF('10月'!BG29:BH29,P$337)+COUNTIF('10月'!BL29:BM29,P$337)+COUNTIF('10月'!BQ29:BR29,P$337)+COUNTIF('10月'!BV29:BW29,P$337)+COUNTIF('10月'!CA29:CB29,P$337)+COUNTIF('10月'!CF29:CG29,P$337)+COUNTIF('10月'!CK29:CL29,P$337)+COUNTIF('10月'!CP29:CQ29,P$337)+COUNTIF('10月'!CU29:CV29,P$337)+COUNTIF('10月'!CZ29:DA29,P$337)+COUNTIF('10月'!DE29:DF29,P$337)+COUNTIF('10月'!DJ29:DK29,P$337)+COUNTIF('10月'!DO29:DP29,P$337)+COUNTIF('10月'!DT29:DU29,P$337)+COUNTIF('10月'!DY29:DZ29,P$337)+COUNTIF('10月'!ED29:EE29,P$337)+COUNTIF('10月'!EI29:EJ29,P$337)+COUNTIF('10月'!EN29:EO29,P$337)+COUNTIF('10月'!ES29:ET29,P$337)+COUNTIF('10月'!D29:E29,"荻窪ー夜勤")+COUNTIF('10月'!I29:J29,"荻窪ー夜勤")+COUNTIF('10月'!N29:O29,"荻窪ー夜勤")+COUNTIF('10月'!S29:T29,"荻窪ー夜勤")+COUNTIF('10月'!X29:Y29,"荻窪ー夜勤")+COUNTIF('10月'!AC29:AD29,"荻窪ー夜勤")+COUNTIF('10月'!AH29:AI29,"荻窪ー夜勤")+COUNTIF('10月'!AM29:AN29,"荻窪ー夜勤")+COUNTIF('10月'!AR29:AS29,"荻窪ー夜勤")+COUNTIF('10月'!AW29:AX29,"荻窪ー夜勤")+COUNTIF('10月'!BB29:BC29,"荻窪ー夜勤")+COUNTIF('10月'!BG29:BH29,"荻窪ー夜勤")+COUNTIF('10月'!BL29:BM29,"荻窪ー夜勤")+COUNTIF('10月'!BQ29:BR29,"荻窪ー夜勤")+COUNTIF('10月'!BV29:BW29,"荻窪ー夜勤")+COUNTIF('10月'!CA29:CB29,"荻窪ー夜勤")+COUNTIF('10月'!CF29:CG29,"荻窪ー夜勤")+COUNTIF('10月'!CK29:CL29,"荻窪ー夜勤")+COUNTIF('10月'!CP29:CQ29,"荻窪ー夜勤")+COUNTIF('10月'!CU29:CV29,"荻窪ー夜勤")+COUNTIF('10月'!CZ29:DA29,"荻窪ー夜勤")+COUNTIF('10月'!DE29:DF29,"荻窪ー夜勤")+COUNTIF('10月'!DJ29:DK29,"荻窪ー夜勤")+COUNTIF('10月'!DO29:DP29,"荻窪ー夜勤")+COUNTIF('10月'!DT29:DU29,"荻窪ー夜勤")+COUNTIF('10月'!DY29:DZ29,"荻窪ー夜勤")+COUNTIF('10月'!ED29:EE29,"荻窪ー夜勤")+COUNTIF('10月'!EI29:EJ29,"荻窪ー夜勤")+COUNTIF('10月'!EN29:EO29,"荻窪ー夜勤")+COUNTIF('10月'!ES29:ET29,"荻窪ー夜勤")</f>
        <v>0</v>
      </c>
      <c r="Q364" s="76">
        <f t="shared" si="115"/>
        <v>0</v>
      </c>
      <c r="R364" s="76">
        <f>COUNTIF('10月'!D29:E29,R$337)+COUNTIF('10月'!I29:J29,R$337)+COUNTIF('10月'!N29:O29,R$337)+COUNTIF('10月'!S29:T29,R$337)+COUNTIF('10月'!X29:Y29,R$337)+COUNTIF('10月'!AC29:AD29,R$337)+COUNTIF('10月'!AH29:AI29,R$337)+COUNTIF('10月'!AM29:AN29,R$337)+COUNTIF('10月'!AR29:AS29,R$337)+COUNTIF('10月'!AW29:AX29,R$337)+COUNTIF('10月'!BB29:BC29,R$337)+COUNTIF('10月'!BG29:BH29,R$337)+COUNTIF('10月'!BL29:BM29,R$337)+COUNTIF('10月'!BQ29:BR29,R$337)+COUNTIF('10月'!BV29:BW29,R$337)+COUNTIF('10月'!CA29:CB29,R$337)+COUNTIF('10月'!CF29:CG29,R$337)+COUNTIF('10月'!CK29:CL29,R$337)+COUNTIF('10月'!CP29:CQ29,R$337)+COUNTIF('10月'!CU29:CV29,R$337)+COUNTIF('10月'!CZ29:DA29,R$337)+COUNTIF('10月'!DE29:DF29,R$337)+COUNTIF('10月'!DJ29:DK29,R$337)+COUNTIF('10月'!DO29:DP29,R$337)+COUNTIF('10月'!DT29:DU29,R$337)+COUNTIF('10月'!DY29:DZ29,R$337)+COUNTIF('10月'!ED29:EE29,R$337)+COUNTIF('10月'!EI29:EJ29,R$337)+COUNTIF('10月'!EN29:EO29,R$337)+COUNTIF('10月'!ES29:ET29,R$337)</f>
        <v>0</v>
      </c>
      <c r="S364" s="76">
        <f t="shared" si="116"/>
        <v>0</v>
      </c>
      <c r="T364" s="76">
        <f>COUNTIF('10月'!D29:E29,T$337)+COUNTIF('10月'!I29:J29,T$337)+COUNTIF('10月'!N29:O29,T$337)+COUNTIF('10月'!S29:T29,T$337)+COUNTIF('10月'!X29:Y29,T$337)+COUNTIF('10月'!AC29:AD29,T$337)+COUNTIF('10月'!AH29:AI29,T$337)+COUNTIF('10月'!AM29:AN29,T$337)+COUNTIF('10月'!AR29:AS29,T$337)+COUNTIF('10月'!AW29:AX29,T$337)+COUNTIF('10月'!BB29:BC29,T$337)+COUNTIF('10月'!BG29:BH29,T$337)+COUNTIF('10月'!BL29:BM29,T$337)+COUNTIF('10月'!BQ29:BR29,T$337)+COUNTIF('10月'!BV29:BW29,T$337)+COUNTIF('10月'!CA29:CB29,T$337)+COUNTIF('10月'!CF29:CG29,T$337)+COUNTIF('10月'!CK29:CL29,T$337)+COUNTIF('10月'!CP29:CQ29,T$337)+COUNTIF('10月'!CU29:CV29,T$337)+COUNTIF('10月'!CZ29:DA29,T$337)+COUNTIF('10月'!DE29:DF29,T$337)+COUNTIF('10月'!DJ29:DK29,T$337)+COUNTIF('10月'!DO29:DP29,T$337)+COUNTIF('10月'!DT29:DU29,T$337)+COUNTIF('10月'!DY29:DZ29,T$337)+COUNTIF('10月'!ED29:EE29,T$337)+COUNTIF('10月'!EI29:EJ29,T$337)+COUNTIF('10月'!EN29:EO29,T$337)+COUNTIF('10月'!ES29:ET29,T$337)</f>
        <v>0</v>
      </c>
      <c r="U364" s="76">
        <f t="shared" si="117"/>
        <v>0</v>
      </c>
      <c r="V364" s="76">
        <f>COUNTIF('10月'!D29:E29,V$337)+COUNTIF('10月'!I29:J29,V$337)+COUNTIF('10月'!N29:O29,V$337)+COUNTIF('10月'!S29:T29,V$337)+COUNTIF('10月'!X29:Y29,V$337)+COUNTIF('10月'!AC29:AD29,V$337)+COUNTIF('10月'!AH29:AI29,V$337)+COUNTIF('10月'!AM29:AN29,V$337)+COUNTIF('10月'!AR29:AS29,V$337)+COUNTIF('10月'!AW29:AX29,V$337)+COUNTIF('10月'!BB29:BC29,V$337)+COUNTIF('10月'!BG29:BH29,V$337)+COUNTIF('10月'!BL29:BM29,V$337)+COUNTIF('10月'!BQ29:BR29,V$337)+COUNTIF('10月'!BV29:BW29,V$337)+COUNTIF('10月'!CA29:CB29,V$337)+COUNTIF('10月'!CF29:CG29,V$337)+COUNTIF('10月'!CK29:CL29,V$337)+COUNTIF('10月'!CP29:CQ29,V$337)+COUNTIF('10月'!CU29:CV29,V$337)+COUNTIF('10月'!CZ29:DA29,V$337)+COUNTIF('10月'!DE29:DF29,V$337)+COUNTIF('10月'!DJ29:DK29,V$337)+COUNTIF('10月'!DO29:DP29,V$337)+COUNTIF('10月'!DT29:DU29,V$337)+COUNTIF('10月'!DY29:DZ29,V$337)+COUNTIF('10月'!ED29:EE29,V$337)+COUNTIF('10月'!EI29:EJ29,V$337)+COUNTIF('10月'!EN29:EO29,V$337)+COUNTIF('10月'!ES29:ET29,V$337)</f>
        <v>0</v>
      </c>
      <c r="W364" s="76">
        <f t="shared" si="118"/>
        <v>0</v>
      </c>
      <c r="X364" s="76">
        <f>COUNTIF('10月'!D29:E29,X$337)+COUNTIF('10月'!I29:J29,X$337)+COUNTIF('10月'!N29:O29,X$337)+COUNTIF('10月'!S29:T29,X$337)+COUNTIF('10月'!X29:Y29,X$337)+COUNTIF('10月'!AC29:AD29,X$337)+COUNTIF('10月'!AH29:AI29,X$337)+COUNTIF('10月'!AM29:AN29,X$337)+COUNTIF('10月'!AR29:AS29,X$337)+COUNTIF('10月'!AW29:AX29,X$337)+COUNTIF('10月'!BB29:BC29,X$337)+COUNTIF('10月'!BG29:BH29,X$337)+COUNTIF('10月'!BL29:BM29,X$337)+COUNTIF('10月'!BQ29:BR29,X$337)+COUNTIF('10月'!BV29:BW29,X$337)+COUNTIF('10月'!CA29:CB29,X$337)+COUNTIF('10月'!CF29:CG29,X$337)+COUNTIF('10月'!CK29:CL29,X$337)+COUNTIF('10月'!CP29:CQ29,X$337)+COUNTIF('10月'!CU29:CV29,X$337)+COUNTIF('10月'!CZ29:DA29,X$337)+COUNTIF('10月'!DE29:DF29,X$337)+COUNTIF('10月'!DJ29:DK29,X$337)+COUNTIF('10月'!DO29:DP29,X$337)+COUNTIF('10月'!DT29:DU29,X$337)+COUNTIF('10月'!DY29:DZ29,X$337)+COUNTIF('10月'!ED29:EE29,X$337)+COUNTIF('10月'!EI29:EJ29,X$337)+COUNTIF('10月'!EN29:EO29,X$337)+COUNTIF('10月'!ES29:ET29,X$337)</f>
        <v>0</v>
      </c>
      <c r="Y364" s="76">
        <f t="shared" si="119"/>
        <v>0</v>
      </c>
    </row>
    <row r="365" spans="1:25" ht="18" customHeight="1">
      <c r="A365" s="76">
        <v>27</v>
      </c>
      <c r="B365" s="76">
        <f>COUNTIF('10月'!D30:E30,B$337)+COUNTIF('10月'!I30:J30,B$337)+COUNTIF('10月'!N30:O30,B$337)+COUNTIF('10月'!S30:T30,B$337)+COUNTIF('10月'!X30:Y30,B$337)+COUNTIF('10月'!AC30:AD30,B$337)+COUNTIF('10月'!AH30:AI30,B$337)+COUNTIF('10月'!AM30:AN30,B$337)+COUNTIF('10月'!AR30:AS30,B$337)+COUNTIF('10月'!AW30:AX30,B$337)+COUNTIF('10月'!BB30:BC30,B$337)+COUNTIF('10月'!BG30:BH30,B$337)+COUNTIF('10月'!BL30:BM30,B$337)+COUNTIF('10月'!BQ30:BR30,B$337)+COUNTIF('10月'!BV30:BW30,B$337)+COUNTIF('10月'!CA30:CB30,B$337)+COUNTIF('10月'!CF30:CG30,B$337)+COUNTIF('10月'!CK30:CL30,B$337)+COUNTIF('10月'!CP30:CQ30,B$337)+COUNTIF('10月'!CU30:CV30,B$337)+COUNTIF('10月'!CZ30:DA30,B$337)+COUNTIF('10月'!DE30:DF30,B$337)+COUNTIF('10月'!DJ30:DK30,B$337)+COUNTIF('10月'!DO30:DP30,B$337)+COUNTIF('10月'!DT30:DU30,B$337)+COUNTIF('10月'!DY30:DZ30,B$337)+COUNTIF('10月'!ED30:EE30,B$337)+COUNTIF('10月'!EI30:EJ30,B$337)+COUNTIF('10月'!EN30:EO30,B$337)+COUNTIF('10月'!ES30:ET30,B$337)</f>
        <v>0</v>
      </c>
      <c r="C365" s="76">
        <f t="shared" si="108"/>
        <v>0</v>
      </c>
      <c r="D365" s="76">
        <f>COUNTIF('10月'!D30:E30,D$337)+COUNTIF('10月'!I30:J30,D$337)+COUNTIF('10月'!N30:O30,D$337)+COUNTIF('10月'!S30:T30,D$337)+COUNTIF('10月'!X30:Y30,D$337)+COUNTIF('10月'!AC30:AD30,D$337)+COUNTIF('10月'!AH30:AI30,D$337)+COUNTIF('10月'!AM30:AN30,D$337)+COUNTIF('10月'!AR30:AS30,D$337)+COUNTIF('10月'!AW30:AX30,D$337)+COUNTIF('10月'!BB30:BC30,D$337)+COUNTIF('10月'!BG30:BH30,D$337)+COUNTIF('10月'!BL30:BM30,D$337)+COUNTIF('10月'!BQ30:BR30,D$337)+COUNTIF('10月'!BV30:BW30,D$337)+COUNTIF('10月'!CA30:CB30,D$337)+COUNTIF('10月'!CF30:CG30,D$337)+COUNTIF('10月'!CK30:CL30,D$337)+COUNTIF('10月'!CP30:CQ30,D$337)+COUNTIF('10月'!CU30:CV30,D$337)+COUNTIF('10月'!CZ30:DA30,D$337)+COUNTIF('10月'!DE30:DF30,D$337)+COUNTIF('10月'!DJ30:DK30,D$337)+COUNTIF('10月'!DO30:DP30,D$337)+COUNTIF('10月'!DT30:DU30,D$337)+COUNTIF('10月'!DY30:DZ30,D$337)+COUNTIF('10月'!ED30:EE30,D$337)+COUNTIF('10月'!EI30:EJ30,D$337)+COUNTIF('10月'!EN30:EO30,D$337)+COUNTIF('10月'!ES30:ET30,D$337)</f>
        <v>0</v>
      </c>
      <c r="E365" s="76">
        <f t="shared" si="109"/>
        <v>0</v>
      </c>
      <c r="F365" s="76">
        <f>COUNTIF('10月'!D30:E30,F$337)+COUNTIF('10月'!I30:J30,F$337)+COUNTIF('10月'!N30:O30,F$337)+COUNTIF('10月'!S30:T30,F$337)+COUNTIF('10月'!X30:Y30,F$337)+COUNTIF('10月'!AC30:AD30,F$337)+COUNTIF('10月'!AH30:AI30,F$337)+COUNTIF('10月'!AM30:AN30,F$337)+COUNTIF('10月'!AR30:AS30,F$337)+COUNTIF('10月'!AW30:AX30,F$337)+COUNTIF('10月'!BB30:BC30,F$337)+COUNTIF('10月'!BG30:BH30,F$337)+COUNTIF('10月'!BL30:BM30,F$337)+COUNTIF('10月'!BQ30:BR30,F$337)+COUNTIF('10月'!BV30:BW30,F$337)+COUNTIF('10月'!CA30:CB30,F$337)+COUNTIF('10月'!CF30:CG30,F$337)+COUNTIF('10月'!CK30:CL30,F$337)+COUNTIF('10月'!CP30:CQ30,F$337)+COUNTIF('10月'!CU30:CV30,F$337)+COUNTIF('10月'!CZ30:DA30,F$337)+COUNTIF('10月'!DE30:DF30,F$337)+COUNTIF('10月'!DJ30:DK30,F$337)+COUNTIF('10月'!DO30:DP30,F$337)+COUNTIF('10月'!DT30:DU30,F$337)+COUNTIF('10月'!DY30:DZ30,F$337)+COUNTIF('10月'!ED30:EE30,F$337)+COUNTIF('10月'!EI30:EJ30,F$337)+COUNTIF('10月'!EN30:EO30,F$337)+COUNTIF('10月'!ES30:ET30,F$337)</f>
        <v>0</v>
      </c>
      <c r="G365" s="76">
        <f t="shared" si="110"/>
        <v>0</v>
      </c>
      <c r="H365" s="76">
        <f>COUNTIF('10月'!D30:E30,H$337)+COUNTIF('10月'!I30:J30,H$337)+COUNTIF('10月'!N30:O30,H$337)+COUNTIF('10月'!S30:T30,H$337)+COUNTIF('10月'!X30:Y30,H$337)+COUNTIF('10月'!AC30:AD30,H$337)+COUNTIF('10月'!AH30:AI30,H$337)+COUNTIF('10月'!AM30:AN30,H$337)+COUNTIF('10月'!AR30:AS30,H$337)+COUNTIF('10月'!AW30:AX30,H$337)+COUNTIF('10月'!BB30:BC30,H$337)+COUNTIF('10月'!BG30:BH30,H$337)+COUNTIF('10月'!BL30:BM30,H$337)+COUNTIF('10月'!BQ30:BR30,H$337)+COUNTIF('10月'!BV30:BW30,H$337)+COUNTIF('10月'!CA30:CB30,H$337)+COUNTIF('10月'!CF30:CG30,H$337)+COUNTIF('10月'!CK30:CL30,H$337)+COUNTIF('10月'!CP30:CQ30,H$337)+COUNTIF('10月'!CU30:CV30,H$337)+COUNTIF('10月'!CZ30:DA30,H$337)+COUNTIF('10月'!DE30:DF30,H$337)+COUNTIF('10月'!DJ30:DK30,H$337)+COUNTIF('10月'!DO30:DP30,H$337)+COUNTIF('10月'!DT30:DU30,H$337)+COUNTIF('10月'!DY30:DZ30,H$337)+COUNTIF('10月'!ED30:EE30,H$337)+COUNTIF('10月'!EI30:EJ30,H$337)+COUNTIF('10月'!EN30:EO30,H$337)+COUNTIF('10月'!ES30:ET30,H$337)+COUNTIF('10月'!D30:E30,"渋谷-夜勤")+COUNTIF('10月'!I30:J30,"渋谷-夜勤")+COUNTIF('10月'!N30:O30,"渋谷-夜勤")+COUNTIF('10月'!S30:T30,"渋谷-夜勤")+COUNTIF('10月'!X30:Y30,"渋谷-夜勤")+COUNTIF('10月'!AC30:AD30,"渋谷-夜勤")+COUNTIF('10月'!AH30:AI30,"渋谷-夜勤")+COUNTIF('10月'!AM30:AN30,"渋谷-夜勤")+COUNTIF('10月'!AR30:AS30,"渋谷-夜勤")+COUNTIF('10月'!AW30:AX30,"渋谷-夜勤")+COUNTIF('10月'!BB30:BC30,"渋谷-夜勤")+COUNTIF('10月'!BG30:BH30,"渋谷-夜勤")+COUNTIF('10月'!BL30:BM30,"渋谷-夜勤")+COUNTIF('10月'!BQ30:BR30,"渋谷-夜勤")+COUNTIF('10月'!BV30:BW30,"渋谷-夜勤")+COUNTIF('10月'!CA30:CB30,"渋谷-夜勤")+COUNTIF('10月'!CF30:CG30,"渋谷-夜勤")+COUNTIF('10月'!CK30:CL30,"渋谷-夜勤")+COUNTIF('10月'!CP30:CQ30,"渋谷-夜勤")+COUNTIF('10月'!CU30:CV30,"渋谷-夜勤")+COUNTIF('10月'!CZ30:DA30,"渋谷-夜勤")+COUNTIF('10月'!DE30:DF30,"渋谷-夜勤")+COUNTIF('10月'!DJ30:DK30,"渋谷-夜勤")+COUNTIF('10月'!DO30:DP30,"渋谷-夜勤")+COUNTIF('10月'!DT30:DU30,"渋谷-夜勤")+COUNTIF('10月'!DY30:DZ30,"渋谷-夜勤")+COUNTIF('10月'!ED30:EE30,"渋谷-夜勤")+COUNTIF('10月'!EI30:EJ30,"渋谷-夜勤")+COUNTIF('10月'!EN30:EO30,"渋谷-夜勤")+COUNTIF('10月'!ES30:ET30,"渋谷-夜勤")</f>
        <v>0</v>
      </c>
      <c r="I365" s="76">
        <f t="shared" si="111"/>
        <v>0</v>
      </c>
      <c r="J365" s="76">
        <f>COUNTIF('10月'!D30:E30,J$337)+COUNTIF('10月'!I30:J30,J$337)+COUNTIF('10月'!N30:O30,J$337)+COUNTIF('10月'!S30:T30,J$337)+COUNTIF('10月'!X30:Y30,J$337)+COUNTIF('10月'!AC30:AD30,J$337)+COUNTIF('10月'!AH30:AI30,J$337)+COUNTIF('10月'!AM30:AN30,J$337)+COUNTIF('10月'!AR30:AS30,J$337)+COUNTIF('10月'!AW30:AX30,J$337)+COUNTIF('10月'!BB30:BC30,J$337)+COUNTIF('10月'!BG30:BH30,J$337)+COUNTIF('10月'!BL30:BM30,J$337)+COUNTIF('10月'!BQ30:BR30,J$337)+COUNTIF('10月'!BV30:BW30,J$337)+COUNTIF('10月'!CA30:CB30,J$337)+COUNTIF('10月'!CF30:CG30,J$337)+COUNTIF('10月'!CK30:CL30,J$337)+COUNTIF('10月'!CP30:CQ30,J$337)+COUNTIF('10月'!CU30:CV30,J$337)+COUNTIF('10月'!CZ30:DA30,J$337)+COUNTIF('10月'!DE30:DF30,J$337)+COUNTIF('10月'!DJ30:DK30,J$337)+COUNTIF('10月'!DO30:DP30,J$337)+COUNTIF('10月'!DT30:DU30,J$337)+COUNTIF('10月'!DY30:DZ30,J$337)+COUNTIF('10月'!ED30:EE30,J$337)+COUNTIF('10月'!EI30:EJ30,J$337)+COUNTIF('10月'!EN30:EO30,J$337)+COUNTIF('10月'!ES30:ET30,J$337)+COUNTIF('10月'!D30:E30,"六本木-夜勤")+COUNTIF('10月'!I30:J30,"六本木-夜勤")+COUNTIF('10月'!N30:O30,"六本木-夜勤")+COUNTIF('10月'!S30:T30,"六本木-夜勤")+COUNTIF('10月'!X30:Y30,"六本木-夜勤")+COUNTIF('10月'!AC30:AD30,"六本木-夜勤")+COUNTIF('10月'!AH30:AI30,"六本木-夜勤")+COUNTIF('10月'!AM30:AN30,"六本木-夜勤")+COUNTIF('10月'!AR30:AS30,"六本木-夜勤")+COUNTIF('10月'!AW30:AX30,"六本木-夜勤")+COUNTIF('10月'!BB30:BC30,"六本木-夜勤")+COUNTIF('10月'!BG30:BH30,"六本木-夜勤")+COUNTIF('10月'!BL30:BM30,"六本木-夜勤")+COUNTIF('10月'!BQ30:BR30,"六本木-夜勤")+COUNTIF('10月'!BV30:BW30,"六本木-夜勤")+COUNTIF('10月'!CA30:CB30,"六本木-夜勤")+COUNTIF('10月'!CF30:CG30,"六本木-夜勤")+COUNTIF('10月'!CK30:CL30,"六本木-夜勤")+COUNTIF('10月'!CP30:CQ30,"六本木-夜勤")+COUNTIF('10月'!CU30:CV30,"六本木-夜勤")+COUNTIF('10月'!CZ30:DA30,"六本木-夜勤")+COUNTIF('10月'!DE30:DF30,"六本木-夜勤")+COUNTIF('10月'!DJ30:DK30,"六本木-夜勤")+COUNTIF('10月'!DO30:DP30,"六本木-夜勤")+COUNTIF('10月'!DT30:DU30,"六本木-夜勤")+COUNTIF('10月'!DY30:DZ30,"六本木-夜勤")+COUNTIF('10月'!ED30:EE30,"六本木-夜勤")+COUNTIF('10月'!EI30:EJ30,"六本木-夜勤")+COUNTIF('10月'!EN30:EO30,"六本木-夜勤")+COUNTIF('10月'!ES30:ET30,"六本木-夜勤")+COUNTIF('10月'!D30:E30,"六本木ー夜勤")+COUNTIF('10月'!I30:J30,"六本木ー夜勤")+COUNTIF('10月'!N30:O30,"六本木ー夜勤")+COUNTIF('10月'!S30:T30,"六本木ー夜勤")+COUNTIF('10月'!X30:Y30,"六本木ー夜勤")+COUNTIF('10月'!AC30:AD30,"六本木ー夜勤")+COUNTIF('10月'!AH30:AI30,"六本木ー夜勤")+COUNTIF('10月'!AM30:AN30,"六本木ー夜勤")+COUNTIF('10月'!AR30:AS30,"六本木ー夜勤")+COUNTIF('10月'!AW30:AX30,"六本木ー夜勤")+COUNTIF('10月'!BB30:BC30,"六本木ー夜勤")+COUNTIF('10月'!BG30:BH30,"六本木ー夜勤")+COUNTIF('10月'!BL30:BM30,"六本木ー夜勤")+COUNTIF('10月'!BQ30:BR30,"六本木ー夜勤")+COUNTIF('10月'!BV30:BW30,"六本木ー夜勤")+COUNTIF('10月'!CA30:CB30,"六本木ー夜勤")+COUNTIF('10月'!CF30:CG30,"六本木ー夜勤")+COUNTIF('10月'!CK30:CL30,"六本木ー夜勤")+COUNTIF('10月'!CP30:CQ30,"六本木ー夜勤")+COUNTIF('10月'!CU30:CV30,"六本木ー夜勤")+COUNTIF('10月'!CZ30:DA30,"六本木ー夜勤")+COUNTIF('10月'!DE30:DF30,"六本木ー夜勤")+COUNTIF('10月'!DJ30:DK30,"六本木ー夜勤")+COUNTIF('10月'!DO30:DP30,"六本木ー夜勤")+COUNTIF('10月'!DT30:DU30,"六本木ー夜勤")+COUNTIF('10月'!DY30:DZ30,"六本木ー夜勤")+COUNTIF('10月'!ED30:EE30,"六本木ー夜勤")+COUNTIF('10月'!EI30:EJ30,"六本木ー夜勤")+COUNTIF('10月'!EN30:EO30,"六本木ー夜勤")+COUNTIF('10月'!ES30:ET30,"六本木ー夜勤")</f>
        <v>0</v>
      </c>
      <c r="K365" s="76">
        <f t="shared" si="112"/>
        <v>0</v>
      </c>
      <c r="L365" s="76">
        <f>COUNTIF('10月'!D30:E30,L$337)+COUNTIF('10月'!I30:J30,L$337)+COUNTIF('10月'!N30:O30,L$337)+COUNTIF('10月'!S30:T30,L$337)+COUNTIF('10月'!X30:Y30,L$337)+COUNTIF('10月'!AC30:AD30,L$337)+COUNTIF('10月'!AH30:AI30,L$337)+COUNTIF('10月'!AM30:AN30,L$337)+COUNTIF('10月'!AR30:AS30,L$337)+COUNTIF('10月'!AW30:AX30,L$337)+COUNTIF('10月'!BB30:BC30,L$337)+COUNTIF('10月'!BG30:BH30,L$337)+COUNTIF('10月'!BL30:BM30,L$337)+COUNTIF('10月'!BQ30:BR30,L$337)+COUNTIF('10月'!BV30:BW30,L$337)+COUNTIF('10月'!CA30:CB30,L$337)+COUNTIF('10月'!CF30:CG30,L$337)+COUNTIF('10月'!CK30:CL30,L$337)+COUNTIF('10月'!CP30:CQ30,L$337)+COUNTIF('10月'!CU30:CV30,L$337)+COUNTIF('10月'!CZ30:DA30,L$337)+COUNTIF('10月'!DE30:DF30,L$337)+COUNTIF('10月'!DJ30:DK30,L$337)+COUNTIF('10月'!DO30:DP30,L$337)+COUNTIF('10月'!DT30:DU30,L$337)+COUNTIF('10月'!DY30:DZ30,L$337)+COUNTIF('10月'!ED30:EE30,L$337)+COUNTIF('10月'!EI30:EJ30,L$337)+COUNTIF('10月'!EN30:EO30,L$337)+COUNTIF('10月'!ES30:ET30,L$337)</f>
        <v>0</v>
      </c>
      <c r="M365" s="76">
        <f t="shared" si="113"/>
        <v>0</v>
      </c>
      <c r="N365" s="76">
        <f>COUNTIF('10月'!D30:E30,N$337)+COUNTIF('10月'!I30:J30,N$337)+COUNTIF('10月'!N30:O30,N$337)+COUNTIF('10月'!S30:T30,N$337)+COUNTIF('10月'!X30:Y30,N$337)+COUNTIF('10月'!AC30:AD30,N$337)+COUNTIF('10月'!AH30:AI30,N$337)+COUNTIF('10月'!AM30:AN30,N$337)+COUNTIF('10月'!AR30:AS30,N$337)+COUNTIF('10月'!AW30:AX30,N$337)+COUNTIF('10月'!BB30:BC30,N$337)+COUNTIF('10月'!BG30:BH30,N$337)+COUNTIF('10月'!BL30:BM30,N$337)+COUNTIF('10月'!BQ30:BR30,N$337)+COUNTIF('10月'!BV30:BW30,N$337)+COUNTIF('10月'!CA30:CB30,N$337)+COUNTIF('10月'!CF30:CG30,N$337)+COUNTIF('10月'!CK30:CL30,N$337)+COUNTIF('10月'!CP30:CQ30,N$337)+COUNTIF('10月'!CU30:CV30,N$337)+COUNTIF('10月'!CZ30:DA30,N$337)+COUNTIF('10月'!DE30:DF30,N$337)+COUNTIF('10月'!DJ30:DK30,N$337)+COUNTIF('10月'!DO30:DP30,N$337)+COUNTIF('10月'!DT30:DU30,N$337)+COUNTIF('10月'!DY30:DZ30,N$337)+COUNTIF('10月'!ED30:EE30,N$337)+COUNTIF('10月'!EI30:EJ30,N$337)+COUNTIF('10月'!EN30:EO30,N$337)+COUNTIF('10月'!ES30:ET30,N$337)+COUNTIF('10月'!D30:E30,"三軒茶屋－夜勤")+COUNTIF('10月'!I30:J30,"三軒茶屋－夜勤")+COUNTIF('10月'!N30:O30,"三軒茶屋－夜勤")+COUNTIF('10月'!S30:T30,"三軒茶屋－夜勤")+COUNTIF('10月'!X30:Y30,"三軒茶屋－夜勤")+COUNTIF('10月'!AC30:AD30,"三軒茶屋－夜勤")+COUNTIF('10月'!AH30:AI30,"三軒茶屋－夜勤")+COUNTIF('10月'!AM30:AN30,"三軒茶屋－夜勤")+COUNTIF('10月'!AR30:AS30,"三軒茶屋－夜勤")+COUNTIF('10月'!AW30:AX30,"三軒茶屋－夜勤")+COUNTIF('10月'!BB30:BC30,"三軒茶屋－夜勤")+COUNTIF('10月'!BG30:BH30,"三軒茶屋－夜勤")+COUNTIF('10月'!BL30:BM30,"三軒茶屋－夜勤")+COUNTIF('10月'!BQ30:BR30,"三軒茶屋－夜勤")+COUNTIF('10月'!BV30:BW30,"三軒茶屋－夜勤")+COUNTIF('10月'!CA30:CB30,"三軒茶屋－夜勤")+COUNTIF('10月'!CF30:CG30,"三軒茶屋－夜勤")+COUNTIF('10月'!CK30:CL30,"三軒茶屋－夜勤")+COUNTIF('10月'!CP30:CQ30,"三軒茶屋－夜勤")+COUNTIF('10月'!CU30:CV30,"三軒茶屋－夜勤")+COUNTIF('10月'!CZ30:DA30,"三軒茶屋－夜勤")+COUNTIF('10月'!DE30:DF30,"三軒茶屋－夜勤")+COUNTIF('10月'!DJ30:DK30,"三軒茶屋－夜勤")+COUNTIF('10月'!DO30:DP30,"三軒茶屋－夜勤")+COUNTIF('10月'!DT30:DU30,"三軒茶屋－夜勤")+COUNTIF('10月'!DY30:DZ30,"三軒茶屋－夜勤")+COUNTIF('10月'!ED30:EE30,"三軒茶屋－夜勤")+COUNTIF('10月'!EI30:EJ30,"三軒茶屋－夜勤")+COUNTIF('10月'!EN30:EO30,"三軒茶屋－夜勤")+COUNTIF('10月'!ES30:ET30,"三軒茶屋－夜勤")</f>
        <v>0</v>
      </c>
      <c r="O365" s="76">
        <f t="shared" si="114"/>
        <v>0</v>
      </c>
      <c r="P365" s="76">
        <f>COUNTIF('10月'!D30:E30,P$337)+COUNTIF('10月'!I30:J30,P$337)+COUNTIF('10月'!N30:O30,P$337)+COUNTIF('10月'!S30:T30,P$337)+COUNTIF('10月'!X30:Y30,P$337)+COUNTIF('10月'!AC30:AD30,P$337)+COUNTIF('10月'!AH30:AI30,P$337)+COUNTIF('10月'!AM30:AN30,P$337)+COUNTIF('10月'!AR30:AS30,P$337)+COUNTIF('10月'!AW30:AX30,P$337)+COUNTIF('10月'!BB30:BC30,P$337)+COUNTIF('10月'!BG30:BH30,P$337)+COUNTIF('10月'!BL30:BM30,P$337)+COUNTIF('10月'!BQ30:BR30,P$337)+COUNTIF('10月'!BV30:BW30,P$337)+COUNTIF('10月'!CA30:CB30,P$337)+COUNTIF('10月'!CF30:CG30,P$337)+COUNTIF('10月'!CK30:CL30,P$337)+COUNTIF('10月'!CP30:CQ30,P$337)+COUNTIF('10月'!CU30:CV30,P$337)+COUNTIF('10月'!CZ30:DA30,P$337)+COUNTIF('10月'!DE30:DF30,P$337)+COUNTIF('10月'!DJ30:DK30,P$337)+COUNTIF('10月'!DO30:DP30,P$337)+COUNTIF('10月'!DT30:DU30,P$337)+COUNTIF('10月'!DY30:DZ30,P$337)+COUNTIF('10月'!ED30:EE30,P$337)+COUNTIF('10月'!EI30:EJ30,P$337)+COUNTIF('10月'!EN30:EO30,P$337)+COUNTIF('10月'!ES30:ET30,P$337)+COUNTIF('10月'!D30:E30,"荻窪ー夜勤")+COUNTIF('10月'!I30:J30,"荻窪ー夜勤")+COUNTIF('10月'!N30:O30,"荻窪ー夜勤")+COUNTIF('10月'!S30:T30,"荻窪ー夜勤")+COUNTIF('10月'!X30:Y30,"荻窪ー夜勤")+COUNTIF('10月'!AC30:AD30,"荻窪ー夜勤")+COUNTIF('10月'!AH30:AI30,"荻窪ー夜勤")+COUNTIF('10月'!AM30:AN30,"荻窪ー夜勤")+COUNTIF('10月'!AR30:AS30,"荻窪ー夜勤")+COUNTIF('10月'!AW30:AX30,"荻窪ー夜勤")+COUNTIF('10月'!BB30:BC30,"荻窪ー夜勤")+COUNTIF('10月'!BG30:BH30,"荻窪ー夜勤")+COUNTIF('10月'!BL30:BM30,"荻窪ー夜勤")+COUNTIF('10月'!BQ30:BR30,"荻窪ー夜勤")+COUNTIF('10月'!BV30:BW30,"荻窪ー夜勤")+COUNTIF('10月'!CA30:CB30,"荻窪ー夜勤")+COUNTIF('10月'!CF30:CG30,"荻窪ー夜勤")+COUNTIF('10月'!CK30:CL30,"荻窪ー夜勤")+COUNTIF('10月'!CP30:CQ30,"荻窪ー夜勤")+COUNTIF('10月'!CU30:CV30,"荻窪ー夜勤")+COUNTIF('10月'!CZ30:DA30,"荻窪ー夜勤")+COUNTIF('10月'!DE30:DF30,"荻窪ー夜勤")+COUNTIF('10月'!DJ30:DK30,"荻窪ー夜勤")+COUNTIF('10月'!DO30:DP30,"荻窪ー夜勤")+COUNTIF('10月'!DT30:DU30,"荻窪ー夜勤")+COUNTIF('10月'!DY30:DZ30,"荻窪ー夜勤")+COUNTIF('10月'!ED30:EE30,"荻窪ー夜勤")+COUNTIF('10月'!EI30:EJ30,"荻窪ー夜勤")+COUNTIF('10月'!EN30:EO30,"荻窪ー夜勤")+COUNTIF('10月'!ES30:ET30,"荻窪ー夜勤")</f>
        <v>0</v>
      </c>
      <c r="Q365" s="76">
        <f t="shared" si="115"/>
        <v>0</v>
      </c>
      <c r="R365" s="76">
        <f>COUNTIF('10月'!D30:E30,R$337)+COUNTIF('10月'!I30:J30,R$337)+COUNTIF('10月'!N30:O30,R$337)+COUNTIF('10月'!S30:T30,R$337)+COUNTIF('10月'!X30:Y30,R$337)+COUNTIF('10月'!AC30:AD30,R$337)+COUNTIF('10月'!AH30:AI30,R$337)+COUNTIF('10月'!AM30:AN30,R$337)+COUNTIF('10月'!AR30:AS30,R$337)+COUNTIF('10月'!AW30:AX30,R$337)+COUNTIF('10月'!BB30:BC30,R$337)+COUNTIF('10月'!BG30:BH30,R$337)+COUNTIF('10月'!BL30:BM30,R$337)+COUNTIF('10月'!BQ30:BR30,R$337)+COUNTIF('10月'!BV30:BW30,R$337)+COUNTIF('10月'!CA30:CB30,R$337)+COUNTIF('10月'!CF30:CG30,R$337)+COUNTIF('10月'!CK30:CL30,R$337)+COUNTIF('10月'!CP30:CQ30,R$337)+COUNTIF('10月'!CU30:CV30,R$337)+COUNTIF('10月'!CZ30:DA30,R$337)+COUNTIF('10月'!DE30:DF30,R$337)+COUNTIF('10月'!DJ30:DK30,R$337)+COUNTIF('10月'!DO30:DP30,R$337)+COUNTIF('10月'!DT30:DU30,R$337)+COUNTIF('10月'!DY30:DZ30,R$337)+COUNTIF('10月'!ED30:EE30,R$337)+COUNTIF('10月'!EI30:EJ30,R$337)+COUNTIF('10月'!EN30:EO30,R$337)+COUNTIF('10月'!ES30:ET30,R$337)</f>
        <v>0</v>
      </c>
      <c r="S365" s="76">
        <f t="shared" si="116"/>
        <v>0</v>
      </c>
      <c r="T365" s="76">
        <f>COUNTIF('10月'!D30:E30,T$337)+COUNTIF('10月'!I30:J30,T$337)+COUNTIF('10月'!N30:O30,T$337)+COUNTIF('10月'!S30:T30,T$337)+COUNTIF('10月'!X30:Y30,T$337)+COUNTIF('10月'!AC30:AD30,T$337)+COUNTIF('10月'!AH30:AI30,T$337)+COUNTIF('10月'!AM30:AN30,T$337)+COUNTIF('10月'!AR30:AS30,T$337)+COUNTIF('10月'!AW30:AX30,T$337)+COUNTIF('10月'!BB30:BC30,T$337)+COUNTIF('10月'!BG30:BH30,T$337)+COUNTIF('10月'!BL30:BM30,T$337)+COUNTIF('10月'!BQ30:BR30,T$337)+COUNTIF('10月'!BV30:BW30,T$337)+COUNTIF('10月'!CA30:CB30,T$337)+COUNTIF('10月'!CF30:CG30,T$337)+COUNTIF('10月'!CK30:CL30,T$337)+COUNTIF('10月'!CP30:CQ30,T$337)+COUNTIF('10月'!CU30:CV30,T$337)+COUNTIF('10月'!CZ30:DA30,T$337)+COUNTIF('10月'!DE30:DF30,T$337)+COUNTIF('10月'!DJ30:DK30,T$337)+COUNTIF('10月'!DO30:DP30,T$337)+COUNTIF('10月'!DT30:DU30,T$337)+COUNTIF('10月'!DY30:DZ30,T$337)+COUNTIF('10月'!ED30:EE30,T$337)+COUNTIF('10月'!EI30:EJ30,T$337)+COUNTIF('10月'!EN30:EO30,T$337)+COUNTIF('10月'!ES30:ET30,T$337)</f>
        <v>0</v>
      </c>
      <c r="U365" s="76">
        <f t="shared" si="117"/>
        <v>0</v>
      </c>
      <c r="V365" s="76">
        <f>COUNTIF('10月'!D30:E30,V$337)+COUNTIF('10月'!I30:J30,V$337)+COUNTIF('10月'!N30:O30,V$337)+COUNTIF('10月'!S30:T30,V$337)+COUNTIF('10月'!X30:Y30,V$337)+COUNTIF('10月'!AC30:AD30,V$337)+COUNTIF('10月'!AH30:AI30,V$337)+COUNTIF('10月'!AM30:AN30,V$337)+COUNTIF('10月'!AR30:AS30,V$337)+COUNTIF('10月'!AW30:AX30,V$337)+COUNTIF('10月'!BB30:BC30,V$337)+COUNTIF('10月'!BG30:BH30,V$337)+COUNTIF('10月'!BL30:BM30,V$337)+COUNTIF('10月'!BQ30:BR30,V$337)+COUNTIF('10月'!BV30:BW30,V$337)+COUNTIF('10月'!CA30:CB30,V$337)+COUNTIF('10月'!CF30:CG30,V$337)+COUNTIF('10月'!CK30:CL30,V$337)+COUNTIF('10月'!CP30:CQ30,V$337)+COUNTIF('10月'!CU30:CV30,V$337)+COUNTIF('10月'!CZ30:DA30,V$337)+COUNTIF('10月'!DE30:DF30,V$337)+COUNTIF('10月'!DJ30:DK30,V$337)+COUNTIF('10月'!DO30:DP30,V$337)+COUNTIF('10月'!DT30:DU30,V$337)+COUNTIF('10月'!DY30:DZ30,V$337)+COUNTIF('10月'!ED30:EE30,V$337)+COUNTIF('10月'!EI30:EJ30,V$337)+COUNTIF('10月'!EN30:EO30,V$337)+COUNTIF('10月'!ES30:ET30,V$337)</f>
        <v>0</v>
      </c>
      <c r="W365" s="76">
        <f t="shared" si="118"/>
        <v>0</v>
      </c>
      <c r="X365" s="76">
        <f>COUNTIF('10月'!D30:E30,X$337)+COUNTIF('10月'!I30:J30,X$337)+COUNTIF('10月'!N30:O30,X$337)+COUNTIF('10月'!S30:T30,X$337)+COUNTIF('10月'!X30:Y30,X$337)+COUNTIF('10月'!AC30:AD30,X$337)+COUNTIF('10月'!AH30:AI30,X$337)+COUNTIF('10月'!AM30:AN30,X$337)+COUNTIF('10月'!AR30:AS30,X$337)+COUNTIF('10月'!AW30:AX30,X$337)+COUNTIF('10月'!BB30:BC30,X$337)+COUNTIF('10月'!BG30:BH30,X$337)+COUNTIF('10月'!BL30:BM30,X$337)+COUNTIF('10月'!BQ30:BR30,X$337)+COUNTIF('10月'!BV30:BW30,X$337)+COUNTIF('10月'!CA30:CB30,X$337)+COUNTIF('10月'!CF30:CG30,X$337)+COUNTIF('10月'!CK30:CL30,X$337)+COUNTIF('10月'!CP30:CQ30,X$337)+COUNTIF('10月'!CU30:CV30,X$337)+COUNTIF('10月'!CZ30:DA30,X$337)+COUNTIF('10月'!DE30:DF30,X$337)+COUNTIF('10月'!DJ30:DK30,X$337)+COUNTIF('10月'!DO30:DP30,X$337)+COUNTIF('10月'!DT30:DU30,X$337)+COUNTIF('10月'!DY30:DZ30,X$337)+COUNTIF('10月'!ED30:EE30,X$337)+COUNTIF('10月'!EI30:EJ30,X$337)+COUNTIF('10月'!EN30:EO30,X$337)+COUNTIF('10月'!ES30:ET30,X$337)</f>
        <v>0</v>
      </c>
      <c r="Y365" s="76">
        <f t="shared" si="119"/>
        <v>0</v>
      </c>
    </row>
    <row r="366" spans="1:25" ht="18" customHeight="1">
      <c r="A366" s="76">
        <v>28</v>
      </c>
      <c r="B366" s="76">
        <f>COUNTIF('10月'!D31:E31,B$337)+COUNTIF('10月'!I31:J31,B$337)+COUNTIF('10月'!N31:O31,B$337)+COUNTIF('10月'!S31:T31,B$337)+COUNTIF('10月'!X31:Y31,B$337)+COUNTIF('10月'!AC31:AD31,B$337)+COUNTIF('10月'!AH31:AI31,B$337)+COUNTIF('10月'!AM31:AN31,B$337)+COUNTIF('10月'!AR31:AS31,B$337)+COUNTIF('10月'!AW31:AX31,B$337)+COUNTIF('10月'!BB31:BC31,B$337)+COUNTIF('10月'!BG31:BH31,B$337)+COUNTIF('10月'!BL31:BM31,B$337)+COUNTIF('10月'!BQ31:BR31,B$337)+COUNTIF('10月'!BV31:BW31,B$337)+COUNTIF('10月'!CA31:CB31,B$337)+COUNTIF('10月'!CF31:CG31,B$337)+COUNTIF('10月'!CK31:CL31,B$337)+COUNTIF('10月'!CP31:CQ31,B$337)+COUNTIF('10月'!CU31:CV31,B$337)+COUNTIF('10月'!CZ31:DA31,B$337)+COUNTIF('10月'!DE31:DF31,B$337)+COUNTIF('10月'!DJ31:DK31,B$337)+COUNTIF('10月'!DO31:DP31,B$337)+COUNTIF('10月'!DT31:DU31,B$337)+COUNTIF('10月'!DY31:DZ31,B$337)+COUNTIF('10月'!ED31:EE31,B$337)+COUNTIF('10月'!EI31:EJ31,B$337)+COUNTIF('10月'!EN31:EO31,B$337)+COUNTIF('10月'!ES31:ET31,B$337)</f>
        <v>0</v>
      </c>
      <c r="C366" s="76">
        <f t="shared" si="108"/>
        <v>0</v>
      </c>
      <c r="D366" s="76">
        <f>COUNTIF('10月'!D31:E31,D$337)+COUNTIF('10月'!I31:J31,D$337)+COUNTIF('10月'!N31:O31,D$337)+COUNTIF('10月'!S31:T31,D$337)+COUNTIF('10月'!X31:Y31,D$337)+COUNTIF('10月'!AC31:AD31,D$337)+COUNTIF('10月'!AH31:AI31,D$337)+COUNTIF('10月'!AM31:AN31,D$337)+COUNTIF('10月'!AR31:AS31,D$337)+COUNTIF('10月'!AW31:AX31,D$337)+COUNTIF('10月'!BB31:BC31,D$337)+COUNTIF('10月'!BG31:BH31,D$337)+COUNTIF('10月'!BL31:BM31,D$337)+COUNTIF('10月'!BQ31:BR31,D$337)+COUNTIF('10月'!BV31:BW31,D$337)+COUNTIF('10月'!CA31:CB31,D$337)+COUNTIF('10月'!CF31:CG31,D$337)+COUNTIF('10月'!CK31:CL31,D$337)+COUNTIF('10月'!CP31:CQ31,D$337)+COUNTIF('10月'!CU31:CV31,D$337)+COUNTIF('10月'!CZ31:DA31,D$337)+COUNTIF('10月'!DE31:DF31,D$337)+COUNTIF('10月'!DJ31:DK31,D$337)+COUNTIF('10月'!DO31:DP31,D$337)+COUNTIF('10月'!DT31:DU31,D$337)+COUNTIF('10月'!DY31:DZ31,D$337)+COUNTIF('10月'!ED31:EE31,D$337)+COUNTIF('10月'!EI31:EJ31,D$337)+COUNTIF('10月'!EN31:EO31,D$337)+COUNTIF('10月'!ES31:ET31,D$337)</f>
        <v>0</v>
      </c>
      <c r="E366" s="76">
        <f t="shared" si="109"/>
        <v>0</v>
      </c>
      <c r="F366" s="76">
        <f>COUNTIF('10月'!D31:E31,F$337)+COUNTIF('10月'!I31:J31,F$337)+COUNTIF('10月'!N31:O31,F$337)+COUNTIF('10月'!S31:T31,F$337)+COUNTIF('10月'!X31:Y31,F$337)+COUNTIF('10月'!AC31:AD31,F$337)+COUNTIF('10月'!AH31:AI31,F$337)+COUNTIF('10月'!AM31:AN31,F$337)+COUNTIF('10月'!AR31:AS31,F$337)+COUNTIF('10月'!AW31:AX31,F$337)+COUNTIF('10月'!BB31:BC31,F$337)+COUNTIF('10月'!BG31:BH31,F$337)+COUNTIF('10月'!BL31:BM31,F$337)+COUNTIF('10月'!BQ31:BR31,F$337)+COUNTIF('10月'!BV31:BW31,F$337)+COUNTIF('10月'!CA31:CB31,F$337)+COUNTIF('10月'!CF31:CG31,F$337)+COUNTIF('10月'!CK31:CL31,F$337)+COUNTIF('10月'!CP31:CQ31,F$337)+COUNTIF('10月'!CU31:CV31,F$337)+COUNTIF('10月'!CZ31:DA31,F$337)+COUNTIF('10月'!DE31:DF31,F$337)+COUNTIF('10月'!DJ31:DK31,F$337)+COUNTIF('10月'!DO31:DP31,F$337)+COUNTIF('10月'!DT31:DU31,F$337)+COUNTIF('10月'!DY31:DZ31,F$337)+COUNTIF('10月'!ED31:EE31,F$337)+COUNTIF('10月'!EI31:EJ31,F$337)+COUNTIF('10月'!EN31:EO31,F$337)+COUNTIF('10月'!ES31:ET31,F$337)</f>
        <v>0</v>
      </c>
      <c r="G366" s="76">
        <f t="shared" si="110"/>
        <v>0</v>
      </c>
      <c r="H366" s="76">
        <f>COUNTIF('10月'!D31:E31,H$337)+COUNTIF('10月'!I31:J31,H$337)+COUNTIF('10月'!N31:O31,H$337)+COUNTIF('10月'!S31:T31,H$337)+COUNTIF('10月'!X31:Y31,H$337)+COUNTIF('10月'!AC31:AD31,H$337)+COUNTIF('10月'!AH31:AI31,H$337)+COUNTIF('10月'!AM31:AN31,H$337)+COUNTIF('10月'!AR31:AS31,H$337)+COUNTIF('10月'!AW31:AX31,H$337)+COUNTIF('10月'!BB31:BC31,H$337)+COUNTIF('10月'!BG31:BH31,H$337)+COUNTIF('10月'!BL31:BM31,H$337)+COUNTIF('10月'!BQ31:BR31,H$337)+COUNTIF('10月'!BV31:BW31,H$337)+COUNTIF('10月'!CA31:CB31,H$337)+COUNTIF('10月'!CF31:CG31,H$337)+COUNTIF('10月'!CK31:CL31,H$337)+COUNTIF('10月'!CP31:CQ31,H$337)+COUNTIF('10月'!CU31:CV31,H$337)+COUNTIF('10月'!CZ31:DA31,H$337)+COUNTIF('10月'!DE31:DF31,H$337)+COUNTIF('10月'!DJ31:DK31,H$337)+COUNTIF('10月'!DO31:DP31,H$337)+COUNTIF('10月'!DT31:DU31,H$337)+COUNTIF('10月'!DY31:DZ31,H$337)+COUNTIF('10月'!ED31:EE31,H$337)+COUNTIF('10月'!EI31:EJ31,H$337)+COUNTIF('10月'!EN31:EO31,H$337)+COUNTIF('10月'!ES31:ET31,H$337)+COUNTIF('10月'!D31:E31,"渋谷-夜勤")+COUNTIF('10月'!I31:J31,"渋谷-夜勤")+COUNTIF('10月'!N31:O31,"渋谷-夜勤")+COUNTIF('10月'!S31:T31,"渋谷-夜勤")+COUNTIF('10月'!X31:Y31,"渋谷-夜勤")+COUNTIF('10月'!AC31:AD31,"渋谷-夜勤")+COUNTIF('10月'!AH31:AI31,"渋谷-夜勤")+COUNTIF('10月'!AM31:AN31,"渋谷-夜勤")+COUNTIF('10月'!AR31:AS31,"渋谷-夜勤")+COUNTIF('10月'!AW31:AX31,"渋谷-夜勤")+COUNTIF('10月'!BB31:BC31,"渋谷-夜勤")+COUNTIF('10月'!BG31:BH31,"渋谷-夜勤")+COUNTIF('10月'!BL31:BM31,"渋谷-夜勤")+COUNTIF('10月'!BQ31:BR31,"渋谷-夜勤")+COUNTIF('10月'!BV31:BW31,"渋谷-夜勤")+COUNTIF('10月'!CA31:CB31,"渋谷-夜勤")+COUNTIF('10月'!CF31:CG31,"渋谷-夜勤")+COUNTIF('10月'!CK31:CL31,"渋谷-夜勤")+COUNTIF('10月'!CP31:CQ31,"渋谷-夜勤")+COUNTIF('10月'!CU31:CV31,"渋谷-夜勤")+COUNTIF('10月'!CZ31:DA31,"渋谷-夜勤")+COUNTIF('10月'!DE31:DF31,"渋谷-夜勤")+COUNTIF('10月'!DJ31:DK31,"渋谷-夜勤")+COUNTIF('10月'!DO31:DP31,"渋谷-夜勤")+COUNTIF('10月'!DT31:DU31,"渋谷-夜勤")+COUNTIF('10月'!DY31:DZ31,"渋谷-夜勤")+COUNTIF('10月'!ED31:EE31,"渋谷-夜勤")+COUNTIF('10月'!EI31:EJ31,"渋谷-夜勤")+COUNTIF('10月'!EN31:EO31,"渋谷-夜勤")+COUNTIF('10月'!ES31:ET31,"渋谷-夜勤")</f>
        <v>0</v>
      </c>
      <c r="I366" s="76">
        <f t="shared" si="111"/>
        <v>0</v>
      </c>
      <c r="J366" s="76">
        <f>COUNTIF('10月'!D31:E31,J$337)+COUNTIF('10月'!I31:J31,J$337)+COUNTIF('10月'!N31:O31,J$337)+COUNTIF('10月'!S31:T31,J$337)+COUNTIF('10月'!X31:Y31,J$337)+COUNTIF('10月'!AC31:AD31,J$337)+COUNTIF('10月'!AH31:AI31,J$337)+COUNTIF('10月'!AM31:AN31,J$337)+COUNTIF('10月'!AR31:AS31,J$337)+COUNTIF('10月'!AW31:AX31,J$337)+COUNTIF('10月'!BB31:BC31,J$337)+COUNTIF('10月'!BG31:BH31,J$337)+COUNTIF('10月'!BL31:BM31,J$337)+COUNTIF('10月'!BQ31:BR31,J$337)+COUNTIF('10月'!BV31:BW31,J$337)+COUNTIF('10月'!CA31:CB31,J$337)+COUNTIF('10月'!CF31:CG31,J$337)+COUNTIF('10月'!CK31:CL31,J$337)+COUNTIF('10月'!CP31:CQ31,J$337)+COUNTIF('10月'!CU31:CV31,J$337)+COUNTIF('10月'!CZ31:DA31,J$337)+COUNTIF('10月'!DE31:DF31,J$337)+COUNTIF('10月'!DJ31:DK31,J$337)+COUNTIF('10月'!DO31:DP31,J$337)+COUNTIF('10月'!DT31:DU31,J$337)+COUNTIF('10月'!DY31:DZ31,J$337)+COUNTIF('10月'!ED31:EE31,J$337)+COUNTIF('10月'!EI31:EJ31,J$337)+COUNTIF('10月'!EN31:EO31,J$337)+COUNTIF('10月'!ES31:ET31,J$337)+COUNTIF('10月'!D31:E31,"六本木-夜勤")+COUNTIF('10月'!I31:J31,"六本木-夜勤")+COUNTIF('10月'!N31:O31,"六本木-夜勤")+COUNTIF('10月'!S31:T31,"六本木-夜勤")+COUNTIF('10月'!X31:Y31,"六本木-夜勤")+COUNTIF('10月'!AC31:AD31,"六本木-夜勤")+COUNTIF('10月'!AH31:AI31,"六本木-夜勤")+COUNTIF('10月'!AM31:AN31,"六本木-夜勤")+COUNTIF('10月'!AR31:AS31,"六本木-夜勤")+COUNTIF('10月'!AW31:AX31,"六本木-夜勤")+COUNTIF('10月'!BB31:BC31,"六本木-夜勤")+COUNTIF('10月'!BG31:BH31,"六本木-夜勤")+COUNTIF('10月'!BL31:BM31,"六本木-夜勤")+COUNTIF('10月'!BQ31:BR31,"六本木-夜勤")+COUNTIF('10月'!BV31:BW31,"六本木-夜勤")+COUNTIF('10月'!CA31:CB31,"六本木-夜勤")+COUNTIF('10月'!CF31:CG31,"六本木-夜勤")+COUNTIF('10月'!CK31:CL31,"六本木-夜勤")+COUNTIF('10月'!CP31:CQ31,"六本木-夜勤")+COUNTIF('10月'!CU31:CV31,"六本木-夜勤")+COUNTIF('10月'!CZ31:DA31,"六本木-夜勤")+COUNTIF('10月'!DE31:DF31,"六本木-夜勤")+COUNTIF('10月'!DJ31:DK31,"六本木-夜勤")+COUNTIF('10月'!DO31:DP31,"六本木-夜勤")+COUNTIF('10月'!DT31:DU31,"六本木-夜勤")+COUNTIF('10月'!DY31:DZ31,"六本木-夜勤")+COUNTIF('10月'!ED31:EE31,"六本木-夜勤")+COUNTIF('10月'!EI31:EJ31,"六本木-夜勤")+COUNTIF('10月'!EN31:EO31,"六本木-夜勤")+COUNTIF('10月'!ES31:ET31,"六本木-夜勤")+COUNTIF('10月'!D31:E31,"六本木ー夜勤")+COUNTIF('10月'!I31:J31,"六本木ー夜勤")+COUNTIF('10月'!N31:O31,"六本木ー夜勤")+COUNTIF('10月'!S31:T31,"六本木ー夜勤")+COUNTIF('10月'!X31:Y31,"六本木ー夜勤")+COUNTIF('10月'!AC31:AD31,"六本木ー夜勤")+COUNTIF('10月'!AH31:AI31,"六本木ー夜勤")+COUNTIF('10月'!AM31:AN31,"六本木ー夜勤")+COUNTIF('10月'!AR31:AS31,"六本木ー夜勤")+COUNTIF('10月'!AW31:AX31,"六本木ー夜勤")+COUNTIF('10月'!BB31:BC31,"六本木ー夜勤")+COUNTIF('10月'!BG31:BH31,"六本木ー夜勤")+COUNTIF('10月'!BL31:BM31,"六本木ー夜勤")+COUNTIF('10月'!BQ31:BR31,"六本木ー夜勤")+COUNTIF('10月'!BV31:BW31,"六本木ー夜勤")+COUNTIF('10月'!CA31:CB31,"六本木ー夜勤")+COUNTIF('10月'!CF31:CG31,"六本木ー夜勤")+COUNTIF('10月'!CK31:CL31,"六本木ー夜勤")+COUNTIF('10月'!CP31:CQ31,"六本木ー夜勤")+COUNTIF('10月'!CU31:CV31,"六本木ー夜勤")+COUNTIF('10月'!CZ31:DA31,"六本木ー夜勤")+COUNTIF('10月'!DE31:DF31,"六本木ー夜勤")+COUNTIF('10月'!DJ31:DK31,"六本木ー夜勤")+COUNTIF('10月'!DO31:DP31,"六本木ー夜勤")+COUNTIF('10月'!DT31:DU31,"六本木ー夜勤")+COUNTIF('10月'!DY31:DZ31,"六本木ー夜勤")+COUNTIF('10月'!ED31:EE31,"六本木ー夜勤")+COUNTIF('10月'!EI31:EJ31,"六本木ー夜勤")+COUNTIF('10月'!EN31:EO31,"六本木ー夜勤")+COUNTIF('10月'!ES31:ET31,"六本木ー夜勤")</f>
        <v>0</v>
      </c>
      <c r="K366" s="76">
        <f t="shared" si="112"/>
        <v>0</v>
      </c>
      <c r="L366" s="76">
        <f>COUNTIF('10月'!D31:E31,L$337)+COUNTIF('10月'!I31:J31,L$337)+COUNTIF('10月'!N31:O31,L$337)+COUNTIF('10月'!S31:T31,L$337)+COUNTIF('10月'!X31:Y31,L$337)+COUNTIF('10月'!AC31:AD31,L$337)+COUNTIF('10月'!AH31:AI31,L$337)+COUNTIF('10月'!AM31:AN31,L$337)+COUNTIF('10月'!AR31:AS31,L$337)+COUNTIF('10月'!AW31:AX31,L$337)+COUNTIF('10月'!BB31:BC31,L$337)+COUNTIF('10月'!BG31:BH31,L$337)+COUNTIF('10月'!BL31:BM31,L$337)+COUNTIF('10月'!BQ31:BR31,L$337)+COUNTIF('10月'!BV31:BW31,L$337)+COUNTIF('10月'!CA31:CB31,L$337)+COUNTIF('10月'!CF31:CG31,L$337)+COUNTIF('10月'!CK31:CL31,L$337)+COUNTIF('10月'!CP31:CQ31,L$337)+COUNTIF('10月'!CU31:CV31,L$337)+COUNTIF('10月'!CZ31:DA31,L$337)+COUNTIF('10月'!DE31:DF31,L$337)+COUNTIF('10月'!DJ31:DK31,L$337)+COUNTIF('10月'!DO31:DP31,L$337)+COUNTIF('10月'!DT31:DU31,L$337)+COUNTIF('10月'!DY31:DZ31,L$337)+COUNTIF('10月'!ED31:EE31,L$337)+COUNTIF('10月'!EI31:EJ31,L$337)+COUNTIF('10月'!EN31:EO31,L$337)+COUNTIF('10月'!ES31:ET31,L$337)</f>
        <v>0</v>
      </c>
      <c r="M366" s="76">
        <f t="shared" si="113"/>
        <v>0</v>
      </c>
      <c r="N366" s="76">
        <f>COUNTIF('10月'!D31:E31,N$337)+COUNTIF('10月'!I31:J31,N$337)+COUNTIF('10月'!N31:O31,N$337)+COUNTIF('10月'!S31:T31,N$337)+COUNTIF('10月'!X31:Y31,N$337)+COUNTIF('10月'!AC31:AD31,N$337)+COUNTIF('10月'!AH31:AI31,N$337)+COUNTIF('10月'!AM31:AN31,N$337)+COUNTIF('10月'!AR31:AS31,N$337)+COUNTIF('10月'!AW31:AX31,N$337)+COUNTIF('10月'!BB31:BC31,N$337)+COUNTIF('10月'!BG31:BH31,N$337)+COUNTIF('10月'!BL31:BM31,N$337)+COUNTIF('10月'!BQ31:BR31,N$337)+COUNTIF('10月'!BV31:BW31,N$337)+COUNTIF('10月'!CA31:CB31,N$337)+COUNTIF('10月'!CF31:CG31,N$337)+COUNTIF('10月'!CK31:CL31,N$337)+COUNTIF('10月'!CP31:CQ31,N$337)+COUNTIF('10月'!CU31:CV31,N$337)+COUNTIF('10月'!CZ31:DA31,N$337)+COUNTIF('10月'!DE31:DF31,N$337)+COUNTIF('10月'!DJ31:DK31,N$337)+COUNTIF('10月'!DO31:DP31,N$337)+COUNTIF('10月'!DT31:DU31,N$337)+COUNTIF('10月'!DY31:DZ31,N$337)+COUNTIF('10月'!ED31:EE31,N$337)+COUNTIF('10月'!EI31:EJ31,N$337)+COUNTIF('10月'!EN31:EO31,N$337)+COUNTIF('10月'!ES31:ET31,N$337)+COUNTIF('10月'!D31:E31,"三軒茶屋－夜勤")+COUNTIF('10月'!I31:J31,"三軒茶屋－夜勤")+COUNTIF('10月'!N31:O31,"三軒茶屋－夜勤")+COUNTIF('10月'!S31:T31,"三軒茶屋－夜勤")+COUNTIF('10月'!X31:Y31,"三軒茶屋－夜勤")+COUNTIF('10月'!AC31:AD31,"三軒茶屋－夜勤")+COUNTIF('10月'!AH31:AI31,"三軒茶屋－夜勤")+COUNTIF('10月'!AM31:AN31,"三軒茶屋－夜勤")+COUNTIF('10月'!AR31:AS31,"三軒茶屋－夜勤")+COUNTIF('10月'!AW31:AX31,"三軒茶屋－夜勤")+COUNTIF('10月'!BB31:BC31,"三軒茶屋－夜勤")+COUNTIF('10月'!BG31:BH31,"三軒茶屋－夜勤")+COUNTIF('10月'!BL31:BM31,"三軒茶屋－夜勤")+COUNTIF('10月'!BQ31:BR31,"三軒茶屋－夜勤")+COUNTIF('10月'!BV31:BW31,"三軒茶屋－夜勤")+COUNTIF('10月'!CA31:CB31,"三軒茶屋－夜勤")+COUNTIF('10月'!CF31:CG31,"三軒茶屋－夜勤")+COUNTIF('10月'!CK31:CL31,"三軒茶屋－夜勤")+COUNTIF('10月'!CP31:CQ31,"三軒茶屋－夜勤")+COUNTIF('10月'!CU31:CV31,"三軒茶屋－夜勤")+COUNTIF('10月'!CZ31:DA31,"三軒茶屋－夜勤")+COUNTIF('10月'!DE31:DF31,"三軒茶屋－夜勤")+COUNTIF('10月'!DJ31:DK31,"三軒茶屋－夜勤")+COUNTIF('10月'!DO31:DP31,"三軒茶屋－夜勤")+COUNTIF('10月'!DT31:DU31,"三軒茶屋－夜勤")+COUNTIF('10月'!DY31:DZ31,"三軒茶屋－夜勤")+COUNTIF('10月'!ED31:EE31,"三軒茶屋－夜勤")+COUNTIF('10月'!EI31:EJ31,"三軒茶屋－夜勤")+COUNTIF('10月'!EN31:EO31,"三軒茶屋－夜勤")+COUNTIF('10月'!ES31:ET31,"三軒茶屋－夜勤")</f>
        <v>0</v>
      </c>
      <c r="O366" s="76">
        <f t="shared" si="114"/>
        <v>0</v>
      </c>
      <c r="P366" s="76">
        <f>COUNTIF('10月'!D31:E31,P$337)+COUNTIF('10月'!I31:J31,P$337)+COUNTIF('10月'!N31:O31,P$337)+COUNTIF('10月'!S31:T31,P$337)+COUNTIF('10月'!X31:Y31,P$337)+COUNTIF('10月'!AC31:AD31,P$337)+COUNTIF('10月'!AH31:AI31,P$337)+COUNTIF('10月'!AM31:AN31,P$337)+COUNTIF('10月'!AR31:AS31,P$337)+COUNTIF('10月'!AW31:AX31,P$337)+COUNTIF('10月'!BB31:BC31,P$337)+COUNTIF('10月'!BG31:BH31,P$337)+COUNTIF('10月'!BL31:BM31,P$337)+COUNTIF('10月'!BQ31:BR31,P$337)+COUNTIF('10月'!BV31:BW31,P$337)+COUNTIF('10月'!CA31:CB31,P$337)+COUNTIF('10月'!CF31:CG31,P$337)+COUNTIF('10月'!CK31:CL31,P$337)+COUNTIF('10月'!CP31:CQ31,P$337)+COUNTIF('10月'!CU31:CV31,P$337)+COUNTIF('10月'!CZ31:DA31,P$337)+COUNTIF('10月'!DE31:DF31,P$337)+COUNTIF('10月'!DJ31:DK31,P$337)+COUNTIF('10月'!DO31:DP31,P$337)+COUNTIF('10月'!DT31:DU31,P$337)+COUNTIF('10月'!DY31:DZ31,P$337)+COUNTIF('10月'!ED31:EE31,P$337)+COUNTIF('10月'!EI31:EJ31,P$337)+COUNTIF('10月'!EN31:EO31,P$337)+COUNTIF('10月'!ES31:ET31,P$337)+COUNTIF('10月'!D31:E31,"荻窪ー夜勤")+COUNTIF('10月'!I31:J31,"荻窪ー夜勤")+COUNTIF('10月'!N31:O31,"荻窪ー夜勤")+COUNTIF('10月'!S31:T31,"荻窪ー夜勤")+COUNTIF('10月'!X31:Y31,"荻窪ー夜勤")+COUNTIF('10月'!AC31:AD31,"荻窪ー夜勤")+COUNTIF('10月'!AH31:AI31,"荻窪ー夜勤")+COUNTIF('10月'!AM31:AN31,"荻窪ー夜勤")+COUNTIF('10月'!AR31:AS31,"荻窪ー夜勤")+COUNTIF('10月'!AW31:AX31,"荻窪ー夜勤")+COUNTIF('10月'!BB31:BC31,"荻窪ー夜勤")+COUNTIF('10月'!BG31:BH31,"荻窪ー夜勤")+COUNTIF('10月'!BL31:BM31,"荻窪ー夜勤")+COUNTIF('10月'!BQ31:BR31,"荻窪ー夜勤")+COUNTIF('10月'!BV31:BW31,"荻窪ー夜勤")+COUNTIF('10月'!CA31:CB31,"荻窪ー夜勤")+COUNTIF('10月'!CF31:CG31,"荻窪ー夜勤")+COUNTIF('10月'!CK31:CL31,"荻窪ー夜勤")+COUNTIF('10月'!CP31:CQ31,"荻窪ー夜勤")+COUNTIF('10月'!CU31:CV31,"荻窪ー夜勤")+COUNTIF('10月'!CZ31:DA31,"荻窪ー夜勤")+COUNTIF('10月'!DE31:DF31,"荻窪ー夜勤")+COUNTIF('10月'!DJ31:DK31,"荻窪ー夜勤")+COUNTIF('10月'!DO31:DP31,"荻窪ー夜勤")+COUNTIF('10月'!DT31:DU31,"荻窪ー夜勤")+COUNTIF('10月'!DY31:DZ31,"荻窪ー夜勤")+COUNTIF('10月'!ED31:EE31,"荻窪ー夜勤")+COUNTIF('10月'!EI31:EJ31,"荻窪ー夜勤")+COUNTIF('10月'!EN31:EO31,"荻窪ー夜勤")+COUNTIF('10月'!ES31:ET31,"荻窪ー夜勤")</f>
        <v>0</v>
      </c>
      <c r="Q366" s="76">
        <f t="shared" si="115"/>
        <v>0</v>
      </c>
      <c r="R366" s="76">
        <f>COUNTIF('10月'!D31:E31,R$337)+COUNTIF('10月'!I31:J31,R$337)+COUNTIF('10月'!N31:O31,R$337)+COUNTIF('10月'!S31:T31,R$337)+COUNTIF('10月'!X31:Y31,R$337)+COUNTIF('10月'!AC31:AD31,R$337)+COUNTIF('10月'!AH31:AI31,R$337)+COUNTIF('10月'!AM31:AN31,R$337)+COUNTIF('10月'!AR31:AS31,R$337)+COUNTIF('10月'!AW31:AX31,R$337)+COUNTIF('10月'!BB31:BC31,R$337)+COUNTIF('10月'!BG31:BH31,R$337)+COUNTIF('10月'!BL31:BM31,R$337)+COUNTIF('10月'!BQ31:BR31,R$337)+COUNTIF('10月'!BV31:BW31,R$337)+COUNTIF('10月'!CA31:CB31,R$337)+COUNTIF('10月'!CF31:CG31,R$337)+COUNTIF('10月'!CK31:CL31,R$337)+COUNTIF('10月'!CP31:CQ31,R$337)+COUNTIF('10月'!CU31:CV31,R$337)+COUNTIF('10月'!CZ31:DA31,R$337)+COUNTIF('10月'!DE31:DF31,R$337)+COUNTIF('10月'!DJ31:DK31,R$337)+COUNTIF('10月'!DO31:DP31,R$337)+COUNTIF('10月'!DT31:DU31,R$337)+COUNTIF('10月'!DY31:DZ31,R$337)+COUNTIF('10月'!ED31:EE31,R$337)+COUNTIF('10月'!EI31:EJ31,R$337)+COUNTIF('10月'!EN31:EO31,R$337)+COUNTIF('10月'!ES31:ET31,R$337)</f>
        <v>0</v>
      </c>
      <c r="S366" s="76">
        <f t="shared" si="116"/>
        <v>0</v>
      </c>
      <c r="T366" s="76">
        <f>COUNTIF('10月'!D31:E31,T$337)+COUNTIF('10月'!I31:J31,T$337)+COUNTIF('10月'!N31:O31,T$337)+COUNTIF('10月'!S31:T31,T$337)+COUNTIF('10月'!X31:Y31,T$337)+COUNTIF('10月'!AC31:AD31,T$337)+COUNTIF('10月'!AH31:AI31,T$337)+COUNTIF('10月'!AM31:AN31,T$337)+COUNTIF('10月'!AR31:AS31,T$337)+COUNTIF('10月'!AW31:AX31,T$337)+COUNTIF('10月'!BB31:BC31,T$337)+COUNTIF('10月'!BG31:BH31,T$337)+COUNTIF('10月'!BL31:BM31,T$337)+COUNTIF('10月'!BQ31:BR31,T$337)+COUNTIF('10月'!BV31:BW31,T$337)+COUNTIF('10月'!CA31:CB31,T$337)+COUNTIF('10月'!CF31:CG31,T$337)+COUNTIF('10月'!CK31:CL31,T$337)+COUNTIF('10月'!CP31:CQ31,T$337)+COUNTIF('10月'!CU31:CV31,T$337)+COUNTIF('10月'!CZ31:DA31,T$337)+COUNTIF('10月'!DE31:DF31,T$337)+COUNTIF('10月'!DJ31:DK31,T$337)+COUNTIF('10月'!DO31:DP31,T$337)+COUNTIF('10月'!DT31:DU31,T$337)+COUNTIF('10月'!DY31:DZ31,T$337)+COUNTIF('10月'!ED31:EE31,T$337)+COUNTIF('10月'!EI31:EJ31,T$337)+COUNTIF('10月'!EN31:EO31,T$337)+COUNTIF('10月'!ES31:ET31,T$337)</f>
        <v>0</v>
      </c>
      <c r="U366" s="76">
        <f t="shared" si="117"/>
        <v>0</v>
      </c>
      <c r="V366" s="76">
        <f>COUNTIF('10月'!D31:E31,V$337)+COUNTIF('10月'!I31:J31,V$337)+COUNTIF('10月'!N31:O31,V$337)+COUNTIF('10月'!S31:T31,V$337)+COUNTIF('10月'!X31:Y31,V$337)+COUNTIF('10月'!AC31:AD31,V$337)+COUNTIF('10月'!AH31:AI31,V$337)+COUNTIF('10月'!AM31:AN31,V$337)+COUNTIF('10月'!AR31:AS31,V$337)+COUNTIF('10月'!AW31:AX31,V$337)+COUNTIF('10月'!BB31:BC31,V$337)+COUNTIF('10月'!BG31:BH31,V$337)+COUNTIF('10月'!BL31:BM31,V$337)+COUNTIF('10月'!BQ31:BR31,V$337)+COUNTIF('10月'!BV31:BW31,V$337)+COUNTIF('10月'!CA31:CB31,V$337)+COUNTIF('10月'!CF31:CG31,V$337)+COUNTIF('10月'!CK31:CL31,V$337)+COUNTIF('10月'!CP31:CQ31,V$337)+COUNTIF('10月'!CU31:CV31,V$337)+COUNTIF('10月'!CZ31:DA31,V$337)+COUNTIF('10月'!DE31:DF31,V$337)+COUNTIF('10月'!DJ31:DK31,V$337)+COUNTIF('10月'!DO31:DP31,V$337)+COUNTIF('10月'!DT31:DU31,V$337)+COUNTIF('10月'!DY31:DZ31,V$337)+COUNTIF('10月'!ED31:EE31,V$337)+COUNTIF('10月'!EI31:EJ31,V$337)+COUNTIF('10月'!EN31:EO31,V$337)+COUNTIF('10月'!ES31:ET31,V$337)</f>
        <v>0</v>
      </c>
      <c r="W366" s="76">
        <f t="shared" si="118"/>
        <v>0</v>
      </c>
      <c r="X366" s="76">
        <f>COUNTIF('10月'!D31:E31,X$337)+COUNTIF('10月'!I31:J31,X$337)+COUNTIF('10月'!N31:O31,X$337)+COUNTIF('10月'!S31:T31,X$337)+COUNTIF('10月'!X31:Y31,X$337)+COUNTIF('10月'!AC31:AD31,X$337)+COUNTIF('10月'!AH31:AI31,X$337)+COUNTIF('10月'!AM31:AN31,X$337)+COUNTIF('10月'!AR31:AS31,X$337)+COUNTIF('10月'!AW31:AX31,X$337)+COUNTIF('10月'!BB31:BC31,X$337)+COUNTIF('10月'!BG31:BH31,X$337)+COUNTIF('10月'!BL31:BM31,X$337)+COUNTIF('10月'!BQ31:BR31,X$337)+COUNTIF('10月'!BV31:BW31,X$337)+COUNTIF('10月'!CA31:CB31,X$337)+COUNTIF('10月'!CF31:CG31,X$337)+COUNTIF('10月'!CK31:CL31,X$337)+COUNTIF('10月'!CP31:CQ31,X$337)+COUNTIF('10月'!CU31:CV31,X$337)+COUNTIF('10月'!CZ31:DA31,X$337)+COUNTIF('10月'!DE31:DF31,X$337)+COUNTIF('10月'!DJ31:DK31,X$337)+COUNTIF('10月'!DO31:DP31,X$337)+COUNTIF('10月'!DT31:DU31,X$337)+COUNTIF('10月'!DY31:DZ31,X$337)+COUNTIF('10月'!ED31:EE31,X$337)+COUNTIF('10月'!EI31:EJ31,X$337)+COUNTIF('10月'!EN31:EO31,X$337)+COUNTIF('10月'!ES31:ET31,X$337)</f>
        <v>0</v>
      </c>
      <c r="Y366" s="76">
        <f t="shared" si="119"/>
        <v>0</v>
      </c>
    </row>
    <row r="367" spans="1:25" ht="18" customHeight="1">
      <c r="A367" s="76">
        <v>29</v>
      </c>
      <c r="B367" s="76">
        <f>COUNTIF('10月'!D32:E32,B$337)+COUNTIF('10月'!I32:J32,B$337)+COUNTIF('10月'!N32:O32,B$337)+COUNTIF('10月'!S32:T32,B$337)+COUNTIF('10月'!X32:Y32,B$337)+COUNTIF('10月'!AC32:AD32,B$337)+COUNTIF('10月'!AH32:AI32,B$337)+COUNTIF('10月'!AM32:AN32,B$337)+COUNTIF('10月'!AR32:AS32,B$337)+COUNTIF('10月'!AW32:AX32,B$337)+COUNTIF('10月'!BB32:BC32,B$337)+COUNTIF('10月'!BG32:BH32,B$337)+COUNTIF('10月'!BL32:BM32,B$337)+COUNTIF('10月'!BQ32:BR32,B$337)+COUNTIF('10月'!BV32:BW32,B$337)+COUNTIF('10月'!CA32:CB32,B$337)+COUNTIF('10月'!CF32:CG32,B$337)+COUNTIF('10月'!CK32:CL32,B$337)+COUNTIF('10月'!CP32:CQ32,B$337)+COUNTIF('10月'!CU32:CV32,B$337)+COUNTIF('10月'!CZ32:DA32,B$337)+COUNTIF('10月'!DE32:DF32,B$337)+COUNTIF('10月'!DJ32:DK32,B$337)+COUNTIF('10月'!DO32:DP32,B$337)+COUNTIF('10月'!DT32:DU32,B$337)+COUNTIF('10月'!DY32:DZ32,B$337)+COUNTIF('10月'!ED32:EE32,B$337)+COUNTIF('10月'!EI32:EJ32,B$337)+COUNTIF('10月'!EN32:EO32,B$337)+COUNTIF('10月'!ES32:ET32,B$337)</f>
        <v>0</v>
      </c>
      <c r="C367" s="76">
        <f t="shared" si="108"/>
        <v>0</v>
      </c>
      <c r="D367" s="76">
        <f>COUNTIF('10月'!D32:E32,D$337)+COUNTIF('10月'!I32:J32,D$337)+COUNTIF('10月'!N32:O32,D$337)+COUNTIF('10月'!S32:T32,D$337)+COUNTIF('10月'!X32:Y32,D$337)+COUNTIF('10月'!AC32:AD32,D$337)+COUNTIF('10月'!AH32:AI32,D$337)+COUNTIF('10月'!AM32:AN32,D$337)+COUNTIF('10月'!AR32:AS32,D$337)+COUNTIF('10月'!AW32:AX32,D$337)+COUNTIF('10月'!BB32:BC32,D$337)+COUNTIF('10月'!BG32:BH32,D$337)+COUNTIF('10月'!BL32:BM32,D$337)+COUNTIF('10月'!BQ32:BR32,D$337)+COUNTIF('10月'!BV32:BW32,D$337)+COUNTIF('10月'!CA32:CB32,D$337)+COUNTIF('10月'!CF32:CG32,D$337)+COUNTIF('10月'!CK32:CL32,D$337)+COUNTIF('10月'!CP32:CQ32,D$337)+COUNTIF('10月'!CU32:CV32,D$337)+COUNTIF('10月'!CZ32:DA32,D$337)+COUNTIF('10月'!DE32:DF32,D$337)+COUNTIF('10月'!DJ32:DK32,D$337)+COUNTIF('10月'!DO32:DP32,D$337)+COUNTIF('10月'!DT32:DU32,D$337)+COUNTIF('10月'!DY32:DZ32,D$337)+COUNTIF('10月'!ED32:EE32,D$337)+COUNTIF('10月'!EI32:EJ32,D$337)+COUNTIF('10月'!EN32:EO32,D$337)+COUNTIF('10月'!ES32:ET32,D$337)</f>
        <v>0</v>
      </c>
      <c r="E367" s="76">
        <f t="shared" si="109"/>
        <v>0</v>
      </c>
      <c r="F367" s="76">
        <f>COUNTIF('10月'!D32:E32,F$337)+COUNTIF('10月'!I32:J32,F$337)+COUNTIF('10月'!N32:O32,F$337)+COUNTIF('10月'!S32:T32,F$337)+COUNTIF('10月'!X32:Y32,F$337)+COUNTIF('10月'!AC32:AD32,F$337)+COUNTIF('10月'!AH32:AI32,F$337)+COUNTIF('10月'!AM32:AN32,F$337)+COUNTIF('10月'!AR32:AS32,F$337)+COUNTIF('10月'!AW32:AX32,F$337)+COUNTIF('10月'!BB32:BC32,F$337)+COUNTIF('10月'!BG32:BH32,F$337)+COUNTIF('10月'!BL32:BM32,F$337)+COUNTIF('10月'!BQ32:BR32,F$337)+COUNTIF('10月'!BV32:BW32,F$337)+COUNTIF('10月'!CA32:CB32,F$337)+COUNTIF('10月'!CF32:CG32,F$337)+COUNTIF('10月'!CK32:CL32,F$337)+COUNTIF('10月'!CP32:CQ32,F$337)+COUNTIF('10月'!CU32:CV32,F$337)+COUNTIF('10月'!CZ32:DA32,F$337)+COUNTIF('10月'!DE32:DF32,F$337)+COUNTIF('10月'!DJ32:DK32,F$337)+COUNTIF('10月'!DO32:DP32,F$337)+COUNTIF('10月'!DT32:DU32,F$337)+COUNTIF('10月'!DY32:DZ32,F$337)+COUNTIF('10月'!ED32:EE32,F$337)+COUNTIF('10月'!EI32:EJ32,F$337)+COUNTIF('10月'!EN32:EO32,F$337)+COUNTIF('10月'!ES32:ET32,F$337)</f>
        <v>0</v>
      </c>
      <c r="G367" s="76">
        <f t="shared" si="110"/>
        <v>0</v>
      </c>
      <c r="H367" s="76">
        <f>COUNTIF('10月'!D32:E32,H$337)+COUNTIF('10月'!I32:J32,H$337)+COUNTIF('10月'!N32:O32,H$337)+COUNTIF('10月'!S32:T32,H$337)+COUNTIF('10月'!X32:Y32,H$337)+COUNTIF('10月'!AC32:AD32,H$337)+COUNTIF('10月'!AH32:AI32,H$337)+COUNTIF('10月'!AM32:AN32,H$337)+COUNTIF('10月'!AR32:AS32,H$337)+COUNTIF('10月'!AW32:AX32,H$337)+COUNTIF('10月'!BB32:BC32,H$337)+COUNTIF('10月'!BG32:BH32,H$337)+COUNTIF('10月'!BL32:BM32,H$337)+COUNTIF('10月'!BQ32:BR32,H$337)+COUNTIF('10月'!BV32:BW32,H$337)+COUNTIF('10月'!CA32:CB32,H$337)+COUNTIF('10月'!CF32:CG32,H$337)+COUNTIF('10月'!CK32:CL32,H$337)+COUNTIF('10月'!CP32:CQ32,H$337)+COUNTIF('10月'!CU32:CV32,H$337)+COUNTIF('10月'!CZ32:DA32,H$337)+COUNTIF('10月'!DE32:DF32,H$337)+COUNTIF('10月'!DJ32:DK32,H$337)+COUNTIF('10月'!DO32:DP32,H$337)+COUNTIF('10月'!DT32:DU32,H$337)+COUNTIF('10月'!DY32:DZ32,H$337)+COUNTIF('10月'!ED32:EE32,H$337)+COUNTIF('10月'!EI32:EJ32,H$337)+COUNTIF('10月'!EN32:EO32,H$337)+COUNTIF('10月'!ES32:ET32,H$337)+COUNTIF('10月'!D32:E32,"渋谷-夜勤")+COUNTIF('10月'!I32:J32,"渋谷-夜勤")+COUNTIF('10月'!N32:O32,"渋谷-夜勤")+COUNTIF('10月'!S32:T32,"渋谷-夜勤")+COUNTIF('10月'!X32:Y32,"渋谷-夜勤")+COUNTIF('10月'!AC32:AD32,"渋谷-夜勤")+COUNTIF('10月'!AH32:AI32,"渋谷-夜勤")+COUNTIF('10月'!AM32:AN32,"渋谷-夜勤")+COUNTIF('10月'!AR32:AS32,"渋谷-夜勤")+COUNTIF('10月'!AW32:AX32,"渋谷-夜勤")+COUNTIF('10月'!BB32:BC32,"渋谷-夜勤")+COUNTIF('10月'!BG32:BH32,"渋谷-夜勤")+COUNTIF('10月'!BL32:BM32,"渋谷-夜勤")+COUNTIF('10月'!BQ32:BR32,"渋谷-夜勤")+COUNTIF('10月'!BV32:BW32,"渋谷-夜勤")+COUNTIF('10月'!CA32:CB32,"渋谷-夜勤")+COUNTIF('10月'!CF32:CG32,"渋谷-夜勤")+COUNTIF('10月'!CK32:CL32,"渋谷-夜勤")+COUNTIF('10月'!CP32:CQ32,"渋谷-夜勤")+COUNTIF('10月'!CU32:CV32,"渋谷-夜勤")+COUNTIF('10月'!CZ32:DA32,"渋谷-夜勤")+COUNTIF('10月'!DE32:DF32,"渋谷-夜勤")+COUNTIF('10月'!DJ32:DK32,"渋谷-夜勤")+COUNTIF('10月'!DO32:DP32,"渋谷-夜勤")+COUNTIF('10月'!DT32:DU32,"渋谷-夜勤")+COUNTIF('10月'!DY32:DZ32,"渋谷-夜勤")+COUNTIF('10月'!ED32:EE32,"渋谷-夜勤")+COUNTIF('10月'!EI32:EJ32,"渋谷-夜勤")+COUNTIF('10月'!EN32:EO32,"渋谷-夜勤")+COUNTIF('10月'!ES32:ET32,"渋谷-夜勤")</f>
        <v>0</v>
      </c>
      <c r="I367" s="76">
        <f t="shared" si="111"/>
        <v>0</v>
      </c>
      <c r="J367" s="76">
        <f>COUNTIF('10月'!D32:E32,J$337)+COUNTIF('10月'!I32:J32,J$337)+COUNTIF('10月'!N32:O32,J$337)+COUNTIF('10月'!S32:T32,J$337)+COUNTIF('10月'!X32:Y32,J$337)+COUNTIF('10月'!AC32:AD32,J$337)+COUNTIF('10月'!AH32:AI32,J$337)+COUNTIF('10月'!AM32:AN32,J$337)+COUNTIF('10月'!AR32:AS32,J$337)+COUNTIF('10月'!AW32:AX32,J$337)+COUNTIF('10月'!BB32:BC32,J$337)+COUNTIF('10月'!BG32:BH32,J$337)+COUNTIF('10月'!BL32:BM32,J$337)+COUNTIF('10月'!BQ32:BR32,J$337)+COUNTIF('10月'!BV32:BW32,J$337)+COUNTIF('10月'!CA32:CB32,J$337)+COUNTIF('10月'!CF32:CG32,J$337)+COUNTIF('10月'!CK32:CL32,J$337)+COUNTIF('10月'!CP32:CQ32,J$337)+COUNTIF('10月'!CU32:CV32,J$337)+COUNTIF('10月'!CZ32:DA32,J$337)+COUNTIF('10月'!DE32:DF32,J$337)+COUNTIF('10月'!DJ32:DK32,J$337)+COUNTIF('10月'!DO32:DP32,J$337)+COUNTIF('10月'!DT32:DU32,J$337)+COUNTIF('10月'!DY32:DZ32,J$337)+COUNTIF('10月'!ED32:EE32,J$337)+COUNTIF('10月'!EI32:EJ32,J$337)+COUNTIF('10月'!EN32:EO32,J$337)+COUNTIF('10月'!ES32:ET32,J$337)+COUNTIF('10月'!D32:E32,"六本木-夜勤")+COUNTIF('10月'!I32:J32,"六本木-夜勤")+COUNTIF('10月'!N32:O32,"六本木-夜勤")+COUNTIF('10月'!S32:T32,"六本木-夜勤")+COUNTIF('10月'!X32:Y32,"六本木-夜勤")+COUNTIF('10月'!AC32:AD32,"六本木-夜勤")+COUNTIF('10月'!AH32:AI32,"六本木-夜勤")+COUNTIF('10月'!AM32:AN32,"六本木-夜勤")+COUNTIF('10月'!AR32:AS32,"六本木-夜勤")+COUNTIF('10月'!AW32:AX32,"六本木-夜勤")+COUNTIF('10月'!BB32:BC32,"六本木-夜勤")+COUNTIF('10月'!BG32:BH32,"六本木-夜勤")+COUNTIF('10月'!BL32:BM32,"六本木-夜勤")+COUNTIF('10月'!BQ32:BR32,"六本木-夜勤")+COUNTIF('10月'!BV32:BW32,"六本木-夜勤")+COUNTIF('10月'!CA32:CB32,"六本木-夜勤")+COUNTIF('10月'!CF32:CG32,"六本木-夜勤")+COUNTIF('10月'!CK32:CL32,"六本木-夜勤")+COUNTIF('10月'!CP32:CQ32,"六本木-夜勤")+COUNTIF('10月'!CU32:CV32,"六本木-夜勤")+COUNTIF('10月'!CZ32:DA32,"六本木-夜勤")+COUNTIF('10月'!DE32:DF32,"六本木-夜勤")+COUNTIF('10月'!DJ32:DK32,"六本木-夜勤")+COUNTIF('10月'!DO32:DP32,"六本木-夜勤")+COUNTIF('10月'!DT32:DU32,"六本木-夜勤")+COUNTIF('10月'!DY32:DZ32,"六本木-夜勤")+COUNTIF('10月'!ED32:EE32,"六本木-夜勤")+COUNTIF('10月'!EI32:EJ32,"六本木-夜勤")+COUNTIF('10月'!EN32:EO32,"六本木-夜勤")+COUNTIF('10月'!ES32:ET32,"六本木-夜勤")+COUNTIF('10月'!D32:E32,"六本木ー夜勤")+COUNTIF('10月'!I32:J32,"六本木ー夜勤")+COUNTIF('10月'!N32:O32,"六本木ー夜勤")+COUNTIF('10月'!S32:T32,"六本木ー夜勤")+COUNTIF('10月'!X32:Y32,"六本木ー夜勤")+COUNTIF('10月'!AC32:AD32,"六本木ー夜勤")+COUNTIF('10月'!AH32:AI32,"六本木ー夜勤")+COUNTIF('10月'!AM32:AN32,"六本木ー夜勤")+COUNTIF('10月'!AR32:AS32,"六本木ー夜勤")+COUNTIF('10月'!AW32:AX32,"六本木ー夜勤")+COUNTIF('10月'!BB32:BC32,"六本木ー夜勤")+COUNTIF('10月'!BG32:BH32,"六本木ー夜勤")+COUNTIF('10月'!BL32:BM32,"六本木ー夜勤")+COUNTIF('10月'!BQ32:BR32,"六本木ー夜勤")+COUNTIF('10月'!BV32:BW32,"六本木ー夜勤")+COUNTIF('10月'!CA32:CB32,"六本木ー夜勤")+COUNTIF('10月'!CF32:CG32,"六本木ー夜勤")+COUNTIF('10月'!CK32:CL32,"六本木ー夜勤")+COUNTIF('10月'!CP32:CQ32,"六本木ー夜勤")+COUNTIF('10月'!CU32:CV32,"六本木ー夜勤")+COUNTIF('10月'!CZ32:DA32,"六本木ー夜勤")+COUNTIF('10月'!DE32:DF32,"六本木ー夜勤")+COUNTIF('10月'!DJ32:DK32,"六本木ー夜勤")+COUNTIF('10月'!DO32:DP32,"六本木ー夜勤")+COUNTIF('10月'!DT32:DU32,"六本木ー夜勤")+COUNTIF('10月'!DY32:DZ32,"六本木ー夜勤")+COUNTIF('10月'!ED32:EE32,"六本木ー夜勤")+COUNTIF('10月'!EI32:EJ32,"六本木ー夜勤")+COUNTIF('10月'!EN32:EO32,"六本木ー夜勤")+COUNTIF('10月'!ES32:ET32,"六本木ー夜勤")</f>
        <v>0</v>
      </c>
      <c r="K367" s="76">
        <f t="shared" si="112"/>
        <v>0</v>
      </c>
      <c r="L367" s="76">
        <f>COUNTIF('10月'!D32:E32,L$337)+COUNTIF('10月'!I32:J32,L$337)+COUNTIF('10月'!N32:O32,L$337)+COUNTIF('10月'!S32:T32,L$337)+COUNTIF('10月'!X32:Y32,L$337)+COUNTIF('10月'!AC32:AD32,L$337)+COUNTIF('10月'!AH32:AI32,L$337)+COUNTIF('10月'!AM32:AN32,L$337)+COUNTIF('10月'!AR32:AS32,L$337)+COUNTIF('10月'!AW32:AX32,L$337)+COUNTIF('10月'!BB32:BC32,L$337)+COUNTIF('10月'!BG32:BH32,L$337)+COUNTIF('10月'!BL32:BM32,L$337)+COUNTIF('10月'!BQ32:BR32,L$337)+COUNTIF('10月'!BV32:BW32,L$337)+COUNTIF('10月'!CA32:CB32,L$337)+COUNTIF('10月'!CF32:CG32,L$337)+COUNTIF('10月'!CK32:CL32,L$337)+COUNTIF('10月'!CP32:CQ32,L$337)+COUNTIF('10月'!CU32:CV32,L$337)+COUNTIF('10月'!CZ32:DA32,L$337)+COUNTIF('10月'!DE32:DF32,L$337)+COUNTIF('10月'!DJ32:DK32,L$337)+COUNTIF('10月'!DO32:DP32,L$337)+COUNTIF('10月'!DT32:DU32,L$337)+COUNTIF('10月'!DY32:DZ32,L$337)+COUNTIF('10月'!ED32:EE32,L$337)+COUNTIF('10月'!EI32:EJ32,L$337)+COUNTIF('10月'!EN32:EO32,L$337)+COUNTIF('10月'!ES32:ET32,L$337)</f>
        <v>0</v>
      </c>
      <c r="M367" s="76">
        <f t="shared" si="113"/>
        <v>0</v>
      </c>
      <c r="N367" s="76">
        <f>COUNTIF('10月'!D32:E32,N$337)+COUNTIF('10月'!I32:J32,N$337)+COUNTIF('10月'!N32:O32,N$337)+COUNTIF('10月'!S32:T32,N$337)+COUNTIF('10月'!X32:Y32,N$337)+COUNTIF('10月'!AC32:AD32,N$337)+COUNTIF('10月'!AH32:AI32,N$337)+COUNTIF('10月'!AM32:AN32,N$337)+COUNTIF('10月'!AR32:AS32,N$337)+COUNTIF('10月'!AW32:AX32,N$337)+COUNTIF('10月'!BB32:BC32,N$337)+COUNTIF('10月'!BG32:BH32,N$337)+COUNTIF('10月'!BL32:BM32,N$337)+COUNTIF('10月'!BQ32:BR32,N$337)+COUNTIF('10月'!BV32:BW32,N$337)+COUNTIF('10月'!CA32:CB32,N$337)+COUNTIF('10月'!CF32:CG32,N$337)+COUNTIF('10月'!CK32:CL32,N$337)+COUNTIF('10月'!CP32:CQ32,N$337)+COUNTIF('10月'!CU32:CV32,N$337)+COUNTIF('10月'!CZ32:DA32,N$337)+COUNTIF('10月'!DE32:DF32,N$337)+COUNTIF('10月'!DJ32:DK32,N$337)+COUNTIF('10月'!DO32:DP32,N$337)+COUNTIF('10月'!DT32:DU32,N$337)+COUNTIF('10月'!DY32:DZ32,N$337)+COUNTIF('10月'!ED32:EE32,N$337)+COUNTIF('10月'!EI32:EJ32,N$337)+COUNTIF('10月'!EN32:EO32,N$337)+COUNTIF('10月'!ES32:ET32,N$337)+COUNTIF('10月'!D32:E32,"三軒茶屋－夜勤")+COUNTIF('10月'!I32:J32,"三軒茶屋－夜勤")+COUNTIF('10月'!N32:O32,"三軒茶屋－夜勤")+COUNTIF('10月'!S32:T32,"三軒茶屋－夜勤")+COUNTIF('10月'!X32:Y32,"三軒茶屋－夜勤")+COUNTIF('10月'!AC32:AD32,"三軒茶屋－夜勤")+COUNTIF('10月'!AH32:AI32,"三軒茶屋－夜勤")+COUNTIF('10月'!AM32:AN32,"三軒茶屋－夜勤")+COUNTIF('10月'!AR32:AS32,"三軒茶屋－夜勤")+COUNTIF('10月'!AW32:AX32,"三軒茶屋－夜勤")+COUNTIF('10月'!BB32:BC32,"三軒茶屋－夜勤")+COUNTIF('10月'!BG32:BH32,"三軒茶屋－夜勤")+COUNTIF('10月'!BL32:BM32,"三軒茶屋－夜勤")+COUNTIF('10月'!BQ32:BR32,"三軒茶屋－夜勤")+COUNTIF('10月'!BV32:BW32,"三軒茶屋－夜勤")+COUNTIF('10月'!CA32:CB32,"三軒茶屋－夜勤")+COUNTIF('10月'!CF32:CG32,"三軒茶屋－夜勤")+COUNTIF('10月'!CK32:CL32,"三軒茶屋－夜勤")+COUNTIF('10月'!CP32:CQ32,"三軒茶屋－夜勤")+COUNTIF('10月'!CU32:CV32,"三軒茶屋－夜勤")+COUNTIF('10月'!CZ32:DA32,"三軒茶屋－夜勤")+COUNTIF('10月'!DE32:DF32,"三軒茶屋－夜勤")+COUNTIF('10月'!DJ32:DK32,"三軒茶屋－夜勤")+COUNTIF('10月'!DO32:DP32,"三軒茶屋－夜勤")+COUNTIF('10月'!DT32:DU32,"三軒茶屋－夜勤")+COUNTIF('10月'!DY32:DZ32,"三軒茶屋－夜勤")+COUNTIF('10月'!ED32:EE32,"三軒茶屋－夜勤")+COUNTIF('10月'!EI32:EJ32,"三軒茶屋－夜勤")+COUNTIF('10月'!EN32:EO32,"三軒茶屋－夜勤")+COUNTIF('10月'!ES32:ET32,"三軒茶屋－夜勤")</f>
        <v>0</v>
      </c>
      <c r="O367" s="76">
        <f t="shared" si="114"/>
        <v>0</v>
      </c>
      <c r="P367" s="76">
        <f>COUNTIF('10月'!D32:E32,P$337)+COUNTIF('10月'!I32:J32,P$337)+COUNTIF('10月'!N32:O32,P$337)+COUNTIF('10月'!S32:T32,P$337)+COUNTIF('10月'!X32:Y32,P$337)+COUNTIF('10月'!AC32:AD32,P$337)+COUNTIF('10月'!AH32:AI32,P$337)+COUNTIF('10月'!AM32:AN32,P$337)+COUNTIF('10月'!AR32:AS32,P$337)+COUNTIF('10月'!AW32:AX32,P$337)+COUNTIF('10月'!BB32:BC32,P$337)+COUNTIF('10月'!BG32:BH32,P$337)+COUNTIF('10月'!BL32:BM32,P$337)+COUNTIF('10月'!BQ32:BR32,P$337)+COUNTIF('10月'!BV32:BW32,P$337)+COUNTIF('10月'!CA32:CB32,P$337)+COUNTIF('10月'!CF32:CG32,P$337)+COUNTIF('10月'!CK32:CL32,P$337)+COUNTIF('10月'!CP32:CQ32,P$337)+COUNTIF('10月'!CU32:CV32,P$337)+COUNTIF('10月'!CZ32:DA32,P$337)+COUNTIF('10月'!DE32:DF32,P$337)+COUNTIF('10月'!DJ32:DK32,P$337)+COUNTIF('10月'!DO32:DP32,P$337)+COUNTIF('10月'!DT32:DU32,P$337)+COUNTIF('10月'!DY32:DZ32,P$337)+COUNTIF('10月'!ED32:EE32,P$337)+COUNTIF('10月'!EI32:EJ32,P$337)+COUNTIF('10月'!EN32:EO32,P$337)+COUNTIF('10月'!ES32:ET32,P$337)+COUNTIF('10月'!D32:E32,"荻窪ー夜勤")+COUNTIF('10月'!I32:J32,"荻窪ー夜勤")+COUNTIF('10月'!N32:O32,"荻窪ー夜勤")+COUNTIF('10月'!S32:T32,"荻窪ー夜勤")+COUNTIF('10月'!X32:Y32,"荻窪ー夜勤")+COUNTIF('10月'!AC32:AD32,"荻窪ー夜勤")+COUNTIF('10月'!AH32:AI32,"荻窪ー夜勤")+COUNTIF('10月'!AM32:AN32,"荻窪ー夜勤")+COUNTIF('10月'!AR32:AS32,"荻窪ー夜勤")+COUNTIF('10月'!AW32:AX32,"荻窪ー夜勤")+COUNTIF('10月'!BB32:BC32,"荻窪ー夜勤")+COUNTIF('10月'!BG32:BH32,"荻窪ー夜勤")+COUNTIF('10月'!BL32:BM32,"荻窪ー夜勤")+COUNTIF('10月'!BQ32:BR32,"荻窪ー夜勤")+COUNTIF('10月'!BV32:BW32,"荻窪ー夜勤")+COUNTIF('10月'!CA32:CB32,"荻窪ー夜勤")+COUNTIF('10月'!CF32:CG32,"荻窪ー夜勤")+COUNTIF('10月'!CK32:CL32,"荻窪ー夜勤")+COUNTIF('10月'!CP32:CQ32,"荻窪ー夜勤")+COUNTIF('10月'!CU32:CV32,"荻窪ー夜勤")+COUNTIF('10月'!CZ32:DA32,"荻窪ー夜勤")+COUNTIF('10月'!DE32:DF32,"荻窪ー夜勤")+COUNTIF('10月'!DJ32:DK32,"荻窪ー夜勤")+COUNTIF('10月'!DO32:DP32,"荻窪ー夜勤")+COUNTIF('10月'!DT32:DU32,"荻窪ー夜勤")+COUNTIF('10月'!DY32:DZ32,"荻窪ー夜勤")+COUNTIF('10月'!ED32:EE32,"荻窪ー夜勤")+COUNTIF('10月'!EI32:EJ32,"荻窪ー夜勤")+COUNTIF('10月'!EN32:EO32,"荻窪ー夜勤")+COUNTIF('10月'!ES32:ET32,"荻窪ー夜勤")</f>
        <v>0</v>
      </c>
      <c r="Q367" s="76">
        <f t="shared" si="115"/>
        <v>0</v>
      </c>
      <c r="R367" s="76">
        <f>COUNTIF('10月'!D32:E32,R$337)+COUNTIF('10月'!I32:J32,R$337)+COUNTIF('10月'!N32:O32,R$337)+COUNTIF('10月'!S32:T32,R$337)+COUNTIF('10月'!X32:Y32,R$337)+COUNTIF('10月'!AC32:AD32,R$337)+COUNTIF('10月'!AH32:AI32,R$337)+COUNTIF('10月'!AM32:AN32,R$337)+COUNTIF('10月'!AR32:AS32,R$337)+COUNTIF('10月'!AW32:AX32,R$337)+COUNTIF('10月'!BB32:BC32,R$337)+COUNTIF('10月'!BG32:BH32,R$337)+COUNTIF('10月'!BL32:BM32,R$337)+COUNTIF('10月'!BQ32:BR32,R$337)+COUNTIF('10月'!BV32:BW32,R$337)+COUNTIF('10月'!CA32:CB32,R$337)+COUNTIF('10月'!CF32:CG32,R$337)+COUNTIF('10月'!CK32:CL32,R$337)+COUNTIF('10月'!CP32:CQ32,R$337)+COUNTIF('10月'!CU32:CV32,R$337)+COUNTIF('10月'!CZ32:DA32,R$337)+COUNTIF('10月'!DE32:DF32,R$337)+COUNTIF('10月'!DJ32:DK32,R$337)+COUNTIF('10月'!DO32:DP32,R$337)+COUNTIF('10月'!DT32:DU32,R$337)+COUNTIF('10月'!DY32:DZ32,R$337)+COUNTIF('10月'!ED32:EE32,R$337)+COUNTIF('10月'!EI32:EJ32,R$337)+COUNTIF('10月'!EN32:EO32,R$337)+COUNTIF('10月'!ES32:ET32,R$337)</f>
        <v>0</v>
      </c>
      <c r="S367" s="76">
        <f t="shared" si="116"/>
        <v>0</v>
      </c>
      <c r="T367" s="76">
        <f>COUNTIF('10月'!D32:E32,T$337)+COUNTIF('10月'!I32:J32,T$337)+COUNTIF('10月'!N32:O32,T$337)+COUNTIF('10月'!S32:T32,T$337)+COUNTIF('10月'!X32:Y32,T$337)+COUNTIF('10月'!AC32:AD32,T$337)+COUNTIF('10月'!AH32:AI32,T$337)+COUNTIF('10月'!AM32:AN32,T$337)+COUNTIF('10月'!AR32:AS32,T$337)+COUNTIF('10月'!AW32:AX32,T$337)+COUNTIF('10月'!BB32:BC32,T$337)+COUNTIF('10月'!BG32:BH32,T$337)+COUNTIF('10月'!BL32:BM32,T$337)+COUNTIF('10月'!BQ32:BR32,T$337)+COUNTIF('10月'!BV32:BW32,T$337)+COUNTIF('10月'!CA32:CB32,T$337)+COUNTIF('10月'!CF32:CG32,T$337)+COUNTIF('10月'!CK32:CL32,T$337)+COUNTIF('10月'!CP32:CQ32,T$337)+COUNTIF('10月'!CU32:CV32,T$337)+COUNTIF('10月'!CZ32:DA32,T$337)+COUNTIF('10月'!DE32:DF32,T$337)+COUNTIF('10月'!DJ32:DK32,T$337)+COUNTIF('10月'!DO32:DP32,T$337)+COUNTIF('10月'!DT32:DU32,T$337)+COUNTIF('10月'!DY32:DZ32,T$337)+COUNTIF('10月'!ED32:EE32,T$337)+COUNTIF('10月'!EI32:EJ32,T$337)+COUNTIF('10月'!EN32:EO32,T$337)+COUNTIF('10月'!ES32:ET32,T$337)</f>
        <v>0</v>
      </c>
      <c r="U367" s="76">
        <f t="shared" si="117"/>
        <v>0</v>
      </c>
      <c r="V367" s="76">
        <f>COUNTIF('10月'!D32:E32,V$337)+COUNTIF('10月'!I32:J32,V$337)+COUNTIF('10月'!N32:O32,V$337)+COUNTIF('10月'!S32:T32,V$337)+COUNTIF('10月'!X32:Y32,V$337)+COUNTIF('10月'!AC32:AD32,V$337)+COUNTIF('10月'!AH32:AI32,V$337)+COUNTIF('10月'!AM32:AN32,V$337)+COUNTIF('10月'!AR32:AS32,V$337)+COUNTIF('10月'!AW32:AX32,V$337)+COUNTIF('10月'!BB32:BC32,V$337)+COUNTIF('10月'!BG32:BH32,V$337)+COUNTIF('10月'!BL32:BM32,V$337)+COUNTIF('10月'!BQ32:BR32,V$337)+COUNTIF('10月'!BV32:BW32,V$337)+COUNTIF('10月'!CA32:CB32,V$337)+COUNTIF('10月'!CF32:CG32,V$337)+COUNTIF('10月'!CK32:CL32,V$337)+COUNTIF('10月'!CP32:CQ32,V$337)+COUNTIF('10月'!CU32:CV32,V$337)+COUNTIF('10月'!CZ32:DA32,V$337)+COUNTIF('10月'!DE32:DF32,V$337)+COUNTIF('10月'!DJ32:DK32,V$337)+COUNTIF('10月'!DO32:DP32,V$337)+COUNTIF('10月'!DT32:DU32,V$337)+COUNTIF('10月'!DY32:DZ32,V$337)+COUNTIF('10月'!ED32:EE32,V$337)+COUNTIF('10月'!EI32:EJ32,V$337)+COUNTIF('10月'!EN32:EO32,V$337)+COUNTIF('10月'!ES32:ET32,V$337)</f>
        <v>0</v>
      </c>
      <c r="W367" s="76">
        <f t="shared" si="118"/>
        <v>0</v>
      </c>
      <c r="X367" s="76">
        <f>COUNTIF('10月'!D32:E32,X$337)+COUNTIF('10月'!I32:J32,X$337)+COUNTIF('10月'!N32:O32,X$337)+COUNTIF('10月'!S32:T32,X$337)+COUNTIF('10月'!X32:Y32,X$337)+COUNTIF('10月'!AC32:AD32,X$337)+COUNTIF('10月'!AH32:AI32,X$337)+COUNTIF('10月'!AM32:AN32,X$337)+COUNTIF('10月'!AR32:AS32,X$337)+COUNTIF('10月'!AW32:AX32,X$337)+COUNTIF('10月'!BB32:BC32,X$337)+COUNTIF('10月'!BG32:BH32,X$337)+COUNTIF('10月'!BL32:BM32,X$337)+COUNTIF('10月'!BQ32:BR32,X$337)+COUNTIF('10月'!BV32:BW32,X$337)+COUNTIF('10月'!CA32:CB32,X$337)+COUNTIF('10月'!CF32:CG32,X$337)+COUNTIF('10月'!CK32:CL32,X$337)+COUNTIF('10月'!CP32:CQ32,X$337)+COUNTIF('10月'!CU32:CV32,X$337)+COUNTIF('10月'!CZ32:DA32,X$337)+COUNTIF('10月'!DE32:DF32,X$337)+COUNTIF('10月'!DJ32:DK32,X$337)+COUNTIF('10月'!DO32:DP32,X$337)+COUNTIF('10月'!DT32:DU32,X$337)+COUNTIF('10月'!DY32:DZ32,X$337)+COUNTIF('10月'!ED32:EE32,X$337)+COUNTIF('10月'!EI32:EJ32,X$337)+COUNTIF('10月'!EN32:EO32,X$337)+COUNTIF('10月'!ES32:ET32,X$337)</f>
        <v>0</v>
      </c>
      <c r="Y367" s="76">
        <f t="shared" si="119"/>
        <v>0</v>
      </c>
    </row>
    <row r="368" spans="1:25" ht="18" customHeight="1">
      <c r="A368" s="76">
        <v>30</v>
      </c>
      <c r="B368" s="76">
        <f>COUNTIF('10月'!D33:E33,B$337)+COUNTIF('10月'!I33:J33,B$337)+COUNTIF('10月'!N33:O33,B$337)+COUNTIF('10月'!S33:T33,B$337)+COUNTIF('10月'!X33:Y33,B$337)+COUNTIF('10月'!AC33:AD33,B$337)+COUNTIF('10月'!AH33:AI33,B$337)+COUNTIF('10月'!AM33:AN33,B$337)+COUNTIF('10月'!AR33:AS33,B$337)+COUNTIF('10月'!AW33:AX33,B$337)+COUNTIF('10月'!BB33:BC33,B$337)+COUNTIF('10月'!BG33:BH33,B$337)+COUNTIF('10月'!BL33:BM33,B$337)+COUNTIF('10月'!BQ33:BR33,B$337)+COUNTIF('10月'!BV33:BW33,B$337)+COUNTIF('10月'!CA33:CB33,B$337)+COUNTIF('10月'!CF33:CG33,B$337)+COUNTIF('10月'!CK33:CL33,B$337)+COUNTIF('10月'!CP33:CQ33,B$337)+COUNTIF('10月'!CU33:CV33,B$337)+COUNTIF('10月'!CZ33:DA33,B$337)+COUNTIF('10月'!DE33:DF33,B$337)+COUNTIF('10月'!DJ33:DK33,B$337)+COUNTIF('10月'!DO33:DP33,B$337)+COUNTIF('10月'!DT33:DU33,B$337)+COUNTIF('10月'!DY33:DZ33,B$337)+COUNTIF('10月'!ED33:EE33,B$337)+COUNTIF('10月'!EI33:EJ33,B$337)+COUNTIF('10月'!EN33:EO33,B$337)+COUNTIF('10月'!ES33:ET33,B$337)</f>
        <v>0</v>
      </c>
      <c r="C368" s="76">
        <f t="shared" si="108"/>
        <v>0</v>
      </c>
      <c r="D368" s="76">
        <f>COUNTIF('10月'!D33:E33,D$337)+COUNTIF('10月'!I33:J33,D$337)+COUNTIF('10月'!N33:O33,D$337)+COUNTIF('10月'!S33:T33,D$337)+COUNTIF('10月'!X33:Y33,D$337)+COUNTIF('10月'!AC33:AD33,D$337)+COUNTIF('10月'!AH33:AI33,D$337)+COUNTIF('10月'!AM33:AN33,D$337)+COUNTIF('10月'!AR33:AS33,D$337)+COUNTIF('10月'!AW33:AX33,D$337)+COUNTIF('10月'!BB33:BC33,D$337)+COUNTIF('10月'!BG33:BH33,D$337)+COUNTIF('10月'!BL33:BM33,D$337)+COUNTIF('10月'!BQ33:BR33,D$337)+COUNTIF('10月'!BV33:BW33,D$337)+COUNTIF('10月'!CA33:CB33,D$337)+COUNTIF('10月'!CF33:CG33,D$337)+COUNTIF('10月'!CK33:CL33,D$337)+COUNTIF('10月'!CP33:CQ33,D$337)+COUNTIF('10月'!CU33:CV33,D$337)+COUNTIF('10月'!CZ33:DA33,D$337)+COUNTIF('10月'!DE33:DF33,D$337)+COUNTIF('10月'!DJ33:DK33,D$337)+COUNTIF('10月'!DO33:DP33,D$337)+COUNTIF('10月'!DT33:DU33,D$337)+COUNTIF('10月'!DY33:DZ33,D$337)+COUNTIF('10月'!ED33:EE33,D$337)+COUNTIF('10月'!EI33:EJ33,D$337)+COUNTIF('10月'!EN33:EO33,D$337)+COUNTIF('10月'!ES33:ET33,D$337)</f>
        <v>0</v>
      </c>
      <c r="E368" s="76">
        <f t="shared" si="109"/>
        <v>0</v>
      </c>
      <c r="F368" s="76">
        <f>COUNTIF('10月'!D33:E33,F$337)+COUNTIF('10月'!I33:J33,F$337)+COUNTIF('10月'!N33:O33,F$337)+COUNTIF('10月'!S33:T33,F$337)+COUNTIF('10月'!X33:Y33,F$337)+COUNTIF('10月'!AC33:AD33,F$337)+COUNTIF('10月'!AH33:AI33,F$337)+COUNTIF('10月'!AM33:AN33,F$337)+COUNTIF('10月'!AR33:AS33,F$337)+COUNTIF('10月'!AW33:AX33,F$337)+COUNTIF('10月'!BB33:BC33,F$337)+COUNTIF('10月'!BG33:BH33,F$337)+COUNTIF('10月'!BL33:BM33,F$337)+COUNTIF('10月'!BQ33:BR33,F$337)+COUNTIF('10月'!BV33:BW33,F$337)+COUNTIF('10月'!CA33:CB33,F$337)+COUNTIF('10月'!CF33:CG33,F$337)+COUNTIF('10月'!CK33:CL33,F$337)+COUNTIF('10月'!CP33:CQ33,F$337)+COUNTIF('10月'!CU33:CV33,F$337)+COUNTIF('10月'!CZ33:DA33,F$337)+COUNTIF('10月'!DE33:DF33,F$337)+COUNTIF('10月'!DJ33:DK33,F$337)+COUNTIF('10月'!DO33:DP33,F$337)+COUNTIF('10月'!DT33:DU33,F$337)+COUNTIF('10月'!DY33:DZ33,F$337)+COUNTIF('10月'!ED33:EE33,F$337)+COUNTIF('10月'!EI33:EJ33,F$337)+COUNTIF('10月'!EN33:EO33,F$337)+COUNTIF('10月'!ES33:ET33,F$337)</f>
        <v>0</v>
      </c>
      <c r="G368" s="76">
        <f t="shared" si="110"/>
        <v>0</v>
      </c>
      <c r="H368" s="76">
        <f>COUNTIF('10月'!D33:E33,H$337)+COUNTIF('10月'!I33:J33,H$337)+COUNTIF('10月'!N33:O33,H$337)+COUNTIF('10月'!S33:T33,H$337)+COUNTIF('10月'!X33:Y33,H$337)+COUNTIF('10月'!AC33:AD33,H$337)+COUNTIF('10月'!AH33:AI33,H$337)+COUNTIF('10月'!AM33:AN33,H$337)+COUNTIF('10月'!AR33:AS33,H$337)+COUNTIF('10月'!AW33:AX33,H$337)+COUNTIF('10月'!BB33:BC33,H$337)+COUNTIF('10月'!BG33:BH33,H$337)+COUNTIF('10月'!BL33:BM33,H$337)+COUNTIF('10月'!BQ33:BR33,H$337)+COUNTIF('10月'!BV33:BW33,H$337)+COUNTIF('10月'!CA33:CB33,H$337)+COUNTIF('10月'!CF33:CG33,H$337)+COUNTIF('10月'!CK33:CL33,H$337)+COUNTIF('10月'!CP33:CQ33,H$337)+COUNTIF('10月'!CU33:CV33,H$337)+COUNTIF('10月'!CZ33:DA33,H$337)+COUNTIF('10月'!DE33:DF33,H$337)+COUNTIF('10月'!DJ33:DK33,H$337)+COUNTIF('10月'!DO33:DP33,H$337)+COUNTIF('10月'!DT33:DU33,H$337)+COUNTIF('10月'!DY33:DZ33,H$337)+COUNTIF('10月'!ED33:EE33,H$337)+COUNTIF('10月'!EI33:EJ33,H$337)+COUNTIF('10月'!EN33:EO33,H$337)+COUNTIF('10月'!ES33:ET33,H$337)+COUNTIF('10月'!D33:E33,"渋谷-夜勤")+COUNTIF('10月'!I33:J33,"渋谷-夜勤")+COUNTIF('10月'!N33:O33,"渋谷-夜勤")+COUNTIF('10月'!S33:T33,"渋谷-夜勤")+COUNTIF('10月'!X33:Y33,"渋谷-夜勤")+COUNTIF('10月'!AC33:AD33,"渋谷-夜勤")+COUNTIF('10月'!AH33:AI33,"渋谷-夜勤")+COUNTIF('10月'!AM33:AN33,"渋谷-夜勤")+COUNTIF('10月'!AR33:AS33,"渋谷-夜勤")+COUNTIF('10月'!AW33:AX33,"渋谷-夜勤")+COUNTIF('10月'!BB33:BC33,"渋谷-夜勤")+COUNTIF('10月'!BG33:BH33,"渋谷-夜勤")+COUNTIF('10月'!BL33:BM33,"渋谷-夜勤")+COUNTIF('10月'!BQ33:BR33,"渋谷-夜勤")+COUNTIF('10月'!BV33:BW33,"渋谷-夜勤")+COUNTIF('10月'!CA33:CB33,"渋谷-夜勤")+COUNTIF('10月'!CF33:CG33,"渋谷-夜勤")+COUNTIF('10月'!CK33:CL33,"渋谷-夜勤")+COUNTIF('10月'!CP33:CQ33,"渋谷-夜勤")+COUNTIF('10月'!CU33:CV33,"渋谷-夜勤")+COUNTIF('10月'!CZ33:DA33,"渋谷-夜勤")+COUNTIF('10月'!DE33:DF33,"渋谷-夜勤")+COUNTIF('10月'!DJ33:DK33,"渋谷-夜勤")+COUNTIF('10月'!DO33:DP33,"渋谷-夜勤")+COUNTIF('10月'!DT33:DU33,"渋谷-夜勤")+COUNTIF('10月'!DY33:DZ33,"渋谷-夜勤")+COUNTIF('10月'!ED33:EE33,"渋谷-夜勤")+COUNTIF('10月'!EI33:EJ33,"渋谷-夜勤")+COUNTIF('10月'!EN33:EO33,"渋谷-夜勤")+COUNTIF('10月'!ES33:ET33,"渋谷-夜勤")</f>
        <v>0</v>
      </c>
      <c r="I368" s="76">
        <f t="shared" si="111"/>
        <v>0</v>
      </c>
      <c r="J368" s="76">
        <f>COUNTIF('10月'!D33:E33,J$337)+COUNTIF('10月'!I33:J33,J$337)+COUNTIF('10月'!N33:O33,J$337)+COUNTIF('10月'!S33:T33,J$337)+COUNTIF('10月'!X33:Y33,J$337)+COUNTIF('10月'!AC33:AD33,J$337)+COUNTIF('10月'!AH33:AI33,J$337)+COUNTIF('10月'!AM33:AN33,J$337)+COUNTIF('10月'!AR33:AS33,J$337)+COUNTIF('10月'!AW33:AX33,J$337)+COUNTIF('10月'!BB33:BC33,J$337)+COUNTIF('10月'!BG33:BH33,J$337)+COUNTIF('10月'!BL33:BM33,J$337)+COUNTIF('10月'!BQ33:BR33,J$337)+COUNTIF('10月'!BV33:BW33,J$337)+COUNTIF('10月'!CA33:CB33,J$337)+COUNTIF('10月'!CF33:CG33,J$337)+COUNTIF('10月'!CK33:CL33,J$337)+COUNTIF('10月'!CP33:CQ33,J$337)+COUNTIF('10月'!CU33:CV33,J$337)+COUNTIF('10月'!CZ33:DA33,J$337)+COUNTIF('10月'!DE33:DF33,J$337)+COUNTIF('10月'!DJ33:DK33,J$337)+COUNTIF('10月'!DO33:DP33,J$337)+COUNTIF('10月'!DT33:DU33,J$337)+COUNTIF('10月'!DY33:DZ33,J$337)+COUNTIF('10月'!ED33:EE33,J$337)+COUNTIF('10月'!EI33:EJ33,J$337)+COUNTIF('10月'!EN33:EO33,J$337)+COUNTIF('10月'!ES33:ET33,J$337)+COUNTIF('10月'!D33:E33,"六本木-夜勤")+COUNTIF('10月'!I33:J33,"六本木-夜勤")+COUNTIF('10月'!N33:O33,"六本木-夜勤")+COUNTIF('10月'!S33:T33,"六本木-夜勤")+COUNTIF('10月'!X33:Y33,"六本木-夜勤")+COUNTIF('10月'!AC33:AD33,"六本木-夜勤")+COUNTIF('10月'!AH33:AI33,"六本木-夜勤")+COUNTIF('10月'!AM33:AN33,"六本木-夜勤")+COUNTIF('10月'!AR33:AS33,"六本木-夜勤")+COUNTIF('10月'!AW33:AX33,"六本木-夜勤")+COUNTIF('10月'!BB33:BC33,"六本木-夜勤")+COUNTIF('10月'!BG33:BH33,"六本木-夜勤")+COUNTIF('10月'!BL33:BM33,"六本木-夜勤")+COUNTIF('10月'!BQ33:BR33,"六本木-夜勤")+COUNTIF('10月'!BV33:BW33,"六本木-夜勤")+COUNTIF('10月'!CA33:CB33,"六本木-夜勤")+COUNTIF('10月'!CF33:CG33,"六本木-夜勤")+COUNTIF('10月'!CK33:CL33,"六本木-夜勤")+COUNTIF('10月'!CP33:CQ33,"六本木-夜勤")+COUNTIF('10月'!CU33:CV33,"六本木-夜勤")+COUNTIF('10月'!CZ33:DA33,"六本木-夜勤")+COUNTIF('10月'!DE33:DF33,"六本木-夜勤")+COUNTIF('10月'!DJ33:DK33,"六本木-夜勤")+COUNTIF('10月'!DO33:DP33,"六本木-夜勤")+COUNTIF('10月'!DT33:DU33,"六本木-夜勤")+COUNTIF('10月'!DY33:DZ33,"六本木-夜勤")+COUNTIF('10月'!ED33:EE33,"六本木-夜勤")+COUNTIF('10月'!EI33:EJ33,"六本木-夜勤")+COUNTIF('10月'!EN33:EO33,"六本木-夜勤")+COUNTIF('10月'!ES33:ET33,"六本木-夜勤")+COUNTIF('10月'!D33:E33,"六本木ー夜勤")+COUNTIF('10月'!I33:J33,"六本木ー夜勤")+COUNTIF('10月'!N33:O33,"六本木ー夜勤")+COUNTIF('10月'!S33:T33,"六本木ー夜勤")+COUNTIF('10月'!X33:Y33,"六本木ー夜勤")+COUNTIF('10月'!AC33:AD33,"六本木ー夜勤")+COUNTIF('10月'!AH33:AI33,"六本木ー夜勤")+COUNTIF('10月'!AM33:AN33,"六本木ー夜勤")+COUNTIF('10月'!AR33:AS33,"六本木ー夜勤")+COUNTIF('10月'!AW33:AX33,"六本木ー夜勤")+COUNTIF('10月'!BB33:BC33,"六本木ー夜勤")+COUNTIF('10月'!BG33:BH33,"六本木ー夜勤")+COUNTIF('10月'!BL33:BM33,"六本木ー夜勤")+COUNTIF('10月'!BQ33:BR33,"六本木ー夜勤")+COUNTIF('10月'!BV33:BW33,"六本木ー夜勤")+COUNTIF('10月'!CA33:CB33,"六本木ー夜勤")+COUNTIF('10月'!CF33:CG33,"六本木ー夜勤")+COUNTIF('10月'!CK33:CL33,"六本木ー夜勤")+COUNTIF('10月'!CP33:CQ33,"六本木ー夜勤")+COUNTIF('10月'!CU33:CV33,"六本木ー夜勤")+COUNTIF('10月'!CZ33:DA33,"六本木ー夜勤")+COUNTIF('10月'!DE33:DF33,"六本木ー夜勤")+COUNTIF('10月'!DJ33:DK33,"六本木ー夜勤")+COUNTIF('10月'!DO33:DP33,"六本木ー夜勤")+COUNTIF('10月'!DT33:DU33,"六本木ー夜勤")+COUNTIF('10月'!DY33:DZ33,"六本木ー夜勤")+COUNTIF('10月'!ED33:EE33,"六本木ー夜勤")+COUNTIF('10月'!EI33:EJ33,"六本木ー夜勤")+COUNTIF('10月'!EN33:EO33,"六本木ー夜勤")+COUNTIF('10月'!ES33:ET33,"六本木ー夜勤")</f>
        <v>0</v>
      </c>
      <c r="K368" s="76">
        <f t="shared" si="112"/>
        <v>0</v>
      </c>
      <c r="L368" s="76">
        <f>COUNTIF('10月'!D33:E33,L$337)+COUNTIF('10月'!I33:J33,L$337)+COUNTIF('10月'!N33:O33,L$337)+COUNTIF('10月'!S33:T33,L$337)+COUNTIF('10月'!X33:Y33,L$337)+COUNTIF('10月'!AC33:AD33,L$337)+COUNTIF('10月'!AH33:AI33,L$337)+COUNTIF('10月'!AM33:AN33,L$337)+COUNTIF('10月'!AR33:AS33,L$337)+COUNTIF('10月'!AW33:AX33,L$337)+COUNTIF('10月'!BB33:BC33,L$337)+COUNTIF('10月'!BG33:BH33,L$337)+COUNTIF('10月'!BL33:BM33,L$337)+COUNTIF('10月'!BQ33:BR33,L$337)+COUNTIF('10月'!BV33:BW33,L$337)+COUNTIF('10月'!CA33:CB33,L$337)+COUNTIF('10月'!CF33:CG33,L$337)+COUNTIF('10月'!CK33:CL33,L$337)+COUNTIF('10月'!CP33:CQ33,L$337)+COUNTIF('10月'!CU33:CV33,L$337)+COUNTIF('10月'!CZ33:DA33,L$337)+COUNTIF('10月'!DE33:DF33,L$337)+COUNTIF('10月'!DJ33:DK33,L$337)+COUNTIF('10月'!DO33:DP33,L$337)+COUNTIF('10月'!DT33:DU33,L$337)+COUNTIF('10月'!DY33:DZ33,L$337)+COUNTIF('10月'!ED33:EE33,L$337)+COUNTIF('10月'!EI33:EJ33,L$337)+COUNTIF('10月'!EN33:EO33,L$337)+COUNTIF('10月'!ES33:ET33,L$337)</f>
        <v>0</v>
      </c>
      <c r="M368" s="76">
        <f t="shared" si="113"/>
        <v>0</v>
      </c>
      <c r="N368" s="76">
        <f>COUNTIF('10月'!D33:E33,N$337)+COUNTIF('10月'!I33:J33,N$337)+COUNTIF('10月'!N33:O33,N$337)+COUNTIF('10月'!S33:T33,N$337)+COUNTIF('10月'!X33:Y33,N$337)+COUNTIF('10月'!AC33:AD33,N$337)+COUNTIF('10月'!AH33:AI33,N$337)+COUNTIF('10月'!AM33:AN33,N$337)+COUNTIF('10月'!AR33:AS33,N$337)+COUNTIF('10月'!AW33:AX33,N$337)+COUNTIF('10月'!BB33:BC33,N$337)+COUNTIF('10月'!BG33:BH33,N$337)+COUNTIF('10月'!BL33:BM33,N$337)+COUNTIF('10月'!BQ33:BR33,N$337)+COUNTIF('10月'!BV33:BW33,N$337)+COUNTIF('10月'!CA33:CB33,N$337)+COUNTIF('10月'!CF33:CG33,N$337)+COUNTIF('10月'!CK33:CL33,N$337)+COUNTIF('10月'!CP33:CQ33,N$337)+COUNTIF('10月'!CU33:CV33,N$337)+COUNTIF('10月'!CZ33:DA33,N$337)+COUNTIF('10月'!DE33:DF33,N$337)+COUNTIF('10月'!DJ33:DK33,N$337)+COUNTIF('10月'!DO33:DP33,N$337)+COUNTIF('10月'!DT33:DU33,N$337)+COUNTIF('10月'!DY33:DZ33,N$337)+COUNTIF('10月'!ED33:EE33,N$337)+COUNTIF('10月'!EI33:EJ33,N$337)+COUNTIF('10月'!EN33:EO33,N$337)+COUNTIF('10月'!ES33:ET33,N$337)+COUNTIF('10月'!D33:E33,"三軒茶屋－夜勤")+COUNTIF('10月'!I33:J33,"三軒茶屋－夜勤")+COUNTIF('10月'!N33:O33,"三軒茶屋－夜勤")+COUNTIF('10月'!S33:T33,"三軒茶屋－夜勤")+COUNTIF('10月'!X33:Y33,"三軒茶屋－夜勤")+COUNTIF('10月'!AC33:AD33,"三軒茶屋－夜勤")+COUNTIF('10月'!AH33:AI33,"三軒茶屋－夜勤")+COUNTIF('10月'!AM33:AN33,"三軒茶屋－夜勤")+COUNTIF('10月'!AR33:AS33,"三軒茶屋－夜勤")+COUNTIF('10月'!AW33:AX33,"三軒茶屋－夜勤")+COUNTIF('10月'!BB33:BC33,"三軒茶屋－夜勤")+COUNTIF('10月'!BG33:BH33,"三軒茶屋－夜勤")+COUNTIF('10月'!BL33:BM33,"三軒茶屋－夜勤")+COUNTIF('10月'!BQ33:BR33,"三軒茶屋－夜勤")+COUNTIF('10月'!BV33:BW33,"三軒茶屋－夜勤")+COUNTIF('10月'!CA33:CB33,"三軒茶屋－夜勤")+COUNTIF('10月'!CF33:CG33,"三軒茶屋－夜勤")+COUNTIF('10月'!CK33:CL33,"三軒茶屋－夜勤")+COUNTIF('10月'!CP33:CQ33,"三軒茶屋－夜勤")+COUNTIF('10月'!CU33:CV33,"三軒茶屋－夜勤")+COUNTIF('10月'!CZ33:DA33,"三軒茶屋－夜勤")+COUNTIF('10月'!DE33:DF33,"三軒茶屋－夜勤")+COUNTIF('10月'!DJ33:DK33,"三軒茶屋－夜勤")+COUNTIF('10月'!DO33:DP33,"三軒茶屋－夜勤")+COUNTIF('10月'!DT33:DU33,"三軒茶屋－夜勤")+COUNTIF('10月'!DY33:DZ33,"三軒茶屋－夜勤")+COUNTIF('10月'!ED33:EE33,"三軒茶屋－夜勤")+COUNTIF('10月'!EI33:EJ33,"三軒茶屋－夜勤")+COUNTIF('10月'!EN33:EO33,"三軒茶屋－夜勤")+COUNTIF('10月'!ES33:ET33,"三軒茶屋－夜勤")</f>
        <v>0</v>
      </c>
      <c r="O368" s="76">
        <f t="shared" si="114"/>
        <v>0</v>
      </c>
      <c r="P368" s="76">
        <f>COUNTIF('10月'!D33:E33,P$337)+COUNTIF('10月'!I33:J33,P$337)+COUNTIF('10月'!N33:O33,P$337)+COUNTIF('10月'!S33:T33,P$337)+COUNTIF('10月'!X33:Y33,P$337)+COUNTIF('10月'!AC33:AD33,P$337)+COUNTIF('10月'!AH33:AI33,P$337)+COUNTIF('10月'!AM33:AN33,P$337)+COUNTIF('10月'!AR33:AS33,P$337)+COUNTIF('10月'!AW33:AX33,P$337)+COUNTIF('10月'!BB33:BC33,P$337)+COUNTIF('10月'!BG33:BH33,P$337)+COUNTIF('10月'!BL33:BM33,P$337)+COUNTIF('10月'!BQ33:BR33,P$337)+COUNTIF('10月'!BV33:BW33,P$337)+COUNTIF('10月'!CA33:CB33,P$337)+COUNTIF('10月'!CF33:CG33,P$337)+COUNTIF('10月'!CK33:CL33,P$337)+COUNTIF('10月'!CP33:CQ33,P$337)+COUNTIF('10月'!CU33:CV33,P$337)+COUNTIF('10月'!CZ33:DA33,P$337)+COUNTIF('10月'!DE33:DF33,P$337)+COUNTIF('10月'!DJ33:DK33,P$337)+COUNTIF('10月'!DO33:DP33,P$337)+COUNTIF('10月'!DT33:DU33,P$337)+COUNTIF('10月'!DY33:DZ33,P$337)+COUNTIF('10月'!ED33:EE33,P$337)+COUNTIF('10月'!EI33:EJ33,P$337)+COUNTIF('10月'!EN33:EO33,P$337)+COUNTIF('10月'!ES33:ET33,P$337)+COUNTIF('10月'!D33:E33,"荻窪ー夜勤")+COUNTIF('10月'!I33:J33,"荻窪ー夜勤")+COUNTIF('10月'!N33:O33,"荻窪ー夜勤")+COUNTIF('10月'!S33:T33,"荻窪ー夜勤")+COUNTIF('10月'!X33:Y33,"荻窪ー夜勤")+COUNTIF('10月'!AC33:AD33,"荻窪ー夜勤")+COUNTIF('10月'!AH33:AI33,"荻窪ー夜勤")+COUNTIF('10月'!AM33:AN33,"荻窪ー夜勤")+COUNTIF('10月'!AR33:AS33,"荻窪ー夜勤")+COUNTIF('10月'!AW33:AX33,"荻窪ー夜勤")+COUNTIF('10月'!BB33:BC33,"荻窪ー夜勤")+COUNTIF('10月'!BG33:BH33,"荻窪ー夜勤")+COUNTIF('10月'!BL33:BM33,"荻窪ー夜勤")+COUNTIF('10月'!BQ33:BR33,"荻窪ー夜勤")+COUNTIF('10月'!BV33:BW33,"荻窪ー夜勤")+COUNTIF('10月'!CA33:CB33,"荻窪ー夜勤")+COUNTIF('10月'!CF33:CG33,"荻窪ー夜勤")+COUNTIF('10月'!CK33:CL33,"荻窪ー夜勤")+COUNTIF('10月'!CP33:CQ33,"荻窪ー夜勤")+COUNTIF('10月'!CU33:CV33,"荻窪ー夜勤")+COUNTIF('10月'!CZ33:DA33,"荻窪ー夜勤")+COUNTIF('10月'!DE33:DF33,"荻窪ー夜勤")+COUNTIF('10月'!DJ33:DK33,"荻窪ー夜勤")+COUNTIF('10月'!DO33:DP33,"荻窪ー夜勤")+COUNTIF('10月'!DT33:DU33,"荻窪ー夜勤")+COUNTIF('10月'!DY33:DZ33,"荻窪ー夜勤")+COUNTIF('10月'!ED33:EE33,"荻窪ー夜勤")+COUNTIF('10月'!EI33:EJ33,"荻窪ー夜勤")+COUNTIF('10月'!EN33:EO33,"荻窪ー夜勤")+COUNTIF('10月'!ES33:ET33,"荻窪ー夜勤")</f>
        <v>0</v>
      </c>
      <c r="Q368" s="76">
        <f t="shared" si="115"/>
        <v>0</v>
      </c>
      <c r="R368" s="76">
        <f>COUNTIF('10月'!D33:E33,R$337)+COUNTIF('10月'!I33:J33,R$337)+COUNTIF('10月'!N33:O33,R$337)+COUNTIF('10月'!S33:T33,R$337)+COUNTIF('10月'!X33:Y33,R$337)+COUNTIF('10月'!AC33:AD33,R$337)+COUNTIF('10月'!AH33:AI33,R$337)+COUNTIF('10月'!AM33:AN33,R$337)+COUNTIF('10月'!AR33:AS33,R$337)+COUNTIF('10月'!AW33:AX33,R$337)+COUNTIF('10月'!BB33:BC33,R$337)+COUNTIF('10月'!BG33:BH33,R$337)+COUNTIF('10月'!BL33:BM33,R$337)+COUNTIF('10月'!BQ33:BR33,R$337)+COUNTIF('10月'!BV33:BW33,R$337)+COUNTIF('10月'!CA33:CB33,R$337)+COUNTIF('10月'!CF33:CG33,R$337)+COUNTIF('10月'!CK33:CL33,R$337)+COUNTIF('10月'!CP33:CQ33,R$337)+COUNTIF('10月'!CU33:CV33,R$337)+COUNTIF('10月'!CZ33:DA33,R$337)+COUNTIF('10月'!DE33:DF33,R$337)+COUNTIF('10月'!DJ33:DK33,R$337)+COUNTIF('10月'!DO33:DP33,R$337)+COUNTIF('10月'!DT33:DU33,R$337)+COUNTIF('10月'!DY33:DZ33,R$337)+COUNTIF('10月'!ED33:EE33,R$337)+COUNTIF('10月'!EI33:EJ33,R$337)+COUNTIF('10月'!EN33:EO33,R$337)+COUNTIF('10月'!ES33:ET33,R$337)</f>
        <v>0</v>
      </c>
      <c r="S368" s="76">
        <f t="shared" si="116"/>
        <v>0</v>
      </c>
      <c r="T368" s="76">
        <f>COUNTIF('10月'!D33:E33,T$337)+COUNTIF('10月'!I33:J33,T$337)+COUNTIF('10月'!N33:O33,T$337)+COUNTIF('10月'!S33:T33,T$337)+COUNTIF('10月'!X33:Y33,T$337)+COUNTIF('10月'!AC33:AD33,T$337)+COUNTIF('10月'!AH33:AI33,T$337)+COUNTIF('10月'!AM33:AN33,T$337)+COUNTIF('10月'!AR33:AS33,T$337)+COUNTIF('10月'!AW33:AX33,T$337)+COUNTIF('10月'!BB33:BC33,T$337)+COUNTIF('10月'!BG33:BH33,T$337)+COUNTIF('10月'!BL33:BM33,T$337)+COUNTIF('10月'!BQ33:BR33,T$337)+COUNTIF('10月'!BV33:BW33,T$337)+COUNTIF('10月'!CA33:CB33,T$337)+COUNTIF('10月'!CF33:CG33,T$337)+COUNTIF('10月'!CK33:CL33,T$337)+COUNTIF('10月'!CP33:CQ33,T$337)+COUNTIF('10月'!CU33:CV33,T$337)+COUNTIF('10月'!CZ33:DA33,T$337)+COUNTIF('10月'!DE33:DF33,T$337)+COUNTIF('10月'!DJ33:DK33,T$337)+COUNTIF('10月'!DO33:DP33,T$337)+COUNTIF('10月'!DT33:DU33,T$337)+COUNTIF('10月'!DY33:DZ33,T$337)+COUNTIF('10月'!ED33:EE33,T$337)+COUNTIF('10月'!EI33:EJ33,T$337)+COUNTIF('10月'!EN33:EO33,T$337)+COUNTIF('10月'!ES33:ET33,T$337)</f>
        <v>0</v>
      </c>
      <c r="U368" s="76">
        <f t="shared" si="117"/>
        <v>0</v>
      </c>
      <c r="V368" s="76">
        <f>COUNTIF('10月'!D33:E33,V$337)+COUNTIF('10月'!I33:J33,V$337)+COUNTIF('10月'!N33:O33,V$337)+COUNTIF('10月'!S33:T33,V$337)+COUNTIF('10月'!X33:Y33,V$337)+COUNTIF('10月'!AC33:AD33,V$337)+COUNTIF('10月'!AH33:AI33,V$337)+COUNTIF('10月'!AM33:AN33,V$337)+COUNTIF('10月'!AR33:AS33,V$337)+COUNTIF('10月'!AW33:AX33,V$337)+COUNTIF('10月'!BB33:BC33,V$337)+COUNTIF('10月'!BG33:BH33,V$337)+COUNTIF('10月'!BL33:BM33,V$337)+COUNTIF('10月'!BQ33:BR33,V$337)+COUNTIF('10月'!BV33:BW33,V$337)+COUNTIF('10月'!CA33:CB33,V$337)+COUNTIF('10月'!CF33:CG33,V$337)+COUNTIF('10月'!CK33:CL33,V$337)+COUNTIF('10月'!CP33:CQ33,V$337)+COUNTIF('10月'!CU33:CV33,V$337)+COUNTIF('10月'!CZ33:DA33,V$337)+COUNTIF('10月'!DE33:DF33,V$337)+COUNTIF('10月'!DJ33:DK33,V$337)+COUNTIF('10月'!DO33:DP33,V$337)+COUNTIF('10月'!DT33:DU33,V$337)+COUNTIF('10月'!DY33:DZ33,V$337)+COUNTIF('10月'!ED33:EE33,V$337)+COUNTIF('10月'!EI33:EJ33,V$337)+COUNTIF('10月'!EN33:EO33,V$337)+COUNTIF('10月'!ES33:ET33,V$337)</f>
        <v>0</v>
      </c>
      <c r="W368" s="76">
        <f t="shared" si="118"/>
        <v>0</v>
      </c>
      <c r="X368" s="76">
        <f>COUNTIF('10月'!D33:E33,X$337)+COUNTIF('10月'!I33:J33,X$337)+COUNTIF('10月'!N33:O33,X$337)+COUNTIF('10月'!S33:T33,X$337)+COUNTIF('10月'!X33:Y33,X$337)+COUNTIF('10月'!AC33:AD33,X$337)+COUNTIF('10月'!AH33:AI33,X$337)+COUNTIF('10月'!AM33:AN33,X$337)+COUNTIF('10月'!AR33:AS33,X$337)+COUNTIF('10月'!AW33:AX33,X$337)+COUNTIF('10月'!BB33:BC33,X$337)+COUNTIF('10月'!BG33:BH33,X$337)+COUNTIF('10月'!BL33:BM33,X$337)+COUNTIF('10月'!BQ33:BR33,X$337)+COUNTIF('10月'!BV33:BW33,X$337)+COUNTIF('10月'!CA33:CB33,X$337)+COUNTIF('10月'!CF33:CG33,X$337)+COUNTIF('10月'!CK33:CL33,X$337)+COUNTIF('10月'!CP33:CQ33,X$337)+COUNTIF('10月'!CU33:CV33,X$337)+COUNTIF('10月'!CZ33:DA33,X$337)+COUNTIF('10月'!DE33:DF33,X$337)+COUNTIF('10月'!DJ33:DK33,X$337)+COUNTIF('10月'!DO33:DP33,X$337)+COUNTIF('10月'!DT33:DU33,X$337)+COUNTIF('10月'!DY33:DZ33,X$337)+COUNTIF('10月'!ED33:EE33,X$337)+COUNTIF('10月'!EI33:EJ33,X$337)+COUNTIF('10月'!EN33:EO33,X$337)+COUNTIF('10月'!ES33:ET33,X$337)</f>
        <v>0</v>
      </c>
      <c r="Y368" s="76">
        <f t="shared" si="119"/>
        <v>0</v>
      </c>
    </row>
    <row r="369" spans="1:25" ht="18" customHeight="1">
      <c r="A369" s="76">
        <v>31</v>
      </c>
      <c r="B369" s="76">
        <f>COUNTIF('10月'!D34:E34,B$337)+COUNTIF('10月'!I34:J34,B$337)+COUNTIF('10月'!N34:O34,B$337)+COUNTIF('10月'!S34:T34,B$337)+COUNTIF('10月'!X34:Y34,B$337)+COUNTIF('10月'!AC34:AD34,B$337)+COUNTIF('10月'!AH34:AI34,B$337)+COUNTIF('10月'!AM34:AN34,B$337)+COUNTIF('10月'!AR34:AS34,B$337)+COUNTIF('10月'!AW34:AX34,B$337)+COUNTIF('10月'!BB34:BC34,B$337)+COUNTIF('10月'!BG34:BH34,B$337)+COUNTIF('10月'!BL34:BM34,B$337)+COUNTIF('10月'!BQ34:BR34,B$337)+COUNTIF('10月'!BV34:BW34,B$337)+COUNTIF('10月'!CA34:CB34,B$337)+COUNTIF('10月'!CF34:CG34,B$337)+COUNTIF('10月'!CK34:CL34,B$337)+COUNTIF('10月'!CP34:CQ34,B$337)+COUNTIF('10月'!CU34:CV34,B$337)+COUNTIF('10月'!CZ34:DA34,B$337)+COUNTIF('10月'!DE34:DF34,B$337)+COUNTIF('10月'!DJ34:DK34,B$337)+COUNTIF('10月'!DO34:DP34,B$337)+COUNTIF('10月'!DT34:DU34,B$337)+COUNTIF('10月'!DY34:DZ34,B$337)+COUNTIF('10月'!ED34:EE34,B$337)+COUNTIF('10月'!EI34:EJ34,B$337)+COUNTIF('10月'!EN34:EO34,B$337)+COUNTIF('10月'!ES34:ET34,B$337)</f>
        <v>0</v>
      </c>
      <c r="C369" s="76">
        <f t="shared" si="108"/>
        <v>0</v>
      </c>
      <c r="D369" s="76">
        <f>COUNTIF('10月'!D34:E34,D$337)+COUNTIF('10月'!I34:J34,D$337)+COUNTIF('10月'!N34:O34,D$337)+COUNTIF('10月'!S34:T34,D$337)+COUNTIF('10月'!X34:Y34,D$337)+COUNTIF('10月'!AC34:AD34,D$337)+COUNTIF('10月'!AH34:AI34,D$337)+COUNTIF('10月'!AM34:AN34,D$337)+COUNTIF('10月'!AR34:AS34,D$337)+COUNTIF('10月'!AW34:AX34,D$337)+COUNTIF('10月'!BB34:BC34,D$337)+COUNTIF('10月'!BG34:BH34,D$337)+COUNTIF('10月'!BL34:BM34,D$337)+COUNTIF('10月'!BQ34:BR34,D$337)+COUNTIF('10月'!BV34:BW34,D$337)+COUNTIF('10月'!CA34:CB34,D$337)+COUNTIF('10月'!CF34:CG34,D$337)+COUNTIF('10月'!CK34:CL34,D$337)+COUNTIF('10月'!CP34:CQ34,D$337)+COUNTIF('10月'!CU34:CV34,D$337)+COUNTIF('10月'!CZ34:DA34,D$337)+COUNTIF('10月'!DE34:DF34,D$337)+COUNTIF('10月'!DJ34:DK34,D$337)+COUNTIF('10月'!DO34:DP34,D$337)+COUNTIF('10月'!DT34:DU34,D$337)+COUNTIF('10月'!DY34:DZ34,D$337)+COUNTIF('10月'!ED34:EE34,D$337)+COUNTIF('10月'!EI34:EJ34,D$337)+COUNTIF('10月'!EN34:EO34,D$337)+COUNTIF('10月'!ES34:ET34,D$337)</f>
        <v>0</v>
      </c>
      <c r="E369" s="76">
        <f t="shared" si="109"/>
        <v>0</v>
      </c>
      <c r="F369" s="76">
        <f>COUNTIF('10月'!D34:E34,F$337)+COUNTIF('10月'!I34:J34,F$337)+COUNTIF('10月'!N34:O34,F$337)+COUNTIF('10月'!S34:T34,F$337)+COUNTIF('10月'!X34:Y34,F$337)+COUNTIF('10月'!AC34:AD34,F$337)+COUNTIF('10月'!AH34:AI34,F$337)+COUNTIF('10月'!AM34:AN34,F$337)+COUNTIF('10月'!AR34:AS34,F$337)+COUNTIF('10月'!AW34:AX34,F$337)+COUNTIF('10月'!BB34:BC34,F$337)+COUNTIF('10月'!BG34:BH34,F$337)+COUNTIF('10月'!BL34:BM34,F$337)+COUNTIF('10月'!BQ34:BR34,F$337)+COUNTIF('10月'!BV34:BW34,F$337)+COUNTIF('10月'!CA34:CB34,F$337)+COUNTIF('10月'!CF34:CG34,F$337)+COUNTIF('10月'!CK34:CL34,F$337)+COUNTIF('10月'!CP34:CQ34,F$337)+COUNTIF('10月'!CU34:CV34,F$337)+COUNTIF('10月'!CZ34:DA34,F$337)+COUNTIF('10月'!DE34:DF34,F$337)+COUNTIF('10月'!DJ34:DK34,F$337)+COUNTIF('10月'!DO34:DP34,F$337)+COUNTIF('10月'!DT34:DU34,F$337)+COUNTIF('10月'!DY34:DZ34,F$337)+COUNTIF('10月'!ED34:EE34,F$337)+COUNTIF('10月'!EI34:EJ34,F$337)+COUNTIF('10月'!EN34:EO34,F$337)+COUNTIF('10月'!ES34:ET34,F$337)</f>
        <v>0</v>
      </c>
      <c r="G369" s="76">
        <f t="shared" si="110"/>
        <v>0</v>
      </c>
      <c r="H369" s="76">
        <f>COUNTIF('10月'!D34:E34,H$337)+COUNTIF('10月'!I34:J34,H$337)+COUNTIF('10月'!N34:O34,H$337)+COUNTIF('10月'!S34:T34,H$337)+COUNTIF('10月'!X34:Y34,H$337)+COUNTIF('10月'!AC34:AD34,H$337)+COUNTIF('10月'!AH34:AI34,H$337)+COUNTIF('10月'!AM34:AN34,H$337)+COUNTIF('10月'!AR34:AS34,H$337)+COUNTIF('10月'!AW34:AX34,H$337)+COUNTIF('10月'!BB34:BC34,H$337)+COUNTIF('10月'!BG34:BH34,H$337)+COUNTIF('10月'!BL34:BM34,H$337)+COUNTIF('10月'!BQ34:BR34,H$337)+COUNTIF('10月'!BV34:BW34,H$337)+COUNTIF('10月'!CA34:CB34,H$337)+COUNTIF('10月'!CF34:CG34,H$337)+COUNTIF('10月'!CK34:CL34,H$337)+COUNTIF('10月'!CP34:CQ34,H$337)+COUNTIF('10月'!CU34:CV34,H$337)+COUNTIF('10月'!CZ34:DA34,H$337)+COUNTIF('10月'!DE34:DF34,H$337)+COUNTIF('10月'!DJ34:DK34,H$337)+COUNTIF('10月'!DO34:DP34,H$337)+COUNTIF('10月'!DT34:DU34,H$337)+COUNTIF('10月'!DY34:DZ34,H$337)+COUNTIF('10月'!ED34:EE34,H$337)+COUNTIF('10月'!EI34:EJ34,H$337)+COUNTIF('10月'!EN34:EO34,H$337)+COUNTIF('10月'!ES34:ET34,H$337)+COUNTIF('10月'!D34:E34,"渋谷-夜勤")+COUNTIF('10月'!I34:J34,"渋谷-夜勤")+COUNTIF('10月'!N34:O34,"渋谷-夜勤")+COUNTIF('10月'!S34:T34,"渋谷-夜勤")+COUNTIF('10月'!X34:Y34,"渋谷-夜勤")+COUNTIF('10月'!AC34:AD34,"渋谷-夜勤")+COUNTIF('10月'!AH34:AI34,"渋谷-夜勤")+COUNTIF('10月'!AM34:AN34,"渋谷-夜勤")+COUNTIF('10月'!AR34:AS34,"渋谷-夜勤")+COUNTIF('10月'!AW34:AX34,"渋谷-夜勤")+COUNTIF('10月'!BB34:BC34,"渋谷-夜勤")+COUNTIF('10月'!BG34:BH34,"渋谷-夜勤")+COUNTIF('10月'!BL34:BM34,"渋谷-夜勤")+COUNTIF('10月'!BQ34:BR34,"渋谷-夜勤")+COUNTIF('10月'!BV34:BW34,"渋谷-夜勤")+COUNTIF('10月'!CA34:CB34,"渋谷-夜勤")+COUNTIF('10月'!CF34:CG34,"渋谷-夜勤")+COUNTIF('10月'!CK34:CL34,"渋谷-夜勤")+COUNTIF('10月'!CP34:CQ34,"渋谷-夜勤")+COUNTIF('10月'!CU34:CV34,"渋谷-夜勤")+COUNTIF('10月'!CZ34:DA34,"渋谷-夜勤")+COUNTIF('10月'!DE34:DF34,"渋谷-夜勤")+COUNTIF('10月'!DJ34:DK34,"渋谷-夜勤")+COUNTIF('10月'!DO34:DP34,"渋谷-夜勤")+COUNTIF('10月'!DT34:DU34,"渋谷-夜勤")+COUNTIF('10月'!DY34:DZ34,"渋谷-夜勤")+COUNTIF('10月'!ED34:EE34,"渋谷-夜勤")+COUNTIF('10月'!EI34:EJ34,"渋谷-夜勤")+COUNTIF('10月'!EN34:EO34,"渋谷-夜勤")+COUNTIF('10月'!ES34:ET34,"渋谷-夜勤")</f>
        <v>0</v>
      </c>
      <c r="I369" s="76">
        <f t="shared" si="111"/>
        <v>0</v>
      </c>
      <c r="J369" s="76">
        <f>COUNTIF('10月'!D34:E34,J$337)+COUNTIF('10月'!I34:J34,J$337)+COUNTIF('10月'!N34:O34,J$337)+COUNTIF('10月'!S34:T34,J$337)+COUNTIF('10月'!X34:Y34,J$337)+COUNTIF('10月'!AC34:AD34,J$337)+COUNTIF('10月'!AH34:AI34,J$337)+COUNTIF('10月'!AM34:AN34,J$337)+COUNTIF('10月'!AR34:AS34,J$337)+COUNTIF('10月'!AW34:AX34,J$337)+COUNTIF('10月'!BB34:BC34,J$337)+COUNTIF('10月'!BG34:BH34,J$337)+COUNTIF('10月'!BL34:BM34,J$337)+COUNTIF('10月'!BQ34:BR34,J$337)+COUNTIF('10月'!BV34:BW34,J$337)+COUNTIF('10月'!CA34:CB34,J$337)+COUNTIF('10月'!CF34:CG34,J$337)+COUNTIF('10月'!CK34:CL34,J$337)+COUNTIF('10月'!CP34:CQ34,J$337)+COUNTIF('10月'!CU34:CV34,J$337)+COUNTIF('10月'!CZ34:DA34,J$337)+COUNTIF('10月'!DE34:DF34,J$337)+COUNTIF('10月'!DJ34:DK34,J$337)+COUNTIF('10月'!DO34:DP34,J$337)+COUNTIF('10月'!DT34:DU34,J$337)+COUNTIF('10月'!DY34:DZ34,J$337)+COUNTIF('10月'!ED34:EE34,J$337)+COUNTIF('10月'!EI34:EJ34,J$337)+COUNTIF('10月'!EN34:EO34,J$337)+COUNTIF('10月'!ES34:ET34,J$337)+COUNTIF('10月'!D34:E34,"六本木-夜勤")+COUNTIF('10月'!I34:J34,"六本木-夜勤")+COUNTIF('10月'!N34:O34,"六本木-夜勤")+COUNTIF('10月'!S34:T34,"六本木-夜勤")+COUNTIF('10月'!X34:Y34,"六本木-夜勤")+COUNTIF('10月'!AC34:AD34,"六本木-夜勤")+COUNTIF('10月'!AH34:AI34,"六本木-夜勤")+COUNTIF('10月'!AM34:AN34,"六本木-夜勤")+COUNTIF('10月'!AR34:AS34,"六本木-夜勤")+COUNTIF('10月'!AW34:AX34,"六本木-夜勤")+COUNTIF('10月'!BB34:BC34,"六本木-夜勤")+COUNTIF('10月'!BG34:BH34,"六本木-夜勤")+COUNTIF('10月'!BL34:BM34,"六本木-夜勤")+COUNTIF('10月'!BQ34:BR34,"六本木-夜勤")+COUNTIF('10月'!BV34:BW34,"六本木-夜勤")+COUNTIF('10月'!CA34:CB34,"六本木-夜勤")+COUNTIF('10月'!CF34:CG34,"六本木-夜勤")+COUNTIF('10月'!CK34:CL34,"六本木-夜勤")+COUNTIF('10月'!CP34:CQ34,"六本木-夜勤")+COUNTIF('10月'!CU34:CV34,"六本木-夜勤")+COUNTIF('10月'!CZ34:DA34,"六本木-夜勤")+COUNTIF('10月'!DE34:DF34,"六本木-夜勤")+COUNTIF('10月'!DJ34:DK34,"六本木-夜勤")+COUNTIF('10月'!DO34:DP34,"六本木-夜勤")+COUNTIF('10月'!DT34:DU34,"六本木-夜勤")+COUNTIF('10月'!DY34:DZ34,"六本木-夜勤")+COUNTIF('10月'!ED34:EE34,"六本木-夜勤")+COUNTIF('10月'!EI34:EJ34,"六本木-夜勤")+COUNTIF('10月'!EN34:EO34,"六本木-夜勤")+COUNTIF('10月'!ES34:ET34,"六本木-夜勤")+COUNTIF('10月'!D34:E34,"六本木ー夜勤")+COUNTIF('10月'!I34:J34,"六本木ー夜勤")+COUNTIF('10月'!N34:O34,"六本木ー夜勤")+COUNTIF('10月'!S34:T34,"六本木ー夜勤")+COUNTIF('10月'!X34:Y34,"六本木ー夜勤")+COUNTIF('10月'!AC34:AD34,"六本木ー夜勤")+COUNTIF('10月'!AH34:AI34,"六本木ー夜勤")+COUNTIF('10月'!AM34:AN34,"六本木ー夜勤")+COUNTIF('10月'!AR34:AS34,"六本木ー夜勤")+COUNTIF('10月'!AW34:AX34,"六本木ー夜勤")+COUNTIF('10月'!BB34:BC34,"六本木ー夜勤")+COUNTIF('10月'!BG34:BH34,"六本木ー夜勤")+COUNTIF('10月'!BL34:BM34,"六本木ー夜勤")+COUNTIF('10月'!BQ34:BR34,"六本木ー夜勤")+COUNTIF('10月'!BV34:BW34,"六本木ー夜勤")+COUNTIF('10月'!CA34:CB34,"六本木ー夜勤")+COUNTIF('10月'!CF34:CG34,"六本木ー夜勤")+COUNTIF('10月'!CK34:CL34,"六本木ー夜勤")+COUNTIF('10月'!CP34:CQ34,"六本木ー夜勤")+COUNTIF('10月'!CU34:CV34,"六本木ー夜勤")+COUNTIF('10月'!CZ34:DA34,"六本木ー夜勤")+COUNTIF('10月'!DE34:DF34,"六本木ー夜勤")+COUNTIF('10月'!DJ34:DK34,"六本木ー夜勤")+COUNTIF('10月'!DO34:DP34,"六本木ー夜勤")+COUNTIF('10月'!DT34:DU34,"六本木ー夜勤")+COUNTIF('10月'!DY34:DZ34,"六本木ー夜勤")+COUNTIF('10月'!ED34:EE34,"六本木ー夜勤")+COUNTIF('10月'!EI34:EJ34,"六本木ー夜勤")+COUNTIF('10月'!EN34:EO34,"六本木ー夜勤")+COUNTIF('10月'!ES34:ET34,"六本木ー夜勤")</f>
        <v>0</v>
      </c>
      <c r="K369" s="76">
        <f t="shared" si="112"/>
        <v>0</v>
      </c>
      <c r="L369" s="76">
        <f>COUNTIF('10月'!D34:E34,L$337)+COUNTIF('10月'!I34:J34,L$337)+COUNTIF('10月'!N34:O34,L$337)+COUNTIF('10月'!S34:T34,L$337)+COUNTIF('10月'!X34:Y34,L$337)+COUNTIF('10月'!AC34:AD34,L$337)+COUNTIF('10月'!AH34:AI34,L$337)+COUNTIF('10月'!AM34:AN34,L$337)+COUNTIF('10月'!AR34:AS34,L$337)+COUNTIF('10月'!AW34:AX34,L$337)+COUNTIF('10月'!BB34:BC34,L$337)+COUNTIF('10月'!BG34:BH34,L$337)+COUNTIF('10月'!BL34:BM34,L$337)+COUNTIF('10月'!BQ34:BR34,L$337)+COUNTIF('10月'!BV34:BW34,L$337)+COUNTIF('10月'!CA34:CB34,L$337)+COUNTIF('10月'!CF34:CG34,L$337)+COUNTIF('10月'!CK34:CL34,L$337)+COUNTIF('10月'!CP34:CQ34,L$337)+COUNTIF('10月'!CU34:CV34,L$337)+COUNTIF('10月'!CZ34:DA34,L$337)+COUNTIF('10月'!DE34:DF34,L$337)+COUNTIF('10月'!DJ34:DK34,L$337)+COUNTIF('10月'!DO34:DP34,L$337)+COUNTIF('10月'!DT34:DU34,L$337)+COUNTIF('10月'!DY34:DZ34,L$337)+COUNTIF('10月'!ED34:EE34,L$337)+COUNTIF('10月'!EI34:EJ34,L$337)+COUNTIF('10月'!EN34:EO34,L$337)+COUNTIF('10月'!ES34:ET34,L$337)</f>
        <v>0</v>
      </c>
      <c r="M369" s="76">
        <f t="shared" si="113"/>
        <v>0</v>
      </c>
      <c r="N369" s="76">
        <f>COUNTIF('10月'!D34:E34,N$337)+COUNTIF('10月'!I34:J34,N$337)+COUNTIF('10月'!N34:O34,N$337)+COUNTIF('10月'!S34:T34,N$337)+COUNTIF('10月'!X34:Y34,N$337)+COUNTIF('10月'!AC34:AD34,N$337)+COUNTIF('10月'!AH34:AI34,N$337)+COUNTIF('10月'!AM34:AN34,N$337)+COUNTIF('10月'!AR34:AS34,N$337)+COUNTIF('10月'!AW34:AX34,N$337)+COUNTIF('10月'!BB34:BC34,N$337)+COUNTIF('10月'!BG34:BH34,N$337)+COUNTIF('10月'!BL34:BM34,N$337)+COUNTIF('10月'!BQ34:BR34,N$337)+COUNTIF('10月'!BV34:BW34,N$337)+COUNTIF('10月'!CA34:CB34,N$337)+COUNTIF('10月'!CF34:CG34,N$337)+COUNTIF('10月'!CK34:CL34,N$337)+COUNTIF('10月'!CP34:CQ34,N$337)+COUNTIF('10月'!CU34:CV34,N$337)+COUNTIF('10月'!CZ34:DA34,N$337)+COUNTIF('10月'!DE34:DF34,N$337)+COUNTIF('10月'!DJ34:DK34,N$337)+COUNTIF('10月'!DO34:DP34,N$337)+COUNTIF('10月'!DT34:DU34,N$337)+COUNTIF('10月'!DY34:DZ34,N$337)+COUNTIF('10月'!ED34:EE34,N$337)+COUNTIF('10月'!EI34:EJ34,N$337)+COUNTIF('10月'!EN34:EO34,N$337)+COUNTIF('10月'!ES34:ET34,N$337)+COUNTIF('10月'!D34:E34,"三軒茶屋－夜勤")+COUNTIF('10月'!I34:J34,"三軒茶屋－夜勤")+COUNTIF('10月'!N34:O34,"三軒茶屋－夜勤")+COUNTIF('10月'!S34:T34,"三軒茶屋－夜勤")+COUNTIF('10月'!X34:Y34,"三軒茶屋－夜勤")+COUNTIF('10月'!AC34:AD34,"三軒茶屋－夜勤")+COUNTIF('10月'!AH34:AI34,"三軒茶屋－夜勤")+COUNTIF('10月'!AM34:AN34,"三軒茶屋－夜勤")+COUNTIF('10月'!AR34:AS34,"三軒茶屋－夜勤")+COUNTIF('10月'!AW34:AX34,"三軒茶屋－夜勤")+COUNTIF('10月'!BB34:BC34,"三軒茶屋－夜勤")+COUNTIF('10月'!BG34:BH34,"三軒茶屋－夜勤")+COUNTIF('10月'!BL34:BM34,"三軒茶屋－夜勤")+COUNTIF('10月'!BQ34:BR34,"三軒茶屋－夜勤")+COUNTIF('10月'!BV34:BW34,"三軒茶屋－夜勤")+COUNTIF('10月'!CA34:CB34,"三軒茶屋－夜勤")+COUNTIF('10月'!CF34:CG34,"三軒茶屋－夜勤")+COUNTIF('10月'!CK34:CL34,"三軒茶屋－夜勤")+COUNTIF('10月'!CP34:CQ34,"三軒茶屋－夜勤")+COUNTIF('10月'!CU34:CV34,"三軒茶屋－夜勤")+COUNTIF('10月'!CZ34:DA34,"三軒茶屋－夜勤")+COUNTIF('10月'!DE34:DF34,"三軒茶屋－夜勤")+COUNTIF('10月'!DJ34:DK34,"三軒茶屋－夜勤")+COUNTIF('10月'!DO34:DP34,"三軒茶屋－夜勤")+COUNTIF('10月'!DT34:DU34,"三軒茶屋－夜勤")+COUNTIF('10月'!DY34:DZ34,"三軒茶屋－夜勤")+COUNTIF('10月'!ED34:EE34,"三軒茶屋－夜勤")+COUNTIF('10月'!EI34:EJ34,"三軒茶屋－夜勤")+COUNTIF('10月'!EN34:EO34,"三軒茶屋－夜勤")+COUNTIF('10月'!ES34:ET34,"三軒茶屋－夜勤")</f>
        <v>0</v>
      </c>
      <c r="O369" s="76">
        <f t="shared" si="114"/>
        <v>0</v>
      </c>
      <c r="P369" s="76">
        <f>COUNTIF('10月'!D34:E34,P$337)+COUNTIF('10月'!I34:J34,P$337)+COUNTIF('10月'!N34:O34,P$337)+COUNTIF('10月'!S34:T34,P$337)+COUNTIF('10月'!X34:Y34,P$337)+COUNTIF('10月'!AC34:AD34,P$337)+COUNTIF('10月'!AH34:AI34,P$337)+COUNTIF('10月'!AM34:AN34,P$337)+COUNTIF('10月'!AR34:AS34,P$337)+COUNTIF('10月'!AW34:AX34,P$337)+COUNTIF('10月'!BB34:BC34,P$337)+COUNTIF('10月'!BG34:BH34,P$337)+COUNTIF('10月'!BL34:BM34,P$337)+COUNTIF('10月'!BQ34:BR34,P$337)+COUNTIF('10月'!BV34:BW34,P$337)+COUNTIF('10月'!CA34:CB34,P$337)+COUNTIF('10月'!CF34:CG34,P$337)+COUNTIF('10月'!CK34:CL34,P$337)+COUNTIF('10月'!CP34:CQ34,P$337)+COUNTIF('10月'!CU34:CV34,P$337)+COUNTIF('10月'!CZ34:DA34,P$337)+COUNTIF('10月'!DE34:DF34,P$337)+COUNTIF('10月'!DJ34:DK34,P$337)+COUNTIF('10月'!DO34:DP34,P$337)+COUNTIF('10月'!DT34:DU34,P$337)+COUNTIF('10月'!DY34:DZ34,P$337)+COUNTIF('10月'!ED34:EE34,P$337)+COUNTIF('10月'!EI34:EJ34,P$337)+COUNTIF('10月'!EN34:EO34,P$337)+COUNTIF('10月'!ES34:ET34,P$337)+COUNTIF('10月'!D34:E34,"荻窪ー夜勤")+COUNTIF('10月'!I34:J34,"荻窪ー夜勤")+COUNTIF('10月'!N34:O34,"荻窪ー夜勤")+COUNTIF('10月'!S34:T34,"荻窪ー夜勤")+COUNTIF('10月'!X34:Y34,"荻窪ー夜勤")+COUNTIF('10月'!AC34:AD34,"荻窪ー夜勤")+COUNTIF('10月'!AH34:AI34,"荻窪ー夜勤")+COUNTIF('10月'!AM34:AN34,"荻窪ー夜勤")+COUNTIF('10月'!AR34:AS34,"荻窪ー夜勤")+COUNTIF('10月'!AW34:AX34,"荻窪ー夜勤")+COUNTIF('10月'!BB34:BC34,"荻窪ー夜勤")+COUNTIF('10月'!BG34:BH34,"荻窪ー夜勤")+COUNTIF('10月'!BL34:BM34,"荻窪ー夜勤")+COUNTIF('10月'!BQ34:BR34,"荻窪ー夜勤")+COUNTIF('10月'!BV34:BW34,"荻窪ー夜勤")+COUNTIF('10月'!CA34:CB34,"荻窪ー夜勤")+COUNTIF('10月'!CF34:CG34,"荻窪ー夜勤")+COUNTIF('10月'!CK34:CL34,"荻窪ー夜勤")+COUNTIF('10月'!CP34:CQ34,"荻窪ー夜勤")+COUNTIF('10月'!CU34:CV34,"荻窪ー夜勤")+COUNTIF('10月'!CZ34:DA34,"荻窪ー夜勤")+COUNTIF('10月'!DE34:DF34,"荻窪ー夜勤")+COUNTIF('10月'!DJ34:DK34,"荻窪ー夜勤")+COUNTIF('10月'!DO34:DP34,"荻窪ー夜勤")+COUNTIF('10月'!DT34:DU34,"荻窪ー夜勤")+COUNTIF('10月'!DY34:DZ34,"荻窪ー夜勤")+COUNTIF('10月'!ED34:EE34,"荻窪ー夜勤")+COUNTIF('10月'!EI34:EJ34,"荻窪ー夜勤")+COUNTIF('10月'!EN34:EO34,"荻窪ー夜勤")+COUNTIF('10月'!ES34:ET34,"荻窪ー夜勤")</f>
        <v>0</v>
      </c>
      <c r="Q369" s="76">
        <f t="shared" si="115"/>
        <v>0</v>
      </c>
      <c r="R369" s="76">
        <f>COUNTIF('10月'!D34:E34,R$337)+COUNTIF('10月'!I34:J34,R$337)+COUNTIF('10月'!N34:O34,R$337)+COUNTIF('10月'!S34:T34,R$337)+COUNTIF('10月'!X34:Y34,R$337)+COUNTIF('10月'!AC34:AD34,R$337)+COUNTIF('10月'!AH34:AI34,R$337)+COUNTIF('10月'!AM34:AN34,R$337)+COUNTIF('10月'!AR34:AS34,R$337)+COUNTIF('10月'!AW34:AX34,R$337)+COUNTIF('10月'!BB34:BC34,R$337)+COUNTIF('10月'!BG34:BH34,R$337)+COUNTIF('10月'!BL34:BM34,R$337)+COUNTIF('10月'!BQ34:BR34,R$337)+COUNTIF('10月'!BV34:BW34,R$337)+COUNTIF('10月'!CA34:CB34,R$337)+COUNTIF('10月'!CF34:CG34,R$337)+COUNTIF('10月'!CK34:CL34,R$337)+COUNTIF('10月'!CP34:CQ34,R$337)+COUNTIF('10月'!CU34:CV34,R$337)+COUNTIF('10月'!CZ34:DA34,R$337)+COUNTIF('10月'!DE34:DF34,R$337)+COUNTIF('10月'!DJ34:DK34,R$337)+COUNTIF('10月'!DO34:DP34,R$337)+COUNTIF('10月'!DT34:DU34,R$337)+COUNTIF('10月'!DY34:DZ34,R$337)+COUNTIF('10月'!ED34:EE34,R$337)+COUNTIF('10月'!EI34:EJ34,R$337)+COUNTIF('10月'!EN34:EO34,R$337)+COUNTIF('10月'!ES34:ET34,R$337)</f>
        <v>0</v>
      </c>
      <c r="S369" s="76">
        <f t="shared" si="116"/>
        <v>0</v>
      </c>
      <c r="T369" s="76">
        <f>COUNTIF('10月'!D34:E34,T$337)+COUNTIF('10月'!I34:J34,T$337)+COUNTIF('10月'!N34:O34,T$337)+COUNTIF('10月'!S34:T34,T$337)+COUNTIF('10月'!X34:Y34,T$337)+COUNTIF('10月'!AC34:AD34,T$337)+COUNTIF('10月'!AH34:AI34,T$337)+COUNTIF('10月'!AM34:AN34,T$337)+COUNTIF('10月'!AR34:AS34,T$337)+COUNTIF('10月'!AW34:AX34,T$337)+COUNTIF('10月'!BB34:BC34,T$337)+COUNTIF('10月'!BG34:BH34,T$337)+COUNTIF('10月'!BL34:BM34,T$337)+COUNTIF('10月'!BQ34:BR34,T$337)+COUNTIF('10月'!BV34:BW34,T$337)+COUNTIF('10月'!CA34:CB34,T$337)+COUNTIF('10月'!CF34:CG34,T$337)+COUNTIF('10月'!CK34:CL34,T$337)+COUNTIF('10月'!CP34:CQ34,T$337)+COUNTIF('10月'!CU34:CV34,T$337)+COUNTIF('10月'!CZ34:DA34,T$337)+COUNTIF('10月'!DE34:DF34,T$337)+COUNTIF('10月'!DJ34:DK34,T$337)+COUNTIF('10月'!DO34:DP34,T$337)+COUNTIF('10月'!DT34:DU34,T$337)+COUNTIF('10月'!DY34:DZ34,T$337)+COUNTIF('10月'!ED34:EE34,T$337)+COUNTIF('10月'!EI34:EJ34,T$337)+COUNTIF('10月'!EN34:EO34,T$337)+COUNTIF('10月'!ES34:ET34,T$337)</f>
        <v>0</v>
      </c>
      <c r="U369" s="76">
        <f t="shared" si="117"/>
        <v>0</v>
      </c>
      <c r="V369" s="76">
        <f>COUNTIF('10月'!D34:E34,V$337)+COUNTIF('10月'!I34:J34,V$337)+COUNTIF('10月'!N34:O34,V$337)+COUNTIF('10月'!S34:T34,V$337)+COUNTIF('10月'!X34:Y34,V$337)+COUNTIF('10月'!AC34:AD34,V$337)+COUNTIF('10月'!AH34:AI34,V$337)+COUNTIF('10月'!AM34:AN34,V$337)+COUNTIF('10月'!AR34:AS34,V$337)+COUNTIF('10月'!AW34:AX34,V$337)+COUNTIF('10月'!BB34:BC34,V$337)+COUNTIF('10月'!BG34:BH34,V$337)+COUNTIF('10月'!BL34:BM34,V$337)+COUNTIF('10月'!BQ34:BR34,V$337)+COUNTIF('10月'!BV34:BW34,V$337)+COUNTIF('10月'!CA34:CB34,V$337)+COUNTIF('10月'!CF34:CG34,V$337)+COUNTIF('10月'!CK34:CL34,V$337)+COUNTIF('10月'!CP34:CQ34,V$337)+COUNTIF('10月'!CU34:CV34,V$337)+COUNTIF('10月'!CZ34:DA34,V$337)+COUNTIF('10月'!DE34:DF34,V$337)+COUNTIF('10月'!DJ34:DK34,V$337)+COUNTIF('10月'!DO34:DP34,V$337)+COUNTIF('10月'!DT34:DU34,V$337)+COUNTIF('10月'!DY34:DZ34,V$337)+COUNTIF('10月'!ED34:EE34,V$337)+COUNTIF('10月'!EI34:EJ34,V$337)+COUNTIF('10月'!EN34:EO34,V$337)+COUNTIF('10月'!ES34:ET34,V$337)</f>
        <v>0</v>
      </c>
      <c r="W369" s="76">
        <f t="shared" si="118"/>
        <v>0</v>
      </c>
      <c r="X369" s="76">
        <f>COUNTIF('10月'!D34:E34,X$337)+COUNTIF('10月'!I34:J34,X$337)+COUNTIF('10月'!N34:O34,X$337)+COUNTIF('10月'!S34:T34,X$337)+COUNTIF('10月'!X34:Y34,X$337)+COUNTIF('10月'!AC34:AD34,X$337)+COUNTIF('10月'!AH34:AI34,X$337)+COUNTIF('10月'!AM34:AN34,X$337)+COUNTIF('10月'!AR34:AS34,X$337)+COUNTIF('10月'!AW34:AX34,X$337)+COUNTIF('10月'!BB34:BC34,X$337)+COUNTIF('10月'!BG34:BH34,X$337)+COUNTIF('10月'!BL34:BM34,X$337)+COUNTIF('10月'!BQ34:BR34,X$337)+COUNTIF('10月'!BV34:BW34,X$337)+COUNTIF('10月'!CA34:CB34,X$337)+COUNTIF('10月'!CF34:CG34,X$337)+COUNTIF('10月'!CK34:CL34,X$337)+COUNTIF('10月'!CP34:CQ34,X$337)+COUNTIF('10月'!CU34:CV34,X$337)+COUNTIF('10月'!CZ34:DA34,X$337)+COUNTIF('10月'!DE34:DF34,X$337)+COUNTIF('10月'!DJ34:DK34,X$337)+COUNTIF('10月'!DO34:DP34,X$337)+COUNTIF('10月'!DT34:DU34,X$337)+COUNTIF('10月'!DY34:DZ34,X$337)+COUNTIF('10月'!ED34:EE34,X$337)+COUNTIF('10月'!EI34:EJ34,X$337)+COUNTIF('10月'!EN34:EO34,X$337)+COUNTIF('10月'!ES34:ET34,X$337)</f>
        <v>0</v>
      </c>
      <c r="Y369" s="76">
        <f t="shared" si="119"/>
        <v>0</v>
      </c>
    </row>
    <row r="370" spans="1:25" ht="21.95" customHeight="1">
      <c r="A370" s="65" t="s">
        <v>116</v>
      </c>
      <c r="B370" s="65">
        <f>SUM(B339:B369)</f>
        <v>0</v>
      </c>
      <c r="C370" s="65"/>
      <c r="D370" s="65">
        <f>SUM(D339:D369)</f>
        <v>0</v>
      </c>
      <c r="E370" s="65"/>
      <c r="F370" s="65">
        <f>SUM(F339:F369)</f>
        <v>0</v>
      </c>
      <c r="G370" s="65"/>
      <c r="H370" s="65">
        <f>SUM(H339:H369)</f>
        <v>0</v>
      </c>
      <c r="I370" s="65"/>
      <c r="J370" s="65">
        <f>SUM(J339:J369)</f>
        <v>0</v>
      </c>
      <c r="K370" s="65"/>
      <c r="L370" s="65">
        <f>SUM(L339:L369)</f>
        <v>0</v>
      </c>
      <c r="M370" s="65"/>
      <c r="N370" s="65">
        <f>SUM(N339:N369)</f>
        <v>0</v>
      </c>
      <c r="O370" s="65"/>
      <c r="P370" s="65">
        <f>SUM(P339:P369)</f>
        <v>0</v>
      </c>
      <c r="Q370" s="65"/>
      <c r="R370" s="65">
        <f>SUM(R339:R369)</f>
        <v>0</v>
      </c>
      <c r="S370" s="65"/>
      <c r="T370" s="65">
        <f>SUM(T339:T369)</f>
        <v>0</v>
      </c>
      <c r="U370" s="65"/>
      <c r="V370" s="65">
        <f>SUM(V339:V369)</f>
        <v>0</v>
      </c>
      <c r="W370" s="65"/>
      <c r="X370" s="65">
        <f>SUM(X339:X369)</f>
        <v>0</v>
      </c>
      <c r="Y370" s="65"/>
    </row>
    <row r="371" spans="1:25" ht="21.95" customHeight="1">
      <c r="A371" s="65" t="s">
        <v>117</v>
      </c>
      <c r="B371" s="65">
        <f>SUM('10月'!H4:H34)+SUM('10月'!M4:M34)+SUM('10月'!R4:R34)+SUM('10月'!W4:W34)+SUM('10月'!AB4:AB34)+SUM('10月'!AG4:AG34)+SUM('10月'!AL4:AL34)+SUM('10月'!AQ4:AQ34)+SUM('10月'!AV4:AV34)+SUM('10月'!BA4:BA34)+SUM('10月'!BF4:BF34)+SUM('10月'!BK4:BK34)+SUM('10月'!BP4:BP34)+SUM('10月'!BU4:BU34)+SUM('10月'!BZ4:BZ34)+SUM('10月'!CE4:CE34)+SUM('10月'!CJ4:CJ34)+SUM('10月'!CO4:CO34)+SUM('10月'!CT4:CT34)+SUM('10月'!CY4:CY34)+SUM('10月'!DD4:DD34)+SUM('10月'!DI4:DI34)+SUM('10月'!DN4:DN34)+SUM('10月'!DS4:DS34)+SUM('10月'!DX4:DX34)+SUM('10月'!EC4:EC34)+SUM('10月'!EH4:EH34)+SUM('10月'!EM4:EM34)+SUM('10月'!ER4:ER34)+SUM('10月'!EW4:EW34)</f>
        <v>0</v>
      </c>
      <c r="C371" s="127" t="s">
        <v>118</v>
      </c>
      <c r="D371" s="127"/>
      <c r="E371" s="127"/>
      <c r="F371" s="127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</row>
    <row r="372" spans="1:25" ht="9.9499999999999993" customHeight="1"/>
    <row r="373" spans="1:25" ht="21.95" customHeight="1">
      <c r="A373" s="112" t="str">
        <f>対象年度&amp;"年 11月分  30日締め"</f>
        <v>2026年 11月分  30日締め</v>
      </c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</row>
    <row r="374" spans="1:25" ht="21.95" customHeight="1">
      <c r="A374" s="60" t="s">
        <v>113</v>
      </c>
      <c r="B374" s="123" t="str">
        <f>IFERROR(現場マスタ!$C$4,"")</f>
        <v>新宿</v>
      </c>
      <c r="C374" s="123"/>
      <c r="D374" s="123" t="str">
        <f>IFERROR(現場マスタ!$C$5,"")</f>
        <v>赤坂</v>
      </c>
      <c r="E374" s="123"/>
      <c r="F374" s="123" t="str">
        <f>IFERROR(現場マスタ!$C$6,"")</f>
        <v>渋谷ヒカリエ</v>
      </c>
      <c r="G374" s="123"/>
      <c r="H374" s="123" t="str">
        <f>IFERROR(現場マスタ!$C$7,"")</f>
        <v>六本木ヒルズ</v>
      </c>
      <c r="I374" s="123"/>
      <c r="J374" s="123" t="str">
        <f>IFERROR(現場マスタ!$C$10,"")</f>
        <v>有給</v>
      </c>
      <c r="K374" s="123"/>
      <c r="L374" s="123">
        <f>IFERROR(現場マスタ!$C$12,"")</f>
        <v>0</v>
      </c>
      <c r="M374" s="123"/>
      <c r="N374" s="123">
        <f>IFERROR(現場マスタ!$C$16,"")</f>
        <v>0</v>
      </c>
      <c r="O374" s="123"/>
      <c r="P374" s="123">
        <f>IFERROR(現場マスタ!$C$17,"")</f>
        <v>0</v>
      </c>
      <c r="Q374" s="123"/>
      <c r="R374" s="123">
        <f>IFERROR(現場マスタ!$C$18,"")</f>
        <v>0</v>
      </c>
      <c r="S374" s="123"/>
      <c r="T374" s="123">
        <f>IFERROR(現場マスタ!$C$20,"")</f>
        <v>0</v>
      </c>
      <c r="U374" s="123"/>
      <c r="V374" s="123">
        <f>IFERROR(現場マスタ!$C$21,"")</f>
        <v>0</v>
      </c>
      <c r="W374" s="123"/>
      <c r="X374" s="123">
        <f>IFERROR(現場マスタ!$C$22,"")</f>
        <v>0</v>
      </c>
      <c r="Y374" s="123"/>
    </row>
    <row r="375" spans="1:25" ht="20.100000000000001" customHeight="1">
      <c r="A375" s="60" t="s">
        <v>4</v>
      </c>
      <c r="B375" s="65" t="s">
        <v>114</v>
      </c>
      <c r="C375" s="65" t="s">
        <v>115</v>
      </c>
      <c r="D375" s="65" t="s">
        <v>114</v>
      </c>
      <c r="E375" s="65" t="s">
        <v>115</v>
      </c>
      <c r="F375" s="65" t="s">
        <v>114</v>
      </c>
      <c r="G375" s="65" t="s">
        <v>115</v>
      </c>
      <c r="H375" s="65" t="s">
        <v>114</v>
      </c>
      <c r="I375" s="65" t="s">
        <v>115</v>
      </c>
      <c r="J375" s="65" t="s">
        <v>114</v>
      </c>
      <c r="K375" s="65" t="s">
        <v>115</v>
      </c>
      <c r="L375" s="65" t="s">
        <v>114</v>
      </c>
      <c r="M375" s="65" t="s">
        <v>115</v>
      </c>
      <c r="N375" s="65" t="s">
        <v>114</v>
      </c>
      <c r="O375" s="65" t="s">
        <v>115</v>
      </c>
      <c r="P375" s="65" t="s">
        <v>114</v>
      </c>
      <c r="Q375" s="65" t="s">
        <v>115</v>
      </c>
      <c r="R375" s="65" t="s">
        <v>114</v>
      </c>
      <c r="S375" s="65" t="s">
        <v>115</v>
      </c>
      <c r="T375" s="65" t="s">
        <v>114</v>
      </c>
      <c r="U375" s="65" t="s">
        <v>115</v>
      </c>
      <c r="V375" s="65" t="s">
        <v>114</v>
      </c>
      <c r="W375" s="65" t="s">
        <v>115</v>
      </c>
      <c r="X375" s="65" t="s">
        <v>114</v>
      </c>
      <c r="Y375" s="65" t="s">
        <v>115</v>
      </c>
    </row>
    <row r="376" spans="1:25" ht="18" customHeight="1">
      <c r="A376" s="76">
        <v>1</v>
      </c>
      <c r="B376" s="76">
        <f>COUNTIF('11月'!D4:E4,B$374)+COUNTIF('11月'!I4:J4,B$374)+COUNTIF('11月'!N4:O4,B$374)+COUNTIF('11月'!S4:T4,B$374)+COUNTIF('11月'!X4:Y4,B$374)+COUNTIF('11月'!AC4:AD4,B$374)+COUNTIF('11月'!AH4:AI4,B$374)+COUNTIF('11月'!AM4:AN4,B$374)+COUNTIF('11月'!AR4:AS4,B$374)+COUNTIF('11月'!AW4:AX4,B$374)+COUNTIF('11月'!BB4:BC4,B$374)+COUNTIF('11月'!BG4:BH4,B$374)+COUNTIF('11月'!BL4:BM4,B$374)+COUNTIF('11月'!BQ4:BR4,B$374)+COUNTIF('11月'!BV4:BW4,B$374)+COUNTIF('11月'!CA4:CB4,B$374)+COUNTIF('11月'!CF4:CG4,B$374)+COUNTIF('11月'!CK4:CL4,B$374)+COUNTIF('11月'!CP4:CQ4,B$374)+COUNTIF('11月'!CU4:CV4,B$374)+COUNTIF('11月'!CZ4:DA4,B$374)+COUNTIF('11月'!DE4:DF4,B$374)+COUNTIF('11月'!DJ4:DK4,B$374)+COUNTIF('11月'!DO4:DP4,B$374)+COUNTIF('11月'!DT4:DU4,B$374)+COUNTIF('11月'!DY4:DZ4,B$374)+COUNTIF('11月'!ED4:EE4,B$374)+COUNTIF('11月'!EI4:EJ4,B$374)+COUNTIF('11月'!EN4:EO4,B$374)+COUNTIF('11月'!ES4:ET4,B$374)</f>
        <v>0</v>
      </c>
      <c r="C376" s="76">
        <f>IF(B376=0,0,B376)</f>
        <v>0</v>
      </c>
      <c r="D376" s="76">
        <f>COUNTIF('11月'!D4:E4,D$374)+COUNTIF('11月'!I4:J4,D$374)+COUNTIF('11月'!N4:O4,D$374)+COUNTIF('11月'!S4:T4,D$374)+COUNTIF('11月'!X4:Y4,D$374)+COUNTIF('11月'!AC4:AD4,D$374)+COUNTIF('11月'!AH4:AI4,D$374)+COUNTIF('11月'!AM4:AN4,D$374)+COUNTIF('11月'!AR4:AS4,D$374)+COUNTIF('11月'!AW4:AX4,D$374)+COUNTIF('11月'!BB4:BC4,D$374)+COUNTIF('11月'!BG4:BH4,D$374)+COUNTIF('11月'!BL4:BM4,D$374)+COUNTIF('11月'!BQ4:BR4,D$374)+COUNTIF('11月'!BV4:BW4,D$374)+COUNTIF('11月'!CA4:CB4,D$374)+COUNTIF('11月'!CF4:CG4,D$374)+COUNTIF('11月'!CK4:CL4,D$374)+COUNTIF('11月'!CP4:CQ4,D$374)+COUNTIF('11月'!CU4:CV4,D$374)+COUNTIF('11月'!CZ4:DA4,D$374)+COUNTIF('11月'!DE4:DF4,D$374)+COUNTIF('11月'!DJ4:DK4,D$374)+COUNTIF('11月'!DO4:DP4,D$374)+COUNTIF('11月'!DT4:DU4,D$374)+COUNTIF('11月'!DY4:DZ4,D$374)+COUNTIF('11月'!ED4:EE4,D$374)+COUNTIF('11月'!EI4:EJ4,D$374)+COUNTIF('11月'!EN4:EO4,D$374)+COUNTIF('11月'!ES4:ET4,D$374)</f>
        <v>0</v>
      </c>
      <c r="E376" s="76">
        <f>IF(D376=0,0,D376)</f>
        <v>0</v>
      </c>
      <c r="F376" s="76">
        <f>COUNTIF('11月'!D4:E4,F$374)+COUNTIF('11月'!I4:J4,F$374)+COUNTIF('11月'!N4:O4,F$374)+COUNTIF('11月'!S4:T4,F$374)+COUNTIF('11月'!X4:Y4,F$374)+COUNTIF('11月'!AC4:AD4,F$374)+COUNTIF('11月'!AH4:AI4,F$374)+COUNTIF('11月'!AM4:AN4,F$374)+COUNTIF('11月'!AR4:AS4,F$374)+COUNTIF('11月'!AW4:AX4,F$374)+COUNTIF('11月'!BB4:BC4,F$374)+COUNTIF('11月'!BG4:BH4,F$374)+COUNTIF('11月'!BL4:BM4,F$374)+COUNTIF('11月'!BQ4:BR4,F$374)+COUNTIF('11月'!BV4:BW4,F$374)+COUNTIF('11月'!CA4:CB4,F$374)+COUNTIF('11月'!CF4:CG4,F$374)+COUNTIF('11月'!CK4:CL4,F$374)+COUNTIF('11月'!CP4:CQ4,F$374)+COUNTIF('11月'!CU4:CV4,F$374)+COUNTIF('11月'!CZ4:DA4,F$374)+COUNTIF('11月'!DE4:DF4,F$374)+COUNTIF('11月'!DJ4:DK4,F$374)+COUNTIF('11月'!DO4:DP4,F$374)+COUNTIF('11月'!DT4:DU4,F$374)+COUNTIF('11月'!DY4:DZ4,F$374)+COUNTIF('11月'!ED4:EE4,F$374)+COUNTIF('11月'!EI4:EJ4,F$374)+COUNTIF('11月'!EN4:EO4,F$374)+COUNTIF('11月'!ES4:ET4,F$374)</f>
        <v>0</v>
      </c>
      <c r="G376" s="76">
        <f>IF(F376=0,0,F376)</f>
        <v>0</v>
      </c>
      <c r="H376" s="76">
        <f>COUNTIF('11月'!D4:E4,H$374)+COUNTIF('11月'!I4:J4,H$374)+COUNTIF('11月'!N4:O4,H$374)+COUNTIF('11月'!S4:T4,H$374)+COUNTIF('11月'!X4:Y4,H$374)+COUNTIF('11月'!AC4:AD4,H$374)+COUNTIF('11月'!AH4:AI4,H$374)+COUNTIF('11月'!AM4:AN4,H$374)+COUNTIF('11月'!AR4:AS4,H$374)+COUNTIF('11月'!AW4:AX4,H$374)+COUNTIF('11月'!BB4:BC4,H$374)+COUNTIF('11月'!BG4:BH4,H$374)+COUNTIF('11月'!BL4:BM4,H$374)+COUNTIF('11月'!BQ4:BR4,H$374)+COUNTIF('11月'!BV4:BW4,H$374)+COUNTIF('11月'!CA4:CB4,H$374)+COUNTIF('11月'!CF4:CG4,H$374)+COUNTIF('11月'!CK4:CL4,H$374)+COUNTIF('11月'!CP4:CQ4,H$374)+COUNTIF('11月'!CU4:CV4,H$374)+COUNTIF('11月'!CZ4:DA4,H$374)+COUNTIF('11月'!DE4:DF4,H$374)+COUNTIF('11月'!DJ4:DK4,H$374)+COUNTIF('11月'!DO4:DP4,H$374)+COUNTIF('11月'!DT4:DU4,H$374)+COUNTIF('11月'!DY4:DZ4,H$374)+COUNTIF('11月'!ED4:EE4,H$374)+COUNTIF('11月'!EI4:EJ4,H$374)+COUNTIF('11月'!EN4:EO4,H$374)+COUNTIF('11月'!ES4:ET4,H$374)+COUNTIF('11月'!D4:E4,"渋谷-夜勤")+COUNTIF('11月'!I4:J4,"渋谷-夜勤")+COUNTIF('11月'!N4:O4,"渋谷-夜勤")+COUNTIF('11月'!S4:T4,"渋谷-夜勤")+COUNTIF('11月'!X4:Y4,"渋谷-夜勤")+COUNTIF('11月'!AC4:AD4,"渋谷-夜勤")+COUNTIF('11月'!AH4:AI4,"渋谷-夜勤")+COUNTIF('11月'!AM4:AN4,"渋谷-夜勤")+COUNTIF('11月'!AR4:AS4,"渋谷-夜勤")+COUNTIF('11月'!AW4:AX4,"渋谷-夜勤")+COUNTIF('11月'!BB4:BC4,"渋谷-夜勤")+COUNTIF('11月'!BG4:BH4,"渋谷-夜勤")+COUNTIF('11月'!BL4:BM4,"渋谷-夜勤")+COUNTIF('11月'!BQ4:BR4,"渋谷-夜勤")+COUNTIF('11月'!BV4:BW4,"渋谷-夜勤")+COUNTIF('11月'!CA4:CB4,"渋谷-夜勤")+COUNTIF('11月'!CF4:CG4,"渋谷-夜勤")+COUNTIF('11月'!CK4:CL4,"渋谷-夜勤")+COUNTIF('11月'!CP4:CQ4,"渋谷-夜勤")+COUNTIF('11月'!CU4:CV4,"渋谷-夜勤")+COUNTIF('11月'!CZ4:DA4,"渋谷-夜勤")+COUNTIF('11月'!DE4:DF4,"渋谷-夜勤")+COUNTIF('11月'!DJ4:DK4,"渋谷-夜勤")+COUNTIF('11月'!DO4:DP4,"渋谷-夜勤")+COUNTIF('11月'!DT4:DU4,"渋谷-夜勤")+COUNTIF('11月'!DY4:DZ4,"渋谷-夜勤")+COUNTIF('11月'!ED4:EE4,"渋谷-夜勤")+COUNTIF('11月'!EI4:EJ4,"渋谷-夜勤")+COUNTIF('11月'!EN4:EO4,"渋谷-夜勤")+COUNTIF('11月'!ES4:ET4,"渋谷-夜勤")</f>
        <v>0</v>
      </c>
      <c r="I376" s="76">
        <f>IF(H376=0,0,H376)</f>
        <v>0</v>
      </c>
      <c r="J376" s="76">
        <f>COUNTIF('11月'!D4:E4,J$374)+COUNTIF('11月'!I4:J4,J$374)+COUNTIF('11月'!N4:O4,J$374)+COUNTIF('11月'!S4:T4,J$374)+COUNTIF('11月'!X4:Y4,J$374)+COUNTIF('11月'!AC4:AD4,J$374)+COUNTIF('11月'!AH4:AI4,J$374)+COUNTIF('11月'!AM4:AN4,J$374)+COUNTIF('11月'!AR4:AS4,J$374)+COUNTIF('11月'!AW4:AX4,J$374)+COUNTIF('11月'!BB4:BC4,J$374)+COUNTIF('11月'!BG4:BH4,J$374)+COUNTIF('11月'!BL4:BM4,J$374)+COUNTIF('11月'!BQ4:BR4,J$374)+COUNTIF('11月'!BV4:BW4,J$374)+COUNTIF('11月'!CA4:CB4,J$374)+COUNTIF('11月'!CF4:CG4,J$374)+COUNTIF('11月'!CK4:CL4,J$374)+COUNTIF('11月'!CP4:CQ4,J$374)+COUNTIF('11月'!CU4:CV4,J$374)+COUNTIF('11月'!CZ4:DA4,J$374)+COUNTIF('11月'!DE4:DF4,J$374)+COUNTIF('11月'!DJ4:DK4,J$374)+COUNTIF('11月'!DO4:DP4,J$374)+COUNTIF('11月'!DT4:DU4,J$374)+COUNTIF('11月'!DY4:DZ4,J$374)+COUNTIF('11月'!ED4:EE4,J$374)+COUNTIF('11月'!EI4:EJ4,J$374)+COUNTIF('11月'!EN4:EO4,J$374)+COUNTIF('11月'!ES4:ET4,J$374)+COUNTIF('11月'!D4:E4,"六本木-夜勤")+COUNTIF('11月'!I4:J4,"六本木-夜勤")+COUNTIF('11月'!N4:O4,"六本木-夜勤")+COUNTIF('11月'!S4:T4,"六本木-夜勤")+COUNTIF('11月'!X4:Y4,"六本木-夜勤")+COUNTIF('11月'!AC4:AD4,"六本木-夜勤")+COUNTIF('11月'!AH4:AI4,"六本木-夜勤")+COUNTIF('11月'!AM4:AN4,"六本木-夜勤")+COUNTIF('11月'!AR4:AS4,"六本木-夜勤")+COUNTIF('11月'!AW4:AX4,"六本木-夜勤")+COUNTIF('11月'!BB4:BC4,"六本木-夜勤")+COUNTIF('11月'!BG4:BH4,"六本木-夜勤")+COUNTIF('11月'!BL4:BM4,"六本木-夜勤")+COUNTIF('11月'!BQ4:BR4,"六本木-夜勤")+COUNTIF('11月'!BV4:BW4,"六本木-夜勤")+COUNTIF('11月'!CA4:CB4,"六本木-夜勤")+COUNTIF('11月'!CF4:CG4,"六本木-夜勤")+COUNTIF('11月'!CK4:CL4,"六本木-夜勤")+COUNTIF('11月'!CP4:CQ4,"六本木-夜勤")+COUNTIF('11月'!CU4:CV4,"六本木-夜勤")+COUNTIF('11月'!CZ4:DA4,"六本木-夜勤")+COUNTIF('11月'!DE4:DF4,"六本木-夜勤")+COUNTIF('11月'!DJ4:DK4,"六本木-夜勤")+COUNTIF('11月'!DO4:DP4,"六本木-夜勤")+COUNTIF('11月'!DT4:DU4,"六本木-夜勤")+COUNTIF('11月'!DY4:DZ4,"六本木-夜勤")+COUNTIF('11月'!ED4:EE4,"六本木-夜勤")+COUNTIF('11月'!EI4:EJ4,"六本木-夜勤")+COUNTIF('11月'!EN4:EO4,"六本木-夜勤")+COUNTIF('11月'!ES4:ET4,"六本木-夜勤")+COUNTIF('11月'!D4:E4,"六本木ー夜勤")+COUNTIF('11月'!I4:J4,"六本木ー夜勤")+COUNTIF('11月'!N4:O4,"六本木ー夜勤")+COUNTIF('11月'!S4:T4,"六本木ー夜勤")+COUNTIF('11月'!X4:Y4,"六本木ー夜勤")+COUNTIF('11月'!AC4:AD4,"六本木ー夜勤")+COUNTIF('11月'!AH4:AI4,"六本木ー夜勤")+COUNTIF('11月'!AM4:AN4,"六本木ー夜勤")+COUNTIF('11月'!AR4:AS4,"六本木ー夜勤")+COUNTIF('11月'!AW4:AX4,"六本木ー夜勤")+COUNTIF('11月'!BB4:BC4,"六本木ー夜勤")+COUNTIF('11月'!BG4:BH4,"六本木ー夜勤")+COUNTIF('11月'!BL4:BM4,"六本木ー夜勤")+COUNTIF('11月'!BQ4:BR4,"六本木ー夜勤")+COUNTIF('11月'!BV4:BW4,"六本木ー夜勤")+COUNTIF('11月'!CA4:CB4,"六本木ー夜勤")+COUNTIF('11月'!CF4:CG4,"六本木ー夜勤")+COUNTIF('11月'!CK4:CL4,"六本木ー夜勤")+COUNTIF('11月'!CP4:CQ4,"六本木ー夜勤")+COUNTIF('11月'!CU4:CV4,"六本木ー夜勤")+COUNTIF('11月'!CZ4:DA4,"六本木ー夜勤")+COUNTIF('11月'!DE4:DF4,"六本木ー夜勤")+COUNTIF('11月'!DJ4:DK4,"六本木ー夜勤")+COUNTIF('11月'!DO4:DP4,"六本木ー夜勤")+COUNTIF('11月'!DT4:DU4,"六本木ー夜勤")+COUNTIF('11月'!DY4:DZ4,"六本木ー夜勤")+COUNTIF('11月'!ED4:EE4,"六本木ー夜勤")+COUNTIF('11月'!EI4:EJ4,"六本木ー夜勤")+COUNTIF('11月'!EN4:EO4,"六本木ー夜勤")+COUNTIF('11月'!ES4:ET4,"六本木ー夜勤")</f>
        <v>0</v>
      </c>
      <c r="K376" s="76">
        <f>IF(J376=0,0,J376)</f>
        <v>0</v>
      </c>
      <c r="L376" s="76">
        <f>COUNTIF('11月'!D4:E4,L$374)+COUNTIF('11月'!I4:J4,L$374)+COUNTIF('11月'!N4:O4,L$374)+COUNTIF('11月'!S4:T4,L$374)+COUNTIF('11月'!X4:Y4,L$374)+COUNTIF('11月'!AC4:AD4,L$374)+COUNTIF('11月'!AH4:AI4,L$374)+COUNTIF('11月'!AM4:AN4,L$374)+COUNTIF('11月'!AR4:AS4,L$374)+COUNTIF('11月'!AW4:AX4,L$374)+COUNTIF('11月'!BB4:BC4,L$374)+COUNTIF('11月'!BG4:BH4,L$374)+COUNTIF('11月'!BL4:BM4,L$374)+COUNTIF('11月'!BQ4:BR4,L$374)+COUNTIF('11月'!BV4:BW4,L$374)+COUNTIF('11月'!CA4:CB4,L$374)+COUNTIF('11月'!CF4:CG4,L$374)+COUNTIF('11月'!CK4:CL4,L$374)+COUNTIF('11月'!CP4:CQ4,L$374)+COUNTIF('11月'!CU4:CV4,L$374)+COUNTIF('11月'!CZ4:DA4,L$374)+COUNTIF('11月'!DE4:DF4,L$374)+COUNTIF('11月'!DJ4:DK4,L$374)+COUNTIF('11月'!DO4:DP4,L$374)+COUNTIF('11月'!DT4:DU4,L$374)+COUNTIF('11月'!DY4:DZ4,L$374)+COUNTIF('11月'!ED4:EE4,L$374)+COUNTIF('11月'!EI4:EJ4,L$374)+COUNTIF('11月'!EN4:EO4,L$374)+COUNTIF('11月'!ES4:ET4,L$374)</f>
        <v>0</v>
      </c>
      <c r="M376" s="76">
        <f>IF(L376=0,0,L376)</f>
        <v>0</v>
      </c>
      <c r="N376" s="76">
        <f>COUNTIF('11月'!D4:E4,N$374)+COUNTIF('11月'!I4:J4,N$374)+COUNTIF('11月'!N4:O4,N$374)+COUNTIF('11月'!S4:T4,N$374)+COUNTIF('11月'!X4:Y4,N$374)+COUNTIF('11月'!AC4:AD4,N$374)+COUNTIF('11月'!AH4:AI4,N$374)+COUNTIF('11月'!AM4:AN4,N$374)+COUNTIF('11月'!AR4:AS4,N$374)+COUNTIF('11月'!AW4:AX4,N$374)+COUNTIF('11月'!BB4:BC4,N$374)+COUNTIF('11月'!BG4:BH4,N$374)+COUNTIF('11月'!BL4:BM4,N$374)+COUNTIF('11月'!BQ4:BR4,N$374)+COUNTIF('11月'!BV4:BW4,N$374)+COUNTIF('11月'!CA4:CB4,N$374)+COUNTIF('11月'!CF4:CG4,N$374)+COUNTIF('11月'!CK4:CL4,N$374)+COUNTIF('11月'!CP4:CQ4,N$374)+COUNTIF('11月'!CU4:CV4,N$374)+COUNTIF('11月'!CZ4:DA4,N$374)+COUNTIF('11月'!DE4:DF4,N$374)+COUNTIF('11月'!DJ4:DK4,N$374)+COUNTIF('11月'!DO4:DP4,N$374)+COUNTIF('11月'!DT4:DU4,N$374)+COUNTIF('11月'!DY4:DZ4,N$374)+COUNTIF('11月'!ED4:EE4,N$374)+COUNTIF('11月'!EI4:EJ4,N$374)+COUNTIF('11月'!EN4:EO4,N$374)+COUNTIF('11月'!ES4:ET4,N$374)+COUNTIF('11月'!D4:E4,"三軒茶屋－夜勤")+COUNTIF('11月'!I4:J4,"三軒茶屋－夜勤")+COUNTIF('11月'!N4:O4,"三軒茶屋－夜勤")+COUNTIF('11月'!S4:T4,"三軒茶屋－夜勤")+COUNTIF('11月'!X4:Y4,"三軒茶屋－夜勤")+COUNTIF('11月'!AC4:AD4,"三軒茶屋－夜勤")+COUNTIF('11月'!AH4:AI4,"三軒茶屋－夜勤")+COUNTIF('11月'!AM4:AN4,"三軒茶屋－夜勤")+COUNTIF('11月'!AR4:AS4,"三軒茶屋－夜勤")+COUNTIF('11月'!AW4:AX4,"三軒茶屋－夜勤")+COUNTIF('11月'!BB4:BC4,"三軒茶屋－夜勤")+COUNTIF('11月'!BG4:BH4,"三軒茶屋－夜勤")+COUNTIF('11月'!BL4:BM4,"三軒茶屋－夜勤")+COUNTIF('11月'!BQ4:BR4,"三軒茶屋－夜勤")+COUNTIF('11月'!BV4:BW4,"三軒茶屋－夜勤")+COUNTIF('11月'!CA4:CB4,"三軒茶屋－夜勤")+COUNTIF('11月'!CF4:CG4,"三軒茶屋－夜勤")+COUNTIF('11月'!CK4:CL4,"三軒茶屋－夜勤")+COUNTIF('11月'!CP4:CQ4,"三軒茶屋－夜勤")+COUNTIF('11月'!CU4:CV4,"三軒茶屋－夜勤")+COUNTIF('11月'!CZ4:DA4,"三軒茶屋－夜勤")+COUNTIF('11月'!DE4:DF4,"三軒茶屋－夜勤")+COUNTIF('11月'!DJ4:DK4,"三軒茶屋－夜勤")+COUNTIF('11月'!DO4:DP4,"三軒茶屋－夜勤")+COUNTIF('11月'!DT4:DU4,"三軒茶屋－夜勤")+COUNTIF('11月'!DY4:DZ4,"三軒茶屋－夜勤")+COUNTIF('11月'!ED4:EE4,"三軒茶屋－夜勤")+COUNTIF('11月'!EI4:EJ4,"三軒茶屋－夜勤")+COUNTIF('11月'!EN4:EO4,"三軒茶屋－夜勤")+COUNTIF('11月'!ES4:ET4,"三軒茶屋－夜勤")</f>
        <v>0</v>
      </c>
      <c r="O376" s="76">
        <f>IF(N376=0,0,N376)</f>
        <v>0</v>
      </c>
      <c r="P376" s="76">
        <f>COUNTIF('11月'!D4:E4,P$374)+COUNTIF('11月'!I4:J4,P$374)+COUNTIF('11月'!N4:O4,P$374)+COUNTIF('11月'!S4:T4,P$374)+COUNTIF('11月'!X4:Y4,P$374)+COUNTIF('11月'!AC4:AD4,P$374)+COUNTIF('11月'!AH4:AI4,P$374)+COUNTIF('11月'!AM4:AN4,P$374)+COUNTIF('11月'!AR4:AS4,P$374)+COUNTIF('11月'!AW4:AX4,P$374)+COUNTIF('11月'!BB4:BC4,P$374)+COUNTIF('11月'!BG4:BH4,P$374)+COUNTIF('11月'!BL4:BM4,P$374)+COUNTIF('11月'!BQ4:BR4,P$374)+COUNTIF('11月'!BV4:BW4,P$374)+COUNTIF('11月'!CA4:CB4,P$374)+COUNTIF('11月'!CF4:CG4,P$374)+COUNTIF('11月'!CK4:CL4,P$374)+COUNTIF('11月'!CP4:CQ4,P$374)+COUNTIF('11月'!CU4:CV4,P$374)+COUNTIF('11月'!CZ4:DA4,P$374)+COUNTIF('11月'!DE4:DF4,P$374)+COUNTIF('11月'!DJ4:DK4,P$374)+COUNTIF('11月'!DO4:DP4,P$374)+COUNTIF('11月'!DT4:DU4,P$374)+COUNTIF('11月'!DY4:DZ4,P$374)+COUNTIF('11月'!ED4:EE4,P$374)+COUNTIF('11月'!EI4:EJ4,P$374)+COUNTIF('11月'!EN4:EO4,P$374)+COUNTIF('11月'!ES4:ET4,P$374)+COUNTIF('11月'!D4:E4,"荻窪ー夜勤")+COUNTIF('11月'!I4:J4,"荻窪ー夜勤")+COUNTIF('11月'!N4:O4,"荻窪ー夜勤")+COUNTIF('11月'!S4:T4,"荻窪ー夜勤")+COUNTIF('11月'!X4:Y4,"荻窪ー夜勤")+COUNTIF('11月'!AC4:AD4,"荻窪ー夜勤")+COUNTIF('11月'!AH4:AI4,"荻窪ー夜勤")+COUNTIF('11月'!AM4:AN4,"荻窪ー夜勤")+COUNTIF('11月'!AR4:AS4,"荻窪ー夜勤")+COUNTIF('11月'!AW4:AX4,"荻窪ー夜勤")+COUNTIF('11月'!BB4:BC4,"荻窪ー夜勤")+COUNTIF('11月'!BG4:BH4,"荻窪ー夜勤")+COUNTIF('11月'!BL4:BM4,"荻窪ー夜勤")+COUNTIF('11月'!BQ4:BR4,"荻窪ー夜勤")+COUNTIF('11月'!BV4:BW4,"荻窪ー夜勤")+COUNTIF('11月'!CA4:CB4,"荻窪ー夜勤")+COUNTIF('11月'!CF4:CG4,"荻窪ー夜勤")+COUNTIF('11月'!CK4:CL4,"荻窪ー夜勤")+COUNTIF('11月'!CP4:CQ4,"荻窪ー夜勤")+COUNTIF('11月'!CU4:CV4,"荻窪ー夜勤")+COUNTIF('11月'!CZ4:DA4,"荻窪ー夜勤")+COUNTIF('11月'!DE4:DF4,"荻窪ー夜勤")+COUNTIF('11月'!DJ4:DK4,"荻窪ー夜勤")+COUNTIF('11月'!DO4:DP4,"荻窪ー夜勤")+COUNTIF('11月'!DT4:DU4,"荻窪ー夜勤")+COUNTIF('11月'!DY4:DZ4,"荻窪ー夜勤")+COUNTIF('11月'!ED4:EE4,"荻窪ー夜勤")+COUNTIF('11月'!EI4:EJ4,"荻窪ー夜勤")+COUNTIF('11月'!EN4:EO4,"荻窪ー夜勤")+COUNTIF('11月'!ES4:ET4,"荻窪ー夜勤")</f>
        <v>0</v>
      </c>
      <c r="Q376" s="76">
        <f>IF(P376=0,0,P376)</f>
        <v>0</v>
      </c>
      <c r="R376" s="76">
        <f>COUNTIF('11月'!D4:E4,R$374)+COUNTIF('11月'!I4:J4,R$374)+COUNTIF('11月'!N4:O4,R$374)+COUNTIF('11月'!S4:T4,R$374)+COUNTIF('11月'!X4:Y4,R$374)+COUNTIF('11月'!AC4:AD4,R$374)+COUNTIF('11月'!AH4:AI4,R$374)+COUNTIF('11月'!AM4:AN4,R$374)+COUNTIF('11月'!AR4:AS4,R$374)+COUNTIF('11月'!AW4:AX4,R$374)+COUNTIF('11月'!BB4:BC4,R$374)+COUNTIF('11月'!BG4:BH4,R$374)+COUNTIF('11月'!BL4:BM4,R$374)+COUNTIF('11月'!BQ4:BR4,R$374)+COUNTIF('11月'!BV4:BW4,R$374)+COUNTIF('11月'!CA4:CB4,R$374)+COUNTIF('11月'!CF4:CG4,R$374)+COUNTIF('11月'!CK4:CL4,R$374)+COUNTIF('11月'!CP4:CQ4,R$374)+COUNTIF('11月'!CU4:CV4,R$374)+COUNTIF('11月'!CZ4:DA4,R$374)+COUNTIF('11月'!DE4:DF4,R$374)+COUNTIF('11月'!DJ4:DK4,R$374)+COUNTIF('11月'!DO4:DP4,R$374)+COUNTIF('11月'!DT4:DU4,R$374)+COUNTIF('11月'!DY4:DZ4,R$374)+COUNTIF('11月'!ED4:EE4,R$374)+COUNTIF('11月'!EI4:EJ4,R$374)+COUNTIF('11月'!EN4:EO4,R$374)+COUNTIF('11月'!ES4:ET4,R$374)</f>
        <v>0</v>
      </c>
      <c r="S376" s="76">
        <f>IF(R376=0,0,R376)</f>
        <v>0</v>
      </c>
      <c r="T376" s="76">
        <f>COUNTIF('11月'!D4:E4,T$374)+COUNTIF('11月'!I4:J4,T$374)+COUNTIF('11月'!N4:O4,T$374)+COUNTIF('11月'!S4:T4,T$374)+COUNTIF('11月'!X4:Y4,T$374)+COUNTIF('11月'!AC4:AD4,T$374)+COUNTIF('11月'!AH4:AI4,T$374)+COUNTIF('11月'!AM4:AN4,T$374)+COUNTIF('11月'!AR4:AS4,T$374)+COUNTIF('11月'!AW4:AX4,T$374)+COUNTIF('11月'!BB4:BC4,T$374)+COUNTIF('11月'!BG4:BH4,T$374)+COUNTIF('11月'!BL4:BM4,T$374)+COUNTIF('11月'!BQ4:BR4,T$374)+COUNTIF('11月'!BV4:BW4,T$374)+COUNTIF('11月'!CA4:CB4,T$374)+COUNTIF('11月'!CF4:CG4,T$374)+COUNTIF('11月'!CK4:CL4,T$374)+COUNTIF('11月'!CP4:CQ4,T$374)+COUNTIF('11月'!CU4:CV4,T$374)+COUNTIF('11月'!CZ4:DA4,T$374)+COUNTIF('11月'!DE4:DF4,T$374)+COUNTIF('11月'!DJ4:DK4,T$374)+COUNTIF('11月'!DO4:DP4,T$374)+COUNTIF('11月'!DT4:DU4,T$374)+COUNTIF('11月'!DY4:DZ4,T$374)+COUNTIF('11月'!ED4:EE4,T$374)+COUNTIF('11月'!EI4:EJ4,T$374)+COUNTIF('11月'!EN4:EO4,T$374)+COUNTIF('11月'!ES4:ET4,T$374)</f>
        <v>0</v>
      </c>
      <c r="U376" s="76">
        <f>IF(T376=0,0,T376)</f>
        <v>0</v>
      </c>
      <c r="V376" s="76">
        <f>COUNTIF('11月'!D4:E4,V$374)+COUNTIF('11月'!I4:J4,V$374)+COUNTIF('11月'!N4:O4,V$374)+COUNTIF('11月'!S4:T4,V$374)+COUNTIF('11月'!X4:Y4,V$374)+COUNTIF('11月'!AC4:AD4,V$374)+COUNTIF('11月'!AH4:AI4,V$374)+COUNTIF('11月'!AM4:AN4,V$374)+COUNTIF('11月'!AR4:AS4,V$374)+COUNTIF('11月'!AW4:AX4,V$374)+COUNTIF('11月'!BB4:BC4,V$374)+COUNTIF('11月'!BG4:BH4,V$374)+COUNTIF('11月'!BL4:BM4,V$374)+COUNTIF('11月'!BQ4:BR4,V$374)+COUNTIF('11月'!BV4:BW4,V$374)+COUNTIF('11月'!CA4:CB4,V$374)+COUNTIF('11月'!CF4:CG4,V$374)+COUNTIF('11月'!CK4:CL4,V$374)+COUNTIF('11月'!CP4:CQ4,V$374)+COUNTIF('11月'!CU4:CV4,V$374)+COUNTIF('11月'!CZ4:DA4,V$374)+COUNTIF('11月'!DE4:DF4,V$374)+COUNTIF('11月'!DJ4:DK4,V$374)+COUNTIF('11月'!DO4:DP4,V$374)+COUNTIF('11月'!DT4:DU4,V$374)+COUNTIF('11月'!DY4:DZ4,V$374)+COUNTIF('11月'!ED4:EE4,V$374)+COUNTIF('11月'!EI4:EJ4,V$374)+COUNTIF('11月'!EN4:EO4,V$374)+COUNTIF('11月'!ES4:ET4,V$374)</f>
        <v>0</v>
      </c>
      <c r="W376" s="76">
        <f>IF(V376=0,0,V376)</f>
        <v>0</v>
      </c>
      <c r="X376" s="76">
        <f>COUNTIF('11月'!D4:E4,X$374)+COUNTIF('11月'!I4:J4,X$374)+COUNTIF('11月'!N4:O4,X$374)+COUNTIF('11月'!S4:T4,X$374)+COUNTIF('11月'!X4:Y4,X$374)+COUNTIF('11月'!AC4:AD4,X$374)+COUNTIF('11月'!AH4:AI4,X$374)+COUNTIF('11月'!AM4:AN4,X$374)+COUNTIF('11月'!AR4:AS4,X$374)+COUNTIF('11月'!AW4:AX4,X$374)+COUNTIF('11月'!BB4:BC4,X$374)+COUNTIF('11月'!BG4:BH4,X$374)+COUNTIF('11月'!BL4:BM4,X$374)+COUNTIF('11月'!BQ4:BR4,X$374)+COUNTIF('11月'!BV4:BW4,X$374)+COUNTIF('11月'!CA4:CB4,X$374)+COUNTIF('11月'!CF4:CG4,X$374)+COUNTIF('11月'!CK4:CL4,X$374)+COUNTIF('11月'!CP4:CQ4,X$374)+COUNTIF('11月'!CU4:CV4,X$374)+COUNTIF('11月'!CZ4:DA4,X$374)+COUNTIF('11月'!DE4:DF4,X$374)+COUNTIF('11月'!DJ4:DK4,X$374)+COUNTIF('11月'!DO4:DP4,X$374)+COUNTIF('11月'!DT4:DU4,X$374)+COUNTIF('11月'!DY4:DZ4,X$374)+COUNTIF('11月'!ED4:EE4,X$374)+COUNTIF('11月'!EI4:EJ4,X$374)+COUNTIF('11月'!EN4:EO4,X$374)+COUNTIF('11月'!ES4:ET4,X$374)</f>
        <v>0</v>
      </c>
      <c r="Y376" s="76">
        <f>IF(X376=0,0,X376)</f>
        <v>0</v>
      </c>
    </row>
    <row r="377" spans="1:25" ht="18" customHeight="1">
      <c r="A377" s="76">
        <v>2</v>
      </c>
      <c r="B377" s="76">
        <f>COUNTIF('11月'!D5:E5,B$374)+COUNTIF('11月'!I5:J5,B$374)+COUNTIF('11月'!N5:O5,B$374)+COUNTIF('11月'!S5:T5,B$374)+COUNTIF('11月'!X5:Y5,B$374)+COUNTIF('11月'!AC5:AD5,B$374)+COUNTIF('11月'!AH5:AI5,B$374)+COUNTIF('11月'!AM5:AN5,B$374)+COUNTIF('11月'!AR5:AS5,B$374)+COUNTIF('11月'!AW5:AX5,B$374)+COUNTIF('11月'!BB5:BC5,B$374)+COUNTIF('11月'!BG5:BH5,B$374)+COUNTIF('11月'!BL5:BM5,B$374)+COUNTIF('11月'!BQ5:BR5,B$374)+COUNTIF('11月'!BV5:BW5,B$374)+COUNTIF('11月'!CA5:CB5,B$374)+COUNTIF('11月'!CF5:CG5,B$374)+COUNTIF('11月'!CK5:CL5,B$374)+COUNTIF('11月'!CP5:CQ5,B$374)+COUNTIF('11月'!CU5:CV5,B$374)+COUNTIF('11月'!CZ5:DA5,B$374)+COUNTIF('11月'!DE5:DF5,B$374)+COUNTIF('11月'!DJ5:DK5,B$374)+COUNTIF('11月'!DO5:DP5,B$374)+COUNTIF('11月'!DT5:DU5,B$374)+COUNTIF('11月'!DY5:DZ5,B$374)+COUNTIF('11月'!ED5:EE5,B$374)+COUNTIF('11月'!EI5:EJ5,B$374)+COUNTIF('11月'!EN5:EO5,B$374)+COUNTIF('11月'!ES5:ET5,B$374)</f>
        <v>0</v>
      </c>
      <c r="C377" s="76">
        <f t="shared" ref="C377:C406" si="120">IF(B377=0,C376,C376+B377)</f>
        <v>0</v>
      </c>
      <c r="D377" s="76">
        <f>COUNTIF('11月'!D5:E5,D$374)+COUNTIF('11月'!I5:J5,D$374)+COUNTIF('11月'!N5:O5,D$374)+COUNTIF('11月'!S5:T5,D$374)+COUNTIF('11月'!X5:Y5,D$374)+COUNTIF('11月'!AC5:AD5,D$374)+COUNTIF('11月'!AH5:AI5,D$374)+COUNTIF('11月'!AM5:AN5,D$374)+COUNTIF('11月'!AR5:AS5,D$374)+COUNTIF('11月'!AW5:AX5,D$374)+COUNTIF('11月'!BB5:BC5,D$374)+COUNTIF('11月'!BG5:BH5,D$374)+COUNTIF('11月'!BL5:BM5,D$374)+COUNTIF('11月'!BQ5:BR5,D$374)+COUNTIF('11月'!BV5:BW5,D$374)+COUNTIF('11月'!CA5:CB5,D$374)+COUNTIF('11月'!CF5:CG5,D$374)+COUNTIF('11月'!CK5:CL5,D$374)+COUNTIF('11月'!CP5:CQ5,D$374)+COUNTIF('11月'!CU5:CV5,D$374)+COUNTIF('11月'!CZ5:DA5,D$374)+COUNTIF('11月'!DE5:DF5,D$374)+COUNTIF('11月'!DJ5:DK5,D$374)+COUNTIF('11月'!DO5:DP5,D$374)+COUNTIF('11月'!DT5:DU5,D$374)+COUNTIF('11月'!DY5:DZ5,D$374)+COUNTIF('11月'!ED5:EE5,D$374)+COUNTIF('11月'!EI5:EJ5,D$374)+COUNTIF('11月'!EN5:EO5,D$374)+COUNTIF('11月'!ES5:ET5,D$374)</f>
        <v>0</v>
      </c>
      <c r="E377" s="76">
        <f t="shared" ref="E377:E406" si="121">IF(D377=0,E376,E376+D377)</f>
        <v>0</v>
      </c>
      <c r="F377" s="76">
        <f>COUNTIF('11月'!D5:E5,F$374)+COUNTIF('11月'!I5:J5,F$374)+COUNTIF('11月'!N5:O5,F$374)+COUNTIF('11月'!S5:T5,F$374)+COUNTIF('11月'!X5:Y5,F$374)+COUNTIF('11月'!AC5:AD5,F$374)+COUNTIF('11月'!AH5:AI5,F$374)+COUNTIF('11月'!AM5:AN5,F$374)+COUNTIF('11月'!AR5:AS5,F$374)+COUNTIF('11月'!AW5:AX5,F$374)+COUNTIF('11月'!BB5:BC5,F$374)+COUNTIF('11月'!BG5:BH5,F$374)+COUNTIF('11月'!BL5:BM5,F$374)+COUNTIF('11月'!BQ5:BR5,F$374)+COUNTIF('11月'!BV5:BW5,F$374)+COUNTIF('11月'!CA5:CB5,F$374)+COUNTIF('11月'!CF5:CG5,F$374)+COUNTIF('11月'!CK5:CL5,F$374)+COUNTIF('11月'!CP5:CQ5,F$374)+COUNTIF('11月'!CU5:CV5,F$374)+COUNTIF('11月'!CZ5:DA5,F$374)+COUNTIF('11月'!DE5:DF5,F$374)+COUNTIF('11月'!DJ5:DK5,F$374)+COUNTIF('11月'!DO5:DP5,F$374)+COUNTIF('11月'!DT5:DU5,F$374)+COUNTIF('11月'!DY5:DZ5,F$374)+COUNTIF('11月'!ED5:EE5,F$374)+COUNTIF('11月'!EI5:EJ5,F$374)+COUNTIF('11月'!EN5:EO5,F$374)+COUNTIF('11月'!ES5:ET5,F$374)</f>
        <v>0</v>
      </c>
      <c r="G377" s="76">
        <f t="shared" ref="G377:G406" si="122">IF(F377=0,G376,G376+F377)</f>
        <v>0</v>
      </c>
      <c r="H377" s="76">
        <f>COUNTIF('11月'!D5:E5,H$374)+COUNTIF('11月'!I5:J5,H$374)+COUNTIF('11月'!N5:O5,H$374)+COUNTIF('11月'!S5:T5,H$374)+COUNTIF('11月'!X5:Y5,H$374)+COUNTIF('11月'!AC5:AD5,H$374)+COUNTIF('11月'!AH5:AI5,H$374)+COUNTIF('11月'!AM5:AN5,H$374)+COUNTIF('11月'!AR5:AS5,H$374)+COUNTIF('11月'!AW5:AX5,H$374)+COUNTIF('11月'!BB5:BC5,H$374)+COUNTIF('11月'!BG5:BH5,H$374)+COUNTIF('11月'!BL5:BM5,H$374)+COUNTIF('11月'!BQ5:BR5,H$374)+COUNTIF('11月'!BV5:BW5,H$374)+COUNTIF('11月'!CA5:CB5,H$374)+COUNTIF('11月'!CF5:CG5,H$374)+COUNTIF('11月'!CK5:CL5,H$374)+COUNTIF('11月'!CP5:CQ5,H$374)+COUNTIF('11月'!CU5:CV5,H$374)+COUNTIF('11月'!CZ5:DA5,H$374)+COUNTIF('11月'!DE5:DF5,H$374)+COUNTIF('11月'!DJ5:DK5,H$374)+COUNTIF('11月'!DO5:DP5,H$374)+COUNTIF('11月'!DT5:DU5,H$374)+COUNTIF('11月'!DY5:DZ5,H$374)+COUNTIF('11月'!ED5:EE5,H$374)+COUNTIF('11月'!EI5:EJ5,H$374)+COUNTIF('11月'!EN5:EO5,H$374)+COUNTIF('11月'!ES5:ET5,H$374)+COUNTIF('11月'!D5:E5,"渋谷-夜勤")+COUNTIF('11月'!I5:J5,"渋谷-夜勤")+COUNTIF('11月'!N5:O5,"渋谷-夜勤")+COUNTIF('11月'!S5:T5,"渋谷-夜勤")+COUNTIF('11月'!X5:Y5,"渋谷-夜勤")+COUNTIF('11月'!AC5:AD5,"渋谷-夜勤")+COUNTIF('11月'!AH5:AI5,"渋谷-夜勤")+COUNTIF('11月'!AM5:AN5,"渋谷-夜勤")+COUNTIF('11月'!AR5:AS5,"渋谷-夜勤")+COUNTIF('11月'!AW5:AX5,"渋谷-夜勤")+COUNTIF('11月'!BB5:BC5,"渋谷-夜勤")+COUNTIF('11月'!BG5:BH5,"渋谷-夜勤")+COUNTIF('11月'!BL5:BM5,"渋谷-夜勤")+COUNTIF('11月'!BQ5:BR5,"渋谷-夜勤")+COUNTIF('11月'!BV5:BW5,"渋谷-夜勤")+COUNTIF('11月'!CA5:CB5,"渋谷-夜勤")+COUNTIF('11月'!CF5:CG5,"渋谷-夜勤")+COUNTIF('11月'!CK5:CL5,"渋谷-夜勤")+COUNTIF('11月'!CP5:CQ5,"渋谷-夜勤")+COUNTIF('11月'!CU5:CV5,"渋谷-夜勤")+COUNTIF('11月'!CZ5:DA5,"渋谷-夜勤")+COUNTIF('11月'!DE5:DF5,"渋谷-夜勤")+COUNTIF('11月'!DJ5:DK5,"渋谷-夜勤")+COUNTIF('11月'!DO5:DP5,"渋谷-夜勤")+COUNTIF('11月'!DT5:DU5,"渋谷-夜勤")+COUNTIF('11月'!DY5:DZ5,"渋谷-夜勤")+COUNTIF('11月'!ED5:EE5,"渋谷-夜勤")+COUNTIF('11月'!EI5:EJ5,"渋谷-夜勤")+COUNTIF('11月'!EN5:EO5,"渋谷-夜勤")+COUNTIF('11月'!ES5:ET5,"渋谷-夜勤")</f>
        <v>0</v>
      </c>
      <c r="I377" s="76">
        <f t="shared" ref="I377:I406" si="123">IF(H377=0,I376,I376+H377)</f>
        <v>0</v>
      </c>
      <c r="J377" s="76">
        <f>COUNTIF('11月'!D5:E5,J$374)+COUNTIF('11月'!I5:J5,J$374)+COUNTIF('11月'!N5:O5,J$374)+COUNTIF('11月'!S5:T5,J$374)+COUNTIF('11月'!X5:Y5,J$374)+COUNTIF('11月'!AC5:AD5,J$374)+COUNTIF('11月'!AH5:AI5,J$374)+COUNTIF('11月'!AM5:AN5,J$374)+COUNTIF('11月'!AR5:AS5,J$374)+COUNTIF('11月'!AW5:AX5,J$374)+COUNTIF('11月'!BB5:BC5,J$374)+COUNTIF('11月'!BG5:BH5,J$374)+COUNTIF('11月'!BL5:BM5,J$374)+COUNTIF('11月'!BQ5:BR5,J$374)+COUNTIF('11月'!BV5:BW5,J$374)+COUNTIF('11月'!CA5:CB5,J$374)+COUNTIF('11月'!CF5:CG5,J$374)+COUNTIF('11月'!CK5:CL5,J$374)+COUNTIF('11月'!CP5:CQ5,J$374)+COUNTIF('11月'!CU5:CV5,J$374)+COUNTIF('11月'!CZ5:DA5,J$374)+COUNTIF('11月'!DE5:DF5,J$374)+COUNTIF('11月'!DJ5:DK5,J$374)+COUNTIF('11月'!DO5:DP5,J$374)+COUNTIF('11月'!DT5:DU5,J$374)+COUNTIF('11月'!DY5:DZ5,J$374)+COUNTIF('11月'!ED5:EE5,J$374)+COUNTIF('11月'!EI5:EJ5,J$374)+COUNTIF('11月'!EN5:EO5,J$374)+COUNTIF('11月'!ES5:ET5,J$374)+COUNTIF('11月'!D5:E5,"六本木-夜勤")+COUNTIF('11月'!I5:J5,"六本木-夜勤")+COUNTIF('11月'!N5:O5,"六本木-夜勤")+COUNTIF('11月'!S5:T5,"六本木-夜勤")+COUNTIF('11月'!X5:Y5,"六本木-夜勤")+COUNTIF('11月'!AC5:AD5,"六本木-夜勤")+COUNTIF('11月'!AH5:AI5,"六本木-夜勤")+COUNTIF('11月'!AM5:AN5,"六本木-夜勤")+COUNTIF('11月'!AR5:AS5,"六本木-夜勤")+COUNTIF('11月'!AW5:AX5,"六本木-夜勤")+COUNTIF('11月'!BB5:BC5,"六本木-夜勤")+COUNTIF('11月'!BG5:BH5,"六本木-夜勤")+COUNTIF('11月'!BL5:BM5,"六本木-夜勤")+COUNTIF('11月'!BQ5:BR5,"六本木-夜勤")+COUNTIF('11月'!BV5:BW5,"六本木-夜勤")+COUNTIF('11月'!CA5:CB5,"六本木-夜勤")+COUNTIF('11月'!CF5:CG5,"六本木-夜勤")+COUNTIF('11月'!CK5:CL5,"六本木-夜勤")+COUNTIF('11月'!CP5:CQ5,"六本木-夜勤")+COUNTIF('11月'!CU5:CV5,"六本木-夜勤")+COUNTIF('11月'!CZ5:DA5,"六本木-夜勤")+COUNTIF('11月'!DE5:DF5,"六本木-夜勤")+COUNTIF('11月'!DJ5:DK5,"六本木-夜勤")+COUNTIF('11月'!DO5:DP5,"六本木-夜勤")+COUNTIF('11月'!DT5:DU5,"六本木-夜勤")+COUNTIF('11月'!DY5:DZ5,"六本木-夜勤")+COUNTIF('11月'!ED5:EE5,"六本木-夜勤")+COUNTIF('11月'!EI5:EJ5,"六本木-夜勤")+COUNTIF('11月'!EN5:EO5,"六本木-夜勤")+COUNTIF('11月'!ES5:ET5,"六本木-夜勤")+COUNTIF('11月'!D5:E5,"六本木ー夜勤")+COUNTIF('11月'!I5:J5,"六本木ー夜勤")+COUNTIF('11月'!N5:O5,"六本木ー夜勤")+COUNTIF('11月'!S5:T5,"六本木ー夜勤")+COUNTIF('11月'!X5:Y5,"六本木ー夜勤")+COUNTIF('11月'!AC5:AD5,"六本木ー夜勤")+COUNTIF('11月'!AH5:AI5,"六本木ー夜勤")+COUNTIF('11月'!AM5:AN5,"六本木ー夜勤")+COUNTIF('11月'!AR5:AS5,"六本木ー夜勤")+COUNTIF('11月'!AW5:AX5,"六本木ー夜勤")+COUNTIF('11月'!BB5:BC5,"六本木ー夜勤")+COUNTIF('11月'!BG5:BH5,"六本木ー夜勤")+COUNTIF('11月'!BL5:BM5,"六本木ー夜勤")+COUNTIF('11月'!BQ5:BR5,"六本木ー夜勤")+COUNTIF('11月'!BV5:BW5,"六本木ー夜勤")+COUNTIF('11月'!CA5:CB5,"六本木ー夜勤")+COUNTIF('11月'!CF5:CG5,"六本木ー夜勤")+COUNTIF('11月'!CK5:CL5,"六本木ー夜勤")+COUNTIF('11月'!CP5:CQ5,"六本木ー夜勤")+COUNTIF('11月'!CU5:CV5,"六本木ー夜勤")+COUNTIF('11月'!CZ5:DA5,"六本木ー夜勤")+COUNTIF('11月'!DE5:DF5,"六本木ー夜勤")+COUNTIF('11月'!DJ5:DK5,"六本木ー夜勤")+COUNTIF('11月'!DO5:DP5,"六本木ー夜勤")+COUNTIF('11月'!DT5:DU5,"六本木ー夜勤")+COUNTIF('11月'!DY5:DZ5,"六本木ー夜勤")+COUNTIF('11月'!ED5:EE5,"六本木ー夜勤")+COUNTIF('11月'!EI5:EJ5,"六本木ー夜勤")+COUNTIF('11月'!EN5:EO5,"六本木ー夜勤")+COUNTIF('11月'!ES5:ET5,"六本木ー夜勤")</f>
        <v>0</v>
      </c>
      <c r="K377" s="76">
        <f t="shared" ref="K377:K406" si="124">IF(J377=0,K376,K376+J377)</f>
        <v>0</v>
      </c>
      <c r="L377" s="76">
        <f>COUNTIF('11月'!D5:E5,L$374)+COUNTIF('11月'!I5:J5,L$374)+COUNTIF('11月'!N5:O5,L$374)+COUNTIF('11月'!S5:T5,L$374)+COUNTIF('11月'!X5:Y5,L$374)+COUNTIF('11月'!AC5:AD5,L$374)+COUNTIF('11月'!AH5:AI5,L$374)+COUNTIF('11月'!AM5:AN5,L$374)+COUNTIF('11月'!AR5:AS5,L$374)+COUNTIF('11月'!AW5:AX5,L$374)+COUNTIF('11月'!BB5:BC5,L$374)+COUNTIF('11月'!BG5:BH5,L$374)+COUNTIF('11月'!BL5:BM5,L$374)+COUNTIF('11月'!BQ5:BR5,L$374)+COUNTIF('11月'!BV5:BW5,L$374)+COUNTIF('11月'!CA5:CB5,L$374)+COUNTIF('11月'!CF5:CG5,L$374)+COUNTIF('11月'!CK5:CL5,L$374)+COUNTIF('11月'!CP5:CQ5,L$374)+COUNTIF('11月'!CU5:CV5,L$374)+COUNTIF('11月'!CZ5:DA5,L$374)+COUNTIF('11月'!DE5:DF5,L$374)+COUNTIF('11月'!DJ5:DK5,L$374)+COUNTIF('11月'!DO5:DP5,L$374)+COUNTIF('11月'!DT5:DU5,L$374)+COUNTIF('11月'!DY5:DZ5,L$374)+COUNTIF('11月'!ED5:EE5,L$374)+COUNTIF('11月'!EI5:EJ5,L$374)+COUNTIF('11月'!EN5:EO5,L$374)+COUNTIF('11月'!ES5:ET5,L$374)</f>
        <v>0</v>
      </c>
      <c r="M377" s="76">
        <f t="shared" ref="M377:M406" si="125">IF(L377=0,M376,M376+L377)</f>
        <v>0</v>
      </c>
      <c r="N377" s="76">
        <f>COUNTIF('11月'!D5:E5,N$374)+COUNTIF('11月'!I5:J5,N$374)+COUNTIF('11月'!N5:O5,N$374)+COUNTIF('11月'!S5:T5,N$374)+COUNTIF('11月'!X5:Y5,N$374)+COUNTIF('11月'!AC5:AD5,N$374)+COUNTIF('11月'!AH5:AI5,N$374)+COUNTIF('11月'!AM5:AN5,N$374)+COUNTIF('11月'!AR5:AS5,N$374)+COUNTIF('11月'!AW5:AX5,N$374)+COUNTIF('11月'!BB5:BC5,N$374)+COUNTIF('11月'!BG5:BH5,N$374)+COUNTIF('11月'!BL5:BM5,N$374)+COUNTIF('11月'!BQ5:BR5,N$374)+COUNTIF('11月'!BV5:BW5,N$374)+COUNTIF('11月'!CA5:CB5,N$374)+COUNTIF('11月'!CF5:CG5,N$374)+COUNTIF('11月'!CK5:CL5,N$374)+COUNTIF('11月'!CP5:CQ5,N$374)+COUNTIF('11月'!CU5:CV5,N$374)+COUNTIF('11月'!CZ5:DA5,N$374)+COUNTIF('11月'!DE5:DF5,N$374)+COUNTIF('11月'!DJ5:DK5,N$374)+COUNTIF('11月'!DO5:DP5,N$374)+COUNTIF('11月'!DT5:DU5,N$374)+COUNTIF('11月'!DY5:DZ5,N$374)+COUNTIF('11月'!ED5:EE5,N$374)+COUNTIF('11月'!EI5:EJ5,N$374)+COUNTIF('11月'!EN5:EO5,N$374)+COUNTIF('11月'!ES5:ET5,N$374)+COUNTIF('11月'!D5:E5,"三軒茶屋－夜勤")+COUNTIF('11月'!I5:J5,"三軒茶屋－夜勤")+COUNTIF('11月'!N5:O5,"三軒茶屋－夜勤")+COUNTIF('11月'!S5:T5,"三軒茶屋－夜勤")+COUNTIF('11月'!X5:Y5,"三軒茶屋－夜勤")+COUNTIF('11月'!AC5:AD5,"三軒茶屋－夜勤")+COUNTIF('11月'!AH5:AI5,"三軒茶屋－夜勤")+COUNTIF('11月'!AM5:AN5,"三軒茶屋－夜勤")+COUNTIF('11月'!AR5:AS5,"三軒茶屋－夜勤")+COUNTIF('11月'!AW5:AX5,"三軒茶屋－夜勤")+COUNTIF('11月'!BB5:BC5,"三軒茶屋－夜勤")+COUNTIF('11月'!BG5:BH5,"三軒茶屋－夜勤")+COUNTIF('11月'!BL5:BM5,"三軒茶屋－夜勤")+COUNTIF('11月'!BQ5:BR5,"三軒茶屋－夜勤")+COUNTIF('11月'!BV5:BW5,"三軒茶屋－夜勤")+COUNTIF('11月'!CA5:CB5,"三軒茶屋－夜勤")+COUNTIF('11月'!CF5:CG5,"三軒茶屋－夜勤")+COUNTIF('11月'!CK5:CL5,"三軒茶屋－夜勤")+COUNTIF('11月'!CP5:CQ5,"三軒茶屋－夜勤")+COUNTIF('11月'!CU5:CV5,"三軒茶屋－夜勤")+COUNTIF('11月'!CZ5:DA5,"三軒茶屋－夜勤")+COUNTIF('11月'!DE5:DF5,"三軒茶屋－夜勤")+COUNTIF('11月'!DJ5:DK5,"三軒茶屋－夜勤")+COUNTIF('11月'!DO5:DP5,"三軒茶屋－夜勤")+COUNTIF('11月'!DT5:DU5,"三軒茶屋－夜勤")+COUNTIF('11月'!DY5:DZ5,"三軒茶屋－夜勤")+COUNTIF('11月'!ED5:EE5,"三軒茶屋－夜勤")+COUNTIF('11月'!EI5:EJ5,"三軒茶屋－夜勤")+COUNTIF('11月'!EN5:EO5,"三軒茶屋－夜勤")+COUNTIF('11月'!ES5:ET5,"三軒茶屋－夜勤")</f>
        <v>0</v>
      </c>
      <c r="O377" s="76">
        <f t="shared" ref="O377:O406" si="126">IF(N377=0,O376,O376+N377)</f>
        <v>0</v>
      </c>
      <c r="P377" s="76">
        <f>COUNTIF('11月'!D5:E5,P$374)+COUNTIF('11月'!I5:J5,P$374)+COUNTIF('11月'!N5:O5,P$374)+COUNTIF('11月'!S5:T5,P$374)+COUNTIF('11月'!X5:Y5,P$374)+COUNTIF('11月'!AC5:AD5,P$374)+COUNTIF('11月'!AH5:AI5,P$374)+COUNTIF('11月'!AM5:AN5,P$374)+COUNTIF('11月'!AR5:AS5,P$374)+COUNTIF('11月'!AW5:AX5,P$374)+COUNTIF('11月'!BB5:BC5,P$374)+COUNTIF('11月'!BG5:BH5,P$374)+COUNTIF('11月'!BL5:BM5,P$374)+COUNTIF('11月'!BQ5:BR5,P$374)+COUNTIF('11月'!BV5:BW5,P$374)+COUNTIF('11月'!CA5:CB5,P$374)+COUNTIF('11月'!CF5:CG5,P$374)+COUNTIF('11月'!CK5:CL5,P$374)+COUNTIF('11月'!CP5:CQ5,P$374)+COUNTIF('11月'!CU5:CV5,P$374)+COUNTIF('11月'!CZ5:DA5,P$374)+COUNTIF('11月'!DE5:DF5,P$374)+COUNTIF('11月'!DJ5:DK5,P$374)+COUNTIF('11月'!DO5:DP5,P$374)+COUNTIF('11月'!DT5:DU5,P$374)+COUNTIF('11月'!DY5:DZ5,P$374)+COUNTIF('11月'!ED5:EE5,P$374)+COUNTIF('11月'!EI5:EJ5,P$374)+COUNTIF('11月'!EN5:EO5,P$374)+COUNTIF('11月'!ES5:ET5,P$374)+COUNTIF('11月'!D5:E5,"荻窪ー夜勤")+COUNTIF('11月'!I5:J5,"荻窪ー夜勤")+COUNTIF('11月'!N5:O5,"荻窪ー夜勤")+COUNTIF('11月'!S5:T5,"荻窪ー夜勤")+COUNTIF('11月'!X5:Y5,"荻窪ー夜勤")+COUNTIF('11月'!AC5:AD5,"荻窪ー夜勤")+COUNTIF('11月'!AH5:AI5,"荻窪ー夜勤")+COUNTIF('11月'!AM5:AN5,"荻窪ー夜勤")+COUNTIF('11月'!AR5:AS5,"荻窪ー夜勤")+COUNTIF('11月'!AW5:AX5,"荻窪ー夜勤")+COUNTIF('11月'!BB5:BC5,"荻窪ー夜勤")+COUNTIF('11月'!BG5:BH5,"荻窪ー夜勤")+COUNTIF('11月'!BL5:BM5,"荻窪ー夜勤")+COUNTIF('11月'!BQ5:BR5,"荻窪ー夜勤")+COUNTIF('11月'!BV5:BW5,"荻窪ー夜勤")+COUNTIF('11月'!CA5:CB5,"荻窪ー夜勤")+COUNTIF('11月'!CF5:CG5,"荻窪ー夜勤")+COUNTIF('11月'!CK5:CL5,"荻窪ー夜勤")+COUNTIF('11月'!CP5:CQ5,"荻窪ー夜勤")+COUNTIF('11月'!CU5:CV5,"荻窪ー夜勤")+COUNTIF('11月'!CZ5:DA5,"荻窪ー夜勤")+COUNTIF('11月'!DE5:DF5,"荻窪ー夜勤")+COUNTIF('11月'!DJ5:DK5,"荻窪ー夜勤")+COUNTIF('11月'!DO5:DP5,"荻窪ー夜勤")+COUNTIF('11月'!DT5:DU5,"荻窪ー夜勤")+COUNTIF('11月'!DY5:DZ5,"荻窪ー夜勤")+COUNTIF('11月'!ED5:EE5,"荻窪ー夜勤")+COUNTIF('11月'!EI5:EJ5,"荻窪ー夜勤")+COUNTIF('11月'!EN5:EO5,"荻窪ー夜勤")+COUNTIF('11月'!ES5:ET5,"荻窪ー夜勤")</f>
        <v>0</v>
      </c>
      <c r="Q377" s="76">
        <f t="shared" ref="Q377:Q406" si="127">IF(P377=0,Q376,Q376+P377)</f>
        <v>0</v>
      </c>
      <c r="R377" s="76">
        <f>COUNTIF('11月'!D5:E5,R$374)+COUNTIF('11月'!I5:J5,R$374)+COUNTIF('11月'!N5:O5,R$374)+COUNTIF('11月'!S5:T5,R$374)+COUNTIF('11月'!X5:Y5,R$374)+COUNTIF('11月'!AC5:AD5,R$374)+COUNTIF('11月'!AH5:AI5,R$374)+COUNTIF('11月'!AM5:AN5,R$374)+COUNTIF('11月'!AR5:AS5,R$374)+COUNTIF('11月'!AW5:AX5,R$374)+COUNTIF('11月'!BB5:BC5,R$374)+COUNTIF('11月'!BG5:BH5,R$374)+COUNTIF('11月'!BL5:BM5,R$374)+COUNTIF('11月'!BQ5:BR5,R$374)+COUNTIF('11月'!BV5:BW5,R$374)+COUNTIF('11月'!CA5:CB5,R$374)+COUNTIF('11月'!CF5:CG5,R$374)+COUNTIF('11月'!CK5:CL5,R$374)+COUNTIF('11月'!CP5:CQ5,R$374)+COUNTIF('11月'!CU5:CV5,R$374)+COUNTIF('11月'!CZ5:DA5,R$374)+COUNTIF('11月'!DE5:DF5,R$374)+COUNTIF('11月'!DJ5:DK5,R$374)+COUNTIF('11月'!DO5:DP5,R$374)+COUNTIF('11月'!DT5:DU5,R$374)+COUNTIF('11月'!DY5:DZ5,R$374)+COUNTIF('11月'!ED5:EE5,R$374)+COUNTIF('11月'!EI5:EJ5,R$374)+COUNTIF('11月'!EN5:EO5,R$374)+COUNTIF('11月'!ES5:ET5,R$374)</f>
        <v>0</v>
      </c>
      <c r="S377" s="76">
        <f t="shared" ref="S377:S406" si="128">IF(R377=0,S376,S376+R377)</f>
        <v>0</v>
      </c>
      <c r="T377" s="76">
        <f>COUNTIF('11月'!D5:E5,T$374)+COUNTIF('11月'!I5:J5,T$374)+COUNTIF('11月'!N5:O5,T$374)+COUNTIF('11月'!S5:T5,T$374)+COUNTIF('11月'!X5:Y5,T$374)+COUNTIF('11月'!AC5:AD5,T$374)+COUNTIF('11月'!AH5:AI5,T$374)+COUNTIF('11月'!AM5:AN5,T$374)+COUNTIF('11月'!AR5:AS5,T$374)+COUNTIF('11月'!AW5:AX5,T$374)+COUNTIF('11月'!BB5:BC5,T$374)+COUNTIF('11月'!BG5:BH5,T$374)+COUNTIF('11月'!BL5:BM5,T$374)+COUNTIF('11月'!BQ5:BR5,T$374)+COUNTIF('11月'!BV5:BW5,T$374)+COUNTIF('11月'!CA5:CB5,T$374)+COUNTIF('11月'!CF5:CG5,T$374)+COUNTIF('11月'!CK5:CL5,T$374)+COUNTIF('11月'!CP5:CQ5,T$374)+COUNTIF('11月'!CU5:CV5,T$374)+COUNTIF('11月'!CZ5:DA5,T$374)+COUNTIF('11月'!DE5:DF5,T$374)+COUNTIF('11月'!DJ5:DK5,T$374)+COUNTIF('11月'!DO5:DP5,T$374)+COUNTIF('11月'!DT5:DU5,T$374)+COUNTIF('11月'!DY5:DZ5,T$374)+COUNTIF('11月'!ED5:EE5,T$374)+COUNTIF('11月'!EI5:EJ5,T$374)+COUNTIF('11月'!EN5:EO5,T$374)+COUNTIF('11月'!ES5:ET5,T$374)</f>
        <v>0</v>
      </c>
      <c r="U377" s="76">
        <f t="shared" ref="U377:U406" si="129">IF(T377=0,U376,U376+T377)</f>
        <v>0</v>
      </c>
      <c r="V377" s="76">
        <f>COUNTIF('11月'!D5:E5,V$374)+COUNTIF('11月'!I5:J5,V$374)+COUNTIF('11月'!N5:O5,V$374)+COUNTIF('11月'!S5:T5,V$374)+COUNTIF('11月'!X5:Y5,V$374)+COUNTIF('11月'!AC5:AD5,V$374)+COUNTIF('11月'!AH5:AI5,V$374)+COUNTIF('11月'!AM5:AN5,V$374)+COUNTIF('11月'!AR5:AS5,V$374)+COUNTIF('11月'!AW5:AX5,V$374)+COUNTIF('11月'!BB5:BC5,V$374)+COUNTIF('11月'!BG5:BH5,V$374)+COUNTIF('11月'!BL5:BM5,V$374)+COUNTIF('11月'!BQ5:BR5,V$374)+COUNTIF('11月'!BV5:BW5,V$374)+COUNTIF('11月'!CA5:CB5,V$374)+COUNTIF('11月'!CF5:CG5,V$374)+COUNTIF('11月'!CK5:CL5,V$374)+COUNTIF('11月'!CP5:CQ5,V$374)+COUNTIF('11月'!CU5:CV5,V$374)+COUNTIF('11月'!CZ5:DA5,V$374)+COUNTIF('11月'!DE5:DF5,V$374)+COUNTIF('11月'!DJ5:DK5,V$374)+COUNTIF('11月'!DO5:DP5,V$374)+COUNTIF('11月'!DT5:DU5,V$374)+COUNTIF('11月'!DY5:DZ5,V$374)+COUNTIF('11月'!ED5:EE5,V$374)+COUNTIF('11月'!EI5:EJ5,V$374)+COUNTIF('11月'!EN5:EO5,V$374)+COUNTIF('11月'!ES5:ET5,V$374)</f>
        <v>0</v>
      </c>
      <c r="W377" s="76">
        <f t="shared" ref="W377:W406" si="130">IF(V377=0,W376,W376+V377)</f>
        <v>0</v>
      </c>
      <c r="X377" s="76">
        <f>COUNTIF('11月'!D5:E5,X$374)+COUNTIF('11月'!I5:J5,X$374)+COUNTIF('11月'!N5:O5,X$374)+COUNTIF('11月'!S5:T5,X$374)+COUNTIF('11月'!X5:Y5,X$374)+COUNTIF('11月'!AC5:AD5,X$374)+COUNTIF('11月'!AH5:AI5,X$374)+COUNTIF('11月'!AM5:AN5,X$374)+COUNTIF('11月'!AR5:AS5,X$374)+COUNTIF('11月'!AW5:AX5,X$374)+COUNTIF('11月'!BB5:BC5,X$374)+COUNTIF('11月'!BG5:BH5,X$374)+COUNTIF('11月'!BL5:BM5,X$374)+COUNTIF('11月'!BQ5:BR5,X$374)+COUNTIF('11月'!BV5:BW5,X$374)+COUNTIF('11月'!CA5:CB5,X$374)+COUNTIF('11月'!CF5:CG5,X$374)+COUNTIF('11月'!CK5:CL5,X$374)+COUNTIF('11月'!CP5:CQ5,X$374)+COUNTIF('11月'!CU5:CV5,X$374)+COUNTIF('11月'!CZ5:DA5,X$374)+COUNTIF('11月'!DE5:DF5,X$374)+COUNTIF('11月'!DJ5:DK5,X$374)+COUNTIF('11月'!DO5:DP5,X$374)+COUNTIF('11月'!DT5:DU5,X$374)+COUNTIF('11月'!DY5:DZ5,X$374)+COUNTIF('11月'!ED5:EE5,X$374)+COUNTIF('11月'!EI5:EJ5,X$374)+COUNTIF('11月'!EN5:EO5,X$374)+COUNTIF('11月'!ES5:ET5,X$374)</f>
        <v>0</v>
      </c>
      <c r="Y377" s="76">
        <f t="shared" ref="Y377:Y406" si="131">IF(X377=0,Y376,Y376+X377)</f>
        <v>0</v>
      </c>
    </row>
    <row r="378" spans="1:25" ht="18" customHeight="1">
      <c r="A378" s="76">
        <v>3</v>
      </c>
      <c r="B378" s="76">
        <f>COUNTIF('11月'!D6:E6,B$374)+COUNTIF('11月'!I6:J6,B$374)+COUNTIF('11月'!N6:O6,B$374)+COUNTIF('11月'!S6:T6,B$374)+COUNTIF('11月'!X6:Y6,B$374)+COUNTIF('11月'!AC6:AD6,B$374)+COUNTIF('11月'!AH6:AI6,B$374)+COUNTIF('11月'!AM6:AN6,B$374)+COUNTIF('11月'!AR6:AS6,B$374)+COUNTIF('11月'!AW6:AX6,B$374)+COUNTIF('11月'!BB6:BC6,B$374)+COUNTIF('11月'!BG6:BH6,B$374)+COUNTIF('11月'!BL6:BM6,B$374)+COUNTIF('11月'!BQ6:BR6,B$374)+COUNTIF('11月'!BV6:BW6,B$374)+COUNTIF('11月'!CA6:CB6,B$374)+COUNTIF('11月'!CF6:CG6,B$374)+COUNTIF('11月'!CK6:CL6,B$374)+COUNTIF('11月'!CP6:CQ6,B$374)+COUNTIF('11月'!CU6:CV6,B$374)+COUNTIF('11月'!CZ6:DA6,B$374)+COUNTIF('11月'!DE6:DF6,B$374)+COUNTIF('11月'!DJ6:DK6,B$374)+COUNTIF('11月'!DO6:DP6,B$374)+COUNTIF('11月'!DT6:DU6,B$374)+COUNTIF('11月'!DY6:DZ6,B$374)+COUNTIF('11月'!ED6:EE6,B$374)+COUNTIF('11月'!EI6:EJ6,B$374)+COUNTIF('11月'!EN6:EO6,B$374)+COUNTIF('11月'!ES6:ET6,B$374)</f>
        <v>0</v>
      </c>
      <c r="C378" s="76">
        <f t="shared" si="120"/>
        <v>0</v>
      </c>
      <c r="D378" s="76">
        <f>COUNTIF('11月'!D6:E6,D$374)+COUNTIF('11月'!I6:J6,D$374)+COUNTIF('11月'!N6:O6,D$374)+COUNTIF('11月'!S6:T6,D$374)+COUNTIF('11月'!X6:Y6,D$374)+COUNTIF('11月'!AC6:AD6,D$374)+COUNTIF('11月'!AH6:AI6,D$374)+COUNTIF('11月'!AM6:AN6,D$374)+COUNTIF('11月'!AR6:AS6,D$374)+COUNTIF('11月'!AW6:AX6,D$374)+COUNTIF('11月'!BB6:BC6,D$374)+COUNTIF('11月'!BG6:BH6,D$374)+COUNTIF('11月'!BL6:BM6,D$374)+COUNTIF('11月'!BQ6:BR6,D$374)+COUNTIF('11月'!BV6:BW6,D$374)+COUNTIF('11月'!CA6:CB6,D$374)+COUNTIF('11月'!CF6:CG6,D$374)+COUNTIF('11月'!CK6:CL6,D$374)+COUNTIF('11月'!CP6:CQ6,D$374)+COUNTIF('11月'!CU6:CV6,D$374)+COUNTIF('11月'!CZ6:DA6,D$374)+COUNTIF('11月'!DE6:DF6,D$374)+COUNTIF('11月'!DJ6:DK6,D$374)+COUNTIF('11月'!DO6:DP6,D$374)+COUNTIF('11月'!DT6:DU6,D$374)+COUNTIF('11月'!DY6:DZ6,D$374)+COUNTIF('11月'!ED6:EE6,D$374)+COUNTIF('11月'!EI6:EJ6,D$374)+COUNTIF('11月'!EN6:EO6,D$374)+COUNTIF('11月'!ES6:ET6,D$374)</f>
        <v>0</v>
      </c>
      <c r="E378" s="76">
        <f t="shared" si="121"/>
        <v>0</v>
      </c>
      <c r="F378" s="76">
        <f>COUNTIF('11月'!D6:E6,F$374)+COUNTIF('11月'!I6:J6,F$374)+COUNTIF('11月'!N6:O6,F$374)+COUNTIF('11月'!S6:T6,F$374)+COUNTIF('11月'!X6:Y6,F$374)+COUNTIF('11月'!AC6:AD6,F$374)+COUNTIF('11月'!AH6:AI6,F$374)+COUNTIF('11月'!AM6:AN6,F$374)+COUNTIF('11月'!AR6:AS6,F$374)+COUNTIF('11月'!AW6:AX6,F$374)+COUNTIF('11月'!BB6:BC6,F$374)+COUNTIF('11月'!BG6:BH6,F$374)+COUNTIF('11月'!BL6:BM6,F$374)+COUNTIF('11月'!BQ6:BR6,F$374)+COUNTIF('11月'!BV6:BW6,F$374)+COUNTIF('11月'!CA6:CB6,F$374)+COUNTIF('11月'!CF6:CG6,F$374)+COUNTIF('11月'!CK6:CL6,F$374)+COUNTIF('11月'!CP6:CQ6,F$374)+COUNTIF('11月'!CU6:CV6,F$374)+COUNTIF('11月'!CZ6:DA6,F$374)+COUNTIF('11月'!DE6:DF6,F$374)+COUNTIF('11月'!DJ6:DK6,F$374)+COUNTIF('11月'!DO6:DP6,F$374)+COUNTIF('11月'!DT6:DU6,F$374)+COUNTIF('11月'!DY6:DZ6,F$374)+COUNTIF('11月'!ED6:EE6,F$374)+COUNTIF('11月'!EI6:EJ6,F$374)+COUNTIF('11月'!EN6:EO6,F$374)+COUNTIF('11月'!ES6:ET6,F$374)</f>
        <v>0</v>
      </c>
      <c r="G378" s="76">
        <f t="shared" si="122"/>
        <v>0</v>
      </c>
      <c r="H378" s="76">
        <f>COUNTIF('11月'!D6:E6,H$374)+COUNTIF('11月'!I6:J6,H$374)+COUNTIF('11月'!N6:O6,H$374)+COUNTIF('11月'!S6:T6,H$374)+COUNTIF('11月'!X6:Y6,H$374)+COUNTIF('11月'!AC6:AD6,H$374)+COUNTIF('11月'!AH6:AI6,H$374)+COUNTIF('11月'!AM6:AN6,H$374)+COUNTIF('11月'!AR6:AS6,H$374)+COUNTIF('11月'!AW6:AX6,H$374)+COUNTIF('11月'!BB6:BC6,H$374)+COUNTIF('11月'!BG6:BH6,H$374)+COUNTIF('11月'!BL6:BM6,H$374)+COUNTIF('11月'!BQ6:BR6,H$374)+COUNTIF('11月'!BV6:BW6,H$374)+COUNTIF('11月'!CA6:CB6,H$374)+COUNTIF('11月'!CF6:CG6,H$374)+COUNTIF('11月'!CK6:CL6,H$374)+COUNTIF('11月'!CP6:CQ6,H$374)+COUNTIF('11月'!CU6:CV6,H$374)+COUNTIF('11月'!CZ6:DA6,H$374)+COUNTIF('11月'!DE6:DF6,H$374)+COUNTIF('11月'!DJ6:DK6,H$374)+COUNTIF('11月'!DO6:DP6,H$374)+COUNTIF('11月'!DT6:DU6,H$374)+COUNTIF('11月'!DY6:DZ6,H$374)+COUNTIF('11月'!ED6:EE6,H$374)+COUNTIF('11月'!EI6:EJ6,H$374)+COUNTIF('11月'!EN6:EO6,H$374)+COUNTIF('11月'!ES6:ET6,H$374)+COUNTIF('11月'!D6:E6,"渋谷-夜勤")+COUNTIF('11月'!I6:J6,"渋谷-夜勤")+COUNTIF('11月'!N6:O6,"渋谷-夜勤")+COUNTIF('11月'!S6:T6,"渋谷-夜勤")+COUNTIF('11月'!X6:Y6,"渋谷-夜勤")+COUNTIF('11月'!AC6:AD6,"渋谷-夜勤")+COUNTIF('11月'!AH6:AI6,"渋谷-夜勤")+COUNTIF('11月'!AM6:AN6,"渋谷-夜勤")+COUNTIF('11月'!AR6:AS6,"渋谷-夜勤")+COUNTIF('11月'!AW6:AX6,"渋谷-夜勤")+COUNTIF('11月'!BB6:BC6,"渋谷-夜勤")+COUNTIF('11月'!BG6:BH6,"渋谷-夜勤")+COUNTIF('11月'!BL6:BM6,"渋谷-夜勤")+COUNTIF('11月'!BQ6:BR6,"渋谷-夜勤")+COUNTIF('11月'!BV6:BW6,"渋谷-夜勤")+COUNTIF('11月'!CA6:CB6,"渋谷-夜勤")+COUNTIF('11月'!CF6:CG6,"渋谷-夜勤")+COUNTIF('11月'!CK6:CL6,"渋谷-夜勤")+COUNTIF('11月'!CP6:CQ6,"渋谷-夜勤")+COUNTIF('11月'!CU6:CV6,"渋谷-夜勤")+COUNTIF('11月'!CZ6:DA6,"渋谷-夜勤")+COUNTIF('11月'!DE6:DF6,"渋谷-夜勤")+COUNTIF('11月'!DJ6:DK6,"渋谷-夜勤")+COUNTIF('11月'!DO6:DP6,"渋谷-夜勤")+COUNTIF('11月'!DT6:DU6,"渋谷-夜勤")+COUNTIF('11月'!DY6:DZ6,"渋谷-夜勤")+COUNTIF('11月'!ED6:EE6,"渋谷-夜勤")+COUNTIF('11月'!EI6:EJ6,"渋谷-夜勤")+COUNTIF('11月'!EN6:EO6,"渋谷-夜勤")+COUNTIF('11月'!ES6:ET6,"渋谷-夜勤")</f>
        <v>0</v>
      </c>
      <c r="I378" s="76">
        <f t="shared" si="123"/>
        <v>0</v>
      </c>
      <c r="J378" s="76">
        <f>COUNTIF('11月'!D6:E6,J$374)+COUNTIF('11月'!I6:J6,J$374)+COUNTIF('11月'!N6:O6,J$374)+COUNTIF('11月'!S6:T6,J$374)+COUNTIF('11月'!X6:Y6,J$374)+COUNTIF('11月'!AC6:AD6,J$374)+COUNTIF('11月'!AH6:AI6,J$374)+COUNTIF('11月'!AM6:AN6,J$374)+COUNTIF('11月'!AR6:AS6,J$374)+COUNTIF('11月'!AW6:AX6,J$374)+COUNTIF('11月'!BB6:BC6,J$374)+COUNTIF('11月'!BG6:BH6,J$374)+COUNTIF('11月'!BL6:BM6,J$374)+COUNTIF('11月'!BQ6:BR6,J$374)+COUNTIF('11月'!BV6:BW6,J$374)+COUNTIF('11月'!CA6:CB6,J$374)+COUNTIF('11月'!CF6:CG6,J$374)+COUNTIF('11月'!CK6:CL6,J$374)+COUNTIF('11月'!CP6:CQ6,J$374)+COUNTIF('11月'!CU6:CV6,J$374)+COUNTIF('11月'!CZ6:DA6,J$374)+COUNTIF('11月'!DE6:DF6,J$374)+COUNTIF('11月'!DJ6:DK6,J$374)+COUNTIF('11月'!DO6:DP6,J$374)+COUNTIF('11月'!DT6:DU6,J$374)+COUNTIF('11月'!DY6:DZ6,J$374)+COUNTIF('11月'!ED6:EE6,J$374)+COUNTIF('11月'!EI6:EJ6,J$374)+COUNTIF('11月'!EN6:EO6,J$374)+COUNTIF('11月'!ES6:ET6,J$374)+COUNTIF('11月'!D6:E6,"六本木-夜勤")+COUNTIF('11月'!I6:J6,"六本木-夜勤")+COUNTIF('11月'!N6:O6,"六本木-夜勤")+COUNTIF('11月'!S6:T6,"六本木-夜勤")+COUNTIF('11月'!X6:Y6,"六本木-夜勤")+COUNTIF('11月'!AC6:AD6,"六本木-夜勤")+COUNTIF('11月'!AH6:AI6,"六本木-夜勤")+COUNTIF('11月'!AM6:AN6,"六本木-夜勤")+COUNTIF('11月'!AR6:AS6,"六本木-夜勤")+COUNTIF('11月'!AW6:AX6,"六本木-夜勤")+COUNTIF('11月'!BB6:BC6,"六本木-夜勤")+COUNTIF('11月'!BG6:BH6,"六本木-夜勤")+COUNTIF('11月'!BL6:BM6,"六本木-夜勤")+COUNTIF('11月'!BQ6:BR6,"六本木-夜勤")+COUNTIF('11月'!BV6:BW6,"六本木-夜勤")+COUNTIF('11月'!CA6:CB6,"六本木-夜勤")+COUNTIF('11月'!CF6:CG6,"六本木-夜勤")+COUNTIF('11月'!CK6:CL6,"六本木-夜勤")+COUNTIF('11月'!CP6:CQ6,"六本木-夜勤")+COUNTIF('11月'!CU6:CV6,"六本木-夜勤")+COUNTIF('11月'!CZ6:DA6,"六本木-夜勤")+COUNTIF('11月'!DE6:DF6,"六本木-夜勤")+COUNTIF('11月'!DJ6:DK6,"六本木-夜勤")+COUNTIF('11月'!DO6:DP6,"六本木-夜勤")+COUNTIF('11月'!DT6:DU6,"六本木-夜勤")+COUNTIF('11月'!DY6:DZ6,"六本木-夜勤")+COUNTIF('11月'!ED6:EE6,"六本木-夜勤")+COUNTIF('11月'!EI6:EJ6,"六本木-夜勤")+COUNTIF('11月'!EN6:EO6,"六本木-夜勤")+COUNTIF('11月'!ES6:ET6,"六本木-夜勤")+COUNTIF('11月'!D6:E6,"六本木ー夜勤")+COUNTIF('11月'!I6:J6,"六本木ー夜勤")+COUNTIF('11月'!N6:O6,"六本木ー夜勤")+COUNTIF('11月'!S6:T6,"六本木ー夜勤")+COUNTIF('11月'!X6:Y6,"六本木ー夜勤")+COUNTIF('11月'!AC6:AD6,"六本木ー夜勤")+COUNTIF('11月'!AH6:AI6,"六本木ー夜勤")+COUNTIF('11月'!AM6:AN6,"六本木ー夜勤")+COUNTIF('11月'!AR6:AS6,"六本木ー夜勤")+COUNTIF('11月'!AW6:AX6,"六本木ー夜勤")+COUNTIF('11月'!BB6:BC6,"六本木ー夜勤")+COUNTIF('11月'!BG6:BH6,"六本木ー夜勤")+COUNTIF('11月'!BL6:BM6,"六本木ー夜勤")+COUNTIF('11月'!BQ6:BR6,"六本木ー夜勤")+COUNTIF('11月'!BV6:BW6,"六本木ー夜勤")+COUNTIF('11月'!CA6:CB6,"六本木ー夜勤")+COUNTIF('11月'!CF6:CG6,"六本木ー夜勤")+COUNTIF('11月'!CK6:CL6,"六本木ー夜勤")+COUNTIF('11月'!CP6:CQ6,"六本木ー夜勤")+COUNTIF('11月'!CU6:CV6,"六本木ー夜勤")+COUNTIF('11月'!CZ6:DA6,"六本木ー夜勤")+COUNTIF('11月'!DE6:DF6,"六本木ー夜勤")+COUNTIF('11月'!DJ6:DK6,"六本木ー夜勤")+COUNTIF('11月'!DO6:DP6,"六本木ー夜勤")+COUNTIF('11月'!DT6:DU6,"六本木ー夜勤")+COUNTIF('11月'!DY6:DZ6,"六本木ー夜勤")+COUNTIF('11月'!ED6:EE6,"六本木ー夜勤")+COUNTIF('11月'!EI6:EJ6,"六本木ー夜勤")+COUNTIF('11月'!EN6:EO6,"六本木ー夜勤")+COUNTIF('11月'!ES6:ET6,"六本木ー夜勤")</f>
        <v>0</v>
      </c>
      <c r="K378" s="76">
        <f t="shared" si="124"/>
        <v>0</v>
      </c>
      <c r="L378" s="76">
        <f>COUNTIF('11月'!D6:E6,L$374)+COUNTIF('11月'!I6:J6,L$374)+COUNTIF('11月'!N6:O6,L$374)+COUNTIF('11月'!S6:T6,L$374)+COUNTIF('11月'!X6:Y6,L$374)+COUNTIF('11月'!AC6:AD6,L$374)+COUNTIF('11月'!AH6:AI6,L$374)+COUNTIF('11月'!AM6:AN6,L$374)+COUNTIF('11月'!AR6:AS6,L$374)+COUNTIF('11月'!AW6:AX6,L$374)+COUNTIF('11月'!BB6:BC6,L$374)+COUNTIF('11月'!BG6:BH6,L$374)+COUNTIF('11月'!BL6:BM6,L$374)+COUNTIF('11月'!BQ6:BR6,L$374)+COUNTIF('11月'!BV6:BW6,L$374)+COUNTIF('11月'!CA6:CB6,L$374)+COUNTIF('11月'!CF6:CG6,L$374)+COUNTIF('11月'!CK6:CL6,L$374)+COUNTIF('11月'!CP6:CQ6,L$374)+COUNTIF('11月'!CU6:CV6,L$374)+COUNTIF('11月'!CZ6:DA6,L$374)+COUNTIF('11月'!DE6:DF6,L$374)+COUNTIF('11月'!DJ6:DK6,L$374)+COUNTIF('11月'!DO6:DP6,L$374)+COUNTIF('11月'!DT6:DU6,L$374)+COUNTIF('11月'!DY6:DZ6,L$374)+COUNTIF('11月'!ED6:EE6,L$374)+COUNTIF('11月'!EI6:EJ6,L$374)+COUNTIF('11月'!EN6:EO6,L$374)+COUNTIF('11月'!ES6:ET6,L$374)</f>
        <v>0</v>
      </c>
      <c r="M378" s="76">
        <f t="shared" si="125"/>
        <v>0</v>
      </c>
      <c r="N378" s="76">
        <f>COUNTIF('11月'!D6:E6,N$374)+COUNTIF('11月'!I6:J6,N$374)+COUNTIF('11月'!N6:O6,N$374)+COUNTIF('11月'!S6:T6,N$374)+COUNTIF('11月'!X6:Y6,N$374)+COUNTIF('11月'!AC6:AD6,N$374)+COUNTIF('11月'!AH6:AI6,N$374)+COUNTIF('11月'!AM6:AN6,N$374)+COUNTIF('11月'!AR6:AS6,N$374)+COUNTIF('11月'!AW6:AX6,N$374)+COUNTIF('11月'!BB6:BC6,N$374)+COUNTIF('11月'!BG6:BH6,N$374)+COUNTIF('11月'!BL6:BM6,N$374)+COUNTIF('11月'!BQ6:BR6,N$374)+COUNTIF('11月'!BV6:BW6,N$374)+COUNTIF('11月'!CA6:CB6,N$374)+COUNTIF('11月'!CF6:CG6,N$374)+COUNTIF('11月'!CK6:CL6,N$374)+COUNTIF('11月'!CP6:CQ6,N$374)+COUNTIF('11月'!CU6:CV6,N$374)+COUNTIF('11月'!CZ6:DA6,N$374)+COUNTIF('11月'!DE6:DF6,N$374)+COUNTIF('11月'!DJ6:DK6,N$374)+COUNTIF('11月'!DO6:DP6,N$374)+COUNTIF('11月'!DT6:DU6,N$374)+COUNTIF('11月'!DY6:DZ6,N$374)+COUNTIF('11月'!ED6:EE6,N$374)+COUNTIF('11月'!EI6:EJ6,N$374)+COUNTIF('11月'!EN6:EO6,N$374)+COUNTIF('11月'!ES6:ET6,N$374)+COUNTIF('11月'!D6:E6,"三軒茶屋－夜勤")+COUNTIF('11月'!I6:J6,"三軒茶屋－夜勤")+COUNTIF('11月'!N6:O6,"三軒茶屋－夜勤")+COUNTIF('11月'!S6:T6,"三軒茶屋－夜勤")+COUNTIF('11月'!X6:Y6,"三軒茶屋－夜勤")+COUNTIF('11月'!AC6:AD6,"三軒茶屋－夜勤")+COUNTIF('11月'!AH6:AI6,"三軒茶屋－夜勤")+COUNTIF('11月'!AM6:AN6,"三軒茶屋－夜勤")+COUNTIF('11月'!AR6:AS6,"三軒茶屋－夜勤")+COUNTIF('11月'!AW6:AX6,"三軒茶屋－夜勤")+COUNTIF('11月'!BB6:BC6,"三軒茶屋－夜勤")+COUNTIF('11月'!BG6:BH6,"三軒茶屋－夜勤")+COUNTIF('11月'!BL6:BM6,"三軒茶屋－夜勤")+COUNTIF('11月'!BQ6:BR6,"三軒茶屋－夜勤")+COUNTIF('11月'!BV6:BW6,"三軒茶屋－夜勤")+COUNTIF('11月'!CA6:CB6,"三軒茶屋－夜勤")+COUNTIF('11月'!CF6:CG6,"三軒茶屋－夜勤")+COUNTIF('11月'!CK6:CL6,"三軒茶屋－夜勤")+COUNTIF('11月'!CP6:CQ6,"三軒茶屋－夜勤")+COUNTIF('11月'!CU6:CV6,"三軒茶屋－夜勤")+COUNTIF('11月'!CZ6:DA6,"三軒茶屋－夜勤")+COUNTIF('11月'!DE6:DF6,"三軒茶屋－夜勤")+COUNTIF('11月'!DJ6:DK6,"三軒茶屋－夜勤")+COUNTIF('11月'!DO6:DP6,"三軒茶屋－夜勤")+COUNTIF('11月'!DT6:DU6,"三軒茶屋－夜勤")+COUNTIF('11月'!DY6:DZ6,"三軒茶屋－夜勤")+COUNTIF('11月'!ED6:EE6,"三軒茶屋－夜勤")+COUNTIF('11月'!EI6:EJ6,"三軒茶屋－夜勤")+COUNTIF('11月'!EN6:EO6,"三軒茶屋－夜勤")+COUNTIF('11月'!ES6:ET6,"三軒茶屋－夜勤")</f>
        <v>0</v>
      </c>
      <c r="O378" s="76">
        <f t="shared" si="126"/>
        <v>0</v>
      </c>
      <c r="P378" s="76">
        <f>COUNTIF('11月'!D6:E6,P$374)+COUNTIF('11月'!I6:J6,P$374)+COUNTIF('11月'!N6:O6,P$374)+COUNTIF('11月'!S6:T6,P$374)+COUNTIF('11月'!X6:Y6,P$374)+COUNTIF('11月'!AC6:AD6,P$374)+COUNTIF('11月'!AH6:AI6,P$374)+COUNTIF('11月'!AM6:AN6,P$374)+COUNTIF('11月'!AR6:AS6,P$374)+COUNTIF('11月'!AW6:AX6,P$374)+COUNTIF('11月'!BB6:BC6,P$374)+COUNTIF('11月'!BG6:BH6,P$374)+COUNTIF('11月'!BL6:BM6,P$374)+COUNTIF('11月'!BQ6:BR6,P$374)+COUNTIF('11月'!BV6:BW6,P$374)+COUNTIF('11月'!CA6:CB6,P$374)+COUNTIF('11月'!CF6:CG6,P$374)+COUNTIF('11月'!CK6:CL6,P$374)+COUNTIF('11月'!CP6:CQ6,P$374)+COUNTIF('11月'!CU6:CV6,P$374)+COUNTIF('11月'!CZ6:DA6,P$374)+COUNTIF('11月'!DE6:DF6,P$374)+COUNTIF('11月'!DJ6:DK6,P$374)+COUNTIF('11月'!DO6:DP6,P$374)+COUNTIF('11月'!DT6:DU6,P$374)+COUNTIF('11月'!DY6:DZ6,P$374)+COUNTIF('11月'!ED6:EE6,P$374)+COUNTIF('11月'!EI6:EJ6,P$374)+COUNTIF('11月'!EN6:EO6,P$374)+COUNTIF('11月'!ES6:ET6,P$374)+COUNTIF('11月'!D6:E6,"荻窪ー夜勤")+COUNTIF('11月'!I6:J6,"荻窪ー夜勤")+COUNTIF('11月'!N6:O6,"荻窪ー夜勤")+COUNTIF('11月'!S6:T6,"荻窪ー夜勤")+COUNTIF('11月'!X6:Y6,"荻窪ー夜勤")+COUNTIF('11月'!AC6:AD6,"荻窪ー夜勤")+COUNTIF('11月'!AH6:AI6,"荻窪ー夜勤")+COUNTIF('11月'!AM6:AN6,"荻窪ー夜勤")+COUNTIF('11月'!AR6:AS6,"荻窪ー夜勤")+COUNTIF('11月'!AW6:AX6,"荻窪ー夜勤")+COUNTIF('11月'!BB6:BC6,"荻窪ー夜勤")+COUNTIF('11月'!BG6:BH6,"荻窪ー夜勤")+COUNTIF('11月'!BL6:BM6,"荻窪ー夜勤")+COUNTIF('11月'!BQ6:BR6,"荻窪ー夜勤")+COUNTIF('11月'!BV6:BW6,"荻窪ー夜勤")+COUNTIF('11月'!CA6:CB6,"荻窪ー夜勤")+COUNTIF('11月'!CF6:CG6,"荻窪ー夜勤")+COUNTIF('11月'!CK6:CL6,"荻窪ー夜勤")+COUNTIF('11月'!CP6:CQ6,"荻窪ー夜勤")+COUNTIF('11月'!CU6:CV6,"荻窪ー夜勤")+COUNTIF('11月'!CZ6:DA6,"荻窪ー夜勤")+COUNTIF('11月'!DE6:DF6,"荻窪ー夜勤")+COUNTIF('11月'!DJ6:DK6,"荻窪ー夜勤")+COUNTIF('11月'!DO6:DP6,"荻窪ー夜勤")+COUNTIF('11月'!DT6:DU6,"荻窪ー夜勤")+COUNTIF('11月'!DY6:DZ6,"荻窪ー夜勤")+COUNTIF('11月'!ED6:EE6,"荻窪ー夜勤")+COUNTIF('11月'!EI6:EJ6,"荻窪ー夜勤")+COUNTIF('11月'!EN6:EO6,"荻窪ー夜勤")+COUNTIF('11月'!ES6:ET6,"荻窪ー夜勤")</f>
        <v>0</v>
      </c>
      <c r="Q378" s="76">
        <f t="shared" si="127"/>
        <v>0</v>
      </c>
      <c r="R378" s="76">
        <f>COUNTIF('11月'!D6:E6,R$374)+COUNTIF('11月'!I6:J6,R$374)+COUNTIF('11月'!N6:O6,R$374)+COUNTIF('11月'!S6:T6,R$374)+COUNTIF('11月'!X6:Y6,R$374)+COUNTIF('11月'!AC6:AD6,R$374)+COUNTIF('11月'!AH6:AI6,R$374)+COUNTIF('11月'!AM6:AN6,R$374)+COUNTIF('11月'!AR6:AS6,R$374)+COUNTIF('11月'!AW6:AX6,R$374)+COUNTIF('11月'!BB6:BC6,R$374)+COUNTIF('11月'!BG6:BH6,R$374)+COUNTIF('11月'!BL6:BM6,R$374)+COUNTIF('11月'!BQ6:BR6,R$374)+COUNTIF('11月'!BV6:BW6,R$374)+COUNTIF('11月'!CA6:CB6,R$374)+COUNTIF('11月'!CF6:CG6,R$374)+COUNTIF('11月'!CK6:CL6,R$374)+COUNTIF('11月'!CP6:CQ6,R$374)+COUNTIF('11月'!CU6:CV6,R$374)+COUNTIF('11月'!CZ6:DA6,R$374)+COUNTIF('11月'!DE6:DF6,R$374)+COUNTIF('11月'!DJ6:DK6,R$374)+COUNTIF('11月'!DO6:DP6,R$374)+COUNTIF('11月'!DT6:DU6,R$374)+COUNTIF('11月'!DY6:DZ6,R$374)+COUNTIF('11月'!ED6:EE6,R$374)+COUNTIF('11月'!EI6:EJ6,R$374)+COUNTIF('11月'!EN6:EO6,R$374)+COUNTIF('11月'!ES6:ET6,R$374)</f>
        <v>0</v>
      </c>
      <c r="S378" s="76">
        <f t="shared" si="128"/>
        <v>0</v>
      </c>
      <c r="T378" s="76">
        <f>COUNTIF('11月'!D6:E6,T$374)+COUNTIF('11月'!I6:J6,T$374)+COUNTIF('11月'!N6:O6,T$374)+COUNTIF('11月'!S6:T6,T$374)+COUNTIF('11月'!X6:Y6,T$374)+COUNTIF('11月'!AC6:AD6,T$374)+COUNTIF('11月'!AH6:AI6,T$374)+COUNTIF('11月'!AM6:AN6,T$374)+COUNTIF('11月'!AR6:AS6,T$374)+COUNTIF('11月'!AW6:AX6,T$374)+COUNTIF('11月'!BB6:BC6,T$374)+COUNTIF('11月'!BG6:BH6,T$374)+COUNTIF('11月'!BL6:BM6,T$374)+COUNTIF('11月'!BQ6:BR6,T$374)+COUNTIF('11月'!BV6:BW6,T$374)+COUNTIF('11月'!CA6:CB6,T$374)+COUNTIF('11月'!CF6:CG6,T$374)+COUNTIF('11月'!CK6:CL6,T$374)+COUNTIF('11月'!CP6:CQ6,T$374)+COUNTIF('11月'!CU6:CV6,T$374)+COUNTIF('11月'!CZ6:DA6,T$374)+COUNTIF('11月'!DE6:DF6,T$374)+COUNTIF('11月'!DJ6:DK6,T$374)+COUNTIF('11月'!DO6:DP6,T$374)+COUNTIF('11月'!DT6:DU6,T$374)+COUNTIF('11月'!DY6:DZ6,T$374)+COUNTIF('11月'!ED6:EE6,T$374)+COUNTIF('11月'!EI6:EJ6,T$374)+COUNTIF('11月'!EN6:EO6,T$374)+COUNTIF('11月'!ES6:ET6,T$374)</f>
        <v>0</v>
      </c>
      <c r="U378" s="76">
        <f t="shared" si="129"/>
        <v>0</v>
      </c>
      <c r="V378" s="76">
        <f>COUNTIF('11月'!D6:E6,V$374)+COUNTIF('11月'!I6:J6,V$374)+COUNTIF('11月'!N6:O6,V$374)+COUNTIF('11月'!S6:T6,V$374)+COUNTIF('11月'!X6:Y6,V$374)+COUNTIF('11月'!AC6:AD6,V$374)+COUNTIF('11月'!AH6:AI6,V$374)+COUNTIF('11月'!AM6:AN6,V$374)+COUNTIF('11月'!AR6:AS6,V$374)+COUNTIF('11月'!AW6:AX6,V$374)+COUNTIF('11月'!BB6:BC6,V$374)+COUNTIF('11月'!BG6:BH6,V$374)+COUNTIF('11月'!BL6:BM6,V$374)+COUNTIF('11月'!BQ6:BR6,V$374)+COUNTIF('11月'!BV6:BW6,V$374)+COUNTIF('11月'!CA6:CB6,V$374)+COUNTIF('11月'!CF6:CG6,V$374)+COUNTIF('11月'!CK6:CL6,V$374)+COUNTIF('11月'!CP6:CQ6,V$374)+COUNTIF('11月'!CU6:CV6,V$374)+COUNTIF('11月'!CZ6:DA6,V$374)+COUNTIF('11月'!DE6:DF6,V$374)+COUNTIF('11月'!DJ6:DK6,V$374)+COUNTIF('11月'!DO6:DP6,V$374)+COUNTIF('11月'!DT6:DU6,V$374)+COUNTIF('11月'!DY6:DZ6,V$374)+COUNTIF('11月'!ED6:EE6,V$374)+COUNTIF('11月'!EI6:EJ6,V$374)+COUNTIF('11月'!EN6:EO6,V$374)+COUNTIF('11月'!ES6:ET6,V$374)</f>
        <v>0</v>
      </c>
      <c r="W378" s="76">
        <f t="shared" si="130"/>
        <v>0</v>
      </c>
      <c r="X378" s="76">
        <f>COUNTIF('11月'!D6:E6,X$374)+COUNTIF('11月'!I6:J6,X$374)+COUNTIF('11月'!N6:O6,X$374)+COUNTIF('11月'!S6:T6,X$374)+COUNTIF('11月'!X6:Y6,X$374)+COUNTIF('11月'!AC6:AD6,X$374)+COUNTIF('11月'!AH6:AI6,X$374)+COUNTIF('11月'!AM6:AN6,X$374)+COUNTIF('11月'!AR6:AS6,X$374)+COUNTIF('11月'!AW6:AX6,X$374)+COUNTIF('11月'!BB6:BC6,X$374)+COUNTIF('11月'!BG6:BH6,X$374)+COUNTIF('11月'!BL6:BM6,X$374)+COUNTIF('11月'!BQ6:BR6,X$374)+COUNTIF('11月'!BV6:BW6,X$374)+COUNTIF('11月'!CA6:CB6,X$374)+COUNTIF('11月'!CF6:CG6,X$374)+COUNTIF('11月'!CK6:CL6,X$374)+COUNTIF('11月'!CP6:CQ6,X$374)+COUNTIF('11月'!CU6:CV6,X$374)+COUNTIF('11月'!CZ6:DA6,X$374)+COUNTIF('11月'!DE6:DF6,X$374)+COUNTIF('11月'!DJ6:DK6,X$374)+COUNTIF('11月'!DO6:DP6,X$374)+COUNTIF('11月'!DT6:DU6,X$374)+COUNTIF('11月'!DY6:DZ6,X$374)+COUNTIF('11月'!ED6:EE6,X$374)+COUNTIF('11月'!EI6:EJ6,X$374)+COUNTIF('11月'!EN6:EO6,X$374)+COUNTIF('11月'!ES6:ET6,X$374)</f>
        <v>0</v>
      </c>
      <c r="Y378" s="76">
        <f t="shared" si="131"/>
        <v>0</v>
      </c>
    </row>
    <row r="379" spans="1:25" ht="18" customHeight="1">
      <c r="A379" s="76">
        <v>4</v>
      </c>
      <c r="B379" s="76">
        <f>COUNTIF('11月'!D7:E7,B$374)+COUNTIF('11月'!I7:J7,B$374)+COUNTIF('11月'!N7:O7,B$374)+COUNTIF('11月'!S7:T7,B$374)+COUNTIF('11月'!X7:Y7,B$374)+COUNTIF('11月'!AC7:AD7,B$374)+COUNTIF('11月'!AH7:AI7,B$374)+COUNTIF('11月'!AM7:AN7,B$374)+COUNTIF('11月'!AR7:AS7,B$374)+COUNTIF('11月'!AW7:AX7,B$374)+COUNTIF('11月'!BB7:BC7,B$374)+COUNTIF('11月'!BG7:BH7,B$374)+COUNTIF('11月'!BL7:BM7,B$374)+COUNTIF('11月'!BQ7:BR7,B$374)+COUNTIF('11月'!BV7:BW7,B$374)+COUNTIF('11月'!CA7:CB7,B$374)+COUNTIF('11月'!CF7:CG7,B$374)+COUNTIF('11月'!CK7:CL7,B$374)+COUNTIF('11月'!CP7:CQ7,B$374)+COUNTIF('11月'!CU7:CV7,B$374)+COUNTIF('11月'!CZ7:DA7,B$374)+COUNTIF('11月'!DE7:DF7,B$374)+COUNTIF('11月'!DJ7:DK7,B$374)+COUNTIF('11月'!DO7:DP7,B$374)+COUNTIF('11月'!DT7:DU7,B$374)+COUNTIF('11月'!DY7:DZ7,B$374)+COUNTIF('11月'!ED7:EE7,B$374)+COUNTIF('11月'!EI7:EJ7,B$374)+COUNTIF('11月'!EN7:EO7,B$374)+COUNTIF('11月'!ES7:ET7,B$374)</f>
        <v>0</v>
      </c>
      <c r="C379" s="76">
        <f t="shared" si="120"/>
        <v>0</v>
      </c>
      <c r="D379" s="76">
        <f>COUNTIF('11月'!D7:E7,D$374)+COUNTIF('11月'!I7:J7,D$374)+COUNTIF('11月'!N7:O7,D$374)+COUNTIF('11月'!S7:T7,D$374)+COUNTIF('11月'!X7:Y7,D$374)+COUNTIF('11月'!AC7:AD7,D$374)+COUNTIF('11月'!AH7:AI7,D$374)+COUNTIF('11月'!AM7:AN7,D$374)+COUNTIF('11月'!AR7:AS7,D$374)+COUNTIF('11月'!AW7:AX7,D$374)+COUNTIF('11月'!BB7:BC7,D$374)+COUNTIF('11月'!BG7:BH7,D$374)+COUNTIF('11月'!BL7:BM7,D$374)+COUNTIF('11月'!BQ7:BR7,D$374)+COUNTIF('11月'!BV7:BW7,D$374)+COUNTIF('11月'!CA7:CB7,D$374)+COUNTIF('11月'!CF7:CG7,D$374)+COUNTIF('11月'!CK7:CL7,D$374)+COUNTIF('11月'!CP7:CQ7,D$374)+COUNTIF('11月'!CU7:CV7,D$374)+COUNTIF('11月'!CZ7:DA7,D$374)+COUNTIF('11月'!DE7:DF7,D$374)+COUNTIF('11月'!DJ7:DK7,D$374)+COUNTIF('11月'!DO7:DP7,D$374)+COUNTIF('11月'!DT7:DU7,D$374)+COUNTIF('11月'!DY7:DZ7,D$374)+COUNTIF('11月'!ED7:EE7,D$374)+COUNTIF('11月'!EI7:EJ7,D$374)+COUNTIF('11月'!EN7:EO7,D$374)+COUNTIF('11月'!ES7:ET7,D$374)</f>
        <v>0</v>
      </c>
      <c r="E379" s="76">
        <f t="shared" si="121"/>
        <v>0</v>
      </c>
      <c r="F379" s="76">
        <f>COUNTIF('11月'!D7:E7,F$374)+COUNTIF('11月'!I7:J7,F$374)+COUNTIF('11月'!N7:O7,F$374)+COUNTIF('11月'!S7:T7,F$374)+COUNTIF('11月'!X7:Y7,F$374)+COUNTIF('11月'!AC7:AD7,F$374)+COUNTIF('11月'!AH7:AI7,F$374)+COUNTIF('11月'!AM7:AN7,F$374)+COUNTIF('11月'!AR7:AS7,F$374)+COUNTIF('11月'!AW7:AX7,F$374)+COUNTIF('11月'!BB7:BC7,F$374)+COUNTIF('11月'!BG7:BH7,F$374)+COUNTIF('11月'!BL7:BM7,F$374)+COUNTIF('11月'!BQ7:BR7,F$374)+COUNTIF('11月'!BV7:BW7,F$374)+COUNTIF('11月'!CA7:CB7,F$374)+COUNTIF('11月'!CF7:CG7,F$374)+COUNTIF('11月'!CK7:CL7,F$374)+COUNTIF('11月'!CP7:CQ7,F$374)+COUNTIF('11月'!CU7:CV7,F$374)+COUNTIF('11月'!CZ7:DA7,F$374)+COUNTIF('11月'!DE7:DF7,F$374)+COUNTIF('11月'!DJ7:DK7,F$374)+COUNTIF('11月'!DO7:DP7,F$374)+COUNTIF('11月'!DT7:DU7,F$374)+COUNTIF('11月'!DY7:DZ7,F$374)+COUNTIF('11月'!ED7:EE7,F$374)+COUNTIF('11月'!EI7:EJ7,F$374)+COUNTIF('11月'!EN7:EO7,F$374)+COUNTIF('11月'!ES7:ET7,F$374)</f>
        <v>0</v>
      </c>
      <c r="G379" s="76">
        <f t="shared" si="122"/>
        <v>0</v>
      </c>
      <c r="H379" s="76">
        <f>COUNTIF('11月'!D7:E7,H$374)+COUNTIF('11月'!I7:J7,H$374)+COUNTIF('11月'!N7:O7,H$374)+COUNTIF('11月'!S7:T7,H$374)+COUNTIF('11月'!X7:Y7,H$374)+COUNTIF('11月'!AC7:AD7,H$374)+COUNTIF('11月'!AH7:AI7,H$374)+COUNTIF('11月'!AM7:AN7,H$374)+COUNTIF('11月'!AR7:AS7,H$374)+COUNTIF('11月'!AW7:AX7,H$374)+COUNTIF('11月'!BB7:BC7,H$374)+COUNTIF('11月'!BG7:BH7,H$374)+COUNTIF('11月'!BL7:BM7,H$374)+COUNTIF('11月'!BQ7:BR7,H$374)+COUNTIF('11月'!BV7:BW7,H$374)+COUNTIF('11月'!CA7:CB7,H$374)+COUNTIF('11月'!CF7:CG7,H$374)+COUNTIF('11月'!CK7:CL7,H$374)+COUNTIF('11月'!CP7:CQ7,H$374)+COUNTIF('11月'!CU7:CV7,H$374)+COUNTIF('11月'!CZ7:DA7,H$374)+COUNTIF('11月'!DE7:DF7,H$374)+COUNTIF('11月'!DJ7:DK7,H$374)+COUNTIF('11月'!DO7:DP7,H$374)+COUNTIF('11月'!DT7:DU7,H$374)+COUNTIF('11月'!DY7:DZ7,H$374)+COUNTIF('11月'!ED7:EE7,H$374)+COUNTIF('11月'!EI7:EJ7,H$374)+COUNTIF('11月'!EN7:EO7,H$374)+COUNTIF('11月'!ES7:ET7,H$374)+COUNTIF('11月'!D7:E7,"渋谷-夜勤")+COUNTIF('11月'!I7:J7,"渋谷-夜勤")+COUNTIF('11月'!N7:O7,"渋谷-夜勤")+COUNTIF('11月'!S7:T7,"渋谷-夜勤")+COUNTIF('11月'!X7:Y7,"渋谷-夜勤")+COUNTIF('11月'!AC7:AD7,"渋谷-夜勤")+COUNTIF('11月'!AH7:AI7,"渋谷-夜勤")+COUNTIF('11月'!AM7:AN7,"渋谷-夜勤")+COUNTIF('11月'!AR7:AS7,"渋谷-夜勤")+COUNTIF('11月'!AW7:AX7,"渋谷-夜勤")+COUNTIF('11月'!BB7:BC7,"渋谷-夜勤")+COUNTIF('11月'!BG7:BH7,"渋谷-夜勤")+COUNTIF('11月'!BL7:BM7,"渋谷-夜勤")+COUNTIF('11月'!BQ7:BR7,"渋谷-夜勤")+COUNTIF('11月'!BV7:BW7,"渋谷-夜勤")+COUNTIF('11月'!CA7:CB7,"渋谷-夜勤")+COUNTIF('11月'!CF7:CG7,"渋谷-夜勤")+COUNTIF('11月'!CK7:CL7,"渋谷-夜勤")+COUNTIF('11月'!CP7:CQ7,"渋谷-夜勤")+COUNTIF('11月'!CU7:CV7,"渋谷-夜勤")+COUNTIF('11月'!CZ7:DA7,"渋谷-夜勤")+COUNTIF('11月'!DE7:DF7,"渋谷-夜勤")+COUNTIF('11月'!DJ7:DK7,"渋谷-夜勤")+COUNTIF('11月'!DO7:DP7,"渋谷-夜勤")+COUNTIF('11月'!DT7:DU7,"渋谷-夜勤")+COUNTIF('11月'!DY7:DZ7,"渋谷-夜勤")+COUNTIF('11月'!ED7:EE7,"渋谷-夜勤")+COUNTIF('11月'!EI7:EJ7,"渋谷-夜勤")+COUNTIF('11月'!EN7:EO7,"渋谷-夜勤")+COUNTIF('11月'!ES7:ET7,"渋谷-夜勤")</f>
        <v>0</v>
      </c>
      <c r="I379" s="76">
        <f t="shared" si="123"/>
        <v>0</v>
      </c>
      <c r="J379" s="76">
        <f>COUNTIF('11月'!D7:E7,J$374)+COUNTIF('11月'!I7:J7,J$374)+COUNTIF('11月'!N7:O7,J$374)+COUNTIF('11月'!S7:T7,J$374)+COUNTIF('11月'!X7:Y7,J$374)+COUNTIF('11月'!AC7:AD7,J$374)+COUNTIF('11月'!AH7:AI7,J$374)+COUNTIF('11月'!AM7:AN7,J$374)+COUNTIF('11月'!AR7:AS7,J$374)+COUNTIF('11月'!AW7:AX7,J$374)+COUNTIF('11月'!BB7:BC7,J$374)+COUNTIF('11月'!BG7:BH7,J$374)+COUNTIF('11月'!BL7:BM7,J$374)+COUNTIF('11月'!BQ7:BR7,J$374)+COUNTIF('11月'!BV7:BW7,J$374)+COUNTIF('11月'!CA7:CB7,J$374)+COUNTIF('11月'!CF7:CG7,J$374)+COUNTIF('11月'!CK7:CL7,J$374)+COUNTIF('11月'!CP7:CQ7,J$374)+COUNTIF('11月'!CU7:CV7,J$374)+COUNTIF('11月'!CZ7:DA7,J$374)+COUNTIF('11月'!DE7:DF7,J$374)+COUNTIF('11月'!DJ7:DK7,J$374)+COUNTIF('11月'!DO7:DP7,J$374)+COUNTIF('11月'!DT7:DU7,J$374)+COUNTIF('11月'!DY7:DZ7,J$374)+COUNTIF('11月'!ED7:EE7,J$374)+COUNTIF('11月'!EI7:EJ7,J$374)+COUNTIF('11月'!EN7:EO7,J$374)+COUNTIF('11月'!ES7:ET7,J$374)+COUNTIF('11月'!D7:E7,"六本木-夜勤")+COUNTIF('11月'!I7:J7,"六本木-夜勤")+COUNTIF('11月'!N7:O7,"六本木-夜勤")+COUNTIF('11月'!S7:T7,"六本木-夜勤")+COUNTIF('11月'!X7:Y7,"六本木-夜勤")+COUNTIF('11月'!AC7:AD7,"六本木-夜勤")+COUNTIF('11月'!AH7:AI7,"六本木-夜勤")+COUNTIF('11月'!AM7:AN7,"六本木-夜勤")+COUNTIF('11月'!AR7:AS7,"六本木-夜勤")+COUNTIF('11月'!AW7:AX7,"六本木-夜勤")+COUNTIF('11月'!BB7:BC7,"六本木-夜勤")+COUNTIF('11月'!BG7:BH7,"六本木-夜勤")+COUNTIF('11月'!BL7:BM7,"六本木-夜勤")+COUNTIF('11月'!BQ7:BR7,"六本木-夜勤")+COUNTIF('11月'!BV7:BW7,"六本木-夜勤")+COUNTIF('11月'!CA7:CB7,"六本木-夜勤")+COUNTIF('11月'!CF7:CG7,"六本木-夜勤")+COUNTIF('11月'!CK7:CL7,"六本木-夜勤")+COUNTIF('11月'!CP7:CQ7,"六本木-夜勤")+COUNTIF('11月'!CU7:CV7,"六本木-夜勤")+COUNTIF('11月'!CZ7:DA7,"六本木-夜勤")+COUNTIF('11月'!DE7:DF7,"六本木-夜勤")+COUNTIF('11月'!DJ7:DK7,"六本木-夜勤")+COUNTIF('11月'!DO7:DP7,"六本木-夜勤")+COUNTIF('11月'!DT7:DU7,"六本木-夜勤")+COUNTIF('11月'!DY7:DZ7,"六本木-夜勤")+COUNTIF('11月'!ED7:EE7,"六本木-夜勤")+COUNTIF('11月'!EI7:EJ7,"六本木-夜勤")+COUNTIF('11月'!EN7:EO7,"六本木-夜勤")+COUNTIF('11月'!ES7:ET7,"六本木-夜勤")+COUNTIF('11月'!D7:E7,"六本木ー夜勤")+COUNTIF('11月'!I7:J7,"六本木ー夜勤")+COUNTIF('11月'!N7:O7,"六本木ー夜勤")+COUNTIF('11月'!S7:T7,"六本木ー夜勤")+COUNTIF('11月'!X7:Y7,"六本木ー夜勤")+COUNTIF('11月'!AC7:AD7,"六本木ー夜勤")+COUNTIF('11月'!AH7:AI7,"六本木ー夜勤")+COUNTIF('11月'!AM7:AN7,"六本木ー夜勤")+COUNTIF('11月'!AR7:AS7,"六本木ー夜勤")+COUNTIF('11月'!AW7:AX7,"六本木ー夜勤")+COUNTIF('11月'!BB7:BC7,"六本木ー夜勤")+COUNTIF('11月'!BG7:BH7,"六本木ー夜勤")+COUNTIF('11月'!BL7:BM7,"六本木ー夜勤")+COUNTIF('11月'!BQ7:BR7,"六本木ー夜勤")+COUNTIF('11月'!BV7:BW7,"六本木ー夜勤")+COUNTIF('11月'!CA7:CB7,"六本木ー夜勤")+COUNTIF('11月'!CF7:CG7,"六本木ー夜勤")+COUNTIF('11月'!CK7:CL7,"六本木ー夜勤")+COUNTIF('11月'!CP7:CQ7,"六本木ー夜勤")+COUNTIF('11月'!CU7:CV7,"六本木ー夜勤")+COUNTIF('11月'!CZ7:DA7,"六本木ー夜勤")+COUNTIF('11月'!DE7:DF7,"六本木ー夜勤")+COUNTIF('11月'!DJ7:DK7,"六本木ー夜勤")+COUNTIF('11月'!DO7:DP7,"六本木ー夜勤")+COUNTIF('11月'!DT7:DU7,"六本木ー夜勤")+COUNTIF('11月'!DY7:DZ7,"六本木ー夜勤")+COUNTIF('11月'!ED7:EE7,"六本木ー夜勤")+COUNTIF('11月'!EI7:EJ7,"六本木ー夜勤")+COUNTIF('11月'!EN7:EO7,"六本木ー夜勤")+COUNTIF('11月'!ES7:ET7,"六本木ー夜勤")</f>
        <v>0</v>
      </c>
      <c r="K379" s="76">
        <f t="shared" si="124"/>
        <v>0</v>
      </c>
      <c r="L379" s="76">
        <f>COUNTIF('11月'!D7:E7,L$374)+COUNTIF('11月'!I7:J7,L$374)+COUNTIF('11月'!N7:O7,L$374)+COUNTIF('11月'!S7:T7,L$374)+COUNTIF('11月'!X7:Y7,L$374)+COUNTIF('11月'!AC7:AD7,L$374)+COUNTIF('11月'!AH7:AI7,L$374)+COUNTIF('11月'!AM7:AN7,L$374)+COUNTIF('11月'!AR7:AS7,L$374)+COUNTIF('11月'!AW7:AX7,L$374)+COUNTIF('11月'!BB7:BC7,L$374)+COUNTIF('11月'!BG7:BH7,L$374)+COUNTIF('11月'!BL7:BM7,L$374)+COUNTIF('11月'!BQ7:BR7,L$374)+COUNTIF('11月'!BV7:BW7,L$374)+COUNTIF('11月'!CA7:CB7,L$374)+COUNTIF('11月'!CF7:CG7,L$374)+COUNTIF('11月'!CK7:CL7,L$374)+COUNTIF('11月'!CP7:CQ7,L$374)+COUNTIF('11月'!CU7:CV7,L$374)+COUNTIF('11月'!CZ7:DA7,L$374)+COUNTIF('11月'!DE7:DF7,L$374)+COUNTIF('11月'!DJ7:DK7,L$374)+COUNTIF('11月'!DO7:DP7,L$374)+COUNTIF('11月'!DT7:DU7,L$374)+COUNTIF('11月'!DY7:DZ7,L$374)+COUNTIF('11月'!ED7:EE7,L$374)+COUNTIF('11月'!EI7:EJ7,L$374)+COUNTIF('11月'!EN7:EO7,L$374)+COUNTIF('11月'!ES7:ET7,L$374)</f>
        <v>0</v>
      </c>
      <c r="M379" s="76">
        <f t="shared" si="125"/>
        <v>0</v>
      </c>
      <c r="N379" s="76">
        <f>COUNTIF('11月'!D7:E7,N$374)+COUNTIF('11月'!I7:J7,N$374)+COUNTIF('11月'!N7:O7,N$374)+COUNTIF('11月'!S7:T7,N$374)+COUNTIF('11月'!X7:Y7,N$374)+COUNTIF('11月'!AC7:AD7,N$374)+COUNTIF('11月'!AH7:AI7,N$374)+COUNTIF('11月'!AM7:AN7,N$374)+COUNTIF('11月'!AR7:AS7,N$374)+COUNTIF('11月'!AW7:AX7,N$374)+COUNTIF('11月'!BB7:BC7,N$374)+COUNTIF('11月'!BG7:BH7,N$374)+COUNTIF('11月'!BL7:BM7,N$374)+COUNTIF('11月'!BQ7:BR7,N$374)+COUNTIF('11月'!BV7:BW7,N$374)+COUNTIF('11月'!CA7:CB7,N$374)+COUNTIF('11月'!CF7:CG7,N$374)+COUNTIF('11月'!CK7:CL7,N$374)+COUNTIF('11月'!CP7:CQ7,N$374)+COUNTIF('11月'!CU7:CV7,N$374)+COUNTIF('11月'!CZ7:DA7,N$374)+COUNTIF('11月'!DE7:DF7,N$374)+COUNTIF('11月'!DJ7:DK7,N$374)+COUNTIF('11月'!DO7:DP7,N$374)+COUNTIF('11月'!DT7:DU7,N$374)+COUNTIF('11月'!DY7:DZ7,N$374)+COUNTIF('11月'!ED7:EE7,N$374)+COUNTIF('11月'!EI7:EJ7,N$374)+COUNTIF('11月'!EN7:EO7,N$374)+COUNTIF('11月'!ES7:ET7,N$374)+COUNTIF('11月'!D7:E7,"三軒茶屋－夜勤")+COUNTIF('11月'!I7:J7,"三軒茶屋－夜勤")+COUNTIF('11月'!N7:O7,"三軒茶屋－夜勤")+COUNTIF('11月'!S7:T7,"三軒茶屋－夜勤")+COUNTIF('11月'!X7:Y7,"三軒茶屋－夜勤")+COUNTIF('11月'!AC7:AD7,"三軒茶屋－夜勤")+COUNTIF('11月'!AH7:AI7,"三軒茶屋－夜勤")+COUNTIF('11月'!AM7:AN7,"三軒茶屋－夜勤")+COUNTIF('11月'!AR7:AS7,"三軒茶屋－夜勤")+COUNTIF('11月'!AW7:AX7,"三軒茶屋－夜勤")+COUNTIF('11月'!BB7:BC7,"三軒茶屋－夜勤")+COUNTIF('11月'!BG7:BH7,"三軒茶屋－夜勤")+COUNTIF('11月'!BL7:BM7,"三軒茶屋－夜勤")+COUNTIF('11月'!BQ7:BR7,"三軒茶屋－夜勤")+COUNTIF('11月'!BV7:BW7,"三軒茶屋－夜勤")+COUNTIF('11月'!CA7:CB7,"三軒茶屋－夜勤")+COUNTIF('11月'!CF7:CG7,"三軒茶屋－夜勤")+COUNTIF('11月'!CK7:CL7,"三軒茶屋－夜勤")+COUNTIF('11月'!CP7:CQ7,"三軒茶屋－夜勤")+COUNTIF('11月'!CU7:CV7,"三軒茶屋－夜勤")+COUNTIF('11月'!CZ7:DA7,"三軒茶屋－夜勤")+COUNTIF('11月'!DE7:DF7,"三軒茶屋－夜勤")+COUNTIF('11月'!DJ7:DK7,"三軒茶屋－夜勤")+COUNTIF('11月'!DO7:DP7,"三軒茶屋－夜勤")+COUNTIF('11月'!DT7:DU7,"三軒茶屋－夜勤")+COUNTIF('11月'!DY7:DZ7,"三軒茶屋－夜勤")+COUNTIF('11月'!ED7:EE7,"三軒茶屋－夜勤")+COUNTIF('11月'!EI7:EJ7,"三軒茶屋－夜勤")+COUNTIF('11月'!EN7:EO7,"三軒茶屋－夜勤")+COUNTIF('11月'!ES7:ET7,"三軒茶屋－夜勤")</f>
        <v>0</v>
      </c>
      <c r="O379" s="76">
        <f t="shared" si="126"/>
        <v>0</v>
      </c>
      <c r="P379" s="76">
        <f>COUNTIF('11月'!D7:E7,P$374)+COUNTIF('11月'!I7:J7,P$374)+COUNTIF('11月'!N7:O7,P$374)+COUNTIF('11月'!S7:T7,P$374)+COUNTIF('11月'!X7:Y7,P$374)+COUNTIF('11月'!AC7:AD7,P$374)+COUNTIF('11月'!AH7:AI7,P$374)+COUNTIF('11月'!AM7:AN7,P$374)+COUNTIF('11月'!AR7:AS7,P$374)+COUNTIF('11月'!AW7:AX7,P$374)+COUNTIF('11月'!BB7:BC7,P$374)+COUNTIF('11月'!BG7:BH7,P$374)+COUNTIF('11月'!BL7:BM7,P$374)+COUNTIF('11月'!BQ7:BR7,P$374)+COUNTIF('11月'!BV7:BW7,P$374)+COUNTIF('11月'!CA7:CB7,P$374)+COUNTIF('11月'!CF7:CG7,P$374)+COUNTIF('11月'!CK7:CL7,P$374)+COUNTIF('11月'!CP7:CQ7,P$374)+COUNTIF('11月'!CU7:CV7,P$374)+COUNTIF('11月'!CZ7:DA7,P$374)+COUNTIF('11月'!DE7:DF7,P$374)+COUNTIF('11月'!DJ7:DK7,P$374)+COUNTIF('11月'!DO7:DP7,P$374)+COUNTIF('11月'!DT7:DU7,P$374)+COUNTIF('11月'!DY7:DZ7,P$374)+COUNTIF('11月'!ED7:EE7,P$374)+COUNTIF('11月'!EI7:EJ7,P$374)+COUNTIF('11月'!EN7:EO7,P$374)+COUNTIF('11月'!ES7:ET7,P$374)+COUNTIF('11月'!D7:E7,"荻窪ー夜勤")+COUNTIF('11月'!I7:J7,"荻窪ー夜勤")+COUNTIF('11月'!N7:O7,"荻窪ー夜勤")+COUNTIF('11月'!S7:T7,"荻窪ー夜勤")+COUNTIF('11月'!X7:Y7,"荻窪ー夜勤")+COUNTIF('11月'!AC7:AD7,"荻窪ー夜勤")+COUNTIF('11月'!AH7:AI7,"荻窪ー夜勤")+COUNTIF('11月'!AM7:AN7,"荻窪ー夜勤")+COUNTIF('11月'!AR7:AS7,"荻窪ー夜勤")+COUNTIF('11月'!AW7:AX7,"荻窪ー夜勤")+COUNTIF('11月'!BB7:BC7,"荻窪ー夜勤")+COUNTIF('11月'!BG7:BH7,"荻窪ー夜勤")+COUNTIF('11月'!BL7:BM7,"荻窪ー夜勤")+COUNTIF('11月'!BQ7:BR7,"荻窪ー夜勤")+COUNTIF('11月'!BV7:BW7,"荻窪ー夜勤")+COUNTIF('11月'!CA7:CB7,"荻窪ー夜勤")+COUNTIF('11月'!CF7:CG7,"荻窪ー夜勤")+COUNTIF('11月'!CK7:CL7,"荻窪ー夜勤")+COUNTIF('11月'!CP7:CQ7,"荻窪ー夜勤")+COUNTIF('11月'!CU7:CV7,"荻窪ー夜勤")+COUNTIF('11月'!CZ7:DA7,"荻窪ー夜勤")+COUNTIF('11月'!DE7:DF7,"荻窪ー夜勤")+COUNTIF('11月'!DJ7:DK7,"荻窪ー夜勤")+COUNTIF('11月'!DO7:DP7,"荻窪ー夜勤")+COUNTIF('11月'!DT7:DU7,"荻窪ー夜勤")+COUNTIF('11月'!DY7:DZ7,"荻窪ー夜勤")+COUNTIF('11月'!ED7:EE7,"荻窪ー夜勤")+COUNTIF('11月'!EI7:EJ7,"荻窪ー夜勤")+COUNTIF('11月'!EN7:EO7,"荻窪ー夜勤")+COUNTIF('11月'!ES7:ET7,"荻窪ー夜勤")</f>
        <v>0</v>
      </c>
      <c r="Q379" s="76">
        <f t="shared" si="127"/>
        <v>0</v>
      </c>
      <c r="R379" s="76">
        <f>COUNTIF('11月'!D7:E7,R$374)+COUNTIF('11月'!I7:J7,R$374)+COUNTIF('11月'!N7:O7,R$374)+COUNTIF('11月'!S7:T7,R$374)+COUNTIF('11月'!X7:Y7,R$374)+COUNTIF('11月'!AC7:AD7,R$374)+COUNTIF('11月'!AH7:AI7,R$374)+COUNTIF('11月'!AM7:AN7,R$374)+COUNTIF('11月'!AR7:AS7,R$374)+COUNTIF('11月'!AW7:AX7,R$374)+COUNTIF('11月'!BB7:BC7,R$374)+COUNTIF('11月'!BG7:BH7,R$374)+COUNTIF('11月'!BL7:BM7,R$374)+COUNTIF('11月'!BQ7:BR7,R$374)+COUNTIF('11月'!BV7:BW7,R$374)+COUNTIF('11月'!CA7:CB7,R$374)+COUNTIF('11月'!CF7:CG7,R$374)+COUNTIF('11月'!CK7:CL7,R$374)+COUNTIF('11月'!CP7:CQ7,R$374)+COUNTIF('11月'!CU7:CV7,R$374)+COUNTIF('11月'!CZ7:DA7,R$374)+COUNTIF('11月'!DE7:DF7,R$374)+COUNTIF('11月'!DJ7:DK7,R$374)+COUNTIF('11月'!DO7:DP7,R$374)+COUNTIF('11月'!DT7:DU7,R$374)+COUNTIF('11月'!DY7:DZ7,R$374)+COUNTIF('11月'!ED7:EE7,R$374)+COUNTIF('11月'!EI7:EJ7,R$374)+COUNTIF('11月'!EN7:EO7,R$374)+COUNTIF('11月'!ES7:ET7,R$374)</f>
        <v>0</v>
      </c>
      <c r="S379" s="76">
        <f t="shared" si="128"/>
        <v>0</v>
      </c>
      <c r="T379" s="76">
        <f>COUNTIF('11月'!D7:E7,T$374)+COUNTIF('11月'!I7:J7,T$374)+COUNTIF('11月'!N7:O7,T$374)+COUNTIF('11月'!S7:T7,T$374)+COUNTIF('11月'!X7:Y7,T$374)+COUNTIF('11月'!AC7:AD7,T$374)+COUNTIF('11月'!AH7:AI7,T$374)+COUNTIF('11月'!AM7:AN7,T$374)+COUNTIF('11月'!AR7:AS7,T$374)+COUNTIF('11月'!AW7:AX7,T$374)+COUNTIF('11月'!BB7:BC7,T$374)+COUNTIF('11月'!BG7:BH7,T$374)+COUNTIF('11月'!BL7:BM7,T$374)+COUNTIF('11月'!BQ7:BR7,T$374)+COUNTIF('11月'!BV7:BW7,T$374)+COUNTIF('11月'!CA7:CB7,T$374)+COUNTIF('11月'!CF7:CG7,T$374)+COUNTIF('11月'!CK7:CL7,T$374)+COUNTIF('11月'!CP7:CQ7,T$374)+COUNTIF('11月'!CU7:CV7,T$374)+COUNTIF('11月'!CZ7:DA7,T$374)+COUNTIF('11月'!DE7:DF7,T$374)+COUNTIF('11月'!DJ7:DK7,T$374)+COUNTIF('11月'!DO7:DP7,T$374)+COUNTIF('11月'!DT7:DU7,T$374)+COUNTIF('11月'!DY7:DZ7,T$374)+COUNTIF('11月'!ED7:EE7,T$374)+COUNTIF('11月'!EI7:EJ7,T$374)+COUNTIF('11月'!EN7:EO7,T$374)+COUNTIF('11月'!ES7:ET7,T$374)</f>
        <v>0</v>
      </c>
      <c r="U379" s="76">
        <f t="shared" si="129"/>
        <v>0</v>
      </c>
      <c r="V379" s="76">
        <f>COUNTIF('11月'!D7:E7,V$374)+COUNTIF('11月'!I7:J7,V$374)+COUNTIF('11月'!N7:O7,V$374)+COUNTIF('11月'!S7:T7,V$374)+COUNTIF('11月'!X7:Y7,V$374)+COUNTIF('11月'!AC7:AD7,V$374)+COUNTIF('11月'!AH7:AI7,V$374)+COUNTIF('11月'!AM7:AN7,V$374)+COUNTIF('11月'!AR7:AS7,V$374)+COUNTIF('11月'!AW7:AX7,V$374)+COUNTIF('11月'!BB7:BC7,V$374)+COUNTIF('11月'!BG7:BH7,V$374)+COUNTIF('11月'!BL7:BM7,V$374)+COUNTIF('11月'!BQ7:BR7,V$374)+COUNTIF('11月'!BV7:BW7,V$374)+COUNTIF('11月'!CA7:CB7,V$374)+COUNTIF('11月'!CF7:CG7,V$374)+COUNTIF('11月'!CK7:CL7,V$374)+COUNTIF('11月'!CP7:CQ7,V$374)+COUNTIF('11月'!CU7:CV7,V$374)+COUNTIF('11月'!CZ7:DA7,V$374)+COUNTIF('11月'!DE7:DF7,V$374)+COUNTIF('11月'!DJ7:DK7,V$374)+COUNTIF('11月'!DO7:DP7,V$374)+COUNTIF('11月'!DT7:DU7,V$374)+COUNTIF('11月'!DY7:DZ7,V$374)+COUNTIF('11月'!ED7:EE7,V$374)+COUNTIF('11月'!EI7:EJ7,V$374)+COUNTIF('11月'!EN7:EO7,V$374)+COUNTIF('11月'!ES7:ET7,V$374)</f>
        <v>0</v>
      </c>
      <c r="W379" s="76">
        <f t="shared" si="130"/>
        <v>0</v>
      </c>
      <c r="X379" s="76">
        <f>COUNTIF('11月'!D7:E7,X$374)+COUNTIF('11月'!I7:J7,X$374)+COUNTIF('11月'!N7:O7,X$374)+COUNTIF('11月'!S7:T7,X$374)+COUNTIF('11月'!X7:Y7,X$374)+COUNTIF('11月'!AC7:AD7,X$374)+COUNTIF('11月'!AH7:AI7,X$374)+COUNTIF('11月'!AM7:AN7,X$374)+COUNTIF('11月'!AR7:AS7,X$374)+COUNTIF('11月'!AW7:AX7,X$374)+COUNTIF('11月'!BB7:BC7,X$374)+COUNTIF('11月'!BG7:BH7,X$374)+COUNTIF('11月'!BL7:BM7,X$374)+COUNTIF('11月'!BQ7:BR7,X$374)+COUNTIF('11月'!BV7:BW7,X$374)+COUNTIF('11月'!CA7:CB7,X$374)+COUNTIF('11月'!CF7:CG7,X$374)+COUNTIF('11月'!CK7:CL7,X$374)+COUNTIF('11月'!CP7:CQ7,X$374)+COUNTIF('11月'!CU7:CV7,X$374)+COUNTIF('11月'!CZ7:DA7,X$374)+COUNTIF('11月'!DE7:DF7,X$374)+COUNTIF('11月'!DJ7:DK7,X$374)+COUNTIF('11月'!DO7:DP7,X$374)+COUNTIF('11月'!DT7:DU7,X$374)+COUNTIF('11月'!DY7:DZ7,X$374)+COUNTIF('11月'!ED7:EE7,X$374)+COUNTIF('11月'!EI7:EJ7,X$374)+COUNTIF('11月'!EN7:EO7,X$374)+COUNTIF('11月'!ES7:ET7,X$374)</f>
        <v>0</v>
      </c>
      <c r="Y379" s="76">
        <f t="shared" si="131"/>
        <v>0</v>
      </c>
    </row>
    <row r="380" spans="1:25" ht="18" customHeight="1">
      <c r="A380" s="76">
        <v>5</v>
      </c>
      <c r="B380" s="76">
        <f>COUNTIF('11月'!D8:E8,B$374)+COUNTIF('11月'!I8:J8,B$374)+COUNTIF('11月'!N8:O8,B$374)+COUNTIF('11月'!S8:T8,B$374)+COUNTIF('11月'!X8:Y8,B$374)+COUNTIF('11月'!AC8:AD8,B$374)+COUNTIF('11月'!AH8:AI8,B$374)+COUNTIF('11月'!AM8:AN8,B$374)+COUNTIF('11月'!AR8:AS8,B$374)+COUNTIF('11月'!AW8:AX8,B$374)+COUNTIF('11月'!BB8:BC8,B$374)+COUNTIF('11月'!BG8:BH8,B$374)+COUNTIF('11月'!BL8:BM8,B$374)+COUNTIF('11月'!BQ8:BR8,B$374)+COUNTIF('11月'!BV8:BW8,B$374)+COUNTIF('11月'!CA8:CB8,B$374)+COUNTIF('11月'!CF8:CG8,B$374)+COUNTIF('11月'!CK8:CL8,B$374)+COUNTIF('11月'!CP8:CQ8,B$374)+COUNTIF('11月'!CU8:CV8,B$374)+COUNTIF('11月'!CZ8:DA8,B$374)+COUNTIF('11月'!DE8:DF8,B$374)+COUNTIF('11月'!DJ8:DK8,B$374)+COUNTIF('11月'!DO8:DP8,B$374)+COUNTIF('11月'!DT8:DU8,B$374)+COUNTIF('11月'!DY8:DZ8,B$374)+COUNTIF('11月'!ED8:EE8,B$374)+COUNTIF('11月'!EI8:EJ8,B$374)+COUNTIF('11月'!EN8:EO8,B$374)+COUNTIF('11月'!ES8:ET8,B$374)</f>
        <v>0</v>
      </c>
      <c r="C380" s="76">
        <f t="shared" si="120"/>
        <v>0</v>
      </c>
      <c r="D380" s="76">
        <f>COUNTIF('11月'!D8:E8,D$374)+COUNTIF('11月'!I8:J8,D$374)+COUNTIF('11月'!N8:O8,D$374)+COUNTIF('11月'!S8:T8,D$374)+COUNTIF('11月'!X8:Y8,D$374)+COUNTIF('11月'!AC8:AD8,D$374)+COUNTIF('11月'!AH8:AI8,D$374)+COUNTIF('11月'!AM8:AN8,D$374)+COUNTIF('11月'!AR8:AS8,D$374)+COUNTIF('11月'!AW8:AX8,D$374)+COUNTIF('11月'!BB8:BC8,D$374)+COUNTIF('11月'!BG8:BH8,D$374)+COUNTIF('11月'!BL8:BM8,D$374)+COUNTIF('11月'!BQ8:BR8,D$374)+COUNTIF('11月'!BV8:BW8,D$374)+COUNTIF('11月'!CA8:CB8,D$374)+COUNTIF('11月'!CF8:CG8,D$374)+COUNTIF('11月'!CK8:CL8,D$374)+COUNTIF('11月'!CP8:CQ8,D$374)+COUNTIF('11月'!CU8:CV8,D$374)+COUNTIF('11月'!CZ8:DA8,D$374)+COUNTIF('11月'!DE8:DF8,D$374)+COUNTIF('11月'!DJ8:DK8,D$374)+COUNTIF('11月'!DO8:DP8,D$374)+COUNTIF('11月'!DT8:DU8,D$374)+COUNTIF('11月'!DY8:DZ8,D$374)+COUNTIF('11月'!ED8:EE8,D$374)+COUNTIF('11月'!EI8:EJ8,D$374)+COUNTIF('11月'!EN8:EO8,D$374)+COUNTIF('11月'!ES8:ET8,D$374)</f>
        <v>0</v>
      </c>
      <c r="E380" s="76">
        <f t="shared" si="121"/>
        <v>0</v>
      </c>
      <c r="F380" s="76">
        <f>COUNTIF('11月'!D8:E8,F$374)+COUNTIF('11月'!I8:J8,F$374)+COUNTIF('11月'!N8:O8,F$374)+COUNTIF('11月'!S8:T8,F$374)+COUNTIF('11月'!X8:Y8,F$374)+COUNTIF('11月'!AC8:AD8,F$374)+COUNTIF('11月'!AH8:AI8,F$374)+COUNTIF('11月'!AM8:AN8,F$374)+COUNTIF('11月'!AR8:AS8,F$374)+COUNTIF('11月'!AW8:AX8,F$374)+COUNTIF('11月'!BB8:BC8,F$374)+COUNTIF('11月'!BG8:BH8,F$374)+COUNTIF('11月'!BL8:BM8,F$374)+COUNTIF('11月'!BQ8:BR8,F$374)+COUNTIF('11月'!BV8:BW8,F$374)+COUNTIF('11月'!CA8:CB8,F$374)+COUNTIF('11月'!CF8:CG8,F$374)+COUNTIF('11月'!CK8:CL8,F$374)+COUNTIF('11月'!CP8:CQ8,F$374)+COUNTIF('11月'!CU8:CV8,F$374)+COUNTIF('11月'!CZ8:DA8,F$374)+COUNTIF('11月'!DE8:DF8,F$374)+COUNTIF('11月'!DJ8:DK8,F$374)+COUNTIF('11月'!DO8:DP8,F$374)+COUNTIF('11月'!DT8:DU8,F$374)+COUNTIF('11月'!DY8:DZ8,F$374)+COUNTIF('11月'!ED8:EE8,F$374)+COUNTIF('11月'!EI8:EJ8,F$374)+COUNTIF('11月'!EN8:EO8,F$374)+COUNTIF('11月'!ES8:ET8,F$374)</f>
        <v>0</v>
      </c>
      <c r="G380" s="76">
        <f t="shared" si="122"/>
        <v>0</v>
      </c>
      <c r="H380" s="76">
        <f>COUNTIF('11月'!D8:E8,H$374)+COUNTIF('11月'!I8:J8,H$374)+COUNTIF('11月'!N8:O8,H$374)+COUNTIF('11月'!S8:T8,H$374)+COUNTIF('11月'!X8:Y8,H$374)+COUNTIF('11月'!AC8:AD8,H$374)+COUNTIF('11月'!AH8:AI8,H$374)+COUNTIF('11月'!AM8:AN8,H$374)+COUNTIF('11月'!AR8:AS8,H$374)+COUNTIF('11月'!AW8:AX8,H$374)+COUNTIF('11月'!BB8:BC8,H$374)+COUNTIF('11月'!BG8:BH8,H$374)+COUNTIF('11月'!BL8:BM8,H$374)+COUNTIF('11月'!BQ8:BR8,H$374)+COUNTIF('11月'!BV8:BW8,H$374)+COUNTIF('11月'!CA8:CB8,H$374)+COUNTIF('11月'!CF8:CG8,H$374)+COUNTIF('11月'!CK8:CL8,H$374)+COUNTIF('11月'!CP8:CQ8,H$374)+COUNTIF('11月'!CU8:CV8,H$374)+COUNTIF('11月'!CZ8:DA8,H$374)+COUNTIF('11月'!DE8:DF8,H$374)+COUNTIF('11月'!DJ8:DK8,H$374)+COUNTIF('11月'!DO8:DP8,H$374)+COUNTIF('11月'!DT8:DU8,H$374)+COUNTIF('11月'!DY8:DZ8,H$374)+COUNTIF('11月'!ED8:EE8,H$374)+COUNTIF('11月'!EI8:EJ8,H$374)+COUNTIF('11月'!EN8:EO8,H$374)+COUNTIF('11月'!ES8:ET8,H$374)+COUNTIF('11月'!D8:E8,"渋谷-夜勤")+COUNTIF('11月'!I8:J8,"渋谷-夜勤")+COUNTIF('11月'!N8:O8,"渋谷-夜勤")+COUNTIF('11月'!S8:T8,"渋谷-夜勤")+COUNTIF('11月'!X8:Y8,"渋谷-夜勤")+COUNTIF('11月'!AC8:AD8,"渋谷-夜勤")+COUNTIF('11月'!AH8:AI8,"渋谷-夜勤")+COUNTIF('11月'!AM8:AN8,"渋谷-夜勤")+COUNTIF('11月'!AR8:AS8,"渋谷-夜勤")+COUNTIF('11月'!AW8:AX8,"渋谷-夜勤")+COUNTIF('11月'!BB8:BC8,"渋谷-夜勤")+COUNTIF('11月'!BG8:BH8,"渋谷-夜勤")+COUNTIF('11月'!BL8:BM8,"渋谷-夜勤")+COUNTIF('11月'!BQ8:BR8,"渋谷-夜勤")+COUNTIF('11月'!BV8:BW8,"渋谷-夜勤")+COUNTIF('11月'!CA8:CB8,"渋谷-夜勤")+COUNTIF('11月'!CF8:CG8,"渋谷-夜勤")+COUNTIF('11月'!CK8:CL8,"渋谷-夜勤")+COUNTIF('11月'!CP8:CQ8,"渋谷-夜勤")+COUNTIF('11月'!CU8:CV8,"渋谷-夜勤")+COUNTIF('11月'!CZ8:DA8,"渋谷-夜勤")+COUNTIF('11月'!DE8:DF8,"渋谷-夜勤")+COUNTIF('11月'!DJ8:DK8,"渋谷-夜勤")+COUNTIF('11月'!DO8:DP8,"渋谷-夜勤")+COUNTIF('11月'!DT8:DU8,"渋谷-夜勤")+COUNTIF('11月'!DY8:DZ8,"渋谷-夜勤")+COUNTIF('11月'!ED8:EE8,"渋谷-夜勤")+COUNTIF('11月'!EI8:EJ8,"渋谷-夜勤")+COUNTIF('11月'!EN8:EO8,"渋谷-夜勤")+COUNTIF('11月'!ES8:ET8,"渋谷-夜勤")</f>
        <v>0</v>
      </c>
      <c r="I380" s="76">
        <f t="shared" si="123"/>
        <v>0</v>
      </c>
      <c r="J380" s="76">
        <f>COUNTIF('11月'!D8:E8,J$374)+COUNTIF('11月'!I8:J8,J$374)+COUNTIF('11月'!N8:O8,J$374)+COUNTIF('11月'!S8:T8,J$374)+COUNTIF('11月'!X8:Y8,J$374)+COUNTIF('11月'!AC8:AD8,J$374)+COUNTIF('11月'!AH8:AI8,J$374)+COUNTIF('11月'!AM8:AN8,J$374)+COUNTIF('11月'!AR8:AS8,J$374)+COUNTIF('11月'!AW8:AX8,J$374)+COUNTIF('11月'!BB8:BC8,J$374)+COUNTIF('11月'!BG8:BH8,J$374)+COUNTIF('11月'!BL8:BM8,J$374)+COUNTIF('11月'!BQ8:BR8,J$374)+COUNTIF('11月'!BV8:BW8,J$374)+COUNTIF('11月'!CA8:CB8,J$374)+COUNTIF('11月'!CF8:CG8,J$374)+COUNTIF('11月'!CK8:CL8,J$374)+COUNTIF('11月'!CP8:CQ8,J$374)+COUNTIF('11月'!CU8:CV8,J$374)+COUNTIF('11月'!CZ8:DA8,J$374)+COUNTIF('11月'!DE8:DF8,J$374)+COUNTIF('11月'!DJ8:DK8,J$374)+COUNTIF('11月'!DO8:DP8,J$374)+COUNTIF('11月'!DT8:DU8,J$374)+COUNTIF('11月'!DY8:DZ8,J$374)+COUNTIF('11月'!ED8:EE8,J$374)+COUNTIF('11月'!EI8:EJ8,J$374)+COUNTIF('11月'!EN8:EO8,J$374)+COUNTIF('11月'!ES8:ET8,J$374)+COUNTIF('11月'!D8:E8,"六本木-夜勤")+COUNTIF('11月'!I8:J8,"六本木-夜勤")+COUNTIF('11月'!N8:O8,"六本木-夜勤")+COUNTIF('11月'!S8:T8,"六本木-夜勤")+COUNTIF('11月'!X8:Y8,"六本木-夜勤")+COUNTIF('11月'!AC8:AD8,"六本木-夜勤")+COUNTIF('11月'!AH8:AI8,"六本木-夜勤")+COUNTIF('11月'!AM8:AN8,"六本木-夜勤")+COUNTIF('11月'!AR8:AS8,"六本木-夜勤")+COUNTIF('11月'!AW8:AX8,"六本木-夜勤")+COUNTIF('11月'!BB8:BC8,"六本木-夜勤")+COUNTIF('11月'!BG8:BH8,"六本木-夜勤")+COUNTIF('11月'!BL8:BM8,"六本木-夜勤")+COUNTIF('11月'!BQ8:BR8,"六本木-夜勤")+COUNTIF('11月'!BV8:BW8,"六本木-夜勤")+COUNTIF('11月'!CA8:CB8,"六本木-夜勤")+COUNTIF('11月'!CF8:CG8,"六本木-夜勤")+COUNTIF('11月'!CK8:CL8,"六本木-夜勤")+COUNTIF('11月'!CP8:CQ8,"六本木-夜勤")+COUNTIF('11月'!CU8:CV8,"六本木-夜勤")+COUNTIF('11月'!CZ8:DA8,"六本木-夜勤")+COUNTIF('11月'!DE8:DF8,"六本木-夜勤")+COUNTIF('11月'!DJ8:DK8,"六本木-夜勤")+COUNTIF('11月'!DO8:DP8,"六本木-夜勤")+COUNTIF('11月'!DT8:DU8,"六本木-夜勤")+COUNTIF('11月'!DY8:DZ8,"六本木-夜勤")+COUNTIF('11月'!ED8:EE8,"六本木-夜勤")+COUNTIF('11月'!EI8:EJ8,"六本木-夜勤")+COUNTIF('11月'!EN8:EO8,"六本木-夜勤")+COUNTIF('11月'!ES8:ET8,"六本木-夜勤")+COUNTIF('11月'!D8:E8,"六本木ー夜勤")+COUNTIF('11月'!I8:J8,"六本木ー夜勤")+COUNTIF('11月'!N8:O8,"六本木ー夜勤")+COUNTIF('11月'!S8:T8,"六本木ー夜勤")+COUNTIF('11月'!X8:Y8,"六本木ー夜勤")+COUNTIF('11月'!AC8:AD8,"六本木ー夜勤")+COUNTIF('11月'!AH8:AI8,"六本木ー夜勤")+COUNTIF('11月'!AM8:AN8,"六本木ー夜勤")+COUNTIF('11月'!AR8:AS8,"六本木ー夜勤")+COUNTIF('11月'!AW8:AX8,"六本木ー夜勤")+COUNTIF('11月'!BB8:BC8,"六本木ー夜勤")+COUNTIF('11月'!BG8:BH8,"六本木ー夜勤")+COUNTIF('11月'!BL8:BM8,"六本木ー夜勤")+COUNTIF('11月'!BQ8:BR8,"六本木ー夜勤")+COUNTIF('11月'!BV8:BW8,"六本木ー夜勤")+COUNTIF('11月'!CA8:CB8,"六本木ー夜勤")+COUNTIF('11月'!CF8:CG8,"六本木ー夜勤")+COUNTIF('11月'!CK8:CL8,"六本木ー夜勤")+COUNTIF('11月'!CP8:CQ8,"六本木ー夜勤")+COUNTIF('11月'!CU8:CV8,"六本木ー夜勤")+COUNTIF('11月'!CZ8:DA8,"六本木ー夜勤")+COUNTIF('11月'!DE8:DF8,"六本木ー夜勤")+COUNTIF('11月'!DJ8:DK8,"六本木ー夜勤")+COUNTIF('11月'!DO8:DP8,"六本木ー夜勤")+COUNTIF('11月'!DT8:DU8,"六本木ー夜勤")+COUNTIF('11月'!DY8:DZ8,"六本木ー夜勤")+COUNTIF('11月'!ED8:EE8,"六本木ー夜勤")+COUNTIF('11月'!EI8:EJ8,"六本木ー夜勤")+COUNTIF('11月'!EN8:EO8,"六本木ー夜勤")+COUNTIF('11月'!ES8:ET8,"六本木ー夜勤")</f>
        <v>0</v>
      </c>
      <c r="K380" s="76">
        <f t="shared" si="124"/>
        <v>0</v>
      </c>
      <c r="L380" s="76">
        <f>COUNTIF('11月'!D8:E8,L$374)+COUNTIF('11月'!I8:J8,L$374)+COUNTIF('11月'!N8:O8,L$374)+COUNTIF('11月'!S8:T8,L$374)+COUNTIF('11月'!X8:Y8,L$374)+COUNTIF('11月'!AC8:AD8,L$374)+COUNTIF('11月'!AH8:AI8,L$374)+COUNTIF('11月'!AM8:AN8,L$374)+COUNTIF('11月'!AR8:AS8,L$374)+COUNTIF('11月'!AW8:AX8,L$374)+COUNTIF('11月'!BB8:BC8,L$374)+COUNTIF('11月'!BG8:BH8,L$374)+COUNTIF('11月'!BL8:BM8,L$374)+COUNTIF('11月'!BQ8:BR8,L$374)+COUNTIF('11月'!BV8:BW8,L$374)+COUNTIF('11月'!CA8:CB8,L$374)+COUNTIF('11月'!CF8:CG8,L$374)+COUNTIF('11月'!CK8:CL8,L$374)+COUNTIF('11月'!CP8:CQ8,L$374)+COUNTIF('11月'!CU8:CV8,L$374)+COUNTIF('11月'!CZ8:DA8,L$374)+COUNTIF('11月'!DE8:DF8,L$374)+COUNTIF('11月'!DJ8:DK8,L$374)+COUNTIF('11月'!DO8:DP8,L$374)+COUNTIF('11月'!DT8:DU8,L$374)+COUNTIF('11月'!DY8:DZ8,L$374)+COUNTIF('11月'!ED8:EE8,L$374)+COUNTIF('11月'!EI8:EJ8,L$374)+COUNTIF('11月'!EN8:EO8,L$374)+COUNTIF('11月'!ES8:ET8,L$374)</f>
        <v>0</v>
      </c>
      <c r="M380" s="76">
        <f t="shared" si="125"/>
        <v>0</v>
      </c>
      <c r="N380" s="76">
        <f>COUNTIF('11月'!D8:E8,N$374)+COUNTIF('11月'!I8:J8,N$374)+COUNTIF('11月'!N8:O8,N$374)+COUNTIF('11月'!S8:T8,N$374)+COUNTIF('11月'!X8:Y8,N$374)+COUNTIF('11月'!AC8:AD8,N$374)+COUNTIF('11月'!AH8:AI8,N$374)+COUNTIF('11月'!AM8:AN8,N$374)+COUNTIF('11月'!AR8:AS8,N$374)+COUNTIF('11月'!AW8:AX8,N$374)+COUNTIF('11月'!BB8:BC8,N$374)+COUNTIF('11月'!BG8:BH8,N$374)+COUNTIF('11月'!BL8:BM8,N$374)+COUNTIF('11月'!BQ8:BR8,N$374)+COUNTIF('11月'!BV8:BW8,N$374)+COUNTIF('11月'!CA8:CB8,N$374)+COUNTIF('11月'!CF8:CG8,N$374)+COUNTIF('11月'!CK8:CL8,N$374)+COUNTIF('11月'!CP8:CQ8,N$374)+COUNTIF('11月'!CU8:CV8,N$374)+COUNTIF('11月'!CZ8:DA8,N$374)+COUNTIF('11月'!DE8:DF8,N$374)+COUNTIF('11月'!DJ8:DK8,N$374)+COUNTIF('11月'!DO8:DP8,N$374)+COUNTIF('11月'!DT8:DU8,N$374)+COUNTIF('11月'!DY8:DZ8,N$374)+COUNTIF('11月'!ED8:EE8,N$374)+COUNTIF('11月'!EI8:EJ8,N$374)+COUNTIF('11月'!EN8:EO8,N$374)+COUNTIF('11月'!ES8:ET8,N$374)+COUNTIF('11月'!D8:E8,"三軒茶屋－夜勤")+COUNTIF('11月'!I8:J8,"三軒茶屋－夜勤")+COUNTIF('11月'!N8:O8,"三軒茶屋－夜勤")+COUNTIF('11月'!S8:T8,"三軒茶屋－夜勤")+COUNTIF('11月'!X8:Y8,"三軒茶屋－夜勤")+COUNTIF('11月'!AC8:AD8,"三軒茶屋－夜勤")+COUNTIF('11月'!AH8:AI8,"三軒茶屋－夜勤")+COUNTIF('11月'!AM8:AN8,"三軒茶屋－夜勤")+COUNTIF('11月'!AR8:AS8,"三軒茶屋－夜勤")+COUNTIF('11月'!AW8:AX8,"三軒茶屋－夜勤")+COUNTIF('11月'!BB8:BC8,"三軒茶屋－夜勤")+COUNTIF('11月'!BG8:BH8,"三軒茶屋－夜勤")+COUNTIF('11月'!BL8:BM8,"三軒茶屋－夜勤")+COUNTIF('11月'!BQ8:BR8,"三軒茶屋－夜勤")+COUNTIF('11月'!BV8:BW8,"三軒茶屋－夜勤")+COUNTIF('11月'!CA8:CB8,"三軒茶屋－夜勤")+COUNTIF('11月'!CF8:CG8,"三軒茶屋－夜勤")+COUNTIF('11月'!CK8:CL8,"三軒茶屋－夜勤")+COUNTIF('11月'!CP8:CQ8,"三軒茶屋－夜勤")+COUNTIF('11月'!CU8:CV8,"三軒茶屋－夜勤")+COUNTIF('11月'!CZ8:DA8,"三軒茶屋－夜勤")+COUNTIF('11月'!DE8:DF8,"三軒茶屋－夜勤")+COUNTIF('11月'!DJ8:DK8,"三軒茶屋－夜勤")+COUNTIF('11月'!DO8:DP8,"三軒茶屋－夜勤")+COUNTIF('11月'!DT8:DU8,"三軒茶屋－夜勤")+COUNTIF('11月'!DY8:DZ8,"三軒茶屋－夜勤")+COUNTIF('11月'!ED8:EE8,"三軒茶屋－夜勤")+COUNTIF('11月'!EI8:EJ8,"三軒茶屋－夜勤")+COUNTIF('11月'!EN8:EO8,"三軒茶屋－夜勤")+COUNTIF('11月'!ES8:ET8,"三軒茶屋－夜勤")</f>
        <v>0</v>
      </c>
      <c r="O380" s="76">
        <f t="shared" si="126"/>
        <v>0</v>
      </c>
      <c r="P380" s="76">
        <f>COUNTIF('11月'!D8:E8,P$374)+COUNTIF('11月'!I8:J8,P$374)+COUNTIF('11月'!N8:O8,P$374)+COUNTIF('11月'!S8:T8,P$374)+COUNTIF('11月'!X8:Y8,P$374)+COUNTIF('11月'!AC8:AD8,P$374)+COUNTIF('11月'!AH8:AI8,P$374)+COUNTIF('11月'!AM8:AN8,P$374)+COUNTIF('11月'!AR8:AS8,P$374)+COUNTIF('11月'!AW8:AX8,P$374)+COUNTIF('11月'!BB8:BC8,P$374)+COUNTIF('11月'!BG8:BH8,P$374)+COUNTIF('11月'!BL8:BM8,P$374)+COUNTIF('11月'!BQ8:BR8,P$374)+COUNTIF('11月'!BV8:BW8,P$374)+COUNTIF('11月'!CA8:CB8,P$374)+COUNTIF('11月'!CF8:CG8,P$374)+COUNTIF('11月'!CK8:CL8,P$374)+COUNTIF('11月'!CP8:CQ8,P$374)+COUNTIF('11月'!CU8:CV8,P$374)+COUNTIF('11月'!CZ8:DA8,P$374)+COUNTIF('11月'!DE8:DF8,P$374)+COUNTIF('11月'!DJ8:DK8,P$374)+COUNTIF('11月'!DO8:DP8,P$374)+COUNTIF('11月'!DT8:DU8,P$374)+COUNTIF('11月'!DY8:DZ8,P$374)+COUNTIF('11月'!ED8:EE8,P$374)+COUNTIF('11月'!EI8:EJ8,P$374)+COUNTIF('11月'!EN8:EO8,P$374)+COUNTIF('11月'!ES8:ET8,P$374)+COUNTIF('11月'!D8:E8,"荻窪ー夜勤")+COUNTIF('11月'!I8:J8,"荻窪ー夜勤")+COUNTIF('11月'!N8:O8,"荻窪ー夜勤")+COUNTIF('11月'!S8:T8,"荻窪ー夜勤")+COUNTIF('11月'!X8:Y8,"荻窪ー夜勤")+COUNTIF('11月'!AC8:AD8,"荻窪ー夜勤")+COUNTIF('11月'!AH8:AI8,"荻窪ー夜勤")+COUNTIF('11月'!AM8:AN8,"荻窪ー夜勤")+COUNTIF('11月'!AR8:AS8,"荻窪ー夜勤")+COUNTIF('11月'!AW8:AX8,"荻窪ー夜勤")+COUNTIF('11月'!BB8:BC8,"荻窪ー夜勤")+COUNTIF('11月'!BG8:BH8,"荻窪ー夜勤")+COUNTIF('11月'!BL8:BM8,"荻窪ー夜勤")+COUNTIF('11月'!BQ8:BR8,"荻窪ー夜勤")+COUNTIF('11月'!BV8:BW8,"荻窪ー夜勤")+COUNTIF('11月'!CA8:CB8,"荻窪ー夜勤")+COUNTIF('11月'!CF8:CG8,"荻窪ー夜勤")+COUNTIF('11月'!CK8:CL8,"荻窪ー夜勤")+COUNTIF('11月'!CP8:CQ8,"荻窪ー夜勤")+COUNTIF('11月'!CU8:CV8,"荻窪ー夜勤")+COUNTIF('11月'!CZ8:DA8,"荻窪ー夜勤")+COUNTIF('11月'!DE8:DF8,"荻窪ー夜勤")+COUNTIF('11月'!DJ8:DK8,"荻窪ー夜勤")+COUNTIF('11月'!DO8:DP8,"荻窪ー夜勤")+COUNTIF('11月'!DT8:DU8,"荻窪ー夜勤")+COUNTIF('11月'!DY8:DZ8,"荻窪ー夜勤")+COUNTIF('11月'!ED8:EE8,"荻窪ー夜勤")+COUNTIF('11月'!EI8:EJ8,"荻窪ー夜勤")+COUNTIF('11月'!EN8:EO8,"荻窪ー夜勤")+COUNTIF('11月'!ES8:ET8,"荻窪ー夜勤")</f>
        <v>0</v>
      </c>
      <c r="Q380" s="76">
        <f t="shared" si="127"/>
        <v>0</v>
      </c>
      <c r="R380" s="76">
        <f>COUNTIF('11月'!D8:E8,R$374)+COUNTIF('11月'!I8:J8,R$374)+COUNTIF('11月'!N8:O8,R$374)+COUNTIF('11月'!S8:T8,R$374)+COUNTIF('11月'!X8:Y8,R$374)+COUNTIF('11月'!AC8:AD8,R$374)+COUNTIF('11月'!AH8:AI8,R$374)+COUNTIF('11月'!AM8:AN8,R$374)+COUNTIF('11月'!AR8:AS8,R$374)+COUNTIF('11月'!AW8:AX8,R$374)+COUNTIF('11月'!BB8:BC8,R$374)+COUNTIF('11月'!BG8:BH8,R$374)+COUNTIF('11月'!BL8:BM8,R$374)+COUNTIF('11月'!BQ8:BR8,R$374)+COUNTIF('11月'!BV8:BW8,R$374)+COUNTIF('11月'!CA8:CB8,R$374)+COUNTIF('11月'!CF8:CG8,R$374)+COUNTIF('11月'!CK8:CL8,R$374)+COUNTIF('11月'!CP8:CQ8,R$374)+COUNTIF('11月'!CU8:CV8,R$374)+COUNTIF('11月'!CZ8:DA8,R$374)+COUNTIF('11月'!DE8:DF8,R$374)+COUNTIF('11月'!DJ8:DK8,R$374)+COUNTIF('11月'!DO8:DP8,R$374)+COUNTIF('11月'!DT8:DU8,R$374)+COUNTIF('11月'!DY8:DZ8,R$374)+COUNTIF('11月'!ED8:EE8,R$374)+COUNTIF('11月'!EI8:EJ8,R$374)+COUNTIF('11月'!EN8:EO8,R$374)+COUNTIF('11月'!ES8:ET8,R$374)</f>
        <v>0</v>
      </c>
      <c r="S380" s="76">
        <f t="shared" si="128"/>
        <v>0</v>
      </c>
      <c r="T380" s="76">
        <f>COUNTIF('11月'!D8:E8,T$374)+COUNTIF('11月'!I8:J8,T$374)+COUNTIF('11月'!N8:O8,T$374)+COUNTIF('11月'!S8:T8,T$374)+COUNTIF('11月'!X8:Y8,T$374)+COUNTIF('11月'!AC8:AD8,T$374)+COUNTIF('11月'!AH8:AI8,T$374)+COUNTIF('11月'!AM8:AN8,T$374)+COUNTIF('11月'!AR8:AS8,T$374)+COUNTIF('11月'!AW8:AX8,T$374)+COUNTIF('11月'!BB8:BC8,T$374)+COUNTIF('11月'!BG8:BH8,T$374)+COUNTIF('11月'!BL8:BM8,T$374)+COUNTIF('11月'!BQ8:BR8,T$374)+COUNTIF('11月'!BV8:BW8,T$374)+COUNTIF('11月'!CA8:CB8,T$374)+COUNTIF('11月'!CF8:CG8,T$374)+COUNTIF('11月'!CK8:CL8,T$374)+COUNTIF('11月'!CP8:CQ8,T$374)+COUNTIF('11月'!CU8:CV8,T$374)+COUNTIF('11月'!CZ8:DA8,T$374)+COUNTIF('11月'!DE8:DF8,T$374)+COUNTIF('11月'!DJ8:DK8,T$374)+COUNTIF('11月'!DO8:DP8,T$374)+COUNTIF('11月'!DT8:DU8,T$374)+COUNTIF('11月'!DY8:DZ8,T$374)+COUNTIF('11月'!ED8:EE8,T$374)+COUNTIF('11月'!EI8:EJ8,T$374)+COUNTIF('11月'!EN8:EO8,T$374)+COUNTIF('11月'!ES8:ET8,T$374)</f>
        <v>0</v>
      </c>
      <c r="U380" s="76">
        <f t="shared" si="129"/>
        <v>0</v>
      </c>
      <c r="V380" s="76">
        <f>COUNTIF('11月'!D8:E8,V$374)+COUNTIF('11月'!I8:J8,V$374)+COUNTIF('11月'!N8:O8,V$374)+COUNTIF('11月'!S8:T8,V$374)+COUNTIF('11月'!X8:Y8,V$374)+COUNTIF('11月'!AC8:AD8,V$374)+COUNTIF('11月'!AH8:AI8,V$374)+COUNTIF('11月'!AM8:AN8,V$374)+COUNTIF('11月'!AR8:AS8,V$374)+COUNTIF('11月'!AW8:AX8,V$374)+COUNTIF('11月'!BB8:BC8,V$374)+COUNTIF('11月'!BG8:BH8,V$374)+COUNTIF('11月'!BL8:BM8,V$374)+COUNTIF('11月'!BQ8:BR8,V$374)+COUNTIF('11月'!BV8:BW8,V$374)+COUNTIF('11月'!CA8:CB8,V$374)+COUNTIF('11月'!CF8:CG8,V$374)+COUNTIF('11月'!CK8:CL8,V$374)+COUNTIF('11月'!CP8:CQ8,V$374)+COUNTIF('11月'!CU8:CV8,V$374)+COUNTIF('11月'!CZ8:DA8,V$374)+COUNTIF('11月'!DE8:DF8,V$374)+COUNTIF('11月'!DJ8:DK8,V$374)+COUNTIF('11月'!DO8:DP8,V$374)+COUNTIF('11月'!DT8:DU8,V$374)+COUNTIF('11月'!DY8:DZ8,V$374)+COUNTIF('11月'!ED8:EE8,V$374)+COUNTIF('11月'!EI8:EJ8,V$374)+COUNTIF('11月'!EN8:EO8,V$374)+COUNTIF('11月'!ES8:ET8,V$374)</f>
        <v>0</v>
      </c>
      <c r="W380" s="76">
        <f t="shared" si="130"/>
        <v>0</v>
      </c>
      <c r="X380" s="76">
        <f>COUNTIF('11月'!D8:E8,X$374)+COUNTIF('11月'!I8:J8,X$374)+COUNTIF('11月'!N8:O8,X$374)+COUNTIF('11月'!S8:T8,X$374)+COUNTIF('11月'!X8:Y8,X$374)+COUNTIF('11月'!AC8:AD8,X$374)+COUNTIF('11月'!AH8:AI8,X$374)+COUNTIF('11月'!AM8:AN8,X$374)+COUNTIF('11月'!AR8:AS8,X$374)+COUNTIF('11月'!AW8:AX8,X$374)+COUNTIF('11月'!BB8:BC8,X$374)+COUNTIF('11月'!BG8:BH8,X$374)+COUNTIF('11月'!BL8:BM8,X$374)+COUNTIF('11月'!BQ8:BR8,X$374)+COUNTIF('11月'!BV8:BW8,X$374)+COUNTIF('11月'!CA8:CB8,X$374)+COUNTIF('11月'!CF8:CG8,X$374)+COUNTIF('11月'!CK8:CL8,X$374)+COUNTIF('11月'!CP8:CQ8,X$374)+COUNTIF('11月'!CU8:CV8,X$374)+COUNTIF('11月'!CZ8:DA8,X$374)+COUNTIF('11月'!DE8:DF8,X$374)+COUNTIF('11月'!DJ8:DK8,X$374)+COUNTIF('11月'!DO8:DP8,X$374)+COUNTIF('11月'!DT8:DU8,X$374)+COUNTIF('11月'!DY8:DZ8,X$374)+COUNTIF('11月'!ED8:EE8,X$374)+COUNTIF('11月'!EI8:EJ8,X$374)+COUNTIF('11月'!EN8:EO8,X$374)+COUNTIF('11月'!ES8:ET8,X$374)</f>
        <v>0</v>
      </c>
      <c r="Y380" s="76">
        <f t="shared" si="131"/>
        <v>0</v>
      </c>
    </row>
    <row r="381" spans="1:25" ht="18" customHeight="1">
      <c r="A381" s="76">
        <v>6</v>
      </c>
      <c r="B381" s="76">
        <f>COUNTIF('11月'!D9:E9,B$374)+COUNTIF('11月'!I9:J9,B$374)+COUNTIF('11月'!N9:O9,B$374)+COUNTIF('11月'!S9:T9,B$374)+COUNTIF('11月'!X9:Y9,B$374)+COUNTIF('11月'!AC9:AD9,B$374)+COUNTIF('11月'!AH9:AI9,B$374)+COUNTIF('11月'!AM9:AN9,B$374)+COUNTIF('11月'!AR9:AS9,B$374)+COUNTIF('11月'!AW9:AX9,B$374)+COUNTIF('11月'!BB9:BC9,B$374)+COUNTIF('11月'!BG9:BH9,B$374)+COUNTIF('11月'!BL9:BM9,B$374)+COUNTIF('11月'!BQ9:BR9,B$374)+COUNTIF('11月'!BV9:BW9,B$374)+COUNTIF('11月'!CA9:CB9,B$374)+COUNTIF('11月'!CF9:CG9,B$374)+COUNTIF('11月'!CK9:CL9,B$374)+COUNTIF('11月'!CP9:CQ9,B$374)+COUNTIF('11月'!CU9:CV9,B$374)+COUNTIF('11月'!CZ9:DA9,B$374)+COUNTIF('11月'!DE9:DF9,B$374)+COUNTIF('11月'!DJ9:DK9,B$374)+COUNTIF('11月'!DO9:DP9,B$374)+COUNTIF('11月'!DT9:DU9,B$374)+COUNTIF('11月'!DY9:DZ9,B$374)+COUNTIF('11月'!ED9:EE9,B$374)+COUNTIF('11月'!EI9:EJ9,B$374)+COUNTIF('11月'!EN9:EO9,B$374)+COUNTIF('11月'!ES9:ET9,B$374)</f>
        <v>0</v>
      </c>
      <c r="C381" s="76">
        <f t="shared" si="120"/>
        <v>0</v>
      </c>
      <c r="D381" s="76">
        <f>COUNTIF('11月'!D9:E9,D$374)+COUNTIF('11月'!I9:J9,D$374)+COUNTIF('11月'!N9:O9,D$374)+COUNTIF('11月'!S9:T9,D$374)+COUNTIF('11月'!X9:Y9,D$374)+COUNTIF('11月'!AC9:AD9,D$374)+COUNTIF('11月'!AH9:AI9,D$374)+COUNTIF('11月'!AM9:AN9,D$374)+COUNTIF('11月'!AR9:AS9,D$374)+COUNTIF('11月'!AW9:AX9,D$374)+COUNTIF('11月'!BB9:BC9,D$374)+COUNTIF('11月'!BG9:BH9,D$374)+COUNTIF('11月'!BL9:BM9,D$374)+COUNTIF('11月'!BQ9:BR9,D$374)+COUNTIF('11月'!BV9:BW9,D$374)+COUNTIF('11月'!CA9:CB9,D$374)+COUNTIF('11月'!CF9:CG9,D$374)+COUNTIF('11月'!CK9:CL9,D$374)+COUNTIF('11月'!CP9:CQ9,D$374)+COUNTIF('11月'!CU9:CV9,D$374)+COUNTIF('11月'!CZ9:DA9,D$374)+COUNTIF('11月'!DE9:DF9,D$374)+COUNTIF('11月'!DJ9:DK9,D$374)+COUNTIF('11月'!DO9:DP9,D$374)+COUNTIF('11月'!DT9:DU9,D$374)+COUNTIF('11月'!DY9:DZ9,D$374)+COUNTIF('11月'!ED9:EE9,D$374)+COUNTIF('11月'!EI9:EJ9,D$374)+COUNTIF('11月'!EN9:EO9,D$374)+COUNTIF('11月'!ES9:ET9,D$374)</f>
        <v>0</v>
      </c>
      <c r="E381" s="76">
        <f t="shared" si="121"/>
        <v>0</v>
      </c>
      <c r="F381" s="76">
        <f>COUNTIF('11月'!D9:E9,F$374)+COUNTIF('11月'!I9:J9,F$374)+COUNTIF('11月'!N9:O9,F$374)+COUNTIF('11月'!S9:T9,F$374)+COUNTIF('11月'!X9:Y9,F$374)+COUNTIF('11月'!AC9:AD9,F$374)+COUNTIF('11月'!AH9:AI9,F$374)+COUNTIF('11月'!AM9:AN9,F$374)+COUNTIF('11月'!AR9:AS9,F$374)+COUNTIF('11月'!AW9:AX9,F$374)+COUNTIF('11月'!BB9:BC9,F$374)+COUNTIF('11月'!BG9:BH9,F$374)+COUNTIF('11月'!BL9:BM9,F$374)+COUNTIF('11月'!BQ9:BR9,F$374)+COUNTIF('11月'!BV9:BW9,F$374)+COUNTIF('11月'!CA9:CB9,F$374)+COUNTIF('11月'!CF9:CG9,F$374)+COUNTIF('11月'!CK9:CL9,F$374)+COUNTIF('11月'!CP9:CQ9,F$374)+COUNTIF('11月'!CU9:CV9,F$374)+COUNTIF('11月'!CZ9:DA9,F$374)+COUNTIF('11月'!DE9:DF9,F$374)+COUNTIF('11月'!DJ9:DK9,F$374)+COUNTIF('11月'!DO9:DP9,F$374)+COUNTIF('11月'!DT9:DU9,F$374)+COUNTIF('11月'!DY9:DZ9,F$374)+COUNTIF('11月'!ED9:EE9,F$374)+COUNTIF('11月'!EI9:EJ9,F$374)+COUNTIF('11月'!EN9:EO9,F$374)+COUNTIF('11月'!ES9:ET9,F$374)</f>
        <v>0</v>
      </c>
      <c r="G381" s="76">
        <f t="shared" si="122"/>
        <v>0</v>
      </c>
      <c r="H381" s="76">
        <f>COUNTIF('11月'!D9:E9,H$374)+COUNTIF('11月'!I9:J9,H$374)+COUNTIF('11月'!N9:O9,H$374)+COUNTIF('11月'!S9:T9,H$374)+COUNTIF('11月'!X9:Y9,H$374)+COUNTIF('11月'!AC9:AD9,H$374)+COUNTIF('11月'!AH9:AI9,H$374)+COUNTIF('11月'!AM9:AN9,H$374)+COUNTIF('11月'!AR9:AS9,H$374)+COUNTIF('11月'!AW9:AX9,H$374)+COUNTIF('11月'!BB9:BC9,H$374)+COUNTIF('11月'!BG9:BH9,H$374)+COUNTIF('11月'!BL9:BM9,H$374)+COUNTIF('11月'!BQ9:BR9,H$374)+COUNTIF('11月'!BV9:BW9,H$374)+COUNTIF('11月'!CA9:CB9,H$374)+COUNTIF('11月'!CF9:CG9,H$374)+COUNTIF('11月'!CK9:CL9,H$374)+COUNTIF('11月'!CP9:CQ9,H$374)+COUNTIF('11月'!CU9:CV9,H$374)+COUNTIF('11月'!CZ9:DA9,H$374)+COUNTIF('11月'!DE9:DF9,H$374)+COUNTIF('11月'!DJ9:DK9,H$374)+COUNTIF('11月'!DO9:DP9,H$374)+COUNTIF('11月'!DT9:DU9,H$374)+COUNTIF('11月'!DY9:DZ9,H$374)+COUNTIF('11月'!ED9:EE9,H$374)+COUNTIF('11月'!EI9:EJ9,H$374)+COUNTIF('11月'!EN9:EO9,H$374)+COUNTIF('11月'!ES9:ET9,H$374)+COUNTIF('11月'!D9:E9,"渋谷-夜勤")+COUNTIF('11月'!I9:J9,"渋谷-夜勤")+COUNTIF('11月'!N9:O9,"渋谷-夜勤")+COUNTIF('11月'!S9:T9,"渋谷-夜勤")+COUNTIF('11月'!X9:Y9,"渋谷-夜勤")+COUNTIF('11月'!AC9:AD9,"渋谷-夜勤")+COUNTIF('11月'!AH9:AI9,"渋谷-夜勤")+COUNTIF('11月'!AM9:AN9,"渋谷-夜勤")+COUNTIF('11月'!AR9:AS9,"渋谷-夜勤")+COUNTIF('11月'!AW9:AX9,"渋谷-夜勤")+COUNTIF('11月'!BB9:BC9,"渋谷-夜勤")+COUNTIF('11月'!BG9:BH9,"渋谷-夜勤")+COUNTIF('11月'!BL9:BM9,"渋谷-夜勤")+COUNTIF('11月'!BQ9:BR9,"渋谷-夜勤")+COUNTIF('11月'!BV9:BW9,"渋谷-夜勤")+COUNTIF('11月'!CA9:CB9,"渋谷-夜勤")+COUNTIF('11月'!CF9:CG9,"渋谷-夜勤")+COUNTIF('11月'!CK9:CL9,"渋谷-夜勤")+COUNTIF('11月'!CP9:CQ9,"渋谷-夜勤")+COUNTIF('11月'!CU9:CV9,"渋谷-夜勤")+COUNTIF('11月'!CZ9:DA9,"渋谷-夜勤")+COUNTIF('11月'!DE9:DF9,"渋谷-夜勤")+COUNTIF('11月'!DJ9:DK9,"渋谷-夜勤")+COUNTIF('11月'!DO9:DP9,"渋谷-夜勤")+COUNTIF('11月'!DT9:DU9,"渋谷-夜勤")+COUNTIF('11月'!DY9:DZ9,"渋谷-夜勤")+COUNTIF('11月'!ED9:EE9,"渋谷-夜勤")+COUNTIF('11月'!EI9:EJ9,"渋谷-夜勤")+COUNTIF('11月'!EN9:EO9,"渋谷-夜勤")+COUNTIF('11月'!ES9:ET9,"渋谷-夜勤")</f>
        <v>0</v>
      </c>
      <c r="I381" s="76">
        <f t="shared" si="123"/>
        <v>0</v>
      </c>
      <c r="J381" s="76">
        <f>COUNTIF('11月'!D9:E9,J$374)+COUNTIF('11月'!I9:J9,J$374)+COUNTIF('11月'!N9:O9,J$374)+COUNTIF('11月'!S9:T9,J$374)+COUNTIF('11月'!X9:Y9,J$374)+COUNTIF('11月'!AC9:AD9,J$374)+COUNTIF('11月'!AH9:AI9,J$374)+COUNTIF('11月'!AM9:AN9,J$374)+COUNTIF('11月'!AR9:AS9,J$374)+COUNTIF('11月'!AW9:AX9,J$374)+COUNTIF('11月'!BB9:BC9,J$374)+COUNTIF('11月'!BG9:BH9,J$374)+COUNTIF('11月'!BL9:BM9,J$374)+COUNTIF('11月'!BQ9:BR9,J$374)+COUNTIF('11月'!BV9:BW9,J$374)+COUNTIF('11月'!CA9:CB9,J$374)+COUNTIF('11月'!CF9:CG9,J$374)+COUNTIF('11月'!CK9:CL9,J$374)+COUNTIF('11月'!CP9:CQ9,J$374)+COUNTIF('11月'!CU9:CV9,J$374)+COUNTIF('11月'!CZ9:DA9,J$374)+COUNTIF('11月'!DE9:DF9,J$374)+COUNTIF('11月'!DJ9:DK9,J$374)+COUNTIF('11月'!DO9:DP9,J$374)+COUNTIF('11月'!DT9:DU9,J$374)+COUNTIF('11月'!DY9:DZ9,J$374)+COUNTIF('11月'!ED9:EE9,J$374)+COUNTIF('11月'!EI9:EJ9,J$374)+COUNTIF('11月'!EN9:EO9,J$374)+COUNTIF('11月'!ES9:ET9,J$374)+COUNTIF('11月'!D9:E9,"六本木-夜勤")+COUNTIF('11月'!I9:J9,"六本木-夜勤")+COUNTIF('11月'!N9:O9,"六本木-夜勤")+COUNTIF('11月'!S9:T9,"六本木-夜勤")+COUNTIF('11月'!X9:Y9,"六本木-夜勤")+COUNTIF('11月'!AC9:AD9,"六本木-夜勤")+COUNTIF('11月'!AH9:AI9,"六本木-夜勤")+COUNTIF('11月'!AM9:AN9,"六本木-夜勤")+COUNTIF('11月'!AR9:AS9,"六本木-夜勤")+COUNTIF('11月'!AW9:AX9,"六本木-夜勤")+COUNTIF('11月'!BB9:BC9,"六本木-夜勤")+COUNTIF('11月'!BG9:BH9,"六本木-夜勤")+COUNTIF('11月'!BL9:BM9,"六本木-夜勤")+COUNTIF('11月'!BQ9:BR9,"六本木-夜勤")+COUNTIF('11月'!BV9:BW9,"六本木-夜勤")+COUNTIF('11月'!CA9:CB9,"六本木-夜勤")+COUNTIF('11月'!CF9:CG9,"六本木-夜勤")+COUNTIF('11月'!CK9:CL9,"六本木-夜勤")+COUNTIF('11月'!CP9:CQ9,"六本木-夜勤")+COUNTIF('11月'!CU9:CV9,"六本木-夜勤")+COUNTIF('11月'!CZ9:DA9,"六本木-夜勤")+COUNTIF('11月'!DE9:DF9,"六本木-夜勤")+COUNTIF('11月'!DJ9:DK9,"六本木-夜勤")+COUNTIF('11月'!DO9:DP9,"六本木-夜勤")+COUNTIF('11月'!DT9:DU9,"六本木-夜勤")+COUNTIF('11月'!DY9:DZ9,"六本木-夜勤")+COUNTIF('11月'!ED9:EE9,"六本木-夜勤")+COUNTIF('11月'!EI9:EJ9,"六本木-夜勤")+COUNTIF('11月'!EN9:EO9,"六本木-夜勤")+COUNTIF('11月'!ES9:ET9,"六本木-夜勤")+COUNTIF('11月'!D9:E9,"六本木ー夜勤")+COUNTIF('11月'!I9:J9,"六本木ー夜勤")+COUNTIF('11月'!N9:O9,"六本木ー夜勤")+COUNTIF('11月'!S9:T9,"六本木ー夜勤")+COUNTIF('11月'!X9:Y9,"六本木ー夜勤")+COUNTIF('11月'!AC9:AD9,"六本木ー夜勤")+COUNTIF('11月'!AH9:AI9,"六本木ー夜勤")+COUNTIF('11月'!AM9:AN9,"六本木ー夜勤")+COUNTIF('11月'!AR9:AS9,"六本木ー夜勤")+COUNTIF('11月'!AW9:AX9,"六本木ー夜勤")+COUNTIF('11月'!BB9:BC9,"六本木ー夜勤")+COUNTIF('11月'!BG9:BH9,"六本木ー夜勤")+COUNTIF('11月'!BL9:BM9,"六本木ー夜勤")+COUNTIF('11月'!BQ9:BR9,"六本木ー夜勤")+COUNTIF('11月'!BV9:BW9,"六本木ー夜勤")+COUNTIF('11月'!CA9:CB9,"六本木ー夜勤")+COUNTIF('11月'!CF9:CG9,"六本木ー夜勤")+COUNTIF('11月'!CK9:CL9,"六本木ー夜勤")+COUNTIF('11月'!CP9:CQ9,"六本木ー夜勤")+COUNTIF('11月'!CU9:CV9,"六本木ー夜勤")+COUNTIF('11月'!CZ9:DA9,"六本木ー夜勤")+COUNTIF('11月'!DE9:DF9,"六本木ー夜勤")+COUNTIF('11月'!DJ9:DK9,"六本木ー夜勤")+COUNTIF('11月'!DO9:DP9,"六本木ー夜勤")+COUNTIF('11月'!DT9:DU9,"六本木ー夜勤")+COUNTIF('11月'!DY9:DZ9,"六本木ー夜勤")+COUNTIF('11月'!ED9:EE9,"六本木ー夜勤")+COUNTIF('11月'!EI9:EJ9,"六本木ー夜勤")+COUNTIF('11月'!EN9:EO9,"六本木ー夜勤")+COUNTIF('11月'!ES9:ET9,"六本木ー夜勤")</f>
        <v>0</v>
      </c>
      <c r="K381" s="76">
        <f t="shared" si="124"/>
        <v>0</v>
      </c>
      <c r="L381" s="76">
        <f>COUNTIF('11月'!D9:E9,L$374)+COUNTIF('11月'!I9:J9,L$374)+COUNTIF('11月'!N9:O9,L$374)+COUNTIF('11月'!S9:T9,L$374)+COUNTIF('11月'!X9:Y9,L$374)+COUNTIF('11月'!AC9:AD9,L$374)+COUNTIF('11月'!AH9:AI9,L$374)+COUNTIF('11月'!AM9:AN9,L$374)+COUNTIF('11月'!AR9:AS9,L$374)+COUNTIF('11月'!AW9:AX9,L$374)+COUNTIF('11月'!BB9:BC9,L$374)+COUNTIF('11月'!BG9:BH9,L$374)+COUNTIF('11月'!BL9:BM9,L$374)+COUNTIF('11月'!BQ9:BR9,L$374)+COUNTIF('11月'!BV9:BW9,L$374)+COUNTIF('11月'!CA9:CB9,L$374)+COUNTIF('11月'!CF9:CG9,L$374)+COUNTIF('11月'!CK9:CL9,L$374)+COUNTIF('11月'!CP9:CQ9,L$374)+COUNTIF('11月'!CU9:CV9,L$374)+COUNTIF('11月'!CZ9:DA9,L$374)+COUNTIF('11月'!DE9:DF9,L$374)+COUNTIF('11月'!DJ9:DK9,L$374)+COUNTIF('11月'!DO9:DP9,L$374)+COUNTIF('11月'!DT9:DU9,L$374)+COUNTIF('11月'!DY9:DZ9,L$374)+COUNTIF('11月'!ED9:EE9,L$374)+COUNTIF('11月'!EI9:EJ9,L$374)+COUNTIF('11月'!EN9:EO9,L$374)+COUNTIF('11月'!ES9:ET9,L$374)</f>
        <v>0</v>
      </c>
      <c r="M381" s="76">
        <f t="shared" si="125"/>
        <v>0</v>
      </c>
      <c r="N381" s="76">
        <f>COUNTIF('11月'!D9:E9,N$374)+COUNTIF('11月'!I9:J9,N$374)+COUNTIF('11月'!N9:O9,N$374)+COUNTIF('11月'!S9:T9,N$374)+COUNTIF('11月'!X9:Y9,N$374)+COUNTIF('11月'!AC9:AD9,N$374)+COUNTIF('11月'!AH9:AI9,N$374)+COUNTIF('11月'!AM9:AN9,N$374)+COUNTIF('11月'!AR9:AS9,N$374)+COUNTIF('11月'!AW9:AX9,N$374)+COUNTIF('11月'!BB9:BC9,N$374)+COUNTIF('11月'!BG9:BH9,N$374)+COUNTIF('11月'!BL9:BM9,N$374)+COUNTIF('11月'!BQ9:BR9,N$374)+COUNTIF('11月'!BV9:BW9,N$374)+COUNTIF('11月'!CA9:CB9,N$374)+COUNTIF('11月'!CF9:CG9,N$374)+COUNTIF('11月'!CK9:CL9,N$374)+COUNTIF('11月'!CP9:CQ9,N$374)+COUNTIF('11月'!CU9:CV9,N$374)+COUNTIF('11月'!CZ9:DA9,N$374)+COUNTIF('11月'!DE9:DF9,N$374)+COUNTIF('11月'!DJ9:DK9,N$374)+COUNTIF('11月'!DO9:DP9,N$374)+COUNTIF('11月'!DT9:DU9,N$374)+COUNTIF('11月'!DY9:DZ9,N$374)+COUNTIF('11月'!ED9:EE9,N$374)+COUNTIF('11月'!EI9:EJ9,N$374)+COUNTIF('11月'!EN9:EO9,N$374)+COUNTIF('11月'!ES9:ET9,N$374)+COUNTIF('11月'!D9:E9,"三軒茶屋－夜勤")+COUNTIF('11月'!I9:J9,"三軒茶屋－夜勤")+COUNTIF('11月'!N9:O9,"三軒茶屋－夜勤")+COUNTIF('11月'!S9:T9,"三軒茶屋－夜勤")+COUNTIF('11月'!X9:Y9,"三軒茶屋－夜勤")+COUNTIF('11月'!AC9:AD9,"三軒茶屋－夜勤")+COUNTIF('11月'!AH9:AI9,"三軒茶屋－夜勤")+COUNTIF('11月'!AM9:AN9,"三軒茶屋－夜勤")+COUNTIF('11月'!AR9:AS9,"三軒茶屋－夜勤")+COUNTIF('11月'!AW9:AX9,"三軒茶屋－夜勤")+COUNTIF('11月'!BB9:BC9,"三軒茶屋－夜勤")+COUNTIF('11月'!BG9:BH9,"三軒茶屋－夜勤")+COUNTIF('11月'!BL9:BM9,"三軒茶屋－夜勤")+COUNTIF('11月'!BQ9:BR9,"三軒茶屋－夜勤")+COUNTIF('11月'!BV9:BW9,"三軒茶屋－夜勤")+COUNTIF('11月'!CA9:CB9,"三軒茶屋－夜勤")+COUNTIF('11月'!CF9:CG9,"三軒茶屋－夜勤")+COUNTIF('11月'!CK9:CL9,"三軒茶屋－夜勤")+COUNTIF('11月'!CP9:CQ9,"三軒茶屋－夜勤")+COUNTIF('11月'!CU9:CV9,"三軒茶屋－夜勤")+COUNTIF('11月'!CZ9:DA9,"三軒茶屋－夜勤")+COUNTIF('11月'!DE9:DF9,"三軒茶屋－夜勤")+COUNTIF('11月'!DJ9:DK9,"三軒茶屋－夜勤")+COUNTIF('11月'!DO9:DP9,"三軒茶屋－夜勤")+COUNTIF('11月'!DT9:DU9,"三軒茶屋－夜勤")+COUNTIF('11月'!DY9:DZ9,"三軒茶屋－夜勤")+COUNTIF('11月'!ED9:EE9,"三軒茶屋－夜勤")+COUNTIF('11月'!EI9:EJ9,"三軒茶屋－夜勤")+COUNTIF('11月'!EN9:EO9,"三軒茶屋－夜勤")+COUNTIF('11月'!ES9:ET9,"三軒茶屋－夜勤")</f>
        <v>0</v>
      </c>
      <c r="O381" s="76">
        <f t="shared" si="126"/>
        <v>0</v>
      </c>
      <c r="P381" s="76">
        <f>COUNTIF('11月'!D9:E9,P$374)+COUNTIF('11月'!I9:J9,P$374)+COUNTIF('11月'!N9:O9,P$374)+COUNTIF('11月'!S9:T9,P$374)+COUNTIF('11月'!X9:Y9,P$374)+COUNTIF('11月'!AC9:AD9,P$374)+COUNTIF('11月'!AH9:AI9,P$374)+COUNTIF('11月'!AM9:AN9,P$374)+COUNTIF('11月'!AR9:AS9,P$374)+COUNTIF('11月'!AW9:AX9,P$374)+COUNTIF('11月'!BB9:BC9,P$374)+COUNTIF('11月'!BG9:BH9,P$374)+COUNTIF('11月'!BL9:BM9,P$374)+COUNTIF('11月'!BQ9:BR9,P$374)+COUNTIF('11月'!BV9:BW9,P$374)+COUNTIF('11月'!CA9:CB9,P$374)+COUNTIF('11月'!CF9:CG9,P$374)+COUNTIF('11月'!CK9:CL9,P$374)+COUNTIF('11月'!CP9:CQ9,P$374)+COUNTIF('11月'!CU9:CV9,P$374)+COUNTIF('11月'!CZ9:DA9,P$374)+COUNTIF('11月'!DE9:DF9,P$374)+COUNTIF('11月'!DJ9:DK9,P$374)+COUNTIF('11月'!DO9:DP9,P$374)+COUNTIF('11月'!DT9:DU9,P$374)+COUNTIF('11月'!DY9:DZ9,P$374)+COUNTIF('11月'!ED9:EE9,P$374)+COUNTIF('11月'!EI9:EJ9,P$374)+COUNTIF('11月'!EN9:EO9,P$374)+COUNTIF('11月'!ES9:ET9,P$374)+COUNTIF('11月'!D9:E9,"荻窪ー夜勤")+COUNTIF('11月'!I9:J9,"荻窪ー夜勤")+COUNTIF('11月'!N9:O9,"荻窪ー夜勤")+COUNTIF('11月'!S9:T9,"荻窪ー夜勤")+COUNTIF('11月'!X9:Y9,"荻窪ー夜勤")+COUNTIF('11月'!AC9:AD9,"荻窪ー夜勤")+COUNTIF('11月'!AH9:AI9,"荻窪ー夜勤")+COUNTIF('11月'!AM9:AN9,"荻窪ー夜勤")+COUNTIF('11月'!AR9:AS9,"荻窪ー夜勤")+COUNTIF('11月'!AW9:AX9,"荻窪ー夜勤")+COUNTIF('11月'!BB9:BC9,"荻窪ー夜勤")+COUNTIF('11月'!BG9:BH9,"荻窪ー夜勤")+COUNTIF('11月'!BL9:BM9,"荻窪ー夜勤")+COUNTIF('11月'!BQ9:BR9,"荻窪ー夜勤")+COUNTIF('11月'!BV9:BW9,"荻窪ー夜勤")+COUNTIF('11月'!CA9:CB9,"荻窪ー夜勤")+COUNTIF('11月'!CF9:CG9,"荻窪ー夜勤")+COUNTIF('11月'!CK9:CL9,"荻窪ー夜勤")+COUNTIF('11月'!CP9:CQ9,"荻窪ー夜勤")+COUNTIF('11月'!CU9:CV9,"荻窪ー夜勤")+COUNTIF('11月'!CZ9:DA9,"荻窪ー夜勤")+COUNTIF('11月'!DE9:DF9,"荻窪ー夜勤")+COUNTIF('11月'!DJ9:DK9,"荻窪ー夜勤")+COUNTIF('11月'!DO9:DP9,"荻窪ー夜勤")+COUNTIF('11月'!DT9:DU9,"荻窪ー夜勤")+COUNTIF('11月'!DY9:DZ9,"荻窪ー夜勤")+COUNTIF('11月'!ED9:EE9,"荻窪ー夜勤")+COUNTIF('11月'!EI9:EJ9,"荻窪ー夜勤")+COUNTIF('11月'!EN9:EO9,"荻窪ー夜勤")+COUNTIF('11月'!ES9:ET9,"荻窪ー夜勤")</f>
        <v>0</v>
      </c>
      <c r="Q381" s="76">
        <f t="shared" si="127"/>
        <v>0</v>
      </c>
      <c r="R381" s="76">
        <f>COUNTIF('11月'!D9:E9,R$374)+COUNTIF('11月'!I9:J9,R$374)+COUNTIF('11月'!N9:O9,R$374)+COUNTIF('11月'!S9:T9,R$374)+COUNTIF('11月'!X9:Y9,R$374)+COUNTIF('11月'!AC9:AD9,R$374)+COUNTIF('11月'!AH9:AI9,R$374)+COUNTIF('11月'!AM9:AN9,R$374)+COUNTIF('11月'!AR9:AS9,R$374)+COUNTIF('11月'!AW9:AX9,R$374)+COUNTIF('11月'!BB9:BC9,R$374)+COUNTIF('11月'!BG9:BH9,R$374)+COUNTIF('11月'!BL9:BM9,R$374)+COUNTIF('11月'!BQ9:BR9,R$374)+COUNTIF('11月'!BV9:BW9,R$374)+COUNTIF('11月'!CA9:CB9,R$374)+COUNTIF('11月'!CF9:CG9,R$374)+COUNTIF('11月'!CK9:CL9,R$374)+COUNTIF('11月'!CP9:CQ9,R$374)+COUNTIF('11月'!CU9:CV9,R$374)+COUNTIF('11月'!CZ9:DA9,R$374)+COUNTIF('11月'!DE9:DF9,R$374)+COUNTIF('11月'!DJ9:DK9,R$374)+COUNTIF('11月'!DO9:DP9,R$374)+COUNTIF('11月'!DT9:DU9,R$374)+COUNTIF('11月'!DY9:DZ9,R$374)+COUNTIF('11月'!ED9:EE9,R$374)+COUNTIF('11月'!EI9:EJ9,R$374)+COUNTIF('11月'!EN9:EO9,R$374)+COUNTIF('11月'!ES9:ET9,R$374)</f>
        <v>0</v>
      </c>
      <c r="S381" s="76">
        <f t="shared" si="128"/>
        <v>0</v>
      </c>
      <c r="T381" s="76">
        <f>COUNTIF('11月'!D9:E9,T$374)+COUNTIF('11月'!I9:J9,T$374)+COUNTIF('11月'!N9:O9,T$374)+COUNTIF('11月'!S9:T9,T$374)+COUNTIF('11月'!X9:Y9,T$374)+COUNTIF('11月'!AC9:AD9,T$374)+COUNTIF('11月'!AH9:AI9,T$374)+COUNTIF('11月'!AM9:AN9,T$374)+COUNTIF('11月'!AR9:AS9,T$374)+COUNTIF('11月'!AW9:AX9,T$374)+COUNTIF('11月'!BB9:BC9,T$374)+COUNTIF('11月'!BG9:BH9,T$374)+COUNTIF('11月'!BL9:BM9,T$374)+COUNTIF('11月'!BQ9:BR9,T$374)+COUNTIF('11月'!BV9:BW9,T$374)+COUNTIF('11月'!CA9:CB9,T$374)+COUNTIF('11月'!CF9:CG9,T$374)+COUNTIF('11月'!CK9:CL9,T$374)+COUNTIF('11月'!CP9:CQ9,T$374)+COUNTIF('11月'!CU9:CV9,T$374)+COUNTIF('11月'!CZ9:DA9,T$374)+COUNTIF('11月'!DE9:DF9,T$374)+COUNTIF('11月'!DJ9:DK9,T$374)+COUNTIF('11月'!DO9:DP9,T$374)+COUNTIF('11月'!DT9:DU9,T$374)+COUNTIF('11月'!DY9:DZ9,T$374)+COUNTIF('11月'!ED9:EE9,T$374)+COUNTIF('11月'!EI9:EJ9,T$374)+COUNTIF('11月'!EN9:EO9,T$374)+COUNTIF('11月'!ES9:ET9,T$374)</f>
        <v>0</v>
      </c>
      <c r="U381" s="76">
        <f t="shared" si="129"/>
        <v>0</v>
      </c>
      <c r="V381" s="76">
        <f>COUNTIF('11月'!D9:E9,V$374)+COUNTIF('11月'!I9:J9,V$374)+COUNTIF('11月'!N9:O9,V$374)+COUNTIF('11月'!S9:T9,V$374)+COUNTIF('11月'!X9:Y9,V$374)+COUNTIF('11月'!AC9:AD9,V$374)+COUNTIF('11月'!AH9:AI9,V$374)+COUNTIF('11月'!AM9:AN9,V$374)+COUNTIF('11月'!AR9:AS9,V$374)+COUNTIF('11月'!AW9:AX9,V$374)+COUNTIF('11月'!BB9:BC9,V$374)+COUNTIF('11月'!BG9:BH9,V$374)+COUNTIF('11月'!BL9:BM9,V$374)+COUNTIF('11月'!BQ9:BR9,V$374)+COUNTIF('11月'!BV9:BW9,V$374)+COUNTIF('11月'!CA9:CB9,V$374)+COUNTIF('11月'!CF9:CG9,V$374)+COUNTIF('11月'!CK9:CL9,V$374)+COUNTIF('11月'!CP9:CQ9,V$374)+COUNTIF('11月'!CU9:CV9,V$374)+COUNTIF('11月'!CZ9:DA9,V$374)+COUNTIF('11月'!DE9:DF9,V$374)+COUNTIF('11月'!DJ9:DK9,V$374)+COUNTIF('11月'!DO9:DP9,V$374)+COUNTIF('11月'!DT9:DU9,V$374)+COUNTIF('11月'!DY9:DZ9,V$374)+COUNTIF('11月'!ED9:EE9,V$374)+COUNTIF('11月'!EI9:EJ9,V$374)+COUNTIF('11月'!EN9:EO9,V$374)+COUNTIF('11月'!ES9:ET9,V$374)</f>
        <v>0</v>
      </c>
      <c r="W381" s="76">
        <f t="shared" si="130"/>
        <v>0</v>
      </c>
      <c r="X381" s="76">
        <f>COUNTIF('11月'!D9:E9,X$374)+COUNTIF('11月'!I9:J9,X$374)+COUNTIF('11月'!N9:O9,X$374)+COUNTIF('11月'!S9:T9,X$374)+COUNTIF('11月'!X9:Y9,X$374)+COUNTIF('11月'!AC9:AD9,X$374)+COUNTIF('11月'!AH9:AI9,X$374)+COUNTIF('11月'!AM9:AN9,X$374)+COUNTIF('11月'!AR9:AS9,X$374)+COUNTIF('11月'!AW9:AX9,X$374)+COUNTIF('11月'!BB9:BC9,X$374)+COUNTIF('11月'!BG9:BH9,X$374)+COUNTIF('11月'!BL9:BM9,X$374)+COUNTIF('11月'!BQ9:BR9,X$374)+COUNTIF('11月'!BV9:BW9,X$374)+COUNTIF('11月'!CA9:CB9,X$374)+COUNTIF('11月'!CF9:CG9,X$374)+COUNTIF('11月'!CK9:CL9,X$374)+COUNTIF('11月'!CP9:CQ9,X$374)+COUNTIF('11月'!CU9:CV9,X$374)+COUNTIF('11月'!CZ9:DA9,X$374)+COUNTIF('11月'!DE9:DF9,X$374)+COUNTIF('11月'!DJ9:DK9,X$374)+COUNTIF('11月'!DO9:DP9,X$374)+COUNTIF('11月'!DT9:DU9,X$374)+COUNTIF('11月'!DY9:DZ9,X$374)+COUNTIF('11月'!ED9:EE9,X$374)+COUNTIF('11月'!EI9:EJ9,X$374)+COUNTIF('11月'!EN9:EO9,X$374)+COUNTIF('11月'!ES9:ET9,X$374)</f>
        <v>0</v>
      </c>
      <c r="Y381" s="76">
        <f t="shared" si="131"/>
        <v>0</v>
      </c>
    </row>
    <row r="382" spans="1:25" ht="18" customHeight="1">
      <c r="A382" s="76">
        <v>7</v>
      </c>
      <c r="B382" s="76">
        <f>COUNTIF('11月'!D10:E10,B$374)+COUNTIF('11月'!I10:J10,B$374)+COUNTIF('11月'!N10:O10,B$374)+COUNTIF('11月'!S10:T10,B$374)+COUNTIF('11月'!X10:Y10,B$374)+COUNTIF('11月'!AC10:AD10,B$374)+COUNTIF('11月'!AH10:AI10,B$374)+COUNTIF('11月'!AM10:AN10,B$374)+COUNTIF('11月'!AR10:AS10,B$374)+COUNTIF('11月'!AW10:AX10,B$374)+COUNTIF('11月'!BB10:BC10,B$374)+COUNTIF('11月'!BG10:BH10,B$374)+COUNTIF('11月'!BL10:BM10,B$374)+COUNTIF('11月'!BQ10:BR10,B$374)+COUNTIF('11月'!BV10:BW10,B$374)+COUNTIF('11月'!CA10:CB10,B$374)+COUNTIF('11月'!CF10:CG10,B$374)+COUNTIF('11月'!CK10:CL10,B$374)+COUNTIF('11月'!CP10:CQ10,B$374)+COUNTIF('11月'!CU10:CV10,B$374)+COUNTIF('11月'!CZ10:DA10,B$374)+COUNTIF('11月'!DE10:DF10,B$374)+COUNTIF('11月'!DJ10:DK10,B$374)+COUNTIF('11月'!DO10:DP10,B$374)+COUNTIF('11月'!DT10:DU10,B$374)+COUNTIF('11月'!DY10:DZ10,B$374)+COUNTIF('11月'!ED10:EE10,B$374)+COUNTIF('11月'!EI10:EJ10,B$374)+COUNTIF('11月'!EN10:EO10,B$374)+COUNTIF('11月'!ES10:ET10,B$374)</f>
        <v>0</v>
      </c>
      <c r="C382" s="76">
        <f t="shared" si="120"/>
        <v>0</v>
      </c>
      <c r="D382" s="76">
        <f>COUNTIF('11月'!D10:E10,D$374)+COUNTIF('11月'!I10:J10,D$374)+COUNTIF('11月'!N10:O10,D$374)+COUNTIF('11月'!S10:T10,D$374)+COUNTIF('11月'!X10:Y10,D$374)+COUNTIF('11月'!AC10:AD10,D$374)+COUNTIF('11月'!AH10:AI10,D$374)+COUNTIF('11月'!AM10:AN10,D$374)+COUNTIF('11月'!AR10:AS10,D$374)+COUNTIF('11月'!AW10:AX10,D$374)+COUNTIF('11月'!BB10:BC10,D$374)+COUNTIF('11月'!BG10:BH10,D$374)+COUNTIF('11月'!BL10:BM10,D$374)+COUNTIF('11月'!BQ10:BR10,D$374)+COUNTIF('11月'!BV10:BW10,D$374)+COUNTIF('11月'!CA10:CB10,D$374)+COUNTIF('11月'!CF10:CG10,D$374)+COUNTIF('11月'!CK10:CL10,D$374)+COUNTIF('11月'!CP10:CQ10,D$374)+COUNTIF('11月'!CU10:CV10,D$374)+COUNTIF('11月'!CZ10:DA10,D$374)+COUNTIF('11月'!DE10:DF10,D$374)+COUNTIF('11月'!DJ10:DK10,D$374)+COUNTIF('11月'!DO10:DP10,D$374)+COUNTIF('11月'!DT10:DU10,D$374)+COUNTIF('11月'!DY10:DZ10,D$374)+COUNTIF('11月'!ED10:EE10,D$374)+COUNTIF('11月'!EI10:EJ10,D$374)+COUNTIF('11月'!EN10:EO10,D$374)+COUNTIF('11月'!ES10:ET10,D$374)</f>
        <v>0</v>
      </c>
      <c r="E382" s="76">
        <f t="shared" si="121"/>
        <v>0</v>
      </c>
      <c r="F382" s="76">
        <f>COUNTIF('11月'!D10:E10,F$374)+COUNTIF('11月'!I10:J10,F$374)+COUNTIF('11月'!N10:O10,F$374)+COUNTIF('11月'!S10:T10,F$374)+COUNTIF('11月'!X10:Y10,F$374)+COUNTIF('11月'!AC10:AD10,F$374)+COUNTIF('11月'!AH10:AI10,F$374)+COUNTIF('11月'!AM10:AN10,F$374)+COUNTIF('11月'!AR10:AS10,F$374)+COUNTIF('11月'!AW10:AX10,F$374)+COUNTIF('11月'!BB10:BC10,F$374)+COUNTIF('11月'!BG10:BH10,F$374)+COUNTIF('11月'!BL10:BM10,F$374)+COUNTIF('11月'!BQ10:BR10,F$374)+COUNTIF('11月'!BV10:BW10,F$374)+COUNTIF('11月'!CA10:CB10,F$374)+COUNTIF('11月'!CF10:CG10,F$374)+COUNTIF('11月'!CK10:CL10,F$374)+COUNTIF('11月'!CP10:CQ10,F$374)+COUNTIF('11月'!CU10:CV10,F$374)+COUNTIF('11月'!CZ10:DA10,F$374)+COUNTIF('11月'!DE10:DF10,F$374)+COUNTIF('11月'!DJ10:DK10,F$374)+COUNTIF('11月'!DO10:DP10,F$374)+COUNTIF('11月'!DT10:DU10,F$374)+COUNTIF('11月'!DY10:DZ10,F$374)+COUNTIF('11月'!ED10:EE10,F$374)+COUNTIF('11月'!EI10:EJ10,F$374)+COUNTIF('11月'!EN10:EO10,F$374)+COUNTIF('11月'!ES10:ET10,F$374)</f>
        <v>0</v>
      </c>
      <c r="G382" s="76">
        <f t="shared" si="122"/>
        <v>0</v>
      </c>
      <c r="H382" s="76">
        <f>COUNTIF('11月'!D10:E10,H$374)+COUNTIF('11月'!I10:J10,H$374)+COUNTIF('11月'!N10:O10,H$374)+COUNTIF('11月'!S10:T10,H$374)+COUNTIF('11月'!X10:Y10,H$374)+COUNTIF('11月'!AC10:AD10,H$374)+COUNTIF('11月'!AH10:AI10,H$374)+COUNTIF('11月'!AM10:AN10,H$374)+COUNTIF('11月'!AR10:AS10,H$374)+COUNTIF('11月'!AW10:AX10,H$374)+COUNTIF('11月'!BB10:BC10,H$374)+COUNTIF('11月'!BG10:BH10,H$374)+COUNTIF('11月'!BL10:BM10,H$374)+COUNTIF('11月'!BQ10:BR10,H$374)+COUNTIF('11月'!BV10:BW10,H$374)+COUNTIF('11月'!CA10:CB10,H$374)+COUNTIF('11月'!CF10:CG10,H$374)+COUNTIF('11月'!CK10:CL10,H$374)+COUNTIF('11月'!CP10:CQ10,H$374)+COUNTIF('11月'!CU10:CV10,H$374)+COUNTIF('11月'!CZ10:DA10,H$374)+COUNTIF('11月'!DE10:DF10,H$374)+COUNTIF('11月'!DJ10:DK10,H$374)+COUNTIF('11月'!DO10:DP10,H$374)+COUNTIF('11月'!DT10:DU10,H$374)+COUNTIF('11月'!DY10:DZ10,H$374)+COUNTIF('11月'!ED10:EE10,H$374)+COUNTIF('11月'!EI10:EJ10,H$374)+COUNTIF('11月'!EN10:EO10,H$374)+COUNTIF('11月'!ES10:ET10,H$374)+COUNTIF('11月'!D10:E10,"渋谷-夜勤")+COUNTIF('11月'!I10:J10,"渋谷-夜勤")+COUNTIF('11月'!N10:O10,"渋谷-夜勤")+COUNTIF('11月'!S10:T10,"渋谷-夜勤")+COUNTIF('11月'!X10:Y10,"渋谷-夜勤")+COUNTIF('11月'!AC10:AD10,"渋谷-夜勤")+COUNTIF('11月'!AH10:AI10,"渋谷-夜勤")+COUNTIF('11月'!AM10:AN10,"渋谷-夜勤")+COUNTIF('11月'!AR10:AS10,"渋谷-夜勤")+COUNTIF('11月'!AW10:AX10,"渋谷-夜勤")+COUNTIF('11月'!BB10:BC10,"渋谷-夜勤")+COUNTIF('11月'!BG10:BH10,"渋谷-夜勤")+COUNTIF('11月'!BL10:BM10,"渋谷-夜勤")+COUNTIF('11月'!BQ10:BR10,"渋谷-夜勤")+COUNTIF('11月'!BV10:BW10,"渋谷-夜勤")+COUNTIF('11月'!CA10:CB10,"渋谷-夜勤")+COUNTIF('11月'!CF10:CG10,"渋谷-夜勤")+COUNTIF('11月'!CK10:CL10,"渋谷-夜勤")+COUNTIF('11月'!CP10:CQ10,"渋谷-夜勤")+COUNTIF('11月'!CU10:CV10,"渋谷-夜勤")+COUNTIF('11月'!CZ10:DA10,"渋谷-夜勤")+COUNTIF('11月'!DE10:DF10,"渋谷-夜勤")+COUNTIF('11月'!DJ10:DK10,"渋谷-夜勤")+COUNTIF('11月'!DO10:DP10,"渋谷-夜勤")+COUNTIF('11月'!DT10:DU10,"渋谷-夜勤")+COUNTIF('11月'!DY10:DZ10,"渋谷-夜勤")+COUNTIF('11月'!ED10:EE10,"渋谷-夜勤")+COUNTIF('11月'!EI10:EJ10,"渋谷-夜勤")+COUNTIF('11月'!EN10:EO10,"渋谷-夜勤")+COUNTIF('11月'!ES10:ET10,"渋谷-夜勤")</f>
        <v>0</v>
      </c>
      <c r="I382" s="76">
        <f t="shared" si="123"/>
        <v>0</v>
      </c>
      <c r="J382" s="76">
        <f>COUNTIF('11月'!D10:E10,J$374)+COUNTIF('11月'!I10:J10,J$374)+COUNTIF('11月'!N10:O10,J$374)+COUNTIF('11月'!S10:T10,J$374)+COUNTIF('11月'!X10:Y10,J$374)+COUNTIF('11月'!AC10:AD10,J$374)+COUNTIF('11月'!AH10:AI10,J$374)+COUNTIF('11月'!AM10:AN10,J$374)+COUNTIF('11月'!AR10:AS10,J$374)+COUNTIF('11月'!AW10:AX10,J$374)+COUNTIF('11月'!BB10:BC10,J$374)+COUNTIF('11月'!BG10:BH10,J$374)+COUNTIF('11月'!BL10:BM10,J$374)+COUNTIF('11月'!BQ10:BR10,J$374)+COUNTIF('11月'!BV10:BW10,J$374)+COUNTIF('11月'!CA10:CB10,J$374)+COUNTIF('11月'!CF10:CG10,J$374)+COUNTIF('11月'!CK10:CL10,J$374)+COUNTIF('11月'!CP10:CQ10,J$374)+COUNTIF('11月'!CU10:CV10,J$374)+COUNTIF('11月'!CZ10:DA10,J$374)+COUNTIF('11月'!DE10:DF10,J$374)+COUNTIF('11月'!DJ10:DK10,J$374)+COUNTIF('11月'!DO10:DP10,J$374)+COUNTIF('11月'!DT10:DU10,J$374)+COUNTIF('11月'!DY10:DZ10,J$374)+COUNTIF('11月'!ED10:EE10,J$374)+COUNTIF('11月'!EI10:EJ10,J$374)+COUNTIF('11月'!EN10:EO10,J$374)+COUNTIF('11月'!ES10:ET10,J$374)+COUNTIF('11月'!D10:E10,"六本木-夜勤")+COUNTIF('11月'!I10:J10,"六本木-夜勤")+COUNTIF('11月'!N10:O10,"六本木-夜勤")+COUNTIF('11月'!S10:T10,"六本木-夜勤")+COUNTIF('11月'!X10:Y10,"六本木-夜勤")+COUNTIF('11月'!AC10:AD10,"六本木-夜勤")+COUNTIF('11月'!AH10:AI10,"六本木-夜勤")+COUNTIF('11月'!AM10:AN10,"六本木-夜勤")+COUNTIF('11月'!AR10:AS10,"六本木-夜勤")+COUNTIF('11月'!AW10:AX10,"六本木-夜勤")+COUNTIF('11月'!BB10:BC10,"六本木-夜勤")+COUNTIF('11月'!BG10:BH10,"六本木-夜勤")+COUNTIF('11月'!BL10:BM10,"六本木-夜勤")+COUNTIF('11月'!BQ10:BR10,"六本木-夜勤")+COUNTIF('11月'!BV10:BW10,"六本木-夜勤")+COUNTIF('11月'!CA10:CB10,"六本木-夜勤")+COUNTIF('11月'!CF10:CG10,"六本木-夜勤")+COUNTIF('11月'!CK10:CL10,"六本木-夜勤")+COUNTIF('11月'!CP10:CQ10,"六本木-夜勤")+COUNTIF('11月'!CU10:CV10,"六本木-夜勤")+COUNTIF('11月'!CZ10:DA10,"六本木-夜勤")+COUNTIF('11月'!DE10:DF10,"六本木-夜勤")+COUNTIF('11月'!DJ10:DK10,"六本木-夜勤")+COUNTIF('11月'!DO10:DP10,"六本木-夜勤")+COUNTIF('11月'!DT10:DU10,"六本木-夜勤")+COUNTIF('11月'!DY10:DZ10,"六本木-夜勤")+COUNTIF('11月'!ED10:EE10,"六本木-夜勤")+COUNTIF('11月'!EI10:EJ10,"六本木-夜勤")+COUNTIF('11月'!EN10:EO10,"六本木-夜勤")+COUNTIF('11月'!ES10:ET10,"六本木-夜勤")+COUNTIF('11月'!D10:E10,"六本木ー夜勤")+COUNTIF('11月'!I10:J10,"六本木ー夜勤")+COUNTIF('11月'!N10:O10,"六本木ー夜勤")+COUNTIF('11月'!S10:T10,"六本木ー夜勤")+COUNTIF('11月'!X10:Y10,"六本木ー夜勤")+COUNTIF('11月'!AC10:AD10,"六本木ー夜勤")+COUNTIF('11月'!AH10:AI10,"六本木ー夜勤")+COUNTIF('11月'!AM10:AN10,"六本木ー夜勤")+COUNTIF('11月'!AR10:AS10,"六本木ー夜勤")+COUNTIF('11月'!AW10:AX10,"六本木ー夜勤")+COUNTIF('11月'!BB10:BC10,"六本木ー夜勤")+COUNTIF('11月'!BG10:BH10,"六本木ー夜勤")+COUNTIF('11月'!BL10:BM10,"六本木ー夜勤")+COUNTIF('11月'!BQ10:BR10,"六本木ー夜勤")+COUNTIF('11月'!BV10:BW10,"六本木ー夜勤")+COUNTIF('11月'!CA10:CB10,"六本木ー夜勤")+COUNTIF('11月'!CF10:CG10,"六本木ー夜勤")+COUNTIF('11月'!CK10:CL10,"六本木ー夜勤")+COUNTIF('11月'!CP10:CQ10,"六本木ー夜勤")+COUNTIF('11月'!CU10:CV10,"六本木ー夜勤")+COUNTIF('11月'!CZ10:DA10,"六本木ー夜勤")+COUNTIF('11月'!DE10:DF10,"六本木ー夜勤")+COUNTIF('11月'!DJ10:DK10,"六本木ー夜勤")+COUNTIF('11月'!DO10:DP10,"六本木ー夜勤")+COUNTIF('11月'!DT10:DU10,"六本木ー夜勤")+COUNTIF('11月'!DY10:DZ10,"六本木ー夜勤")+COUNTIF('11月'!ED10:EE10,"六本木ー夜勤")+COUNTIF('11月'!EI10:EJ10,"六本木ー夜勤")+COUNTIF('11月'!EN10:EO10,"六本木ー夜勤")+COUNTIF('11月'!ES10:ET10,"六本木ー夜勤")</f>
        <v>0</v>
      </c>
      <c r="K382" s="76">
        <f t="shared" si="124"/>
        <v>0</v>
      </c>
      <c r="L382" s="76">
        <f>COUNTIF('11月'!D10:E10,L$374)+COUNTIF('11月'!I10:J10,L$374)+COUNTIF('11月'!N10:O10,L$374)+COUNTIF('11月'!S10:T10,L$374)+COUNTIF('11月'!X10:Y10,L$374)+COUNTIF('11月'!AC10:AD10,L$374)+COUNTIF('11月'!AH10:AI10,L$374)+COUNTIF('11月'!AM10:AN10,L$374)+COUNTIF('11月'!AR10:AS10,L$374)+COUNTIF('11月'!AW10:AX10,L$374)+COUNTIF('11月'!BB10:BC10,L$374)+COUNTIF('11月'!BG10:BH10,L$374)+COUNTIF('11月'!BL10:BM10,L$374)+COUNTIF('11月'!BQ10:BR10,L$374)+COUNTIF('11月'!BV10:BW10,L$374)+COUNTIF('11月'!CA10:CB10,L$374)+COUNTIF('11月'!CF10:CG10,L$374)+COUNTIF('11月'!CK10:CL10,L$374)+COUNTIF('11月'!CP10:CQ10,L$374)+COUNTIF('11月'!CU10:CV10,L$374)+COUNTIF('11月'!CZ10:DA10,L$374)+COUNTIF('11月'!DE10:DF10,L$374)+COUNTIF('11月'!DJ10:DK10,L$374)+COUNTIF('11月'!DO10:DP10,L$374)+COUNTIF('11月'!DT10:DU10,L$374)+COUNTIF('11月'!DY10:DZ10,L$374)+COUNTIF('11月'!ED10:EE10,L$374)+COUNTIF('11月'!EI10:EJ10,L$374)+COUNTIF('11月'!EN10:EO10,L$374)+COUNTIF('11月'!ES10:ET10,L$374)</f>
        <v>0</v>
      </c>
      <c r="M382" s="76">
        <f t="shared" si="125"/>
        <v>0</v>
      </c>
      <c r="N382" s="76">
        <f>COUNTIF('11月'!D10:E10,N$374)+COUNTIF('11月'!I10:J10,N$374)+COUNTIF('11月'!N10:O10,N$374)+COUNTIF('11月'!S10:T10,N$374)+COUNTIF('11月'!X10:Y10,N$374)+COUNTIF('11月'!AC10:AD10,N$374)+COUNTIF('11月'!AH10:AI10,N$374)+COUNTIF('11月'!AM10:AN10,N$374)+COUNTIF('11月'!AR10:AS10,N$374)+COUNTIF('11月'!AW10:AX10,N$374)+COUNTIF('11月'!BB10:BC10,N$374)+COUNTIF('11月'!BG10:BH10,N$374)+COUNTIF('11月'!BL10:BM10,N$374)+COUNTIF('11月'!BQ10:BR10,N$374)+COUNTIF('11月'!BV10:BW10,N$374)+COUNTIF('11月'!CA10:CB10,N$374)+COUNTIF('11月'!CF10:CG10,N$374)+COUNTIF('11月'!CK10:CL10,N$374)+COUNTIF('11月'!CP10:CQ10,N$374)+COUNTIF('11月'!CU10:CV10,N$374)+COUNTIF('11月'!CZ10:DA10,N$374)+COUNTIF('11月'!DE10:DF10,N$374)+COUNTIF('11月'!DJ10:DK10,N$374)+COUNTIF('11月'!DO10:DP10,N$374)+COUNTIF('11月'!DT10:DU10,N$374)+COUNTIF('11月'!DY10:DZ10,N$374)+COUNTIF('11月'!ED10:EE10,N$374)+COUNTIF('11月'!EI10:EJ10,N$374)+COUNTIF('11月'!EN10:EO10,N$374)+COUNTIF('11月'!ES10:ET10,N$374)+COUNTIF('11月'!D10:E10,"三軒茶屋－夜勤")+COUNTIF('11月'!I10:J10,"三軒茶屋－夜勤")+COUNTIF('11月'!N10:O10,"三軒茶屋－夜勤")+COUNTIF('11月'!S10:T10,"三軒茶屋－夜勤")+COUNTIF('11月'!X10:Y10,"三軒茶屋－夜勤")+COUNTIF('11月'!AC10:AD10,"三軒茶屋－夜勤")+COUNTIF('11月'!AH10:AI10,"三軒茶屋－夜勤")+COUNTIF('11月'!AM10:AN10,"三軒茶屋－夜勤")+COUNTIF('11月'!AR10:AS10,"三軒茶屋－夜勤")+COUNTIF('11月'!AW10:AX10,"三軒茶屋－夜勤")+COUNTIF('11月'!BB10:BC10,"三軒茶屋－夜勤")+COUNTIF('11月'!BG10:BH10,"三軒茶屋－夜勤")+COUNTIF('11月'!BL10:BM10,"三軒茶屋－夜勤")+COUNTIF('11月'!BQ10:BR10,"三軒茶屋－夜勤")+COUNTIF('11月'!BV10:BW10,"三軒茶屋－夜勤")+COUNTIF('11月'!CA10:CB10,"三軒茶屋－夜勤")+COUNTIF('11月'!CF10:CG10,"三軒茶屋－夜勤")+COUNTIF('11月'!CK10:CL10,"三軒茶屋－夜勤")+COUNTIF('11月'!CP10:CQ10,"三軒茶屋－夜勤")+COUNTIF('11月'!CU10:CV10,"三軒茶屋－夜勤")+COUNTIF('11月'!CZ10:DA10,"三軒茶屋－夜勤")+COUNTIF('11月'!DE10:DF10,"三軒茶屋－夜勤")+COUNTIF('11月'!DJ10:DK10,"三軒茶屋－夜勤")+COUNTIF('11月'!DO10:DP10,"三軒茶屋－夜勤")+COUNTIF('11月'!DT10:DU10,"三軒茶屋－夜勤")+COUNTIF('11月'!DY10:DZ10,"三軒茶屋－夜勤")+COUNTIF('11月'!ED10:EE10,"三軒茶屋－夜勤")+COUNTIF('11月'!EI10:EJ10,"三軒茶屋－夜勤")+COUNTIF('11月'!EN10:EO10,"三軒茶屋－夜勤")+COUNTIF('11月'!ES10:ET10,"三軒茶屋－夜勤")</f>
        <v>0</v>
      </c>
      <c r="O382" s="76">
        <f t="shared" si="126"/>
        <v>0</v>
      </c>
      <c r="P382" s="76">
        <f>COUNTIF('11月'!D10:E10,P$374)+COUNTIF('11月'!I10:J10,P$374)+COUNTIF('11月'!N10:O10,P$374)+COUNTIF('11月'!S10:T10,P$374)+COUNTIF('11月'!X10:Y10,P$374)+COUNTIF('11月'!AC10:AD10,P$374)+COUNTIF('11月'!AH10:AI10,P$374)+COUNTIF('11月'!AM10:AN10,P$374)+COUNTIF('11月'!AR10:AS10,P$374)+COUNTIF('11月'!AW10:AX10,P$374)+COUNTIF('11月'!BB10:BC10,P$374)+COUNTIF('11月'!BG10:BH10,P$374)+COUNTIF('11月'!BL10:BM10,P$374)+COUNTIF('11月'!BQ10:BR10,P$374)+COUNTIF('11月'!BV10:BW10,P$374)+COUNTIF('11月'!CA10:CB10,P$374)+COUNTIF('11月'!CF10:CG10,P$374)+COUNTIF('11月'!CK10:CL10,P$374)+COUNTIF('11月'!CP10:CQ10,P$374)+COUNTIF('11月'!CU10:CV10,P$374)+COUNTIF('11月'!CZ10:DA10,P$374)+COUNTIF('11月'!DE10:DF10,P$374)+COUNTIF('11月'!DJ10:DK10,P$374)+COUNTIF('11月'!DO10:DP10,P$374)+COUNTIF('11月'!DT10:DU10,P$374)+COUNTIF('11月'!DY10:DZ10,P$374)+COUNTIF('11月'!ED10:EE10,P$374)+COUNTIF('11月'!EI10:EJ10,P$374)+COUNTIF('11月'!EN10:EO10,P$374)+COUNTIF('11月'!ES10:ET10,P$374)+COUNTIF('11月'!D10:E10,"荻窪ー夜勤")+COUNTIF('11月'!I10:J10,"荻窪ー夜勤")+COUNTIF('11月'!N10:O10,"荻窪ー夜勤")+COUNTIF('11月'!S10:T10,"荻窪ー夜勤")+COUNTIF('11月'!X10:Y10,"荻窪ー夜勤")+COUNTIF('11月'!AC10:AD10,"荻窪ー夜勤")+COUNTIF('11月'!AH10:AI10,"荻窪ー夜勤")+COUNTIF('11月'!AM10:AN10,"荻窪ー夜勤")+COUNTIF('11月'!AR10:AS10,"荻窪ー夜勤")+COUNTIF('11月'!AW10:AX10,"荻窪ー夜勤")+COUNTIF('11月'!BB10:BC10,"荻窪ー夜勤")+COUNTIF('11月'!BG10:BH10,"荻窪ー夜勤")+COUNTIF('11月'!BL10:BM10,"荻窪ー夜勤")+COUNTIF('11月'!BQ10:BR10,"荻窪ー夜勤")+COUNTIF('11月'!BV10:BW10,"荻窪ー夜勤")+COUNTIF('11月'!CA10:CB10,"荻窪ー夜勤")+COUNTIF('11月'!CF10:CG10,"荻窪ー夜勤")+COUNTIF('11月'!CK10:CL10,"荻窪ー夜勤")+COUNTIF('11月'!CP10:CQ10,"荻窪ー夜勤")+COUNTIF('11月'!CU10:CV10,"荻窪ー夜勤")+COUNTIF('11月'!CZ10:DA10,"荻窪ー夜勤")+COUNTIF('11月'!DE10:DF10,"荻窪ー夜勤")+COUNTIF('11月'!DJ10:DK10,"荻窪ー夜勤")+COUNTIF('11月'!DO10:DP10,"荻窪ー夜勤")+COUNTIF('11月'!DT10:DU10,"荻窪ー夜勤")+COUNTIF('11月'!DY10:DZ10,"荻窪ー夜勤")+COUNTIF('11月'!ED10:EE10,"荻窪ー夜勤")+COUNTIF('11月'!EI10:EJ10,"荻窪ー夜勤")+COUNTIF('11月'!EN10:EO10,"荻窪ー夜勤")+COUNTIF('11月'!ES10:ET10,"荻窪ー夜勤")</f>
        <v>0</v>
      </c>
      <c r="Q382" s="76">
        <f t="shared" si="127"/>
        <v>0</v>
      </c>
      <c r="R382" s="76">
        <f>COUNTIF('11月'!D10:E10,R$374)+COUNTIF('11月'!I10:J10,R$374)+COUNTIF('11月'!N10:O10,R$374)+COUNTIF('11月'!S10:T10,R$374)+COUNTIF('11月'!X10:Y10,R$374)+COUNTIF('11月'!AC10:AD10,R$374)+COUNTIF('11月'!AH10:AI10,R$374)+COUNTIF('11月'!AM10:AN10,R$374)+COUNTIF('11月'!AR10:AS10,R$374)+COUNTIF('11月'!AW10:AX10,R$374)+COUNTIF('11月'!BB10:BC10,R$374)+COUNTIF('11月'!BG10:BH10,R$374)+COUNTIF('11月'!BL10:BM10,R$374)+COUNTIF('11月'!BQ10:BR10,R$374)+COUNTIF('11月'!BV10:BW10,R$374)+COUNTIF('11月'!CA10:CB10,R$374)+COUNTIF('11月'!CF10:CG10,R$374)+COUNTIF('11月'!CK10:CL10,R$374)+COUNTIF('11月'!CP10:CQ10,R$374)+COUNTIF('11月'!CU10:CV10,R$374)+COUNTIF('11月'!CZ10:DA10,R$374)+COUNTIF('11月'!DE10:DF10,R$374)+COUNTIF('11月'!DJ10:DK10,R$374)+COUNTIF('11月'!DO10:DP10,R$374)+COUNTIF('11月'!DT10:DU10,R$374)+COUNTIF('11月'!DY10:DZ10,R$374)+COUNTIF('11月'!ED10:EE10,R$374)+COUNTIF('11月'!EI10:EJ10,R$374)+COUNTIF('11月'!EN10:EO10,R$374)+COUNTIF('11月'!ES10:ET10,R$374)</f>
        <v>0</v>
      </c>
      <c r="S382" s="76">
        <f t="shared" si="128"/>
        <v>0</v>
      </c>
      <c r="T382" s="76">
        <f>COUNTIF('11月'!D10:E10,T$374)+COUNTIF('11月'!I10:J10,T$374)+COUNTIF('11月'!N10:O10,T$374)+COUNTIF('11月'!S10:T10,T$374)+COUNTIF('11月'!X10:Y10,T$374)+COUNTIF('11月'!AC10:AD10,T$374)+COUNTIF('11月'!AH10:AI10,T$374)+COUNTIF('11月'!AM10:AN10,T$374)+COUNTIF('11月'!AR10:AS10,T$374)+COUNTIF('11月'!AW10:AX10,T$374)+COUNTIF('11月'!BB10:BC10,T$374)+COUNTIF('11月'!BG10:BH10,T$374)+COUNTIF('11月'!BL10:BM10,T$374)+COUNTIF('11月'!BQ10:BR10,T$374)+COUNTIF('11月'!BV10:BW10,T$374)+COUNTIF('11月'!CA10:CB10,T$374)+COUNTIF('11月'!CF10:CG10,T$374)+COUNTIF('11月'!CK10:CL10,T$374)+COUNTIF('11月'!CP10:CQ10,T$374)+COUNTIF('11月'!CU10:CV10,T$374)+COUNTIF('11月'!CZ10:DA10,T$374)+COUNTIF('11月'!DE10:DF10,T$374)+COUNTIF('11月'!DJ10:DK10,T$374)+COUNTIF('11月'!DO10:DP10,T$374)+COUNTIF('11月'!DT10:DU10,T$374)+COUNTIF('11月'!DY10:DZ10,T$374)+COUNTIF('11月'!ED10:EE10,T$374)+COUNTIF('11月'!EI10:EJ10,T$374)+COUNTIF('11月'!EN10:EO10,T$374)+COUNTIF('11月'!ES10:ET10,T$374)</f>
        <v>0</v>
      </c>
      <c r="U382" s="76">
        <f t="shared" si="129"/>
        <v>0</v>
      </c>
      <c r="V382" s="76">
        <f>COUNTIF('11月'!D10:E10,V$374)+COUNTIF('11月'!I10:J10,V$374)+COUNTIF('11月'!N10:O10,V$374)+COUNTIF('11月'!S10:T10,V$374)+COUNTIF('11月'!X10:Y10,V$374)+COUNTIF('11月'!AC10:AD10,V$374)+COUNTIF('11月'!AH10:AI10,V$374)+COUNTIF('11月'!AM10:AN10,V$374)+COUNTIF('11月'!AR10:AS10,V$374)+COUNTIF('11月'!AW10:AX10,V$374)+COUNTIF('11月'!BB10:BC10,V$374)+COUNTIF('11月'!BG10:BH10,V$374)+COUNTIF('11月'!BL10:BM10,V$374)+COUNTIF('11月'!BQ10:BR10,V$374)+COUNTIF('11月'!BV10:BW10,V$374)+COUNTIF('11月'!CA10:CB10,V$374)+COUNTIF('11月'!CF10:CG10,V$374)+COUNTIF('11月'!CK10:CL10,V$374)+COUNTIF('11月'!CP10:CQ10,V$374)+COUNTIF('11月'!CU10:CV10,V$374)+COUNTIF('11月'!CZ10:DA10,V$374)+COUNTIF('11月'!DE10:DF10,V$374)+COUNTIF('11月'!DJ10:DK10,V$374)+COUNTIF('11月'!DO10:DP10,V$374)+COUNTIF('11月'!DT10:DU10,V$374)+COUNTIF('11月'!DY10:DZ10,V$374)+COUNTIF('11月'!ED10:EE10,V$374)+COUNTIF('11月'!EI10:EJ10,V$374)+COUNTIF('11月'!EN10:EO10,V$374)+COUNTIF('11月'!ES10:ET10,V$374)</f>
        <v>0</v>
      </c>
      <c r="W382" s="76">
        <f t="shared" si="130"/>
        <v>0</v>
      </c>
      <c r="X382" s="76">
        <f>COUNTIF('11月'!D10:E10,X$374)+COUNTIF('11月'!I10:J10,X$374)+COUNTIF('11月'!N10:O10,X$374)+COUNTIF('11月'!S10:T10,X$374)+COUNTIF('11月'!X10:Y10,X$374)+COUNTIF('11月'!AC10:AD10,X$374)+COUNTIF('11月'!AH10:AI10,X$374)+COUNTIF('11月'!AM10:AN10,X$374)+COUNTIF('11月'!AR10:AS10,X$374)+COUNTIF('11月'!AW10:AX10,X$374)+COUNTIF('11月'!BB10:BC10,X$374)+COUNTIF('11月'!BG10:BH10,X$374)+COUNTIF('11月'!BL10:BM10,X$374)+COUNTIF('11月'!BQ10:BR10,X$374)+COUNTIF('11月'!BV10:BW10,X$374)+COUNTIF('11月'!CA10:CB10,X$374)+COUNTIF('11月'!CF10:CG10,X$374)+COUNTIF('11月'!CK10:CL10,X$374)+COUNTIF('11月'!CP10:CQ10,X$374)+COUNTIF('11月'!CU10:CV10,X$374)+COUNTIF('11月'!CZ10:DA10,X$374)+COUNTIF('11月'!DE10:DF10,X$374)+COUNTIF('11月'!DJ10:DK10,X$374)+COUNTIF('11月'!DO10:DP10,X$374)+COUNTIF('11月'!DT10:DU10,X$374)+COUNTIF('11月'!DY10:DZ10,X$374)+COUNTIF('11月'!ED10:EE10,X$374)+COUNTIF('11月'!EI10:EJ10,X$374)+COUNTIF('11月'!EN10:EO10,X$374)+COUNTIF('11月'!ES10:ET10,X$374)</f>
        <v>0</v>
      </c>
      <c r="Y382" s="76">
        <f t="shared" si="131"/>
        <v>0</v>
      </c>
    </row>
    <row r="383" spans="1:25" ht="18" customHeight="1">
      <c r="A383" s="76">
        <v>8</v>
      </c>
      <c r="B383" s="76">
        <f>COUNTIF('11月'!D11:E11,B$374)+COUNTIF('11月'!I11:J11,B$374)+COUNTIF('11月'!N11:O11,B$374)+COUNTIF('11月'!S11:T11,B$374)+COUNTIF('11月'!X11:Y11,B$374)+COUNTIF('11月'!AC11:AD11,B$374)+COUNTIF('11月'!AH11:AI11,B$374)+COUNTIF('11月'!AM11:AN11,B$374)+COUNTIF('11月'!AR11:AS11,B$374)+COUNTIF('11月'!AW11:AX11,B$374)+COUNTIF('11月'!BB11:BC11,B$374)+COUNTIF('11月'!BG11:BH11,B$374)+COUNTIF('11月'!BL11:BM11,B$374)+COUNTIF('11月'!BQ11:BR11,B$374)+COUNTIF('11月'!BV11:BW11,B$374)+COUNTIF('11月'!CA11:CB11,B$374)+COUNTIF('11月'!CF11:CG11,B$374)+COUNTIF('11月'!CK11:CL11,B$374)+COUNTIF('11月'!CP11:CQ11,B$374)+COUNTIF('11月'!CU11:CV11,B$374)+COUNTIF('11月'!CZ11:DA11,B$374)+COUNTIF('11月'!DE11:DF11,B$374)+COUNTIF('11月'!DJ11:DK11,B$374)+COUNTIF('11月'!DO11:DP11,B$374)+COUNTIF('11月'!DT11:DU11,B$374)+COUNTIF('11月'!DY11:DZ11,B$374)+COUNTIF('11月'!ED11:EE11,B$374)+COUNTIF('11月'!EI11:EJ11,B$374)+COUNTIF('11月'!EN11:EO11,B$374)+COUNTIF('11月'!ES11:ET11,B$374)</f>
        <v>0</v>
      </c>
      <c r="C383" s="76">
        <f t="shared" si="120"/>
        <v>0</v>
      </c>
      <c r="D383" s="76">
        <f>COUNTIF('11月'!D11:E11,D$374)+COUNTIF('11月'!I11:J11,D$374)+COUNTIF('11月'!N11:O11,D$374)+COUNTIF('11月'!S11:T11,D$374)+COUNTIF('11月'!X11:Y11,D$374)+COUNTIF('11月'!AC11:AD11,D$374)+COUNTIF('11月'!AH11:AI11,D$374)+COUNTIF('11月'!AM11:AN11,D$374)+COUNTIF('11月'!AR11:AS11,D$374)+COUNTIF('11月'!AW11:AX11,D$374)+COUNTIF('11月'!BB11:BC11,D$374)+COUNTIF('11月'!BG11:BH11,D$374)+COUNTIF('11月'!BL11:BM11,D$374)+COUNTIF('11月'!BQ11:BR11,D$374)+COUNTIF('11月'!BV11:BW11,D$374)+COUNTIF('11月'!CA11:CB11,D$374)+COUNTIF('11月'!CF11:CG11,D$374)+COUNTIF('11月'!CK11:CL11,D$374)+COUNTIF('11月'!CP11:CQ11,D$374)+COUNTIF('11月'!CU11:CV11,D$374)+COUNTIF('11月'!CZ11:DA11,D$374)+COUNTIF('11月'!DE11:DF11,D$374)+COUNTIF('11月'!DJ11:DK11,D$374)+COUNTIF('11月'!DO11:DP11,D$374)+COUNTIF('11月'!DT11:DU11,D$374)+COUNTIF('11月'!DY11:DZ11,D$374)+COUNTIF('11月'!ED11:EE11,D$374)+COUNTIF('11月'!EI11:EJ11,D$374)+COUNTIF('11月'!EN11:EO11,D$374)+COUNTIF('11月'!ES11:ET11,D$374)</f>
        <v>0</v>
      </c>
      <c r="E383" s="76">
        <f t="shared" si="121"/>
        <v>0</v>
      </c>
      <c r="F383" s="76">
        <f>COUNTIF('11月'!D11:E11,F$374)+COUNTIF('11月'!I11:J11,F$374)+COUNTIF('11月'!N11:O11,F$374)+COUNTIF('11月'!S11:T11,F$374)+COUNTIF('11月'!X11:Y11,F$374)+COUNTIF('11月'!AC11:AD11,F$374)+COUNTIF('11月'!AH11:AI11,F$374)+COUNTIF('11月'!AM11:AN11,F$374)+COUNTIF('11月'!AR11:AS11,F$374)+COUNTIF('11月'!AW11:AX11,F$374)+COUNTIF('11月'!BB11:BC11,F$374)+COUNTIF('11月'!BG11:BH11,F$374)+COUNTIF('11月'!BL11:BM11,F$374)+COUNTIF('11月'!BQ11:BR11,F$374)+COUNTIF('11月'!BV11:BW11,F$374)+COUNTIF('11月'!CA11:CB11,F$374)+COUNTIF('11月'!CF11:CG11,F$374)+COUNTIF('11月'!CK11:CL11,F$374)+COUNTIF('11月'!CP11:CQ11,F$374)+COUNTIF('11月'!CU11:CV11,F$374)+COUNTIF('11月'!CZ11:DA11,F$374)+COUNTIF('11月'!DE11:DF11,F$374)+COUNTIF('11月'!DJ11:DK11,F$374)+COUNTIF('11月'!DO11:DP11,F$374)+COUNTIF('11月'!DT11:DU11,F$374)+COUNTIF('11月'!DY11:DZ11,F$374)+COUNTIF('11月'!ED11:EE11,F$374)+COUNTIF('11月'!EI11:EJ11,F$374)+COUNTIF('11月'!EN11:EO11,F$374)+COUNTIF('11月'!ES11:ET11,F$374)</f>
        <v>0</v>
      </c>
      <c r="G383" s="76">
        <f t="shared" si="122"/>
        <v>0</v>
      </c>
      <c r="H383" s="76">
        <f>COUNTIF('11月'!D11:E11,H$374)+COUNTIF('11月'!I11:J11,H$374)+COUNTIF('11月'!N11:O11,H$374)+COUNTIF('11月'!S11:T11,H$374)+COUNTIF('11月'!X11:Y11,H$374)+COUNTIF('11月'!AC11:AD11,H$374)+COUNTIF('11月'!AH11:AI11,H$374)+COUNTIF('11月'!AM11:AN11,H$374)+COUNTIF('11月'!AR11:AS11,H$374)+COUNTIF('11月'!AW11:AX11,H$374)+COUNTIF('11月'!BB11:BC11,H$374)+COUNTIF('11月'!BG11:BH11,H$374)+COUNTIF('11月'!BL11:BM11,H$374)+COUNTIF('11月'!BQ11:BR11,H$374)+COUNTIF('11月'!BV11:BW11,H$374)+COUNTIF('11月'!CA11:CB11,H$374)+COUNTIF('11月'!CF11:CG11,H$374)+COUNTIF('11月'!CK11:CL11,H$374)+COUNTIF('11月'!CP11:CQ11,H$374)+COUNTIF('11月'!CU11:CV11,H$374)+COUNTIF('11月'!CZ11:DA11,H$374)+COUNTIF('11月'!DE11:DF11,H$374)+COUNTIF('11月'!DJ11:DK11,H$374)+COUNTIF('11月'!DO11:DP11,H$374)+COUNTIF('11月'!DT11:DU11,H$374)+COUNTIF('11月'!DY11:DZ11,H$374)+COUNTIF('11月'!ED11:EE11,H$374)+COUNTIF('11月'!EI11:EJ11,H$374)+COUNTIF('11月'!EN11:EO11,H$374)+COUNTIF('11月'!ES11:ET11,H$374)+COUNTIF('11月'!D11:E11,"渋谷-夜勤")+COUNTIF('11月'!I11:J11,"渋谷-夜勤")+COUNTIF('11月'!N11:O11,"渋谷-夜勤")+COUNTIF('11月'!S11:T11,"渋谷-夜勤")+COUNTIF('11月'!X11:Y11,"渋谷-夜勤")+COUNTIF('11月'!AC11:AD11,"渋谷-夜勤")+COUNTIF('11月'!AH11:AI11,"渋谷-夜勤")+COUNTIF('11月'!AM11:AN11,"渋谷-夜勤")+COUNTIF('11月'!AR11:AS11,"渋谷-夜勤")+COUNTIF('11月'!AW11:AX11,"渋谷-夜勤")+COUNTIF('11月'!BB11:BC11,"渋谷-夜勤")+COUNTIF('11月'!BG11:BH11,"渋谷-夜勤")+COUNTIF('11月'!BL11:BM11,"渋谷-夜勤")+COUNTIF('11月'!BQ11:BR11,"渋谷-夜勤")+COUNTIF('11月'!BV11:BW11,"渋谷-夜勤")+COUNTIF('11月'!CA11:CB11,"渋谷-夜勤")+COUNTIF('11月'!CF11:CG11,"渋谷-夜勤")+COUNTIF('11月'!CK11:CL11,"渋谷-夜勤")+COUNTIF('11月'!CP11:CQ11,"渋谷-夜勤")+COUNTIF('11月'!CU11:CV11,"渋谷-夜勤")+COUNTIF('11月'!CZ11:DA11,"渋谷-夜勤")+COUNTIF('11月'!DE11:DF11,"渋谷-夜勤")+COUNTIF('11月'!DJ11:DK11,"渋谷-夜勤")+COUNTIF('11月'!DO11:DP11,"渋谷-夜勤")+COUNTIF('11月'!DT11:DU11,"渋谷-夜勤")+COUNTIF('11月'!DY11:DZ11,"渋谷-夜勤")+COUNTIF('11月'!ED11:EE11,"渋谷-夜勤")+COUNTIF('11月'!EI11:EJ11,"渋谷-夜勤")+COUNTIF('11月'!EN11:EO11,"渋谷-夜勤")+COUNTIF('11月'!ES11:ET11,"渋谷-夜勤")</f>
        <v>0</v>
      </c>
      <c r="I383" s="76">
        <f t="shared" si="123"/>
        <v>0</v>
      </c>
      <c r="J383" s="76">
        <f>COUNTIF('11月'!D11:E11,J$374)+COUNTIF('11月'!I11:J11,J$374)+COUNTIF('11月'!N11:O11,J$374)+COUNTIF('11月'!S11:T11,J$374)+COUNTIF('11月'!X11:Y11,J$374)+COUNTIF('11月'!AC11:AD11,J$374)+COUNTIF('11月'!AH11:AI11,J$374)+COUNTIF('11月'!AM11:AN11,J$374)+COUNTIF('11月'!AR11:AS11,J$374)+COUNTIF('11月'!AW11:AX11,J$374)+COUNTIF('11月'!BB11:BC11,J$374)+COUNTIF('11月'!BG11:BH11,J$374)+COUNTIF('11月'!BL11:BM11,J$374)+COUNTIF('11月'!BQ11:BR11,J$374)+COUNTIF('11月'!BV11:BW11,J$374)+COUNTIF('11月'!CA11:CB11,J$374)+COUNTIF('11月'!CF11:CG11,J$374)+COUNTIF('11月'!CK11:CL11,J$374)+COUNTIF('11月'!CP11:CQ11,J$374)+COUNTIF('11月'!CU11:CV11,J$374)+COUNTIF('11月'!CZ11:DA11,J$374)+COUNTIF('11月'!DE11:DF11,J$374)+COUNTIF('11月'!DJ11:DK11,J$374)+COUNTIF('11月'!DO11:DP11,J$374)+COUNTIF('11月'!DT11:DU11,J$374)+COUNTIF('11月'!DY11:DZ11,J$374)+COUNTIF('11月'!ED11:EE11,J$374)+COUNTIF('11月'!EI11:EJ11,J$374)+COUNTIF('11月'!EN11:EO11,J$374)+COUNTIF('11月'!ES11:ET11,J$374)+COUNTIF('11月'!D11:E11,"六本木-夜勤")+COUNTIF('11月'!I11:J11,"六本木-夜勤")+COUNTIF('11月'!N11:O11,"六本木-夜勤")+COUNTIF('11月'!S11:T11,"六本木-夜勤")+COUNTIF('11月'!X11:Y11,"六本木-夜勤")+COUNTIF('11月'!AC11:AD11,"六本木-夜勤")+COUNTIF('11月'!AH11:AI11,"六本木-夜勤")+COUNTIF('11月'!AM11:AN11,"六本木-夜勤")+COUNTIF('11月'!AR11:AS11,"六本木-夜勤")+COUNTIF('11月'!AW11:AX11,"六本木-夜勤")+COUNTIF('11月'!BB11:BC11,"六本木-夜勤")+COUNTIF('11月'!BG11:BH11,"六本木-夜勤")+COUNTIF('11月'!BL11:BM11,"六本木-夜勤")+COUNTIF('11月'!BQ11:BR11,"六本木-夜勤")+COUNTIF('11月'!BV11:BW11,"六本木-夜勤")+COUNTIF('11月'!CA11:CB11,"六本木-夜勤")+COUNTIF('11月'!CF11:CG11,"六本木-夜勤")+COUNTIF('11月'!CK11:CL11,"六本木-夜勤")+COUNTIF('11月'!CP11:CQ11,"六本木-夜勤")+COUNTIF('11月'!CU11:CV11,"六本木-夜勤")+COUNTIF('11月'!CZ11:DA11,"六本木-夜勤")+COUNTIF('11月'!DE11:DF11,"六本木-夜勤")+COUNTIF('11月'!DJ11:DK11,"六本木-夜勤")+COUNTIF('11月'!DO11:DP11,"六本木-夜勤")+COUNTIF('11月'!DT11:DU11,"六本木-夜勤")+COUNTIF('11月'!DY11:DZ11,"六本木-夜勤")+COUNTIF('11月'!ED11:EE11,"六本木-夜勤")+COUNTIF('11月'!EI11:EJ11,"六本木-夜勤")+COUNTIF('11月'!EN11:EO11,"六本木-夜勤")+COUNTIF('11月'!ES11:ET11,"六本木-夜勤")+COUNTIF('11月'!D11:E11,"六本木ー夜勤")+COUNTIF('11月'!I11:J11,"六本木ー夜勤")+COUNTIF('11月'!N11:O11,"六本木ー夜勤")+COUNTIF('11月'!S11:T11,"六本木ー夜勤")+COUNTIF('11月'!X11:Y11,"六本木ー夜勤")+COUNTIF('11月'!AC11:AD11,"六本木ー夜勤")+COUNTIF('11月'!AH11:AI11,"六本木ー夜勤")+COUNTIF('11月'!AM11:AN11,"六本木ー夜勤")+COUNTIF('11月'!AR11:AS11,"六本木ー夜勤")+COUNTIF('11月'!AW11:AX11,"六本木ー夜勤")+COUNTIF('11月'!BB11:BC11,"六本木ー夜勤")+COUNTIF('11月'!BG11:BH11,"六本木ー夜勤")+COUNTIF('11月'!BL11:BM11,"六本木ー夜勤")+COUNTIF('11月'!BQ11:BR11,"六本木ー夜勤")+COUNTIF('11月'!BV11:BW11,"六本木ー夜勤")+COUNTIF('11月'!CA11:CB11,"六本木ー夜勤")+COUNTIF('11月'!CF11:CG11,"六本木ー夜勤")+COUNTIF('11月'!CK11:CL11,"六本木ー夜勤")+COUNTIF('11月'!CP11:CQ11,"六本木ー夜勤")+COUNTIF('11月'!CU11:CV11,"六本木ー夜勤")+COUNTIF('11月'!CZ11:DA11,"六本木ー夜勤")+COUNTIF('11月'!DE11:DF11,"六本木ー夜勤")+COUNTIF('11月'!DJ11:DK11,"六本木ー夜勤")+COUNTIF('11月'!DO11:DP11,"六本木ー夜勤")+COUNTIF('11月'!DT11:DU11,"六本木ー夜勤")+COUNTIF('11月'!DY11:DZ11,"六本木ー夜勤")+COUNTIF('11月'!ED11:EE11,"六本木ー夜勤")+COUNTIF('11月'!EI11:EJ11,"六本木ー夜勤")+COUNTIF('11月'!EN11:EO11,"六本木ー夜勤")+COUNTIF('11月'!ES11:ET11,"六本木ー夜勤")</f>
        <v>0</v>
      </c>
      <c r="K383" s="76">
        <f t="shared" si="124"/>
        <v>0</v>
      </c>
      <c r="L383" s="76">
        <f>COUNTIF('11月'!D11:E11,L$374)+COUNTIF('11月'!I11:J11,L$374)+COUNTIF('11月'!N11:O11,L$374)+COUNTIF('11月'!S11:T11,L$374)+COUNTIF('11月'!X11:Y11,L$374)+COUNTIF('11月'!AC11:AD11,L$374)+COUNTIF('11月'!AH11:AI11,L$374)+COUNTIF('11月'!AM11:AN11,L$374)+COUNTIF('11月'!AR11:AS11,L$374)+COUNTIF('11月'!AW11:AX11,L$374)+COUNTIF('11月'!BB11:BC11,L$374)+COUNTIF('11月'!BG11:BH11,L$374)+COUNTIF('11月'!BL11:BM11,L$374)+COUNTIF('11月'!BQ11:BR11,L$374)+COUNTIF('11月'!BV11:BW11,L$374)+COUNTIF('11月'!CA11:CB11,L$374)+COUNTIF('11月'!CF11:CG11,L$374)+COUNTIF('11月'!CK11:CL11,L$374)+COUNTIF('11月'!CP11:CQ11,L$374)+COUNTIF('11月'!CU11:CV11,L$374)+COUNTIF('11月'!CZ11:DA11,L$374)+COUNTIF('11月'!DE11:DF11,L$374)+COUNTIF('11月'!DJ11:DK11,L$374)+COUNTIF('11月'!DO11:DP11,L$374)+COUNTIF('11月'!DT11:DU11,L$374)+COUNTIF('11月'!DY11:DZ11,L$374)+COUNTIF('11月'!ED11:EE11,L$374)+COUNTIF('11月'!EI11:EJ11,L$374)+COUNTIF('11月'!EN11:EO11,L$374)+COUNTIF('11月'!ES11:ET11,L$374)</f>
        <v>0</v>
      </c>
      <c r="M383" s="76">
        <f t="shared" si="125"/>
        <v>0</v>
      </c>
      <c r="N383" s="76">
        <f>COUNTIF('11月'!D11:E11,N$374)+COUNTIF('11月'!I11:J11,N$374)+COUNTIF('11月'!N11:O11,N$374)+COUNTIF('11月'!S11:T11,N$374)+COUNTIF('11月'!X11:Y11,N$374)+COUNTIF('11月'!AC11:AD11,N$374)+COUNTIF('11月'!AH11:AI11,N$374)+COUNTIF('11月'!AM11:AN11,N$374)+COUNTIF('11月'!AR11:AS11,N$374)+COUNTIF('11月'!AW11:AX11,N$374)+COUNTIF('11月'!BB11:BC11,N$374)+COUNTIF('11月'!BG11:BH11,N$374)+COUNTIF('11月'!BL11:BM11,N$374)+COUNTIF('11月'!BQ11:BR11,N$374)+COUNTIF('11月'!BV11:BW11,N$374)+COUNTIF('11月'!CA11:CB11,N$374)+COUNTIF('11月'!CF11:CG11,N$374)+COUNTIF('11月'!CK11:CL11,N$374)+COUNTIF('11月'!CP11:CQ11,N$374)+COUNTIF('11月'!CU11:CV11,N$374)+COUNTIF('11月'!CZ11:DA11,N$374)+COUNTIF('11月'!DE11:DF11,N$374)+COUNTIF('11月'!DJ11:DK11,N$374)+COUNTIF('11月'!DO11:DP11,N$374)+COUNTIF('11月'!DT11:DU11,N$374)+COUNTIF('11月'!DY11:DZ11,N$374)+COUNTIF('11月'!ED11:EE11,N$374)+COUNTIF('11月'!EI11:EJ11,N$374)+COUNTIF('11月'!EN11:EO11,N$374)+COUNTIF('11月'!ES11:ET11,N$374)+COUNTIF('11月'!D11:E11,"三軒茶屋－夜勤")+COUNTIF('11月'!I11:J11,"三軒茶屋－夜勤")+COUNTIF('11月'!N11:O11,"三軒茶屋－夜勤")+COUNTIF('11月'!S11:T11,"三軒茶屋－夜勤")+COUNTIF('11月'!X11:Y11,"三軒茶屋－夜勤")+COUNTIF('11月'!AC11:AD11,"三軒茶屋－夜勤")+COUNTIF('11月'!AH11:AI11,"三軒茶屋－夜勤")+COUNTIF('11月'!AM11:AN11,"三軒茶屋－夜勤")+COUNTIF('11月'!AR11:AS11,"三軒茶屋－夜勤")+COUNTIF('11月'!AW11:AX11,"三軒茶屋－夜勤")+COUNTIF('11月'!BB11:BC11,"三軒茶屋－夜勤")+COUNTIF('11月'!BG11:BH11,"三軒茶屋－夜勤")+COUNTIF('11月'!BL11:BM11,"三軒茶屋－夜勤")+COUNTIF('11月'!BQ11:BR11,"三軒茶屋－夜勤")+COUNTIF('11月'!BV11:BW11,"三軒茶屋－夜勤")+COUNTIF('11月'!CA11:CB11,"三軒茶屋－夜勤")+COUNTIF('11月'!CF11:CG11,"三軒茶屋－夜勤")+COUNTIF('11月'!CK11:CL11,"三軒茶屋－夜勤")+COUNTIF('11月'!CP11:CQ11,"三軒茶屋－夜勤")+COUNTIF('11月'!CU11:CV11,"三軒茶屋－夜勤")+COUNTIF('11月'!CZ11:DA11,"三軒茶屋－夜勤")+COUNTIF('11月'!DE11:DF11,"三軒茶屋－夜勤")+COUNTIF('11月'!DJ11:DK11,"三軒茶屋－夜勤")+COUNTIF('11月'!DO11:DP11,"三軒茶屋－夜勤")+COUNTIF('11月'!DT11:DU11,"三軒茶屋－夜勤")+COUNTIF('11月'!DY11:DZ11,"三軒茶屋－夜勤")+COUNTIF('11月'!ED11:EE11,"三軒茶屋－夜勤")+COUNTIF('11月'!EI11:EJ11,"三軒茶屋－夜勤")+COUNTIF('11月'!EN11:EO11,"三軒茶屋－夜勤")+COUNTIF('11月'!ES11:ET11,"三軒茶屋－夜勤")</f>
        <v>0</v>
      </c>
      <c r="O383" s="76">
        <f t="shared" si="126"/>
        <v>0</v>
      </c>
      <c r="P383" s="76">
        <f>COUNTIF('11月'!D11:E11,P$374)+COUNTIF('11月'!I11:J11,P$374)+COUNTIF('11月'!N11:O11,P$374)+COUNTIF('11月'!S11:T11,P$374)+COUNTIF('11月'!X11:Y11,P$374)+COUNTIF('11月'!AC11:AD11,P$374)+COUNTIF('11月'!AH11:AI11,P$374)+COUNTIF('11月'!AM11:AN11,P$374)+COUNTIF('11月'!AR11:AS11,P$374)+COUNTIF('11月'!AW11:AX11,P$374)+COUNTIF('11月'!BB11:BC11,P$374)+COUNTIF('11月'!BG11:BH11,P$374)+COUNTIF('11月'!BL11:BM11,P$374)+COUNTIF('11月'!BQ11:BR11,P$374)+COUNTIF('11月'!BV11:BW11,P$374)+COUNTIF('11月'!CA11:CB11,P$374)+COUNTIF('11月'!CF11:CG11,P$374)+COUNTIF('11月'!CK11:CL11,P$374)+COUNTIF('11月'!CP11:CQ11,P$374)+COUNTIF('11月'!CU11:CV11,P$374)+COUNTIF('11月'!CZ11:DA11,P$374)+COUNTIF('11月'!DE11:DF11,P$374)+COUNTIF('11月'!DJ11:DK11,P$374)+COUNTIF('11月'!DO11:DP11,P$374)+COUNTIF('11月'!DT11:DU11,P$374)+COUNTIF('11月'!DY11:DZ11,P$374)+COUNTIF('11月'!ED11:EE11,P$374)+COUNTIF('11月'!EI11:EJ11,P$374)+COUNTIF('11月'!EN11:EO11,P$374)+COUNTIF('11月'!ES11:ET11,P$374)+COUNTIF('11月'!D11:E11,"荻窪ー夜勤")+COUNTIF('11月'!I11:J11,"荻窪ー夜勤")+COUNTIF('11月'!N11:O11,"荻窪ー夜勤")+COUNTIF('11月'!S11:T11,"荻窪ー夜勤")+COUNTIF('11月'!X11:Y11,"荻窪ー夜勤")+COUNTIF('11月'!AC11:AD11,"荻窪ー夜勤")+COUNTIF('11月'!AH11:AI11,"荻窪ー夜勤")+COUNTIF('11月'!AM11:AN11,"荻窪ー夜勤")+COUNTIF('11月'!AR11:AS11,"荻窪ー夜勤")+COUNTIF('11月'!AW11:AX11,"荻窪ー夜勤")+COUNTIF('11月'!BB11:BC11,"荻窪ー夜勤")+COUNTIF('11月'!BG11:BH11,"荻窪ー夜勤")+COUNTIF('11月'!BL11:BM11,"荻窪ー夜勤")+COUNTIF('11月'!BQ11:BR11,"荻窪ー夜勤")+COUNTIF('11月'!BV11:BW11,"荻窪ー夜勤")+COUNTIF('11月'!CA11:CB11,"荻窪ー夜勤")+COUNTIF('11月'!CF11:CG11,"荻窪ー夜勤")+COUNTIF('11月'!CK11:CL11,"荻窪ー夜勤")+COUNTIF('11月'!CP11:CQ11,"荻窪ー夜勤")+COUNTIF('11月'!CU11:CV11,"荻窪ー夜勤")+COUNTIF('11月'!CZ11:DA11,"荻窪ー夜勤")+COUNTIF('11月'!DE11:DF11,"荻窪ー夜勤")+COUNTIF('11月'!DJ11:DK11,"荻窪ー夜勤")+COUNTIF('11月'!DO11:DP11,"荻窪ー夜勤")+COUNTIF('11月'!DT11:DU11,"荻窪ー夜勤")+COUNTIF('11月'!DY11:DZ11,"荻窪ー夜勤")+COUNTIF('11月'!ED11:EE11,"荻窪ー夜勤")+COUNTIF('11月'!EI11:EJ11,"荻窪ー夜勤")+COUNTIF('11月'!EN11:EO11,"荻窪ー夜勤")+COUNTIF('11月'!ES11:ET11,"荻窪ー夜勤")</f>
        <v>0</v>
      </c>
      <c r="Q383" s="76">
        <f t="shared" si="127"/>
        <v>0</v>
      </c>
      <c r="R383" s="76">
        <f>COUNTIF('11月'!D11:E11,R$374)+COUNTIF('11月'!I11:J11,R$374)+COUNTIF('11月'!N11:O11,R$374)+COUNTIF('11月'!S11:T11,R$374)+COUNTIF('11月'!X11:Y11,R$374)+COUNTIF('11月'!AC11:AD11,R$374)+COUNTIF('11月'!AH11:AI11,R$374)+COUNTIF('11月'!AM11:AN11,R$374)+COUNTIF('11月'!AR11:AS11,R$374)+COUNTIF('11月'!AW11:AX11,R$374)+COUNTIF('11月'!BB11:BC11,R$374)+COUNTIF('11月'!BG11:BH11,R$374)+COUNTIF('11月'!BL11:BM11,R$374)+COUNTIF('11月'!BQ11:BR11,R$374)+COUNTIF('11月'!BV11:BW11,R$374)+COUNTIF('11月'!CA11:CB11,R$374)+COUNTIF('11月'!CF11:CG11,R$374)+COUNTIF('11月'!CK11:CL11,R$374)+COUNTIF('11月'!CP11:CQ11,R$374)+COUNTIF('11月'!CU11:CV11,R$374)+COUNTIF('11月'!CZ11:DA11,R$374)+COUNTIF('11月'!DE11:DF11,R$374)+COUNTIF('11月'!DJ11:DK11,R$374)+COUNTIF('11月'!DO11:DP11,R$374)+COUNTIF('11月'!DT11:DU11,R$374)+COUNTIF('11月'!DY11:DZ11,R$374)+COUNTIF('11月'!ED11:EE11,R$374)+COUNTIF('11月'!EI11:EJ11,R$374)+COUNTIF('11月'!EN11:EO11,R$374)+COUNTIF('11月'!ES11:ET11,R$374)</f>
        <v>0</v>
      </c>
      <c r="S383" s="76">
        <f t="shared" si="128"/>
        <v>0</v>
      </c>
      <c r="T383" s="76">
        <f>COUNTIF('11月'!D11:E11,T$374)+COUNTIF('11月'!I11:J11,T$374)+COUNTIF('11月'!N11:O11,T$374)+COUNTIF('11月'!S11:T11,T$374)+COUNTIF('11月'!X11:Y11,T$374)+COUNTIF('11月'!AC11:AD11,T$374)+COUNTIF('11月'!AH11:AI11,T$374)+COUNTIF('11月'!AM11:AN11,T$374)+COUNTIF('11月'!AR11:AS11,T$374)+COUNTIF('11月'!AW11:AX11,T$374)+COUNTIF('11月'!BB11:BC11,T$374)+COUNTIF('11月'!BG11:BH11,T$374)+COUNTIF('11月'!BL11:BM11,T$374)+COUNTIF('11月'!BQ11:BR11,T$374)+COUNTIF('11月'!BV11:BW11,T$374)+COUNTIF('11月'!CA11:CB11,T$374)+COUNTIF('11月'!CF11:CG11,T$374)+COUNTIF('11月'!CK11:CL11,T$374)+COUNTIF('11月'!CP11:CQ11,T$374)+COUNTIF('11月'!CU11:CV11,T$374)+COUNTIF('11月'!CZ11:DA11,T$374)+COUNTIF('11月'!DE11:DF11,T$374)+COUNTIF('11月'!DJ11:DK11,T$374)+COUNTIF('11月'!DO11:DP11,T$374)+COUNTIF('11月'!DT11:DU11,T$374)+COUNTIF('11月'!DY11:DZ11,T$374)+COUNTIF('11月'!ED11:EE11,T$374)+COUNTIF('11月'!EI11:EJ11,T$374)+COUNTIF('11月'!EN11:EO11,T$374)+COUNTIF('11月'!ES11:ET11,T$374)</f>
        <v>0</v>
      </c>
      <c r="U383" s="76">
        <f t="shared" si="129"/>
        <v>0</v>
      </c>
      <c r="V383" s="76">
        <f>COUNTIF('11月'!D11:E11,V$374)+COUNTIF('11月'!I11:J11,V$374)+COUNTIF('11月'!N11:O11,V$374)+COUNTIF('11月'!S11:T11,V$374)+COUNTIF('11月'!X11:Y11,V$374)+COUNTIF('11月'!AC11:AD11,V$374)+COUNTIF('11月'!AH11:AI11,V$374)+COUNTIF('11月'!AM11:AN11,V$374)+COUNTIF('11月'!AR11:AS11,V$374)+COUNTIF('11月'!AW11:AX11,V$374)+COUNTIF('11月'!BB11:BC11,V$374)+COUNTIF('11月'!BG11:BH11,V$374)+COUNTIF('11月'!BL11:BM11,V$374)+COUNTIF('11月'!BQ11:BR11,V$374)+COUNTIF('11月'!BV11:BW11,V$374)+COUNTIF('11月'!CA11:CB11,V$374)+COUNTIF('11月'!CF11:CG11,V$374)+COUNTIF('11月'!CK11:CL11,V$374)+COUNTIF('11月'!CP11:CQ11,V$374)+COUNTIF('11月'!CU11:CV11,V$374)+COUNTIF('11月'!CZ11:DA11,V$374)+COUNTIF('11月'!DE11:DF11,V$374)+COUNTIF('11月'!DJ11:DK11,V$374)+COUNTIF('11月'!DO11:DP11,V$374)+COUNTIF('11月'!DT11:DU11,V$374)+COUNTIF('11月'!DY11:DZ11,V$374)+COUNTIF('11月'!ED11:EE11,V$374)+COUNTIF('11月'!EI11:EJ11,V$374)+COUNTIF('11月'!EN11:EO11,V$374)+COUNTIF('11月'!ES11:ET11,V$374)</f>
        <v>0</v>
      </c>
      <c r="W383" s="76">
        <f t="shared" si="130"/>
        <v>0</v>
      </c>
      <c r="X383" s="76">
        <f>COUNTIF('11月'!D11:E11,X$374)+COUNTIF('11月'!I11:J11,X$374)+COUNTIF('11月'!N11:O11,X$374)+COUNTIF('11月'!S11:T11,X$374)+COUNTIF('11月'!X11:Y11,X$374)+COUNTIF('11月'!AC11:AD11,X$374)+COUNTIF('11月'!AH11:AI11,X$374)+COUNTIF('11月'!AM11:AN11,X$374)+COUNTIF('11月'!AR11:AS11,X$374)+COUNTIF('11月'!AW11:AX11,X$374)+COUNTIF('11月'!BB11:BC11,X$374)+COUNTIF('11月'!BG11:BH11,X$374)+COUNTIF('11月'!BL11:BM11,X$374)+COUNTIF('11月'!BQ11:BR11,X$374)+COUNTIF('11月'!BV11:BW11,X$374)+COUNTIF('11月'!CA11:CB11,X$374)+COUNTIF('11月'!CF11:CG11,X$374)+COUNTIF('11月'!CK11:CL11,X$374)+COUNTIF('11月'!CP11:CQ11,X$374)+COUNTIF('11月'!CU11:CV11,X$374)+COUNTIF('11月'!CZ11:DA11,X$374)+COUNTIF('11月'!DE11:DF11,X$374)+COUNTIF('11月'!DJ11:DK11,X$374)+COUNTIF('11月'!DO11:DP11,X$374)+COUNTIF('11月'!DT11:DU11,X$374)+COUNTIF('11月'!DY11:DZ11,X$374)+COUNTIF('11月'!ED11:EE11,X$374)+COUNTIF('11月'!EI11:EJ11,X$374)+COUNTIF('11月'!EN11:EO11,X$374)+COUNTIF('11月'!ES11:ET11,X$374)</f>
        <v>0</v>
      </c>
      <c r="Y383" s="76">
        <f t="shared" si="131"/>
        <v>0</v>
      </c>
    </row>
    <row r="384" spans="1:25" ht="18" customHeight="1">
      <c r="A384" s="76">
        <v>9</v>
      </c>
      <c r="B384" s="76">
        <f>COUNTIF('11月'!D12:E12,B$374)+COUNTIF('11月'!I12:J12,B$374)+COUNTIF('11月'!N12:O12,B$374)+COUNTIF('11月'!S12:T12,B$374)+COUNTIF('11月'!X12:Y12,B$374)+COUNTIF('11月'!AC12:AD12,B$374)+COUNTIF('11月'!AH12:AI12,B$374)+COUNTIF('11月'!AM12:AN12,B$374)+COUNTIF('11月'!AR12:AS12,B$374)+COUNTIF('11月'!AW12:AX12,B$374)+COUNTIF('11月'!BB12:BC12,B$374)+COUNTIF('11月'!BG12:BH12,B$374)+COUNTIF('11月'!BL12:BM12,B$374)+COUNTIF('11月'!BQ12:BR12,B$374)+COUNTIF('11月'!BV12:BW12,B$374)+COUNTIF('11月'!CA12:CB12,B$374)+COUNTIF('11月'!CF12:CG12,B$374)+COUNTIF('11月'!CK12:CL12,B$374)+COUNTIF('11月'!CP12:CQ12,B$374)+COUNTIF('11月'!CU12:CV12,B$374)+COUNTIF('11月'!CZ12:DA12,B$374)+COUNTIF('11月'!DE12:DF12,B$374)+COUNTIF('11月'!DJ12:DK12,B$374)+COUNTIF('11月'!DO12:DP12,B$374)+COUNTIF('11月'!DT12:DU12,B$374)+COUNTIF('11月'!DY12:DZ12,B$374)+COUNTIF('11月'!ED12:EE12,B$374)+COUNTIF('11月'!EI12:EJ12,B$374)+COUNTIF('11月'!EN12:EO12,B$374)+COUNTIF('11月'!ES12:ET12,B$374)</f>
        <v>0</v>
      </c>
      <c r="C384" s="76">
        <f t="shared" si="120"/>
        <v>0</v>
      </c>
      <c r="D384" s="76">
        <f>COUNTIF('11月'!D12:E12,D$374)+COUNTIF('11月'!I12:J12,D$374)+COUNTIF('11月'!N12:O12,D$374)+COUNTIF('11月'!S12:T12,D$374)+COUNTIF('11月'!X12:Y12,D$374)+COUNTIF('11月'!AC12:AD12,D$374)+COUNTIF('11月'!AH12:AI12,D$374)+COUNTIF('11月'!AM12:AN12,D$374)+COUNTIF('11月'!AR12:AS12,D$374)+COUNTIF('11月'!AW12:AX12,D$374)+COUNTIF('11月'!BB12:BC12,D$374)+COUNTIF('11月'!BG12:BH12,D$374)+COUNTIF('11月'!BL12:BM12,D$374)+COUNTIF('11月'!BQ12:BR12,D$374)+COUNTIF('11月'!BV12:BW12,D$374)+COUNTIF('11月'!CA12:CB12,D$374)+COUNTIF('11月'!CF12:CG12,D$374)+COUNTIF('11月'!CK12:CL12,D$374)+COUNTIF('11月'!CP12:CQ12,D$374)+COUNTIF('11月'!CU12:CV12,D$374)+COUNTIF('11月'!CZ12:DA12,D$374)+COUNTIF('11月'!DE12:DF12,D$374)+COUNTIF('11月'!DJ12:DK12,D$374)+COUNTIF('11月'!DO12:DP12,D$374)+COUNTIF('11月'!DT12:DU12,D$374)+COUNTIF('11月'!DY12:DZ12,D$374)+COUNTIF('11月'!ED12:EE12,D$374)+COUNTIF('11月'!EI12:EJ12,D$374)+COUNTIF('11月'!EN12:EO12,D$374)+COUNTIF('11月'!ES12:ET12,D$374)</f>
        <v>0</v>
      </c>
      <c r="E384" s="76">
        <f t="shared" si="121"/>
        <v>0</v>
      </c>
      <c r="F384" s="76">
        <f>COUNTIF('11月'!D12:E12,F$374)+COUNTIF('11月'!I12:J12,F$374)+COUNTIF('11月'!N12:O12,F$374)+COUNTIF('11月'!S12:T12,F$374)+COUNTIF('11月'!X12:Y12,F$374)+COUNTIF('11月'!AC12:AD12,F$374)+COUNTIF('11月'!AH12:AI12,F$374)+COUNTIF('11月'!AM12:AN12,F$374)+COUNTIF('11月'!AR12:AS12,F$374)+COUNTIF('11月'!AW12:AX12,F$374)+COUNTIF('11月'!BB12:BC12,F$374)+COUNTIF('11月'!BG12:BH12,F$374)+COUNTIF('11月'!BL12:BM12,F$374)+COUNTIF('11月'!BQ12:BR12,F$374)+COUNTIF('11月'!BV12:BW12,F$374)+COUNTIF('11月'!CA12:CB12,F$374)+COUNTIF('11月'!CF12:CG12,F$374)+COUNTIF('11月'!CK12:CL12,F$374)+COUNTIF('11月'!CP12:CQ12,F$374)+COUNTIF('11月'!CU12:CV12,F$374)+COUNTIF('11月'!CZ12:DA12,F$374)+COUNTIF('11月'!DE12:DF12,F$374)+COUNTIF('11月'!DJ12:DK12,F$374)+COUNTIF('11月'!DO12:DP12,F$374)+COUNTIF('11月'!DT12:DU12,F$374)+COUNTIF('11月'!DY12:DZ12,F$374)+COUNTIF('11月'!ED12:EE12,F$374)+COUNTIF('11月'!EI12:EJ12,F$374)+COUNTIF('11月'!EN12:EO12,F$374)+COUNTIF('11月'!ES12:ET12,F$374)</f>
        <v>0</v>
      </c>
      <c r="G384" s="76">
        <f t="shared" si="122"/>
        <v>0</v>
      </c>
      <c r="H384" s="76">
        <f>COUNTIF('11月'!D12:E12,H$374)+COUNTIF('11月'!I12:J12,H$374)+COUNTIF('11月'!N12:O12,H$374)+COUNTIF('11月'!S12:T12,H$374)+COUNTIF('11月'!X12:Y12,H$374)+COUNTIF('11月'!AC12:AD12,H$374)+COUNTIF('11月'!AH12:AI12,H$374)+COUNTIF('11月'!AM12:AN12,H$374)+COUNTIF('11月'!AR12:AS12,H$374)+COUNTIF('11月'!AW12:AX12,H$374)+COUNTIF('11月'!BB12:BC12,H$374)+COUNTIF('11月'!BG12:BH12,H$374)+COUNTIF('11月'!BL12:BM12,H$374)+COUNTIF('11月'!BQ12:BR12,H$374)+COUNTIF('11月'!BV12:BW12,H$374)+COUNTIF('11月'!CA12:CB12,H$374)+COUNTIF('11月'!CF12:CG12,H$374)+COUNTIF('11月'!CK12:CL12,H$374)+COUNTIF('11月'!CP12:CQ12,H$374)+COUNTIF('11月'!CU12:CV12,H$374)+COUNTIF('11月'!CZ12:DA12,H$374)+COUNTIF('11月'!DE12:DF12,H$374)+COUNTIF('11月'!DJ12:DK12,H$374)+COUNTIF('11月'!DO12:DP12,H$374)+COUNTIF('11月'!DT12:DU12,H$374)+COUNTIF('11月'!DY12:DZ12,H$374)+COUNTIF('11月'!ED12:EE12,H$374)+COUNTIF('11月'!EI12:EJ12,H$374)+COUNTIF('11月'!EN12:EO12,H$374)+COUNTIF('11月'!ES12:ET12,H$374)+COUNTIF('11月'!D12:E12,"渋谷-夜勤")+COUNTIF('11月'!I12:J12,"渋谷-夜勤")+COUNTIF('11月'!N12:O12,"渋谷-夜勤")+COUNTIF('11月'!S12:T12,"渋谷-夜勤")+COUNTIF('11月'!X12:Y12,"渋谷-夜勤")+COUNTIF('11月'!AC12:AD12,"渋谷-夜勤")+COUNTIF('11月'!AH12:AI12,"渋谷-夜勤")+COUNTIF('11月'!AM12:AN12,"渋谷-夜勤")+COUNTIF('11月'!AR12:AS12,"渋谷-夜勤")+COUNTIF('11月'!AW12:AX12,"渋谷-夜勤")+COUNTIF('11月'!BB12:BC12,"渋谷-夜勤")+COUNTIF('11月'!BG12:BH12,"渋谷-夜勤")+COUNTIF('11月'!BL12:BM12,"渋谷-夜勤")+COUNTIF('11月'!BQ12:BR12,"渋谷-夜勤")+COUNTIF('11月'!BV12:BW12,"渋谷-夜勤")+COUNTIF('11月'!CA12:CB12,"渋谷-夜勤")+COUNTIF('11月'!CF12:CG12,"渋谷-夜勤")+COUNTIF('11月'!CK12:CL12,"渋谷-夜勤")+COUNTIF('11月'!CP12:CQ12,"渋谷-夜勤")+COUNTIF('11月'!CU12:CV12,"渋谷-夜勤")+COUNTIF('11月'!CZ12:DA12,"渋谷-夜勤")+COUNTIF('11月'!DE12:DF12,"渋谷-夜勤")+COUNTIF('11月'!DJ12:DK12,"渋谷-夜勤")+COUNTIF('11月'!DO12:DP12,"渋谷-夜勤")+COUNTIF('11月'!DT12:DU12,"渋谷-夜勤")+COUNTIF('11月'!DY12:DZ12,"渋谷-夜勤")+COUNTIF('11月'!ED12:EE12,"渋谷-夜勤")+COUNTIF('11月'!EI12:EJ12,"渋谷-夜勤")+COUNTIF('11月'!EN12:EO12,"渋谷-夜勤")+COUNTIF('11月'!ES12:ET12,"渋谷-夜勤")</f>
        <v>0</v>
      </c>
      <c r="I384" s="76">
        <f t="shared" si="123"/>
        <v>0</v>
      </c>
      <c r="J384" s="76">
        <f>COUNTIF('11月'!D12:E12,J$374)+COUNTIF('11月'!I12:J12,J$374)+COUNTIF('11月'!N12:O12,J$374)+COUNTIF('11月'!S12:T12,J$374)+COUNTIF('11月'!X12:Y12,J$374)+COUNTIF('11月'!AC12:AD12,J$374)+COUNTIF('11月'!AH12:AI12,J$374)+COUNTIF('11月'!AM12:AN12,J$374)+COUNTIF('11月'!AR12:AS12,J$374)+COUNTIF('11月'!AW12:AX12,J$374)+COUNTIF('11月'!BB12:BC12,J$374)+COUNTIF('11月'!BG12:BH12,J$374)+COUNTIF('11月'!BL12:BM12,J$374)+COUNTIF('11月'!BQ12:BR12,J$374)+COUNTIF('11月'!BV12:BW12,J$374)+COUNTIF('11月'!CA12:CB12,J$374)+COUNTIF('11月'!CF12:CG12,J$374)+COUNTIF('11月'!CK12:CL12,J$374)+COUNTIF('11月'!CP12:CQ12,J$374)+COUNTIF('11月'!CU12:CV12,J$374)+COUNTIF('11月'!CZ12:DA12,J$374)+COUNTIF('11月'!DE12:DF12,J$374)+COUNTIF('11月'!DJ12:DK12,J$374)+COUNTIF('11月'!DO12:DP12,J$374)+COUNTIF('11月'!DT12:DU12,J$374)+COUNTIF('11月'!DY12:DZ12,J$374)+COUNTIF('11月'!ED12:EE12,J$374)+COUNTIF('11月'!EI12:EJ12,J$374)+COUNTIF('11月'!EN12:EO12,J$374)+COUNTIF('11月'!ES12:ET12,J$374)+COUNTIF('11月'!D12:E12,"六本木-夜勤")+COUNTIF('11月'!I12:J12,"六本木-夜勤")+COUNTIF('11月'!N12:O12,"六本木-夜勤")+COUNTIF('11月'!S12:T12,"六本木-夜勤")+COUNTIF('11月'!X12:Y12,"六本木-夜勤")+COUNTIF('11月'!AC12:AD12,"六本木-夜勤")+COUNTIF('11月'!AH12:AI12,"六本木-夜勤")+COUNTIF('11月'!AM12:AN12,"六本木-夜勤")+COUNTIF('11月'!AR12:AS12,"六本木-夜勤")+COUNTIF('11月'!AW12:AX12,"六本木-夜勤")+COUNTIF('11月'!BB12:BC12,"六本木-夜勤")+COUNTIF('11月'!BG12:BH12,"六本木-夜勤")+COUNTIF('11月'!BL12:BM12,"六本木-夜勤")+COUNTIF('11月'!BQ12:BR12,"六本木-夜勤")+COUNTIF('11月'!BV12:BW12,"六本木-夜勤")+COUNTIF('11月'!CA12:CB12,"六本木-夜勤")+COUNTIF('11月'!CF12:CG12,"六本木-夜勤")+COUNTIF('11月'!CK12:CL12,"六本木-夜勤")+COUNTIF('11月'!CP12:CQ12,"六本木-夜勤")+COUNTIF('11月'!CU12:CV12,"六本木-夜勤")+COUNTIF('11月'!CZ12:DA12,"六本木-夜勤")+COUNTIF('11月'!DE12:DF12,"六本木-夜勤")+COUNTIF('11月'!DJ12:DK12,"六本木-夜勤")+COUNTIF('11月'!DO12:DP12,"六本木-夜勤")+COUNTIF('11月'!DT12:DU12,"六本木-夜勤")+COUNTIF('11月'!DY12:DZ12,"六本木-夜勤")+COUNTIF('11月'!ED12:EE12,"六本木-夜勤")+COUNTIF('11月'!EI12:EJ12,"六本木-夜勤")+COUNTIF('11月'!EN12:EO12,"六本木-夜勤")+COUNTIF('11月'!ES12:ET12,"六本木-夜勤")+COUNTIF('11月'!D12:E12,"六本木ー夜勤")+COUNTIF('11月'!I12:J12,"六本木ー夜勤")+COUNTIF('11月'!N12:O12,"六本木ー夜勤")+COUNTIF('11月'!S12:T12,"六本木ー夜勤")+COUNTIF('11月'!X12:Y12,"六本木ー夜勤")+COUNTIF('11月'!AC12:AD12,"六本木ー夜勤")+COUNTIF('11月'!AH12:AI12,"六本木ー夜勤")+COUNTIF('11月'!AM12:AN12,"六本木ー夜勤")+COUNTIF('11月'!AR12:AS12,"六本木ー夜勤")+COUNTIF('11月'!AW12:AX12,"六本木ー夜勤")+COUNTIF('11月'!BB12:BC12,"六本木ー夜勤")+COUNTIF('11月'!BG12:BH12,"六本木ー夜勤")+COUNTIF('11月'!BL12:BM12,"六本木ー夜勤")+COUNTIF('11月'!BQ12:BR12,"六本木ー夜勤")+COUNTIF('11月'!BV12:BW12,"六本木ー夜勤")+COUNTIF('11月'!CA12:CB12,"六本木ー夜勤")+COUNTIF('11月'!CF12:CG12,"六本木ー夜勤")+COUNTIF('11月'!CK12:CL12,"六本木ー夜勤")+COUNTIF('11月'!CP12:CQ12,"六本木ー夜勤")+COUNTIF('11月'!CU12:CV12,"六本木ー夜勤")+COUNTIF('11月'!CZ12:DA12,"六本木ー夜勤")+COUNTIF('11月'!DE12:DF12,"六本木ー夜勤")+COUNTIF('11月'!DJ12:DK12,"六本木ー夜勤")+COUNTIF('11月'!DO12:DP12,"六本木ー夜勤")+COUNTIF('11月'!DT12:DU12,"六本木ー夜勤")+COUNTIF('11月'!DY12:DZ12,"六本木ー夜勤")+COUNTIF('11月'!ED12:EE12,"六本木ー夜勤")+COUNTIF('11月'!EI12:EJ12,"六本木ー夜勤")+COUNTIF('11月'!EN12:EO12,"六本木ー夜勤")+COUNTIF('11月'!ES12:ET12,"六本木ー夜勤")</f>
        <v>0</v>
      </c>
      <c r="K384" s="76">
        <f t="shared" si="124"/>
        <v>0</v>
      </c>
      <c r="L384" s="76">
        <f>COUNTIF('11月'!D12:E12,L$374)+COUNTIF('11月'!I12:J12,L$374)+COUNTIF('11月'!N12:O12,L$374)+COUNTIF('11月'!S12:T12,L$374)+COUNTIF('11月'!X12:Y12,L$374)+COUNTIF('11月'!AC12:AD12,L$374)+COUNTIF('11月'!AH12:AI12,L$374)+COUNTIF('11月'!AM12:AN12,L$374)+COUNTIF('11月'!AR12:AS12,L$374)+COUNTIF('11月'!AW12:AX12,L$374)+COUNTIF('11月'!BB12:BC12,L$374)+COUNTIF('11月'!BG12:BH12,L$374)+COUNTIF('11月'!BL12:BM12,L$374)+COUNTIF('11月'!BQ12:BR12,L$374)+COUNTIF('11月'!BV12:BW12,L$374)+COUNTIF('11月'!CA12:CB12,L$374)+COUNTIF('11月'!CF12:CG12,L$374)+COUNTIF('11月'!CK12:CL12,L$374)+COUNTIF('11月'!CP12:CQ12,L$374)+COUNTIF('11月'!CU12:CV12,L$374)+COUNTIF('11月'!CZ12:DA12,L$374)+COUNTIF('11月'!DE12:DF12,L$374)+COUNTIF('11月'!DJ12:DK12,L$374)+COUNTIF('11月'!DO12:DP12,L$374)+COUNTIF('11月'!DT12:DU12,L$374)+COUNTIF('11月'!DY12:DZ12,L$374)+COUNTIF('11月'!ED12:EE12,L$374)+COUNTIF('11月'!EI12:EJ12,L$374)+COUNTIF('11月'!EN12:EO12,L$374)+COUNTIF('11月'!ES12:ET12,L$374)</f>
        <v>0</v>
      </c>
      <c r="M384" s="76">
        <f t="shared" si="125"/>
        <v>0</v>
      </c>
      <c r="N384" s="76">
        <f>COUNTIF('11月'!D12:E12,N$374)+COUNTIF('11月'!I12:J12,N$374)+COUNTIF('11月'!N12:O12,N$374)+COUNTIF('11月'!S12:T12,N$374)+COUNTIF('11月'!X12:Y12,N$374)+COUNTIF('11月'!AC12:AD12,N$374)+COUNTIF('11月'!AH12:AI12,N$374)+COUNTIF('11月'!AM12:AN12,N$374)+COUNTIF('11月'!AR12:AS12,N$374)+COUNTIF('11月'!AW12:AX12,N$374)+COUNTIF('11月'!BB12:BC12,N$374)+COUNTIF('11月'!BG12:BH12,N$374)+COUNTIF('11月'!BL12:BM12,N$374)+COUNTIF('11月'!BQ12:BR12,N$374)+COUNTIF('11月'!BV12:BW12,N$374)+COUNTIF('11月'!CA12:CB12,N$374)+COUNTIF('11月'!CF12:CG12,N$374)+COUNTIF('11月'!CK12:CL12,N$374)+COUNTIF('11月'!CP12:CQ12,N$374)+COUNTIF('11月'!CU12:CV12,N$374)+COUNTIF('11月'!CZ12:DA12,N$374)+COUNTIF('11月'!DE12:DF12,N$374)+COUNTIF('11月'!DJ12:DK12,N$374)+COUNTIF('11月'!DO12:DP12,N$374)+COUNTIF('11月'!DT12:DU12,N$374)+COUNTIF('11月'!DY12:DZ12,N$374)+COUNTIF('11月'!ED12:EE12,N$374)+COUNTIF('11月'!EI12:EJ12,N$374)+COUNTIF('11月'!EN12:EO12,N$374)+COUNTIF('11月'!ES12:ET12,N$374)+COUNTIF('11月'!D12:E12,"三軒茶屋－夜勤")+COUNTIF('11月'!I12:J12,"三軒茶屋－夜勤")+COUNTIF('11月'!N12:O12,"三軒茶屋－夜勤")+COUNTIF('11月'!S12:T12,"三軒茶屋－夜勤")+COUNTIF('11月'!X12:Y12,"三軒茶屋－夜勤")+COUNTIF('11月'!AC12:AD12,"三軒茶屋－夜勤")+COUNTIF('11月'!AH12:AI12,"三軒茶屋－夜勤")+COUNTIF('11月'!AM12:AN12,"三軒茶屋－夜勤")+COUNTIF('11月'!AR12:AS12,"三軒茶屋－夜勤")+COUNTIF('11月'!AW12:AX12,"三軒茶屋－夜勤")+COUNTIF('11月'!BB12:BC12,"三軒茶屋－夜勤")+COUNTIF('11月'!BG12:BH12,"三軒茶屋－夜勤")+COUNTIF('11月'!BL12:BM12,"三軒茶屋－夜勤")+COUNTIF('11月'!BQ12:BR12,"三軒茶屋－夜勤")+COUNTIF('11月'!BV12:BW12,"三軒茶屋－夜勤")+COUNTIF('11月'!CA12:CB12,"三軒茶屋－夜勤")+COUNTIF('11月'!CF12:CG12,"三軒茶屋－夜勤")+COUNTIF('11月'!CK12:CL12,"三軒茶屋－夜勤")+COUNTIF('11月'!CP12:CQ12,"三軒茶屋－夜勤")+COUNTIF('11月'!CU12:CV12,"三軒茶屋－夜勤")+COUNTIF('11月'!CZ12:DA12,"三軒茶屋－夜勤")+COUNTIF('11月'!DE12:DF12,"三軒茶屋－夜勤")+COUNTIF('11月'!DJ12:DK12,"三軒茶屋－夜勤")+COUNTIF('11月'!DO12:DP12,"三軒茶屋－夜勤")+COUNTIF('11月'!DT12:DU12,"三軒茶屋－夜勤")+COUNTIF('11月'!DY12:DZ12,"三軒茶屋－夜勤")+COUNTIF('11月'!ED12:EE12,"三軒茶屋－夜勤")+COUNTIF('11月'!EI12:EJ12,"三軒茶屋－夜勤")+COUNTIF('11月'!EN12:EO12,"三軒茶屋－夜勤")+COUNTIF('11月'!ES12:ET12,"三軒茶屋－夜勤")</f>
        <v>0</v>
      </c>
      <c r="O384" s="76">
        <f t="shared" si="126"/>
        <v>0</v>
      </c>
      <c r="P384" s="76">
        <f>COUNTIF('11月'!D12:E12,P$374)+COUNTIF('11月'!I12:J12,P$374)+COUNTIF('11月'!N12:O12,P$374)+COUNTIF('11月'!S12:T12,P$374)+COUNTIF('11月'!X12:Y12,P$374)+COUNTIF('11月'!AC12:AD12,P$374)+COUNTIF('11月'!AH12:AI12,P$374)+COUNTIF('11月'!AM12:AN12,P$374)+COUNTIF('11月'!AR12:AS12,P$374)+COUNTIF('11月'!AW12:AX12,P$374)+COUNTIF('11月'!BB12:BC12,P$374)+COUNTIF('11月'!BG12:BH12,P$374)+COUNTIF('11月'!BL12:BM12,P$374)+COUNTIF('11月'!BQ12:BR12,P$374)+COUNTIF('11月'!BV12:BW12,P$374)+COUNTIF('11月'!CA12:CB12,P$374)+COUNTIF('11月'!CF12:CG12,P$374)+COUNTIF('11月'!CK12:CL12,P$374)+COUNTIF('11月'!CP12:CQ12,P$374)+COUNTIF('11月'!CU12:CV12,P$374)+COUNTIF('11月'!CZ12:DA12,P$374)+COUNTIF('11月'!DE12:DF12,P$374)+COUNTIF('11月'!DJ12:DK12,P$374)+COUNTIF('11月'!DO12:DP12,P$374)+COUNTIF('11月'!DT12:DU12,P$374)+COUNTIF('11月'!DY12:DZ12,P$374)+COUNTIF('11月'!ED12:EE12,P$374)+COUNTIF('11月'!EI12:EJ12,P$374)+COUNTIF('11月'!EN12:EO12,P$374)+COUNTIF('11月'!ES12:ET12,P$374)+COUNTIF('11月'!D12:E12,"荻窪ー夜勤")+COUNTIF('11月'!I12:J12,"荻窪ー夜勤")+COUNTIF('11月'!N12:O12,"荻窪ー夜勤")+COUNTIF('11月'!S12:T12,"荻窪ー夜勤")+COUNTIF('11月'!X12:Y12,"荻窪ー夜勤")+COUNTIF('11月'!AC12:AD12,"荻窪ー夜勤")+COUNTIF('11月'!AH12:AI12,"荻窪ー夜勤")+COUNTIF('11月'!AM12:AN12,"荻窪ー夜勤")+COUNTIF('11月'!AR12:AS12,"荻窪ー夜勤")+COUNTIF('11月'!AW12:AX12,"荻窪ー夜勤")+COUNTIF('11月'!BB12:BC12,"荻窪ー夜勤")+COUNTIF('11月'!BG12:BH12,"荻窪ー夜勤")+COUNTIF('11月'!BL12:BM12,"荻窪ー夜勤")+COUNTIF('11月'!BQ12:BR12,"荻窪ー夜勤")+COUNTIF('11月'!BV12:BW12,"荻窪ー夜勤")+COUNTIF('11月'!CA12:CB12,"荻窪ー夜勤")+COUNTIF('11月'!CF12:CG12,"荻窪ー夜勤")+COUNTIF('11月'!CK12:CL12,"荻窪ー夜勤")+COUNTIF('11月'!CP12:CQ12,"荻窪ー夜勤")+COUNTIF('11月'!CU12:CV12,"荻窪ー夜勤")+COUNTIF('11月'!CZ12:DA12,"荻窪ー夜勤")+COUNTIF('11月'!DE12:DF12,"荻窪ー夜勤")+COUNTIF('11月'!DJ12:DK12,"荻窪ー夜勤")+COUNTIF('11月'!DO12:DP12,"荻窪ー夜勤")+COUNTIF('11月'!DT12:DU12,"荻窪ー夜勤")+COUNTIF('11月'!DY12:DZ12,"荻窪ー夜勤")+COUNTIF('11月'!ED12:EE12,"荻窪ー夜勤")+COUNTIF('11月'!EI12:EJ12,"荻窪ー夜勤")+COUNTIF('11月'!EN12:EO12,"荻窪ー夜勤")+COUNTIF('11月'!ES12:ET12,"荻窪ー夜勤")</f>
        <v>0</v>
      </c>
      <c r="Q384" s="76">
        <f t="shared" si="127"/>
        <v>0</v>
      </c>
      <c r="R384" s="76">
        <f>COUNTIF('11月'!D12:E12,R$374)+COUNTIF('11月'!I12:J12,R$374)+COUNTIF('11月'!N12:O12,R$374)+COUNTIF('11月'!S12:T12,R$374)+COUNTIF('11月'!X12:Y12,R$374)+COUNTIF('11月'!AC12:AD12,R$374)+COUNTIF('11月'!AH12:AI12,R$374)+COUNTIF('11月'!AM12:AN12,R$374)+COUNTIF('11月'!AR12:AS12,R$374)+COUNTIF('11月'!AW12:AX12,R$374)+COUNTIF('11月'!BB12:BC12,R$374)+COUNTIF('11月'!BG12:BH12,R$374)+COUNTIF('11月'!BL12:BM12,R$374)+COUNTIF('11月'!BQ12:BR12,R$374)+COUNTIF('11月'!BV12:BW12,R$374)+COUNTIF('11月'!CA12:CB12,R$374)+COUNTIF('11月'!CF12:CG12,R$374)+COUNTIF('11月'!CK12:CL12,R$374)+COUNTIF('11月'!CP12:CQ12,R$374)+COUNTIF('11月'!CU12:CV12,R$374)+COUNTIF('11月'!CZ12:DA12,R$374)+COUNTIF('11月'!DE12:DF12,R$374)+COUNTIF('11月'!DJ12:DK12,R$374)+COUNTIF('11月'!DO12:DP12,R$374)+COUNTIF('11月'!DT12:DU12,R$374)+COUNTIF('11月'!DY12:DZ12,R$374)+COUNTIF('11月'!ED12:EE12,R$374)+COUNTIF('11月'!EI12:EJ12,R$374)+COUNTIF('11月'!EN12:EO12,R$374)+COUNTIF('11月'!ES12:ET12,R$374)</f>
        <v>0</v>
      </c>
      <c r="S384" s="76">
        <f t="shared" si="128"/>
        <v>0</v>
      </c>
      <c r="T384" s="76">
        <f>COUNTIF('11月'!D12:E12,T$374)+COUNTIF('11月'!I12:J12,T$374)+COUNTIF('11月'!N12:O12,T$374)+COUNTIF('11月'!S12:T12,T$374)+COUNTIF('11月'!X12:Y12,T$374)+COUNTIF('11月'!AC12:AD12,T$374)+COUNTIF('11月'!AH12:AI12,T$374)+COUNTIF('11月'!AM12:AN12,T$374)+COUNTIF('11月'!AR12:AS12,T$374)+COUNTIF('11月'!AW12:AX12,T$374)+COUNTIF('11月'!BB12:BC12,T$374)+COUNTIF('11月'!BG12:BH12,T$374)+COUNTIF('11月'!BL12:BM12,T$374)+COUNTIF('11月'!BQ12:BR12,T$374)+COUNTIF('11月'!BV12:BW12,T$374)+COUNTIF('11月'!CA12:CB12,T$374)+COUNTIF('11月'!CF12:CG12,T$374)+COUNTIF('11月'!CK12:CL12,T$374)+COUNTIF('11月'!CP12:CQ12,T$374)+COUNTIF('11月'!CU12:CV12,T$374)+COUNTIF('11月'!CZ12:DA12,T$374)+COUNTIF('11月'!DE12:DF12,T$374)+COUNTIF('11月'!DJ12:DK12,T$374)+COUNTIF('11月'!DO12:DP12,T$374)+COUNTIF('11月'!DT12:DU12,T$374)+COUNTIF('11月'!DY12:DZ12,T$374)+COUNTIF('11月'!ED12:EE12,T$374)+COUNTIF('11月'!EI12:EJ12,T$374)+COUNTIF('11月'!EN12:EO12,T$374)+COUNTIF('11月'!ES12:ET12,T$374)</f>
        <v>0</v>
      </c>
      <c r="U384" s="76">
        <f t="shared" si="129"/>
        <v>0</v>
      </c>
      <c r="V384" s="76">
        <f>COUNTIF('11月'!D12:E12,V$374)+COUNTIF('11月'!I12:J12,V$374)+COUNTIF('11月'!N12:O12,V$374)+COUNTIF('11月'!S12:T12,V$374)+COUNTIF('11月'!X12:Y12,V$374)+COUNTIF('11月'!AC12:AD12,V$374)+COUNTIF('11月'!AH12:AI12,V$374)+COUNTIF('11月'!AM12:AN12,V$374)+COUNTIF('11月'!AR12:AS12,V$374)+COUNTIF('11月'!AW12:AX12,V$374)+COUNTIF('11月'!BB12:BC12,V$374)+COUNTIF('11月'!BG12:BH12,V$374)+COUNTIF('11月'!BL12:BM12,V$374)+COUNTIF('11月'!BQ12:BR12,V$374)+COUNTIF('11月'!BV12:BW12,V$374)+COUNTIF('11月'!CA12:CB12,V$374)+COUNTIF('11月'!CF12:CG12,V$374)+COUNTIF('11月'!CK12:CL12,V$374)+COUNTIF('11月'!CP12:CQ12,V$374)+COUNTIF('11月'!CU12:CV12,V$374)+COUNTIF('11月'!CZ12:DA12,V$374)+COUNTIF('11月'!DE12:DF12,V$374)+COUNTIF('11月'!DJ12:DK12,V$374)+COUNTIF('11月'!DO12:DP12,V$374)+COUNTIF('11月'!DT12:DU12,V$374)+COUNTIF('11月'!DY12:DZ12,V$374)+COUNTIF('11月'!ED12:EE12,V$374)+COUNTIF('11月'!EI12:EJ12,V$374)+COUNTIF('11月'!EN12:EO12,V$374)+COUNTIF('11月'!ES12:ET12,V$374)</f>
        <v>0</v>
      </c>
      <c r="W384" s="76">
        <f t="shared" si="130"/>
        <v>0</v>
      </c>
      <c r="X384" s="76">
        <f>COUNTIF('11月'!D12:E12,X$374)+COUNTIF('11月'!I12:J12,X$374)+COUNTIF('11月'!N12:O12,X$374)+COUNTIF('11月'!S12:T12,X$374)+COUNTIF('11月'!X12:Y12,X$374)+COUNTIF('11月'!AC12:AD12,X$374)+COUNTIF('11月'!AH12:AI12,X$374)+COUNTIF('11月'!AM12:AN12,X$374)+COUNTIF('11月'!AR12:AS12,X$374)+COUNTIF('11月'!AW12:AX12,X$374)+COUNTIF('11月'!BB12:BC12,X$374)+COUNTIF('11月'!BG12:BH12,X$374)+COUNTIF('11月'!BL12:BM12,X$374)+COUNTIF('11月'!BQ12:BR12,X$374)+COUNTIF('11月'!BV12:BW12,X$374)+COUNTIF('11月'!CA12:CB12,X$374)+COUNTIF('11月'!CF12:CG12,X$374)+COUNTIF('11月'!CK12:CL12,X$374)+COUNTIF('11月'!CP12:CQ12,X$374)+COUNTIF('11月'!CU12:CV12,X$374)+COUNTIF('11月'!CZ12:DA12,X$374)+COUNTIF('11月'!DE12:DF12,X$374)+COUNTIF('11月'!DJ12:DK12,X$374)+COUNTIF('11月'!DO12:DP12,X$374)+COUNTIF('11月'!DT12:DU12,X$374)+COUNTIF('11月'!DY12:DZ12,X$374)+COUNTIF('11月'!ED12:EE12,X$374)+COUNTIF('11月'!EI12:EJ12,X$374)+COUNTIF('11月'!EN12:EO12,X$374)+COUNTIF('11月'!ES12:ET12,X$374)</f>
        <v>0</v>
      </c>
      <c r="Y384" s="76">
        <f t="shared" si="131"/>
        <v>0</v>
      </c>
    </row>
    <row r="385" spans="1:25" ht="18" customHeight="1">
      <c r="A385" s="76">
        <v>10</v>
      </c>
      <c r="B385" s="76">
        <f>COUNTIF('11月'!D13:E13,B$374)+COUNTIF('11月'!I13:J13,B$374)+COUNTIF('11月'!N13:O13,B$374)+COUNTIF('11月'!S13:T13,B$374)+COUNTIF('11月'!X13:Y13,B$374)+COUNTIF('11月'!AC13:AD13,B$374)+COUNTIF('11月'!AH13:AI13,B$374)+COUNTIF('11月'!AM13:AN13,B$374)+COUNTIF('11月'!AR13:AS13,B$374)+COUNTIF('11月'!AW13:AX13,B$374)+COUNTIF('11月'!BB13:BC13,B$374)+COUNTIF('11月'!BG13:BH13,B$374)+COUNTIF('11月'!BL13:BM13,B$374)+COUNTIF('11月'!BQ13:BR13,B$374)+COUNTIF('11月'!BV13:BW13,B$374)+COUNTIF('11月'!CA13:CB13,B$374)+COUNTIF('11月'!CF13:CG13,B$374)+COUNTIF('11月'!CK13:CL13,B$374)+COUNTIF('11月'!CP13:CQ13,B$374)+COUNTIF('11月'!CU13:CV13,B$374)+COUNTIF('11月'!CZ13:DA13,B$374)+COUNTIF('11月'!DE13:DF13,B$374)+COUNTIF('11月'!DJ13:DK13,B$374)+COUNTIF('11月'!DO13:DP13,B$374)+COUNTIF('11月'!DT13:DU13,B$374)+COUNTIF('11月'!DY13:DZ13,B$374)+COUNTIF('11月'!ED13:EE13,B$374)+COUNTIF('11月'!EI13:EJ13,B$374)+COUNTIF('11月'!EN13:EO13,B$374)+COUNTIF('11月'!ES13:ET13,B$374)</f>
        <v>0</v>
      </c>
      <c r="C385" s="76">
        <f t="shared" si="120"/>
        <v>0</v>
      </c>
      <c r="D385" s="76">
        <f>COUNTIF('11月'!D13:E13,D$374)+COUNTIF('11月'!I13:J13,D$374)+COUNTIF('11月'!N13:O13,D$374)+COUNTIF('11月'!S13:T13,D$374)+COUNTIF('11月'!X13:Y13,D$374)+COUNTIF('11月'!AC13:AD13,D$374)+COUNTIF('11月'!AH13:AI13,D$374)+COUNTIF('11月'!AM13:AN13,D$374)+COUNTIF('11月'!AR13:AS13,D$374)+COUNTIF('11月'!AW13:AX13,D$374)+COUNTIF('11月'!BB13:BC13,D$374)+COUNTIF('11月'!BG13:BH13,D$374)+COUNTIF('11月'!BL13:BM13,D$374)+COUNTIF('11月'!BQ13:BR13,D$374)+COUNTIF('11月'!BV13:BW13,D$374)+COUNTIF('11月'!CA13:CB13,D$374)+COUNTIF('11月'!CF13:CG13,D$374)+COUNTIF('11月'!CK13:CL13,D$374)+COUNTIF('11月'!CP13:CQ13,D$374)+COUNTIF('11月'!CU13:CV13,D$374)+COUNTIF('11月'!CZ13:DA13,D$374)+COUNTIF('11月'!DE13:DF13,D$374)+COUNTIF('11月'!DJ13:DK13,D$374)+COUNTIF('11月'!DO13:DP13,D$374)+COUNTIF('11月'!DT13:DU13,D$374)+COUNTIF('11月'!DY13:DZ13,D$374)+COUNTIF('11月'!ED13:EE13,D$374)+COUNTIF('11月'!EI13:EJ13,D$374)+COUNTIF('11月'!EN13:EO13,D$374)+COUNTIF('11月'!ES13:ET13,D$374)</f>
        <v>0</v>
      </c>
      <c r="E385" s="76">
        <f t="shared" si="121"/>
        <v>0</v>
      </c>
      <c r="F385" s="76">
        <f>COUNTIF('11月'!D13:E13,F$374)+COUNTIF('11月'!I13:J13,F$374)+COUNTIF('11月'!N13:O13,F$374)+COUNTIF('11月'!S13:T13,F$374)+COUNTIF('11月'!X13:Y13,F$374)+COUNTIF('11月'!AC13:AD13,F$374)+COUNTIF('11月'!AH13:AI13,F$374)+COUNTIF('11月'!AM13:AN13,F$374)+COUNTIF('11月'!AR13:AS13,F$374)+COUNTIF('11月'!AW13:AX13,F$374)+COUNTIF('11月'!BB13:BC13,F$374)+COUNTIF('11月'!BG13:BH13,F$374)+COUNTIF('11月'!BL13:BM13,F$374)+COUNTIF('11月'!BQ13:BR13,F$374)+COUNTIF('11月'!BV13:BW13,F$374)+COUNTIF('11月'!CA13:CB13,F$374)+COUNTIF('11月'!CF13:CG13,F$374)+COUNTIF('11月'!CK13:CL13,F$374)+COUNTIF('11月'!CP13:CQ13,F$374)+COUNTIF('11月'!CU13:CV13,F$374)+COUNTIF('11月'!CZ13:DA13,F$374)+COUNTIF('11月'!DE13:DF13,F$374)+COUNTIF('11月'!DJ13:DK13,F$374)+COUNTIF('11月'!DO13:DP13,F$374)+COUNTIF('11月'!DT13:DU13,F$374)+COUNTIF('11月'!DY13:DZ13,F$374)+COUNTIF('11月'!ED13:EE13,F$374)+COUNTIF('11月'!EI13:EJ13,F$374)+COUNTIF('11月'!EN13:EO13,F$374)+COUNTIF('11月'!ES13:ET13,F$374)</f>
        <v>0</v>
      </c>
      <c r="G385" s="76">
        <f t="shared" si="122"/>
        <v>0</v>
      </c>
      <c r="H385" s="76">
        <f>COUNTIF('11月'!D13:E13,H$374)+COUNTIF('11月'!I13:J13,H$374)+COUNTIF('11月'!N13:O13,H$374)+COUNTIF('11月'!S13:T13,H$374)+COUNTIF('11月'!X13:Y13,H$374)+COUNTIF('11月'!AC13:AD13,H$374)+COUNTIF('11月'!AH13:AI13,H$374)+COUNTIF('11月'!AM13:AN13,H$374)+COUNTIF('11月'!AR13:AS13,H$374)+COUNTIF('11月'!AW13:AX13,H$374)+COUNTIF('11月'!BB13:BC13,H$374)+COUNTIF('11月'!BG13:BH13,H$374)+COUNTIF('11月'!BL13:BM13,H$374)+COUNTIF('11月'!BQ13:BR13,H$374)+COUNTIF('11月'!BV13:BW13,H$374)+COUNTIF('11月'!CA13:CB13,H$374)+COUNTIF('11月'!CF13:CG13,H$374)+COUNTIF('11月'!CK13:CL13,H$374)+COUNTIF('11月'!CP13:CQ13,H$374)+COUNTIF('11月'!CU13:CV13,H$374)+COUNTIF('11月'!CZ13:DA13,H$374)+COUNTIF('11月'!DE13:DF13,H$374)+COUNTIF('11月'!DJ13:DK13,H$374)+COUNTIF('11月'!DO13:DP13,H$374)+COUNTIF('11月'!DT13:DU13,H$374)+COUNTIF('11月'!DY13:DZ13,H$374)+COUNTIF('11月'!ED13:EE13,H$374)+COUNTIF('11月'!EI13:EJ13,H$374)+COUNTIF('11月'!EN13:EO13,H$374)+COUNTIF('11月'!ES13:ET13,H$374)+COUNTIF('11月'!D13:E13,"渋谷-夜勤")+COUNTIF('11月'!I13:J13,"渋谷-夜勤")+COUNTIF('11月'!N13:O13,"渋谷-夜勤")+COUNTIF('11月'!S13:T13,"渋谷-夜勤")+COUNTIF('11月'!X13:Y13,"渋谷-夜勤")+COUNTIF('11月'!AC13:AD13,"渋谷-夜勤")+COUNTIF('11月'!AH13:AI13,"渋谷-夜勤")+COUNTIF('11月'!AM13:AN13,"渋谷-夜勤")+COUNTIF('11月'!AR13:AS13,"渋谷-夜勤")+COUNTIF('11月'!AW13:AX13,"渋谷-夜勤")+COUNTIF('11月'!BB13:BC13,"渋谷-夜勤")+COUNTIF('11月'!BG13:BH13,"渋谷-夜勤")+COUNTIF('11月'!BL13:BM13,"渋谷-夜勤")+COUNTIF('11月'!BQ13:BR13,"渋谷-夜勤")+COUNTIF('11月'!BV13:BW13,"渋谷-夜勤")+COUNTIF('11月'!CA13:CB13,"渋谷-夜勤")+COUNTIF('11月'!CF13:CG13,"渋谷-夜勤")+COUNTIF('11月'!CK13:CL13,"渋谷-夜勤")+COUNTIF('11月'!CP13:CQ13,"渋谷-夜勤")+COUNTIF('11月'!CU13:CV13,"渋谷-夜勤")+COUNTIF('11月'!CZ13:DA13,"渋谷-夜勤")+COUNTIF('11月'!DE13:DF13,"渋谷-夜勤")+COUNTIF('11月'!DJ13:DK13,"渋谷-夜勤")+COUNTIF('11月'!DO13:DP13,"渋谷-夜勤")+COUNTIF('11月'!DT13:DU13,"渋谷-夜勤")+COUNTIF('11月'!DY13:DZ13,"渋谷-夜勤")+COUNTIF('11月'!ED13:EE13,"渋谷-夜勤")+COUNTIF('11月'!EI13:EJ13,"渋谷-夜勤")+COUNTIF('11月'!EN13:EO13,"渋谷-夜勤")+COUNTIF('11月'!ES13:ET13,"渋谷-夜勤")</f>
        <v>0</v>
      </c>
      <c r="I385" s="76">
        <f t="shared" si="123"/>
        <v>0</v>
      </c>
      <c r="J385" s="76">
        <f>COUNTIF('11月'!D13:E13,J$374)+COUNTIF('11月'!I13:J13,J$374)+COUNTIF('11月'!N13:O13,J$374)+COUNTIF('11月'!S13:T13,J$374)+COUNTIF('11月'!X13:Y13,J$374)+COUNTIF('11月'!AC13:AD13,J$374)+COUNTIF('11月'!AH13:AI13,J$374)+COUNTIF('11月'!AM13:AN13,J$374)+COUNTIF('11月'!AR13:AS13,J$374)+COUNTIF('11月'!AW13:AX13,J$374)+COUNTIF('11月'!BB13:BC13,J$374)+COUNTIF('11月'!BG13:BH13,J$374)+COUNTIF('11月'!BL13:BM13,J$374)+COUNTIF('11月'!BQ13:BR13,J$374)+COUNTIF('11月'!BV13:BW13,J$374)+COUNTIF('11月'!CA13:CB13,J$374)+COUNTIF('11月'!CF13:CG13,J$374)+COUNTIF('11月'!CK13:CL13,J$374)+COUNTIF('11月'!CP13:CQ13,J$374)+COUNTIF('11月'!CU13:CV13,J$374)+COUNTIF('11月'!CZ13:DA13,J$374)+COUNTIF('11月'!DE13:DF13,J$374)+COUNTIF('11月'!DJ13:DK13,J$374)+COUNTIF('11月'!DO13:DP13,J$374)+COUNTIF('11月'!DT13:DU13,J$374)+COUNTIF('11月'!DY13:DZ13,J$374)+COUNTIF('11月'!ED13:EE13,J$374)+COUNTIF('11月'!EI13:EJ13,J$374)+COUNTIF('11月'!EN13:EO13,J$374)+COUNTIF('11月'!ES13:ET13,J$374)+COUNTIF('11月'!D13:E13,"六本木-夜勤")+COUNTIF('11月'!I13:J13,"六本木-夜勤")+COUNTIF('11月'!N13:O13,"六本木-夜勤")+COUNTIF('11月'!S13:T13,"六本木-夜勤")+COUNTIF('11月'!X13:Y13,"六本木-夜勤")+COUNTIF('11月'!AC13:AD13,"六本木-夜勤")+COUNTIF('11月'!AH13:AI13,"六本木-夜勤")+COUNTIF('11月'!AM13:AN13,"六本木-夜勤")+COUNTIF('11月'!AR13:AS13,"六本木-夜勤")+COUNTIF('11月'!AW13:AX13,"六本木-夜勤")+COUNTIF('11月'!BB13:BC13,"六本木-夜勤")+COUNTIF('11月'!BG13:BH13,"六本木-夜勤")+COUNTIF('11月'!BL13:BM13,"六本木-夜勤")+COUNTIF('11月'!BQ13:BR13,"六本木-夜勤")+COUNTIF('11月'!BV13:BW13,"六本木-夜勤")+COUNTIF('11月'!CA13:CB13,"六本木-夜勤")+COUNTIF('11月'!CF13:CG13,"六本木-夜勤")+COUNTIF('11月'!CK13:CL13,"六本木-夜勤")+COUNTIF('11月'!CP13:CQ13,"六本木-夜勤")+COUNTIF('11月'!CU13:CV13,"六本木-夜勤")+COUNTIF('11月'!CZ13:DA13,"六本木-夜勤")+COUNTIF('11月'!DE13:DF13,"六本木-夜勤")+COUNTIF('11月'!DJ13:DK13,"六本木-夜勤")+COUNTIF('11月'!DO13:DP13,"六本木-夜勤")+COUNTIF('11月'!DT13:DU13,"六本木-夜勤")+COUNTIF('11月'!DY13:DZ13,"六本木-夜勤")+COUNTIF('11月'!ED13:EE13,"六本木-夜勤")+COUNTIF('11月'!EI13:EJ13,"六本木-夜勤")+COUNTIF('11月'!EN13:EO13,"六本木-夜勤")+COUNTIF('11月'!ES13:ET13,"六本木-夜勤")+COUNTIF('11月'!D13:E13,"六本木ー夜勤")+COUNTIF('11月'!I13:J13,"六本木ー夜勤")+COUNTIF('11月'!N13:O13,"六本木ー夜勤")+COUNTIF('11月'!S13:T13,"六本木ー夜勤")+COUNTIF('11月'!X13:Y13,"六本木ー夜勤")+COUNTIF('11月'!AC13:AD13,"六本木ー夜勤")+COUNTIF('11月'!AH13:AI13,"六本木ー夜勤")+COUNTIF('11月'!AM13:AN13,"六本木ー夜勤")+COUNTIF('11月'!AR13:AS13,"六本木ー夜勤")+COUNTIF('11月'!AW13:AX13,"六本木ー夜勤")+COUNTIF('11月'!BB13:BC13,"六本木ー夜勤")+COUNTIF('11月'!BG13:BH13,"六本木ー夜勤")+COUNTIF('11月'!BL13:BM13,"六本木ー夜勤")+COUNTIF('11月'!BQ13:BR13,"六本木ー夜勤")+COUNTIF('11月'!BV13:BW13,"六本木ー夜勤")+COUNTIF('11月'!CA13:CB13,"六本木ー夜勤")+COUNTIF('11月'!CF13:CG13,"六本木ー夜勤")+COUNTIF('11月'!CK13:CL13,"六本木ー夜勤")+COUNTIF('11月'!CP13:CQ13,"六本木ー夜勤")+COUNTIF('11月'!CU13:CV13,"六本木ー夜勤")+COUNTIF('11月'!CZ13:DA13,"六本木ー夜勤")+COUNTIF('11月'!DE13:DF13,"六本木ー夜勤")+COUNTIF('11月'!DJ13:DK13,"六本木ー夜勤")+COUNTIF('11月'!DO13:DP13,"六本木ー夜勤")+COUNTIF('11月'!DT13:DU13,"六本木ー夜勤")+COUNTIF('11月'!DY13:DZ13,"六本木ー夜勤")+COUNTIF('11月'!ED13:EE13,"六本木ー夜勤")+COUNTIF('11月'!EI13:EJ13,"六本木ー夜勤")+COUNTIF('11月'!EN13:EO13,"六本木ー夜勤")+COUNTIF('11月'!ES13:ET13,"六本木ー夜勤")</f>
        <v>0</v>
      </c>
      <c r="K385" s="76">
        <f t="shared" si="124"/>
        <v>0</v>
      </c>
      <c r="L385" s="76">
        <f>COUNTIF('11月'!D13:E13,L$374)+COUNTIF('11月'!I13:J13,L$374)+COUNTIF('11月'!N13:O13,L$374)+COUNTIF('11月'!S13:T13,L$374)+COUNTIF('11月'!X13:Y13,L$374)+COUNTIF('11月'!AC13:AD13,L$374)+COUNTIF('11月'!AH13:AI13,L$374)+COUNTIF('11月'!AM13:AN13,L$374)+COUNTIF('11月'!AR13:AS13,L$374)+COUNTIF('11月'!AW13:AX13,L$374)+COUNTIF('11月'!BB13:BC13,L$374)+COUNTIF('11月'!BG13:BH13,L$374)+COUNTIF('11月'!BL13:BM13,L$374)+COUNTIF('11月'!BQ13:BR13,L$374)+COUNTIF('11月'!BV13:BW13,L$374)+COUNTIF('11月'!CA13:CB13,L$374)+COUNTIF('11月'!CF13:CG13,L$374)+COUNTIF('11月'!CK13:CL13,L$374)+COUNTIF('11月'!CP13:CQ13,L$374)+COUNTIF('11月'!CU13:CV13,L$374)+COUNTIF('11月'!CZ13:DA13,L$374)+COUNTIF('11月'!DE13:DF13,L$374)+COUNTIF('11月'!DJ13:DK13,L$374)+COUNTIF('11月'!DO13:DP13,L$374)+COUNTIF('11月'!DT13:DU13,L$374)+COUNTIF('11月'!DY13:DZ13,L$374)+COUNTIF('11月'!ED13:EE13,L$374)+COUNTIF('11月'!EI13:EJ13,L$374)+COUNTIF('11月'!EN13:EO13,L$374)+COUNTIF('11月'!ES13:ET13,L$374)</f>
        <v>0</v>
      </c>
      <c r="M385" s="76">
        <f t="shared" si="125"/>
        <v>0</v>
      </c>
      <c r="N385" s="76">
        <f>COUNTIF('11月'!D13:E13,N$374)+COUNTIF('11月'!I13:J13,N$374)+COUNTIF('11月'!N13:O13,N$374)+COUNTIF('11月'!S13:T13,N$374)+COUNTIF('11月'!X13:Y13,N$374)+COUNTIF('11月'!AC13:AD13,N$374)+COUNTIF('11月'!AH13:AI13,N$374)+COUNTIF('11月'!AM13:AN13,N$374)+COUNTIF('11月'!AR13:AS13,N$374)+COUNTIF('11月'!AW13:AX13,N$374)+COUNTIF('11月'!BB13:BC13,N$374)+COUNTIF('11月'!BG13:BH13,N$374)+COUNTIF('11月'!BL13:BM13,N$374)+COUNTIF('11月'!BQ13:BR13,N$374)+COUNTIF('11月'!BV13:BW13,N$374)+COUNTIF('11月'!CA13:CB13,N$374)+COUNTIF('11月'!CF13:CG13,N$374)+COUNTIF('11月'!CK13:CL13,N$374)+COUNTIF('11月'!CP13:CQ13,N$374)+COUNTIF('11月'!CU13:CV13,N$374)+COUNTIF('11月'!CZ13:DA13,N$374)+COUNTIF('11月'!DE13:DF13,N$374)+COUNTIF('11月'!DJ13:DK13,N$374)+COUNTIF('11月'!DO13:DP13,N$374)+COUNTIF('11月'!DT13:DU13,N$374)+COUNTIF('11月'!DY13:DZ13,N$374)+COUNTIF('11月'!ED13:EE13,N$374)+COUNTIF('11月'!EI13:EJ13,N$374)+COUNTIF('11月'!EN13:EO13,N$374)+COUNTIF('11月'!ES13:ET13,N$374)+COUNTIF('11月'!D13:E13,"三軒茶屋－夜勤")+COUNTIF('11月'!I13:J13,"三軒茶屋－夜勤")+COUNTIF('11月'!N13:O13,"三軒茶屋－夜勤")+COUNTIF('11月'!S13:T13,"三軒茶屋－夜勤")+COUNTIF('11月'!X13:Y13,"三軒茶屋－夜勤")+COUNTIF('11月'!AC13:AD13,"三軒茶屋－夜勤")+COUNTIF('11月'!AH13:AI13,"三軒茶屋－夜勤")+COUNTIF('11月'!AM13:AN13,"三軒茶屋－夜勤")+COUNTIF('11月'!AR13:AS13,"三軒茶屋－夜勤")+COUNTIF('11月'!AW13:AX13,"三軒茶屋－夜勤")+COUNTIF('11月'!BB13:BC13,"三軒茶屋－夜勤")+COUNTIF('11月'!BG13:BH13,"三軒茶屋－夜勤")+COUNTIF('11月'!BL13:BM13,"三軒茶屋－夜勤")+COUNTIF('11月'!BQ13:BR13,"三軒茶屋－夜勤")+COUNTIF('11月'!BV13:BW13,"三軒茶屋－夜勤")+COUNTIF('11月'!CA13:CB13,"三軒茶屋－夜勤")+COUNTIF('11月'!CF13:CG13,"三軒茶屋－夜勤")+COUNTIF('11月'!CK13:CL13,"三軒茶屋－夜勤")+COUNTIF('11月'!CP13:CQ13,"三軒茶屋－夜勤")+COUNTIF('11月'!CU13:CV13,"三軒茶屋－夜勤")+COUNTIF('11月'!CZ13:DA13,"三軒茶屋－夜勤")+COUNTIF('11月'!DE13:DF13,"三軒茶屋－夜勤")+COUNTIF('11月'!DJ13:DK13,"三軒茶屋－夜勤")+COUNTIF('11月'!DO13:DP13,"三軒茶屋－夜勤")+COUNTIF('11月'!DT13:DU13,"三軒茶屋－夜勤")+COUNTIF('11月'!DY13:DZ13,"三軒茶屋－夜勤")+COUNTIF('11月'!ED13:EE13,"三軒茶屋－夜勤")+COUNTIF('11月'!EI13:EJ13,"三軒茶屋－夜勤")+COUNTIF('11月'!EN13:EO13,"三軒茶屋－夜勤")+COUNTIF('11月'!ES13:ET13,"三軒茶屋－夜勤")</f>
        <v>0</v>
      </c>
      <c r="O385" s="76">
        <f t="shared" si="126"/>
        <v>0</v>
      </c>
      <c r="P385" s="76">
        <f>COUNTIF('11月'!D13:E13,P$374)+COUNTIF('11月'!I13:J13,P$374)+COUNTIF('11月'!N13:O13,P$374)+COUNTIF('11月'!S13:T13,P$374)+COUNTIF('11月'!X13:Y13,P$374)+COUNTIF('11月'!AC13:AD13,P$374)+COUNTIF('11月'!AH13:AI13,P$374)+COUNTIF('11月'!AM13:AN13,P$374)+COUNTIF('11月'!AR13:AS13,P$374)+COUNTIF('11月'!AW13:AX13,P$374)+COUNTIF('11月'!BB13:BC13,P$374)+COUNTIF('11月'!BG13:BH13,P$374)+COUNTIF('11月'!BL13:BM13,P$374)+COUNTIF('11月'!BQ13:BR13,P$374)+COUNTIF('11月'!BV13:BW13,P$374)+COUNTIF('11月'!CA13:CB13,P$374)+COUNTIF('11月'!CF13:CG13,P$374)+COUNTIF('11月'!CK13:CL13,P$374)+COUNTIF('11月'!CP13:CQ13,P$374)+COUNTIF('11月'!CU13:CV13,P$374)+COUNTIF('11月'!CZ13:DA13,P$374)+COUNTIF('11月'!DE13:DF13,P$374)+COUNTIF('11月'!DJ13:DK13,P$374)+COUNTIF('11月'!DO13:DP13,P$374)+COUNTIF('11月'!DT13:DU13,P$374)+COUNTIF('11月'!DY13:DZ13,P$374)+COUNTIF('11月'!ED13:EE13,P$374)+COUNTIF('11月'!EI13:EJ13,P$374)+COUNTIF('11月'!EN13:EO13,P$374)+COUNTIF('11月'!ES13:ET13,P$374)+COUNTIF('11月'!D13:E13,"荻窪ー夜勤")+COUNTIF('11月'!I13:J13,"荻窪ー夜勤")+COUNTIF('11月'!N13:O13,"荻窪ー夜勤")+COUNTIF('11月'!S13:T13,"荻窪ー夜勤")+COUNTIF('11月'!X13:Y13,"荻窪ー夜勤")+COUNTIF('11月'!AC13:AD13,"荻窪ー夜勤")+COUNTIF('11月'!AH13:AI13,"荻窪ー夜勤")+COUNTIF('11月'!AM13:AN13,"荻窪ー夜勤")+COUNTIF('11月'!AR13:AS13,"荻窪ー夜勤")+COUNTIF('11月'!AW13:AX13,"荻窪ー夜勤")+COUNTIF('11月'!BB13:BC13,"荻窪ー夜勤")+COUNTIF('11月'!BG13:BH13,"荻窪ー夜勤")+COUNTIF('11月'!BL13:BM13,"荻窪ー夜勤")+COUNTIF('11月'!BQ13:BR13,"荻窪ー夜勤")+COUNTIF('11月'!BV13:BW13,"荻窪ー夜勤")+COUNTIF('11月'!CA13:CB13,"荻窪ー夜勤")+COUNTIF('11月'!CF13:CG13,"荻窪ー夜勤")+COUNTIF('11月'!CK13:CL13,"荻窪ー夜勤")+COUNTIF('11月'!CP13:CQ13,"荻窪ー夜勤")+COUNTIF('11月'!CU13:CV13,"荻窪ー夜勤")+COUNTIF('11月'!CZ13:DA13,"荻窪ー夜勤")+COUNTIF('11月'!DE13:DF13,"荻窪ー夜勤")+COUNTIF('11月'!DJ13:DK13,"荻窪ー夜勤")+COUNTIF('11月'!DO13:DP13,"荻窪ー夜勤")+COUNTIF('11月'!DT13:DU13,"荻窪ー夜勤")+COUNTIF('11月'!DY13:DZ13,"荻窪ー夜勤")+COUNTIF('11月'!ED13:EE13,"荻窪ー夜勤")+COUNTIF('11月'!EI13:EJ13,"荻窪ー夜勤")+COUNTIF('11月'!EN13:EO13,"荻窪ー夜勤")+COUNTIF('11月'!ES13:ET13,"荻窪ー夜勤")</f>
        <v>0</v>
      </c>
      <c r="Q385" s="76">
        <f t="shared" si="127"/>
        <v>0</v>
      </c>
      <c r="R385" s="76">
        <f>COUNTIF('11月'!D13:E13,R$374)+COUNTIF('11月'!I13:J13,R$374)+COUNTIF('11月'!N13:O13,R$374)+COUNTIF('11月'!S13:T13,R$374)+COUNTIF('11月'!X13:Y13,R$374)+COUNTIF('11月'!AC13:AD13,R$374)+COUNTIF('11月'!AH13:AI13,R$374)+COUNTIF('11月'!AM13:AN13,R$374)+COUNTIF('11月'!AR13:AS13,R$374)+COUNTIF('11月'!AW13:AX13,R$374)+COUNTIF('11月'!BB13:BC13,R$374)+COUNTIF('11月'!BG13:BH13,R$374)+COUNTIF('11月'!BL13:BM13,R$374)+COUNTIF('11月'!BQ13:BR13,R$374)+COUNTIF('11月'!BV13:BW13,R$374)+COUNTIF('11月'!CA13:CB13,R$374)+COUNTIF('11月'!CF13:CG13,R$374)+COUNTIF('11月'!CK13:CL13,R$374)+COUNTIF('11月'!CP13:CQ13,R$374)+COUNTIF('11月'!CU13:CV13,R$374)+COUNTIF('11月'!CZ13:DA13,R$374)+COUNTIF('11月'!DE13:DF13,R$374)+COUNTIF('11月'!DJ13:DK13,R$374)+COUNTIF('11月'!DO13:DP13,R$374)+COUNTIF('11月'!DT13:DU13,R$374)+COUNTIF('11月'!DY13:DZ13,R$374)+COUNTIF('11月'!ED13:EE13,R$374)+COUNTIF('11月'!EI13:EJ13,R$374)+COUNTIF('11月'!EN13:EO13,R$374)+COUNTIF('11月'!ES13:ET13,R$374)</f>
        <v>0</v>
      </c>
      <c r="S385" s="76">
        <f t="shared" si="128"/>
        <v>0</v>
      </c>
      <c r="T385" s="76">
        <f>COUNTIF('11月'!D13:E13,T$374)+COUNTIF('11月'!I13:J13,T$374)+COUNTIF('11月'!N13:O13,T$374)+COUNTIF('11月'!S13:T13,T$374)+COUNTIF('11月'!X13:Y13,T$374)+COUNTIF('11月'!AC13:AD13,T$374)+COUNTIF('11月'!AH13:AI13,T$374)+COUNTIF('11月'!AM13:AN13,T$374)+COUNTIF('11月'!AR13:AS13,T$374)+COUNTIF('11月'!AW13:AX13,T$374)+COUNTIF('11月'!BB13:BC13,T$374)+COUNTIF('11月'!BG13:BH13,T$374)+COUNTIF('11月'!BL13:BM13,T$374)+COUNTIF('11月'!BQ13:BR13,T$374)+COUNTIF('11月'!BV13:BW13,T$374)+COUNTIF('11月'!CA13:CB13,T$374)+COUNTIF('11月'!CF13:CG13,T$374)+COUNTIF('11月'!CK13:CL13,T$374)+COUNTIF('11月'!CP13:CQ13,T$374)+COUNTIF('11月'!CU13:CV13,T$374)+COUNTIF('11月'!CZ13:DA13,T$374)+COUNTIF('11月'!DE13:DF13,T$374)+COUNTIF('11月'!DJ13:DK13,T$374)+COUNTIF('11月'!DO13:DP13,T$374)+COUNTIF('11月'!DT13:DU13,T$374)+COUNTIF('11月'!DY13:DZ13,T$374)+COUNTIF('11月'!ED13:EE13,T$374)+COUNTIF('11月'!EI13:EJ13,T$374)+COUNTIF('11月'!EN13:EO13,T$374)+COUNTIF('11月'!ES13:ET13,T$374)</f>
        <v>0</v>
      </c>
      <c r="U385" s="76">
        <f t="shared" si="129"/>
        <v>0</v>
      </c>
      <c r="V385" s="76">
        <f>COUNTIF('11月'!D13:E13,V$374)+COUNTIF('11月'!I13:J13,V$374)+COUNTIF('11月'!N13:O13,V$374)+COUNTIF('11月'!S13:T13,V$374)+COUNTIF('11月'!X13:Y13,V$374)+COUNTIF('11月'!AC13:AD13,V$374)+COUNTIF('11月'!AH13:AI13,V$374)+COUNTIF('11月'!AM13:AN13,V$374)+COUNTIF('11月'!AR13:AS13,V$374)+COUNTIF('11月'!AW13:AX13,V$374)+COUNTIF('11月'!BB13:BC13,V$374)+COUNTIF('11月'!BG13:BH13,V$374)+COUNTIF('11月'!BL13:BM13,V$374)+COUNTIF('11月'!BQ13:BR13,V$374)+COUNTIF('11月'!BV13:BW13,V$374)+COUNTIF('11月'!CA13:CB13,V$374)+COUNTIF('11月'!CF13:CG13,V$374)+COUNTIF('11月'!CK13:CL13,V$374)+COUNTIF('11月'!CP13:CQ13,V$374)+COUNTIF('11月'!CU13:CV13,V$374)+COUNTIF('11月'!CZ13:DA13,V$374)+COUNTIF('11月'!DE13:DF13,V$374)+COUNTIF('11月'!DJ13:DK13,V$374)+COUNTIF('11月'!DO13:DP13,V$374)+COUNTIF('11月'!DT13:DU13,V$374)+COUNTIF('11月'!DY13:DZ13,V$374)+COUNTIF('11月'!ED13:EE13,V$374)+COUNTIF('11月'!EI13:EJ13,V$374)+COUNTIF('11月'!EN13:EO13,V$374)+COUNTIF('11月'!ES13:ET13,V$374)</f>
        <v>0</v>
      </c>
      <c r="W385" s="76">
        <f t="shared" si="130"/>
        <v>0</v>
      </c>
      <c r="X385" s="76">
        <f>COUNTIF('11月'!D13:E13,X$374)+COUNTIF('11月'!I13:J13,X$374)+COUNTIF('11月'!N13:O13,X$374)+COUNTIF('11月'!S13:T13,X$374)+COUNTIF('11月'!X13:Y13,X$374)+COUNTIF('11月'!AC13:AD13,X$374)+COUNTIF('11月'!AH13:AI13,X$374)+COUNTIF('11月'!AM13:AN13,X$374)+COUNTIF('11月'!AR13:AS13,X$374)+COUNTIF('11月'!AW13:AX13,X$374)+COUNTIF('11月'!BB13:BC13,X$374)+COUNTIF('11月'!BG13:BH13,X$374)+COUNTIF('11月'!BL13:BM13,X$374)+COUNTIF('11月'!BQ13:BR13,X$374)+COUNTIF('11月'!BV13:BW13,X$374)+COUNTIF('11月'!CA13:CB13,X$374)+COUNTIF('11月'!CF13:CG13,X$374)+COUNTIF('11月'!CK13:CL13,X$374)+COUNTIF('11月'!CP13:CQ13,X$374)+COUNTIF('11月'!CU13:CV13,X$374)+COUNTIF('11月'!CZ13:DA13,X$374)+COUNTIF('11月'!DE13:DF13,X$374)+COUNTIF('11月'!DJ13:DK13,X$374)+COUNTIF('11月'!DO13:DP13,X$374)+COUNTIF('11月'!DT13:DU13,X$374)+COUNTIF('11月'!DY13:DZ13,X$374)+COUNTIF('11月'!ED13:EE13,X$374)+COUNTIF('11月'!EI13:EJ13,X$374)+COUNTIF('11月'!EN13:EO13,X$374)+COUNTIF('11月'!ES13:ET13,X$374)</f>
        <v>0</v>
      </c>
      <c r="Y385" s="76">
        <f t="shared" si="131"/>
        <v>0</v>
      </c>
    </row>
    <row r="386" spans="1:25" ht="18" customHeight="1">
      <c r="A386" s="76">
        <v>11</v>
      </c>
      <c r="B386" s="76">
        <f>COUNTIF('11月'!D14:E14,B$374)+COUNTIF('11月'!I14:J14,B$374)+COUNTIF('11月'!N14:O14,B$374)+COUNTIF('11月'!S14:T14,B$374)+COUNTIF('11月'!X14:Y14,B$374)+COUNTIF('11月'!AC14:AD14,B$374)+COUNTIF('11月'!AH14:AI14,B$374)+COUNTIF('11月'!AM14:AN14,B$374)+COUNTIF('11月'!AR14:AS14,B$374)+COUNTIF('11月'!AW14:AX14,B$374)+COUNTIF('11月'!BB14:BC14,B$374)+COUNTIF('11月'!BG14:BH14,B$374)+COUNTIF('11月'!BL14:BM14,B$374)+COUNTIF('11月'!BQ14:BR14,B$374)+COUNTIF('11月'!BV14:BW14,B$374)+COUNTIF('11月'!CA14:CB14,B$374)+COUNTIF('11月'!CF14:CG14,B$374)+COUNTIF('11月'!CK14:CL14,B$374)+COUNTIF('11月'!CP14:CQ14,B$374)+COUNTIF('11月'!CU14:CV14,B$374)+COUNTIF('11月'!CZ14:DA14,B$374)+COUNTIF('11月'!DE14:DF14,B$374)+COUNTIF('11月'!DJ14:DK14,B$374)+COUNTIF('11月'!DO14:DP14,B$374)+COUNTIF('11月'!DT14:DU14,B$374)+COUNTIF('11月'!DY14:DZ14,B$374)+COUNTIF('11月'!ED14:EE14,B$374)+COUNTIF('11月'!EI14:EJ14,B$374)+COUNTIF('11月'!EN14:EO14,B$374)+COUNTIF('11月'!ES14:ET14,B$374)</f>
        <v>0</v>
      </c>
      <c r="C386" s="76">
        <f t="shared" si="120"/>
        <v>0</v>
      </c>
      <c r="D386" s="76">
        <f>COUNTIF('11月'!D14:E14,D$374)+COUNTIF('11月'!I14:J14,D$374)+COUNTIF('11月'!N14:O14,D$374)+COUNTIF('11月'!S14:T14,D$374)+COUNTIF('11月'!X14:Y14,D$374)+COUNTIF('11月'!AC14:AD14,D$374)+COUNTIF('11月'!AH14:AI14,D$374)+COUNTIF('11月'!AM14:AN14,D$374)+COUNTIF('11月'!AR14:AS14,D$374)+COUNTIF('11月'!AW14:AX14,D$374)+COUNTIF('11月'!BB14:BC14,D$374)+COUNTIF('11月'!BG14:BH14,D$374)+COUNTIF('11月'!BL14:BM14,D$374)+COUNTIF('11月'!BQ14:BR14,D$374)+COUNTIF('11月'!BV14:BW14,D$374)+COUNTIF('11月'!CA14:CB14,D$374)+COUNTIF('11月'!CF14:CG14,D$374)+COUNTIF('11月'!CK14:CL14,D$374)+COUNTIF('11月'!CP14:CQ14,D$374)+COUNTIF('11月'!CU14:CV14,D$374)+COUNTIF('11月'!CZ14:DA14,D$374)+COUNTIF('11月'!DE14:DF14,D$374)+COUNTIF('11月'!DJ14:DK14,D$374)+COUNTIF('11月'!DO14:DP14,D$374)+COUNTIF('11月'!DT14:DU14,D$374)+COUNTIF('11月'!DY14:DZ14,D$374)+COUNTIF('11月'!ED14:EE14,D$374)+COUNTIF('11月'!EI14:EJ14,D$374)+COUNTIF('11月'!EN14:EO14,D$374)+COUNTIF('11月'!ES14:ET14,D$374)</f>
        <v>0</v>
      </c>
      <c r="E386" s="76">
        <f t="shared" si="121"/>
        <v>0</v>
      </c>
      <c r="F386" s="76">
        <f>COUNTIF('11月'!D14:E14,F$374)+COUNTIF('11月'!I14:J14,F$374)+COUNTIF('11月'!N14:O14,F$374)+COUNTIF('11月'!S14:T14,F$374)+COUNTIF('11月'!X14:Y14,F$374)+COUNTIF('11月'!AC14:AD14,F$374)+COUNTIF('11月'!AH14:AI14,F$374)+COUNTIF('11月'!AM14:AN14,F$374)+COUNTIF('11月'!AR14:AS14,F$374)+COUNTIF('11月'!AW14:AX14,F$374)+COUNTIF('11月'!BB14:BC14,F$374)+COUNTIF('11月'!BG14:BH14,F$374)+COUNTIF('11月'!BL14:BM14,F$374)+COUNTIF('11月'!BQ14:BR14,F$374)+COUNTIF('11月'!BV14:BW14,F$374)+COUNTIF('11月'!CA14:CB14,F$374)+COUNTIF('11月'!CF14:CG14,F$374)+COUNTIF('11月'!CK14:CL14,F$374)+COUNTIF('11月'!CP14:CQ14,F$374)+COUNTIF('11月'!CU14:CV14,F$374)+COUNTIF('11月'!CZ14:DA14,F$374)+COUNTIF('11月'!DE14:DF14,F$374)+COUNTIF('11月'!DJ14:DK14,F$374)+COUNTIF('11月'!DO14:DP14,F$374)+COUNTIF('11月'!DT14:DU14,F$374)+COUNTIF('11月'!DY14:DZ14,F$374)+COUNTIF('11月'!ED14:EE14,F$374)+COUNTIF('11月'!EI14:EJ14,F$374)+COUNTIF('11月'!EN14:EO14,F$374)+COUNTIF('11月'!ES14:ET14,F$374)</f>
        <v>0</v>
      </c>
      <c r="G386" s="76">
        <f t="shared" si="122"/>
        <v>0</v>
      </c>
      <c r="H386" s="76">
        <f>COUNTIF('11月'!D14:E14,H$374)+COUNTIF('11月'!I14:J14,H$374)+COUNTIF('11月'!N14:O14,H$374)+COUNTIF('11月'!S14:T14,H$374)+COUNTIF('11月'!X14:Y14,H$374)+COUNTIF('11月'!AC14:AD14,H$374)+COUNTIF('11月'!AH14:AI14,H$374)+COUNTIF('11月'!AM14:AN14,H$374)+COUNTIF('11月'!AR14:AS14,H$374)+COUNTIF('11月'!AW14:AX14,H$374)+COUNTIF('11月'!BB14:BC14,H$374)+COUNTIF('11月'!BG14:BH14,H$374)+COUNTIF('11月'!BL14:BM14,H$374)+COUNTIF('11月'!BQ14:BR14,H$374)+COUNTIF('11月'!BV14:BW14,H$374)+COUNTIF('11月'!CA14:CB14,H$374)+COUNTIF('11月'!CF14:CG14,H$374)+COUNTIF('11月'!CK14:CL14,H$374)+COUNTIF('11月'!CP14:CQ14,H$374)+COUNTIF('11月'!CU14:CV14,H$374)+COUNTIF('11月'!CZ14:DA14,H$374)+COUNTIF('11月'!DE14:DF14,H$374)+COUNTIF('11月'!DJ14:DK14,H$374)+COUNTIF('11月'!DO14:DP14,H$374)+COUNTIF('11月'!DT14:DU14,H$374)+COUNTIF('11月'!DY14:DZ14,H$374)+COUNTIF('11月'!ED14:EE14,H$374)+COUNTIF('11月'!EI14:EJ14,H$374)+COUNTIF('11月'!EN14:EO14,H$374)+COUNTIF('11月'!ES14:ET14,H$374)+COUNTIF('11月'!D14:E14,"渋谷-夜勤")+COUNTIF('11月'!I14:J14,"渋谷-夜勤")+COUNTIF('11月'!N14:O14,"渋谷-夜勤")+COUNTIF('11月'!S14:T14,"渋谷-夜勤")+COUNTIF('11月'!X14:Y14,"渋谷-夜勤")+COUNTIF('11月'!AC14:AD14,"渋谷-夜勤")+COUNTIF('11月'!AH14:AI14,"渋谷-夜勤")+COUNTIF('11月'!AM14:AN14,"渋谷-夜勤")+COUNTIF('11月'!AR14:AS14,"渋谷-夜勤")+COUNTIF('11月'!AW14:AX14,"渋谷-夜勤")+COUNTIF('11月'!BB14:BC14,"渋谷-夜勤")+COUNTIF('11月'!BG14:BH14,"渋谷-夜勤")+COUNTIF('11月'!BL14:BM14,"渋谷-夜勤")+COUNTIF('11月'!BQ14:BR14,"渋谷-夜勤")+COUNTIF('11月'!BV14:BW14,"渋谷-夜勤")+COUNTIF('11月'!CA14:CB14,"渋谷-夜勤")+COUNTIF('11月'!CF14:CG14,"渋谷-夜勤")+COUNTIF('11月'!CK14:CL14,"渋谷-夜勤")+COUNTIF('11月'!CP14:CQ14,"渋谷-夜勤")+COUNTIF('11月'!CU14:CV14,"渋谷-夜勤")+COUNTIF('11月'!CZ14:DA14,"渋谷-夜勤")+COUNTIF('11月'!DE14:DF14,"渋谷-夜勤")+COUNTIF('11月'!DJ14:DK14,"渋谷-夜勤")+COUNTIF('11月'!DO14:DP14,"渋谷-夜勤")+COUNTIF('11月'!DT14:DU14,"渋谷-夜勤")+COUNTIF('11月'!DY14:DZ14,"渋谷-夜勤")+COUNTIF('11月'!ED14:EE14,"渋谷-夜勤")+COUNTIF('11月'!EI14:EJ14,"渋谷-夜勤")+COUNTIF('11月'!EN14:EO14,"渋谷-夜勤")+COUNTIF('11月'!ES14:ET14,"渋谷-夜勤")</f>
        <v>0</v>
      </c>
      <c r="I386" s="76">
        <f t="shared" si="123"/>
        <v>0</v>
      </c>
      <c r="J386" s="76">
        <f>COUNTIF('11月'!D14:E14,J$374)+COUNTIF('11月'!I14:J14,J$374)+COUNTIF('11月'!N14:O14,J$374)+COUNTIF('11月'!S14:T14,J$374)+COUNTIF('11月'!X14:Y14,J$374)+COUNTIF('11月'!AC14:AD14,J$374)+COUNTIF('11月'!AH14:AI14,J$374)+COUNTIF('11月'!AM14:AN14,J$374)+COUNTIF('11月'!AR14:AS14,J$374)+COUNTIF('11月'!AW14:AX14,J$374)+COUNTIF('11月'!BB14:BC14,J$374)+COUNTIF('11月'!BG14:BH14,J$374)+COUNTIF('11月'!BL14:BM14,J$374)+COUNTIF('11月'!BQ14:BR14,J$374)+COUNTIF('11月'!BV14:BW14,J$374)+COUNTIF('11月'!CA14:CB14,J$374)+COUNTIF('11月'!CF14:CG14,J$374)+COUNTIF('11月'!CK14:CL14,J$374)+COUNTIF('11月'!CP14:CQ14,J$374)+COUNTIF('11月'!CU14:CV14,J$374)+COUNTIF('11月'!CZ14:DA14,J$374)+COUNTIF('11月'!DE14:DF14,J$374)+COUNTIF('11月'!DJ14:DK14,J$374)+COUNTIF('11月'!DO14:DP14,J$374)+COUNTIF('11月'!DT14:DU14,J$374)+COUNTIF('11月'!DY14:DZ14,J$374)+COUNTIF('11月'!ED14:EE14,J$374)+COUNTIF('11月'!EI14:EJ14,J$374)+COUNTIF('11月'!EN14:EO14,J$374)+COUNTIF('11月'!ES14:ET14,J$374)+COUNTIF('11月'!D14:E14,"六本木-夜勤")+COUNTIF('11月'!I14:J14,"六本木-夜勤")+COUNTIF('11月'!N14:O14,"六本木-夜勤")+COUNTIF('11月'!S14:T14,"六本木-夜勤")+COUNTIF('11月'!X14:Y14,"六本木-夜勤")+COUNTIF('11月'!AC14:AD14,"六本木-夜勤")+COUNTIF('11月'!AH14:AI14,"六本木-夜勤")+COUNTIF('11月'!AM14:AN14,"六本木-夜勤")+COUNTIF('11月'!AR14:AS14,"六本木-夜勤")+COUNTIF('11月'!AW14:AX14,"六本木-夜勤")+COUNTIF('11月'!BB14:BC14,"六本木-夜勤")+COUNTIF('11月'!BG14:BH14,"六本木-夜勤")+COUNTIF('11月'!BL14:BM14,"六本木-夜勤")+COUNTIF('11月'!BQ14:BR14,"六本木-夜勤")+COUNTIF('11月'!BV14:BW14,"六本木-夜勤")+COUNTIF('11月'!CA14:CB14,"六本木-夜勤")+COUNTIF('11月'!CF14:CG14,"六本木-夜勤")+COUNTIF('11月'!CK14:CL14,"六本木-夜勤")+COUNTIF('11月'!CP14:CQ14,"六本木-夜勤")+COUNTIF('11月'!CU14:CV14,"六本木-夜勤")+COUNTIF('11月'!CZ14:DA14,"六本木-夜勤")+COUNTIF('11月'!DE14:DF14,"六本木-夜勤")+COUNTIF('11月'!DJ14:DK14,"六本木-夜勤")+COUNTIF('11月'!DO14:DP14,"六本木-夜勤")+COUNTIF('11月'!DT14:DU14,"六本木-夜勤")+COUNTIF('11月'!DY14:DZ14,"六本木-夜勤")+COUNTIF('11月'!ED14:EE14,"六本木-夜勤")+COUNTIF('11月'!EI14:EJ14,"六本木-夜勤")+COUNTIF('11月'!EN14:EO14,"六本木-夜勤")+COUNTIF('11月'!ES14:ET14,"六本木-夜勤")+COUNTIF('11月'!D14:E14,"六本木ー夜勤")+COUNTIF('11月'!I14:J14,"六本木ー夜勤")+COUNTIF('11月'!N14:O14,"六本木ー夜勤")+COUNTIF('11月'!S14:T14,"六本木ー夜勤")+COUNTIF('11月'!X14:Y14,"六本木ー夜勤")+COUNTIF('11月'!AC14:AD14,"六本木ー夜勤")+COUNTIF('11月'!AH14:AI14,"六本木ー夜勤")+COUNTIF('11月'!AM14:AN14,"六本木ー夜勤")+COUNTIF('11月'!AR14:AS14,"六本木ー夜勤")+COUNTIF('11月'!AW14:AX14,"六本木ー夜勤")+COUNTIF('11月'!BB14:BC14,"六本木ー夜勤")+COUNTIF('11月'!BG14:BH14,"六本木ー夜勤")+COUNTIF('11月'!BL14:BM14,"六本木ー夜勤")+COUNTIF('11月'!BQ14:BR14,"六本木ー夜勤")+COUNTIF('11月'!BV14:BW14,"六本木ー夜勤")+COUNTIF('11月'!CA14:CB14,"六本木ー夜勤")+COUNTIF('11月'!CF14:CG14,"六本木ー夜勤")+COUNTIF('11月'!CK14:CL14,"六本木ー夜勤")+COUNTIF('11月'!CP14:CQ14,"六本木ー夜勤")+COUNTIF('11月'!CU14:CV14,"六本木ー夜勤")+COUNTIF('11月'!CZ14:DA14,"六本木ー夜勤")+COUNTIF('11月'!DE14:DF14,"六本木ー夜勤")+COUNTIF('11月'!DJ14:DK14,"六本木ー夜勤")+COUNTIF('11月'!DO14:DP14,"六本木ー夜勤")+COUNTIF('11月'!DT14:DU14,"六本木ー夜勤")+COUNTIF('11月'!DY14:DZ14,"六本木ー夜勤")+COUNTIF('11月'!ED14:EE14,"六本木ー夜勤")+COUNTIF('11月'!EI14:EJ14,"六本木ー夜勤")+COUNTIF('11月'!EN14:EO14,"六本木ー夜勤")+COUNTIF('11月'!ES14:ET14,"六本木ー夜勤")</f>
        <v>0</v>
      </c>
      <c r="K386" s="76">
        <f t="shared" si="124"/>
        <v>0</v>
      </c>
      <c r="L386" s="76">
        <f>COUNTIF('11月'!D14:E14,L$374)+COUNTIF('11月'!I14:J14,L$374)+COUNTIF('11月'!N14:O14,L$374)+COUNTIF('11月'!S14:T14,L$374)+COUNTIF('11月'!X14:Y14,L$374)+COUNTIF('11月'!AC14:AD14,L$374)+COUNTIF('11月'!AH14:AI14,L$374)+COUNTIF('11月'!AM14:AN14,L$374)+COUNTIF('11月'!AR14:AS14,L$374)+COUNTIF('11月'!AW14:AX14,L$374)+COUNTIF('11月'!BB14:BC14,L$374)+COUNTIF('11月'!BG14:BH14,L$374)+COUNTIF('11月'!BL14:BM14,L$374)+COUNTIF('11月'!BQ14:BR14,L$374)+COUNTIF('11月'!BV14:BW14,L$374)+COUNTIF('11月'!CA14:CB14,L$374)+COUNTIF('11月'!CF14:CG14,L$374)+COUNTIF('11月'!CK14:CL14,L$374)+COUNTIF('11月'!CP14:CQ14,L$374)+COUNTIF('11月'!CU14:CV14,L$374)+COUNTIF('11月'!CZ14:DA14,L$374)+COUNTIF('11月'!DE14:DF14,L$374)+COUNTIF('11月'!DJ14:DK14,L$374)+COUNTIF('11月'!DO14:DP14,L$374)+COUNTIF('11月'!DT14:DU14,L$374)+COUNTIF('11月'!DY14:DZ14,L$374)+COUNTIF('11月'!ED14:EE14,L$374)+COUNTIF('11月'!EI14:EJ14,L$374)+COUNTIF('11月'!EN14:EO14,L$374)+COUNTIF('11月'!ES14:ET14,L$374)</f>
        <v>0</v>
      </c>
      <c r="M386" s="76">
        <f t="shared" si="125"/>
        <v>0</v>
      </c>
      <c r="N386" s="76">
        <f>COUNTIF('11月'!D14:E14,N$374)+COUNTIF('11月'!I14:J14,N$374)+COUNTIF('11月'!N14:O14,N$374)+COUNTIF('11月'!S14:T14,N$374)+COUNTIF('11月'!X14:Y14,N$374)+COUNTIF('11月'!AC14:AD14,N$374)+COUNTIF('11月'!AH14:AI14,N$374)+COUNTIF('11月'!AM14:AN14,N$374)+COUNTIF('11月'!AR14:AS14,N$374)+COUNTIF('11月'!AW14:AX14,N$374)+COUNTIF('11月'!BB14:BC14,N$374)+COUNTIF('11月'!BG14:BH14,N$374)+COUNTIF('11月'!BL14:BM14,N$374)+COUNTIF('11月'!BQ14:BR14,N$374)+COUNTIF('11月'!BV14:BW14,N$374)+COUNTIF('11月'!CA14:CB14,N$374)+COUNTIF('11月'!CF14:CG14,N$374)+COUNTIF('11月'!CK14:CL14,N$374)+COUNTIF('11月'!CP14:CQ14,N$374)+COUNTIF('11月'!CU14:CV14,N$374)+COUNTIF('11月'!CZ14:DA14,N$374)+COUNTIF('11月'!DE14:DF14,N$374)+COUNTIF('11月'!DJ14:DK14,N$374)+COUNTIF('11月'!DO14:DP14,N$374)+COUNTIF('11月'!DT14:DU14,N$374)+COUNTIF('11月'!DY14:DZ14,N$374)+COUNTIF('11月'!ED14:EE14,N$374)+COUNTIF('11月'!EI14:EJ14,N$374)+COUNTIF('11月'!EN14:EO14,N$374)+COUNTIF('11月'!ES14:ET14,N$374)+COUNTIF('11月'!D14:E14,"三軒茶屋－夜勤")+COUNTIF('11月'!I14:J14,"三軒茶屋－夜勤")+COUNTIF('11月'!N14:O14,"三軒茶屋－夜勤")+COUNTIF('11月'!S14:T14,"三軒茶屋－夜勤")+COUNTIF('11月'!X14:Y14,"三軒茶屋－夜勤")+COUNTIF('11月'!AC14:AD14,"三軒茶屋－夜勤")+COUNTIF('11月'!AH14:AI14,"三軒茶屋－夜勤")+COUNTIF('11月'!AM14:AN14,"三軒茶屋－夜勤")+COUNTIF('11月'!AR14:AS14,"三軒茶屋－夜勤")+COUNTIF('11月'!AW14:AX14,"三軒茶屋－夜勤")+COUNTIF('11月'!BB14:BC14,"三軒茶屋－夜勤")+COUNTIF('11月'!BG14:BH14,"三軒茶屋－夜勤")+COUNTIF('11月'!BL14:BM14,"三軒茶屋－夜勤")+COUNTIF('11月'!BQ14:BR14,"三軒茶屋－夜勤")+COUNTIF('11月'!BV14:BW14,"三軒茶屋－夜勤")+COUNTIF('11月'!CA14:CB14,"三軒茶屋－夜勤")+COUNTIF('11月'!CF14:CG14,"三軒茶屋－夜勤")+COUNTIF('11月'!CK14:CL14,"三軒茶屋－夜勤")+COUNTIF('11月'!CP14:CQ14,"三軒茶屋－夜勤")+COUNTIF('11月'!CU14:CV14,"三軒茶屋－夜勤")+COUNTIF('11月'!CZ14:DA14,"三軒茶屋－夜勤")+COUNTIF('11月'!DE14:DF14,"三軒茶屋－夜勤")+COUNTIF('11月'!DJ14:DK14,"三軒茶屋－夜勤")+COUNTIF('11月'!DO14:DP14,"三軒茶屋－夜勤")+COUNTIF('11月'!DT14:DU14,"三軒茶屋－夜勤")+COUNTIF('11月'!DY14:DZ14,"三軒茶屋－夜勤")+COUNTIF('11月'!ED14:EE14,"三軒茶屋－夜勤")+COUNTIF('11月'!EI14:EJ14,"三軒茶屋－夜勤")+COUNTIF('11月'!EN14:EO14,"三軒茶屋－夜勤")+COUNTIF('11月'!ES14:ET14,"三軒茶屋－夜勤")</f>
        <v>0</v>
      </c>
      <c r="O386" s="76">
        <f t="shared" si="126"/>
        <v>0</v>
      </c>
      <c r="P386" s="76">
        <f>COUNTIF('11月'!D14:E14,P$374)+COUNTIF('11月'!I14:J14,P$374)+COUNTIF('11月'!N14:O14,P$374)+COUNTIF('11月'!S14:T14,P$374)+COUNTIF('11月'!X14:Y14,P$374)+COUNTIF('11月'!AC14:AD14,P$374)+COUNTIF('11月'!AH14:AI14,P$374)+COUNTIF('11月'!AM14:AN14,P$374)+COUNTIF('11月'!AR14:AS14,P$374)+COUNTIF('11月'!AW14:AX14,P$374)+COUNTIF('11月'!BB14:BC14,P$374)+COUNTIF('11月'!BG14:BH14,P$374)+COUNTIF('11月'!BL14:BM14,P$374)+COUNTIF('11月'!BQ14:BR14,P$374)+COUNTIF('11月'!BV14:BW14,P$374)+COUNTIF('11月'!CA14:CB14,P$374)+COUNTIF('11月'!CF14:CG14,P$374)+COUNTIF('11月'!CK14:CL14,P$374)+COUNTIF('11月'!CP14:CQ14,P$374)+COUNTIF('11月'!CU14:CV14,P$374)+COUNTIF('11月'!CZ14:DA14,P$374)+COUNTIF('11月'!DE14:DF14,P$374)+COUNTIF('11月'!DJ14:DK14,P$374)+COUNTIF('11月'!DO14:DP14,P$374)+COUNTIF('11月'!DT14:DU14,P$374)+COUNTIF('11月'!DY14:DZ14,P$374)+COUNTIF('11月'!ED14:EE14,P$374)+COUNTIF('11月'!EI14:EJ14,P$374)+COUNTIF('11月'!EN14:EO14,P$374)+COUNTIF('11月'!ES14:ET14,P$374)+COUNTIF('11月'!D14:E14,"荻窪ー夜勤")+COUNTIF('11月'!I14:J14,"荻窪ー夜勤")+COUNTIF('11月'!N14:O14,"荻窪ー夜勤")+COUNTIF('11月'!S14:T14,"荻窪ー夜勤")+COUNTIF('11月'!X14:Y14,"荻窪ー夜勤")+COUNTIF('11月'!AC14:AD14,"荻窪ー夜勤")+COUNTIF('11月'!AH14:AI14,"荻窪ー夜勤")+COUNTIF('11月'!AM14:AN14,"荻窪ー夜勤")+COUNTIF('11月'!AR14:AS14,"荻窪ー夜勤")+COUNTIF('11月'!AW14:AX14,"荻窪ー夜勤")+COUNTIF('11月'!BB14:BC14,"荻窪ー夜勤")+COUNTIF('11月'!BG14:BH14,"荻窪ー夜勤")+COUNTIF('11月'!BL14:BM14,"荻窪ー夜勤")+COUNTIF('11月'!BQ14:BR14,"荻窪ー夜勤")+COUNTIF('11月'!BV14:BW14,"荻窪ー夜勤")+COUNTIF('11月'!CA14:CB14,"荻窪ー夜勤")+COUNTIF('11月'!CF14:CG14,"荻窪ー夜勤")+COUNTIF('11月'!CK14:CL14,"荻窪ー夜勤")+COUNTIF('11月'!CP14:CQ14,"荻窪ー夜勤")+COUNTIF('11月'!CU14:CV14,"荻窪ー夜勤")+COUNTIF('11月'!CZ14:DA14,"荻窪ー夜勤")+COUNTIF('11月'!DE14:DF14,"荻窪ー夜勤")+COUNTIF('11月'!DJ14:DK14,"荻窪ー夜勤")+COUNTIF('11月'!DO14:DP14,"荻窪ー夜勤")+COUNTIF('11月'!DT14:DU14,"荻窪ー夜勤")+COUNTIF('11月'!DY14:DZ14,"荻窪ー夜勤")+COUNTIF('11月'!ED14:EE14,"荻窪ー夜勤")+COUNTIF('11月'!EI14:EJ14,"荻窪ー夜勤")+COUNTIF('11月'!EN14:EO14,"荻窪ー夜勤")+COUNTIF('11月'!ES14:ET14,"荻窪ー夜勤")</f>
        <v>0</v>
      </c>
      <c r="Q386" s="76">
        <f t="shared" si="127"/>
        <v>0</v>
      </c>
      <c r="R386" s="76">
        <f>COUNTIF('11月'!D14:E14,R$374)+COUNTIF('11月'!I14:J14,R$374)+COUNTIF('11月'!N14:O14,R$374)+COUNTIF('11月'!S14:T14,R$374)+COUNTIF('11月'!X14:Y14,R$374)+COUNTIF('11月'!AC14:AD14,R$374)+COUNTIF('11月'!AH14:AI14,R$374)+COUNTIF('11月'!AM14:AN14,R$374)+COUNTIF('11月'!AR14:AS14,R$374)+COUNTIF('11月'!AW14:AX14,R$374)+COUNTIF('11月'!BB14:BC14,R$374)+COUNTIF('11月'!BG14:BH14,R$374)+COUNTIF('11月'!BL14:BM14,R$374)+COUNTIF('11月'!BQ14:BR14,R$374)+COUNTIF('11月'!BV14:BW14,R$374)+COUNTIF('11月'!CA14:CB14,R$374)+COUNTIF('11月'!CF14:CG14,R$374)+COUNTIF('11月'!CK14:CL14,R$374)+COUNTIF('11月'!CP14:CQ14,R$374)+COUNTIF('11月'!CU14:CV14,R$374)+COUNTIF('11月'!CZ14:DA14,R$374)+COUNTIF('11月'!DE14:DF14,R$374)+COUNTIF('11月'!DJ14:DK14,R$374)+COUNTIF('11月'!DO14:DP14,R$374)+COUNTIF('11月'!DT14:DU14,R$374)+COUNTIF('11月'!DY14:DZ14,R$374)+COUNTIF('11月'!ED14:EE14,R$374)+COUNTIF('11月'!EI14:EJ14,R$374)+COUNTIF('11月'!EN14:EO14,R$374)+COUNTIF('11月'!ES14:ET14,R$374)</f>
        <v>0</v>
      </c>
      <c r="S386" s="76">
        <f t="shared" si="128"/>
        <v>0</v>
      </c>
      <c r="T386" s="76">
        <f>COUNTIF('11月'!D14:E14,T$374)+COUNTIF('11月'!I14:J14,T$374)+COUNTIF('11月'!N14:O14,T$374)+COUNTIF('11月'!S14:T14,T$374)+COUNTIF('11月'!X14:Y14,T$374)+COUNTIF('11月'!AC14:AD14,T$374)+COUNTIF('11月'!AH14:AI14,T$374)+COUNTIF('11月'!AM14:AN14,T$374)+COUNTIF('11月'!AR14:AS14,T$374)+COUNTIF('11月'!AW14:AX14,T$374)+COUNTIF('11月'!BB14:BC14,T$374)+COUNTIF('11月'!BG14:BH14,T$374)+COUNTIF('11月'!BL14:BM14,T$374)+COUNTIF('11月'!BQ14:BR14,T$374)+COUNTIF('11月'!BV14:BW14,T$374)+COUNTIF('11月'!CA14:CB14,T$374)+COUNTIF('11月'!CF14:CG14,T$374)+COUNTIF('11月'!CK14:CL14,T$374)+COUNTIF('11月'!CP14:CQ14,T$374)+COUNTIF('11月'!CU14:CV14,T$374)+COUNTIF('11月'!CZ14:DA14,T$374)+COUNTIF('11月'!DE14:DF14,T$374)+COUNTIF('11月'!DJ14:DK14,T$374)+COUNTIF('11月'!DO14:DP14,T$374)+COUNTIF('11月'!DT14:DU14,T$374)+COUNTIF('11月'!DY14:DZ14,T$374)+COUNTIF('11月'!ED14:EE14,T$374)+COUNTIF('11月'!EI14:EJ14,T$374)+COUNTIF('11月'!EN14:EO14,T$374)+COUNTIF('11月'!ES14:ET14,T$374)</f>
        <v>0</v>
      </c>
      <c r="U386" s="76">
        <f t="shared" si="129"/>
        <v>0</v>
      </c>
      <c r="V386" s="76">
        <f>COUNTIF('11月'!D14:E14,V$374)+COUNTIF('11月'!I14:J14,V$374)+COUNTIF('11月'!N14:O14,V$374)+COUNTIF('11月'!S14:T14,V$374)+COUNTIF('11月'!X14:Y14,V$374)+COUNTIF('11月'!AC14:AD14,V$374)+COUNTIF('11月'!AH14:AI14,V$374)+COUNTIF('11月'!AM14:AN14,V$374)+COUNTIF('11月'!AR14:AS14,V$374)+COUNTIF('11月'!AW14:AX14,V$374)+COUNTIF('11月'!BB14:BC14,V$374)+COUNTIF('11月'!BG14:BH14,V$374)+COUNTIF('11月'!BL14:BM14,V$374)+COUNTIF('11月'!BQ14:BR14,V$374)+COUNTIF('11月'!BV14:BW14,V$374)+COUNTIF('11月'!CA14:CB14,V$374)+COUNTIF('11月'!CF14:CG14,V$374)+COUNTIF('11月'!CK14:CL14,V$374)+COUNTIF('11月'!CP14:CQ14,V$374)+COUNTIF('11月'!CU14:CV14,V$374)+COUNTIF('11月'!CZ14:DA14,V$374)+COUNTIF('11月'!DE14:DF14,V$374)+COUNTIF('11月'!DJ14:DK14,V$374)+COUNTIF('11月'!DO14:DP14,V$374)+COUNTIF('11月'!DT14:DU14,V$374)+COUNTIF('11月'!DY14:DZ14,V$374)+COUNTIF('11月'!ED14:EE14,V$374)+COUNTIF('11月'!EI14:EJ14,V$374)+COUNTIF('11月'!EN14:EO14,V$374)+COUNTIF('11月'!ES14:ET14,V$374)</f>
        <v>0</v>
      </c>
      <c r="W386" s="76">
        <f t="shared" si="130"/>
        <v>0</v>
      </c>
      <c r="X386" s="76">
        <f>COUNTIF('11月'!D14:E14,X$374)+COUNTIF('11月'!I14:J14,X$374)+COUNTIF('11月'!N14:O14,X$374)+COUNTIF('11月'!S14:T14,X$374)+COUNTIF('11月'!X14:Y14,X$374)+COUNTIF('11月'!AC14:AD14,X$374)+COUNTIF('11月'!AH14:AI14,X$374)+COUNTIF('11月'!AM14:AN14,X$374)+COUNTIF('11月'!AR14:AS14,X$374)+COUNTIF('11月'!AW14:AX14,X$374)+COUNTIF('11月'!BB14:BC14,X$374)+COUNTIF('11月'!BG14:BH14,X$374)+COUNTIF('11月'!BL14:BM14,X$374)+COUNTIF('11月'!BQ14:BR14,X$374)+COUNTIF('11月'!BV14:BW14,X$374)+COUNTIF('11月'!CA14:CB14,X$374)+COUNTIF('11月'!CF14:CG14,X$374)+COUNTIF('11月'!CK14:CL14,X$374)+COUNTIF('11月'!CP14:CQ14,X$374)+COUNTIF('11月'!CU14:CV14,X$374)+COUNTIF('11月'!CZ14:DA14,X$374)+COUNTIF('11月'!DE14:DF14,X$374)+COUNTIF('11月'!DJ14:DK14,X$374)+COUNTIF('11月'!DO14:DP14,X$374)+COUNTIF('11月'!DT14:DU14,X$374)+COUNTIF('11月'!DY14:DZ14,X$374)+COUNTIF('11月'!ED14:EE14,X$374)+COUNTIF('11月'!EI14:EJ14,X$374)+COUNTIF('11月'!EN14:EO14,X$374)+COUNTIF('11月'!ES14:ET14,X$374)</f>
        <v>0</v>
      </c>
      <c r="Y386" s="76">
        <f t="shared" si="131"/>
        <v>0</v>
      </c>
    </row>
    <row r="387" spans="1:25" ht="18" customHeight="1">
      <c r="A387" s="76">
        <v>12</v>
      </c>
      <c r="B387" s="76">
        <f>COUNTIF('11月'!D15:E15,B$374)+COUNTIF('11月'!I15:J15,B$374)+COUNTIF('11月'!N15:O15,B$374)+COUNTIF('11月'!S15:T15,B$374)+COUNTIF('11月'!X15:Y15,B$374)+COUNTIF('11月'!AC15:AD15,B$374)+COUNTIF('11月'!AH15:AI15,B$374)+COUNTIF('11月'!AM15:AN15,B$374)+COUNTIF('11月'!AR15:AS15,B$374)+COUNTIF('11月'!AW15:AX15,B$374)+COUNTIF('11月'!BB15:BC15,B$374)+COUNTIF('11月'!BG15:BH15,B$374)+COUNTIF('11月'!BL15:BM15,B$374)+COUNTIF('11月'!BQ15:BR15,B$374)+COUNTIF('11月'!BV15:BW15,B$374)+COUNTIF('11月'!CA15:CB15,B$374)+COUNTIF('11月'!CF15:CG15,B$374)+COUNTIF('11月'!CK15:CL15,B$374)+COUNTIF('11月'!CP15:CQ15,B$374)+COUNTIF('11月'!CU15:CV15,B$374)+COUNTIF('11月'!CZ15:DA15,B$374)+COUNTIF('11月'!DE15:DF15,B$374)+COUNTIF('11月'!DJ15:DK15,B$374)+COUNTIF('11月'!DO15:DP15,B$374)+COUNTIF('11月'!DT15:DU15,B$374)+COUNTIF('11月'!DY15:DZ15,B$374)+COUNTIF('11月'!ED15:EE15,B$374)+COUNTIF('11月'!EI15:EJ15,B$374)+COUNTIF('11月'!EN15:EO15,B$374)+COUNTIF('11月'!ES15:ET15,B$374)</f>
        <v>0</v>
      </c>
      <c r="C387" s="76">
        <f t="shared" si="120"/>
        <v>0</v>
      </c>
      <c r="D387" s="76">
        <f>COUNTIF('11月'!D15:E15,D$374)+COUNTIF('11月'!I15:J15,D$374)+COUNTIF('11月'!N15:O15,D$374)+COUNTIF('11月'!S15:T15,D$374)+COUNTIF('11月'!X15:Y15,D$374)+COUNTIF('11月'!AC15:AD15,D$374)+COUNTIF('11月'!AH15:AI15,D$374)+COUNTIF('11月'!AM15:AN15,D$374)+COUNTIF('11月'!AR15:AS15,D$374)+COUNTIF('11月'!AW15:AX15,D$374)+COUNTIF('11月'!BB15:BC15,D$374)+COUNTIF('11月'!BG15:BH15,D$374)+COUNTIF('11月'!BL15:BM15,D$374)+COUNTIF('11月'!BQ15:BR15,D$374)+COUNTIF('11月'!BV15:BW15,D$374)+COUNTIF('11月'!CA15:CB15,D$374)+COUNTIF('11月'!CF15:CG15,D$374)+COUNTIF('11月'!CK15:CL15,D$374)+COUNTIF('11月'!CP15:CQ15,D$374)+COUNTIF('11月'!CU15:CV15,D$374)+COUNTIF('11月'!CZ15:DA15,D$374)+COUNTIF('11月'!DE15:DF15,D$374)+COUNTIF('11月'!DJ15:DK15,D$374)+COUNTIF('11月'!DO15:DP15,D$374)+COUNTIF('11月'!DT15:DU15,D$374)+COUNTIF('11月'!DY15:DZ15,D$374)+COUNTIF('11月'!ED15:EE15,D$374)+COUNTIF('11月'!EI15:EJ15,D$374)+COUNTIF('11月'!EN15:EO15,D$374)+COUNTIF('11月'!ES15:ET15,D$374)</f>
        <v>0</v>
      </c>
      <c r="E387" s="76">
        <f t="shared" si="121"/>
        <v>0</v>
      </c>
      <c r="F387" s="76">
        <f>COUNTIF('11月'!D15:E15,F$374)+COUNTIF('11月'!I15:J15,F$374)+COUNTIF('11月'!N15:O15,F$374)+COUNTIF('11月'!S15:T15,F$374)+COUNTIF('11月'!X15:Y15,F$374)+COUNTIF('11月'!AC15:AD15,F$374)+COUNTIF('11月'!AH15:AI15,F$374)+COUNTIF('11月'!AM15:AN15,F$374)+COUNTIF('11月'!AR15:AS15,F$374)+COUNTIF('11月'!AW15:AX15,F$374)+COUNTIF('11月'!BB15:BC15,F$374)+COUNTIF('11月'!BG15:BH15,F$374)+COUNTIF('11月'!BL15:BM15,F$374)+COUNTIF('11月'!BQ15:BR15,F$374)+COUNTIF('11月'!BV15:BW15,F$374)+COUNTIF('11月'!CA15:CB15,F$374)+COUNTIF('11月'!CF15:CG15,F$374)+COUNTIF('11月'!CK15:CL15,F$374)+COUNTIF('11月'!CP15:CQ15,F$374)+COUNTIF('11月'!CU15:CV15,F$374)+COUNTIF('11月'!CZ15:DA15,F$374)+COUNTIF('11月'!DE15:DF15,F$374)+COUNTIF('11月'!DJ15:DK15,F$374)+COUNTIF('11月'!DO15:DP15,F$374)+COUNTIF('11月'!DT15:DU15,F$374)+COUNTIF('11月'!DY15:DZ15,F$374)+COUNTIF('11月'!ED15:EE15,F$374)+COUNTIF('11月'!EI15:EJ15,F$374)+COUNTIF('11月'!EN15:EO15,F$374)+COUNTIF('11月'!ES15:ET15,F$374)</f>
        <v>0</v>
      </c>
      <c r="G387" s="76">
        <f t="shared" si="122"/>
        <v>0</v>
      </c>
      <c r="H387" s="76">
        <f>COUNTIF('11月'!D15:E15,H$374)+COUNTIF('11月'!I15:J15,H$374)+COUNTIF('11月'!N15:O15,H$374)+COUNTIF('11月'!S15:T15,H$374)+COUNTIF('11月'!X15:Y15,H$374)+COUNTIF('11月'!AC15:AD15,H$374)+COUNTIF('11月'!AH15:AI15,H$374)+COUNTIF('11月'!AM15:AN15,H$374)+COUNTIF('11月'!AR15:AS15,H$374)+COUNTIF('11月'!AW15:AX15,H$374)+COUNTIF('11月'!BB15:BC15,H$374)+COUNTIF('11月'!BG15:BH15,H$374)+COUNTIF('11月'!BL15:BM15,H$374)+COUNTIF('11月'!BQ15:BR15,H$374)+COUNTIF('11月'!BV15:BW15,H$374)+COUNTIF('11月'!CA15:CB15,H$374)+COUNTIF('11月'!CF15:CG15,H$374)+COUNTIF('11月'!CK15:CL15,H$374)+COUNTIF('11月'!CP15:CQ15,H$374)+COUNTIF('11月'!CU15:CV15,H$374)+COUNTIF('11月'!CZ15:DA15,H$374)+COUNTIF('11月'!DE15:DF15,H$374)+COUNTIF('11月'!DJ15:DK15,H$374)+COUNTIF('11月'!DO15:DP15,H$374)+COUNTIF('11月'!DT15:DU15,H$374)+COUNTIF('11月'!DY15:DZ15,H$374)+COUNTIF('11月'!ED15:EE15,H$374)+COUNTIF('11月'!EI15:EJ15,H$374)+COUNTIF('11月'!EN15:EO15,H$374)+COUNTIF('11月'!ES15:ET15,H$374)+COUNTIF('11月'!D15:E15,"渋谷-夜勤")+COUNTIF('11月'!I15:J15,"渋谷-夜勤")+COUNTIF('11月'!N15:O15,"渋谷-夜勤")+COUNTIF('11月'!S15:T15,"渋谷-夜勤")+COUNTIF('11月'!X15:Y15,"渋谷-夜勤")+COUNTIF('11月'!AC15:AD15,"渋谷-夜勤")+COUNTIF('11月'!AH15:AI15,"渋谷-夜勤")+COUNTIF('11月'!AM15:AN15,"渋谷-夜勤")+COUNTIF('11月'!AR15:AS15,"渋谷-夜勤")+COUNTIF('11月'!AW15:AX15,"渋谷-夜勤")+COUNTIF('11月'!BB15:BC15,"渋谷-夜勤")+COUNTIF('11月'!BG15:BH15,"渋谷-夜勤")+COUNTIF('11月'!BL15:BM15,"渋谷-夜勤")+COUNTIF('11月'!BQ15:BR15,"渋谷-夜勤")+COUNTIF('11月'!BV15:BW15,"渋谷-夜勤")+COUNTIF('11月'!CA15:CB15,"渋谷-夜勤")+COUNTIF('11月'!CF15:CG15,"渋谷-夜勤")+COUNTIF('11月'!CK15:CL15,"渋谷-夜勤")+COUNTIF('11月'!CP15:CQ15,"渋谷-夜勤")+COUNTIF('11月'!CU15:CV15,"渋谷-夜勤")+COUNTIF('11月'!CZ15:DA15,"渋谷-夜勤")+COUNTIF('11月'!DE15:DF15,"渋谷-夜勤")+COUNTIF('11月'!DJ15:DK15,"渋谷-夜勤")+COUNTIF('11月'!DO15:DP15,"渋谷-夜勤")+COUNTIF('11月'!DT15:DU15,"渋谷-夜勤")+COUNTIF('11月'!DY15:DZ15,"渋谷-夜勤")+COUNTIF('11月'!ED15:EE15,"渋谷-夜勤")+COUNTIF('11月'!EI15:EJ15,"渋谷-夜勤")+COUNTIF('11月'!EN15:EO15,"渋谷-夜勤")+COUNTIF('11月'!ES15:ET15,"渋谷-夜勤")</f>
        <v>0</v>
      </c>
      <c r="I387" s="76">
        <f t="shared" si="123"/>
        <v>0</v>
      </c>
      <c r="J387" s="76">
        <f>COUNTIF('11月'!D15:E15,J$374)+COUNTIF('11月'!I15:J15,J$374)+COUNTIF('11月'!N15:O15,J$374)+COUNTIF('11月'!S15:T15,J$374)+COUNTIF('11月'!X15:Y15,J$374)+COUNTIF('11月'!AC15:AD15,J$374)+COUNTIF('11月'!AH15:AI15,J$374)+COUNTIF('11月'!AM15:AN15,J$374)+COUNTIF('11月'!AR15:AS15,J$374)+COUNTIF('11月'!AW15:AX15,J$374)+COUNTIF('11月'!BB15:BC15,J$374)+COUNTIF('11月'!BG15:BH15,J$374)+COUNTIF('11月'!BL15:BM15,J$374)+COUNTIF('11月'!BQ15:BR15,J$374)+COUNTIF('11月'!BV15:BW15,J$374)+COUNTIF('11月'!CA15:CB15,J$374)+COUNTIF('11月'!CF15:CG15,J$374)+COUNTIF('11月'!CK15:CL15,J$374)+COUNTIF('11月'!CP15:CQ15,J$374)+COUNTIF('11月'!CU15:CV15,J$374)+COUNTIF('11月'!CZ15:DA15,J$374)+COUNTIF('11月'!DE15:DF15,J$374)+COUNTIF('11月'!DJ15:DK15,J$374)+COUNTIF('11月'!DO15:DP15,J$374)+COUNTIF('11月'!DT15:DU15,J$374)+COUNTIF('11月'!DY15:DZ15,J$374)+COUNTIF('11月'!ED15:EE15,J$374)+COUNTIF('11月'!EI15:EJ15,J$374)+COUNTIF('11月'!EN15:EO15,J$374)+COUNTIF('11月'!ES15:ET15,J$374)+COUNTIF('11月'!D15:E15,"六本木-夜勤")+COUNTIF('11月'!I15:J15,"六本木-夜勤")+COUNTIF('11月'!N15:O15,"六本木-夜勤")+COUNTIF('11月'!S15:T15,"六本木-夜勤")+COUNTIF('11月'!X15:Y15,"六本木-夜勤")+COUNTIF('11月'!AC15:AD15,"六本木-夜勤")+COUNTIF('11月'!AH15:AI15,"六本木-夜勤")+COUNTIF('11月'!AM15:AN15,"六本木-夜勤")+COUNTIF('11月'!AR15:AS15,"六本木-夜勤")+COUNTIF('11月'!AW15:AX15,"六本木-夜勤")+COUNTIF('11月'!BB15:BC15,"六本木-夜勤")+COUNTIF('11月'!BG15:BH15,"六本木-夜勤")+COUNTIF('11月'!BL15:BM15,"六本木-夜勤")+COUNTIF('11月'!BQ15:BR15,"六本木-夜勤")+COUNTIF('11月'!BV15:BW15,"六本木-夜勤")+COUNTIF('11月'!CA15:CB15,"六本木-夜勤")+COUNTIF('11月'!CF15:CG15,"六本木-夜勤")+COUNTIF('11月'!CK15:CL15,"六本木-夜勤")+COUNTIF('11月'!CP15:CQ15,"六本木-夜勤")+COUNTIF('11月'!CU15:CV15,"六本木-夜勤")+COUNTIF('11月'!CZ15:DA15,"六本木-夜勤")+COUNTIF('11月'!DE15:DF15,"六本木-夜勤")+COUNTIF('11月'!DJ15:DK15,"六本木-夜勤")+COUNTIF('11月'!DO15:DP15,"六本木-夜勤")+COUNTIF('11月'!DT15:DU15,"六本木-夜勤")+COUNTIF('11月'!DY15:DZ15,"六本木-夜勤")+COUNTIF('11月'!ED15:EE15,"六本木-夜勤")+COUNTIF('11月'!EI15:EJ15,"六本木-夜勤")+COUNTIF('11月'!EN15:EO15,"六本木-夜勤")+COUNTIF('11月'!ES15:ET15,"六本木-夜勤")+COUNTIF('11月'!D15:E15,"六本木ー夜勤")+COUNTIF('11月'!I15:J15,"六本木ー夜勤")+COUNTIF('11月'!N15:O15,"六本木ー夜勤")+COUNTIF('11月'!S15:T15,"六本木ー夜勤")+COUNTIF('11月'!X15:Y15,"六本木ー夜勤")+COUNTIF('11月'!AC15:AD15,"六本木ー夜勤")+COUNTIF('11月'!AH15:AI15,"六本木ー夜勤")+COUNTIF('11月'!AM15:AN15,"六本木ー夜勤")+COUNTIF('11月'!AR15:AS15,"六本木ー夜勤")+COUNTIF('11月'!AW15:AX15,"六本木ー夜勤")+COUNTIF('11月'!BB15:BC15,"六本木ー夜勤")+COUNTIF('11月'!BG15:BH15,"六本木ー夜勤")+COUNTIF('11月'!BL15:BM15,"六本木ー夜勤")+COUNTIF('11月'!BQ15:BR15,"六本木ー夜勤")+COUNTIF('11月'!BV15:BW15,"六本木ー夜勤")+COUNTIF('11月'!CA15:CB15,"六本木ー夜勤")+COUNTIF('11月'!CF15:CG15,"六本木ー夜勤")+COUNTIF('11月'!CK15:CL15,"六本木ー夜勤")+COUNTIF('11月'!CP15:CQ15,"六本木ー夜勤")+COUNTIF('11月'!CU15:CV15,"六本木ー夜勤")+COUNTIF('11月'!CZ15:DA15,"六本木ー夜勤")+COUNTIF('11月'!DE15:DF15,"六本木ー夜勤")+COUNTIF('11月'!DJ15:DK15,"六本木ー夜勤")+COUNTIF('11月'!DO15:DP15,"六本木ー夜勤")+COUNTIF('11月'!DT15:DU15,"六本木ー夜勤")+COUNTIF('11月'!DY15:DZ15,"六本木ー夜勤")+COUNTIF('11月'!ED15:EE15,"六本木ー夜勤")+COUNTIF('11月'!EI15:EJ15,"六本木ー夜勤")+COUNTIF('11月'!EN15:EO15,"六本木ー夜勤")+COUNTIF('11月'!ES15:ET15,"六本木ー夜勤")</f>
        <v>0</v>
      </c>
      <c r="K387" s="76">
        <f t="shared" si="124"/>
        <v>0</v>
      </c>
      <c r="L387" s="76">
        <f>COUNTIF('11月'!D15:E15,L$374)+COUNTIF('11月'!I15:J15,L$374)+COUNTIF('11月'!N15:O15,L$374)+COUNTIF('11月'!S15:T15,L$374)+COUNTIF('11月'!X15:Y15,L$374)+COUNTIF('11月'!AC15:AD15,L$374)+COUNTIF('11月'!AH15:AI15,L$374)+COUNTIF('11月'!AM15:AN15,L$374)+COUNTIF('11月'!AR15:AS15,L$374)+COUNTIF('11月'!AW15:AX15,L$374)+COUNTIF('11月'!BB15:BC15,L$374)+COUNTIF('11月'!BG15:BH15,L$374)+COUNTIF('11月'!BL15:BM15,L$374)+COUNTIF('11月'!BQ15:BR15,L$374)+COUNTIF('11月'!BV15:BW15,L$374)+COUNTIF('11月'!CA15:CB15,L$374)+COUNTIF('11月'!CF15:CG15,L$374)+COUNTIF('11月'!CK15:CL15,L$374)+COUNTIF('11月'!CP15:CQ15,L$374)+COUNTIF('11月'!CU15:CV15,L$374)+COUNTIF('11月'!CZ15:DA15,L$374)+COUNTIF('11月'!DE15:DF15,L$374)+COUNTIF('11月'!DJ15:DK15,L$374)+COUNTIF('11月'!DO15:DP15,L$374)+COUNTIF('11月'!DT15:DU15,L$374)+COUNTIF('11月'!DY15:DZ15,L$374)+COUNTIF('11月'!ED15:EE15,L$374)+COUNTIF('11月'!EI15:EJ15,L$374)+COUNTIF('11月'!EN15:EO15,L$374)+COUNTIF('11月'!ES15:ET15,L$374)</f>
        <v>0</v>
      </c>
      <c r="M387" s="76">
        <f t="shared" si="125"/>
        <v>0</v>
      </c>
      <c r="N387" s="76">
        <f>COUNTIF('11月'!D15:E15,N$374)+COUNTIF('11月'!I15:J15,N$374)+COUNTIF('11月'!N15:O15,N$374)+COUNTIF('11月'!S15:T15,N$374)+COUNTIF('11月'!X15:Y15,N$374)+COUNTIF('11月'!AC15:AD15,N$374)+COUNTIF('11月'!AH15:AI15,N$374)+COUNTIF('11月'!AM15:AN15,N$374)+COUNTIF('11月'!AR15:AS15,N$374)+COUNTIF('11月'!AW15:AX15,N$374)+COUNTIF('11月'!BB15:BC15,N$374)+COUNTIF('11月'!BG15:BH15,N$374)+COUNTIF('11月'!BL15:BM15,N$374)+COUNTIF('11月'!BQ15:BR15,N$374)+COUNTIF('11月'!BV15:BW15,N$374)+COUNTIF('11月'!CA15:CB15,N$374)+COUNTIF('11月'!CF15:CG15,N$374)+COUNTIF('11月'!CK15:CL15,N$374)+COUNTIF('11月'!CP15:CQ15,N$374)+COUNTIF('11月'!CU15:CV15,N$374)+COUNTIF('11月'!CZ15:DA15,N$374)+COUNTIF('11月'!DE15:DF15,N$374)+COUNTIF('11月'!DJ15:DK15,N$374)+COUNTIF('11月'!DO15:DP15,N$374)+COUNTIF('11月'!DT15:DU15,N$374)+COUNTIF('11月'!DY15:DZ15,N$374)+COUNTIF('11月'!ED15:EE15,N$374)+COUNTIF('11月'!EI15:EJ15,N$374)+COUNTIF('11月'!EN15:EO15,N$374)+COUNTIF('11月'!ES15:ET15,N$374)+COUNTIF('11月'!D15:E15,"三軒茶屋－夜勤")+COUNTIF('11月'!I15:J15,"三軒茶屋－夜勤")+COUNTIF('11月'!N15:O15,"三軒茶屋－夜勤")+COUNTIF('11月'!S15:T15,"三軒茶屋－夜勤")+COUNTIF('11月'!X15:Y15,"三軒茶屋－夜勤")+COUNTIF('11月'!AC15:AD15,"三軒茶屋－夜勤")+COUNTIF('11月'!AH15:AI15,"三軒茶屋－夜勤")+COUNTIF('11月'!AM15:AN15,"三軒茶屋－夜勤")+COUNTIF('11月'!AR15:AS15,"三軒茶屋－夜勤")+COUNTIF('11月'!AW15:AX15,"三軒茶屋－夜勤")+COUNTIF('11月'!BB15:BC15,"三軒茶屋－夜勤")+COUNTIF('11月'!BG15:BH15,"三軒茶屋－夜勤")+COUNTIF('11月'!BL15:BM15,"三軒茶屋－夜勤")+COUNTIF('11月'!BQ15:BR15,"三軒茶屋－夜勤")+COUNTIF('11月'!BV15:BW15,"三軒茶屋－夜勤")+COUNTIF('11月'!CA15:CB15,"三軒茶屋－夜勤")+COUNTIF('11月'!CF15:CG15,"三軒茶屋－夜勤")+COUNTIF('11月'!CK15:CL15,"三軒茶屋－夜勤")+COUNTIF('11月'!CP15:CQ15,"三軒茶屋－夜勤")+COUNTIF('11月'!CU15:CV15,"三軒茶屋－夜勤")+COUNTIF('11月'!CZ15:DA15,"三軒茶屋－夜勤")+COUNTIF('11月'!DE15:DF15,"三軒茶屋－夜勤")+COUNTIF('11月'!DJ15:DK15,"三軒茶屋－夜勤")+COUNTIF('11月'!DO15:DP15,"三軒茶屋－夜勤")+COUNTIF('11月'!DT15:DU15,"三軒茶屋－夜勤")+COUNTIF('11月'!DY15:DZ15,"三軒茶屋－夜勤")+COUNTIF('11月'!ED15:EE15,"三軒茶屋－夜勤")+COUNTIF('11月'!EI15:EJ15,"三軒茶屋－夜勤")+COUNTIF('11月'!EN15:EO15,"三軒茶屋－夜勤")+COUNTIF('11月'!ES15:ET15,"三軒茶屋－夜勤")</f>
        <v>0</v>
      </c>
      <c r="O387" s="76">
        <f t="shared" si="126"/>
        <v>0</v>
      </c>
      <c r="P387" s="76">
        <f>COUNTIF('11月'!D15:E15,P$374)+COUNTIF('11月'!I15:J15,P$374)+COUNTIF('11月'!N15:O15,P$374)+COUNTIF('11月'!S15:T15,P$374)+COUNTIF('11月'!X15:Y15,P$374)+COUNTIF('11月'!AC15:AD15,P$374)+COUNTIF('11月'!AH15:AI15,P$374)+COUNTIF('11月'!AM15:AN15,P$374)+COUNTIF('11月'!AR15:AS15,P$374)+COUNTIF('11月'!AW15:AX15,P$374)+COUNTIF('11月'!BB15:BC15,P$374)+COUNTIF('11月'!BG15:BH15,P$374)+COUNTIF('11月'!BL15:BM15,P$374)+COUNTIF('11月'!BQ15:BR15,P$374)+COUNTIF('11月'!BV15:BW15,P$374)+COUNTIF('11月'!CA15:CB15,P$374)+COUNTIF('11月'!CF15:CG15,P$374)+COUNTIF('11月'!CK15:CL15,P$374)+COUNTIF('11月'!CP15:CQ15,P$374)+COUNTIF('11月'!CU15:CV15,P$374)+COUNTIF('11月'!CZ15:DA15,P$374)+COUNTIF('11月'!DE15:DF15,P$374)+COUNTIF('11月'!DJ15:DK15,P$374)+COUNTIF('11月'!DO15:DP15,P$374)+COUNTIF('11月'!DT15:DU15,P$374)+COUNTIF('11月'!DY15:DZ15,P$374)+COUNTIF('11月'!ED15:EE15,P$374)+COUNTIF('11月'!EI15:EJ15,P$374)+COUNTIF('11月'!EN15:EO15,P$374)+COUNTIF('11月'!ES15:ET15,P$374)+COUNTIF('11月'!D15:E15,"荻窪ー夜勤")+COUNTIF('11月'!I15:J15,"荻窪ー夜勤")+COUNTIF('11月'!N15:O15,"荻窪ー夜勤")+COUNTIF('11月'!S15:T15,"荻窪ー夜勤")+COUNTIF('11月'!X15:Y15,"荻窪ー夜勤")+COUNTIF('11月'!AC15:AD15,"荻窪ー夜勤")+COUNTIF('11月'!AH15:AI15,"荻窪ー夜勤")+COUNTIF('11月'!AM15:AN15,"荻窪ー夜勤")+COUNTIF('11月'!AR15:AS15,"荻窪ー夜勤")+COUNTIF('11月'!AW15:AX15,"荻窪ー夜勤")+COUNTIF('11月'!BB15:BC15,"荻窪ー夜勤")+COUNTIF('11月'!BG15:BH15,"荻窪ー夜勤")+COUNTIF('11月'!BL15:BM15,"荻窪ー夜勤")+COUNTIF('11月'!BQ15:BR15,"荻窪ー夜勤")+COUNTIF('11月'!BV15:BW15,"荻窪ー夜勤")+COUNTIF('11月'!CA15:CB15,"荻窪ー夜勤")+COUNTIF('11月'!CF15:CG15,"荻窪ー夜勤")+COUNTIF('11月'!CK15:CL15,"荻窪ー夜勤")+COUNTIF('11月'!CP15:CQ15,"荻窪ー夜勤")+COUNTIF('11月'!CU15:CV15,"荻窪ー夜勤")+COUNTIF('11月'!CZ15:DA15,"荻窪ー夜勤")+COUNTIF('11月'!DE15:DF15,"荻窪ー夜勤")+COUNTIF('11月'!DJ15:DK15,"荻窪ー夜勤")+COUNTIF('11月'!DO15:DP15,"荻窪ー夜勤")+COUNTIF('11月'!DT15:DU15,"荻窪ー夜勤")+COUNTIF('11月'!DY15:DZ15,"荻窪ー夜勤")+COUNTIF('11月'!ED15:EE15,"荻窪ー夜勤")+COUNTIF('11月'!EI15:EJ15,"荻窪ー夜勤")+COUNTIF('11月'!EN15:EO15,"荻窪ー夜勤")+COUNTIF('11月'!ES15:ET15,"荻窪ー夜勤")</f>
        <v>0</v>
      </c>
      <c r="Q387" s="76">
        <f t="shared" si="127"/>
        <v>0</v>
      </c>
      <c r="R387" s="76">
        <f>COUNTIF('11月'!D15:E15,R$374)+COUNTIF('11月'!I15:J15,R$374)+COUNTIF('11月'!N15:O15,R$374)+COUNTIF('11月'!S15:T15,R$374)+COUNTIF('11月'!X15:Y15,R$374)+COUNTIF('11月'!AC15:AD15,R$374)+COUNTIF('11月'!AH15:AI15,R$374)+COUNTIF('11月'!AM15:AN15,R$374)+COUNTIF('11月'!AR15:AS15,R$374)+COUNTIF('11月'!AW15:AX15,R$374)+COUNTIF('11月'!BB15:BC15,R$374)+COUNTIF('11月'!BG15:BH15,R$374)+COUNTIF('11月'!BL15:BM15,R$374)+COUNTIF('11月'!BQ15:BR15,R$374)+COUNTIF('11月'!BV15:BW15,R$374)+COUNTIF('11月'!CA15:CB15,R$374)+COUNTIF('11月'!CF15:CG15,R$374)+COUNTIF('11月'!CK15:CL15,R$374)+COUNTIF('11月'!CP15:CQ15,R$374)+COUNTIF('11月'!CU15:CV15,R$374)+COUNTIF('11月'!CZ15:DA15,R$374)+COUNTIF('11月'!DE15:DF15,R$374)+COUNTIF('11月'!DJ15:DK15,R$374)+COUNTIF('11月'!DO15:DP15,R$374)+COUNTIF('11月'!DT15:DU15,R$374)+COUNTIF('11月'!DY15:DZ15,R$374)+COUNTIF('11月'!ED15:EE15,R$374)+COUNTIF('11月'!EI15:EJ15,R$374)+COUNTIF('11月'!EN15:EO15,R$374)+COUNTIF('11月'!ES15:ET15,R$374)</f>
        <v>0</v>
      </c>
      <c r="S387" s="76">
        <f t="shared" si="128"/>
        <v>0</v>
      </c>
      <c r="T387" s="76">
        <f>COUNTIF('11月'!D15:E15,T$374)+COUNTIF('11月'!I15:J15,T$374)+COUNTIF('11月'!N15:O15,T$374)+COUNTIF('11月'!S15:T15,T$374)+COUNTIF('11月'!X15:Y15,T$374)+COUNTIF('11月'!AC15:AD15,T$374)+COUNTIF('11月'!AH15:AI15,T$374)+COUNTIF('11月'!AM15:AN15,T$374)+COUNTIF('11月'!AR15:AS15,T$374)+COUNTIF('11月'!AW15:AX15,T$374)+COUNTIF('11月'!BB15:BC15,T$374)+COUNTIF('11月'!BG15:BH15,T$374)+COUNTIF('11月'!BL15:BM15,T$374)+COUNTIF('11月'!BQ15:BR15,T$374)+COUNTIF('11月'!BV15:BW15,T$374)+COUNTIF('11月'!CA15:CB15,T$374)+COUNTIF('11月'!CF15:CG15,T$374)+COUNTIF('11月'!CK15:CL15,T$374)+COUNTIF('11月'!CP15:CQ15,T$374)+COUNTIF('11月'!CU15:CV15,T$374)+COUNTIF('11月'!CZ15:DA15,T$374)+COUNTIF('11月'!DE15:DF15,T$374)+COUNTIF('11月'!DJ15:DK15,T$374)+COUNTIF('11月'!DO15:DP15,T$374)+COUNTIF('11月'!DT15:DU15,T$374)+COUNTIF('11月'!DY15:DZ15,T$374)+COUNTIF('11月'!ED15:EE15,T$374)+COUNTIF('11月'!EI15:EJ15,T$374)+COUNTIF('11月'!EN15:EO15,T$374)+COUNTIF('11月'!ES15:ET15,T$374)</f>
        <v>0</v>
      </c>
      <c r="U387" s="76">
        <f t="shared" si="129"/>
        <v>0</v>
      </c>
      <c r="V387" s="76">
        <f>COUNTIF('11月'!D15:E15,V$374)+COUNTIF('11月'!I15:J15,V$374)+COUNTIF('11月'!N15:O15,V$374)+COUNTIF('11月'!S15:T15,V$374)+COUNTIF('11月'!X15:Y15,V$374)+COUNTIF('11月'!AC15:AD15,V$374)+COUNTIF('11月'!AH15:AI15,V$374)+COUNTIF('11月'!AM15:AN15,V$374)+COUNTIF('11月'!AR15:AS15,V$374)+COUNTIF('11月'!AW15:AX15,V$374)+COUNTIF('11月'!BB15:BC15,V$374)+COUNTIF('11月'!BG15:BH15,V$374)+COUNTIF('11月'!BL15:BM15,V$374)+COUNTIF('11月'!BQ15:BR15,V$374)+COUNTIF('11月'!BV15:BW15,V$374)+COUNTIF('11月'!CA15:CB15,V$374)+COUNTIF('11月'!CF15:CG15,V$374)+COUNTIF('11月'!CK15:CL15,V$374)+COUNTIF('11月'!CP15:CQ15,V$374)+COUNTIF('11月'!CU15:CV15,V$374)+COUNTIF('11月'!CZ15:DA15,V$374)+COUNTIF('11月'!DE15:DF15,V$374)+COUNTIF('11月'!DJ15:DK15,V$374)+COUNTIF('11月'!DO15:DP15,V$374)+COUNTIF('11月'!DT15:DU15,V$374)+COUNTIF('11月'!DY15:DZ15,V$374)+COUNTIF('11月'!ED15:EE15,V$374)+COUNTIF('11月'!EI15:EJ15,V$374)+COUNTIF('11月'!EN15:EO15,V$374)+COUNTIF('11月'!ES15:ET15,V$374)</f>
        <v>0</v>
      </c>
      <c r="W387" s="76">
        <f t="shared" si="130"/>
        <v>0</v>
      </c>
      <c r="X387" s="76">
        <f>COUNTIF('11月'!D15:E15,X$374)+COUNTIF('11月'!I15:J15,X$374)+COUNTIF('11月'!N15:O15,X$374)+COUNTIF('11月'!S15:T15,X$374)+COUNTIF('11月'!X15:Y15,X$374)+COUNTIF('11月'!AC15:AD15,X$374)+COUNTIF('11月'!AH15:AI15,X$374)+COUNTIF('11月'!AM15:AN15,X$374)+COUNTIF('11月'!AR15:AS15,X$374)+COUNTIF('11月'!AW15:AX15,X$374)+COUNTIF('11月'!BB15:BC15,X$374)+COUNTIF('11月'!BG15:BH15,X$374)+COUNTIF('11月'!BL15:BM15,X$374)+COUNTIF('11月'!BQ15:BR15,X$374)+COUNTIF('11月'!BV15:BW15,X$374)+COUNTIF('11月'!CA15:CB15,X$374)+COUNTIF('11月'!CF15:CG15,X$374)+COUNTIF('11月'!CK15:CL15,X$374)+COUNTIF('11月'!CP15:CQ15,X$374)+COUNTIF('11月'!CU15:CV15,X$374)+COUNTIF('11月'!CZ15:DA15,X$374)+COUNTIF('11月'!DE15:DF15,X$374)+COUNTIF('11月'!DJ15:DK15,X$374)+COUNTIF('11月'!DO15:DP15,X$374)+COUNTIF('11月'!DT15:DU15,X$374)+COUNTIF('11月'!DY15:DZ15,X$374)+COUNTIF('11月'!ED15:EE15,X$374)+COUNTIF('11月'!EI15:EJ15,X$374)+COUNTIF('11月'!EN15:EO15,X$374)+COUNTIF('11月'!ES15:ET15,X$374)</f>
        <v>0</v>
      </c>
      <c r="Y387" s="76">
        <f t="shared" si="131"/>
        <v>0</v>
      </c>
    </row>
    <row r="388" spans="1:25" ht="18" customHeight="1">
      <c r="A388" s="76">
        <v>13</v>
      </c>
      <c r="B388" s="76">
        <f>COUNTIF('11月'!D16:E16,B$374)+COUNTIF('11月'!I16:J16,B$374)+COUNTIF('11月'!N16:O16,B$374)+COUNTIF('11月'!S16:T16,B$374)+COUNTIF('11月'!X16:Y16,B$374)+COUNTIF('11月'!AC16:AD16,B$374)+COUNTIF('11月'!AH16:AI16,B$374)+COUNTIF('11月'!AM16:AN16,B$374)+COUNTIF('11月'!AR16:AS16,B$374)+COUNTIF('11月'!AW16:AX16,B$374)+COUNTIF('11月'!BB16:BC16,B$374)+COUNTIF('11月'!BG16:BH16,B$374)+COUNTIF('11月'!BL16:BM16,B$374)+COUNTIF('11月'!BQ16:BR16,B$374)+COUNTIF('11月'!BV16:BW16,B$374)+COUNTIF('11月'!CA16:CB16,B$374)+COUNTIF('11月'!CF16:CG16,B$374)+COUNTIF('11月'!CK16:CL16,B$374)+COUNTIF('11月'!CP16:CQ16,B$374)+COUNTIF('11月'!CU16:CV16,B$374)+COUNTIF('11月'!CZ16:DA16,B$374)+COUNTIF('11月'!DE16:DF16,B$374)+COUNTIF('11月'!DJ16:DK16,B$374)+COUNTIF('11月'!DO16:DP16,B$374)+COUNTIF('11月'!DT16:DU16,B$374)+COUNTIF('11月'!DY16:DZ16,B$374)+COUNTIF('11月'!ED16:EE16,B$374)+COUNTIF('11月'!EI16:EJ16,B$374)+COUNTIF('11月'!EN16:EO16,B$374)+COUNTIF('11月'!ES16:ET16,B$374)</f>
        <v>0</v>
      </c>
      <c r="C388" s="76">
        <f t="shared" si="120"/>
        <v>0</v>
      </c>
      <c r="D388" s="76">
        <f>COUNTIF('11月'!D16:E16,D$374)+COUNTIF('11月'!I16:J16,D$374)+COUNTIF('11月'!N16:O16,D$374)+COUNTIF('11月'!S16:T16,D$374)+COUNTIF('11月'!X16:Y16,D$374)+COUNTIF('11月'!AC16:AD16,D$374)+COUNTIF('11月'!AH16:AI16,D$374)+COUNTIF('11月'!AM16:AN16,D$374)+COUNTIF('11月'!AR16:AS16,D$374)+COUNTIF('11月'!AW16:AX16,D$374)+COUNTIF('11月'!BB16:BC16,D$374)+COUNTIF('11月'!BG16:BH16,D$374)+COUNTIF('11月'!BL16:BM16,D$374)+COUNTIF('11月'!BQ16:BR16,D$374)+COUNTIF('11月'!BV16:BW16,D$374)+COUNTIF('11月'!CA16:CB16,D$374)+COUNTIF('11月'!CF16:CG16,D$374)+COUNTIF('11月'!CK16:CL16,D$374)+COUNTIF('11月'!CP16:CQ16,D$374)+COUNTIF('11月'!CU16:CV16,D$374)+COUNTIF('11月'!CZ16:DA16,D$374)+COUNTIF('11月'!DE16:DF16,D$374)+COUNTIF('11月'!DJ16:DK16,D$374)+COUNTIF('11月'!DO16:DP16,D$374)+COUNTIF('11月'!DT16:DU16,D$374)+COUNTIF('11月'!DY16:DZ16,D$374)+COUNTIF('11月'!ED16:EE16,D$374)+COUNTIF('11月'!EI16:EJ16,D$374)+COUNTIF('11月'!EN16:EO16,D$374)+COUNTIF('11月'!ES16:ET16,D$374)</f>
        <v>0</v>
      </c>
      <c r="E388" s="76">
        <f t="shared" si="121"/>
        <v>0</v>
      </c>
      <c r="F388" s="76">
        <f>COUNTIF('11月'!D16:E16,F$374)+COUNTIF('11月'!I16:J16,F$374)+COUNTIF('11月'!N16:O16,F$374)+COUNTIF('11月'!S16:T16,F$374)+COUNTIF('11月'!X16:Y16,F$374)+COUNTIF('11月'!AC16:AD16,F$374)+COUNTIF('11月'!AH16:AI16,F$374)+COUNTIF('11月'!AM16:AN16,F$374)+COUNTIF('11月'!AR16:AS16,F$374)+COUNTIF('11月'!AW16:AX16,F$374)+COUNTIF('11月'!BB16:BC16,F$374)+COUNTIF('11月'!BG16:BH16,F$374)+COUNTIF('11月'!BL16:BM16,F$374)+COUNTIF('11月'!BQ16:BR16,F$374)+COUNTIF('11月'!BV16:BW16,F$374)+COUNTIF('11月'!CA16:CB16,F$374)+COUNTIF('11月'!CF16:CG16,F$374)+COUNTIF('11月'!CK16:CL16,F$374)+COUNTIF('11月'!CP16:CQ16,F$374)+COUNTIF('11月'!CU16:CV16,F$374)+COUNTIF('11月'!CZ16:DA16,F$374)+COUNTIF('11月'!DE16:DF16,F$374)+COUNTIF('11月'!DJ16:DK16,F$374)+COUNTIF('11月'!DO16:DP16,F$374)+COUNTIF('11月'!DT16:DU16,F$374)+COUNTIF('11月'!DY16:DZ16,F$374)+COUNTIF('11月'!ED16:EE16,F$374)+COUNTIF('11月'!EI16:EJ16,F$374)+COUNTIF('11月'!EN16:EO16,F$374)+COUNTIF('11月'!ES16:ET16,F$374)</f>
        <v>0</v>
      </c>
      <c r="G388" s="76">
        <f t="shared" si="122"/>
        <v>0</v>
      </c>
      <c r="H388" s="76">
        <f>COUNTIF('11月'!D16:E16,H$374)+COUNTIF('11月'!I16:J16,H$374)+COUNTIF('11月'!N16:O16,H$374)+COUNTIF('11月'!S16:T16,H$374)+COUNTIF('11月'!X16:Y16,H$374)+COUNTIF('11月'!AC16:AD16,H$374)+COUNTIF('11月'!AH16:AI16,H$374)+COUNTIF('11月'!AM16:AN16,H$374)+COUNTIF('11月'!AR16:AS16,H$374)+COUNTIF('11月'!AW16:AX16,H$374)+COUNTIF('11月'!BB16:BC16,H$374)+COUNTIF('11月'!BG16:BH16,H$374)+COUNTIF('11月'!BL16:BM16,H$374)+COUNTIF('11月'!BQ16:BR16,H$374)+COUNTIF('11月'!BV16:BW16,H$374)+COUNTIF('11月'!CA16:CB16,H$374)+COUNTIF('11月'!CF16:CG16,H$374)+COUNTIF('11月'!CK16:CL16,H$374)+COUNTIF('11月'!CP16:CQ16,H$374)+COUNTIF('11月'!CU16:CV16,H$374)+COUNTIF('11月'!CZ16:DA16,H$374)+COUNTIF('11月'!DE16:DF16,H$374)+COUNTIF('11月'!DJ16:DK16,H$374)+COUNTIF('11月'!DO16:DP16,H$374)+COUNTIF('11月'!DT16:DU16,H$374)+COUNTIF('11月'!DY16:DZ16,H$374)+COUNTIF('11月'!ED16:EE16,H$374)+COUNTIF('11月'!EI16:EJ16,H$374)+COUNTIF('11月'!EN16:EO16,H$374)+COUNTIF('11月'!ES16:ET16,H$374)+COUNTIF('11月'!D16:E16,"渋谷-夜勤")+COUNTIF('11月'!I16:J16,"渋谷-夜勤")+COUNTIF('11月'!N16:O16,"渋谷-夜勤")+COUNTIF('11月'!S16:T16,"渋谷-夜勤")+COUNTIF('11月'!X16:Y16,"渋谷-夜勤")+COUNTIF('11月'!AC16:AD16,"渋谷-夜勤")+COUNTIF('11月'!AH16:AI16,"渋谷-夜勤")+COUNTIF('11月'!AM16:AN16,"渋谷-夜勤")+COUNTIF('11月'!AR16:AS16,"渋谷-夜勤")+COUNTIF('11月'!AW16:AX16,"渋谷-夜勤")+COUNTIF('11月'!BB16:BC16,"渋谷-夜勤")+COUNTIF('11月'!BG16:BH16,"渋谷-夜勤")+COUNTIF('11月'!BL16:BM16,"渋谷-夜勤")+COUNTIF('11月'!BQ16:BR16,"渋谷-夜勤")+COUNTIF('11月'!BV16:BW16,"渋谷-夜勤")+COUNTIF('11月'!CA16:CB16,"渋谷-夜勤")+COUNTIF('11月'!CF16:CG16,"渋谷-夜勤")+COUNTIF('11月'!CK16:CL16,"渋谷-夜勤")+COUNTIF('11月'!CP16:CQ16,"渋谷-夜勤")+COUNTIF('11月'!CU16:CV16,"渋谷-夜勤")+COUNTIF('11月'!CZ16:DA16,"渋谷-夜勤")+COUNTIF('11月'!DE16:DF16,"渋谷-夜勤")+COUNTIF('11月'!DJ16:DK16,"渋谷-夜勤")+COUNTIF('11月'!DO16:DP16,"渋谷-夜勤")+COUNTIF('11月'!DT16:DU16,"渋谷-夜勤")+COUNTIF('11月'!DY16:DZ16,"渋谷-夜勤")+COUNTIF('11月'!ED16:EE16,"渋谷-夜勤")+COUNTIF('11月'!EI16:EJ16,"渋谷-夜勤")+COUNTIF('11月'!EN16:EO16,"渋谷-夜勤")+COUNTIF('11月'!ES16:ET16,"渋谷-夜勤")</f>
        <v>0</v>
      </c>
      <c r="I388" s="76">
        <f t="shared" si="123"/>
        <v>0</v>
      </c>
      <c r="J388" s="76">
        <f>COUNTIF('11月'!D16:E16,J$374)+COUNTIF('11月'!I16:J16,J$374)+COUNTIF('11月'!N16:O16,J$374)+COUNTIF('11月'!S16:T16,J$374)+COUNTIF('11月'!X16:Y16,J$374)+COUNTIF('11月'!AC16:AD16,J$374)+COUNTIF('11月'!AH16:AI16,J$374)+COUNTIF('11月'!AM16:AN16,J$374)+COUNTIF('11月'!AR16:AS16,J$374)+COUNTIF('11月'!AW16:AX16,J$374)+COUNTIF('11月'!BB16:BC16,J$374)+COUNTIF('11月'!BG16:BH16,J$374)+COUNTIF('11月'!BL16:BM16,J$374)+COUNTIF('11月'!BQ16:BR16,J$374)+COUNTIF('11月'!BV16:BW16,J$374)+COUNTIF('11月'!CA16:CB16,J$374)+COUNTIF('11月'!CF16:CG16,J$374)+COUNTIF('11月'!CK16:CL16,J$374)+COUNTIF('11月'!CP16:CQ16,J$374)+COUNTIF('11月'!CU16:CV16,J$374)+COUNTIF('11月'!CZ16:DA16,J$374)+COUNTIF('11月'!DE16:DF16,J$374)+COUNTIF('11月'!DJ16:DK16,J$374)+COUNTIF('11月'!DO16:DP16,J$374)+COUNTIF('11月'!DT16:DU16,J$374)+COUNTIF('11月'!DY16:DZ16,J$374)+COUNTIF('11月'!ED16:EE16,J$374)+COUNTIF('11月'!EI16:EJ16,J$374)+COUNTIF('11月'!EN16:EO16,J$374)+COUNTIF('11月'!ES16:ET16,J$374)+COUNTIF('11月'!D16:E16,"六本木-夜勤")+COUNTIF('11月'!I16:J16,"六本木-夜勤")+COUNTIF('11月'!N16:O16,"六本木-夜勤")+COUNTIF('11月'!S16:T16,"六本木-夜勤")+COUNTIF('11月'!X16:Y16,"六本木-夜勤")+COUNTIF('11月'!AC16:AD16,"六本木-夜勤")+COUNTIF('11月'!AH16:AI16,"六本木-夜勤")+COUNTIF('11月'!AM16:AN16,"六本木-夜勤")+COUNTIF('11月'!AR16:AS16,"六本木-夜勤")+COUNTIF('11月'!AW16:AX16,"六本木-夜勤")+COUNTIF('11月'!BB16:BC16,"六本木-夜勤")+COUNTIF('11月'!BG16:BH16,"六本木-夜勤")+COUNTIF('11月'!BL16:BM16,"六本木-夜勤")+COUNTIF('11月'!BQ16:BR16,"六本木-夜勤")+COUNTIF('11月'!BV16:BW16,"六本木-夜勤")+COUNTIF('11月'!CA16:CB16,"六本木-夜勤")+COUNTIF('11月'!CF16:CG16,"六本木-夜勤")+COUNTIF('11月'!CK16:CL16,"六本木-夜勤")+COUNTIF('11月'!CP16:CQ16,"六本木-夜勤")+COUNTIF('11月'!CU16:CV16,"六本木-夜勤")+COUNTIF('11月'!CZ16:DA16,"六本木-夜勤")+COUNTIF('11月'!DE16:DF16,"六本木-夜勤")+COUNTIF('11月'!DJ16:DK16,"六本木-夜勤")+COUNTIF('11月'!DO16:DP16,"六本木-夜勤")+COUNTIF('11月'!DT16:DU16,"六本木-夜勤")+COUNTIF('11月'!DY16:DZ16,"六本木-夜勤")+COUNTIF('11月'!ED16:EE16,"六本木-夜勤")+COUNTIF('11月'!EI16:EJ16,"六本木-夜勤")+COUNTIF('11月'!EN16:EO16,"六本木-夜勤")+COUNTIF('11月'!ES16:ET16,"六本木-夜勤")+COUNTIF('11月'!D16:E16,"六本木ー夜勤")+COUNTIF('11月'!I16:J16,"六本木ー夜勤")+COUNTIF('11月'!N16:O16,"六本木ー夜勤")+COUNTIF('11月'!S16:T16,"六本木ー夜勤")+COUNTIF('11月'!X16:Y16,"六本木ー夜勤")+COUNTIF('11月'!AC16:AD16,"六本木ー夜勤")+COUNTIF('11月'!AH16:AI16,"六本木ー夜勤")+COUNTIF('11月'!AM16:AN16,"六本木ー夜勤")+COUNTIF('11月'!AR16:AS16,"六本木ー夜勤")+COUNTIF('11月'!AW16:AX16,"六本木ー夜勤")+COUNTIF('11月'!BB16:BC16,"六本木ー夜勤")+COUNTIF('11月'!BG16:BH16,"六本木ー夜勤")+COUNTIF('11月'!BL16:BM16,"六本木ー夜勤")+COUNTIF('11月'!BQ16:BR16,"六本木ー夜勤")+COUNTIF('11月'!BV16:BW16,"六本木ー夜勤")+COUNTIF('11月'!CA16:CB16,"六本木ー夜勤")+COUNTIF('11月'!CF16:CG16,"六本木ー夜勤")+COUNTIF('11月'!CK16:CL16,"六本木ー夜勤")+COUNTIF('11月'!CP16:CQ16,"六本木ー夜勤")+COUNTIF('11月'!CU16:CV16,"六本木ー夜勤")+COUNTIF('11月'!CZ16:DA16,"六本木ー夜勤")+COUNTIF('11月'!DE16:DF16,"六本木ー夜勤")+COUNTIF('11月'!DJ16:DK16,"六本木ー夜勤")+COUNTIF('11月'!DO16:DP16,"六本木ー夜勤")+COUNTIF('11月'!DT16:DU16,"六本木ー夜勤")+COUNTIF('11月'!DY16:DZ16,"六本木ー夜勤")+COUNTIF('11月'!ED16:EE16,"六本木ー夜勤")+COUNTIF('11月'!EI16:EJ16,"六本木ー夜勤")+COUNTIF('11月'!EN16:EO16,"六本木ー夜勤")+COUNTIF('11月'!ES16:ET16,"六本木ー夜勤")</f>
        <v>0</v>
      </c>
      <c r="K388" s="76">
        <f t="shared" si="124"/>
        <v>0</v>
      </c>
      <c r="L388" s="76">
        <f>COUNTIF('11月'!D16:E16,L$374)+COUNTIF('11月'!I16:J16,L$374)+COUNTIF('11月'!N16:O16,L$374)+COUNTIF('11月'!S16:T16,L$374)+COUNTIF('11月'!X16:Y16,L$374)+COUNTIF('11月'!AC16:AD16,L$374)+COUNTIF('11月'!AH16:AI16,L$374)+COUNTIF('11月'!AM16:AN16,L$374)+COUNTIF('11月'!AR16:AS16,L$374)+COUNTIF('11月'!AW16:AX16,L$374)+COUNTIF('11月'!BB16:BC16,L$374)+COUNTIF('11月'!BG16:BH16,L$374)+COUNTIF('11月'!BL16:BM16,L$374)+COUNTIF('11月'!BQ16:BR16,L$374)+COUNTIF('11月'!BV16:BW16,L$374)+COUNTIF('11月'!CA16:CB16,L$374)+COUNTIF('11月'!CF16:CG16,L$374)+COUNTIF('11月'!CK16:CL16,L$374)+COUNTIF('11月'!CP16:CQ16,L$374)+COUNTIF('11月'!CU16:CV16,L$374)+COUNTIF('11月'!CZ16:DA16,L$374)+COUNTIF('11月'!DE16:DF16,L$374)+COUNTIF('11月'!DJ16:DK16,L$374)+COUNTIF('11月'!DO16:DP16,L$374)+COUNTIF('11月'!DT16:DU16,L$374)+COUNTIF('11月'!DY16:DZ16,L$374)+COUNTIF('11月'!ED16:EE16,L$374)+COUNTIF('11月'!EI16:EJ16,L$374)+COUNTIF('11月'!EN16:EO16,L$374)+COUNTIF('11月'!ES16:ET16,L$374)</f>
        <v>0</v>
      </c>
      <c r="M388" s="76">
        <f t="shared" si="125"/>
        <v>0</v>
      </c>
      <c r="N388" s="76">
        <f>COUNTIF('11月'!D16:E16,N$374)+COUNTIF('11月'!I16:J16,N$374)+COUNTIF('11月'!N16:O16,N$374)+COUNTIF('11月'!S16:T16,N$374)+COUNTIF('11月'!X16:Y16,N$374)+COUNTIF('11月'!AC16:AD16,N$374)+COUNTIF('11月'!AH16:AI16,N$374)+COUNTIF('11月'!AM16:AN16,N$374)+COUNTIF('11月'!AR16:AS16,N$374)+COUNTIF('11月'!AW16:AX16,N$374)+COUNTIF('11月'!BB16:BC16,N$374)+COUNTIF('11月'!BG16:BH16,N$374)+COUNTIF('11月'!BL16:BM16,N$374)+COUNTIF('11月'!BQ16:BR16,N$374)+COUNTIF('11月'!BV16:BW16,N$374)+COUNTIF('11月'!CA16:CB16,N$374)+COUNTIF('11月'!CF16:CG16,N$374)+COUNTIF('11月'!CK16:CL16,N$374)+COUNTIF('11月'!CP16:CQ16,N$374)+COUNTIF('11月'!CU16:CV16,N$374)+COUNTIF('11月'!CZ16:DA16,N$374)+COUNTIF('11月'!DE16:DF16,N$374)+COUNTIF('11月'!DJ16:DK16,N$374)+COUNTIF('11月'!DO16:DP16,N$374)+COUNTIF('11月'!DT16:DU16,N$374)+COUNTIF('11月'!DY16:DZ16,N$374)+COUNTIF('11月'!ED16:EE16,N$374)+COUNTIF('11月'!EI16:EJ16,N$374)+COUNTIF('11月'!EN16:EO16,N$374)+COUNTIF('11月'!ES16:ET16,N$374)+COUNTIF('11月'!D16:E16,"三軒茶屋－夜勤")+COUNTIF('11月'!I16:J16,"三軒茶屋－夜勤")+COUNTIF('11月'!N16:O16,"三軒茶屋－夜勤")+COUNTIF('11月'!S16:T16,"三軒茶屋－夜勤")+COUNTIF('11月'!X16:Y16,"三軒茶屋－夜勤")+COUNTIF('11月'!AC16:AD16,"三軒茶屋－夜勤")+COUNTIF('11月'!AH16:AI16,"三軒茶屋－夜勤")+COUNTIF('11月'!AM16:AN16,"三軒茶屋－夜勤")+COUNTIF('11月'!AR16:AS16,"三軒茶屋－夜勤")+COUNTIF('11月'!AW16:AX16,"三軒茶屋－夜勤")+COUNTIF('11月'!BB16:BC16,"三軒茶屋－夜勤")+COUNTIF('11月'!BG16:BH16,"三軒茶屋－夜勤")+COUNTIF('11月'!BL16:BM16,"三軒茶屋－夜勤")+COUNTIF('11月'!BQ16:BR16,"三軒茶屋－夜勤")+COUNTIF('11月'!BV16:BW16,"三軒茶屋－夜勤")+COUNTIF('11月'!CA16:CB16,"三軒茶屋－夜勤")+COUNTIF('11月'!CF16:CG16,"三軒茶屋－夜勤")+COUNTIF('11月'!CK16:CL16,"三軒茶屋－夜勤")+COUNTIF('11月'!CP16:CQ16,"三軒茶屋－夜勤")+COUNTIF('11月'!CU16:CV16,"三軒茶屋－夜勤")+COUNTIF('11月'!CZ16:DA16,"三軒茶屋－夜勤")+COUNTIF('11月'!DE16:DF16,"三軒茶屋－夜勤")+COUNTIF('11月'!DJ16:DK16,"三軒茶屋－夜勤")+COUNTIF('11月'!DO16:DP16,"三軒茶屋－夜勤")+COUNTIF('11月'!DT16:DU16,"三軒茶屋－夜勤")+COUNTIF('11月'!DY16:DZ16,"三軒茶屋－夜勤")+COUNTIF('11月'!ED16:EE16,"三軒茶屋－夜勤")+COUNTIF('11月'!EI16:EJ16,"三軒茶屋－夜勤")+COUNTIF('11月'!EN16:EO16,"三軒茶屋－夜勤")+COUNTIF('11月'!ES16:ET16,"三軒茶屋－夜勤")</f>
        <v>0</v>
      </c>
      <c r="O388" s="76">
        <f t="shared" si="126"/>
        <v>0</v>
      </c>
      <c r="P388" s="76">
        <f>COUNTIF('11月'!D16:E16,P$374)+COUNTIF('11月'!I16:J16,P$374)+COUNTIF('11月'!N16:O16,P$374)+COUNTIF('11月'!S16:T16,P$374)+COUNTIF('11月'!X16:Y16,P$374)+COUNTIF('11月'!AC16:AD16,P$374)+COUNTIF('11月'!AH16:AI16,P$374)+COUNTIF('11月'!AM16:AN16,P$374)+COUNTIF('11月'!AR16:AS16,P$374)+COUNTIF('11月'!AW16:AX16,P$374)+COUNTIF('11月'!BB16:BC16,P$374)+COUNTIF('11月'!BG16:BH16,P$374)+COUNTIF('11月'!BL16:BM16,P$374)+COUNTIF('11月'!BQ16:BR16,P$374)+COUNTIF('11月'!BV16:BW16,P$374)+COUNTIF('11月'!CA16:CB16,P$374)+COUNTIF('11月'!CF16:CG16,P$374)+COUNTIF('11月'!CK16:CL16,P$374)+COUNTIF('11月'!CP16:CQ16,P$374)+COUNTIF('11月'!CU16:CV16,P$374)+COUNTIF('11月'!CZ16:DA16,P$374)+COUNTIF('11月'!DE16:DF16,P$374)+COUNTIF('11月'!DJ16:DK16,P$374)+COUNTIF('11月'!DO16:DP16,P$374)+COUNTIF('11月'!DT16:DU16,P$374)+COUNTIF('11月'!DY16:DZ16,P$374)+COUNTIF('11月'!ED16:EE16,P$374)+COUNTIF('11月'!EI16:EJ16,P$374)+COUNTIF('11月'!EN16:EO16,P$374)+COUNTIF('11月'!ES16:ET16,P$374)+COUNTIF('11月'!D16:E16,"荻窪ー夜勤")+COUNTIF('11月'!I16:J16,"荻窪ー夜勤")+COUNTIF('11月'!N16:O16,"荻窪ー夜勤")+COUNTIF('11月'!S16:T16,"荻窪ー夜勤")+COUNTIF('11月'!X16:Y16,"荻窪ー夜勤")+COUNTIF('11月'!AC16:AD16,"荻窪ー夜勤")+COUNTIF('11月'!AH16:AI16,"荻窪ー夜勤")+COUNTIF('11月'!AM16:AN16,"荻窪ー夜勤")+COUNTIF('11月'!AR16:AS16,"荻窪ー夜勤")+COUNTIF('11月'!AW16:AX16,"荻窪ー夜勤")+COUNTIF('11月'!BB16:BC16,"荻窪ー夜勤")+COUNTIF('11月'!BG16:BH16,"荻窪ー夜勤")+COUNTIF('11月'!BL16:BM16,"荻窪ー夜勤")+COUNTIF('11月'!BQ16:BR16,"荻窪ー夜勤")+COUNTIF('11月'!BV16:BW16,"荻窪ー夜勤")+COUNTIF('11月'!CA16:CB16,"荻窪ー夜勤")+COUNTIF('11月'!CF16:CG16,"荻窪ー夜勤")+COUNTIF('11月'!CK16:CL16,"荻窪ー夜勤")+COUNTIF('11月'!CP16:CQ16,"荻窪ー夜勤")+COUNTIF('11月'!CU16:CV16,"荻窪ー夜勤")+COUNTIF('11月'!CZ16:DA16,"荻窪ー夜勤")+COUNTIF('11月'!DE16:DF16,"荻窪ー夜勤")+COUNTIF('11月'!DJ16:DK16,"荻窪ー夜勤")+COUNTIF('11月'!DO16:DP16,"荻窪ー夜勤")+COUNTIF('11月'!DT16:DU16,"荻窪ー夜勤")+COUNTIF('11月'!DY16:DZ16,"荻窪ー夜勤")+COUNTIF('11月'!ED16:EE16,"荻窪ー夜勤")+COUNTIF('11月'!EI16:EJ16,"荻窪ー夜勤")+COUNTIF('11月'!EN16:EO16,"荻窪ー夜勤")+COUNTIF('11月'!ES16:ET16,"荻窪ー夜勤")</f>
        <v>0</v>
      </c>
      <c r="Q388" s="76">
        <f t="shared" si="127"/>
        <v>0</v>
      </c>
      <c r="R388" s="76">
        <f>COUNTIF('11月'!D16:E16,R$374)+COUNTIF('11月'!I16:J16,R$374)+COUNTIF('11月'!N16:O16,R$374)+COUNTIF('11月'!S16:T16,R$374)+COUNTIF('11月'!X16:Y16,R$374)+COUNTIF('11月'!AC16:AD16,R$374)+COUNTIF('11月'!AH16:AI16,R$374)+COUNTIF('11月'!AM16:AN16,R$374)+COUNTIF('11月'!AR16:AS16,R$374)+COUNTIF('11月'!AW16:AX16,R$374)+COUNTIF('11月'!BB16:BC16,R$374)+COUNTIF('11月'!BG16:BH16,R$374)+COUNTIF('11月'!BL16:BM16,R$374)+COUNTIF('11月'!BQ16:BR16,R$374)+COUNTIF('11月'!BV16:BW16,R$374)+COUNTIF('11月'!CA16:CB16,R$374)+COUNTIF('11月'!CF16:CG16,R$374)+COUNTIF('11月'!CK16:CL16,R$374)+COUNTIF('11月'!CP16:CQ16,R$374)+COUNTIF('11月'!CU16:CV16,R$374)+COUNTIF('11月'!CZ16:DA16,R$374)+COUNTIF('11月'!DE16:DF16,R$374)+COUNTIF('11月'!DJ16:DK16,R$374)+COUNTIF('11月'!DO16:DP16,R$374)+COUNTIF('11月'!DT16:DU16,R$374)+COUNTIF('11月'!DY16:DZ16,R$374)+COUNTIF('11月'!ED16:EE16,R$374)+COUNTIF('11月'!EI16:EJ16,R$374)+COUNTIF('11月'!EN16:EO16,R$374)+COUNTIF('11月'!ES16:ET16,R$374)</f>
        <v>0</v>
      </c>
      <c r="S388" s="76">
        <f t="shared" si="128"/>
        <v>0</v>
      </c>
      <c r="T388" s="76">
        <f>COUNTIF('11月'!D16:E16,T$374)+COUNTIF('11月'!I16:J16,T$374)+COUNTIF('11月'!N16:O16,T$374)+COUNTIF('11月'!S16:T16,T$374)+COUNTIF('11月'!X16:Y16,T$374)+COUNTIF('11月'!AC16:AD16,T$374)+COUNTIF('11月'!AH16:AI16,T$374)+COUNTIF('11月'!AM16:AN16,T$374)+COUNTIF('11月'!AR16:AS16,T$374)+COUNTIF('11月'!AW16:AX16,T$374)+COUNTIF('11月'!BB16:BC16,T$374)+COUNTIF('11月'!BG16:BH16,T$374)+COUNTIF('11月'!BL16:BM16,T$374)+COUNTIF('11月'!BQ16:BR16,T$374)+COUNTIF('11月'!BV16:BW16,T$374)+COUNTIF('11月'!CA16:CB16,T$374)+COUNTIF('11月'!CF16:CG16,T$374)+COUNTIF('11月'!CK16:CL16,T$374)+COUNTIF('11月'!CP16:CQ16,T$374)+COUNTIF('11月'!CU16:CV16,T$374)+COUNTIF('11月'!CZ16:DA16,T$374)+COUNTIF('11月'!DE16:DF16,T$374)+COUNTIF('11月'!DJ16:DK16,T$374)+COUNTIF('11月'!DO16:DP16,T$374)+COUNTIF('11月'!DT16:DU16,T$374)+COUNTIF('11月'!DY16:DZ16,T$374)+COUNTIF('11月'!ED16:EE16,T$374)+COUNTIF('11月'!EI16:EJ16,T$374)+COUNTIF('11月'!EN16:EO16,T$374)+COUNTIF('11月'!ES16:ET16,T$374)</f>
        <v>0</v>
      </c>
      <c r="U388" s="76">
        <f t="shared" si="129"/>
        <v>0</v>
      </c>
      <c r="V388" s="76">
        <f>COUNTIF('11月'!D16:E16,V$374)+COUNTIF('11月'!I16:J16,V$374)+COUNTIF('11月'!N16:O16,V$374)+COUNTIF('11月'!S16:T16,V$374)+COUNTIF('11月'!X16:Y16,V$374)+COUNTIF('11月'!AC16:AD16,V$374)+COUNTIF('11月'!AH16:AI16,V$374)+COUNTIF('11月'!AM16:AN16,V$374)+COUNTIF('11月'!AR16:AS16,V$374)+COUNTIF('11月'!AW16:AX16,V$374)+COUNTIF('11月'!BB16:BC16,V$374)+COUNTIF('11月'!BG16:BH16,V$374)+COUNTIF('11月'!BL16:BM16,V$374)+COUNTIF('11月'!BQ16:BR16,V$374)+COUNTIF('11月'!BV16:BW16,V$374)+COUNTIF('11月'!CA16:CB16,V$374)+COUNTIF('11月'!CF16:CG16,V$374)+COUNTIF('11月'!CK16:CL16,V$374)+COUNTIF('11月'!CP16:CQ16,V$374)+COUNTIF('11月'!CU16:CV16,V$374)+COUNTIF('11月'!CZ16:DA16,V$374)+COUNTIF('11月'!DE16:DF16,V$374)+COUNTIF('11月'!DJ16:DK16,V$374)+COUNTIF('11月'!DO16:DP16,V$374)+COUNTIF('11月'!DT16:DU16,V$374)+COUNTIF('11月'!DY16:DZ16,V$374)+COUNTIF('11月'!ED16:EE16,V$374)+COUNTIF('11月'!EI16:EJ16,V$374)+COUNTIF('11月'!EN16:EO16,V$374)+COUNTIF('11月'!ES16:ET16,V$374)</f>
        <v>0</v>
      </c>
      <c r="W388" s="76">
        <f t="shared" si="130"/>
        <v>0</v>
      </c>
      <c r="X388" s="76">
        <f>COUNTIF('11月'!D16:E16,X$374)+COUNTIF('11月'!I16:J16,X$374)+COUNTIF('11月'!N16:O16,X$374)+COUNTIF('11月'!S16:T16,X$374)+COUNTIF('11月'!X16:Y16,X$374)+COUNTIF('11月'!AC16:AD16,X$374)+COUNTIF('11月'!AH16:AI16,X$374)+COUNTIF('11月'!AM16:AN16,X$374)+COUNTIF('11月'!AR16:AS16,X$374)+COUNTIF('11月'!AW16:AX16,X$374)+COUNTIF('11月'!BB16:BC16,X$374)+COUNTIF('11月'!BG16:BH16,X$374)+COUNTIF('11月'!BL16:BM16,X$374)+COUNTIF('11月'!BQ16:BR16,X$374)+COUNTIF('11月'!BV16:BW16,X$374)+COUNTIF('11月'!CA16:CB16,X$374)+COUNTIF('11月'!CF16:CG16,X$374)+COUNTIF('11月'!CK16:CL16,X$374)+COUNTIF('11月'!CP16:CQ16,X$374)+COUNTIF('11月'!CU16:CV16,X$374)+COUNTIF('11月'!CZ16:DA16,X$374)+COUNTIF('11月'!DE16:DF16,X$374)+COUNTIF('11月'!DJ16:DK16,X$374)+COUNTIF('11月'!DO16:DP16,X$374)+COUNTIF('11月'!DT16:DU16,X$374)+COUNTIF('11月'!DY16:DZ16,X$374)+COUNTIF('11月'!ED16:EE16,X$374)+COUNTIF('11月'!EI16:EJ16,X$374)+COUNTIF('11月'!EN16:EO16,X$374)+COUNTIF('11月'!ES16:ET16,X$374)</f>
        <v>0</v>
      </c>
      <c r="Y388" s="76">
        <f t="shared" si="131"/>
        <v>0</v>
      </c>
    </row>
    <row r="389" spans="1:25" ht="18" customHeight="1">
      <c r="A389" s="76">
        <v>14</v>
      </c>
      <c r="B389" s="76">
        <f>COUNTIF('11月'!D17:E17,B$374)+COUNTIF('11月'!I17:J17,B$374)+COUNTIF('11月'!N17:O17,B$374)+COUNTIF('11月'!S17:T17,B$374)+COUNTIF('11月'!X17:Y17,B$374)+COUNTIF('11月'!AC17:AD17,B$374)+COUNTIF('11月'!AH17:AI17,B$374)+COUNTIF('11月'!AM17:AN17,B$374)+COUNTIF('11月'!AR17:AS17,B$374)+COUNTIF('11月'!AW17:AX17,B$374)+COUNTIF('11月'!BB17:BC17,B$374)+COUNTIF('11月'!BG17:BH17,B$374)+COUNTIF('11月'!BL17:BM17,B$374)+COUNTIF('11月'!BQ17:BR17,B$374)+COUNTIF('11月'!BV17:BW17,B$374)+COUNTIF('11月'!CA17:CB17,B$374)+COUNTIF('11月'!CF17:CG17,B$374)+COUNTIF('11月'!CK17:CL17,B$374)+COUNTIF('11月'!CP17:CQ17,B$374)+COUNTIF('11月'!CU17:CV17,B$374)+COUNTIF('11月'!CZ17:DA17,B$374)+COUNTIF('11月'!DE17:DF17,B$374)+COUNTIF('11月'!DJ17:DK17,B$374)+COUNTIF('11月'!DO17:DP17,B$374)+COUNTIF('11月'!DT17:DU17,B$374)+COUNTIF('11月'!DY17:DZ17,B$374)+COUNTIF('11月'!ED17:EE17,B$374)+COUNTIF('11月'!EI17:EJ17,B$374)+COUNTIF('11月'!EN17:EO17,B$374)+COUNTIF('11月'!ES17:ET17,B$374)</f>
        <v>0</v>
      </c>
      <c r="C389" s="76">
        <f t="shared" si="120"/>
        <v>0</v>
      </c>
      <c r="D389" s="76">
        <f>COUNTIF('11月'!D17:E17,D$374)+COUNTIF('11月'!I17:J17,D$374)+COUNTIF('11月'!N17:O17,D$374)+COUNTIF('11月'!S17:T17,D$374)+COUNTIF('11月'!X17:Y17,D$374)+COUNTIF('11月'!AC17:AD17,D$374)+COUNTIF('11月'!AH17:AI17,D$374)+COUNTIF('11月'!AM17:AN17,D$374)+COUNTIF('11月'!AR17:AS17,D$374)+COUNTIF('11月'!AW17:AX17,D$374)+COUNTIF('11月'!BB17:BC17,D$374)+COUNTIF('11月'!BG17:BH17,D$374)+COUNTIF('11月'!BL17:BM17,D$374)+COUNTIF('11月'!BQ17:BR17,D$374)+COUNTIF('11月'!BV17:BW17,D$374)+COUNTIF('11月'!CA17:CB17,D$374)+COUNTIF('11月'!CF17:CG17,D$374)+COUNTIF('11月'!CK17:CL17,D$374)+COUNTIF('11月'!CP17:CQ17,D$374)+COUNTIF('11月'!CU17:CV17,D$374)+COUNTIF('11月'!CZ17:DA17,D$374)+COUNTIF('11月'!DE17:DF17,D$374)+COUNTIF('11月'!DJ17:DK17,D$374)+COUNTIF('11月'!DO17:DP17,D$374)+COUNTIF('11月'!DT17:DU17,D$374)+COUNTIF('11月'!DY17:DZ17,D$374)+COUNTIF('11月'!ED17:EE17,D$374)+COUNTIF('11月'!EI17:EJ17,D$374)+COUNTIF('11月'!EN17:EO17,D$374)+COUNTIF('11月'!ES17:ET17,D$374)</f>
        <v>0</v>
      </c>
      <c r="E389" s="76">
        <f t="shared" si="121"/>
        <v>0</v>
      </c>
      <c r="F389" s="76">
        <f>COUNTIF('11月'!D17:E17,F$374)+COUNTIF('11月'!I17:J17,F$374)+COUNTIF('11月'!N17:O17,F$374)+COUNTIF('11月'!S17:T17,F$374)+COUNTIF('11月'!X17:Y17,F$374)+COUNTIF('11月'!AC17:AD17,F$374)+COUNTIF('11月'!AH17:AI17,F$374)+COUNTIF('11月'!AM17:AN17,F$374)+COUNTIF('11月'!AR17:AS17,F$374)+COUNTIF('11月'!AW17:AX17,F$374)+COUNTIF('11月'!BB17:BC17,F$374)+COUNTIF('11月'!BG17:BH17,F$374)+COUNTIF('11月'!BL17:BM17,F$374)+COUNTIF('11月'!BQ17:BR17,F$374)+COUNTIF('11月'!BV17:BW17,F$374)+COUNTIF('11月'!CA17:CB17,F$374)+COUNTIF('11月'!CF17:CG17,F$374)+COUNTIF('11月'!CK17:CL17,F$374)+COUNTIF('11月'!CP17:CQ17,F$374)+COUNTIF('11月'!CU17:CV17,F$374)+COUNTIF('11月'!CZ17:DA17,F$374)+COUNTIF('11月'!DE17:DF17,F$374)+COUNTIF('11月'!DJ17:DK17,F$374)+COUNTIF('11月'!DO17:DP17,F$374)+COUNTIF('11月'!DT17:DU17,F$374)+COUNTIF('11月'!DY17:DZ17,F$374)+COUNTIF('11月'!ED17:EE17,F$374)+COUNTIF('11月'!EI17:EJ17,F$374)+COUNTIF('11月'!EN17:EO17,F$374)+COUNTIF('11月'!ES17:ET17,F$374)</f>
        <v>0</v>
      </c>
      <c r="G389" s="76">
        <f t="shared" si="122"/>
        <v>0</v>
      </c>
      <c r="H389" s="76">
        <f>COUNTIF('11月'!D17:E17,H$374)+COUNTIF('11月'!I17:J17,H$374)+COUNTIF('11月'!N17:O17,H$374)+COUNTIF('11月'!S17:T17,H$374)+COUNTIF('11月'!X17:Y17,H$374)+COUNTIF('11月'!AC17:AD17,H$374)+COUNTIF('11月'!AH17:AI17,H$374)+COUNTIF('11月'!AM17:AN17,H$374)+COUNTIF('11月'!AR17:AS17,H$374)+COUNTIF('11月'!AW17:AX17,H$374)+COUNTIF('11月'!BB17:BC17,H$374)+COUNTIF('11月'!BG17:BH17,H$374)+COUNTIF('11月'!BL17:BM17,H$374)+COUNTIF('11月'!BQ17:BR17,H$374)+COUNTIF('11月'!BV17:BW17,H$374)+COUNTIF('11月'!CA17:CB17,H$374)+COUNTIF('11月'!CF17:CG17,H$374)+COUNTIF('11月'!CK17:CL17,H$374)+COUNTIF('11月'!CP17:CQ17,H$374)+COUNTIF('11月'!CU17:CV17,H$374)+COUNTIF('11月'!CZ17:DA17,H$374)+COUNTIF('11月'!DE17:DF17,H$374)+COUNTIF('11月'!DJ17:DK17,H$374)+COUNTIF('11月'!DO17:DP17,H$374)+COUNTIF('11月'!DT17:DU17,H$374)+COUNTIF('11月'!DY17:DZ17,H$374)+COUNTIF('11月'!ED17:EE17,H$374)+COUNTIF('11月'!EI17:EJ17,H$374)+COUNTIF('11月'!EN17:EO17,H$374)+COUNTIF('11月'!ES17:ET17,H$374)+COUNTIF('11月'!D17:E17,"渋谷-夜勤")+COUNTIF('11月'!I17:J17,"渋谷-夜勤")+COUNTIF('11月'!N17:O17,"渋谷-夜勤")+COUNTIF('11月'!S17:T17,"渋谷-夜勤")+COUNTIF('11月'!X17:Y17,"渋谷-夜勤")+COUNTIF('11月'!AC17:AD17,"渋谷-夜勤")+COUNTIF('11月'!AH17:AI17,"渋谷-夜勤")+COUNTIF('11月'!AM17:AN17,"渋谷-夜勤")+COUNTIF('11月'!AR17:AS17,"渋谷-夜勤")+COUNTIF('11月'!AW17:AX17,"渋谷-夜勤")+COUNTIF('11月'!BB17:BC17,"渋谷-夜勤")+COUNTIF('11月'!BG17:BH17,"渋谷-夜勤")+COUNTIF('11月'!BL17:BM17,"渋谷-夜勤")+COUNTIF('11月'!BQ17:BR17,"渋谷-夜勤")+COUNTIF('11月'!BV17:BW17,"渋谷-夜勤")+COUNTIF('11月'!CA17:CB17,"渋谷-夜勤")+COUNTIF('11月'!CF17:CG17,"渋谷-夜勤")+COUNTIF('11月'!CK17:CL17,"渋谷-夜勤")+COUNTIF('11月'!CP17:CQ17,"渋谷-夜勤")+COUNTIF('11月'!CU17:CV17,"渋谷-夜勤")+COUNTIF('11月'!CZ17:DA17,"渋谷-夜勤")+COUNTIF('11月'!DE17:DF17,"渋谷-夜勤")+COUNTIF('11月'!DJ17:DK17,"渋谷-夜勤")+COUNTIF('11月'!DO17:DP17,"渋谷-夜勤")+COUNTIF('11月'!DT17:DU17,"渋谷-夜勤")+COUNTIF('11月'!DY17:DZ17,"渋谷-夜勤")+COUNTIF('11月'!ED17:EE17,"渋谷-夜勤")+COUNTIF('11月'!EI17:EJ17,"渋谷-夜勤")+COUNTIF('11月'!EN17:EO17,"渋谷-夜勤")+COUNTIF('11月'!ES17:ET17,"渋谷-夜勤")</f>
        <v>0</v>
      </c>
      <c r="I389" s="76">
        <f t="shared" si="123"/>
        <v>0</v>
      </c>
      <c r="J389" s="76">
        <f>COUNTIF('11月'!D17:E17,J$374)+COUNTIF('11月'!I17:J17,J$374)+COUNTIF('11月'!N17:O17,J$374)+COUNTIF('11月'!S17:T17,J$374)+COUNTIF('11月'!X17:Y17,J$374)+COUNTIF('11月'!AC17:AD17,J$374)+COUNTIF('11月'!AH17:AI17,J$374)+COUNTIF('11月'!AM17:AN17,J$374)+COUNTIF('11月'!AR17:AS17,J$374)+COUNTIF('11月'!AW17:AX17,J$374)+COUNTIF('11月'!BB17:BC17,J$374)+COUNTIF('11月'!BG17:BH17,J$374)+COUNTIF('11月'!BL17:BM17,J$374)+COUNTIF('11月'!BQ17:BR17,J$374)+COUNTIF('11月'!BV17:BW17,J$374)+COUNTIF('11月'!CA17:CB17,J$374)+COUNTIF('11月'!CF17:CG17,J$374)+COUNTIF('11月'!CK17:CL17,J$374)+COUNTIF('11月'!CP17:CQ17,J$374)+COUNTIF('11月'!CU17:CV17,J$374)+COUNTIF('11月'!CZ17:DA17,J$374)+COUNTIF('11月'!DE17:DF17,J$374)+COUNTIF('11月'!DJ17:DK17,J$374)+COUNTIF('11月'!DO17:DP17,J$374)+COUNTIF('11月'!DT17:DU17,J$374)+COUNTIF('11月'!DY17:DZ17,J$374)+COUNTIF('11月'!ED17:EE17,J$374)+COUNTIF('11月'!EI17:EJ17,J$374)+COUNTIF('11月'!EN17:EO17,J$374)+COUNTIF('11月'!ES17:ET17,J$374)+COUNTIF('11月'!D17:E17,"六本木-夜勤")+COUNTIF('11月'!I17:J17,"六本木-夜勤")+COUNTIF('11月'!N17:O17,"六本木-夜勤")+COUNTIF('11月'!S17:T17,"六本木-夜勤")+COUNTIF('11月'!X17:Y17,"六本木-夜勤")+COUNTIF('11月'!AC17:AD17,"六本木-夜勤")+COUNTIF('11月'!AH17:AI17,"六本木-夜勤")+COUNTIF('11月'!AM17:AN17,"六本木-夜勤")+COUNTIF('11月'!AR17:AS17,"六本木-夜勤")+COUNTIF('11月'!AW17:AX17,"六本木-夜勤")+COUNTIF('11月'!BB17:BC17,"六本木-夜勤")+COUNTIF('11月'!BG17:BH17,"六本木-夜勤")+COUNTIF('11月'!BL17:BM17,"六本木-夜勤")+COUNTIF('11月'!BQ17:BR17,"六本木-夜勤")+COUNTIF('11月'!BV17:BW17,"六本木-夜勤")+COUNTIF('11月'!CA17:CB17,"六本木-夜勤")+COUNTIF('11月'!CF17:CG17,"六本木-夜勤")+COUNTIF('11月'!CK17:CL17,"六本木-夜勤")+COUNTIF('11月'!CP17:CQ17,"六本木-夜勤")+COUNTIF('11月'!CU17:CV17,"六本木-夜勤")+COUNTIF('11月'!CZ17:DA17,"六本木-夜勤")+COUNTIF('11月'!DE17:DF17,"六本木-夜勤")+COUNTIF('11月'!DJ17:DK17,"六本木-夜勤")+COUNTIF('11月'!DO17:DP17,"六本木-夜勤")+COUNTIF('11月'!DT17:DU17,"六本木-夜勤")+COUNTIF('11月'!DY17:DZ17,"六本木-夜勤")+COUNTIF('11月'!ED17:EE17,"六本木-夜勤")+COUNTIF('11月'!EI17:EJ17,"六本木-夜勤")+COUNTIF('11月'!EN17:EO17,"六本木-夜勤")+COUNTIF('11月'!ES17:ET17,"六本木-夜勤")+COUNTIF('11月'!D17:E17,"六本木ー夜勤")+COUNTIF('11月'!I17:J17,"六本木ー夜勤")+COUNTIF('11月'!N17:O17,"六本木ー夜勤")+COUNTIF('11月'!S17:T17,"六本木ー夜勤")+COUNTIF('11月'!X17:Y17,"六本木ー夜勤")+COUNTIF('11月'!AC17:AD17,"六本木ー夜勤")+COUNTIF('11月'!AH17:AI17,"六本木ー夜勤")+COUNTIF('11月'!AM17:AN17,"六本木ー夜勤")+COUNTIF('11月'!AR17:AS17,"六本木ー夜勤")+COUNTIF('11月'!AW17:AX17,"六本木ー夜勤")+COUNTIF('11月'!BB17:BC17,"六本木ー夜勤")+COUNTIF('11月'!BG17:BH17,"六本木ー夜勤")+COUNTIF('11月'!BL17:BM17,"六本木ー夜勤")+COUNTIF('11月'!BQ17:BR17,"六本木ー夜勤")+COUNTIF('11月'!BV17:BW17,"六本木ー夜勤")+COUNTIF('11月'!CA17:CB17,"六本木ー夜勤")+COUNTIF('11月'!CF17:CG17,"六本木ー夜勤")+COUNTIF('11月'!CK17:CL17,"六本木ー夜勤")+COUNTIF('11月'!CP17:CQ17,"六本木ー夜勤")+COUNTIF('11月'!CU17:CV17,"六本木ー夜勤")+COUNTIF('11月'!CZ17:DA17,"六本木ー夜勤")+COUNTIF('11月'!DE17:DF17,"六本木ー夜勤")+COUNTIF('11月'!DJ17:DK17,"六本木ー夜勤")+COUNTIF('11月'!DO17:DP17,"六本木ー夜勤")+COUNTIF('11月'!DT17:DU17,"六本木ー夜勤")+COUNTIF('11月'!DY17:DZ17,"六本木ー夜勤")+COUNTIF('11月'!ED17:EE17,"六本木ー夜勤")+COUNTIF('11月'!EI17:EJ17,"六本木ー夜勤")+COUNTIF('11月'!EN17:EO17,"六本木ー夜勤")+COUNTIF('11月'!ES17:ET17,"六本木ー夜勤")</f>
        <v>0</v>
      </c>
      <c r="K389" s="76">
        <f t="shared" si="124"/>
        <v>0</v>
      </c>
      <c r="L389" s="76">
        <f>COUNTIF('11月'!D17:E17,L$374)+COUNTIF('11月'!I17:J17,L$374)+COUNTIF('11月'!N17:O17,L$374)+COUNTIF('11月'!S17:T17,L$374)+COUNTIF('11月'!X17:Y17,L$374)+COUNTIF('11月'!AC17:AD17,L$374)+COUNTIF('11月'!AH17:AI17,L$374)+COUNTIF('11月'!AM17:AN17,L$374)+COUNTIF('11月'!AR17:AS17,L$374)+COUNTIF('11月'!AW17:AX17,L$374)+COUNTIF('11月'!BB17:BC17,L$374)+COUNTIF('11月'!BG17:BH17,L$374)+COUNTIF('11月'!BL17:BM17,L$374)+COUNTIF('11月'!BQ17:BR17,L$374)+COUNTIF('11月'!BV17:BW17,L$374)+COUNTIF('11月'!CA17:CB17,L$374)+COUNTIF('11月'!CF17:CG17,L$374)+COUNTIF('11月'!CK17:CL17,L$374)+COUNTIF('11月'!CP17:CQ17,L$374)+COUNTIF('11月'!CU17:CV17,L$374)+COUNTIF('11月'!CZ17:DA17,L$374)+COUNTIF('11月'!DE17:DF17,L$374)+COUNTIF('11月'!DJ17:DK17,L$374)+COUNTIF('11月'!DO17:DP17,L$374)+COUNTIF('11月'!DT17:DU17,L$374)+COUNTIF('11月'!DY17:DZ17,L$374)+COUNTIF('11月'!ED17:EE17,L$374)+COUNTIF('11月'!EI17:EJ17,L$374)+COUNTIF('11月'!EN17:EO17,L$374)+COUNTIF('11月'!ES17:ET17,L$374)</f>
        <v>0</v>
      </c>
      <c r="M389" s="76">
        <f t="shared" si="125"/>
        <v>0</v>
      </c>
      <c r="N389" s="76">
        <f>COUNTIF('11月'!D17:E17,N$374)+COUNTIF('11月'!I17:J17,N$374)+COUNTIF('11月'!N17:O17,N$374)+COUNTIF('11月'!S17:T17,N$374)+COUNTIF('11月'!X17:Y17,N$374)+COUNTIF('11月'!AC17:AD17,N$374)+COUNTIF('11月'!AH17:AI17,N$374)+COUNTIF('11月'!AM17:AN17,N$374)+COUNTIF('11月'!AR17:AS17,N$374)+COUNTIF('11月'!AW17:AX17,N$374)+COUNTIF('11月'!BB17:BC17,N$374)+COUNTIF('11月'!BG17:BH17,N$374)+COUNTIF('11月'!BL17:BM17,N$374)+COUNTIF('11月'!BQ17:BR17,N$374)+COUNTIF('11月'!BV17:BW17,N$374)+COUNTIF('11月'!CA17:CB17,N$374)+COUNTIF('11月'!CF17:CG17,N$374)+COUNTIF('11月'!CK17:CL17,N$374)+COUNTIF('11月'!CP17:CQ17,N$374)+COUNTIF('11月'!CU17:CV17,N$374)+COUNTIF('11月'!CZ17:DA17,N$374)+COUNTIF('11月'!DE17:DF17,N$374)+COUNTIF('11月'!DJ17:DK17,N$374)+COUNTIF('11月'!DO17:DP17,N$374)+COUNTIF('11月'!DT17:DU17,N$374)+COUNTIF('11月'!DY17:DZ17,N$374)+COUNTIF('11月'!ED17:EE17,N$374)+COUNTIF('11月'!EI17:EJ17,N$374)+COUNTIF('11月'!EN17:EO17,N$374)+COUNTIF('11月'!ES17:ET17,N$374)+COUNTIF('11月'!D17:E17,"三軒茶屋－夜勤")+COUNTIF('11月'!I17:J17,"三軒茶屋－夜勤")+COUNTIF('11月'!N17:O17,"三軒茶屋－夜勤")+COUNTIF('11月'!S17:T17,"三軒茶屋－夜勤")+COUNTIF('11月'!X17:Y17,"三軒茶屋－夜勤")+COUNTIF('11月'!AC17:AD17,"三軒茶屋－夜勤")+COUNTIF('11月'!AH17:AI17,"三軒茶屋－夜勤")+COUNTIF('11月'!AM17:AN17,"三軒茶屋－夜勤")+COUNTIF('11月'!AR17:AS17,"三軒茶屋－夜勤")+COUNTIF('11月'!AW17:AX17,"三軒茶屋－夜勤")+COUNTIF('11月'!BB17:BC17,"三軒茶屋－夜勤")+COUNTIF('11月'!BG17:BH17,"三軒茶屋－夜勤")+COUNTIF('11月'!BL17:BM17,"三軒茶屋－夜勤")+COUNTIF('11月'!BQ17:BR17,"三軒茶屋－夜勤")+COUNTIF('11月'!BV17:BW17,"三軒茶屋－夜勤")+COUNTIF('11月'!CA17:CB17,"三軒茶屋－夜勤")+COUNTIF('11月'!CF17:CG17,"三軒茶屋－夜勤")+COUNTIF('11月'!CK17:CL17,"三軒茶屋－夜勤")+COUNTIF('11月'!CP17:CQ17,"三軒茶屋－夜勤")+COUNTIF('11月'!CU17:CV17,"三軒茶屋－夜勤")+COUNTIF('11月'!CZ17:DA17,"三軒茶屋－夜勤")+COUNTIF('11月'!DE17:DF17,"三軒茶屋－夜勤")+COUNTIF('11月'!DJ17:DK17,"三軒茶屋－夜勤")+COUNTIF('11月'!DO17:DP17,"三軒茶屋－夜勤")+COUNTIF('11月'!DT17:DU17,"三軒茶屋－夜勤")+COUNTIF('11月'!DY17:DZ17,"三軒茶屋－夜勤")+COUNTIF('11月'!ED17:EE17,"三軒茶屋－夜勤")+COUNTIF('11月'!EI17:EJ17,"三軒茶屋－夜勤")+COUNTIF('11月'!EN17:EO17,"三軒茶屋－夜勤")+COUNTIF('11月'!ES17:ET17,"三軒茶屋－夜勤")</f>
        <v>0</v>
      </c>
      <c r="O389" s="76">
        <f t="shared" si="126"/>
        <v>0</v>
      </c>
      <c r="P389" s="76">
        <f>COUNTIF('11月'!D17:E17,P$374)+COUNTIF('11月'!I17:J17,P$374)+COUNTIF('11月'!N17:O17,P$374)+COUNTIF('11月'!S17:T17,P$374)+COUNTIF('11月'!X17:Y17,P$374)+COUNTIF('11月'!AC17:AD17,P$374)+COUNTIF('11月'!AH17:AI17,P$374)+COUNTIF('11月'!AM17:AN17,P$374)+COUNTIF('11月'!AR17:AS17,P$374)+COUNTIF('11月'!AW17:AX17,P$374)+COUNTIF('11月'!BB17:BC17,P$374)+COUNTIF('11月'!BG17:BH17,P$374)+COUNTIF('11月'!BL17:BM17,P$374)+COUNTIF('11月'!BQ17:BR17,P$374)+COUNTIF('11月'!BV17:BW17,P$374)+COUNTIF('11月'!CA17:CB17,P$374)+COUNTIF('11月'!CF17:CG17,P$374)+COUNTIF('11月'!CK17:CL17,P$374)+COUNTIF('11月'!CP17:CQ17,P$374)+COUNTIF('11月'!CU17:CV17,P$374)+COUNTIF('11月'!CZ17:DA17,P$374)+COUNTIF('11月'!DE17:DF17,P$374)+COUNTIF('11月'!DJ17:DK17,P$374)+COUNTIF('11月'!DO17:DP17,P$374)+COUNTIF('11月'!DT17:DU17,P$374)+COUNTIF('11月'!DY17:DZ17,P$374)+COUNTIF('11月'!ED17:EE17,P$374)+COUNTIF('11月'!EI17:EJ17,P$374)+COUNTIF('11月'!EN17:EO17,P$374)+COUNTIF('11月'!ES17:ET17,P$374)+COUNTIF('11月'!D17:E17,"荻窪ー夜勤")+COUNTIF('11月'!I17:J17,"荻窪ー夜勤")+COUNTIF('11月'!N17:O17,"荻窪ー夜勤")+COUNTIF('11月'!S17:T17,"荻窪ー夜勤")+COUNTIF('11月'!X17:Y17,"荻窪ー夜勤")+COUNTIF('11月'!AC17:AD17,"荻窪ー夜勤")+COUNTIF('11月'!AH17:AI17,"荻窪ー夜勤")+COUNTIF('11月'!AM17:AN17,"荻窪ー夜勤")+COUNTIF('11月'!AR17:AS17,"荻窪ー夜勤")+COUNTIF('11月'!AW17:AX17,"荻窪ー夜勤")+COUNTIF('11月'!BB17:BC17,"荻窪ー夜勤")+COUNTIF('11月'!BG17:BH17,"荻窪ー夜勤")+COUNTIF('11月'!BL17:BM17,"荻窪ー夜勤")+COUNTIF('11月'!BQ17:BR17,"荻窪ー夜勤")+COUNTIF('11月'!BV17:BW17,"荻窪ー夜勤")+COUNTIF('11月'!CA17:CB17,"荻窪ー夜勤")+COUNTIF('11月'!CF17:CG17,"荻窪ー夜勤")+COUNTIF('11月'!CK17:CL17,"荻窪ー夜勤")+COUNTIF('11月'!CP17:CQ17,"荻窪ー夜勤")+COUNTIF('11月'!CU17:CV17,"荻窪ー夜勤")+COUNTIF('11月'!CZ17:DA17,"荻窪ー夜勤")+COUNTIF('11月'!DE17:DF17,"荻窪ー夜勤")+COUNTIF('11月'!DJ17:DK17,"荻窪ー夜勤")+COUNTIF('11月'!DO17:DP17,"荻窪ー夜勤")+COUNTIF('11月'!DT17:DU17,"荻窪ー夜勤")+COUNTIF('11月'!DY17:DZ17,"荻窪ー夜勤")+COUNTIF('11月'!ED17:EE17,"荻窪ー夜勤")+COUNTIF('11月'!EI17:EJ17,"荻窪ー夜勤")+COUNTIF('11月'!EN17:EO17,"荻窪ー夜勤")+COUNTIF('11月'!ES17:ET17,"荻窪ー夜勤")</f>
        <v>0</v>
      </c>
      <c r="Q389" s="76">
        <f t="shared" si="127"/>
        <v>0</v>
      </c>
      <c r="R389" s="76">
        <f>COUNTIF('11月'!D17:E17,R$374)+COUNTIF('11月'!I17:J17,R$374)+COUNTIF('11月'!N17:O17,R$374)+COUNTIF('11月'!S17:T17,R$374)+COUNTIF('11月'!X17:Y17,R$374)+COUNTIF('11月'!AC17:AD17,R$374)+COUNTIF('11月'!AH17:AI17,R$374)+COUNTIF('11月'!AM17:AN17,R$374)+COUNTIF('11月'!AR17:AS17,R$374)+COUNTIF('11月'!AW17:AX17,R$374)+COUNTIF('11月'!BB17:BC17,R$374)+COUNTIF('11月'!BG17:BH17,R$374)+COUNTIF('11月'!BL17:BM17,R$374)+COUNTIF('11月'!BQ17:BR17,R$374)+COUNTIF('11月'!BV17:BW17,R$374)+COUNTIF('11月'!CA17:CB17,R$374)+COUNTIF('11月'!CF17:CG17,R$374)+COUNTIF('11月'!CK17:CL17,R$374)+COUNTIF('11月'!CP17:CQ17,R$374)+COUNTIF('11月'!CU17:CV17,R$374)+COUNTIF('11月'!CZ17:DA17,R$374)+COUNTIF('11月'!DE17:DF17,R$374)+COUNTIF('11月'!DJ17:DK17,R$374)+COUNTIF('11月'!DO17:DP17,R$374)+COUNTIF('11月'!DT17:DU17,R$374)+COUNTIF('11月'!DY17:DZ17,R$374)+COUNTIF('11月'!ED17:EE17,R$374)+COUNTIF('11月'!EI17:EJ17,R$374)+COUNTIF('11月'!EN17:EO17,R$374)+COUNTIF('11月'!ES17:ET17,R$374)</f>
        <v>0</v>
      </c>
      <c r="S389" s="76">
        <f t="shared" si="128"/>
        <v>0</v>
      </c>
      <c r="T389" s="76">
        <f>COUNTIF('11月'!D17:E17,T$374)+COUNTIF('11月'!I17:J17,T$374)+COUNTIF('11月'!N17:O17,T$374)+COUNTIF('11月'!S17:T17,T$374)+COUNTIF('11月'!X17:Y17,T$374)+COUNTIF('11月'!AC17:AD17,T$374)+COUNTIF('11月'!AH17:AI17,T$374)+COUNTIF('11月'!AM17:AN17,T$374)+COUNTIF('11月'!AR17:AS17,T$374)+COUNTIF('11月'!AW17:AX17,T$374)+COUNTIF('11月'!BB17:BC17,T$374)+COUNTIF('11月'!BG17:BH17,T$374)+COUNTIF('11月'!BL17:BM17,T$374)+COUNTIF('11月'!BQ17:BR17,T$374)+COUNTIF('11月'!BV17:BW17,T$374)+COUNTIF('11月'!CA17:CB17,T$374)+COUNTIF('11月'!CF17:CG17,T$374)+COUNTIF('11月'!CK17:CL17,T$374)+COUNTIF('11月'!CP17:CQ17,T$374)+COUNTIF('11月'!CU17:CV17,T$374)+COUNTIF('11月'!CZ17:DA17,T$374)+COUNTIF('11月'!DE17:DF17,T$374)+COUNTIF('11月'!DJ17:DK17,T$374)+COUNTIF('11月'!DO17:DP17,T$374)+COUNTIF('11月'!DT17:DU17,T$374)+COUNTIF('11月'!DY17:DZ17,T$374)+COUNTIF('11月'!ED17:EE17,T$374)+COUNTIF('11月'!EI17:EJ17,T$374)+COUNTIF('11月'!EN17:EO17,T$374)+COUNTIF('11月'!ES17:ET17,T$374)</f>
        <v>0</v>
      </c>
      <c r="U389" s="76">
        <f t="shared" si="129"/>
        <v>0</v>
      </c>
      <c r="V389" s="76">
        <f>COUNTIF('11月'!D17:E17,V$374)+COUNTIF('11月'!I17:J17,V$374)+COUNTIF('11月'!N17:O17,V$374)+COUNTIF('11月'!S17:T17,V$374)+COUNTIF('11月'!X17:Y17,V$374)+COUNTIF('11月'!AC17:AD17,V$374)+COUNTIF('11月'!AH17:AI17,V$374)+COUNTIF('11月'!AM17:AN17,V$374)+COUNTIF('11月'!AR17:AS17,V$374)+COUNTIF('11月'!AW17:AX17,V$374)+COUNTIF('11月'!BB17:BC17,V$374)+COUNTIF('11月'!BG17:BH17,V$374)+COUNTIF('11月'!BL17:BM17,V$374)+COUNTIF('11月'!BQ17:BR17,V$374)+COUNTIF('11月'!BV17:BW17,V$374)+COUNTIF('11月'!CA17:CB17,V$374)+COUNTIF('11月'!CF17:CG17,V$374)+COUNTIF('11月'!CK17:CL17,V$374)+COUNTIF('11月'!CP17:CQ17,V$374)+COUNTIF('11月'!CU17:CV17,V$374)+COUNTIF('11月'!CZ17:DA17,V$374)+COUNTIF('11月'!DE17:DF17,V$374)+COUNTIF('11月'!DJ17:DK17,V$374)+COUNTIF('11月'!DO17:DP17,V$374)+COUNTIF('11月'!DT17:DU17,V$374)+COUNTIF('11月'!DY17:DZ17,V$374)+COUNTIF('11月'!ED17:EE17,V$374)+COUNTIF('11月'!EI17:EJ17,V$374)+COUNTIF('11月'!EN17:EO17,V$374)+COUNTIF('11月'!ES17:ET17,V$374)</f>
        <v>0</v>
      </c>
      <c r="W389" s="76">
        <f t="shared" si="130"/>
        <v>0</v>
      </c>
      <c r="X389" s="76">
        <f>COUNTIF('11月'!D17:E17,X$374)+COUNTIF('11月'!I17:J17,X$374)+COUNTIF('11月'!N17:O17,X$374)+COUNTIF('11月'!S17:T17,X$374)+COUNTIF('11月'!X17:Y17,X$374)+COUNTIF('11月'!AC17:AD17,X$374)+COUNTIF('11月'!AH17:AI17,X$374)+COUNTIF('11月'!AM17:AN17,X$374)+COUNTIF('11月'!AR17:AS17,X$374)+COUNTIF('11月'!AW17:AX17,X$374)+COUNTIF('11月'!BB17:BC17,X$374)+COUNTIF('11月'!BG17:BH17,X$374)+COUNTIF('11月'!BL17:BM17,X$374)+COUNTIF('11月'!BQ17:BR17,X$374)+COUNTIF('11月'!BV17:BW17,X$374)+COUNTIF('11月'!CA17:CB17,X$374)+COUNTIF('11月'!CF17:CG17,X$374)+COUNTIF('11月'!CK17:CL17,X$374)+COUNTIF('11月'!CP17:CQ17,X$374)+COUNTIF('11月'!CU17:CV17,X$374)+COUNTIF('11月'!CZ17:DA17,X$374)+COUNTIF('11月'!DE17:DF17,X$374)+COUNTIF('11月'!DJ17:DK17,X$374)+COUNTIF('11月'!DO17:DP17,X$374)+COUNTIF('11月'!DT17:DU17,X$374)+COUNTIF('11月'!DY17:DZ17,X$374)+COUNTIF('11月'!ED17:EE17,X$374)+COUNTIF('11月'!EI17:EJ17,X$374)+COUNTIF('11月'!EN17:EO17,X$374)+COUNTIF('11月'!ES17:ET17,X$374)</f>
        <v>0</v>
      </c>
      <c r="Y389" s="76">
        <f t="shared" si="131"/>
        <v>0</v>
      </c>
    </row>
    <row r="390" spans="1:25" ht="18" customHeight="1">
      <c r="A390" s="76">
        <v>15</v>
      </c>
      <c r="B390" s="76">
        <f>COUNTIF('11月'!D18:E18,B$374)+COUNTIF('11月'!I18:J18,B$374)+COUNTIF('11月'!N18:O18,B$374)+COUNTIF('11月'!S18:T18,B$374)+COUNTIF('11月'!X18:Y18,B$374)+COUNTIF('11月'!AC18:AD18,B$374)+COUNTIF('11月'!AH18:AI18,B$374)+COUNTIF('11月'!AM18:AN18,B$374)+COUNTIF('11月'!AR18:AS18,B$374)+COUNTIF('11月'!AW18:AX18,B$374)+COUNTIF('11月'!BB18:BC18,B$374)+COUNTIF('11月'!BG18:BH18,B$374)+COUNTIF('11月'!BL18:BM18,B$374)+COUNTIF('11月'!BQ18:BR18,B$374)+COUNTIF('11月'!BV18:BW18,B$374)+COUNTIF('11月'!CA18:CB18,B$374)+COUNTIF('11月'!CF18:CG18,B$374)+COUNTIF('11月'!CK18:CL18,B$374)+COUNTIF('11月'!CP18:CQ18,B$374)+COUNTIF('11月'!CU18:CV18,B$374)+COUNTIF('11月'!CZ18:DA18,B$374)+COUNTIF('11月'!DE18:DF18,B$374)+COUNTIF('11月'!DJ18:DK18,B$374)+COUNTIF('11月'!DO18:DP18,B$374)+COUNTIF('11月'!DT18:DU18,B$374)+COUNTIF('11月'!DY18:DZ18,B$374)+COUNTIF('11月'!ED18:EE18,B$374)+COUNTIF('11月'!EI18:EJ18,B$374)+COUNTIF('11月'!EN18:EO18,B$374)+COUNTIF('11月'!ES18:ET18,B$374)</f>
        <v>0</v>
      </c>
      <c r="C390" s="76">
        <f t="shared" si="120"/>
        <v>0</v>
      </c>
      <c r="D390" s="76">
        <f>COUNTIF('11月'!D18:E18,D$374)+COUNTIF('11月'!I18:J18,D$374)+COUNTIF('11月'!N18:O18,D$374)+COUNTIF('11月'!S18:T18,D$374)+COUNTIF('11月'!X18:Y18,D$374)+COUNTIF('11月'!AC18:AD18,D$374)+COUNTIF('11月'!AH18:AI18,D$374)+COUNTIF('11月'!AM18:AN18,D$374)+COUNTIF('11月'!AR18:AS18,D$374)+COUNTIF('11月'!AW18:AX18,D$374)+COUNTIF('11月'!BB18:BC18,D$374)+COUNTIF('11月'!BG18:BH18,D$374)+COUNTIF('11月'!BL18:BM18,D$374)+COUNTIF('11月'!BQ18:BR18,D$374)+COUNTIF('11月'!BV18:BW18,D$374)+COUNTIF('11月'!CA18:CB18,D$374)+COUNTIF('11月'!CF18:CG18,D$374)+COUNTIF('11月'!CK18:CL18,D$374)+COUNTIF('11月'!CP18:CQ18,D$374)+COUNTIF('11月'!CU18:CV18,D$374)+COUNTIF('11月'!CZ18:DA18,D$374)+COUNTIF('11月'!DE18:DF18,D$374)+COUNTIF('11月'!DJ18:DK18,D$374)+COUNTIF('11月'!DO18:DP18,D$374)+COUNTIF('11月'!DT18:DU18,D$374)+COUNTIF('11月'!DY18:DZ18,D$374)+COUNTIF('11月'!ED18:EE18,D$374)+COUNTIF('11月'!EI18:EJ18,D$374)+COUNTIF('11月'!EN18:EO18,D$374)+COUNTIF('11月'!ES18:ET18,D$374)</f>
        <v>0</v>
      </c>
      <c r="E390" s="76">
        <f t="shared" si="121"/>
        <v>0</v>
      </c>
      <c r="F390" s="76">
        <f>COUNTIF('11月'!D18:E18,F$374)+COUNTIF('11月'!I18:J18,F$374)+COUNTIF('11月'!N18:O18,F$374)+COUNTIF('11月'!S18:T18,F$374)+COUNTIF('11月'!X18:Y18,F$374)+COUNTIF('11月'!AC18:AD18,F$374)+COUNTIF('11月'!AH18:AI18,F$374)+COUNTIF('11月'!AM18:AN18,F$374)+COUNTIF('11月'!AR18:AS18,F$374)+COUNTIF('11月'!AW18:AX18,F$374)+COUNTIF('11月'!BB18:BC18,F$374)+COUNTIF('11月'!BG18:BH18,F$374)+COUNTIF('11月'!BL18:BM18,F$374)+COUNTIF('11月'!BQ18:BR18,F$374)+COUNTIF('11月'!BV18:BW18,F$374)+COUNTIF('11月'!CA18:CB18,F$374)+COUNTIF('11月'!CF18:CG18,F$374)+COUNTIF('11月'!CK18:CL18,F$374)+COUNTIF('11月'!CP18:CQ18,F$374)+COUNTIF('11月'!CU18:CV18,F$374)+COUNTIF('11月'!CZ18:DA18,F$374)+COUNTIF('11月'!DE18:DF18,F$374)+COUNTIF('11月'!DJ18:DK18,F$374)+COUNTIF('11月'!DO18:DP18,F$374)+COUNTIF('11月'!DT18:DU18,F$374)+COUNTIF('11月'!DY18:DZ18,F$374)+COUNTIF('11月'!ED18:EE18,F$374)+COUNTIF('11月'!EI18:EJ18,F$374)+COUNTIF('11月'!EN18:EO18,F$374)+COUNTIF('11月'!ES18:ET18,F$374)</f>
        <v>0</v>
      </c>
      <c r="G390" s="76">
        <f t="shared" si="122"/>
        <v>0</v>
      </c>
      <c r="H390" s="76">
        <f>COUNTIF('11月'!D18:E18,H$374)+COUNTIF('11月'!I18:J18,H$374)+COUNTIF('11月'!N18:O18,H$374)+COUNTIF('11月'!S18:T18,H$374)+COUNTIF('11月'!X18:Y18,H$374)+COUNTIF('11月'!AC18:AD18,H$374)+COUNTIF('11月'!AH18:AI18,H$374)+COUNTIF('11月'!AM18:AN18,H$374)+COUNTIF('11月'!AR18:AS18,H$374)+COUNTIF('11月'!AW18:AX18,H$374)+COUNTIF('11月'!BB18:BC18,H$374)+COUNTIF('11月'!BG18:BH18,H$374)+COUNTIF('11月'!BL18:BM18,H$374)+COUNTIF('11月'!BQ18:BR18,H$374)+COUNTIF('11月'!BV18:BW18,H$374)+COUNTIF('11月'!CA18:CB18,H$374)+COUNTIF('11月'!CF18:CG18,H$374)+COUNTIF('11月'!CK18:CL18,H$374)+COUNTIF('11月'!CP18:CQ18,H$374)+COUNTIF('11月'!CU18:CV18,H$374)+COUNTIF('11月'!CZ18:DA18,H$374)+COUNTIF('11月'!DE18:DF18,H$374)+COUNTIF('11月'!DJ18:DK18,H$374)+COUNTIF('11月'!DO18:DP18,H$374)+COUNTIF('11月'!DT18:DU18,H$374)+COUNTIF('11月'!DY18:DZ18,H$374)+COUNTIF('11月'!ED18:EE18,H$374)+COUNTIF('11月'!EI18:EJ18,H$374)+COUNTIF('11月'!EN18:EO18,H$374)+COUNTIF('11月'!ES18:ET18,H$374)+COUNTIF('11月'!D18:E18,"渋谷-夜勤")+COUNTIF('11月'!I18:J18,"渋谷-夜勤")+COUNTIF('11月'!N18:O18,"渋谷-夜勤")+COUNTIF('11月'!S18:T18,"渋谷-夜勤")+COUNTIF('11月'!X18:Y18,"渋谷-夜勤")+COUNTIF('11月'!AC18:AD18,"渋谷-夜勤")+COUNTIF('11月'!AH18:AI18,"渋谷-夜勤")+COUNTIF('11月'!AM18:AN18,"渋谷-夜勤")+COUNTIF('11月'!AR18:AS18,"渋谷-夜勤")+COUNTIF('11月'!AW18:AX18,"渋谷-夜勤")+COUNTIF('11月'!BB18:BC18,"渋谷-夜勤")+COUNTIF('11月'!BG18:BH18,"渋谷-夜勤")+COUNTIF('11月'!BL18:BM18,"渋谷-夜勤")+COUNTIF('11月'!BQ18:BR18,"渋谷-夜勤")+COUNTIF('11月'!BV18:BW18,"渋谷-夜勤")+COUNTIF('11月'!CA18:CB18,"渋谷-夜勤")+COUNTIF('11月'!CF18:CG18,"渋谷-夜勤")+COUNTIF('11月'!CK18:CL18,"渋谷-夜勤")+COUNTIF('11月'!CP18:CQ18,"渋谷-夜勤")+COUNTIF('11月'!CU18:CV18,"渋谷-夜勤")+COUNTIF('11月'!CZ18:DA18,"渋谷-夜勤")+COUNTIF('11月'!DE18:DF18,"渋谷-夜勤")+COUNTIF('11月'!DJ18:DK18,"渋谷-夜勤")+COUNTIF('11月'!DO18:DP18,"渋谷-夜勤")+COUNTIF('11月'!DT18:DU18,"渋谷-夜勤")+COUNTIF('11月'!DY18:DZ18,"渋谷-夜勤")+COUNTIF('11月'!ED18:EE18,"渋谷-夜勤")+COUNTIF('11月'!EI18:EJ18,"渋谷-夜勤")+COUNTIF('11月'!EN18:EO18,"渋谷-夜勤")+COUNTIF('11月'!ES18:ET18,"渋谷-夜勤")</f>
        <v>0</v>
      </c>
      <c r="I390" s="76">
        <f t="shared" si="123"/>
        <v>0</v>
      </c>
      <c r="J390" s="76">
        <f>COUNTIF('11月'!D18:E18,J$374)+COUNTIF('11月'!I18:J18,J$374)+COUNTIF('11月'!N18:O18,J$374)+COUNTIF('11月'!S18:T18,J$374)+COUNTIF('11月'!X18:Y18,J$374)+COUNTIF('11月'!AC18:AD18,J$374)+COUNTIF('11月'!AH18:AI18,J$374)+COUNTIF('11月'!AM18:AN18,J$374)+COUNTIF('11月'!AR18:AS18,J$374)+COUNTIF('11月'!AW18:AX18,J$374)+COUNTIF('11月'!BB18:BC18,J$374)+COUNTIF('11月'!BG18:BH18,J$374)+COUNTIF('11月'!BL18:BM18,J$374)+COUNTIF('11月'!BQ18:BR18,J$374)+COUNTIF('11月'!BV18:BW18,J$374)+COUNTIF('11月'!CA18:CB18,J$374)+COUNTIF('11月'!CF18:CG18,J$374)+COUNTIF('11月'!CK18:CL18,J$374)+COUNTIF('11月'!CP18:CQ18,J$374)+COUNTIF('11月'!CU18:CV18,J$374)+COUNTIF('11月'!CZ18:DA18,J$374)+COUNTIF('11月'!DE18:DF18,J$374)+COUNTIF('11月'!DJ18:DK18,J$374)+COUNTIF('11月'!DO18:DP18,J$374)+COUNTIF('11月'!DT18:DU18,J$374)+COUNTIF('11月'!DY18:DZ18,J$374)+COUNTIF('11月'!ED18:EE18,J$374)+COUNTIF('11月'!EI18:EJ18,J$374)+COUNTIF('11月'!EN18:EO18,J$374)+COUNTIF('11月'!ES18:ET18,J$374)+COUNTIF('11月'!D18:E18,"六本木-夜勤")+COUNTIF('11月'!I18:J18,"六本木-夜勤")+COUNTIF('11月'!N18:O18,"六本木-夜勤")+COUNTIF('11月'!S18:T18,"六本木-夜勤")+COUNTIF('11月'!X18:Y18,"六本木-夜勤")+COUNTIF('11月'!AC18:AD18,"六本木-夜勤")+COUNTIF('11月'!AH18:AI18,"六本木-夜勤")+COUNTIF('11月'!AM18:AN18,"六本木-夜勤")+COUNTIF('11月'!AR18:AS18,"六本木-夜勤")+COUNTIF('11月'!AW18:AX18,"六本木-夜勤")+COUNTIF('11月'!BB18:BC18,"六本木-夜勤")+COUNTIF('11月'!BG18:BH18,"六本木-夜勤")+COUNTIF('11月'!BL18:BM18,"六本木-夜勤")+COUNTIF('11月'!BQ18:BR18,"六本木-夜勤")+COUNTIF('11月'!BV18:BW18,"六本木-夜勤")+COUNTIF('11月'!CA18:CB18,"六本木-夜勤")+COUNTIF('11月'!CF18:CG18,"六本木-夜勤")+COUNTIF('11月'!CK18:CL18,"六本木-夜勤")+COUNTIF('11月'!CP18:CQ18,"六本木-夜勤")+COUNTIF('11月'!CU18:CV18,"六本木-夜勤")+COUNTIF('11月'!CZ18:DA18,"六本木-夜勤")+COUNTIF('11月'!DE18:DF18,"六本木-夜勤")+COUNTIF('11月'!DJ18:DK18,"六本木-夜勤")+COUNTIF('11月'!DO18:DP18,"六本木-夜勤")+COUNTIF('11月'!DT18:DU18,"六本木-夜勤")+COUNTIF('11月'!DY18:DZ18,"六本木-夜勤")+COUNTIF('11月'!ED18:EE18,"六本木-夜勤")+COUNTIF('11月'!EI18:EJ18,"六本木-夜勤")+COUNTIF('11月'!EN18:EO18,"六本木-夜勤")+COUNTIF('11月'!ES18:ET18,"六本木-夜勤")+COUNTIF('11月'!D18:E18,"六本木ー夜勤")+COUNTIF('11月'!I18:J18,"六本木ー夜勤")+COUNTIF('11月'!N18:O18,"六本木ー夜勤")+COUNTIF('11月'!S18:T18,"六本木ー夜勤")+COUNTIF('11月'!X18:Y18,"六本木ー夜勤")+COUNTIF('11月'!AC18:AD18,"六本木ー夜勤")+COUNTIF('11月'!AH18:AI18,"六本木ー夜勤")+COUNTIF('11月'!AM18:AN18,"六本木ー夜勤")+COUNTIF('11月'!AR18:AS18,"六本木ー夜勤")+COUNTIF('11月'!AW18:AX18,"六本木ー夜勤")+COUNTIF('11月'!BB18:BC18,"六本木ー夜勤")+COUNTIF('11月'!BG18:BH18,"六本木ー夜勤")+COUNTIF('11月'!BL18:BM18,"六本木ー夜勤")+COUNTIF('11月'!BQ18:BR18,"六本木ー夜勤")+COUNTIF('11月'!BV18:BW18,"六本木ー夜勤")+COUNTIF('11月'!CA18:CB18,"六本木ー夜勤")+COUNTIF('11月'!CF18:CG18,"六本木ー夜勤")+COUNTIF('11月'!CK18:CL18,"六本木ー夜勤")+COUNTIF('11月'!CP18:CQ18,"六本木ー夜勤")+COUNTIF('11月'!CU18:CV18,"六本木ー夜勤")+COUNTIF('11月'!CZ18:DA18,"六本木ー夜勤")+COUNTIF('11月'!DE18:DF18,"六本木ー夜勤")+COUNTIF('11月'!DJ18:DK18,"六本木ー夜勤")+COUNTIF('11月'!DO18:DP18,"六本木ー夜勤")+COUNTIF('11月'!DT18:DU18,"六本木ー夜勤")+COUNTIF('11月'!DY18:DZ18,"六本木ー夜勤")+COUNTIF('11月'!ED18:EE18,"六本木ー夜勤")+COUNTIF('11月'!EI18:EJ18,"六本木ー夜勤")+COUNTIF('11月'!EN18:EO18,"六本木ー夜勤")+COUNTIF('11月'!ES18:ET18,"六本木ー夜勤")</f>
        <v>0</v>
      </c>
      <c r="K390" s="76">
        <f t="shared" si="124"/>
        <v>0</v>
      </c>
      <c r="L390" s="76">
        <f>COUNTIF('11月'!D18:E18,L$374)+COUNTIF('11月'!I18:J18,L$374)+COUNTIF('11月'!N18:O18,L$374)+COUNTIF('11月'!S18:T18,L$374)+COUNTIF('11月'!X18:Y18,L$374)+COUNTIF('11月'!AC18:AD18,L$374)+COUNTIF('11月'!AH18:AI18,L$374)+COUNTIF('11月'!AM18:AN18,L$374)+COUNTIF('11月'!AR18:AS18,L$374)+COUNTIF('11月'!AW18:AX18,L$374)+COUNTIF('11月'!BB18:BC18,L$374)+COUNTIF('11月'!BG18:BH18,L$374)+COUNTIF('11月'!BL18:BM18,L$374)+COUNTIF('11月'!BQ18:BR18,L$374)+COUNTIF('11月'!BV18:BW18,L$374)+COUNTIF('11月'!CA18:CB18,L$374)+COUNTIF('11月'!CF18:CG18,L$374)+COUNTIF('11月'!CK18:CL18,L$374)+COUNTIF('11月'!CP18:CQ18,L$374)+COUNTIF('11月'!CU18:CV18,L$374)+COUNTIF('11月'!CZ18:DA18,L$374)+COUNTIF('11月'!DE18:DF18,L$374)+COUNTIF('11月'!DJ18:DK18,L$374)+COUNTIF('11月'!DO18:DP18,L$374)+COUNTIF('11月'!DT18:DU18,L$374)+COUNTIF('11月'!DY18:DZ18,L$374)+COUNTIF('11月'!ED18:EE18,L$374)+COUNTIF('11月'!EI18:EJ18,L$374)+COUNTIF('11月'!EN18:EO18,L$374)+COUNTIF('11月'!ES18:ET18,L$374)</f>
        <v>0</v>
      </c>
      <c r="M390" s="76">
        <f t="shared" si="125"/>
        <v>0</v>
      </c>
      <c r="N390" s="76">
        <f>COUNTIF('11月'!D18:E18,N$374)+COUNTIF('11月'!I18:J18,N$374)+COUNTIF('11月'!N18:O18,N$374)+COUNTIF('11月'!S18:T18,N$374)+COUNTIF('11月'!X18:Y18,N$374)+COUNTIF('11月'!AC18:AD18,N$374)+COUNTIF('11月'!AH18:AI18,N$374)+COUNTIF('11月'!AM18:AN18,N$374)+COUNTIF('11月'!AR18:AS18,N$374)+COUNTIF('11月'!AW18:AX18,N$374)+COUNTIF('11月'!BB18:BC18,N$374)+COUNTIF('11月'!BG18:BH18,N$374)+COUNTIF('11月'!BL18:BM18,N$374)+COUNTIF('11月'!BQ18:BR18,N$374)+COUNTIF('11月'!BV18:BW18,N$374)+COUNTIF('11月'!CA18:CB18,N$374)+COUNTIF('11月'!CF18:CG18,N$374)+COUNTIF('11月'!CK18:CL18,N$374)+COUNTIF('11月'!CP18:CQ18,N$374)+COUNTIF('11月'!CU18:CV18,N$374)+COUNTIF('11月'!CZ18:DA18,N$374)+COUNTIF('11月'!DE18:DF18,N$374)+COUNTIF('11月'!DJ18:DK18,N$374)+COUNTIF('11月'!DO18:DP18,N$374)+COUNTIF('11月'!DT18:DU18,N$374)+COUNTIF('11月'!DY18:DZ18,N$374)+COUNTIF('11月'!ED18:EE18,N$374)+COUNTIF('11月'!EI18:EJ18,N$374)+COUNTIF('11月'!EN18:EO18,N$374)+COUNTIF('11月'!ES18:ET18,N$374)+COUNTIF('11月'!D18:E18,"三軒茶屋－夜勤")+COUNTIF('11月'!I18:J18,"三軒茶屋－夜勤")+COUNTIF('11月'!N18:O18,"三軒茶屋－夜勤")+COUNTIF('11月'!S18:T18,"三軒茶屋－夜勤")+COUNTIF('11月'!X18:Y18,"三軒茶屋－夜勤")+COUNTIF('11月'!AC18:AD18,"三軒茶屋－夜勤")+COUNTIF('11月'!AH18:AI18,"三軒茶屋－夜勤")+COUNTIF('11月'!AM18:AN18,"三軒茶屋－夜勤")+COUNTIF('11月'!AR18:AS18,"三軒茶屋－夜勤")+COUNTIF('11月'!AW18:AX18,"三軒茶屋－夜勤")+COUNTIF('11月'!BB18:BC18,"三軒茶屋－夜勤")+COUNTIF('11月'!BG18:BH18,"三軒茶屋－夜勤")+COUNTIF('11月'!BL18:BM18,"三軒茶屋－夜勤")+COUNTIF('11月'!BQ18:BR18,"三軒茶屋－夜勤")+COUNTIF('11月'!BV18:BW18,"三軒茶屋－夜勤")+COUNTIF('11月'!CA18:CB18,"三軒茶屋－夜勤")+COUNTIF('11月'!CF18:CG18,"三軒茶屋－夜勤")+COUNTIF('11月'!CK18:CL18,"三軒茶屋－夜勤")+COUNTIF('11月'!CP18:CQ18,"三軒茶屋－夜勤")+COUNTIF('11月'!CU18:CV18,"三軒茶屋－夜勤")+COUNTIF('11月'!CZ18:DA18,"三軒茶屋－夜勤")+COUNTIF('11月'!DE18:DF18,"三軒茶屋－夜勤")+COUNTIF('11月'!DJ18:DK18,"三軒茶屋－夜勤")+COUNTIF('11月'!DO18:DP18,"三軒茶屋－夜勤")+COUNTIF('11月'!DT18:DU18,"三軒茶屋－夜勤")+COUNTIF('11月'!DY18:DZ18,"三軒茶屋－夜勤")+COUNTIF('11月'!ED18:EE18,"三軒茶屋－夜勤")+COUNTIF('11月'!EI18:EJ18,"三軒茶屋－夜勤")+COUNTIF('11月'!EN18:EO18,"三軒茶屋－夜勤")+COUNTIF('11月'!ES18:ET18,"三軒茶屋－夜勤")</f>
        <v>0</v>
      </c>
      <c r="O390" s="76">
        <f t="shared" si="126"/>
        <v>0</v>
      </c>
      <c r="P390" s="76">
        <f>COUNTIF('11月'!D18:E18,P$374)+COUNTIF('11月'!I18:J18,P$374)+COUNTIF('11月'!N18:O18,P$374)+COUNTIF('11月'!S18:T18,P$374)+COUNTIF('11月'!X18:Y18,P$374)+COUNTIF('11月'!AC18:AD18,P$374)+COUNTIF('11月'!AH18:AI18,P$374)+COUNTIF('11月'!AM18:AN18,P$374)+COUNTIF('11月'!AR18:AS18,P$374)+COUNTIF('11月'!AW18:AX18,P$374)+COUNTIF('11月'!BB18:BC18,P$374)+COUNTIF('11月'!BG18:BH18,P$374)+COUNTIF('11月'!BL18:BM18,P$374)+COUNTIF('11月'!BQ18:BR18,P$374)+COUNTIF('11月'!BV18:BW18,P$374)+COUNTIF('11月'!CA18:CB18,P$374)+COUNTIF('11月'!CF18:CG18,P$374)+COUNTIF('11月'!CK18:CL18,P$374)+COUNTIF('11月'!CP18:CQ18,P$374)+COUNTIF('11月'!CU18:CV18,P$374)+COUNTIF('11月'!CZ18:DA18,P$374)+COUNTIF('11月'!DE18:DF18,P$374)+COUNTIF('11月'!DJ18:DK18,P$374)+COUNTIF('11月'!DO18:DP18,P$374)+COUNTIF('11月'!DT18:DU18,P$374)+COUNTIF('11月'!DY18:DZ18,P$374)+COUNTIF('11月'!ED18:EE18,P$374)+COUNTIF('11月'!EI18:EJ18,P$374)+COUNTIF('11月'!EN18:EO18,P$374)+COUNTIF('11月'!ES18:ET18,P$374)+COUNTIF('11月'!D18:E18,"荻窪ー夜勤")+COUNTIF('11月'!I18:J18,"荻窪ー夜勤")+COUNTIF('11月'!N18:O18,"荻窪ー夜勤")+COUNTIF('11月'!S18:T18,"荻窪ー夜勤")+COUNTIF('11月'!X18:Y18,"荻窪ー夜勤")+COUNTIF('11月'!AC18:AD18,"荻窪ー夜勤")+COUNTIF('11月'!AH18:AI18,"荻窪ー夜勤")+COUNTIF('11月'!AM18:AN18,"荻窪ー夜勤")+COUNTIF('11月'!AR18:AS18,"荻窪ー夜勤")+COUNTIF('11月'!AW18:AX18,"荻窪ー夜勤")+COUNTIF('11月'!BB18:BC18,"荻窪ー夜勤")+COUNTIF('11月'!BG18:BH18,"荻窪ー夜勤")+COUNTIF('11月'!BL18:BM18,"荻窪ー夜勤")+COUNTIF('11月'!BQ18:BR18,"荻窪ー夜勤")+COUNTIF('11月'!BV18:BW18,"荻窪ー夜勤")+COUNTIF('11月'!CA18:CB18,"荻窪ー夜勤")+COUNTIF('11月'!CF18:CG18,"荻窪ー夜勤")+COUNTIF('11月'!CK18:CL18,"荻窪ー夜勤")+COUNTIF('11月'!CP18:CQ18,"荻窪ー夜勤")+COUNTIF('11月'!CU18:CV18,"荻窪ー夜勤")+COUNTIF('11月'!CZ18:DA18,"荻窪ー夜勤")+COUNTIF('11月'!DE18:DF18,"荻窪ー夜勤")+COUNTIF('11月'!DJ18:DK18,"荻窪ー夜勤")+COUNTIF('11月'!DO18:DP18,"荻窪ー夜勤")+COUNTIF('11月'!DT18:DU18,"荻窪ー夜勤")+COUNTIF('11月'!DY18:DZ18,"荻窪ー夜勤")+COUNTIF('11月'!ED18:EE18,"荻窪ー夜勤")+COUNTIF('11月'!EI18:EJ18,"荻窪ー夜勤")+COUNTIF('11月'!EN18:EO18,"荻窪ー夜勤")+COUNTIF('11月'!ES18:ET18,"荻窪ー夜勤")</f>
        <v>0</v>
      </c>
      <c r="Q390" s="76">
        <f t="shared" si="127"/>
        <v>0</v>
      </c>
      <c r="R390" s="76">
        <f>COUNTIF('11月'!D18:E18,R$374)+COUNTIF('11月'!I18:J18,R$374)+COUNTIF('11月'!N18:O18,R$374)+COUNTIF('11月'!S18:T18,R$374)+COUNTIF('11月'!X18:Y18,R$374)+COUNTIF('11月'!AC18:AD18,R$374)+COUNTIF('11月'!AH18:AI18,R$374)+COUNTIF('11月'!AM18:AN18,R$374)+COUNTIF('11月'!AR18:AS18,R$374)+COUNTIF('11月'!AW18:AX18,R$374)+COUNTIF('11月'!BB18:BC18,R$374)+COUNTIF('11月'!BG18:BH18,R$374)+COUNTIF('11月'!BL18:BM18,R$374)+COUNTIF('11月'!BQ18:BR18,R$374)+COUNTIF('11月'!BV18:BW18,R$374)+COUNTIF('11月'!CA18:CB18,R$374)+COUNTIF('11月'!CF18:CG18,R$374)+COUNTIF('11月'!CK18:CL18,R$374)+COUNTIF('11月'!CP18:CQ18,R$374)+COUNTIF('11月'!CU18:CV18,R$374)+COUNTIF('11月'!CZ18:DA18,R$374)+COUNTIF('11月'!DE18:DF18,R$374)+COUNTIF('11月'!DJ18:DK18,R$374)+COUNTIF('11月'!DO18:DP18,R$374)+COUNTIF('11月'!DT18:DU18,R$374)+COUNTIF('11月'!DY18:DZ18,R$374)+COUNTIF('11月'!ED18:EE18,R$374)+COUNTIF('11月'!EI18:EJ18,R$374)+COUNTIF('11月'!EN18:EO18,R$374)+COUNTIF('11月'!ES18:ET18,R$374)</f>
        <v>0</v>
      </c>
      <c r="S390" s="76">
        <f t="shared" si="128"/>
        <v>0</v>
      </c>
      <c r="T390" s="76">
        <f>COUNTIF('11月'!D18:E18,T$374)+COUNTIF('11月'!I18:J18,T$374)+COUNTIF('11月'!N18:O18,T$374)+COUNTIF('11月'!S18:T18,T$374)+COUNTIF('11月'!X18:Y18,T$374)+COUNTIF('11月'!AC18:AD18,T$374)+COUNTIF('11月'!AH18:AI18,T$374)+COUNTIF('11月'!AM18:AN18,T$374)+COUNTIF('11月'!AR18:AS18,T$374)+COUNTIF('11月'!AW18:AX18,T$374)+COUNTIF('11月'!BB18:BC18,T$374)+COUNTIF('11月'!BG18:BH18,T$374)+COUNTIF('11月'!BL18:BM18,T$374)+COUNTIF('11月'!BQ18:BR18,T$374)+COUNTIF('11月'!BV18:BW18,T$374)+COUNTIF('11月'!CA18:CB18,T$374)+COUNTIF('11月'!CF18:CG18,T$374)+COUNTIF('11月'!CK18:CL18,T$374)+COUNTIF('11月'!CP18:CQ18,T$374)+COUNTIF('11月'!CU18:CV18,T$374)+COUNTIF('11月'!CZ18:DA18,T$374)+COUNTIF('11月'!DE18:DF18,T$374)+COUNTIF('11月'!DJ18:DK18,T$374)+COUNTIF('11月'!DO18:DP18,T$374)+COUNTIF('11月'!DT18:DU18,T$374)+COUNTIF('11月'!DY18:DZ18,T$374)+COUNTIF('11月'!ED18:EE18,T$374)+COUNTIF('11月'!EI18:EJ18,T$374)+COUNTIF('11月'!EN18:EO18,T$374)+COUNTIF('11月'!ES18:ET18,T$374)</f>
        <v>0</v>
      </c>
      <c r="U390" s="76">
        <f t="shared" si="129"/>
        <v>0</v>
      </c>
      <c r="V390" s="76">
        <f>COUNTIF('11月'!D18:E18,V$374)+COUNTIF('11月'!I18:J18,V$374)+COUNTIF('11月'!N18:O18,V$374)+COUNTIF('11月'!S18:T18,V$374)+COUNTIF('11月'!X18:Y18,V$374)+COUNTIF('11月'!AC18:AD18,V$374)+COUNTIF('11月'!AH18:AI18,V$374)+COUNTIF('11月'!AM18:AN18,V$374)+COUNTIF('11月'!AR18:AS18,V$374)+COUNTIF('11月'!AW18:AX18,V$374)+COUNTIF('11月'!BB18:BC18,V$374)+COUNTIF('11月'!BG18:BH18,V$374)+COUNTIF('11月'!BL18:BM18,V$374)+COUNTIF('11月'!BQ18:BR18,V$374)+COUNTIF('11月'!BV18:BW18,V$374)+COUNTIF('11月'!CA18:CB18,V$374)+COUNTIF('11月'!CF18:CG18,V$374)+COUNTIF('11月'!CK18:CL18,V$374)+COUNTIF('11月'!CP18:CQ18,V$374)+COUNTIF('11月'!CU18:CV18,V$374)+COUNTIF('11月'!CZ18:DA18,V$374)+COUNTIF('11月'!DE18:DF18,V$374)+COUNTIF('11月'!DJ18:DK18,V$374)+COUNTIF('11月'!DO18:DP18,V$374)+COUNTIF('11月'!DT18:DU18,V$374)+COUNTIF('11月'!DY18:DZ18,V$374)+COUNTIF('11月'!ED18:EE18,V$374)+COUNTIF('11月'!EI18:EJ18,V$374)+COUNTIF('11月'!EN18:EO18,V$374)+COUNTIF('11月'!ES18:ET18,V$374)</f>
        <v>0</v>
      </c>
      <c r="W390" s="76">
        <f t="shared" si="130"/>
        <v>0</v>
      </c>
      <c r="X390" s="76">
        <f>COUNTIF('11月'!D18:E18,X$374)+COUNTIF('11月'!I18:J18,X$374)+COUNTIF('11月'!N18:O18,X$374)+COUNTIF('11月'!S18:T18,X$374)+COUNTIF('11月'!X18:Y18,X$374)+COUNTIF('11月'!AC18:AD18,X$374)+COUNTIF('11月'!AH18:AI18,X$374)+COUNTIF('11月'!AM18:AN18,X$374)+COUNTIF('11月'!AR18:AS18,X$374)+COUNTIF('11月'!AW18:AX18,X$374)+COUNTIF('11月'!BB18:BC18,X$374)+COUNTIF('11月'!BG18:BH18,X$374)+COUNTIF('11月'!BL18:BM18,X$374)+COUNTIF('11月'!BQ18:BR18,X$374)+COUNTIF('11月'!BV18:BW18,X$374)+COUNTIF('11月'!CA18:CB18,X$374)+COUNTIF('11月'!CF18:CG18,X$374)+COUNTIF('11月'!CK18:CL18,X$374)+COUNTIF('11月'!CP18:CQ18,X$374)+COUNTIF('11月'!CU18:CV18,X$374)+COUNTIF('11月'!CZ18:DA18,X$374)+COUNTIF('11月'!DE18:DF18,X$374)+COUNTIF('11月'!DJ18:DK18,X$374)+COUNTIF('11月'!DO18:DP18,X$374)+COUNTIF('11月'!DT18:DU18,X$374)+COUNTIF('11月'!DY18:DZ18,X$374)+COUNTIF('11月'!ED18:EE18,X$374)+COUNTIF('11月'!EI18:EJ18,X$374)+COUNTIF('11月'!EN18:EO18,X$374)+COUNTIF('11月'!ES18:ET18,X$374)</f>
        <v>0</v>
      </c>
      <c r="Y390" s="76">
        <f t="shared" si="131"/>
        <v>0</v>
      </c>
    </row>
    <row r="391" spans="1:25" ht="18" customHeight="1">
      <c r="A391" s="76">
        <v>16</v>
      </c>
      <c r="B391" s="76">
        <f>COUNTIF('11月'!D19:E19,B$374)+COUNTIF('11月'!I19:J19,B$374)+COUNTIF('11月'!N19:O19,B$374)+COUNTIF('11月'!S19:T19,B$374)+COUNTIF('11月'!X19:Y19,B$374)+COUNTIF('11月'!AC19:AD19,B$374)+COUNTIF('11月'!AH19:AI19,B$374)+COUNTIF('11月'!AM19:AN19,B$374)+COUNTIF('11月'!AR19:AS19,B$374)+COUNTIF('11月'!AW19:AX19,B$374)+COUNTIF('11月'!BB19:BC19,B$374)+COUNTIF('11月'!BG19:BH19,B$374)+COUNTIF('11月'!BL19:BM19,B$374)+COUNTIF('11月'!BQ19:BR19,B$374)+COUNTIF('11月'!BV19:BW19,B$374)+COUNTIF('11月'!CA19:CB19,B$374)+COUNTIF('11月'!CF19:CG19,B$374)+COUNTIF('11月'!CK19:CL19,B$374)+COUNTIF('11月'!CP19:CQ19,B$374)+COUNTIF('11月'!CU19:CV19,B$374)+COUNTIF('11月'!CZ19:DA19,B$374)+COUNTIF('11月'!DE19:DF19,B$374)+COUNTIF('11月'!DJ19:DK19,B$374)+COUNTIF('11月'!DO19:DP19,B$374)+COUNTIF('11月'!DT19:DU19,B$374)+COUNTIF('11月'!DY19:DZ19,B$374)+COUNTIF('11月'!ED19:EE19,B$374)+COUNTIF('11月'!EI19:EJ19,B$374)+COUNTIF('11月'!EN19:EO19,B$374)+COUNTIF('11月'!ES19:ET19,B$374)</f>
        <v>0</v>
      </c>
      <c r="C391" s="76">
        <f t="shared" si="120"/>
        <v>0</v>
      </c>
      <c r="D391" s="76">
        <f>COUNTIF('11月'!D19:E19,D$374)+COUNTIF('11月'!I19:J19,D$374)+COUNTIF('11月'!N19:O19,D$374)+COUNTIF('11月'!S19:T19,D$374)+COUNTIF('11月'!X19:Y19,D$374)+COUNTIF('11月'!AC19:AD19,D$374)+COUNTIF('11月'!AH19:AI19,D$374)+COUNTIF('11月'!AM19:AN19,D$374)+COUNTIF('11月'!AR19:AS19,D$374)+COUNTIF('11月'!AW19:AX19,D$374)+COUNTIF('11月'!BB19:BC19,D$374)+COUNTIF('11月'!BG19:BH19,D$374)+COUNTIF('11月'!BL19:BM19,D$374)+COUNTIF('11月'!BQ19:BR19,D$374)+COUNTIF('11月'!BV19:BW19,D$374)+COUNTIF('11月'!CA19:CB19,D$374)+COUNTIF('11月'!CF19:CG19,D$374)+COUNTIF('11月'!CK19:CL19,D$374)+COUNTIF('11月'!CP19:CQ19,D$374)+COUNTIF('11月'!CU19:CV19,D$374)+COUNTIF('11月'!CZ19:DA19,D$374)+COUNTIF('11月'!DE19:DF19,D$374)+COUNTIF('11月'!DJ19:DK19,D$374)+COUNTIF('11月'!DO19:DP19,D$374)+COUNTIF('11月'!DT19:DU19,D$374)+COUNTIF('11月'!DY19:DZ19,D$374)+COUNTIF('11月'!ED19:EE19,D$374)+COUNTIF('11月'!EI19:EJ19,D$374)+COUNTIF('11月'!EN19:EO19,D$374)+COUNTIF('11月'!ES19:ET19,D$374)</f>
        <v>0</v>
      </c>
      <c r="E391" s="76">
        <f t="shared" si="121"/>
        <v>0</v>
      </c>
      <c r="F391" s="76">
        <f>COUNTIF('11月'!D19:E19,F$374)+COUNTIF('11月'!I19:J19,F$374)+COUNTIF('11月'!N19:O19,F$374)+COUNTIF('11月'!S19:T19,F$374)+COUNTIF('11月'!X19:Y19,F$374)+COUNTIF('11月'!AC19:AD19,F$374)+COUNTIF('11月'!AH19:AI19,F$374)+COUNTIF('11月'!AM19:AN19,F$374)+COUNTIF('11月'!AR19:AS19,F$374)+COUNTIF('11月'!AW19:AX19,F$374)+COUNTIF('11月'!BB19:BC19,F$374)+COUNTIF('11月'!BG19:BH19,F$374)+COUNTIF('11月'!BL19:BM19,F$374)+COUNTIF('11月'!BQ19:BR19,F$374)+COUNTIF('11月'!BV19:BW19,F$374)+COUNTIF('11月'!CA19:CB19,F$374)+COUNTIF('11月'!CF19:CG19,F$374)+COUNTIF('11月'!CK19:CL19,F$374)+COUNTIF('11月'!CP19:CQ19,F$374)+COUNTIF('11月'!CU19:CV19,F$374)+COUNTIF('11月'!CZ19:DA19,F$374)+COUNTIF('11月'!DE19:DF19,F$374)+COUNTIF('11月'!DJ19:DK19,F$374)+COUNTIF('11月'!DO19:DP19,F$374)+COUNTIF('11月'!DT19:DU19,F$374)+COUNTIF('11月'!DY19:DZ19,F$374)+COUNTIF('11月'!ED19:EE19,F$374)+COUNTIF('11月'!EI19:EJ19,F$374)+COUNTIF('11月'!EN19:EO19,F$374)+COUNTIF('11月'!ES19:ET19,F$374)</f>
        <v>0</v>
      </c>
      <c r="G391" s="76">
        <f t="shared" si="122"/>
        <v>0</v>
      </c>
      <c r="H391" s="76">
        <f>COUNTIF('11月'!D19:E19,H$374)+COUNTIF('11月'!I19:J19,H$374)+COUNTIF('11月'!N19:O19,H$374)+COUNTIF('11月'!S19:T19,H$374)+COUNTIF('11月'!X19:Y19,H$374)+COUNTIF('11月'!AC19:AD19,H$374)+COUNTIF('11月'!AH19:AI19,H$374)+COUNTIF('11月'!AM19:AN19,H$374)+COUNTIF('11月'!AR19:AS19,H$374)+COUNTIF('11月'!AW19:AX19,H$374)+COUNTIF('11月'!BB19:BC19,H$374)+COUNTIF('11月'!BG19:BH19,H$374)+COUNTIF('11月'!BL19:BM19,H$374)+COUNTIF('11月'!BQ19:BR19,H$374)+COUNTIF('11月'!BV19:BW19,H$374)+COUNTIF('11月'!CA19:CB19,H$374)+COUNTIF('11月'!CF19:CG19,H$374)+COUNTIF('11月'!CK19:CL19,H$374)+COUNTIF('11月'!CP19:CQ19,H$374)+COUNTIF('11月'!CU19:CV19,H$374)+COUNTIF('11月'!CZ19:DA19,H$374)+COUNTIF('11月'!DE19:DF19,H$374)+COUNTIF('11月'!DJ19:DK19,H$374)+COUNTIF('11月'!DO19:DP19,H$374)+COUNTIF('11月'!DT19:DU19,H$374)+COUNTIF('11月'!DY19:DZ19,H$374)+COUNTIF('11月'!ED19:EE19,H$374)+COUNTIF('11月'!EI19:EJ19,H$374)+COUNTIF('11月'!EN19:EO19,H$374)+COUNTIF('11月'!ES19:ET19,H$374)+COUNTIF('11月'!D19:E19,"渋谷-夜勤")+COUNTIF('11月'!I19:J19,"渋谷-夜勤")+COUNTIF('11月'!N19:O19,"渋谷-夜勤")+COUNTIF('11月'!S19:T19,"渋谷-夜勤")+COUNTIF('11月'!X19:Y19,"渋谷-夜勤")+COUNTIF('11月'!AC19:AD19,"渋谷-夜勤")+COUNTIF('11月'!AH19:AI19,"渋谷-夜勤")+COUNTIF('11月'!AM19:AN19,"渋谷-夜勤")+COUNTIF('11月'!AR19:AS19,"渋谷-夜勤")+COUNTIF('11月'!AW19:AX19,"渋谷-夜勤")+COUNTIF('11月'!BB19:BC19,"渋谷-夜勤")+COUNTIF('11月'!BG19:BH19,"渋谷-夜勤")+COUNTIF('11月'!BL19:BM19,"渋谷-夜勤")+COUNTIF('11月'!BQ19:BR19,"渋谷-夜勤")+COUNTIF('11月'!BV19:BW19,"渋谷-夜勤")+COUNTIF('11月'!CA19:CB19,"渋谷-夜勤")+COUNTIF('11月'!CF19:CG19,"渋谷-夜勤")+COUNTIF('11月'!CK19:CL19,"渋谷-夜勤")+COUNTIF('11月'!CP19:CQ19,"渋谷-夜勤")+COUNTIF('11月'!CU19:CV19,"渋谷-夜勤")+COUNTIF('11月'!CZ19:DA19,"渋谷-夜勤")+COUNTIF('11月'!DE19:DF19,"渋谷-夜勤")+COUNTIF('11月'!DJ19:DK19,"渋谷-夜勤")+COUNTIF('11月'!DO19:DP19,"渋谷-夜勤")+COUNTIF('11月'!DT19:DU19,"渋谷-夜勤")+COUNTIF('11月'!DY19:DZ19,"渋谷-夜勤")+COUNTIF('11月'!ED19:EE19,"渋谷-夜勤")+COUNTIF('11月'!EI19:EJ19,"渋谷-夜勤")+COUNTIF('11月'!EN19:EO19,"渋谷-夜勤")+COUNTIF('11月'!ES19:ET19,"渋谷-夜勤")</f>
        <v>0</v>
      </c>
      <c r="I391" s="76">
        <f t="shared" si="123"/>
        <v>0</v>
      </c>
      <c r="J391" s="76">
        <f>COUNTIF('11月'!D19:E19,J$374)+COUNTIF('11月'!I19:J19,J$374)+COUNTIF('11月'!N19:O19,J$374)+COUNTIF('11月'!S19:T19,J$374)+COUNTIF('11月'!X19:Y19,J$374)+COUNTIF('11月'!AC19:AD19,J$374)+COUNTIF('11月'!AH19:AI19,J$374)+COUNTIF('11月'!AM19:AN19,J$374)+COUNTIF('11月'!AR19:AS19,J$374)+COUNTIF('11月'!AW19:AX19,J$374)+COUNTIF('11月'!BB19:BC19,J$374)+COUNTIF('11月'!BG19:BH19,J$374)+COUNTIF('11月'!BL19:BM19,J$374)+COUNTIF('11月'!BQ19:BR19,J$374)+COUNTIF('11月'!BV19:BW19,J$374)+COUNTIF('11月'!CA19:CB19,J$374)+COUNTIF('11月'!CF19:CG19,J$374)+COUNTIF('11月'!CK19:CL19,J$374)+COUNTIF('11月'!CP19:CQ19,J$374)+COUNTIF('11月'!CU19:CV19,J$374)+COUNTIF('11月'!CZ19:DA19,J$374)+COUNTIF('11月'!DE19:DF19,J$374)+COUNTIF('11月'!DJ19:DK19,J$374)+COUNTIF('11月'!DO19:DP19,J$374)+COUNTIF('11月'!DT19:DU19,J$374)+COUNTIF('11月'!DY19:DZ19,J$374)+COUNTIF('11月'!ED19:EE19,J$374)+COUNTIF('11月'!EI19:EJ19,J$374)+COUNTIF('11月'!EN19:EO19,J$374)+COUNTIF('11月'!ES19:ET19,J$374)+COUNTIF('11月'!D19:E19,"六本木-夜勤")+COUNTIF('11月'!I19:J19,"六本木-夜勤")+COUNTIF('11月'!N19:O19,"六本木-夜勤")+COUNTIF('11月'!S19:T19,"六本木-夜勤")+COUNTIF('11月'!X19:Y19,"六本木-夜勤")+COUNTIF('11月'!AC19:AD19,"六本木-夜勤")+COUNTIF('11月'!AH19:AI19,"六本木-夜勤")+COUNTIF('11月'!AM19:AN19,"六本木-夜勤")+COUNTIF('11月'!AR19:AS19,"六本木-夜勤")+COUNTIF('11月'!AW19:AX19,"六本木-夜勤")+COUNTIF('11月'!BB19:BC19,"六本木-夜勤")+COUNTIF('11月'!BG19:BH19,"六本木-夜勤")+COUNTIF('11月'!BL19:BM19,"六本木-夜勤")+COUNTIF('11月'!BQ19:BR19,"六本木-夜勤")+COUNTIF('11月'!BV19:BW19,"六本木-夜勤")+COUNTIF('11月'!CA19:CB19,"六本木-夜勤")+COUNTIF('11月'!CF19:CG19,"六本木-夜勤")+COUNTIF('11月'!CK19:CL19,"六本木-夜勤")+COUNTIF('11月'!CP19:CQ19,"六本木-夜勤")+COUNTIF('11月'!CU19:CV19,"六本木-夜勤")+COUNTIF('11月'!CZ19:DA19,"六本木-夜勤")+COUNTIF('11月'!DE19:DF19,"六本木-夜勤")+COUNTIF('11月'!DJ19:DK19,"六本木-夜勤")+COUNTIF('11月'!DO19:DP19,"六本木-夜勤")+COUNTIF('11月'!DT19:DU19,"六本木-夜勤")+COUNTIF('11月'!DY19:DZ19,"六本木-夜勤")+COUNTIF('11月'!ED19:EE19,"六本木-夜勤")+COUNTIF('11月'!EI19:EJ19,"六本木-夜勤")+COUNTIF('11月'!EN19:EO19,"六本木-夜勤")+COUNTIF('11月'!ES19:ET19,"六本木-夜勤")+COUNTIF('11月'!D19:E19,"六本木ー夜勤")+COUNTIF('11月'!I19:J19,"六本木ー夜勤")+COUNTIF('11月'!N19:O19,"六本木ー夜勤")+COUNTIF('11月'!S19:T19,"六本木ー夜勤")+COUNTIF('11月'!X19:Y19,"六本木ー夜勤")+COUNTIF('11月'!AC19:AD19,"六本木ー夜勤")+COUNTIF('11月'!AH19:AI19,"六本木ー夜勤")+COUNTIF('11月'!AM19:AN19,"六本木ー夜勤")+COUNTIF('11月'!AR19:AS19,"六本木ー夜勤")+COUNTIF('11月'!AW19:AX19,"六本木ー夜勤")+COUNTIF('11月'!BB19:BC19,"六本木ー夜勤")+COUNTIF('11月'!BG19:BH19,"六本木ー夜勤")+COUNTIF('11月'!BL19:BM19,"六本木ー夜勤")+COUNTIF('11月'!BQ19:BR19,"六本木ー夜勤")+COUNTIF('11月'!BV19:BW19,"六本木ー夜勤")+COUNTIF('11月'!CA19:CB19,"六本木ー夜勤")+COUNTIF('11月'!CF19:CG19,"六本木ー夜勤")+COUNTIF('11月'!CK19:CL19,"六本木ー夜勤")+COUNTIF('11月'!CP19:CQ19,"六本木ー夜勤")+COUNTIF('11月'!CU19:CV19,"六本木ー夜勤")+COUNTIF('11月'!CZ19:DA19,"六本木ー夜勤")+COUNTIF('11月'!DE19:DF19,"六本木ー夜勤")+COUNTIF('11月'!DJ19:DK19,"六本木ー夜勤")+COUNTIF('11月'!DO19:DP19,"六本木ー夜勤")+COUNTIF('11月'!DT19:DU19,"六本木ー夜勤")+COUNTIF('11月'!DY19:DZ19,"六本木ー夜勤")+COUNTIF('11月'!ED19:EE19,"六本木ー夜勤")+COUNTIF('11月'!EI19:EJ19,"六本木ー夜勤")+COUNTIF('11月'!EN19:EO19,"六本木ー夜勤")+COUNTIF('11月'!ES19:ET19,"六本木ー夜勤")</f>
        <v>0</v>
      </c>
      <c r="K391" s="76">
        <f t="shared" si="124"/>
        <v>0</v>
      </c>
      <c r="L391" s="76">
        <f>COUNTIF('11月'!D19:E19,L$374)+COUNTIF('11月'!I19:J19,L$374)+COUNTIF('11月'!N19:O19,L$374)+COUNTIF('11月'!S19:T19,L$374)+COUNTIF('11月'!X19:Y19,L$374)+COUNTIF('11月'!AC19:AD19,L$374)+COUNTIF('11月'!AH19:AI19,L$374)+COUNTIF('11月'!AM19:AN19,L$374)+COUNTIF('11月'!AR19:AS19,L$374)+COUNTIF('11月'!AW19:AX19,L$374)+COUNTIF('11月'!BB19:BC19,L$374)+COUNTIF('11月'!BG19:BH19,L$374)+COUNTIF('11月'!BL19:BM19,L$374)+COUNTIF('11月'!BQ19:BR19,L$374)+COUNTIF('11月'!BV19:BW19,L$374)+COUNTIF('11月'!CA19:CB19,L$374)+COUNTIF('11月'!CF19:CG19,L$374)+COUNTIF('11月'!CK19:CL19,L$374)+COUNTIF('11月'!CP19:CQ19,L$374)+COUNTIF('11月'!CU19:CV19,L$374)+COUNTIF('11月'!CZ19:DA19,L$374)+COUNTIF('11月'!DE19:DF19,L$374)+COUNTIF('11月'!DJ19:DK19,L$374)+COUNTIF('11月'!DO19:DP19,L$374)+COUNTIF('11月'!DT19:DU19,L$374)+COUNTIF('11月'!DY19:DZ19,L$374)+COUNTIF('11月'!ED19:EE19,L$374)+COUNTIF('11月'!EI19:EJ19,L$374)+COUNTIF('11月'!EN19:EO19,L$374)+COUNTIF('11月'!ES19:ET19,L$374)</f>
        <v>0</v>
      </c>
      <c r="M391" s="76">
        <f t="shared" si="125"/>
        <v>0</v>
      </c>
      <c r="N391" s="76">
        <f>COUNTIF('11月'!D19:E19,N$374)+COUNTIF('11月'!I19:J19,N$374)+COUNTIF('11月'!N19:O19,N$374)+COUNTIF('11月'!S19:T19,N$374)+COUNTIF('11月'!X19:Y19,N$374)+COUNTIF('11月'!AC19:AD19,N$374)+COUNTIF('11月'!AH19:AI19,N$374)+COUNTIF('11月'!AM19:AN19,N$374)+COUNTIF('11月'!AR19:AS19,N$374)+COUNTIF('11月'!AW19:AX19,N$374)+COUNTIF('11月'!BB19:BC19,N$374)+COUNTIF('11月'!BG19:BH19,N$374)+COUNTIF('11月'!BL19:BM19,N$374)+COUNTIF('11月'!BQ19:BR19,N$374)+COUNTIF('11月'!BV19:BW19,N$374)+COUNTIF('11月'!CA19:CB19,N$374)+COUNTIF('11月'!CF19:CG19,N$374)+COUNTIF('11月'!CK19:CL19,N$374)+COUNTIF('11月'!CP19:CQ19,N$374)+COUNTIF('11月'!CU19:CV19,N$374)+COUNTIF('11月'!CZ19:DA19,N$374)+COUNTIF('11月'!DE19:DF19,N$374)+COUNTIF('11月'!DJ19:DK19,N$374)+COUNTIF('11月'!DO19:DP19,N$374)+COUNTIF('11月'!DT19:DU19,N$374)+COUNTIF('11月'!DY19:DZ19,N$374)+COUNTIF('11月'!ED19:EE19,N$374)+COUNTIF('11月'!EI19:EJ19,N$374)+COUNTIF('11月'!EN19:EO19,N$374)+COUNTIF('11月'!ES19:ET19,N$374)+COUNTIF('11月'!D19:E19,"三軒茶屋－夜勤")+COUNTIF('11月'!I19:J19,"三軒茶屋－夜勤")+COUNTIF('11月'!N19:O19,"三軒茶屋－夜勤")+COUNTIF('11月'!S19:T19,"三軒茶屋－夜勤")+COUNTIF('11月'!X19:Y19,"三軒茶屋－夜勤")+COUNTIF('11月'!AC19:AD19,"三軒茶屋－夜勤")+COUNTIF('11月'!AH19:AI19,"三軒茶屋－夜勤")+COUNTIF('11月'!AM19:AN19,"三軒茶屋－夜勤")+COUNTIF('11月'!AR19:AS19,"三軒茶屋－夜勤")+COUNTIF('11月'!AW19:AX19,"三軒茶屋－夜勤")+COUNTIF('11月'!BB19:BC19,"三軒茶屋－夜勤")+COUNTIF('11月'!BG19:BH19,"三軒茶屋－夜勤")+COUNTIF('11月'!BL19:BM19,"三軒茶屋－夜勤")+COUNTIF('11月'!BQ19:BR19,"三軒茶屋－夜勤")+COUNTIF('11月'!BV19:BW19,"三軒茶屋－夜勤")+COUNTIF('11月'!CA19:CB19,"三軒茶屋－夜勤")+COUNTIF('11月'!CF19:CG19,"三軒茶屋－夜勤")+COUNTIF('11月'!CK19:CL19,"三軒茶屋－夜勤")+COUNTIF('11月'!CP19:CQ19,"三軒茶屋－夜勤")+COUNTIF('11月'!CU19:CV19,"三軒茶屋－夜勤")+COUNTIF('11月'!CZ19:DA19,"三軒茶屋－夜勤")+COUNTIF('11月'!DE19:DF19,"三軒茶屋－夜勤")+COUNTIF('11月'!DJ19:DK19,"三軒茶屋－夜勤")+COUNTIF('11月'!DO19:DP19,"三軒茶屋－夜勤")+COUNTIF('11月'!DT19:DU19,"三軒茶屋－夜勤")+COUNTIF('11月'!DY19:DZ19,"三軒茶屋－夜勤")+COUNTIF('11月'!ED19:EE19,"三軒茶屋－夜勤")+COUNTIF('11月'!EI19:EJ19,"三軒茶屋－夜勤")+COUNTIF('11月'!EN19:EO19,"三軒茶屋－夜勤")+COUNTIF('11月'!ES19:ET19,"三軒茶屋－夜勤")</f>
        <v>0</v>
      </c>
      <c r="O391" s="76">
        <f t="shared" si="126"/>
        <v>0</v>
      </c>
      <c r="P391" s="76">
        <f>COUNTIF('11月'!D19:E19,P$374)+COUNTIF('11月'!I19:J19,P$374)+COUNTIF('11月'!N19:O19,P$374)+COUNTIF('11月'!S19:T19,P$374)+COUNTIF('11月'!X19:Y19,P$374)+COUNTIF('11月'!AC19:AD19,P$374)+COUNTIF('11月'!AH19:AI19,P$374)+COUNTIF('11月'!AM19:AN19,P$374)+COUNTIF('11月'!AR19:AS19,P$374)+COUNTIF('11月'!AW19:AX19,P$374)+COUNTIF('11月'!BB19:BC19,P$374)+COUNTIF('11月'!BG19:BH19,P$374)+COUNTIF('11月'!BL19:BM19,P$374)+COUNTIF('11月'!BQ19:BR19,P$374)+COUNTIF('11月'!BV19:BW19,P$374)+COUNTIF('11月'!CA19:CB19,P$374)+COUNTIF('11月'!CF19:CG19,P$374)+COUNTIF('11月'!CK19:CL19,P$374)+COUNTIF('11月'!CP19:CQ19,P$374)+COUNTIF('11月'!CU19:CV19,P$374)+COUNTIF('11月'!CZ19:DA19,P$374)+COUNTIF('11月'!DE19:DF19,P$374)+COUNTIF('11月'!DJ19:DK19,P$374)+COUNTIF('11月'!DO19:DP19,P$374)+COUNTIF('11月'!DT19:DU19,P$374)+COUNTIF('11月'!DY19:DZ19,P$374)+COUNTIF('11月'!ED19:EE19,P$374)+COUNTIF('11月'!EI19:EJ19,P$374)+COUNTIF('11月'!EN19:EO19,P$374)+COUNTIF('11月'!ES19:ET19,P$374)+COUNTIF('11月'!D19:E19,"荻窪ー夜勤")+COUNTIF('11月'!I19:J19,"荻窪ー夜勤")+COUNTIF('11月'!N19:O19,"荻窪ー夜勤")+COUNTIF('11月'!S19:T19,"荻窪ー夜勤")+COUNTIF('11月'!X19:Y19,"荻窪ー夜勤")+COUNTIF('11月'!AC19:AD19,"荻窪ー夜勤")+COUNTIF('11月'!AH19:AI19,"荻窪ー夜勤")+COUNTIF('11月'!AM19:AN19,"荻窪ー夜勤")+COUNTIF('11月'!AR19:AS19,"荻窪ー夜勤")+COUNTIF('11月'!AW19:AX19,"荻窪ー夜勤")+COUNTIF('11月'!BB19:BC19,"荻窪ー夜勤")+COUNTIF('11月'!BG19:BH19,"荻窪ー夜勤")+COUNTIF('11月'!BL19:BM19,"荻窪ー夜勤")+COUNTIF('11月'!BQ19:BR19,"荻窪ー夜勤")+COUNTIF('11月'!BV19:BW19,"荻窪ー夜勤")+COUNTIF('11月'!CA19:CB19,"荻窪ー夜勤")+COUNTIF('11月'!CF19:CG19,"荻窪ー夜勤")+COUNTIF('11月'!CK19:CL19,"荻窪ー夜勤")+COUNTIF('11月'!CP19:CQ19,"荻窪ー夜勤")+COUNTIF('11月'!CU19:CV19,"荻窪ー夜勤")+COUNTIF('11月'!CZ19:DA19,"荻窪ー夜勤")+COUNTIF('11月'!DE19:DF19,"荻窪ー夜勤")+COUNTIF('11月'!DJ19:DK19,"荻窪ー夜勤")+COUNTIF('11月'!DO19:DP19,"荻窪ー夜勤")+COUNTIF('11月'!DT19:DU19,"荻窪ー夜勤")+COUNTIF('11月'!DY19:DZ19,"荻窪ー夜勤")+COUNTIF('11月'!ED19:EE19,"荻窪ー夜勤")+COUNTIF('11月'!EI19:EJ19,"荻窪ー夜勤")+COUNTIF('11月'!EN19:EO19,"荻窪ー夜勤")+COUNTIF('11月'!ES19:ET19,"荻窪ー夜勤")</f>
        <v>0</v>
      </c>
      <c r="Q391" s="76">
        <f t="shared" si="127"/>
        <v>0</v>
      </c>
      <c r="R391" s="76">
        <f>COUNTIF('11月'!D19:E19,R$374)+COUNTIF('11月'!I19:J19,R$374)+COUNTIF('11月'!N19:O19,R$374)+COUNTIF('11月'!S19:T19,R$374)+COUNTIF('11月'!X19:Y19,R$374)+COUNTIF('11月'!AC19:AD19,R$374)+COUNTIF('11月'!AH19:AI19,R$374)+COUNTIF('11月'!AM19:AN19,R$374)+COUNTIF('11月'!AR19:AS19,R$374)+COUNTIF('11月'!AW19:AX19,R$374)+COUNTIF('11月'!BB19:BC19,R$374)+COUNTIF('11月'!BG19:BH19,R$374)+COUNTIF('11月'!BL19:BM19,R$374)+COUNTIF('11月'!BQ19:BR19,R$374)+COUNTIF('11月'!BV19:BW19,R$374)+COUNTIF('11月'!CA19:CB19,R$374)+COUNTIF('11月'!CF19:CG19,R$374)+COUNTIF('11月'!CK19:CL19,R$374)+COUNTIF('11月'!CP19:CQ19,R$374)+COUNTIF('11月'!CU19:CV19,R$374)+COUNTIF('11月'!CZ19:DA19,R$374)+COUNTIF('11月'!DE19:DF19,R$374)+COUNTIF('11月'!DJ19:DK19,R$374)+COUNTIF('11月'!DO19:DP19,R$374)+COUNTIF('11月'!DT19:DU19,R$374)+COUNTIF('11月'!DY19:DZ19,R$374)+COUNTIF('11月'!ED19:EE19,R$374)+COUNTIF('11月'!EI19:EJ19,R$374)+COUNTIF('11月'!EN19:EO19,R$374)+COUNTIF('11月'!ES19:ET19,R$374)</f>
        <v>0</v>
      </c>
      <c r="S391" s="76">
        <f t="shared" si="128"/>
        <v>0</v>
      </c>
      <c r="T391" s="76">
        <f>COUNTIF('11月'!D19:E19,T$374)+COUNTIF('11月'!I19:J19,T$374)+COUNTIF('11月'!N19:O19,T$374)+COUNTIF('11月'!S19:T19,T$374)+COUNTIF('11月'!X19:Y19,T$374)+COUNTIF('11月'!AC19:AD19,T$374)+COUNTIF('11月'!AH19:AI19,T$374)+COUNTIF('11月'!AM19:AN19,T$374)+COUNTIF('11月'!AR19:AS19,T$374)+COUNTIF('11月'!AW19:AX19,T$374)+COUNTIF('11月'!BB19:BC19,T$374)+COUNTIF('11月'!BG19:BH19,T$374)+COUNTIF('11月'!BL19:BM19,T$374)+COUNTIF('11月'!BQ19:BR19,T$374)+COUNTIF('11月'!BV19:BW19,T$374)+COUNTIF('11月'!CA19:CB19,T$374)+COUNTIF('11月'!CF19:CG19,T$374)+COUNTIF('11月'!CK19:CL19,T$374)+COUNTIF('11月'!CP19:CQ19,T$374)+COUNTIF('11月'!CU19:CV19,T$374)+COUNTIF('11月'!CZ19:DA19,T$374)+COUNTIF('11月'!DE19:DF19,T$374)+COUNTIF('11月'!DJ19:DK19,T$374)+COUNTIF('11月'!DO19:DP19,T$374)+COUNTIF('11月'!DT19:DU19,T$374)+COUNTIF('11月'!DY19:DZ19,T$374)+COUNTIF('11月'!ED19:EE19,T$374)+COUNTIF('11月'!EI19:EJ19,T$374)+COUNTIF('11月'!EN19:EO19,T$374)+COUNTIF('11月'!ES19:ET19,T$374)</f>
        <v>0</v>
      </c>
      <c r="U391" s="76">
        <f t="shared" si="129"/>
        <v>0</v>
      </c>
      <c r="V391" s="76">
        <f>COUNTIF('11月'!D19:E19,V$374)+COUNTIF('11月'!I19:J19,V$374)+COUNTIF('11月'!N19:O19,V$374)+COUNTIF('11月'!S19:T19,V$374)+COUNTIF('11月'!X19:Y19,V$374)+COUNTIF('11月'!AC19:AD19,V$374)+COUNTIF('11月'!AH19:AI19,V$374)+COUNTIF('11月'!AM19:AN19,V$374)+COUNTIF('11月'!AR19:AS19,V$374)+COUNTIF('11月'!AW19:AX19,V$374)+COUNTIF('11月'!BB19:BC19,V$374)+COUNTIF('11月'!BG19:BH19,V$374)+COUNTIF('11月'!BL19:BM19,V$374)+COUNTIF('11月'!BQ19:BR19,V$374)+COUNTIF('11月'!BV19:BW19,V$374)+COUNTIF('11月'!CA19:CB19,V$374)+COUNTIF('11月'!CF19:CG19,V$374)+COUNTIF('11月'!CK19:CL19,V$374)+COUNTIF('11月'!CP19:CQ19,V$374)+COUNTIF('11月'!CU19:CV19,V$374)+COUNTIF('11月'!CZ19:DA19,V$374)+COUNTIF('11月'!DE19:DF19,V$374)+COUNTIF('11月'!DJ19:DK19,V$374)+COUNTIF('11月'!DO19:DP19,V$374)+COUNTIF('11月'!DT19:DU19,V$374)+COUNTIF('11月'!DY19:DZ19,V$374)+COUNTIF('11月'!ED19:EE19,V$374)+COUNTIF('11月'!EI19:EJ19,V$374)+COUNTIF('11月'!EN19:EO19,V$374)+COUNTIF('11月'!ES19:ET19,V$374)</f>
        <v>0</v>
      </c>
      <c r="W391" s="76">
        <f t="shared" si="130"/>
        <v>0</v>
      </c>
      <c r="X391" s="76">
        <f>COUNTIF('11月'!D19:E19,X$374)+COUNTIF('11月'!I19:J19,X$374)+COUNTIF('11月'!N19:O19,X$374)+COUNTIF('11月'!S19:T19,X$374)+COUNTIF('11月'!X19:Y19,X$374)+COUNTIF('11月'!AC19:AD19,X$374)+COUNTIF('11月'!AH19:AI19,X$374)+COUNTIF('11月'!AM19:AN19,X$374)+COUNTIF('11月'!AR19:AS19,X$374)+COUNTIF('11月'!AW19:AX19,X$374)+COUNTIF('11月'!BB19:BC19,X$374)+COUNTIF('11月'!BG19:BH19,X$374)+COUNTIF('11月'!BL19:BM19,X$374)+COUNTIF('11月'!BQ19:BR19,X$374)+COUNTIF('11月'!BV19:BW19,X$374)+COUNTIF('11月'!CA19:CB19,X$374)+COUNTIF('11月'!CF19:CG19,X$374)+COUNTIF('11月'!CK19:CL19,X$374)+COUNTIF('11月'!CP19:CQ19,X$374)+COUNTIF('11月'!CU19:CV19,X$374)+COUNTIF('11月'!CZ19:DA19,X$374)+COUNTIF('11月'!DE19:DF19,X$374)+COUNTIF('11月'!DJ19:DK19,X$374)+COUNTIF('11月'!DO19:DP19,X$374)+COUNTIF('11月'!DT19:DU19,X$374)+COUNTIF('11月'!DY19:DZ19,X$374)+COUNTIF('11月'!ED19:EE19,X$374)+COUNTIF('11月'!EI19:EJ19,X$374)+COUNTIF('11月'!EN19:EO19,X$374)+COUNTIF('11月'!ES19:ET19,X$374)</f>
        <v>0</v>
      </c>
      <c r="Y391" s="76">
        <f t="shared" si="131"/>
        <v>0</v>
      </c>
    </row>
    <row r="392" spans="1:25" ht="18" customHeight="1">
      <c r="A392" s="76">
        <v>17</v>
      </c>
      <c r="B392" s="76">
        <f>COUNTIF('11月'!D20:E20,B$374)+COUNTIF('11月'!I20:J20,B$374)+COUNTIF('11月'!N20:O20,B$374)+COUNTIF('11月'!S20:T20,B$374)+COUNTIF('11月'!X20:Y20,B$374)+COUNTIF('11月'!AC20:AD20,B$374)+COUNTIF('11月'!AH20:AI20,B$374)+COUNTIF('11月'!AM20:AN20,B$374)+COUNTIF('11月'!AR20:AS20,B$374)+COUNTIF('11月'!AW20:AX20,B$374)+COUNTIF('11月'!BB20:BC20,B$374)+COUNTIF('11月'!BG20:BH20,B$374)+COUNTIF('11月'!BL20:BM20,B$374)+COUNTIF('11月'!BQ20:BR20,B$374)+COUNTIF('11月'!BV20:BW20,B$374)+COUNTIF('11月'!CA20:CB20,B$374)+COUNTIF('11月'!CF20:CG20,B$374)+COUNTIF('11月'!CK20:CL20,B$374)+COUNTIF('11月'!CP20:CQ20,B$374)+COUNTIF('11月'!CU20:CV20,B$374)+COUNTIF('11月'!CZ20:DA20,B$374)+COUNTIF('11月'!DE20:DF20,B$374)+COUNTIF('11月'!DJ20:DK20,B$374)+COUNTIF('11月'!DO20:DP20,B$374)+COUNTIF('11月'!DT20:DU20,B$374)+COUNTIF('11月'!DY20:DZ20,B$374)+COUNTIF('11月'!ED20:EE20,B$374)+COUNTIF('11月'!EI20:EJ20,B$374)+COUNTIF('11月'!EN20:EO20,B$374)+COUNTIF('11月'!ES20:ET20,B$374)</f>
        <v>0</v>
      </c>
      <c r="C392" s="76">
        <f t="shared" si="120"/>
        <v>0</v>
      </c>
      <c r="D392" s="76">
        <f>COUNTIF('11月'!D20:E20,D$374)+COUNTIF('11月'!I20:J20,D$374)+COUNTIF('11月'!N20:O20,D$374)+COUNTIF('11月'!S20:T20,D$374)+COUNTIF('11月'!X20:Y20,D$374)+COUNTIF('11月'!AC20:AD20,D$374)+COUNTIF('11月'!AH20:AI20,D$374)+COUNTIF('11月'!AM20:AN20,D$374)+COUNTIF('11月'!AR20:AS20,D$374)+COUNTIF('11月'!AW20:AX20,D$374)+COUNTIF('11月'!BB20:BC20,D$374)+COUNTIF('11月'!BG20:BH20,D$374)+COUNTIF('11月'!BL20:BM20,D$374)+COUNTIF('11月'!BQ20:BR20,D$374)+COUNTIF('11月'!BV20:BW20,D$374)+COUNTIF('11月'!CA20:CB20,D$374)+COUNTIF('11月'!CF20:CG20,D$374)+COUNTIF('11月'!CK20:CL20,D$374)+COUNTIF('11月'!CP20:CQ20,D$374)+COUNTIF('11月'!CU20:CV20,D$374)+COUNTIF('11月'!CZ20:DA20,D$374)+COUNTIF('11月'!DE20:DF20,D$374)+COUNTIF('11月'!DJ20:DK20,D$374)+COUNTIF('11月'!DO20:DP20,D$374)+COUNTIF('11月'!DT20:DU20,D$374)+COUNTIF('11月'!DY20:DZ20,D$374)+COUNTIF('11月'!ED20:EE20,D$374)+COUNTIF('11月'!EI20:EJ20,D$374)+COUNTIF('11月'!EN20:EO20,D$374)+COUNTIF('11月'!ES20:ET20,D$374)</f>
        <v>0</v>
      </c>
      <c r="E392" s="76">
        <f t="shared" si="121"/>
        <v>0</v>
      </c>
      <c r="F392" s="76">
        <f>COUNTIF('11月'!D20:E20,F$374)+COUNTIF('11月'!I20:J20,F$374)+COUNTIF('11月'!N20:O20,F$374)+COUNTIF('11月'!S20:T20,F$374)+COUNTIF('11月'!X20:Y20,F$374)+COUNTIF('11月'!AC20:AD20,F$374)+COUNTIF('11月'!AH20:AI20,F$374)+COUNTIF('11月'!AM20:AN20,F$374)+COUNTIF('11月'!AR20:AS20,F$374)+COUNTIF('11月'!AW20:AX20,F$374)+COUNTIF('11月'!BB20:BC20,F$374)+COUNTIF('11月'!BG20:BH20,F$374)+COUNTIF('11月'!BL20:BM20,F$374)+COUNTIF('11月'!BQ20:BR20,F$374)+COUNTIF('11月'!BV20:BW20,F$374)+COUNTIF('11月'!CA20:CB20,F$374)+COUNTIF('11月'!CF20:CG20,F$374)+COUNTIF('11月'!CK20:CL20,F$374)+COUNTIF('11月'!CP20:CQ20,F$374)+COUNTIF('11月'!CU20:CV20,F$374)+COUNTIF('11月'!CZ20:DA20,F$374)+COUNTIF('11月'!DE20:DF20,F$374)+COUNTIF('11月'!DJ20:DK20,F$374)+COUNTIF('11月'!DO20:DP20,F$374)+COUNTIF('11月'!DT20:DU20,F$374)+COUNTIF('11月'!DY20:DZ20,F$374)+COUNTIF('11月'!ED20:EE20,F$374)+COUNTIF('11月'!EI20:EJ20,F$374)+COUNTIF('11月'!EN20:EO20,F$374)+COUNTIF('11月'!ES20:ET20,F$374)</f>
        <v>0</v>
      </c>
      <c r="G392" s="76">
        <f t="shared" si="122"/>
        <v>0</v>
      </c>
      <c r="H392" s="76">
        <f>COUNTIF('11月'!D20:E20,H$374)+COUNTIF('11月'!I20:J20,H$374)+COUNTIF('11月'!N20:O20,H$374)+COUNTIF('11月'!S20:T20,H$374)+COUNTIF('11月'!X20:Y20,H$374)+COUNTIF('11月'!AC20:AD20,H$374)+COUNTIF('11月'!AH20:AI20,H$374)+COUNTIF('11月'!AM20:AN20,H$374)+COUNTIF('11月'!AR20:AS20,H$374)+COUNTIF('11月'!AW20:AX20,H$374)+COUNTIF('11月'!BB20:BC20,H$374)+COUNTIF('11月'!BG20:BH20,H$374)+COUNTIF('11月'!BL20:BM20,H$374)+COUNTIF('11月'!BQ20:BR20,H$374)+COUNTIF('11月'!BV20:BW20,H$374)+COUNTIF('11月'!CA20:CB20,H$374)+COUNTIF('11月'!CF20:CG20,H$374)+COUNTIF('11月'!CK20:CL20,H$374)+COUNTIF('11月'!CP20:CQ20,H$374)+COUNTIF('11月'!CU20:CV20,H$374)+COUNTIF('11月'!CZ20:DA20,H$374)+COUNTIF('11月'!DE20:DF20,H$374)+COUNTIF('11月'!DJ20:DK20,H$374)+COUNTIF('11月'!DO20:DP20,H$374)+COUNTIF('11月'!DT20:DU20,H$374)+COUNTIF('11月'!DY20:DZ20,H$374)+COUNTIF('11月'!ED20:EE20,H$374)+COUNTIF('11月'!EI20:EJ20,H$374)+COUNTIF('11月'!EN20:EO20,H$374)+COUNTIF('11月'!ES20:ET20,H$374)+COUNTIF('11月'!D20:E20,"渋谷-夜勤")+COUNTIF('11月'!I20:J20,"渋谷-夜勤")+COUNTIF('11月'!N20:O20,"渋谷-夜勤")+COUNTIF('11月'!S20:T20,"渋谷-夜勤")+COUNTIF('11月'!X20:Y20,"渋谷-夜勤")+COUNTIF('11月'!AC20:AD20,"渋谷-夜勤")+COUNTIF('11月'!AH20:AI20,"渋谷-夜勤")+COUNTIF('11月'!AM20:AN20,"渋谷-夜勤")+COUNTIF('11月'!AR20:AS20,"渋谷-夜勤")+COUNTIF('11月'!AW20:AX20,"渋谷-夜勤")+COUNTIF('11月'!BB20:BC20,"渋谷-夜勤")+COUNTIF('11月'!BG20:BH20,"渋谷-夜勤")+COUNTIF('11月'!BL20:BM20,"渋谷-夜勤")+COUNTIF('11月'!BQ20:BR20,"渋谷-夜勤")+COUNTIF('11月'!BV20:BW20,"渋谷-夜勤")+COUNTIF('11月'!CA20:CB20,"渋谷-夜勤")+COUNTIF('11月'!CF20:CG20,"渋谷-夜勤")+COUNTIF('11月'!CK20:CL20,"渋谷-夜勤")+COUNTIF('11月'!CP20:CQ20,"渋谷-夜勤")+COUNTIF('11月'!CU20:CV20,"渋谷-夜勤")+COUNTIF('11月'!CZ20:DA20,"渋谷-夜勤")+COUNTIF('11月'!DE20:DF20,"渋谷-夜勤")+COUNTIF('11月'!DJ20:DK20,"渋谷-夜勤")+COUNTIF('11月'!DO20:DP20,"渋谷-夜勤")+COUNTIF('11月'!DT20:DU20,"渋谷-夜勤")+COUNTIF('11月'!DY20:DZ20,"渋谷-夜勤")+COUNTIF('11月'!ED20:EE20,"渋谷-夜勤")+COUNTIF('11月'!EI20:EJ20,"渋谷-夜勤")+COUNTIF('11月'!EN20:EO20,"渋谷-夜勤")+COUNTIF('11月'!ES20:ET20,"渋谷-夜勤")</f>
        <v>0</v>
      </c>
      <c r="I392" s="76">
        <f t="shared" si="123"/>
        <v>0</v>
      </c>
      <c r="J392" s="76">
        <f>COUNTIF('11月'!D20:E20,J$374)+COUNTIF('11月'!I20:J20,J$374)+COUNTIF('11月'!N20:O20,J$374)+COUNTIF('11月'!S20:T20,J$374)+COUNTIF('11月'!X20:Y20,J$374)+COUNTIF('11月'!AC20:AD20,J$374)+COUNTIF('11月'!AH20:AI20,J$374)+COUNTIF('11月'!AM20:AN20,J$374)+COUNTIF('11月'!AR20:AS20,J$374)+COUNTIF('11月'!AW20:AX20,J$374)+COUNTIF('11月'!BB20:BC20,J$374)+COUNTIF('11月'!BG20:BH20,J$374)+COUNTIF('11月'!BL20:BM20,J$374)+COUNTIF('11月'!BQ20:BR20,J$374)+COUNTIF('11月'!BV20:BW20,J$374)+COUNTIF('11月'!CA20:CB20,J$374)+COUNTIF('11月'!CF20:CG20,J$374)+COUNTIF('11月'!CK20:CL20,J$374)+COUNTIF('11月'!CP20:CQ20,J$374)+COUNTIF('11月'!CU20:CV20,J$374)+COUNTIF('11月'!CZ20:DA20,J$374)+COUNTIF('11月'!DE20:DF20,J$374)+COUNTIF('11月'!DJ20:DK20,J$374)+COUNTIF('11月'!DO20:DP20,J$374)+COUNTIF('11月'!DT20:DU20,J$374)+COUNTIF('11月'!DY20:DZ20,J$374)+COUNTIF('11月'!ED20:EE20,J$374)+COUNTIF('11月'!EI20:EJ20,J$374)+COUNTIF('11月'!EN20:EO20,J$374)+COUNTIF('11月'!ES20:ET20,J$374)+COUNTIF('11月'!D20:E20,"六本木-夜勤")+COUNTIF('11月'!I20:J20,"六本木-夜勤")+COUNTIF('11月'!N20:O20,"六本木-夜勤")+COUNTIF('11月'!S20:T20,"六本木-夜勤")+COUNTIF('11月'!X20:Y20,"六本木-夜勤")+COUNTIF('11月'!AC20:AD20,"六本木-夜勤")+COUNTIF('11月'!AH20:AI20,"六本木-夜勤")+COUNTIF('11月'!AM20:AN20,"六本木-夜勤")+COUNTIF('11月'!AR20:AS20,"六本木-夜勤")+COUNTIF('11月'!AW20:AX20,"六本木-夜勤")+COUNTIF('11月'!BB20:BC20,"六本木-夜勤")+COUNTIF('11月'!BG20:BH20,"六本木-夜勤")+COUNTIF('11月'!BL20:BM20,"六本木-夜勤")+COUNTIF('11月'!BQ20:BR20,"六本木-夜勤")+COUNTIF('11月'!BV20:BW20,"六本木-夜勤")+COUNTIF('11月'!CA20:CB20,"六本木-夜勤")+COUNTIF('11月'!CF20:CG20,"六本木-夜勤")+COUNTIF('11月'!CK20:CL20,"六本木-夜勤")+COUNTIF('11月'!CP20:CQ20,"六本木-夜勤")+COUNTIF('11月'!CU20:CV20,"六本木-夜勤")+COUNTIF('11月'!CZ20:DA20,"六本木-夜勤")+COUNTIF('11月'!DE20:DF20,"六本木-夜勤")+COUNTIF('11月'!DJ20:DK20,"六本木-夜勤")+COUNTIF('11月'!DO20:DP20,"六本木-夜勤")+COUNTIF('11月'!DT20:DU20,"六本木-夜勤")+COUNTIF('11月'!DY20:DZ20,"六本木-夜勤")+COUNTIF('11月'!ED20:EE20,"六本木-夜勤")+COUNTIF('11月'!EI20:EJ20,"六本木-夜勤")+COUNTIF('11月'!EN20:EO20,"六本木-夜勤")+COUNTIF('11月'!ES20:ET20,"六本木-夜勤")+COUNTIF('11月'!D20:E20,"六本木ー夜勤")+COUNTIF('11月'!I20:J20,"六本木ー夜勤")+COUNTIF('11月'!N20:O20,"六本木ー夜勤")+COUNTIF('11月'!S20:T20,"六本木ー夜勤")+COUNTIF('11月'!X20:Y20,"六本木ー夜勤")+COUNTIF('11月'!AC20:AD20,"六本木ー夜勤")+COUNTIF('11月'!AH20:AI20,"六本木ー夜勤")+COUNTIF('11月'!AM20:AN20,"六本木ー夜勤")+COUNTIF('11月'!AR20:AS20,"六本木ー夜勤")+COUNTIF('11月'!AW20:AX20,"六本木ー夜勤")+COUNTIF('11月'!BB20:BC20,"六本木ー夜勤")+COUNTIF('11月'!BG20:BH20,"六本木ー夜勤")+COUNTIF('11月'!BL20:BM20,"六本木ー夜勤")+COUNTIF('11月'!BQ20:BR20,"六本木ー夜勤")+COUNTIF('11月'!BV20:BW20,"六本木ー夜勤")+COUNTIF('11月'!CA20:CB20,"六本木ー夜勤")+COUNTIF('11月'!CF20:CG20,"六本木ー夜勤")+COUNTIF('11月'!CK20:CL20,"六本木ー夜勤")+COUNTIF('11月'!CP20:CQ20,"六本木ー夜勤")+COUNTIF('11月'!CU20:CV20,"六本木ー夜勤")+COUNTIF('11月'!CZ20:DA20,"六本木ー夜勤")+COUNTIF('11月'!DE20:DF20,"六本木ー夜勤")+COUNTIF('11月'!DJ20:DK20,"六本木ー夜勤")+COUNTIF('11月'!DO20:DP20,"六本木ー夜勤")+COUNTIF('11月'!DT20:DU20,"六本木ー夜勤")+COUNTIF('11月'!DY20:DZ20,"六本木ー夜勤")+COUNTIF('11月'!ED20:EE20,"六本木ー夜勤")+COUNTIF('11月'!EI20:EJ20,"六本木ー夜勤")+COUNTIF('11月'!EN20:EO20,"六本木ー夜勤")+COUNTIF('11月'!ES20:ET20,"六本木ー夜勤")</f>
        <v>0</v>
      </c>
      <c r="K392" s="76">
        <f t="shared" si="124"/>
        <v>0</v>
      </c>
      <c r="L392" s="76">
        <f>COUNTIF('11月'!D20:E20,L$374)+COUNTIF('11月'!I20:J20,L$374)+COUNTIF('11月'!N20:O20,L$374)+COUNTIF('11月'!S20:T20,L$374)+COUNTIF('11月'!X20:Y20,L$374)+COUNTIF('11月'!AC20:AD20,L$374)+COUNTIF('11月'!AH20:AI20,L$374)+COUNTIF('11月'!AM20:AN20,L$374)+COUNTIF('11月'!AR20:AS20,L$374)+COUNTIF('11月'!AW20:AX20,L$374)+COUNTIF('11月'!BB20:BC20,L$374)+COUNTIF('11月'!BG20:BH20,L$374)+COUNTIF('11月'!BL20:BM20,L$374)+COUNTIF('11月'!BQ20:BR20,L$374)+COUNTIF('11月'!BV20:BW20,L$374)+COUNTIF('11月'!CA20:CB20,L$374)+COUNTIF('11月'!CF20:CG20,L$374)+COUNTIF('11月'!CK20:CL20,L$374)+COUNTIF('11月'!CP20:CQ20,L$374)+COUNTIF('11月'!CU20:CV20,L$374)+COUNTIF('11月'!CZ20:DA20,L$374)+COUNTIF('11月'!DE20:DF20,L$374)+COUNTIF('11月'!DJ20:DK20,L$374)+COUNTIF('11月'!DO20:DP20,L$374)+COUNTIF('11月'!DT20:DU20,L$374)+COUNTIF('11月'!DY20:DZ20,L$374)+COUNTIF('11月'!ED20:EE20,L$374)+COUNTIF('11月'!EI20:EJ20,L$374)+COUNTIF('11月'!EN20:EO20,L$374)+COUNTIF('11月'!ES20:ET20,L$374)</f>
        <v>0</v>
      </c>
      <c r="M392" s="76">
        <f t="shared" si="125"/>
        <v>0</v>
      </c>
      <c r="N392" s="76">
        <f>COUNTIF('11月'!D20:E20,N$374)+COUNTIF('11月'!I20:J20,N$374)+COUNTIF('11月'!N20:O20,N$374)+COUNTIF('11月'!S20:T20,N$374)+COUNTIF('11月'!X20:Y20,N$374)+COUNTIF('11月'!AC20:AD20,N$374)+COUNTIF('11月'!AH20:AI20,N$374)+COUNTIF('11月'!AM20:AN20,N$374)+COUNTIF('11月'!AR20:AS20,N$374)+COUNTIF('11月'!AW20:AX20,N$374)+COUNTIF('11月'!BB20:BC20,N$374)+COUNTIF('11月'!BG20:BH20,N$374)+COUNTIF('11月'!BL20:BM20,N$374)+COUNTIF('11月'!BQ20:BR20,N$374)+COUNTIF('11月'!BV20:BW20,N$374)+COUNTIF('11月'!CA20:CB20,N$374)+COUNTIF('11月'!CF20:CG20,N$374)+COUNTIF('11月'!CK20:CL20,N$374)+COUNTIF('11月'!CP20:CQ20,N$374)+COUNTIF('11月'!CU20:CV20,N$374)+COUNTIF('11月'!CZ20:DA20,N$374)+COUNTIF('11月'!DE20:DF20,N$374)+COUNTIF('11月'!DJ20:DK20,N$374)+COUNTIF('11月'!DO20:DP20,N$374)+COUNTIF('11月'!DT20:DU20,N$374)+COUNTIF('11月'!DY20:DZ20,N$374)+COUNTIF('11月'!ED20:EE20,N$374)+COUNTIF('11月'!EI20:EJ20,N$374)+COUNTIF('11月'!EN20:EO20,N$374)+COUNTIF('11月'!ES20:ET20,N$374)+COUNTIF('11月'!D20:E20,"三軒茶屋－夜勤")+COUNTIF('11月'!I20:J20,"三軒茶屋－夜勤")+COUNTIF('11月'!N20:O20,"三軒茶屋－夜勤")+COUNTIF('11月'!S20:T20,"三軒茶屋－夜勤")+COUNTIF('11月'!X20:Y20,"三軒茶屋－夜勤")+COUNTIF('11月'!AC20:AD20,"三軒茶屋－夜勤")+COUNTIF('11月'!AH20:AI20,"三軒茶屋－夜勤")+COUNTIF('11月'!AM20:AN20,"三軒茶屋－夜勤")+COUNTIF('11月'!AR20:AS20,"三軒茶屋－夜勤")+COUNTIF('11月'!AW20:AX20,"三軒茶屋－夜勤")+COUNTIF('11月'!BB20:BC20,"三軒茶屋－夜勤")+COUNTIF('11月'!BG20:BH20,"三軒茶屋－夜勤")+COUNTIF('11月'!BL20:BM20,"三軒茶屋－夜勤")+COUNTIF('11月'!BQ20:BR20,"三軒茶屋－夜勤")+COUNTIF('11月'!BV20:BW20,"三軒茶屋－夜勤")+COUNTIF('11月'!CA20:CB20,"三軒茶屋－夜勤")+COUNTIF('11月'!CF20:CG20,"三軒茶屋－夜勤")+COUNTIF('11月'!CK20:CL20,"三軒茶屋－夜勤")+COUNTIF('11月'!CP20:CQ20,"三軒茶屋－夜勤")+COUNTIF('11月'!CU20:CV20,"三軒茶屋－夜勤")+COUNTIF('11月'!CZ20:DA20,"三軒茶屋－夜勤")+COUNTIF('11月'!DE20:DF20,"三軒茶屋－夜勤")+COUNTIF('11月'!DJ20:DK20,"三軒茶屋－夜勤")+COUNTIF('11月'!DO20:DP20,"三軒茶屋－夜勤")+COUNTIF('11月'!DT20:DU20,"三軒茶屋－夜勤")+COUNTIF('11月'!DY20:DZ20,"三軒茶屋－夜勤")+COUNTIF('11月'!ED20:EE20,"三軒茶屋－夜勤")+COUNTIF('11月'!EI20:EJ20,"三軒茶屋－夜勤")+COUNTIF('11月'!EN20:EO20,"三軒茶屋－夜勤")+COUNTIF('11月'!ES20:ET20,"三軒茶屋－夜勤")</f>
        <v>0</v>
      </c>
      <c r="O392" s="76">
        <f t="shared" si="126"/>
        <v>0</v>
      </c>
      <c r="P392" s="76">
        <f>COUNTIF('11月'!D20:E20,P$374)+COUNTIF('11月'!I20:J20,P$374)+COUNTIF('11月'!N20:O20,P$374)+COUNTIF('11月'!S20:T20,P$374)+COUNTIF('11月'!X20:Y20,P$374)+COUNTIF('11月'!AC20:AD20,P$374)+COUNTIF('11月'!AH20:AI20,P$374)+COUNTIF('11月'!AM20:AN20,P$374)+COUNTIF('11月'!AR20:AS20,P$374)+COUNTIF('11月'!AW20:AX20,P$374)+COUNTIF('11月'!BB20:BC20,P$374)+COUNTIF('11月'!BG20:BH20,P$374)+COUNTIF('11月'!BL20:BM20,P$374)+COUNTIF('11月'!BQ20:BR20,P$374)+COUNTIF('11月'!BV20:BW20,P$374)+COUNTIF('11月'!CA20:CB20,P$374)+COUNTIF('11月'!CF20:CG20,P$374)+COUNTIF('11月'!CK20:CL20,P$374)+COUNTIF('11月'!CP20:CQ20,P$374)+COUNTIF('11月'!CU20:CV20,P$374)+COUNTIF('11月'!CZ20:DA20,P$374)+COUNTIF('11月'!DE20:DF20,P$374)+COUNTIF('11月'!DJ20:DK20,P$374)+COUNTIF('11月'!DO20:DP20,P$374)+COUNTIF('11月'!DT20:DU20,P$374)+COUNTIF('11月'!DY20:DZ20,P$374)+COUNTIF('11月'!ED20:EE20,P$374)+COUNTIF('11月'!EI20:EJ20,P$374)+COUNTIF('11月'!EN20:EO20,P$374)+COUNTIF('11月'!ES20:ET20,P$374)+COUNTIF('11月'!D20:E20,"荻窪ー夜勤")+COUNTIF('11月'!I20:J20,"荻窪ー夜勤")+COUNTIF('11月'!N20:O20,"荻窪ー夜勤")+COUNTIF('11月'!S20:T20,"荻窪ー夜勤")+COUNTIF('11月'!X20:Y20,"荻窪ー夜勤")+COUNTIF('11月'!AC20:AD20,"荻窪ー夜勤")+COUNTIF('11月'!AH20:AI20,"荻窪ー夜勤")+COUNTIF('11月'!AM20:AN20,"荻窪ー夜勤")+COUNTIF('11月'!AR20:AS20,"荻窪ー夜勤")+COUNTIF('11月'!AW20:AX20,"荻窪ー夜勤")+COUNTIF('11月'!BB20:BC20,"荻窪ー夜勤")+COUNTIF('11月'!BG20:BH20,"荻窪ー夜勤")+COUNTIF('11月'!BL20:BM20,"荻窪ー夜勤")+COUNTIF('11月'!BQ20:BR20,"荻窪ー夜勤")+COUNTIF('11月'!BV20:BW20,"荻窪ー夜勤")+COUNTIF('11月'!CA20:CB20,"荻窪ー夜勤")+COUNTIF('11月'!CF20:CG20,"荻窪ー夜勤")+COUNTIF('11月'!CK20:CL20,"荻窪ー夜勤")+COUNTIF('11月'!CP20:CQ20,"荻窪ー夜勤")+COUNTIF('11月'!CU20:CV20,"荻窪ー夜勤")+COUNTIF('11月'!CZ20:DA20,"荻窪ー夜勤")+COUNTIF('11月'!DE20:DF20,"荻窪ー夜勤")+COUNTIF('11月'!DJ20:DK20,"荻窪ー夜勤")+COUNTIF('11月'!DO20:DP20,"荻窪ー夜勤")+COUNTIF('11月'!DT20:DU20,"荻窪ー夜勤")+COUNTIF('11月'!DY20:DZ20,"荻窪ー夜勤")+COUNTIF('11月'!ED20:EE20,"荻窪ー夜勤")+COUNTIF('11月'!EI20:EJ20,"荻窪ー夜勤")+COUNTIF('11月'!EN20:EO20,"荻窪ー夜勤")+COUNTIF('11月'!ES20:ET20,"荻窪ー夜勤")</f>
        <v>0</v>
      </c>
      <c r="Q392" s="76">
        <f t="shared" si="127"/>
        <v>0</v>
      </c>
      <c r="R392" s="76">
        <f>COUNTIF('11月'!D20:E20,R$374)+COUNTIF('11月'!I20:J20,R$374)+COUNTIF('11月'!N20:O20,R$374)+COUNTIF('11月'!S20:T20,R$374)+COUNTIF('11月'!X20:Y20,R$374)+COUNTIF('11月'!AC20:AD20,R$374)+COUNTIF('11月'!AH20:AI20,R$374)+COUNTIF('11月'!AM20:AN20,R$374)+COUNTIF('11月'!AR20:AS20,R$374)+COUNTIF('11月'!AW20:AX20,R$374)+COUNTIF('11月'!BB20:BC20,R$374)+COUNTIF('11月'!BG20:BH20,R$374)+COUNTIF('11月'!BL20:BM20,R$374)+COUNTIF('11月'!BQ20:BR20,R$374)+COUNTIF('11月'!BV20:BW20,R$374)+COUNTIF('11月'!CA20:CB20,R$374)+COUNTIF('11月'!CF20:CG20,R$374)+COUNTIF('11月'!CK20:CL20,R$374)+COUNTIF('11月'!CP20:CQ20,R$374)+COUNTIF('11月'!CU20:CV20,R$374)+COUNTIF('11月'!CZ20:DA20,R$374)+COUNTIF('11月'!DE20:DF20,R$374)+COUNTIF('11月'!DJ20:DK20,R$374)+COUNTIF('11月'!DO20:DP20,R$374)+COUNTIF('11月'!DT20:DU20,R$374)+COUNTIF('11月'!DY20:DZ20,R$374)+COUNTIF('11月'!ED20:EE20,R$374)+COUNTIF('11月'!EI20:EJ20,R$374)+COUNTIF('11月'!EN20:EO20,R$374)+COUNTIF('11月'!ES20:ET20,R$374)</f>
        <v>0</v>
      </c>
      <c r="S392" s="76">
        <f t="shared" si="128"/>
        <v>0</v>
      </c>
      <c r="T392" s="76">
        <f>COUNTIF('11月'!D20:E20,T$374)+COUNTIF('11月'!I20:J20,T$374)+COUNTIF('11月'!N20:O20,T$374)+COUNTIF('11月'!S20:T20,T$374)+COUNTIF('11月'!X20:Y20,T$374)+COUNTIF('11月'!AC20:AD20,T$374)+COUNTIF('11月'!AH20:AI20,T$374)+COUNTIF('11月'!AM20:AN20,T$374)+COUNTIF('11月'!AR20:AS20,T$374)+COUNTIF('11月'!AW20:AX20,T$374)+COUNTIF('11月'!BB20:BC20,T$374)+COUNTIF('11月'!BG20:BH20,T$374)+COUNTIF('11月'!BL20:BM20,T$374)+COUNTIF('11月'!BQ20:BR20,T$374)+COUNTIF('11月'!BV20:BW20,T$374)+COUNTIF('11月'!CA20:CB20,T$374)+COUNTIF('11月'!CF20:CG20,T$374)+COUNTIF('11月'!CK20:CL20,T$374)+COUNTIF('11月'!CP20:CQ20,T$374)+COUNTIF('11月'!CU20:CV20,T$374)+COUNTIF('11月'!CZ20:DA20,T$374)+COUNTIF('11月'!DE20:DF20,T$374)+COUNTIF('11月'!DJ20:DK20,T$374)+COUNTIF('11月'!DO20:DP20,T$374)+COUNTIF('11月'!DT20:DU20,T$374)+COUNTIF('11月'!DY20:DZ20,T$374)+COUNTIF('11月'!ED20:EE20,T$374)+COUNTIF('11月'!EI20:EJ20,T$374)+COUNTIF('11月'!EN20:EO20,T$374)+COUNTIF('11月'!ES20:ET20,T$374)</f>
        <v>0</v>
      </c>
      <c r="U392" s="76">
        <f t="shared" si="129"/>
        <v>0</v>
      </c>
      <c r="V392" s="76">
        <f>COUNTIF('11月'!D20:E20,V$374)+COUNTIF('11月'!I20:J20,V$374)+COUNTIF('11月'!N20:O20,V$374)+COUNTIF('11月'!S20:T20,V$374)+COUNTIF('11月'!X20:Y20,V$374)+COUNTIF('11月'!AC20:AD20,V$374)+COUNTIF('11月'!AH20:AI20,V$374)+COUNTIF('11月'!AM20:AN20,V$374)+COUNTIF('11月'!AR20:AS20,V$374)+COUNTIF('11月'!AW20:AX20,V$374)+COUNTIF('11月'!BB20:BC20,V$374)+COUNTIF('11月'!BG20:BH20,V$374)+COUNTIF('11月'!BL20:BM20,V$374)+COUNTIF('11月'!BQ20:BR20,V$374)+COUNTIF('11月'!BV20:BW20,V$374)+COUNTIF('11月'!CA20:CB20,V$374)+COUNTIF('11月'!CF20:CG20,V$374)+COUNTIF('11月'!CK20:CL20,V$374)+COUNTIF('11月'!CP20:CQ20,V$374)+COUNTIF('11月'!CU20:CV20,V$374)+COUNTIF('11月'!CZ20:DA20,V$374)+COUNTIF('11月'!DE20:DF20,V$374)+COUNTIF('11月'!DJ20:DK20,V$374)+COUNTIF('11月'!DO20:DP20,V$374)+COUNTIF('11月'!DT20:DU20,V$374)+COUNTIF('11月'!DY20:DZ20,V$374)+COUNTIF('11月'!ED20:EE20,V$374)+COUNTIF('11月'!EI20:EJ20,V$374)+COUNTIF('11月'!EN20:EO20,V$374)+COUNTIF('11月'!ES20:ET20,V$374)</f>
        <v>0</v>
      </c>
      <c r="W392" s="76">
        <f t="shared" si="130"/>
        <v>0</v>
      </c>
      <c r="X392" s="76">
        <f>COUNTIF('11月'!D20:E20,X$374)+COUNTIF('11月'!I20:J20,X$374)+COUNTIF('11月'!N20:O20,X$374)+COUNTIF('11月'!S20:T20,X$374)+COUNTIF('11月'!X20:Y20,X$374)+COUNTIF('11月'!AC20:AD20,X$374)+COUNTIF('11月'!AH20:AI20,X$374)+COUNTIF('11月'!AM20:AN20,X$374)+COUNTIF('11月'!AR20:AS20,X$374)+COUNTIF('11月'!AW20:AX20,X$374)+COUNTIF('11月'!BB20:BC20,X$374)+COUNTIF('11月'!BG20:BH20,X$374)+COUNTIF('11月'!BL20:BM20,X$374)+COUNTIF('11月'!BQ20:BR20,X$374)+COUNTIF('11月'!BV20:BW20,X$374)+COUNTIF('11月'!CA20:CB20,X$374)+COUNTIF('11月'!CF20:CG20,X$374)+COUNTIF('11月'!CK20:CL20,X$374)+COUNTIF('11月'!CP20:CQ20,X$374)+COUNTIF('11月'!CU20:CV20,X$374)+COUNTIF('11月'!CZ20:DA20,X$374)+COUNTIF('11月'!DE20:DF20,X$374)+COUNTIF('11月'!DJ20:DK20,X$374)+COUNTIF('11月'!DO20:DP20,X$374)+COUNTIF('11月'!DT20:DU20,X$374)+COUNTIF('11月'!DY20:DZ20,X$374)+COUNTIF('11月'!ED20:EE20,X$374)+COUNTIF('11月'!EI20:EJ20,X$374)+COUNTIF('11月'!EN20:EO20,X$374)+COUNTIF('11月'!ES20:ET20,X$374)</f>
        <v>0</v>
      </c>
      <c r="Y392" s="76">
        <f t="shared" si="131"/>
        <v>0</v>
      </c>
    </row>
    <row r="393" spans="1:25" ht="18" customHeight="1">
      <c r="A393" s="76">
        <v>18</v>
      </c>
      <c r="B393" s="76">
        <f>COUNTIF('11月'!D21:E21,B$374)+COUNTIF('11月'!I21:J21,B$374)+COUNTIF('11月'!N21:O21,B$374)+COUNTIF('11月'!S21:T21,B$374)+COUNTIF('11月'!X21:Y21,B$374)+COUNTIF('11月'!AC21:AD21,B$374)+COUNTIF('11月'!AH21:AI21,B$374)+COUNTIF('11月'!AM21:AN21,B$374)+COUNTIF('11月'!AR21:AS21,B$374)+COUNTIF('11月'!AW21:AX21,B$374)+COUNTIF('11月'!BB21:BC21,B$374)+COUNTIF('11月'!BG21:BH21,B$374)+COUNTIF('11月'!BL21:BM21,B$374)+COUNTIF('11月'!BQ21:BR21,B$374)+COUNTIF('11月'!BV21:BW21,B$374)+COUNTIF('11月'!CA21:CB21,B$374)+COUNTIF('11月'!CF21:CG21,B$374)+COUNTIF('11月'!CK21:CL21,B$374)+COUNTIF('11月'!CP21:CQ21,B$374)+COUNTIF('11月'!CU21:CV21,B$374)+COUNTIF('11月'!CZ21:DA21,B$374)+COUNTIF('11月'!DE21:DF21,B$374)+COUNTIF('11月'!DJ21:DK21,B$374)+COUNTIF('11月'!DO21:DP21,B$374)+COUNTIF('11月'!DT21:DU21,B$374)+COUNTIF('11月'!DY21:DZ21,B$374)+COUNTIF('11月'!ED21:EE21,B$374)+COUNTIF('11月'!EI21:EJ21,B$374)+COUNTIF('11月'!EN21:EO21,B$374)+COUNTIF('11月'!ES21:ET21,B$374)</f>
        <v>0</v>
      </c>
      <c r="C393" s="76">
        <f t="shared" si="120"/>
        <v>0</v>
      </c>
      <c r="D393" s="76">
        <f>COUNTIF('11月'!D21:E21,D$374)+COUNTIF('11月'!I21:J21,D$374)+COUNTIF('11月'!N21:O21,D$374)+COUNTIF('11月'!S21:T21,D$374)+COUNTIF('11月'!X21:Y21,D$374)+COUNTIF('11月'!AC21:AD21,D$374)+COUNTIF('11月'!AH21:AI21,D$374)+COUNTIF('11月'!AM21:AN21,D$374)+COUNTIF('11月'!AR21:AS21,D$374)+COUNTIF('11月'!AW21:AX21,D$374)+COUNTIF('11月'!BB21:BC21,D$374)+COUNTIF('11月'!BG21:BH21,D$374)+COUNTIF('11月'!BL21:BM21,D$374)+COUNTIF('11月'!BQ21:BR21,D$374)+COUNTIF('11月'!BV21:BW21,D$374)+COUNTIF('11月'!CA21:CB21,D$374)+COUNTIF('11月'!CF21:CG21,D$374)+COUNTIF('11月'!CK21:CL21,D$374)+COUNTIF('11月'!CP21:CQ21,D$374)+COUNTIF('11月'!CU21:CV21,D$374)+COUNTIF('11月'!CZ21:DA21,D$374)+COUNTIF('11月'!DE21:DF21,D$374)+COUNTIF('11月'!DJ21:DK21,D$374)+COUNTIF('11月'!DO21:DP21,D$374)+COUNTIF('11月'!DT21:DU21,D$374)+COUNTIF('11月'!DY21:DZ21,D$374)+COUNTIF('11月'!ED21:EE21,D$374)+COUNTIF('11月'!EI21:EJ21,D$374)+COUNTIF('11月'!EN21:EO21,D$374)+COUNTIF('11月'!ES21:ET21,D$374)</f>
        <v>0</v>
      </c>
      <c r="E393" s="76">
        <f t="shared" si="121"/>
        <v>0</v>
      </c>
      <c r="F393" s="76">
        <f>COUNTIF('11月'!D21:E21,F$374)+COUNTIF('11月'!I21:J21,F$374)+COUNTIF('11月'!N21:O21,F$374)+COUNTIF('11月'!S21:T21,F$374)+COUNTIF('11月'!X21:Y21,F$374)+COUNTIF('11月'!AC21:AD21,F$374)+COUNTIF('11月'!AH21:AI21,F$374)+COUNTIF('11月'!AM21:AN21,F$374)+COUNTIF('11月'!AR21:AS21,F$374)+COUNTIF('11月'!AW21:AX21,F$374)+COUNTIF('11月'!BB21:BC21,F$374)+COUNTIF('11月'!BG21:BH21,F$374)+COUNTIF('11月'!BL21:BM21,F$374)+COUNTIF('11月'!BQ21:BR21,F$374)+COUNTIF('11月'!BV21:BW21,F$374)+COUNTIF('11月'!CA21:CB21,F$374)+COUNTIF('11月'!CF21:CG21,F$374)+COUNTIF('11月'!CK21:CL21,F$374)+COUNTIF('11月'!CP21:CQ21,F$374)+COUNTIF('11月'!CU21:CV21,F$374)+COUNTIF('11月'!CZ21:DA21,F$374)+COUNTIF('11月'!DE21:DF21,F$374)+COUNTIF('11月'!DJ21:DK21,F$374)+COUNTIF('11月'!DO21:DP21,F$374)+COUNTIF('11月'!DT21:DU21,F$374)+COUNTIF('11月'!DY21:DZ21,F$374)+COUNTIF('11月'!ED21:EE21,F$374)+COUNTIF('11月'!EI21:EJ21,F$374)+COUNTIF('11月'!EN21:EO21,F$374)+COUNTIF('11月'!ES21:ET21,F$374)</f>
        <v>0</v>
      </c>
      <c r="G393" s="76">
        <f t="shared" si="122"/>
        <v>0</v>
      </c>
      <c r="H393" s="76">
        <f>COUNTIF('11月'!D21:E21,H$374)+COUNTIF('11月'!I21:J21,H$374)+COUNTIF('11月'!N21:O21,H$374)+COUNTIF('11月'!S21:T21,H$374)+COUNTIF('11月'!X21:Y21,H$374)+COUNTIF('11月'!AC21:AD21,H$374)+COUNTIF('11月'!AH21:AI21,H$374)+COUNTIF('11月'!AM21:AN21,H$374)+COUNTIF('11月'!AR21:AS21,H$374)+COUNTIF('11月'!AW21:AX21,H$374)+COUNTIF('11月'!BB21:BC21,H$374)+COUNTIF('11月'!BG21:BH21,H$374)+COUNTIF('11月'!BL21:BM21,H$374)+COUNTIF('11月'!BQ21:BR21,H$374)+COUNTIF('11月'!BV21:BW21,H$374)+COUNTIF('11月'!CA21:CB21,H$374)+COUNTIF('11月'!CF21:CG21,H$374)+COUNTIF('11月'!CK21:CL21,H$374)+COUNTIF('11月'!CP21:CQ21,H$374)+COUNTIF('11月'!CU21:CV21,H$374)+COUNTIF('11月'!CZ21:DA21,H$374)+COUNTIF('11月'!DE21:DF21,H$374)+COUNTIF('11月'!DJ21:DK21,H$374)+COUNTIF('11月'!DO21:DP21,H$374)+COUNTIF('11月'!DT21:DU21,H$374)+COUNTIF('11月'!DY21:DZ21,H$374)+COUNTIF('11月'!ED21:EE21,H$374)+COUNTIF('11月'!EI21:EJ21,H$374)+COUNTIF('11月'!EN21:EO21,H$374)+COUNTIF('11月'!ES21:ET21,H$374)+COUNTIF('11月'!D21:E21,"渋谷-夜勤")+COUNTIF('11月'!I21:J21,"渋谷-夜勤")+COUNTIF('11月'!N21:O21,"渋谷-夜勤")+COUNTIF('11月'!S21:T21,"渋谷-夜勤")+COUNTIF('11月'!X21:Y21,"渋谷-夜勤")+COUNTIF('11月'!AC21:AD21,"渋谷-夜勤")+COUNTIF('11月'!AH21:AI21,"渋谷-夜勤")+COUNTIF('11月'!AM21:AN21,"渋谷-夜勤")+COUNTIF('11月'!AR21:AS21,"渋谷-夜勤")+COUNTIF('11月'!AW21:AX21,"渋谷-夜勤")+COUNTIF('11月'!BB21:BC21,"渋谷-夜勤")+COUNTIF('11月'!BG21:BH21,"渋谷-夜勤")+COUNTIF('11月'!BL21:BM21,"渋谷-夜勤")+COUNTIF('11月'!BQ21:BR21,"渋谷-夜勤")+COUNTIF('11月'!BV21:BW21,"渋谷-夜勤")+COUNTIF('11月'!CA21:CB21,"渋谷-夜勤")+COUNTIF('11月'!CF21:CG21,"渋谷-夜勤")+COUNTIF('11月'!CK21:CL21,"渋谷-夜勤")+COUNTIF('11月'!CP21:CQ21,"渋谷-夜勤")+COUNTIF('11月'!CU21:CV21,"渋谷-夜勤")+COUNTIF('11月'!CZ21:DA21,"渋谷-夜勤")+COUNTIF('11月'!DE21:DF21,"渋谷-夜勤")+COUNTIF('11月'!DJ21:DK21,"渋谷-夜勤")+COUNTIF('11月'!DO21:DP21,"渋谷-夜勤")+COUNTIF('11月'!DT21:DU21,"渋谷-夜勤")+COUNTIF('11月'!DY21:DZ21,"渋谷-夜勤")+COUNTIF('11月'!ED21:EE21,"渋谷-夜勤")+COUNTIF('11月'!EI21:EJ21,"渋谷-夜勤")+COUNTIF('11月'!EN21:EO21,"渋谷-夜勤")+COUNTIF('11月'!ES21:ET21,"渋谷-夜勤")</f>
        <v>0</v>
      </c>
      <c r="I393" s="76">
        <f t="shared" si="123"/>
        <v>0</v>
      </c>
      <c r="J393" s="76">
        <f>COUNTIF('11月'!D21:E21,J$374)+COUNTIF('11月'!I21:J21,J$374)+COUNTIF('11月'!N21:O21,J$374)+COUNTIF('11月'!S21:T21,J$374)+COUNTIF('11月'!X21:Y21,J$374)+COUNTIF('11月'!AC21:AD21,J$374)+COUNTIF('11月'!AH21:AI21,J$374)+COUNTIF('11月'!AM21:AN21,J$374)+COUNTIF('11月'!AR21:AS21,J$374)+COUNTIF('11月'!AW21:AX21,J$374)+COUNTIF('11月'!BB21:BC21,J$374)+COUNTIF('11月'!BG21:BH21,J$374)+COUNTIF('11月'!BL21:BM21,J$374)+COUNTIF('11月'!BQ21:BR21,J$374)+COUNTIF('11月'!BV21:BW21,J$374)+COUNTIF('11月'!CA21:CB21,J$374)+COUNTIF('11月'!CF21:CG21,J$374)+COUNTIF('11月'!CK21:CL21,J$374)+COUNTIF('11月'!CP21:CQ21,J$374)+COUNTIF('11月'!CU21:CV21,J$374)+COUNTIF('11月'!CZ21:DA21,J$374)+COUNTIF('11月'!DE21:DF21,J$374)+COUNTIF('11月'!DJ21:DK21,J$374)+COUNTIF('11月'!DO21:DP21,J$374)+COUNTIF('11月'!DT21:DU21,J$374)+COUNTIF('11月'!DY21:DZ21,J$374)+COUNTIF('11月'!ED21:EE21,J$374)+COUNTIF('11月'!EI21:EJ21,J$374)+COUNTIF('11月'!EN21:EO21,J$374)+COUNTIF('11月'!ES21:ET21,J$374)+COUNTIF('11月'!D21:E21,"六本木-夜勤")+COUNTIF('11月'!I21:J21,"六本木-夜勤")+COUNTIF('11月'!N21:O21,"六本木-夜勤")+COUNTIF('11月'!S21:T21,"六本木-夜勤")+COUNTIF('11月'!X21:Y21,"六本木-夜勤")+COUNTIF('11月'!AC21:AD21,"六本木-夜勤")+COUNTIF('11月'!AH21:AI21,"六本木-夜勤")+COUNTIF('11月'!AM21:AN21,"六本木-夜勤")+COUNTIF('11月'!AR21:AS21,"六本木-夜勤")+COUNTIF('11月'!AW21:AX21,"六本木-夜勤")+COUNTIF('11月'!BB21:BC21,"六本木-夜勤")+COUNTIF('11月'!BG21:BH21,"六本木-夜勤")+COUNTIF('11月'!BL21:BM21,"六本木-夜勤")+COUNTIF('11月'!BQ21:BR21,"六本木-夜勤")+COUNTIF('11月'!BV21:BW21,"六本木-夜勤")+COUNTIF('11月'!CA21:CB21,"六本木-夜勤")+COUNTIF('11月'!CF21:CG21,"六本木-夜勤")+COUNTIF('11月'!CK21:CL21,"六本木-夜勤")+COUNTIF('11月'!CP21:CQ21,"六本木-夜勤")+COUNTIF('11月'!CU21:CV21,"六本木-夜勤")+COUNTIF('11月'!CZ21:DA21,"六本木-夜勤")+COUNTIF('11月'!DE21:DF21,"六本木-夜勤")+COUNTIF('11月'!DJ21:DK21,"六本木-夜勤")+COUNTIF('11月'!DO21:DP21,"六本木-夜勤")+COUNTIF('11月'!DT21:DU21,"六本木-夜勤")+COUNTIF('11月'!DY21:DZ21,"六本木-夜勤")+COUNTIF('11月'!ED21:EE21,"六本木-夜勤")+COUNTIF('11月'!EI21:EJ21,"六本木-夜勤")+COUNTIF('11月'!EN21:EO21,"六本木-夜勤")+COUNTIF('11月'!ES21:ET21,"六本木-夜勤")+COUNTIF('11月'!D21:E21,"六本木ー夜勤")+COUNTIF('11月'!I21:J21,"六本木ー夜勤")+COUNTIF('11月'!N21:O21,"六本木ー夜勤")+COUNTIF('11月'!S21:T21,"六本木ー夜勤")+COUNTIF('11月'!X21:Y21,"六本木ー夜勤")+COUNTIF('11月'!AC21:AD21,"六本木ー夜勤")+COUNTIF('11月'!AH21:AI21,"六本木ー夜勤")+COUNTIF('11月'!AM21:AN21,"六本木ー夜勤")+COUNTIF('11月'!AR21:AS21,"六本木ー夜勤")+COUNTIF('11月'!AW21:AX21,"六本木ー夜勤")+COUNTIF('11月'!BB21:BC21,"六本木ー夜勤")+COUNTIF('11月'!BG21:BH21,"六本木ー夜勤")+COUNTIF('11月'!BL21:BM21,"六本木ー夜勤")+COUNTIF('11月'!BQ21:BR21,"六本木ー夜勤")+COUNTIF('11月'!BV21:BW21,"六本木ー夜勤")+COUNTIF('11月'!CA21:CB21,"六本木ー夜勤")+COUNTIF('11月'!CF21:CG21,"六本木ー夜勤")+COUNTIF('11月'!CK21:CL21,"六本木ー夜勤")+COUNTIF('11月'!CP21:CQ21,"六本木ー夜勤")+COUNTIF('11月'!CU21:CV21,"六本木ー夜勤")+COUNTIF('11月'!CZ21:DA21,"六本木ー夜勤")+COUNTIF('11月'!DE21:DF21,"六本木ー夜勤")+COUNTIF('11月'!DJ21:DK21,"六本木ー夜勤")+COUNTIF('11月'!DO21:DP21,"六本木ー夜勤")+COUNTIF('11月'!DT21:DU21,"六本木ー夜勤")+COUNTIF('11月'!DY21:DZ21,"六本木ー夜勤")+COUNTIF('11月'!ED21:EE21,"六本木ー夜勤")+COUNTIF('11月'!EI21:EJ21,"六本木ー夜勤")+COUNTIF('11月'!EN21:EO21,"六本木ー夜勤")+COUNTIF('11月'!ES21:ET21,"六本木ー夜勤")</f>
        <v>0</v>
      </c>
      <c r="K393" s="76">
        <f t="shared" si="124"/>
        <v>0</v>
      </c>
      <c r="L393" s="76">
        <f>COUNTIF('11月'!D21:E21,L$374)+COUNTIF('11月'!I21:J21,L$374)+COUNTIF('11月'!N21:O21,L$374)+COUNTIF('11月'!S21:T21,L$374)+COUNTIF('11月'!X21:Y21,L$374)+COUNTIF('11月'!AC21:AD21,L$374)+COUNTIF('11月'!AH21:AI21,L$374)+COUNTIF('11月'!AM21:AN21,L$374)+COUNTIF('11月'!AR21:AS21,L$374)+COUNTIF('11月'!AW21:AX21,L$374)+COUNTIF('11月'!BB21:BC21,L$374)+COUNTIF('11月'!BG21:BH21,L$374)+COUNTIF('11月'!BL21:BM21,L$374)+COUNTIF('11月'!BQ21:BR21,L$374)+COUNTIF('11月'!BV21:BW21,L$374)+COUNTIF('11月'!CA21:CB21,L$374)+COUNTIF('11月'!CF21:CG21,L$374)+COUNTIF('11月'!CK21:CL21,L$374)+COUNTIF('11月'!CP21:CQ21,L$374)+COUNTIF('11月'!CU21:CV21,L$374)+COUNTIF('11月'!CZ21:DA21,L$374)+COUNTIF('11月'!DE21:DF21,L$374)+COUNTIF('11月'!DJ21:DK21,L$374)+COUNTIF('11月'!DO21:DP21,L$374)+COUNTIF('11月'!DT21:DU21,L$374)+COUNTIF('11月'!DY21:DZ21,L$374)+COUNTIF('11月'!ED21:EE21,L$374)+COUNTIF('11月'!EI21:EJ21,L$374)+COUNTIF('11月'!EN21:EO21,L$374)+COUNTIF('11月'!ES21:ET21,L$374)</f>
        <v>0</v>
      </c>
      <c r="M393" s="76">
        <f t="shared" si="125"/>
        <v>0</v>
      </c>
      <c r="N393" s="76">
        <f>COUNTIF('11月'!D21:E21,N$374)+COUNTIF('11月'!I21:J21,N$374)+COUNTIF('11月'!N21:O21,N$374)+COUNTIF('11月'!S21:T21,N$374)+COUNTIF('11月'!X21:Y21,N$374)+COUNTIF('11月'!AC21:AD21,N$374)+COUNTIF('11月'!AH21:AI21,N$374)+COUNTIF('11月'!AM21:AN21,N$374)+COUNTIF('11月'!AR21:AS21,N$374)+COUNTIF('11月'!AW21:AX21,N$374)+COUNTIF('11月'!BB21:BC21,N$374)+COUNTIF('11月'!BG21:BH21,N$374)+COUNTIF('11月'!BL21:BM21,N$374)+COUNTIF('11月'!BQ21:BR21,N$374)+COUNTIF('11月'!BV21:BW21,N$374)+COUNTIF('11月'!CA21:CB21,N$374)+COUNTIF('11月'!CF21:CG21,N$374)+COUNTIF('11月'!CK21:CL21,N$374)+COUNTIF('11月'!CP21:CQ21,N$374)+COUNTIF('11月'!CU21:CV21,N$374)+COUNTIF('11月'!CZ21:DA21,N$374)+COUNTIF('11月'!DE21:DF21,N$374)+COUNTIF('11月'!DJ21:DK21,N$374)+COUNTIF('11月'!DO21:DP21,N$374)+COUNTIF('11月'!DT21:DU21,N$374)+COUNTIF('11月'!DY21:DZ21,N$374)+COUNTIF('11月'!ED21:EE21,N$374)+COUNTIF('11月'!EI21:EJ21,N$374)+COUNTIF('11月'!EN21:EO21,N$374)+COUNTIF('11月'!ES21:ET21,N$374)+COUNTIF('11月'!D21:E21,"三軒茶屋－夜勤")+COUNTIF('11月'!I21:J21,"三軒茶屋－夜勤")+COUNTIF('11月'!N21:O21,"三軒茶屋－夜勤")+COUNTIF('11月'!S21:T21,"三軒茶屋－夜勤")+COUNTIF('11月'!X21:Y21,"三軒茶屋－夜勤")+COUNTIF('11月'!AC21:AD21,"三軒茶屋－夜勤")+COUNTIF('11月'!AH21:AI21,"三軒茶屋－夜勤")+COUNTIF('11月'!AM21:AN21,"三軒茶屋－夜勤")+COUNTIF('11月'!AR21:AS21,"三軒茶屋－夜勤")+COUNTIF('11月'!AW21:AX21,"三軒茶屋－夜勤")+COUNTIF('11月'!BB21:BC21,"三軒茶屋－夜勤")+COUNTIF('11月'!BG21:BH21,"三軒茶屋－夜勤")+COUNTIF('11月'!BL21:BM21,"三軒茶屋－夜勤")+COUNTIF('11月'!BQ21:BR21,"三軒茶屋－夜勤")+COUNTIF('11月'!BV21:BW21,"三軒茶屋－夜勤")+COUNTIF('11月'!CA21:CB21,"三軒茶屋－夜勤")+COUNTIF('11月'!CF21:CG21,"三軒茶屋－夜勤")+COUNTIF('11月'!CK21:CL21,"三軒茶屋－夜勤")+COUNTIF('11月'!CP21:CQ21,"三軒茶屋－夜勤")+COUNTIF('11月'!CU21:CV21,"三軒茶屋－夜勤")+COUNTIF('11月'!CZ21:DA21,"三軒茶屋－夜勤")+COUNTIF('11月'!DE21:DF21,"三軒茶屋－夜勤")+COUNTIF('11月'!DJ21:DK21,"三軒茶屋－夜勤")+COUNTIF('11月'!DO21:DP21,"三軒茶屋－夜勤")+COUNTIF('11月'!DT21:DU21,"三軒茶屋－夜勤")+COUNTIF('11月'!DY21:DZ21,"三軒茶屋－夜勤")+COUNTIF('11月'!ED21:EE21,"三軒茶屋－夜勤")+COUNTIF('11月'!EI21:EJ21,"三軒茶屋－夜勤")+COUNTIF('11月'!EN21:EO21,"三軒茶屋－夜勤")+COUNTIF('11月'!ES21:ET21,"三軒茶屋－夜勤")</f>
        <v>0</v>
      </c>
      <c r="O393" s="76">
        <f t="shared" si="126"/>
        <v>0</v>
      </c>
      <c r="P393" s="76">
        <f>COUNTIF('11月'!D21:E21,P$374)+COUNTIF('11月'!I21:J21,P$374)+COUNTIF('11月'!N21:O21,P$374)+COUNTIF('11月'!S21:T21,P$374)+COUNTIF('11月'!X21:Y21,P$374)+COUNTIF('11月'!AC21:AD21,P$374)+COUNTIF('11月'!AH21:AI21,P$374)+COUNTIF('11月'!AM21:AN21,P$374)+COUNTIF('11月'!AR21:AS21,P$374)+COUNTIF('11月'!AW21:AX21,P$374)+COUNTIF('11月'!BB21:BC21,P$374)+COUNTIF('11月'!BG21:BH21,P$374)+COUNTIF('11月'!BL21:BM21,P$374)+COUNTIF('11月'!BQ21:BR21,P$374)+COUNTIF('11月'!BV21:BW21,P$374)+COUNTIF('11月'!CA21:CB21,P$374)+COUNTIF('11月'!CF21:CG21,P$374)+COUNTIF('11月'!CK21:CL21,P$374)+COUNTIF('11月'!CP21:CQ21,P$374)+COUNTIF('11月'!CU21:CV21,P$374)+COUNTIF('11月'!CZ21:DA21,P$374)+COUNTIF('11月'!DE21:DF21,P$374)+COUNTIF('11月'!DJ21:DK21,P$374)+COUNTIF('11月'!DO21:DP21,P$374)+COUNTIF('11月'!DT21:DU21,P$374)+COUNTIF('11月'!DY21:DZ21,P$374)+COUNTIF('11月'!ED21:EE21,P$374)+COUNTIF('11月'!EI21:EJ21,P$374)+COUNTIF('11月'!EN21:EO21,P$374)+COUNTIF('11月'!ES21:ET21,P$374)+COUNTIF('11月'!D21:E21,"荻窪ー夜勤")+COUNTIF('11月'!I21:J21,"荻窪ー夜勤")+COUNTIF('11月'!N21:O21,"荻窪ー夜勤")+COUNTIF('11月'!S21:T21,"荻窪ー夜勤")+COUNTIF('11月'!X21:Y21,"荻窪ー夜勤")+COUNTIF('11月'!AC21:AD21,"荻窪ー夜勤")+COUNTIF('11月'!AH21:AI21,"荻窪ー夜勤")+COUNTIF('11月'!AM21:AN21,"荻窪ー夜勤")+COUNTIF('11月'!AR21:AS21,"荻窪ー夜勤")+COUNTIF('11月'!AW21:AX21,"荻窪ー夜勤")+COUNTIF('11月'!BB21:BC21,"荻窪ー夜勤")+COUNTIF('11月'!BG21:BH21,"荻窪ー夜勤")+COUNTIF('11月'!BL21:BM21,"荻窪ー夜勤")+COUNTIF('11月'!BQ21:BR21,"荻窪ー夜勤")+COUNTIF('11月'!BV21:BW21,"荻窪ー夜勤")+COUNTIF('11月'!CA21:CB21,"荻窪ー夜勤")+COUNTIF('11月'!CF21:CG21,"荻窪ー夜勤")+COUNTIF('11月'!CK21:CL21,"荻窪ー夜勤")+COUNTIF('11月'!CP21:CQ21,"荻窪ー夜勤")+COUNTIF('11月'!CU21:CV21,"荻窪ー夜勤")+COUNTIF('11月'!CZ21:DA21,"荻窪ー夜勤")+COUNTIF('11月'!DE21:DF21,"荻窪ー夜勤")+COUNTIF('11月'!DJ21:DK21,"荻窪ー夜勤")+COUNTIF('11月'!DO21:DP21,"荻窪ー夜勤")+COUNTIF('11月'!DT21:DU21,"荻窪ー夜勤")+COUNTIF('11月'!DY21:DZ21,"荻窪ー夜勤")+COUNTIF('11月'!ED21:EE21,"荻窪ー夜勤")+COUNTIF('11月'!EI21:EJ21,"荻窪ー夜勤")+COUNTIF('11月'!EN21:EO21,"荻窪ー夜勤")+COUNTIF('11月'!ES21:ET21,"荻窪ー夜勤")</f>
        <v>0</v>
      </c>
      <c r="Q393" s="76">
        <f t="shared" si="127"/>
        <v>0</v>
      </c>
      <c r="R393" s="76">
        <f>COUNTIF('11月'!D21:E21,R$374)+COUNTIF('11月'!I21:J21,R$374)+COUNTIF('11月'!N21:O21,R$374)+COUNTIF('11月'!S21:T21,R$374)+COUNTIF('11月'!X21:Y21,R$374)+COUNTIF('11月'!AC21:AD21,R$374)+COUNTIF('11月'!AH21:AI21,R$374)+COUNTIF('11月'!AM21:AN21,R$374)+COUNTIF('11月'!AR21:AS21,R$374)+COUNTIF('11月'!AW21:AX21,R$374)+COUNTIF('11月'!BB21:BC21,R$374)+COUNTIF('11月'!BG21:BH21,R$374)+COUNTIF('11月'!BL21:BM21,R$374)+COUNTIF('11月'!BQ21:BR21,R$374)+COUNTIF('11月'!BV21:BW21,R$374)+COUNTIF('11月'!CA21:CB21,R$374)+COUNTIF('11月'!CF21:CG21,R$374)+COUNTIF('11月'!CK21:CL21,R$374)+COUNTIF('11月'!CP21:CQ21,R$374)+COUNTIF('11月'!CU21:CV21,R$374)+COUNTIF('11月'!CZ21:DA21,R$374)+COUNTIF('11月'!DE21:DF21,R$374)+COUNTIF('11月'!DJ21:DK21,R$374)+COUNTIF('11月'!DO21:DP21,R$374)+COUNTIF('11月'!DT21:DU21,R$374)+COUNTIF('11月'!DY21:DZ21,R$374)+COUNTIF('11月'!ED21:EE21,R$374)+COUNTIF('11月'!EI21:EJ21,R$374)+COUNTIF('11月'!EN21:EO21,R$374)+COUNTIF('11月'!ES21:ET21,R$374)</f>
        <v>0</v>
      </c>
      <c r="S393" s="76">
        <f t="shared" si="128"/>
        <v>0</v>
      </c>
      <c r="T393" s="76">
        <f>COUNTIF('11月'!D21:E21,T$374)+COUNTIF('11月'!I21:J21,T$374)+COUNTIF('11月'!N21:O21,T$374)+COUNTIF('11月'!S21:T21,T$374)+COUNTIF('11月'!X21:Y21,T$374)+COUNTIF('11月'!AC21:AD21,T$374)+COUNTIF('11月'!AH21:AI21,T$374)+COUNTIF('11月'!AM21:AN21,T$374)+COUNTIF('11月'!AR21:AS21,T$374)+COUNTIF('11月'!AW21:AX21,T$374)+COUNTIF('11月'!BB21:BC21,T$374)+COUNTIF('11月'!BG21:BH21,T$374)+COUNTIF('11月'!BL21:BM21,T$374)+COUNTIF('11月'!BQ21:BR21,T$374)+COUNTIF('11月'!BV21:BW21,T$374)+COUNTIF('11月'!CA21:CB21,T$374)+COUNTIF('11月'!CF21:CG21,T$374)+COUNTIF('11月'!CK21:CL21,T$374)+COUNTIF('11月'!CP21:CQ21,T$374)+COUNTIF('11月'!CU21:CV21,T$374)+COUNTIF('11月'!CZ21:DA21,T$374)+COUNTIF('11月'!DE21:DF21,T$374)+COUNTIF('11月'!DJ21:DK21,T$374)+COUNTIF('11月'!DO21:DP21,T$374)+COUNTIF('11月'!DT21:DU21,T$374)+COUNTIF('11月'!DY21:DZ21,T$374)+COUNTIF('11月'!ED21:EE21,T$374)+COUNTIF('11月'!EI21:EJ21,T$374)+COUNTIF('11月'!EN21:EO21,T$374)+COUNTIF('11月'!ES21:ET21,T$374)</f>
        <v>0</v>
      </c>
      <c r="U393" s="76">
        <f t="shared" si="129"/>
        <v>0</v>
      </c>
      <c r="V393" s="76">
        <f>COUNTIF('11月'!D21:E21,V$374)+COUNTIF('11月'!I21:J21,V$374)+COUNTIF('11月'!N21:O21,V$374)+COUNTIF('11月'!S21:T21,V$374)+COUNTIF('11月'!X21:Y21,V$374)+COUNTIF('11月'!AC21:AD21,V$374)+COUNTIF('11月'!AH21:AI21,V$374)+COUNTIF('11月'!AM21:AN21,V$374)+COUNTIF('11月'!AR21:AS21,V$374)+COUNTIF('11月'!AW21:AX21,V$374)+COUNTIF('11月'!BB21:BC21,V$374)+COUNTIF('11月'!BG21:BH21,V$374)+COUNTIF('11月'!BL21:BM21,V$374)+COUNTIF('11月'!BQ21:BR21,V$374)+COUNTIF('11月'!BV21:BW21,V$374)+COUNTIF('11月'!CA21:CB21,V$374)+COUNTIF('11月'!CF21:CG21,V$374)+COUNTIF('11月'!CK21:CL21,V$374)+COUNTIF('11月'!CP21:CQ21,V$374)+COUNTIF('11月'!CU21:CV21,V$374)+COUNTIF('11月'!CZ21:DA21,V$374)+COUNTIF('11月'!DE21:DF21,V$374)+COUNTIF('11月'!DJ21:DK21,V$374)+COUNTIF('11月'!DO21:DP21,V$374)+COUNTIF('11月'!DT21:DU21,V$374)+COUNTIF('11月'!DY21:DZ21,V$374)+COUNTIF('11月'!ED21:EE21,V$374)+COUNTIF('11月'!EI21:EJ21,V$374)+COUNTIF('11月'!EN21:EO21,V$374)+COUNTIF('11月'!ES21:ET21,V$374)</f>
        <v>0</v>
      </c>
      <c r="W393" s="76">
        <f t="shared" si="130"/>
        <v>0</v>
      </c>
      <c r="X393" s="76">
        <f>COUNTIF('11月'!D21:E21,X$374)+COUNTIF('11月'!I21:J21,X$374)+COUNTIF('11月'!N21:O21,X$374)+COUNTIF('11月'!S21:T21,X$374)+COUNTIF('11月'!X21:Y21,X$374)+COUNTIF('11月'!AC21:AD21,X$374)+COUNTIF('11月'!AH21:AI21,X$374)+COUNTIF('11月'!AM21:AN21,X$374)+COUNTIF('11月'!AR21:AS21,X$374)+COUNTIF('11月'!AW21:AX21,X$374)+COUNTIF('11月'!BB21:BC21,X$374)+COUNTIF('11月'!BG21:BH21,X$374)+COUNTIF('11月'!BL21:BM21,X$374)+COUNTIF('11月'!BQ21:BR21,X$374)+COUNTIF('11月'!BV21:BW21,X$374)+COUNTIF('11月'!CA21:CB21,X$374)+COUNTIF('11月'!CF21:CG21,X$374)+COUNTIF('11月'!CK21:CL21,X$374)+COUNTIF('11月'!CP21:CQ21,X$374)+COUNTIF('11月'!CU21:CV21,X$374)+COUNTIF('11月'!CZ21:DA21,X$374)+COUNTIF('11月'!DE21:DF21,X$374)+COUNTIF('11月'!DJ21:DK21,X$374)+COUNTIF('11月'!DO21:DP21,X$374)+COUNTIF('11月'!DT21:DU21,X$374)+COUNTIF('11月'!DY21:DZ21,X$374)+COUNTIF('11月'!ED21:EE21,X$374)+COUNTIF('11月'!EI21:EJ21,X$374)+COUNTIF('11月'!EN21:EO21,X$374)+COUNTIF('11月'!ES21:ET21,X$374)</f>
        <v>0</v>
      </c>
      <c r="Y393" s="76">
        <f t="shared" si="131"/>
        <v>0</v>
      </c>
    </row>
    <row r="394" spans="1:25" ht="18" customHeight="1">
      <c r="A394" s="76">
        <v>19</v>
      </c>
      <c r="B394" s="76">
        <f>COUNTIF('11月'!D22:E22,B$374)+COUNTIF('11月'!I22:J22,B$374)+COUNTIF('11月'!N22:O22,B$374)+COUNTIF('11月'!S22:T22,B$374)+COUNTIF('11月'!X22:Y22,B$374)+COUNTIF('11月'!AC22:AD22,B$374)+COUNTIF('11月'!AH22:AI22,B$374)+COUNTIF('11月'!AM22:AN22,B$374)+COUNTIF('11月'!AR22:AS22,B$374)+COUNTIF('11月'!AW22:AX22,B$374)+COUNTIF('11月'!BB22:BC22,B$374)+COUNTIF('11月'!BG22:BH22,B$374)+COUNTIF('11月'!BL22:BM22,B$374)+COUNTIF('11月'!BQ22:BR22,B$374)+COUNTIF('11月'!BV22:BW22,B$374)+COUNTIF('11月'!CA22:CB22,B$374)+COUNTIF('11月'!CF22:CG22,B$374)+COUNTIF('11月'!CK22:CL22,B$374)+COUNTIF('11月'!CP22:CQ22,B$374)+COUNTIF('11月'!CU22:CV22,B$374)+COUNTIF('11月'!CZ22:DA22,B$374)+COUNTIF('11月'!DE22:DF22,B$374)+COUNTIF('11月'!DJ22:DK22,B$374)+COUNTIF('11月'!DO22:DP22,B$374)+COUNTIF('11月'!DT22:DU22,B$374)+COUNTIF('11月'!DY22:DZ22,B$374)+COUNTIF('11月'!ED22:EE22,B$374)+COUNTIF('11月'!EI22:EJ22,B$374)+COUNTIF('11月'!EN22:EO22,B$374)+COUNTIF('11月'!ES22:ET22,B$374)</f>
        <v>0</v>
      </c>
      <c r="C394" s="76">
        <f t="shared" si="120"/>
        <v>0</v>
      </c>
      <c r="D394" s="76">
        <f>COUNTIF('11月'!D22:E22,D$374)+COUNTIF('11月'!I22:J22,D$374)+COUNTIF('11月'!N22:O22,D$374)+COUNTIF('11月'!S22:T22,D$374)+COUNTIF('11月'!X22:Y22,D$374)+COUNTIF('11月'!AC22:AD22,D$374)+COUNTIF('11月'!AH22:AI22,D$374)+COUNTIF('11月'!AM22:AN22,D$374)+COUNTIF('11月'!AR22:AS22,D$374)+COUNTIF('11月'!AW22:AX22,D$374)+COUNTIF('11月'!BB22:BC22,D$374)+COUNTIF('11月'!BG22:BH22,D$374)+COUNTIF('11月'!BL22:BM22,D$374)+COUNTIF('11月'!BQ22:BR22,D$374)+COUNTIF('11月'!BV22:BW22,D$374)+COUNTIF('11月'!CA22:CB22,D$374)+COUNTIF('11月'!CF22:CG22,D$374)+COUNTIF('11月'!CK22:CL22,D$374)+COUNTIF('11月'!CP22:CQ22,D$374)+COUNTIF('11月'!CU22:CV22,D$374)+COUNTIF('11月'!CZ22:DA22,D$374)+COUNTIF('11月'!DE22:DF22,D$374)+COUNTIF('11月'!DJ22:DK22,D$374)+COUNTIF('11月'!DO22:DP22,D$374)+COUNTIF('11月'!DT22:DU22,D$374)+COUNTIF('11月'!DY22:DZ22,D$374)+COUNTIF('11月'!ED22:EE22,D$374)+COUNTIF('11月'!EI22:EJ22,D$374)+COUNTIF('11月'!EN22:EO22,D$374)+COUNTIF('11月'!ES22:ET22,D$374)</f>
        <v>0</v>
      </c>
      <c r="E394" s="76">
        <f t="shared" si="121"/>
        <v>0</v>
      </c>
      <c r="F394" s="76">
        <f>COUNTIF('11月'!D22:E22,F$374)+COUNTIF('11月'!I22:J22,F$374)+COUNTIF('11月'!N22:O22,F$374)+COUNTIF('11月'!S22:T22,F$374)+COUNTIF('11月'!X22:Y22,F$374)+COUNTIF('11月'!AC22:AD22,F$374)+COUNTIF('11月'!AH22:AI22,F$374)+COUNTIF('11月'!AM22:AN22,F$374)+COUNTIF('11月'!AR22:AS22,F$374)+COUNTIF('11月'!AW22:AX22,F$374)+COUNTIF('11月'!BB22:BC22,F$374)+COUNTIF('11月'!BG22:BH22,F$374)+COUNTIF('11月'!BL22:BM22,F$374)+COUNTIF('11月'!BQ22:BR22,F$374)+COUNTIF('11月'!BV22:BW22,F$374)+COUNTIF('11月'!CA22:CB22,F$374)+COUNTIF('11月'!CF22:CG22,F$374)+COUNTIF('11月'!CK22:CL22,F$374)+COUNTIF('11月'!CP22:CQ22,F$374)+COUNTIF('11月'!CU22:CV22,F$374)+COUNTIF('11月'!CZ22:DA22,F$374)+COUNTIF('11月'!DE22:DF22,F$374)+COUNTIF('11月'!DJ22:DK22,F$374)+COUNTIF('11月'!DO22:DP22,F$374)+COUNTIF('11月'!DT22:DU22,F$374)+COUNTIF('11月'!DY22:DZ22,F$374)+COUNTIF('11月'!ED22:EE22,F$374)+COUNTIF('11月'!EI22:EJ22,F$374)+COUNTIF('11月'!EN22:EO22,F$374)+COUNTIF('11月'!ES22:ET22,F$374)</f>
        <v>0</v>
      </c>
      <c r="G394" s="76">
        <f t="shared" si="122"/>
        <v>0</v>
      </c>
      <c r="H394" s="76">
        <f>COUNTIF('11月'!D22:E22,H$374)+COUNTIF('11月'!I22:J22,H$374)+COUNTIF('11月'!N22:O22,H$374)+COUNTIF('11月'!S22:T22,H$374)+COUNTIF('11月'!X22:Y22,H$374)+COUNTIF('11月'!AC22:AD22,H$374)+COUNTIF('11月'!AH22:AI22,H$374)+COUNTIF('11月'!AM22:AN22,H$374)+COUNTIF('11月'!AR22:AS22,H$374)+COUNTIF('11月'!AW22:AX22,H$374)+COUNTIF('11月'!BB22:BC22,H$374)+COUNTIF('11月'!BG22:BH22,H$374)+COUNTIF('11月'!BL22:BM22,H$374)+COUNTIF('11月'!BQ22:BR22,H$374)+COUNTIF('11月'!BV22:BW22,H$374)+COUNTIF('11月'!CA22:CB22,H$374)+COUNTIF('11月'!CF22:CG22,H$374)+COUNTIF('11月'!CK22:CL22,H$374)+COUNTIF('11月'!CP22:CQ22,H$374)+COUNTIF('11月'!CU22:CV22,H$374)+COUNTIF('11月'!CZ22:DA22,H$374)+COUNTIF('11月'!DE22:DF22,H$374)+COUNTIF('11月'!DJ22:DK22,H$374)+COUNTIF('11月'!DO22:DP22,H$374)+COUNTIF('11月'!DT22:DU22,H$374)+COUNTIF('11月'!DY22:DZ22,H$374)+COUNTIF('11月'!ED22:EE22,H$374)+COUNTIF('11月'!EI22:EJ22,H$374)+COUNTIF('11月'!EN22:EO22,H$374)+COUNTIF('11月'!ES22:ET22,H$374)+COUNTIF('11月'!D22:E22,"渋谷-夜勤")+COUNTIF('11月'!I22:J22,"渋谷-夜勤")+COUNTIF('11月'!N22:O22,"渋谷-夜勤")+COUNTIF('11月'!S22:T22,"渋谷-夜勤")+COUNTIF('11月'!X22:Y22,"渋谷-夜勤")+COUNTIF('11月'!AC22:AD22,"渋谷-夜勤")+COUNTIF('11月'!AH22:AI22,"渋谷-夜勤")+COUNTIF('11月'!AM22:AN22,"渋谷-夜勤")+COUNTIF('11月'!AR22:AS22,"渋谷-夜勤")+COUNTIF('11月'!AW22:AX22,"渋谷-夜勤")+COUNTIF('11月'!BB22:BC22,"渋谷-夜勤")+COUNTIF('11月'!BG22:BH22,"渋谷-夜勤")+COUNTIF('11月'!BL22:BM22,"渋谷-夜勤")+COUNTIF('11月'!BQ22:BR22,"渋谷-夜勤")+COUNTIF('11月'!BV22:BW22,"渋谷-夜勤")+COUNTIF('11月'!CA22:CB22,"渋谷-夜勤")+COUNTIF('11月'!CF22:CG22,"渋谷-夜勤")+COUNTIF('11月'!CK22:CL22,"渋谷-夜勤")+COUNTIF('11月'!CP22:CQ22,"渋谷-夜勤")+COUNTIF('11月'!CU22:CV22,"渋谷-夜勤")+COUNTIF('11月'!CZ22:DA22,"渋谷-夜勤")+COUNTIF('11月'!DE22:DF22,"渋谷-夜勤")+COUNTIF('11月'!DJ22:DK22,"渋谷-夜勤")+COUNTIF('11月'!DO22:DP22,"渋谷-夜勤")+COUNTIF('11月'!DT22:DU22,"渋谷-夜勤")+COUNTIF('11月'!DY22:DZ22,"渋谷-夜勤")+COUNTIF('11月'!ED22:EE22,"渋谷-夜勤")+COUNTIF('11月'!EI22:EJ22,"渋谷-夜勤")+COUNTIF('11月'!EN22:EO22,"渋谷-夜勤")+COUNTIF('11月'!ES22:ET22,"渋谷-夜勤")</f>
        <v>0</v>
      </c>
      <c r="I394" s="76">
        <f t="shared" si="123"/>
        <v>0</v>
      </c>
      <c r="J394" s="76">
        <f>COUNTIF('11月'!D22:E22,J$374)+COUNTIF('11月'!I22:J22,J$374)+COUNTIF('11月'!N22:O22,J$374)+COUNTIF('11月'!S22:T22,J$374)+COUNTIF('11月'!X22:Y22,J$374)+COUNTIF('11月'!AC22:AD22,J$374)+COUNTIF('11月'!AH22:AI22,J$374)+COUNTIF('11月'!AM22:AN22,J$374)+COUNTIF('11月'!AR22:AS22,J$374)+COUNTIF('11月'!AW22:AX22,J$374)+COUNTIF('11月'!BB22:BC22,J$374)+COUNTIF('11月'!BG22:BH22,J$374)+COUNTIF('11月'!BL22:BM22,J$374)+COUNTIF('11月'!BQ22:BR22,J$374)+COUNTIF('11月'!BV22:BW22,J$374)+COUNTIF('11月'!CA22:CB22,J$374)+COUNTIF('11月'!CF22:CG22,J$374)+COUNTIF('11月'!CK22:CL22,J$374)+COUNTIF('11月'!CP22:CQ22,J$374)+COUNTIF('11月'!CU22:CV22,J$374)+COUNTIF('11月'!CZ22:DA22,J$374)+COUNTIF('11月'!DE22:DF22,J$374)+COUNTIF('11月'!DJ22:DK22,J$374)+COUNTIF('11月'!DO22:DP22,J$374)+COUNTIF('11月'!DT22:DU22,J$374)+COUNTIF('11月'!DY22:DZ22,J$374)+COUNTIF('11月'!ED22:EE22,J$374)+COUNTIF('11月'!EI22:EJ22,J$374)+COUNTIF('11月'!EN22:EO22,J$374)+COUNTIF('11月'!ES22:ET22,J$374)+COUNTIF('11月'!D22:E22,"六本木-夜勤")+COUNTIF('11月'!I22:J22,"六本木-夜勤")+COUNTIF('11月'!N22:O22,"六本木-夜勤")+COUNTIF('11月'!S22:T22,"六本木-夜勤")+COUNTIF('11月'!X22:Y22,"六本木-夜勤")+COUNTIF('11月'!AC22:AD22,"六本木-夜勤")+COUNTIF('11月'!AH22:AI22,"六本木-夜勤")+COUNTIF('11月'!AM22:AN22,"六本木-夜勤")+COUNTIF('11月'!AR22:AS22,"六本木-夜勤")+COUNTIF('11月'!AW22:AX22,"六本木-夜勤")+COUNTIF('11月'!BB22:BC22,"六本木-夜勤")+COUNTIF('11月'!BG22:BH22,"六本木-夜勤")+COUNTIF('11月'!BL22:BM22,"六本木-夜勤")+COUNTIF('11月'!BQ22:BR22,"六本木-夜勤")+COUNTIF('11月'!BV22:BW22,"六本木-夜勤")+COUNTIF('11月'!CA22:CB22,"六本木-夜勤")+COUNTIF('11月'!CF22:CG22,"六本木-夜勤")+COUNTIF('11月'!CK22:CL22,"六本木-夜勤")+COUNTIF('11月'!CP22:CQ22,"六本木-夜勤")+COUNTIF('11月'!CU22:CV22,"六本木-夜勤")+COUNTIF('11月'!CZ22:DA22,"六本木-夜勤")+COUNTIF('11月'!DE22:DF22,"六本木-夜勤")+COUNTIF('11月'!DJ22:DK22,"六本木-夜勤")+COUNTIF('11月'!DO22:DP22,"六本木-夜勤")+COUNTIF('11月'!DT22:DU22,"六本木-夜勤")+COUNTIF('11月'!DY22:DZ22,"六本木-夜勤")+COUNTIF('11月'!ED22:EE22,"六本木-夜勤")+COUNTIF('11月'!EI22:EJ22,"六本木-夜勤")+COUNTIF('11月'!EN22:EO22,"六本木-夜勤")+COUNTIF('11月'!ES22:ET22,"六本木-夜勤")+COUNTIF('11月'!D22:E22,"六本木ー夜勤")+COUNTIF('11月'!I22:J22,"六本木ー夜勤")+COUNTIF('11月'!N22:O22,"六本木ー夜勤")+COUNTIF('11月'!S22:T22,"六本木ー夜勤")+COUNTIF('11月'!X22:Y22,"六本木ー夜勤")+COUNTIF('11月'!AC22:AD22,"六本木ー夜勤")+COUNTIF('11月'!AH22:AI22,"六本木ー夜勤")+COUNTIF('11月'!AM22:AN22,"六本木ー夜勤")+COUNTIF('11月'!AR22:AS22,"六本木ー夜勤")+COUNTIF('11月'!AW22:AX22,"六本木ー夜勤")+COUNTIF('11月'!BB22:BC22,"六本木ー夜勤")+COUNTIF('11月'!BG22:BH22,"六本木ー夜勤")+COUNTIF('11月'!BL22:BM22,"六本木ー夜勤")+COUNTIF('11月'!BQ22:BR22,"六本木ー夜勤")+COUNTIF('11月'!BV22:BW22,"六本木ー夜勤")+COUNTIF('11月'!CA22:CB22,"六本木ー夜勤")+COUNTIF('11月'!CF22:CG22,"六本木ー夜勤")+COUNTIF('11月'!CK22:CL22,"六本木ー夜勤")+COUNTIF('11月'!CP22:CQ22,"六本木ー夜勤")+COUNTIF('11月'!CU22:CV22,"六本木ー夜勤")+COUNTIF('11月'!CZ22:DA22,"六本木ー夜勤")+COUNTIF('11月'!DE22:DF22,"六本木ー夜勤")+COUNTIF('11月'!DJ22:DK22,"六本木ー夜勤")+COUNTIF('11月'!DO22:DP22,"六本木ー夜勤")+COUNTIF('11月'!DT22:DU22,"六本木ー夜勤")+COUNTIF('11月'!DY22:DZ22,"六本木ー夜勤")+COUNTIF('11月'!ED22:EE22,"六本木ー夜勤")+COUNTIF('11月'!EI22:EJ22,"六本木ー夜勤")+COUNTIF('11月'!EN22:EO22,"六本木ー夜勤")+COUNTIF('11月'!ES22:ET22,"六本木ー夜勤")</f>
        <v>0</v>
      </c>
      <c r="K394" s="76">
        <f t="shared" si="124"/>
        <v>0</v>
      </c>
      <c r="L394" s="76">
        <f>COUNTIF('11月'!D22:E22,L$374)+COUNTIF('11月'!I22:J22,L$374)+COUNTIF('11月'!N22:O22,L$374)+COUNTIF('11月'!S22:T22,L$374)+COUNTIF('11月'!X22:Y22,L$374)+COUNTIF('11月'!AC22:AD22,L$374)+COUNTIF('11月'!AH22:AI22,L$374)+COUNTIF('11月'!AM22:AN22,L$374)+COUNTIF('11月'!AR22:AS22,L$374)+COUNTIF('11月'!AW22:AX22,L$374)+COUNTIF('11月'!BB22:BC22,L$374)+COUNTIF('11月'!BG22:BH22,L$374)+COUNTIF('11月'!BL22:BM22,L$374)+COUNTIF('11月'!BQ22:BR22,L$374)+COUNTIF('11月'!BV22:BW22,L$374)+COUNTIF('11月'!CA22:CB22,L$374)+COUNTIF('11月'!CF22:CG22,L$374)+COUNTIF('11月'!CK22:CL22,L$374)+COUNTIF('11月'!CP22:CQ22,L$374)+COUNTIF('11月'!CU22:CV22,L$374)+COUNTIF('11月'!CZ22:DA22,L$374)+COUNTIF('11月'!DE22:DF22,L$374)+COUNTIF('11月'!DJ22:DK22,L$374)+COUNTIF('11月'!DO22:DP22,L$374)+COUNTIF('11月'!DT22:DU22,L$374)+COUNTIF('11月'!DY22:DZ22,L$374)+COUNTIF('11月'!ED22:EE22,L$374)+COUNTIF('11月'!EI22:EJ22,L$374)+COUNTIF('11月'!EN22:EO22,L$374)+COUNTIF('11月'!ES22:ET22,L$374)</f>
        <v>0</v>
      </c>
      <c r="M394" s="76">
        <f t="shared" si="125"/>
        <v>0</v>
      </c>
      <c r="N394" s="76">
        <f>COUNTIF('11月'!D22:E22,N$374)+COUNTIF('11月'!I22:J22,N$374)+COUNTIF('11月'!N22:O22,N$374)+COUNTIF('11月'!S22:T22,N$374)+COUNTIF('11月'!X22:Y22,N$374)+COUNTIF('11月'!AC22:AD22,N$374)+COUNTIF('11月'!AH22:AI22,N$374)+COUNTIF('11月'!AM22:AN22,N$374)+COUNTIF('11月'!AR22:AS22,N$374)+COUNTIF('11月'!AW22:AX22,N$374)+COUNTIF('11月'!BB22:BC22,N$374)+COUNTIF('11月'!BG22:BH22,N$374)+COUNTIF('11月'!BL22:BM22,N$374)+COUNTIF('11月'!BQ22:BR22,N$374)+COUNTIF('11月'!BV22:BW22,N$374)+COUNTIF('11月'!CA22:CB22,N$374)+COUNTIF('11月'!CF22:CG22,N$374)+COUNTIF('11月'!CK22:CL22,N$374)+COUNTIF('11月'!CP22:CQ22,N$374)+COUNTIF('11月'!CU22:CV22,N$374)+COUNTIF('11月'!CZ22:DA22,N$374)+COUNTIF('11月'!DE22:DF22,N$374)+COUNTIF('11月'!DJ22:DK22,N$374)+COUNTIF('11月'!DO22:DP22,N$374)+COUNTIF('11月'!DT22:DU22,N$374)+COUNTIF('11月'!DY22:DZ22,N$374)+COUNTIF('11月'!ED22:EE22,N$374)+COUNTIF('11月'!EI22:EJ22,N$374)+COUNTIF('11月'!EN22:EO22,N$374)+COUNTIF('11月'!ES22:ET22,N$374)+COUNTIF('11月'!D22:E22,"三軒茶屋－夜勤")+COUNTIF('11月'!I22:J22,"三軒茶屋－夜勤")+COUNTIF('11月'!N22:O22,"三軒茶屋－夜勤")+COUNTIF('11月'!S22:T22,"三軒茶屋－夜勤")+COUNTIF('11月'!X22:Y22,"三軒茶屋－夜勤")+COUNTIF('11月'!AC22:AD22,"三軒茶屋－夜勤")+COUNTIF('11月'!AH22:AI22,"三軒茶屋－夜勤")+COUNTIF('11月'!AM22:AN22,"三軒茶屋－夜勤")+COUNTIF('11月'!AR22:AS22,"三軒茶屋－夜勤")+COUNTIF('11月'!AW22:AX22,"三軒茶屋－夜勤")+COUNTIF('11月'!BB22:BC22,"三軒茶屋－夜勤")+COUNTIF('11月'!BG22:BH22,"三軒茶屋－夜勤")+COUNTIF('11月'!BL22:BM22,"三軒茶屋－夜勤")+COUNTIF('11月'!BQ22:BR22,"三軒茶屋－夜勤")+COUNTIF('11月'!BV22:BW22,"三軒茶屋－夜勤")+COUNTIF('11月'!CA22:CB22,"三軒茶屋－夜勤")+COUNTIF('11月'!CF22:CG22,"三軒茶屋－夜勤")+COUNTIF('11月'!CK22:CL22,"三軒茶屋－夜勤")+COUNTIF('11月'!CP22:CQ22,"三軒茶屋－夜勤")+COUNTIF('11月'!CU22:CV22,"三軒茶屋－夜勤")+COUNTIF('11月'!CZ22:DA22,"三軒茶屋－夜勤")+COUNTIF('11月'!DE22:DF22,"三軒茶屋－夜勤")+COUNTIF('11月'!DJ22:DK22,"三軒茶屋－夜勤")+COUNTIF('11月'!DO22:DP22,"三軒茶屋－夜勤")+COUNTIF('11月'!DT22:DU22,"三軒茶屋－夜勤")+COUNTIF('11月'!DY22:DZ22,"三軒茶屋－夜勤")+COUNTIF('11月'!ED22:EE22,"三軒茶屋－夜勤")+COUNTIF('11月'!EI22:EJ22,"三軒茶屋－夜勤")+COUNTIF('11月'!EN22:EO22,"三軒茶屋－夜勤")+COUNTIF('11月'!ES22:ET22,"三軒茶屋－夜勤")</f>
        <v>0</v>
      </c>
      <c r="O394" s="76">
        <f t="shared" si="126"/>
        <v>0</v>
      </c>
      <c r="P394" s="76">
        <f>COUNTIF('11月'!D22:E22,P$374)+COUNTIF('11月'!I22:J22,P$374)+COUNTIF('11月'!N22:O22,P$374)+COUNTIF('11月'!S22:T22,P$374)+COUNTIF('11月'!X22:Y22,P$374)+COUNTIF('11月'!AC22:AD22,P$374)+COUNTIF('11月'!AH22:AI22,P$374)+COUNTIF('11月'!AM22:AN22,P$374)+COUNTIF('11月'!AR22:AS22,P$374)+COUNTIF('11月'!AW22:AX22,P$374)+COUNTIF('11月'!BB22:BC22,P$374)+COUNTIF('11月'!BG22:BH22,P$374)+COUNTIF('11月'!BL22:BM22,P$374)+COUNTIF('11月'!BQ22:BR22,P$374)+COUNTIF('11月'!BV22:BW22,P$374)+COUNTIF('11月'!CA22:CB22,P$374)+COUNTIF('11月'!CF22:CG22,P$374)+COUNTIF('11月'!CK22:CL22,P$374)+COUNTIF('11月'!CP22:CQ22,P$374)+COUNTIF('11月'!CU22:CV22,P$374)+COUNTIF('11月'!CZ22:DA22,P$374)+COUNTIF('11月'!DE22:DF22,P$374)+COUNTIF('11月'!DJ22:DK22,P$374)+COUNTIF('11月'!DO22:DP22,P$374)+COUNTIF('11月'!DT22:DU22,P$374)+COUNTIF('11月'!DY22:DZ22,P$374)+COUNTIF('11月'!ED22:EE22,P$374)+COUNTIF('11月'!EI22:EJ22,P$374)+COUNTIF('11月'!EN22:EO22,P$374)+COUNTIF('11月'!ES22:ET22,P$374)+COUNTIF('11月'!D22:E22,"荻窪ー夜勤")+COUNTIF('11月'!I22:J22,"荻窪ー夜勤")+COUNTIF('11月'!N22:O22,"荻窪ー夜勤")+COUNTIF('11月'!S22:T22,"荻窪ー夜勤")+COUNTIF('11月'!X22:Y22,"荻窪ー夜勤")+COUNTIF('11月'!AC22:AD22,"荻窪ー夜勤")+COUNTIF('11月'!AH22:AI22,"荻窪ー夜勤")+COUNTIF('11月'!AM22:AN22,"荻窪ー夜勤")+COUNTIF('11月'!AR22:AS22,"荻窪ー夜勤")+COUNTIF('11月'!AW22:AX22,"荻窪ー夜勤")+COUNTIF('11月'!BB22:BC22,"荻窪ー夜勤")+COUNTIF('11月'!BG22:BH22,"荻窪ー夜勤")+COUNTIF('11月'!BL22:BM22,"荻窪ー夜勤")+COUNTIF('11月'!BQ22:BR22,"荻窪ー夜勤")+COUNTIF('11月'!BV22:BW22,"荻窪ー夜勤")+COUNTIF('11月'!CA22:CB22,"荻窪ー夜勤")+COUNTIF('11月'!CF22:CG22,"荻窪ー夜勤")+COUNTIF('11月'!CK22:CL22,"荻窪ー夜勤")+COUNTIF('11月'!CP22:CQ22,"荻窪ー夜勤")+COUNTIF('11月'!CU22:CV22,"荻窪ー夜勤")+COUNTIF('11月'!CZ22:DA22,"荻窪ー夜勤")+COUNTIF('11月'!DE22:DF22,"荻窪ー夜勤")+COUNTIF('11月'!DJ22:DK22,"荻窪ー夜勤")+COUNTIF('11月'!DO22:DP22,"荻窪ー夜勤")+COUNTIF('11月'!DT22:DU22,"荻窪ー夜勤")+COUNTIF('11月'!DY22:DZ22,"荻窪ー夜勤")+COUNTIF('11月'!ED22:EE22,"荻窪ー夜勤")+COUNTIF('11月'!EI22:EJ22,"荻窪ー夜勤")+COUNTIF('11月'!EN22:EO22,"荻窪ー夜勤")+COUNTIF('11月'!ES22:ET22,"荻窪ー夜勤")</f>
        <v>0</v>
      </c>
      <c r="Q394" s="76">
        <f t="shared" si="127"/>
        <v>0</v>
      </c>
      <c r="R394" s="76">
        <f>COUNTIF('11月'!D22:E22,R$374)+COUNTIF('11月'!I22:J22,R$374)+COUNTIF('11月'!N22:O22,R$374)+COUNTIF('11月'!S22:T22,R$374)+COUNTIF('11月'!X22:Y22,R$374)+COUNTIF('11月'!AC22:AD22,R$374)+COUNTIF('11月'!AH22:AI22,R$374)+COUNTIF('11月'!AM22:AN22,R$374)+COUNTIF('11月'!AR22:AS22,R$374)+COUNTIF('11月'!AW22:AX22,R$374)+COUNTIF('11月'!BB22:BC22,R$374)+COUNTIF('11月'!BG22:BH22,R$374)+COUNTIF('11月'!BL22:BM22,R$374)+COUNTIF('11月'!BQ22:BR22,R$374)+COUNTIF('11月'!BV22:BW22,R$374)+COUNTIF('11月'!CA22:CB22,R$374)+COUNTIF('11月'!CF22:CG22,R$374)+COUNTIF('11月'!CK22:CL22,R$374)+COUNTIF('11月'!CP22:CQ22,R$374)+COUNTIF('11月'!CU22:CV22,R$374)+COUNTIF('11月'!CZ22:DA22,R$374)+COUNTIF('11月'!DE22:DF22,R$374)+COUNTIF('11月'!DJ22:DK22,R$374)+COUNTIF('11月'!DO22:DP22,R$374)+COUNTIF('11月'!DT22:DU22,R$374)+COUNTIF('11月'!DY22:DZ22,R$374)+COUNTIF('11月'!ED22:EE22,R$374)+COUNTIF('11月'!EI22:EJ22,R$374)+COUNTIF('11月'!EN22:EO22,R$374)+COUNTIF('11月'!ES22:ET22,R$374)</f>
        <v>0</v>
      </c>
      <c r="S394" s="76">
        <f t="shared" si="128"/>
        <v>0</v>
      </c>
      <c r="T394" s="76">
        <f>COUNTIF('11月'!D22:E22,T$374)+COUNTIF('11月'!I22:J22,T$374)+COUNTIF('11月'!N22:O22,T$374)+COUNTIF('11月'!S22:T22,T$374)+COUNTIF('11月'!X22:Y22,T$374)+COUNTIF('11月'!AC22:AD22,T$374)+COUNTIF('11月'!AH22:AI22,T$374)+COUNTIF('11月'!AM22:AN22,T$374)+COUNTIF('11月'!AR22:AS22,T$374)+COUNTIF('11月'!AW22:AX22,T$374)+COUNTIF('11月'!BB22:BC22,T$374)+COUNTIF('11月'!BG22:BH22,T$374)+COUNTIF('11月'!BL22:BM22,T$374)+COUNTIF('11月'!BQ22:BR22,T$374)+COUNTIF('11月'!BV22:BW22,T$374)+COUNTIF('11月'!CA22:CB22,T$374)+COUNTIF('11月'!CF22:CG22,T$374)+COUNTIF('11月'!CK22:CL22,T$374)+COUNTIF('11月'!CP22:CQ22,T$374)+COUNTIF('11月'!CU22:CV22,T$374)+COUNTIF('11月'!CZ22:DA22,T$374)+COUNTIF('11月'!DE22:DF22,T$374)+COUNTIF('11月'!DJ22:DK22,T$374)+COUNTIF('11月'!DO22:DP22,T$374)+COUNTIF('11月'!DT22:DU22,T$374)+COUNTIF('11月'!DY22:DZ22,T$374)+COUNTIF('11月'!ED22:EE22,T$374)+COUNTIF('11月'!EI22:EJ22,T$374)+COUNTIF('11月'!EN22:EO22,T$374)+COUNTIF('11月'!ES22:ET22,T$374)</f>
        <v>0</v>
      </c>
      <c r="U394" s="76">
        <f t="shared" si="129"/>
        <v>0</v>
      </c>
      <c r="V394" s="76">
        <f>COUNTIF('11月'!D22:E22,V$374)+COUNTIF('11月'!I22:J22,V$374)+COUNTIF('11月'!N22:O22,V$374)+COUNTIF('11月'!S22:T22,V$374)+COUNTIF('11月'!X22:Y22,V$374)+COUNTIF('11月'!AC22:AD22,V$374)+COUNTIF('11月'!AH22:AI22,V$374)+COUNTIF('11月'!AM22:AN22,V$374)+COUNTIF('11月'!AR22:AS22,V$374)+COUNTIF('11月'!AW22:AX22,V$374)+COUNTIF('11月'!BB22:BC22,V$374)+COUNTIF('11月'!BG22:BH22,V$374)+COUNTIF('11月'!BL22:BM22,V$374)+COUNTIF('11月'!BQ22:BR22,V$374)+COUNTIF('11月'!BV22:BW22,V$374)+COUNTIF('11月'!CA22:CB22,V$374)+COUNTIF('11月'!CF22:CG22,V$374)+COUNTIF('11月'!CK22:CL22,V$374)+COUNTIF('11月'!CP22:CQ22,V$374)+COUNTIF('11月'!CU22:CV22,V$374)+COUNTIF('11月'!CZ22:DA22,V$374)+COUNTIF('11月'!DE22:DF22,V$374)+COUNTIF('11月'!DJ22:DK22,V$374)+COUNTIF('11月'!DO22:DP22,V$374)+COUNTIF('11月'!DT22:DU22,V$374)+COUNTIF('11月'!DY22:DZ22,V$374)+COUNTIF('11月'!ED22:EE22,V$374)+COUNTIF('11月'!EI22:EJ22,V$374)+COUNTIF('11月'!EN22:EO22,V$374)+COUNTIF('11月'!ES22:ET22,V$374)</f>
        <v>0</v>
      </c>
      <c r="W394" s="76">
        <f t="shared" si="130"/>
        <v>0</v>
      </c>
      <c r="X394" s="76">
        <f>COUNTIF('11月'!D22:E22,X$374)+COUNTIF('11月'!I22:J22,X$374)+COUNTIF('11月'!N22:O22,X$374)+COUNTIF('11月'!S22:T22,X$374)+COUNTIF('11月'!X22:Y22,X$374)+COUNTIF('11月'!AC22:AD22,X$374)+COUNTIF('11月'!AH22:AI22,X$374)+COUNTIF('11月'!AM22:AN22,X$374)+COUNTIF('11月'!AR22:AS22,X$374)+COUNTIF('11月'!AW22:AX22,X$374)+COUNTIF('11月'!BB22:BC22,X$374)+COUNTIF('11月'!BG22:BH22,X$374)+COUNTIF('11月'!BL22:BM22,X$374)+COUNTIF('11月'!BQ22:BR22,X$374)+COUNTIF('11月'!BV22:BW22,X$374)+COUNTIF('11月'!CA22:CB22,X$374)+COUNTIF('11月'!CF22:CG22,X$374)+COUNTIF('11月'!CK22:CL22,X$374)+COUNTIF('11月'!CP22:CQ22,X$374)+COUNTIF('11月'!CU22:CV22,X$374)+COUNTIF('11月'!CZ22:DA22,X$374)+COUNTIF('11月'!DE22:DF22,X$374)+COUNTIF('11月'!DJ22:DK22,X$374)+COUNTIF('11月'!DO22:DP22,X$374)+COUNTIF('11月'!DT22:DU22,X$374)+COUNTIF('11月'!DY22:DZ22,X$374)+COUNTIF('11月'!ED22:EE22,X$374)+COUNTIF('11月'!EI22:EJ22,X$374)+COUNTIF('11月'!EN22:EO22,X$374)+COUNTIF('11月'!ES22:ET22,X$374)</f>
        <v>0</v>
      </c>
      <c r="Y394" s="76">
        <f t="shared" si="131"/>
        <v>0</v>
      </c>
    </row>
    <row r="395" spans="1:25" ht="18" customHeight="1">
      <c r="A395" s="76">
        <v>20</v>
      </c>
      <c r="B395" s="76">
        <f>COUNTIF('11月'!D23:E23,B$374)+COUNTIF('11月'!I23:J23,B$374)+COUNTIF('11月'!N23:O23,B$374)+COUNTIF('11月'!S23:T23,B$374)+COUNTIF('11月'!X23:Y23,B$374)+COUNTIF('11月'!AC23:AD23,B$374)+COUNTIF('11月'!AH23:AI23,B$374)+COUNTIF('11月'!AM23:AN23,B$374)+COUNTIF('11月'!AR23:AS23,B$374)+COUNTIF('11月'!AW23:AX23,B$374)+COUNTIF('11月'!BB23:BC23,B$374)+COUNTIF('11月'!BG23:BH23,B$374)+COUNTIF('11月'!BL23:BM23,B$374)+COUNTIF('11月'!BQ23:BR23,B$374)+COUNTIF('11月'!BV23:BW23,B$374)+COUNTIF('11月'!CA23:CB23,B$374)+COUNTIF('11月'!CF23:CG23,B$374)+COUNTIF('11月'!CK23:CL23,B$374)+COUNTIF('11月'!CP23:CQ23,B$374)+COUNTIF('11月'!CU23:CV23,B$374)+COUNTIF('11月'!CZ23:DA23,B$374)+COUNTIF('11月'!DE23:DF23,B$374)+COUNTIF('11月'!DJ23:DK23,B$374)+COUNTIF('11月'!DO23:DP23,B$374)+COUNTIF('11月'!DT23:DU23,B$374)+COUNTIF('11月'!DY23:DZ23,B$374)+COUNTIF('11月'!ED23:EE23,B$374)+COUNTIF('11月'!EI23:EJ23,B$374)+COUNTIF('11月'!EN23:EO23,B$374)+COUNTIF('11月'!ES23:ET23,B$374)</f>
        <v>0</v>
      </c>
      <c r="C395" s="76">
        <f t="shared" si="120"/>
        <v>0</v>
      </c>
      <c r="D395" s="76">
        <f>COUNTIF('11月'!D23:E23,D$374)+COUNTIF('11月'!I23:J23,D$374)+COUNTIF('11月'!N23:O23,D$374)+COUNTIF('11月'!S23:T23,D$374)+COUNTIF('11月'!X23:Y23,D$374)+COUNTIF('11月'!AC23:AD23,D$374)+COUNTIF('11月'!AH23:AI23,D$374)+COUNTIF('11月'!AM23:AN23,D$374)+COUNTIF('11月'!AR23:AS23,D$374)+COUNTIF('11月'!AW23:AX23,D$374)+COUNTIF('11月'!BB23:BC23,D$374)+COUNTIF('11月'!BG23:BH23,D$374)+COUNTIF('11月'!BL23:BM23,D$374)+COUNTIF('11月'!BQ23:BR23,D$374)+COUNTIF('11月'!BV23:BW23,D$374)+COUNTIF('11月'!CA23:CB23,D$374)+COUNTIF('11月'!CF23:CG23,D$374)+COUNTIF('11月'!CK23:CL23,D$374)+COUNTIF('11月'!CP23:CQ23,D$374)+COUNTIF('11月'!CU23:CV23,D$374)+COUNTIF('11月'!CZ23:DA23,D$374)+COUNTIF('11月'!DE23:DF23,D$374)+COUNTIF('11月'!DJ23:DK23,D$374)+COUNTIF('11月'!DO23:DP23,D$374)+COUNTIF('11月'!DT23:DU23,D$374)+COUNTIF('11月'!DY23:DZ23,D$374)+COUNTIF('11月'!ED23:EE23,D$374)+COUNTIF('11月'!EI23:EJ23,D$374)+COUNTIF('11月'!EN23:EO23,D$374)+COUNTIF('11月'!ES23:ET23,D$374)</f>
        <v>0</v>
      </c>
      <c r="E395" s="76">
        <f t="shared" si="121"/>
        <v>0</v>
      </c>
      <c r="F395" s="76">
        <f>COUNTIF('11月'!D23:E23,F$374)+COUNTIF('11月'!I23:J23,F$374)+COUNTIF('11月'!N23:O23,F$374)+COUNTIF('11月'!S23:T23,F$374)+COUNTIF('11月'!X23:Y23,F$374)+COUNTIF('11月'!AC23:AD23,F$374)+COUNTIF('11月'!AH23:AI23,F$374)+COUNTIF('11月'!AM23:AN23,F$374)+COUNTIF('11月'!AR23:AS23,F$374)+COUNTIF('11月'!AW23:AX23,F$374)+COUNTIF('11月'!BB23:BC23,F$374)+COUNTIF('11月'!BG23:BH23,F$374)+COUNTIF('11月'!BL23:BM23,F$374)+COUNTIF('11月'!BQ23:BR23,F$374)+COUNTIF('11月'!BV23:BW23,F$374)+COUNTIF('11月'!CA23:CB23,F$374)+COUNTIF('11月'!CF23:CG23,F$374)+COUNTIF('11月'!CK23:CL23,F$374)+COUNTIF('11月'!CP23:CQ23,F$374)+COUNTIF('11月'!CU23:CV23,F$374)+COUNTIF('11月'!CZ23:DA23,F$374)+COUNTIF('11月'!DE23:DF23,F$374)+COUNTIF('11月'!DJ23:DK23,F$374)+COUNTIF('11月'!DO23:DP23,F$374)+COUNTIF('11月'!DT23:DU23,F$374)+COUNTIF('11月'!DY23:DZ23,F$374)+COUNTIF('11月'!ED23:EE23,F$374)+COUNTIF('11月'!EI23:EJ23,F$374)+COUNTIF('11月'!EN23:EO23,F$374)+COUNTIF('11月'!ES23:ET23,F$374)</f>
        <v>0</v>
      </c>
      <c r="G395" s="76">
        <f t="shared" si="122"/>
        <v>0</v>
      </c>
      <c r="H395" s="76">
        <f>COUNTIF('11月'!D23:E23,H$374)+COUNTIF('11月'!I23:J23,H$374)+COUNTIF('11月'!N23:O23,H$374)+COUNTIF('11月'!S23:T23,H$374)+COUNTIF('11月'!X23:Y23,H$374)+COUNTIF('11月'!AC23:AD23,H$374)+COUNTIF('11月'!AH23:AI23,H$374)+COUNTIF('11月'!AM23:AN23,H$374)+COUNTIF('11月'!AR23:AS23,H$374)+COUNTIF('11月'!AW23:AX23,H$374)+COUNTIF('11月'!BB23:BC23,H$374)+COUNTIF('11月'!BG23:BH23,H$374)+COUNTIF('11月'!BL23:BM23,H$374)+COUNTIF('11月'!BQ23:BR23,H$374)+COUNTIF('11月'!BV23:BW23,H$374)+COUNTIF('11月'!CA23:CB23,H$374)+COUNTIF('11月'!CF23:CG23,H$374)+COUNTIF('11月'!CK23:CL23,H$374)+COUNTIF('11月'!CP23:CQ23,H$374)+COUNTIF('11月'!CU23:CV23,H$374)+COUNTIF('11月'!CZ23:DA23,H$374)+COUNTIF('11月'!DE23:DF23,H$374)+COUNTIF('11月'!DJ23:DK23,H$374)+COUNTIF('11月'!DO23:DP23,H$374)+COUNTIF('11月'!DT23:DU23,H$374)+COUNTIF('11月'!DY23:DZ23,H$374)+COUNTIF('11月'!ED23:EE23,H$374)+COUNTIF('11月'!EI23:EJ23,H$374)+COUNTIF('11月'!EN23:EO23,H$374)+COUNTIF('11月'!ES23:ET23,H$374)+COUNTIF('11月'!D23:E23,"渋谷-夜勤")+COUNTIF('11月'!I23:J23,"渋谷-夜勤")+COUNTIF('11月'!N23:O23,"渋谷-夜勤")+COUNTIF('11月'!S23:T23,"渋谷-夜勤")+COUNTIF('11月'!X23:Y23,"渋谷-夜勤")+COUNTIF('11月'!AC23:AD23,"渋谷-夜勤")+COUNTIF('11月'!AH23:AI23,"渋谷-夜勤")+COUNTIF('11月'!AM23:AN23,"渋谷-夜勤")+COUNTIF('11月'!AR23:AS23,"渋谷-夜勤")+COUNTIF('11月'!AW23:AX23,"渋谷-夜勤")+COUNTIF('11月'!BB23:BC23,"渋谷-夜勤")+COUNTIF('11月'!BG23:BH23,"渋谷-夜勤")+COUNTIF('11月'!BL23:BM23,"渋谷-夜勤")+COUNTIF('11月'!BQ23:BR23,"渋谷-夜勤")+COUNTIF('11月'!BV23:BW23,"渋谷-夜勤")+COUNTIF('11月'!CA23:CB23,"渋谷-夜勤")+COUNTIF('11月'!CF23:CG23,"渋谷-夜勤")+COUNTIF('11月'!CK23:CL23,"渋谷-夜勤")+COUNTIF('11月'!CP23:CQ23,"渋谷-夜勤")+COUNTIF('11月'!CU23:CV23,"渋谷-夜勤")+COUNTIF('11月'!CZ23:DA23,"渋谷-夜勤")+COUNTIF('11月'!DE23:DF23,"渋谷-夜勤")+COUNTIF('11月'!DJ23:DK23,"渋谷-夜勤")+COUNTIF('11月'!DO23:DP23,"渋谷-夜勤")+COUNTIF('11月'!DT23:DU23,"渋谷-夜勤")+COUNTIF('11月'!DY23:DZ23,"渋谷-夜勤")+COUNTIF('11月'!ED23:EE23,"渋谷-夜勤")+COUNTIF('11月'!EI23:EJ23,"渋谷-夜勤")+COUNTIF('11月'!EN23:EO23,"渋谷-夜勤")+COUNTIF('11月'!ES23:ET23,"渋谷-夜勤")</f>
        <v>0</v>
      </c>
      <c r="I395" s="76">
        <f t="shared" si="123"/>
        <v>0</v>
      </c>
      <c r="J395" s="76">
        <f>COUNTIF('11月'!D23:E23,J$374)+COUNTIF('11月'!I23:J23,J$374)+COUNTIF('11月'!N23:O23,J$374)+COUNTIF('11月'!S23:T23,J$374)+COUNTIF('11月'!X23:Y23,J$374)+COUNTIF('11月'!AC23:AD23,J$374)+COUNTIF('11月'!AH23:AI23,J$374)+COUNTIF('11月'!AM23:AN23,J$374)+COUNTIF('11月'!AR23:AS23,J$374)+COUNTIF('11月'!AW23:AX23,J$374)+COUNTIF('11月'!BB23:BC23,J$374)+COUNTIF('11月'!BG23:BH23,J$374)+COUNTIF('11月'!BL23:BM23,J$374)+COUNTIF('11月'!BQ23:BR23,J$374)+COUNTIF('11月'!BV23:BW23,J$374)+COUNTIF('11月'!CA23:CB23,J$374)+COUNTIF('11月'!CF23:CG23,J$374)+COUNTIF('11月'!CK23:CL23,J$374)+COUNTIF('11月'!CP23:CQ23,J$374)+COUNTIF('11月'!CU23:CV23,J$374)+COUNTIF('11月'!CZ23:DA23,J$374)+COUNTIF('11月'!DE23:DF23,J$374)+COUNTIF('11月'!DJ23:DK23,J$374)+COUNTIF('11月'!DO23:DP23,J$374)+COUNTIF('11月'!DT23:DU23,J$374)+COUNTIF('11月'!DY23:DZ23,J$374)+COUNTIF('11月'!ED23:EE23,J$374)+COUNTIF('11月'!EI23:EJ23,J$374)+COUNTIF('11月'!EN23:EO23,J$374)+COUNTIF('11月'!ES23:ET23,J$374)+COUNTIF('11月'!D23:E23,"六本木-夜勤")+COUNTIF('11月'!I23:J23,"六本木-夜勤")+COUNTIF('11月'!N23:O23,"六本木-夜勤")+COUNTIF('11月'!S23:T23,"六本木-夜勤")+COUNTIF('11月'!X23:Y23,"六本木-夜勤")+COUNTIF('11月'!AC23:AD23,"六本木-夜勤")+COUNTIF('11月'!AH23:AI23,"六本木-夜勤")+COUNTIF('11月'!AM23:AN23,"六本木-夜勤")+COUNTIF('11月'!AR23:AS23,"六本木-夜勤")+COUNTIF('11月'!AW23:AX23,"六本木-夜勤")+COUNTIF('11月'!BB23:BC23,"六本木-夜勤")+COUNTIF('11月'!BG23:BH23,"六本木-夜勤")+COUNTIF('11月'!BL23:BM23,"六本木-夜勤")+COUNTIF('11月'!BQ23:BR23,"六本木-夜勤")+COUNTIF('11月'!BV23:BW23,"六本木-夜勤")+COUNTIF('11月'!CA23:CB23,"六本木-夜勤")+COUNTIF('11月'!CF23:CG23,"六本木-夜勤")+COUNTIF('11月'!CK23:CL23,"六本木-夜勤")+COUNTIF('11月'!CP23:CQ23,"六本木-夜勤")+COUNTIF('11月'!CU23:CV23,"六本木-夜勤")+COUNTIF('11月'!CZ23:DA23,"六本木-夜勤")+COUNTIF('11月'!DE23:DF23,"六本木-夜勤")+COUNTIF('11月'!DJ23:DK23,"六本木-夜勤")+COUNTIF('11月'!DO23:DP23,"六本木-夜勤")+COUNTIF('11月'!DT23:DU23,"六本木-夜勤")+COUNTIF('11月'!DY23:DZ23,"六本木-夜勤")+COUNTIF('11月'!ED23:EE23,"六本木-夜勤")+COUNTIF('11月'!EI23:EJ23,"六本木-夜勤")+COUNTIF('11月'!EN23:EO23,"六本木-夜勤")+COUNTIF('11月'!ES23:ET23,"六本木-夜勤")+COUNTIF('11月'!D23:E23,"六本木ー夜勤")+COUNTIF('11月'!I23:J23,"六本木ー夜勤")+COUNTIF('11月'!N23:O23,"六本木ー夜勤")+COUNTIF('11月'!S23:T23,"六本木ー夜勤")+COUNTIF('11月'!X23:Y23,"六本木ー夜勤")+COUNTIF('11月'!AC23:AD23,"六本木ー夜勤")+COUNTIF('11月'!AH23:AI23,"六本木ー夜勤")+COUNTIF('11月'!AM23:AN23,"六本木ー夜勤")+COUNTIF('11月'!AR23:AS23,"六本木ー夜勤")+COUNTIF('11月'!AW23:AX23,"六本木ー夜勤")+COUNTIF('11月'!BB23:BC23,"六本木ー夜勤")+COUNTIF('11月'!BG23:BH23,"六本木ー夜勤")+COUNTIF('11月'!BL23:BM23,"六本木ー夜勤")+COUNTIF('11月'!BQ23:BR23,"六本木ー夜勤")+COUNTIF('11月'!BV23:BW23,"六本木ー夜勤")+COUNTIF('11月'!CA23:CB23,"六本木ー夜勤")+COUNTIF('11月'!CF23:CG23,"六本木ー夜勤")+COUNTIF('11月'!CK23:CL23,"六本木ー夜勤")+COUNTIF('11月'!CP23:CQ23,"六本木ー夜勤")+COUNTIF('11月'!CU23:CV23,"六本木ー夜勤")+COUNTIF('11月'!CZ23:DA23,"六本木ー夜勤")+COUNTIF('11月'!DE23:DF23,"六本木ー夜勤")+COUNTIF('11月'!DJ23:DK23,"六本木ー夜勤")+COUNTIF('11月'!DO23:DP23,"六本木ー夜勤")+COUNTIF('11月'!DT23:DU23,"六本木ー夜勤")+COUNTIF('11月'!DY23:DZ23,"六本木ー夜勤")+COUNTIF('11月'!ED23:EE23,"六本木ー夜勤")+COUNTIF('11月'!EI23:EJ23,"六本木ー夜勤")+COUNTIF('11月'!EN23:EO23,"六本木ー夜勤")+COUNTIF('11月'!ES23:ET23,"六本木ー夜勤")</f>
        <v>0</v>
      </c>
      <c r="K395" s="76">
        <f t="shared" si="124"/>
        <v>0</v>
      </c>
      <c r="L395" s="76">
        <f>COUNTIF('11月'!D23:E23,L$374)+COUNTIF('11月'!I23:J23,L$374)+COUNTIF('11月'!N23:O23,L$374)+COUNTIF('11月'!S23:T23,L$374)+COUNTIF('11月'!X23:Y23,L$374)+COUNTIF('11月'!AC23:AD23,L$374)+COUNTIF('11月'!AH23:AI23,L$374)+COUNTIF('11月'!AM23:AN23,L$374)+COUNTIF('11月'!AR23:AS23,L$374)+COUNTIF('11月'!AW23:AX23,L$374)+COUNTIF('11月'!BB23:BC23,L$374)+COUNTIF('11月'!BG23:BH23,L$374)+COUNTIF('11月'!BL23:BM23,L$374)+COUNTIF('11月'!BQ23:BR23,L$374)+COUNTIF('11月'!BV23:BW23,L$374)+COUNTIF('11月'!CA23:CB23,L$374)+COUNTIF('11月'!CF23:CG23,L$374)+COUNTIF('11月'!CK23:CL23,L$374)+COUNTIF('11月'!CP23:CQ23,L$374)+COUNTIF('11月'!CU23:CV23,L$374)+COUNTIF('11月'!CZ23:DA23,L$374)+COUNTIF('11月'!DE23:DF23,L$374)+COUNTIF('11月'!DJ23:DK23,L$374)+COUNTIF('11月'!DO23:DP23,L$374)+COUNTIF('11月'!DT23:DU23,L$374)+COUNTIF('11月'!DY23:DZ23,L$374)+COUNTIF('11月'!ED23:EE23,L$374)+COUNTIF('11月'!EI23:EJ23,L$374)+COUNTIF('11月'!EN23:EO23,L$374)+COUNTIF('11月'!ES23:ET23,L$374)</f>
        <v>0</v>
      </c>
      <c r="M395" s="76">
        <f t="shared" si="125"/>
        <v>0</v>
      </c>
      <c r="N395" s="76">
        <f>COUNTIF('11月'!D23:E23,N$374)+COUNTIF('11月'!I23:J23,N$374)+COUNTIF('11月'!N23:O23,N$374)+COUNTIF('11月'!S23:T23,N$374)+COUNTIF('11月'!X23:Y23,N$374)+COUNTIF('11月'!AC23:AD23,N$374)+COUNTIF('11月'!AH23:AI23,N$374)+COUNTIF('11月'!AM23:AN23,N$374)+COUNTIF('11月'!AR23:AS23,N$374)+COUNTIF('11月'!AW23:AX23,N$374)+COUNTIF('11月'!BB23:BC23,N$374)+COUNTIF('11月'!BG23:BH23,N$374)+COUNTIF('11月'!BL23:BM23,N$374)+COUNTIF('11月'!BQ23:BR23,N$374)+COUNTIF('11月'!BV23:BW23,N$374)+COUNTIF('11月'!CA23:CB23,N$374)+COUNTIF('11月'!CF23:CG23,N$374)+COUNTIF('11月'!CK23:CL23,N$374)+COUNTIF('11月'!CP23:CQ23,N$374)+COUNTIF('11月'!CU23:CV23,N$374)+COUNTIF('11月'!CZ23:DA23,N$374)+COUNTIF('11月'!DE23:DF23,N$374)+COUNTIF('11月'!DJ23:DK23,N$374)+COUNTIF('11月'!DO23:DP23,N$374)+COUNTIF('11月'!DT23:DU23,N$374)+COUNTIF('11月'!DY23:DZ23,N$374)+COUNTIF('11月'!ED23:EE23,N$374)+COUNTIF('11月'!EI23:EJ23,N$374)+COUNTIF('11月'!EN23:EO23,N$374)+COUNTIF('11月'!ES23:ET23,N$374)+COUNTIF('11月'!D23:E23,"三軒茶屋－夜勤")+COUNTIF('11月'!I23:J23,"三軒茶屋－夜勤")+COUNTIF('11月'!N23:O23,"三軒茶屋－夜勤")+COUNTIF('11月'!S23:T23,"三軒茶屋－夜勤")+COUNTIF('11月'!X23:Y23,"三軒茶屋－夜勤")+COUNTIF('11月'!AC23:AD23,"三軒茶屋－夜勤")+COUNTIF('11月'!AH23:AI23,"三軒茶屋－夜勤")+COUNTIF('11月'!AM23:AN23,"三軒茶屋－夜勤")+COUNTIF('11月'!AR23:AS23,"三軒茶屋－夜勤")+COUNTIF('11月'!AW23:AX23,"三軒茶屋－夜勤")+COUNTIF('11月'!BB23:BC23,"三軒茶屋－夜勤")+COUNTIF('11月'!BG23:BH23,"三軒茶屋－夜勤")+COUNTIF('11月'!BL23:BM23,"三軒茶屋－夜勤")+COUNTIF('11月'!BQ23:BR23,"三軒茶屋－夜勤")+COUNTIF('11月'!BV23:BW23,"三軒茶屋－夜勤")+COUNTIF('11月'!CA23:CB23,"三軒茶屋－夜勤")+COUNTIF('11月'!CF23:CG23,"三軒茶屋－夜勤")+COUNTIF('11月'!CK23:CL23,"三軒茶屋－夜勤")+COUNTIF('11月'!CP23:CQ23,"三軒茶屋－夜勤")+COUNTIF('11月'!CU23:CV23,"三軒茶屋－夜勤")+COUNTIF('11月'!CZ23:DA23,"三軒茶屋－夜勤")+COUNTIF('11月'!DE23:DF23,"三軒茶屋－夜勤")+COUNTIF('11月'!DJ23:DK23,"三軒茶屋－夜勤")+COUNTIF('11月'!DO23:DP23,"三軒茶屋－夜勤")+COUNTIF('11月'!DT23:DU23,"三軒茶屋－夜勤")+COUNTIF('11月'!DY23:DZ23,"三軒茶屋－夜勤")+COUNTIF('11月'!ED23:EE23,"三軒茶屋－夜勤")+COUNTIF('11月'!EI23:EJ23,"三軒茶屋－夜勤")+COUNTIF('11月'!EN23:EO23,"三軒茶屋－夜勤")+COUNTIF('11月'!ES23:ET23,"三軒茶屋－夜勤")</f>
        <v>0</v>
      </c>
      <c r="O395" s="76">
        <f t="shared" si="126"/>
        <v>0</v>
      </c>
      <c r="P395" s="76">
        <f>COUNTIF('11月'!D23:E23,P$374)+COUNTIF('11月'!I23:J23,P$374)+COUNTIF('11月'!N23:O23,P$374)+COUNTIF('11月'!S23:T23,P$374)+COUNTIF('11月'!X23:Y23,P$374)+COUNTIF('11月'!AC23:AD23,P$374)+COUNTIF('11月'!AH23:AI23,P$374)+COUNTIF('11月'!AM23:AN23,P$374)+COUNTIF('11月'!AR23:AS23,P$374)+COUNTIF('11月'!AW23:AX23,P$374)+COUNTIF('11月'!BB23:BC23,P$374)+COUNTIF('11月'!BG23:BH23,P$374)+COUNTIF('11月'!BL23:BM23,P$374)+COUNTIF('11月'!BQ23:BR23,P$374)+COUNTIF('11月'!BV23:BW23,P$374)+COUNTIF('11月'!CA23:CB23,P$374)+COUNTIF('11月'!CF23:CG23,P$374)+COUNTIF('11月'!CK23:CL23,P$374)+COUNTIF('11月'!CP23:CQ23,P$374)+COUNTIF('11月'!CU23:CV23,P$374)+COUNTIF('11月'!CZ23:DA23,P$374)+COUNTIF('11月'!DE23:DF23,P$374)+COUNTIF('11月'!DJ23:DK23,P$374)+COUNTIF('11月'!DO23:DP23,P$374)+COUNTIF('11月'!DT23:DU23,P$374)+COUNTIF('11月'!DY23:DZ23,P$374)+COUNTIF('11月'!ED23:EE23,P$374)+COUNTIF('11月'!EI23:EJ23,P$374)+COUNTIF('11月'!EN23:EO23,P$374)+COUNTIF('11月'!ES23:ET23,P$374)+COUNTIF('11月'!D23:E23,"荻窪ー夜勤")+COUNTIF('11月'!I23:J23,"荻窪ー夜勤")+COUNTIF('11月'!N23:O23,"荻窪ー夜勤")+COUNTIF('11月'!S23:T23,"荻窪ー夜勤")+COUNTIF('11月'!X23:Y23,"荻窪ー夜勤")+COUNTIF('11月'!AC23:AD23,"荻窪ー夜勤")+COUNTIF('11月'!AH23:AI23,"荻窪ー夜勤")+COUNTIF('11月'!AM23:AN23,"荻窪ー夜勤")+COUNTIF('11月'!AR23:AS23,"荻窪ー夜勤")+COUNTIF('11月'!AW23:AX23,"荻窪ー夜勤")+COUNTIF('11月'!BB23:BC23,"荻窪ー夜勤")+COUNTIF('11月'!BG23:BH23,"荻窪ー夜勤")+COUNTIF('11月'!BL23:BM23,"荻窪ー夜勤")+COUNTIF('11月'!BQ23:BR23,"荻窪ー夜勤")+COUNTIF('11月'!BV23:BW23,"荻窪ー夜勤")+COUNTIF('11月'!CA23:CB23,"荻窪ー夜勤")+COUNTIF('11月'!CF23:CG23,"荻窪ー夜勤")+COUNTIF('11月'!CK23:CL23,"荻窪ー夜勤")+COUNTIF('11月'!CP23:CQ23,"荻窪ー夜勤")+COUNTIF('11月'!CU23:CV23,"荻窪ー夜勤")+COUNTIF('11月'!CZ23:DA23,"荻窪ー夜勤")+COUNTIF('11月'!DE23:DF23,"荻窪ー夜勤")+COUNTIF('11月'!DJ23:DK23,"荻窪ー夜勤")+COUNTIF('11月'!DO23:DP23,"荻窪ー夜勤")+COUNTIF('11月'!DT23:DU23,"荻窪ー夜勤")+COUNTIF('11月'!DY23:DZ23,"荻窪ー夜勤")+COUNTIF('11月'!ED23:EE23,"荻窪ー夜勤")+COUNTIF('11月'!EI23:EJ23,"荻窪ー夜勤")+COUNTIF('11月'!EN23:EO23,"荻窪ー夜勤")+COUNTIF('11月'!ES23:ET23,"荻窪ー夜勤")</f>
        <v>0</v>
      </c>
      <c r="Q395" s="76">
        <f t="shared" si="127"/>
        <v>0</v>
      </c>
      <c r="R395" s="76">
        <f>COUNTIF('11月'!D23:E23,R$374)+COUNTIF('11月'!I23:J23,R$374)+COUNTIF('11月'!N23:O23,R$374)+COUNTIF('11月'!S23:T23,R$374)+COUNTIF('11月'!X23:Y23,R$374)+COUNTIF('11月'!AC23:AD23,R$374)+COUNTIF('11月'!AH23:AI23,R$374)+COUNTIF('11月'!AM23:AN23,R$374)+COUNTIF('11月'!AR23:AS23,R$374)+COUNTIF('11月'!AW23:AX23,R$374)+COUNTIF('11月'!BB23:BC23,R$374)+COUNTIF('11月'!BG23:BH23,R$374)+COUNTIF('11月'!BL23:BM23,R$374)+COUNTIF('11月'!BQ23:BR23,R$374)+COUNTIF('11月'!BV23:BW23,R$374)+COUNTIF('11月'!CA23:CB23,R$374)+COUNTIF('11月'!CF23:CG23,R$374)+COUNTIF('11月'!CK23:CL23,R$374)+COUNTIF('11月'!CP23:CQ23,R$374)+COUNTIF('11月'!CU23:CV23,R$374)+COUNTIF('11月'!CZ23:DA23,R$374)+COUNTIF('11月'!DE23:DF23,R$374)+COUNTIF('11月'!DJ23:DK23,R$374)+COUNTIF('11月'!DO23:DP23,R$374)+COUNTIF('11月'!DT23:DU23,R$374)+COUNTIF('11月'!DY23:DZ23,R$374)+COUNTIF('11月'!ED23:EE23,R$374)+COUNTIF('11月'!EI23:EJ23,R$374)+COUNTIF('11月'!EN23:EO23,R$374)+COUNTIF('11月'!ES23:ET23,R$374)</f>
        <v>0</v>
      </c>
      <c r="S395" s="76">
        <f t="shared" si="128"/>
        <v>0</v>
      </c>
      <c r="T395" s="76">
        <f>COUNTIF('11月'!D23:E23,T$374)+COUNTIF('11月'!I23:J23,T$374)+COUNTIF('11月'!N23:O23,T$374)+COUNTIF('11月'!S23:T23,T$374)+COUNTIF('11月'!X23:Y23,T$374)+COUNTIF('11月'!AC23:AD23,T$374)+COUNTIF('11月'!AH23:AI23,T$374)+COUNTIF('11月'!AM23:AN23,T$374)+COUNTIF('11月'!AR23:AS23,T$374)+COUNTIF('11月'!AW23:AX23,T$374)+COUNTIF('11月'!BB23:BC23,T$374)+COUNTIF('11月'!BG23:BH23,T$374)+COUNTIF('11月'!BL23:BM23,T$374)+COUNTIF('11月'!BQ23:BR23,T$374)+COUNTIF('11月'!BV23:BW23,T$374)+COUNTIF('11月'!CA23:CB23,T$374)+COUNTIF('11月'!CF23:CG23,T$374)+COUNTIF('11月'!CK23:CL23,T$374)+COUNTIF('11月'!CP23:CQ23,T$374)+COUNTIF('11月'!CU23:CV23,T$374)+COUNTIF('11月'!CZ23:DA23,T$374)+COUNTIF('11月'!DE23:DF23,T$374)+COUNTIF('11月'!DJ23:DK23,T$374)+COUNTIF('11月'!DO23:DP23,T$374)+COUNTIF('11月'!DT23:DU23,T$374)+COUNTIF('11月'!DY23:DZ23,T$374)+COUNTIF('11月'!ED23:EE23,T$374)+COUNTIF('11月'!EI23:EJ23,T$374)+COUNTIF('11月'!EN23:EO23,T$374)+COUNTIF('11月'!ES23:ET23,T$374)</f>
        <v>0</v>
      </c>
      <c r="U395" s="76">
        <f t="shared" si="129"/>
        <v>0</v>
      </c>
      <c r="V395" s="76">
        <f>COUNTIF('11月'!D23:E23,V$374)+COUNTIF('11月'!I23:J23,V$374)+COUNTIF('11月'!N23:O23,V$374)+COUNTIF('11月'!S23:T23,V$374)+COUNTIF('11月'!X23:Y23,V$374)+COUNTIF('11月'!AC23:AD23,V$374)+COUNTIF('11月'!AH23:AI23,V$374)+COUNTIF('11月'!AM23:AN23,V$374)+COUNTIF('11月'!AR23:AS23,V$374)+COUNTIF('11月'!AW23:AX23,V$374)+COUNTIF('11月'!BB23:BC23,V$374)+COUNTIF('11月'!BG23:BH23,V$374)+COUNTIF('11月'!BL23:BM23,V$374)+COUNTIF('11月'!BQ23:BR23,V$374)+COUNTIF('11月'!BV23:BW23,V$374)+COUNTIF('11月'!CA23:CB23,V$374)+COUNTIF('11月'!CF23:CG23,V$374)+COUNTIF('11月'!CK23:CL23,V$374)+COUNTIF('11月'!CP23:CQ23,V$374)+COUNTIF('11月'!CU23:CV23,V$374)+COUNTIF('11月'!CZ23:DA23,V$374)+COUNTIF('11月'!DE23:DF23,V$374)+COUNTIF('11月'!DJ23:DK23,V$374)+COUNTIF('11月'!DO23:DP23,V$374)+COUNTIF('11月'!DT23:DU23,V$374)+COUNTIF('11月'!DY23:DZ23,V$374)+COUNTIF('11月'!ED23:EE23,V$374)+COUNTIF('11月'!EI23:EJ23,V$374)+COUNTIF('11月'!EN23:EO23,V$374)+COUNTIF('11月'!ES23:ET23,V$374)</f>
        <v>0</v>
      </c>
      <c r="W395" s="76">
        <f t="shared" si="130"/>
        <v>0</v>
      </c>
      <c r="X395" s="76">
        <f>COUNTIF('11月'!D23:E23,X$374)+COUNTIF('11月'!I23:J23,X$374)+COUNTIF('11月'!N23:O23,X$374)+COUNTIF('11月'!S23:T23,X$374)+COUNTIF('11月'!X23:Y23,X$374)+COUNTIF('11月'!AC23:AD23,X$374)+COUNTIF('11月'!AH23:AI23,X$374)+COUNTIF('11月'!AM23:AN23,X$374)+COUNTIF('11月'!AR23:AS23,X$374)+COUNTIF('11月'!AW23:AX23,X$374)+COUNTIF('11月'!BB23:BC23,X$374)+COUNTIF('11月'!BG23:BH23,X$374)+COUNTIF('11月'!BL23:BM23,X$374)+COUNTIF('11月'!BQ23:BR23,X$374)+COUNTIF('11月'!BV23:BW23,X$374)+COUNTIF('11月'!CA23:CB23,X$374)+COUNTIF('11月'!CF23:CG23,X$374)+COUNTIF('11月'!CK23:CL23,X$374)+COUNTIF('11月'!CP23:CQ23,X$374)+COUNTIF('11月'!CU23:CV23,X$374)+COUNTIF('11月'!CZ23:DA23,X$374)+COUNTIF('11月'!DE23:DF23,X$374)+COUNTIF('11月'!DJ23:DK23,X$374)+COUNTIF('11月'!DO23:DP23,X$374)+COUNTIF('11月'!DT23:DU23,X$374)+COUNTIF('11月'!DY23:DZ23,X$374)+COUNTIF('11月'!ED23:EE23,X$374)+COUNTIF('11月'!EI23:EJ23,X$374)+COUNTIF('11月'!EN23:EO23,X$374)+COUNTIF('11月'!ES23:ET23,X$374)</f>
        <v>0</v>
      </c>
      <c r="Y395" s="76">
        <f t="shared" si="131"/>
        <v>0</v>
      </c>
    </row>
    <row r="396" spans="1:25" ht="18" customHeight="1">
      <c r="A396" s="76">
        <v>21</v>
      </c>
      <c r="B396" s="76">
        <f>COUNTIF('11月'!D24:E24,B$374)+COUNTIF('11月'!I24:J24,B$374)+COUNTIF('11月'!N24:O24,B$374)+COUNTIF('11月'!S24:T24,B$374)+COUNTIF('11月'!X24:Y24,B$374)+COUNTIF('11月'!AC24:AD24,B$374)+COUNTIF('11月'!AH24:AI24,B$374)+COUNTIF('11月'!AM24:AN24,B$374)+COUNTIF('11月'!AR24:AS24,B$374)+COUNTIF('11月'!AW24:AX24,B$374)+COUNTIF('11月'!BB24:BC24,B$374)+COUNTIF('11月'!BG24:BH24,B$374)+COUNTIF('11月'!BL24:BM24,B$374)+COUNTIF('11月'!BQ24:BR24,B$374)+COUNTIF('11月'!BV24:BW24,B$374)+COUNTIF('11月'!CA24:CB24,B$374)+COUNTIF('11月'!CF24:CG24,B$374)+COUNTIF('11月'!CK24:CL24,B$374)+COUNTIF('11月'!CP24:CQ24,B$374)+COUNTIF('11月'!CU24:CV24,B$374)+COUNTIF('11月'!CZ24:DA24,B$374)+COUNTIF('11月'!DE24:DF24,B$374)+COUNTIF('11月'!DJ24:DK24,B$374)+COUNTIF('11月'!DO24:DP24,B$374)+COUNTIF('11月'!DT24:DU24,B$374)+COUNTIF('11月'!DY24:DZ24,B$374)+COUNTIF('11月'!ED24:EE24,B$374)+COUNTIF('11月'!EI24:EJ24,B$374)+COUNTIF('11月'!EN24:EO24,B$374)+COUNTIF('11月'!ES24:ET24,B$374)</f>
        <v>0</v>
      </c>
      <c r="C396" s="76">
        <f t="shared" si="120"/>
        <v>0</v>
      </c>
      <c r="D396" s="76">
        <f>COUNTIF('11月'!D24:E24,D$374)+COUNTIF('11月'!I24:J24,D$374)+COUNTIF('11月'!N24:O24,D$374)+COUNTIF('11月'!S24:T24,D$374)+COUNTIF('11月'!X24:Y24,D$374)+COUNTIF('11月'!AC24:AD24,D$374)+COUNTIF('11月'!AH24:AI24,D$374)+COUNTIF('11月'!AM24:AN24,D$374)+COUNTIF('11月'!AR24:AS24,D$374)+COUNTIF('11月'!AW24:AX24,D$374)+COUNTIF('11月'!BB24:BC24,D$374)+COUNTIF('11月'!BG24:BH24,D$374)+COUNTIF('11月'!BL24:BM24,D$374)+COUNTIF('11月'!BQ24:BR24,D$374)+COUNTIF('11月'!BV24:BW24,D$374)+COUNTIF('11月'!CA24:CB24,D$374)+COUNTIF('11月'!CF24:CG24,D$374)+COUNTIF('11月'!CK24:CL24,D$374)+COUNTIF('11月'!CP24:CQ24,D$374)+COUNTIF('11月'!CU24:CV24,D$374)+COUNTIF('11月'!CZ24:DA24,D$374)+COUNTIF('11月'!DE24:DF24,D$374)+COUNTIF('11月'!DJ24:DK24,D$374)+COUNTIF('11月'!DO24:DP24,D$374)+COUNTIF('11月'!DT24:DU24,D$374)+COUNTIF('11月'!DY24:DZ24,D$374)+COUNTIF('11月'!ED24:EE24,D$374)+COUNTIF('11月'!EI24:EJ24,D$374)+COUNTIF('11月'!EN24:EO24,D$374)+COUNTIF('11月'!ES24:ET24,D$374)</f>
        <v>0</v>
      </c>
      <c r="E396" s="76">
        <f t="shared" si="121"/>
        <v>0</v>
      </c>
      <c r="F396" s="76">
        <f>COUNTIF('11月'!D24:E24,F$374)+COUNTIF('11月'!I24:J24,F$374)+COUNTIF('11月'!N24:O24,F$374)+COUNTIF('11月'!S24:T24,F$374)+COUNTIF('11月'!X24:Y24,F$374)+COUNTIF('11月'!AC24:AD24,F$374)+COUNTIF('11月'!AH24:AI24,F$374)+COUNTIF('11月'!AM24:AN24,F$374)+COUNTIF('11月'!AR24:AS24,F$374)+COUNTIF('11月'!AW24:AX24,F$374)+COUNTIF('11月'!BB24:BC24,F$374)+COUNTIF('11月'!BG24:BH24,F$374)+COUNTIF('11月'!BL24:BM24,F$374)+COUNTIF('11月'!BQ24:BR24,F$374)+COUNTIF('11月'!BV24:BW24,F$374)+COUNTIF('11月'!CA24:CB24,F$374)+COUNTIF('11月'!CF24:CG24,F$374)+COUNTIF('11月'!CK24:CL24,F$374)+COUNTIF('11月'!CP24:CQ24,F$374)+COUNTIF('11月'!CU24:CV24,F$374)+COUNTIF('11月'!CZ24:DA24,F$374)+COUNTIF('11月'!DE24:DF24,F$374)+COUNTIF('11月'!DJ24:DK24,F$374)+COUNTIF('11月'!DO24:DP24,F$374)+COUNTIF('11月'!DT24:DU24,F$374)+COUNTIF('11月'!DY24:DZ24,F$374)+COUNTIF('11月'!ED24:EE24,F$374)+COUNTIF('11月'!EI24:EJ24,F$374)+COUNTIF('11月'!EN24:EO24,F$374)+COUNTIF('11月'!ES24:ET24,F$374)</f>
        <v>0</v>
      </c>
      <c r="G396" s="76">
        <f t="shared" si="122"/>
        <v>0</v>
      </c>
      <c r="H396" s="76">
        <f>COUNTIF('11月'!D24:E24,H$374)+COUNTIF('11月'!I24:J24,H$374)+COUNTIF('11月'!N24:O24,H$374)+COUNTIF('11月'!S24:T24,H$374)+COUNTIF('11月'!X24:Y24,H$374)+COUNTIF('11月'!AC24:AD24,H$374)+COUNTIF('11月'!AH24:AI24,H$374)+COUNTIF('11月'!AM24:AN24,H$374)+COUNTIF('11月'!AR24:AS24,H$374)+COUNTIF('11月'!AW24:AX24,H$374)+COUNTIF('11月'!BB24:BC24,H$374)+COUNTIF('11月'!BG24:BH24,H$374)+COUNTIF('11月'!BL24:BM24,H$374)+COUNTIF('11月'!BQ24:BR24,H$374)+COUNTIF('11月'!BV24:BW24,H$374)+COUNTIF('11月'!CA24:CB24,H$374)+COUNTIF('11月'!CF24:CG24,H$374)+COUNTIF('11月'!CK24:CL24,H$374)+COUNTIF('11月'!CP24:CQ24,H$374)+COUNTIF('11月'!CU24:CV24,H$374)+COUNTIF('11月'!CZ24:DA24,H$374)+COUNTIF('11月'!DE24:DF24,H$374)+COUNTIF('11月'!DJ24:DK24,H$374)+COUNTIF('11月'!DO24:DP24,H$374)+COUNTIF('11月'!DT24:DU24,H$374)+COUNTIF('11月'!DY24:DZ24,H$374)+COUNTIF('11月'!ED24:EE24,H$374)+COUNTIF('11月'!EI24:EJ24,H$374)+COUNTIF('11月'!EN24:EO24,H$374)+COUNTIF('11月'!ES24:ET24,H$374)+COUNTIF('11月'!D24:E24,"渋谷-夜勤")+COUNTIF('11月'!I24:J24,"渋谷-夜勤")+COUNTIF('11月'!N24:O24,"渋谷-夜勤")+COUNTIF('11月'!S24:T24,"渋谷-夜勤")+COUNTIF('11月'!X24:Y24,"渋谷-夜勤")+COUNTIF('11月'!AC24:AD24,"渋谷-夜勤")+COUNTIF('11月'!AH24:AI24,"渋谷-夜勤")+COUNTIF('11月'!AM24:AN24,"渋谷-夜勤")+COUNTIF('11月'!AR24:AS24,"渋谷-夜勤")+COUNTIF('11月'!AW24:AX24,"渋谷-夜勤")+COUNTIF('11月'!BB24:BC24,"渋谷-夜勤")+COUNTIF('11月'!BG24:BH24,"渋谷-夜勤")+COUNTIF('11月'!BL24:BM24,"渋谷-夜勤")+COUNTIF('11月'!BQ24:BR24,"渋谷-夜勤")+COUNTIF('11月'!BV24:BW24,"渋谷-夜勤")+COUNTIF('11月'!CA24:CB24,"渋谷-夜勤")+COUNTIF('11月'!CF24:CG24,"渋谷-夜勤")+COUNTIF('11月'!CK24:CL24,"渋谷-夜勤")+COUNTIF('11月'!CP24:CQ24,"渋谷-夜勤")+COUNTIF('11月'!CU24:CV24,"渋谷-夜勤")+COUNTIF('11月'!CZ24:DA24,"渋谷-夜勤")+COUNTIF('11月'!DE24:DF24,"渋谷-夜勤")+COUNTIF('11月'!DJ24:DK24,"渋谷-夜勤")+COUNTIF('11月'!DO24:DP24,"渋谷-夜勤")+COUNTIF('11月'!DT24:DU24,"渋谷-夜勤")+COUNTIF('11月'!DY24:DZ24,"渋谷-夜勤")+COUNTIF('11月'!ED24:EE24,"渋谷-夜勤")+COUNTIF('11月'!EI24:EJ24,"渋谷-夜勤")+COUNTIF('11月'!EN24:EO24,"渋谷-夜勤")+COUNTIF('11月'!ES24:ET24,"渋谷-夜勤")</f>
        <v>0</v>
      </c>
      <c r="I396" s="76">
        <f t="shared" si="123"/>
        <v>0</v>
      </c>
      <c r="J396" s="76">
        <f>COUNTIF('11月'!D24:E24,J$374)+COUNTIF('11月'!I24:J24,J$374)+COUNTIF('11月'!N24:O24,J$374)+COUNTIF('11月'!S24:T24,J$374)+COUNTIF('11月'!X24:Y24,J$374)+COUNTIF('11月'!AC24:AD24,J$374)+COUNTIF('11月'!AH24:AI24,J$374)+COUNTIF('11月'!AM24:AN24,J$374)+COUNTIF('11月'!AR24:AS24,J$374)+COUNTIF('11月'!AW24:AX24,J$374)+COUNTIF('11月'!BB24:BC24,J$374)+COUNTIF('11月'!BG24:BH24,J$374)+COUNTIF('11月'!BL24:BM24,J$374)+COUNTIF('11月'!BQ24:BR24,J$374)+COUNTIF('11月'!BV24:BW24,J$374)+COUNTIF('11月'!CA24:CB24,J$374)+COUNTIF('11月'!CF24:CG24,J$374)+COUNTIF('11月'!CK24:CL24,J$374)+COUNTIF('11月'!CP24:CQ24,J$374)+COUNTIF('11月'!CU24:CV24,J$374)+COUNTIF('11月'!CZ24:DA24,J$374)+COUNTIF('11月'!DE24:DF24,J$374)+COUNTIF('11月'!DJ24:DK24,J$374)+COUNTIF('11月'!DO24:DP24,J$374)+COUNTIF('11月'!DT24:DU24,J$374)+COUNTIF('11月'!DY24:DZ24,J$374)+COUNTIF('11月'!ED24:EE24,J$374)+COUNTIF('11月'!EI24:EJ24,J$374)+COUNTIF('11月'!EN24:EO24,J$374)+COUNTIF('11月'!ES24:ET24,J$374)+COUNTIF('11月'!D24:E24,"六本木-夜勤")+COUNTIF('11月'!I24:J24,"六本木-夜勤")+COUNTIF('11月'!N24:O24,"六本木-夜勤")+COUNTIF('11月'!S24:T24,"六本木-夜勤")+COUNTIF('11月'!X24:Y24,"六本木-夜勤")+COUNTIF('11月'!AC24:AD24,"六本木-夜勤")+COUNTIF('11月'!AH24:AI24,"六本木-夜勤")+COUNTIF('11月'!AM24:AN24,"六本木-夜勤")+COUNTIF('11月'!AR24:AS24,"六本木-夜勤")+COUNTIF('11月'!AW24:AX24,"六本木-夜勤")+COUNTIF('11月'!BB24:BC24,"六本木-夜勤")+COUNTIF('11月'!BG24:BH24,"六本木-夜勤")+COUNTIF('11月'!BL24:BM24,"六本木-夜勤")+COUNTIF('11月'!BQ24:BR24,"六本木-夜勤")+COUNTIF('11月'!BV24:BW24,"六本木-夜勤")+COUNTIF('11月'!CA24:CB24,"六本木-夜勤")+COUNTIF('11月'!CF24:CG24,"六本木-夜勤")+COUNTIF('11月'!CK24:CL24,"六本木-夜勤")+COUNTIF('11月'!CP24:CQ24,"六本木-夜勤")+COUNTIF('11月'!CU24:CV24,"六本木-夜勤")+COUNTIF('11月'!CZ24:DA24,"六本木-夜勤")+COUNTIF('11月'!DE24:DF24,"六本木-夜勤")+COUNTIF('11月'!DJ24:DK24,"六本木-夜勤")+COUNTIF('11月'!DO24:DP24,"六本木-夜勤")+COUNTIF('11月'!DT24:DU24,"六本木-夜勤")+COUNTIF('11月'!DY24:DZ24,"六本木-夜勤")+COUNTIF('11月'!ED24:EE24,"六本木-夜勤")+COUNTIF('11月'!EI24:EJ24,"六本木-夜勤")+COUNTIF('11月'!EN24:EO24,"六本木-夜勤")+COUNTIF('11月'!ES24:ET24,"六本木-夜勤")+COUNTIF('11月'!D24:E24,"六本木ー夜勤")+COUNTIF('11月'!I24:J24,"六本木ー夜勤")+COUNTIF('11月'!N24:O24,"六本木ー夜勤")+COUNTIF('11月'!S24:T24,"六本木ー夜勤")+COUNTIF('11月'!X24:Y24,"六本木ー夜勤")+COUNTIF('11月'!AC24:AD24,"六本木ー夜勤")+COUNTIF('11月'!AH24:AI24,"六本木ー夜勤")+COUNTIF('11月'!AM24:AN24,"六本木ー夜勤")+COUNTIF('11月'!AR24:AS24,"六本木ー夜勤")+COUNTIF('11月'!AW24:AX24,"六本木ー夜勤")+COUNTIF('11月'!BB24:BC24,"六本木ー夜勤")+COUNTIF('11月'!BG24:BH24,"六本木ー夜勤")+COUNTIF('11月'!BL24:BM24,"六本木ー夜勤")+COUNTIF('11月'!BQ24:BR24,"六本木ー夜勤")+COUNTIF('11月'!BV24:BW24,"六本木ー夜勤")+COUNTIF('11月'!CA24:CB24,"六本木ー夜勤")+COUNTIF('11月'!CF24:CG24,"六本木ー夜勤")+COUNTIF('11月'!CK24:CL24,"六本木ー夜勤")+COUNTIF('11月'!CP24:CQ24,"六本木ー夜勤")+COUNTIF('11月'!CU24:CV24,"六本木ー夜勤")+COUNTIF('11月'!CZ24:DA24,"六本木ー夜勤")+COUNTIF('11月'!DE24:DF24,"六本木ー夜勤")+COUNTIF('11月'!DJ24:DK24,"六本木ー夜勤")+COUNTIF('11月'!DO24:DP24,"六本木ー夜勤")+COUNTIF('11月'!DT24:DU24,"六本木ー夜勤")+COUNTIF('11月'!DY24:DZ24,"六本木ー夜勤")+COUNTIF('11月'!ED24:EE24,"六本木ー夜勤")+COUNTIF('11月'!EI24:EJ24,"六本木ー夜勤")+COUNTIF('11月'!EN24:EO24,"六本木ー夜勤")+COUNTIF('11月'!ES24:ET24,"六本木ー夜勤")</f>
        <v>0</v>
      </c>
      <c r="K396" s="76">
        <f t="shared" si="124"/>
        <v>0</v>
      </c>
      <c r="L396" s="76">
        <f>COUNTIF('11月'!D24:E24,L$374)+COUNTIF('11月'!I24:J24,L$374)+COUNTIF('11月'!N24:O24,L$374)+COUNTIF('11月'!S24:T24,L$374)+COUNTIF('11月'!X24:Y24,L$374)+COUNTIF('11月'!AC24:AD24,L$374)+COUNTIF('11月'!AH24:AI24,L$374)+COUNTIF('11月'!AM24:AN24,L$374)+COUNTIF('11月'!AR24:AS24,L$374)+COUNTIF('11月'!AW24:AX24,L$374)+COUNTIF('11月'!BB24:BC24,L$374)+COUNTIF('11月'!BG24:BH24,L$374)+COUNTIF('11月'!BL24:BM24,L$374)+COUNTIF('11月'!BQ24:BR24,L$374)+COUNTIF('11月'!BV24:BW24,L$374)+COUNTIF('11月'!CA24:CB24,L$374)+COUNTIF('11月'!CF24:CG24,L$374)+COUNTIF('11月'!CK24:CL24,L$374)+COUNTIF('11月'!CP24:CQ24,L$374)+COUNTIF('11月'!CU24:CV24,L$374)+COUNTIF('11月'!CZ24:DA24,L$374)+COUNTIF('11月'!DE24:DF24,L$374)+COUNTIF('11月'!DJ24:DK24,L$374)+COUNTIF('11月'!DO24:DP24,L$374)+COUNTIF('11月'!DT24:DU24,L$374)+COUNTIF('11月'!DY24:DZ24,L$374)+COUNTIF('11月'!ED24:EE24,L$374)+COUNTIF('11月'!EI24:EJ24,L$374)+COUNTIF('11月'!EN24:EO24,L$374)+COUNTIF('11月'!ES24:ET24,L$374)</f>
        <v>0</v>
      </c>
      <c r="M396" s="76">
        <f t="shared" si="125"/>
        <v>0</v>
      </c>
      <c r="N396" s="76">
        <f>COUNTIF('11月'!D24:E24,N$374)+COUNTIF('11月'!I24:J24,N$374)+COUNTIF('11月'!N24:O24,N$374)+COUNTIF('11月'!S24:T24,N$374)+COUNTIF('11月'!X24:Y24,N$374)+COUNTIF('11月'!AC24:AD24,N$374)+COUNTIF('11月'!AH24:AI24,N$374)+COUNTIF('11月'!AM24:AN24,N$374)+COUNTIF('11月'!AR24:AS24,N$374)+COUNTIF('11月'!AW24:AX24,N$374)+COUNTIF('11月'!BB24:BC24,N$374)+COUNTIF('11月'!BG24:BH24,N$374)+COUNTIF('11月'!BL24:BM24,N$374)+COUNTIF('11月'!BQ24:BR24,N$374)+COUNTIF('11月'!BV24:BW24,N$374)+COUNTIF('11月'!CA24:CB24,N$374)+COUNTIF('11月'!CF24:CG24,N$374)+COUNTIF('11月'!CK24:CL24,N$374)+COUNTIF('11月'!CP24:CQ24,N$374)+COUNTIF('11月'!CU24:CV24,N$374)+COUNTIF('11月'!CZ24:DA24,N$374)+COUNTIF('11月'!DE24:DF24,N$374)+COUNTIF('11月'!DJ24:DK24,N$374)+COUNTIF('11月'!DO24:DP24,N$374)+COUNTIF('11月'!DT24:DU24,N$374)+COUNTIF('11月'!DY24:DZ24,N$374)+COUNTIF('11月'!ED24:EE24,N$374)+COUNTIF('11月'!EI24:EJ24,N$374)+COUNTIF('11月'!EN24:EO24,N$374)+COUNTIF('11月'!ES24:ET24,N$374)+COUNTIF('11月'!D24:E24,"三軒茶屋－夜勤")+COUNTIF('11月'!I24:J24,"三軒茶屋－夜勤")+COUNTIF('11月'!N24:O24,"三軒茶屋－夜勤")+COUNTIF('11月'!S24:T24,"三軒茶屋－夜勤")+COUNTIF('11月'!X24:Y24,"三軒茶屋－夜勤")+COUNTIF('11月'!AC24:AD24,"三軒茶屋－夜勤")+COUNTIF('11月'!AH24:AI24,"三軒茶屋－夜勤")+COUNTIF('11月'!AM24:AN24,"三軒茶屋－夜勤")+COUNTIF('11月'!AR24:AS24,"三軒茶屋－夜勤")+COUNTIF('11月'!AW24:AX24,"三軒茶屋－夜勤")+COUNTIF('11月'!BB24:BC24,"三軒茶屋－夜勤")+COUNTIF('11月'!BG24:BH24,"三軒茶屋－夜勤")+COUNTIF('11月'!BL24:BM24,"三軒茶屋－夜勤")+COUNTIF('11月'!BQ24:BR24,"三軒茶屋－夜勤")+COUNTIF('11月'!BV24:BW24,"三軒茶屋－夜勤")+COUNTIF('11月'!CA24:CB24,"三軒茶屋－夜勤")+COUNTIF('11月'!CF24:CG24,"三軒茶屋－夜勤")+COUNTIF('11月'!CK24:CL24,"三軒茶屋－夜勤")+COUNTIF('11月'!CP24:CQ24,"三軒茶屋－夜勤")+COUNTIF('11月'!CU24:CV24,"三軒茶屋－夜勤")+COUNTIF('11月'!CZ24:DA24,"三軒茶屋－夜勤")+COUNTIF('11月'!DE24:DF24,"三軒茶屋－夜勤")+COUNTIF('11月'!DJ24:DK24,"三軒茶屋－夜勤")+COUNTIF('11月'!DO24:DP24,"三軒茶屋－夜勤")+COUNTIF('11月'!DT24:DU24,"三軒茶屋－夜勤")+COUNTIF('11月'!DY24:DZ24,"三軒茶屋－夜勤")+COUNTIF('11月'!ED24:EE24,"三軒茶屋－夜勤")+COUNTIF('11月'!EI24:EJ24,"三軒茶屋－夜勤")+COUNTIF('11月'!EN24:EO24,"三軒茶屋－夜勤")+COUNTIF('11月'!ES24:ET24,"三軒茶屋－夜勤")</f>
        <v>0</v>
      </c>
      <c r="O396" s="76">
        <f t="shared" si="126"/>
        <v>0</v>
      </c>
      <c r="P396" s="76">
        <f>COUNTIF('11月'!D24:E24,P$374)+COUNTIF('11月'!I24:J24,P$374)+COUNTIF('11月'!N24:O24,P$374)+COUNTIF('11月'!S24:T24,P$374)+COUNTIF('11月'!X24:Y24,P$374)+COUNTIF('11月'!AC24:AD24,P$374)+COUNTIF('11月'!AH24:AI24,P$374)+COUNTIF('11月'!AM24:AN24,P$374)+COUNTIF('11月'!AR24:AS24,P$374)+COUNTIF('11月'!AW24:AX24,P$374)+COUNTIF('11月'!BB24:BC24,P$374)+COUNTIF('11月'!BG24:BH24,P$374)+COUNTIF('11月'!BL24:BM24,P$374)+COUNTIF('11月'!BQ24:BR24,P$374)+COUNTIF('11月'!BV24:BW24,P$374)+COUNTIF('11月'!CA24:CB24,P$374)+COUNTIF('11月'!CF24:CG24,P$374)+COUNTIF('11月'!CK24:CL24,P$374)+COUNTIF('11月'!CP24:CQ24,P$374)+COUNTIF('11月'!CU24:CV24,P$374)+COUNTIF('11月'!CZ24:DA24,P$374)+COUNTIF('11月'!DE24:DF24,P$374)+COUNTIF('11月'!DJ24:DK24,P$374)+COUNTIF('11月'!DO24:DP24,P$374)+COUNTIF('11月'!DT24:DU24,P$374)+COUNTIF('11月'!DY24:DZ24,P$374)+COUNTIF('11月'!ED24:EE24,P$374)+COUNTIF('11月'!EI24:EJ24,P$374)+COUNTIF('11月'!EN24:EO24,P$374)+COUNTIF('11月'!ES24:ET24,P$374)+COUNTIF('11月'!D24:E24,"荻窪ー夜勤")+COUNTIF('11月'!I24:J24,"荻窪ー夜勤")+COUNTIF('11月'!N24:O24,"荻窪ー夜勤")+COUNTIF('11月'!S24:T24,"荻窪ー夜勤")+COUNTIF('11月'!X24:Y24,"荻窪ー夜勤")+COUNTIF('11月'!AC24:AD24,"荻窪ー夜勤")+COUNTIF('11月'!AH24:AI24,"荻窪ー夜勤")+COUNTIF('11月'!AM24:AN24,"荻窪ー夜勤")+COUNTIF('11月'!AR24:AS24,"荻窪ー夜勤")+COUNTIF('11月'!AW24:AX24,"荻窪ー夜勤")+COUNTIF('11月'!BB24:BC24,"荻窪ー夜勤")+COUNTIF('11月'!BG24:BH24,"荻窪ー夜勤")+COUNTIF('11月'!BL24:BM24,"荻窪ー夜勤")+COUNTIF('11月'!BQ24:BR24,"荻窪ー夜勤")+COUNTIF('11月'!BV24:BW24,"荻窪ー夜勤")+COUNTIF('11月'!CA24:CB24,"荻窪ー夜勤")+COUNTIF('11月'!CF24:CG24,"荻窪ー夜勤")+COUNTIF('11月'!CK24:CL24,"荻窪ー夜勤")+COUNTIF('11月'!CP24:CQ24,"荻窪ー夜勤")+COUNTIF('11月'!CU24:CV24,"荻窪ー夜勤")+COUNTIF('11月'!CZ24:DA24,"荻窪ー夜勤")+COUNTIF('11月'!DE24:DF24,"荻窪ー夜勤")+COUNTIF('11月'!DJ24:DK24,"荻窪ー夜勤")+COUNTIF('11月'!DO24:DP24,"荻窪ー夜勤")+COUNTIF('11月'!DT24:DU24,"荻窪ー夜勤")+COUNTIF('11月'!DY24:DZ24,"荻窪ー夜勤")+COUNTIF('11月'!ED24:EE24,"荻窪ー夜勤")+COUNTIF('11月'!EI24:EJ24,"荻窪ー夜勤")+COUNTIF('11月'!EN24:EO24,"荻窪ー夜勤")+COUNTIF('11月'!ES24:ET24,"荻窪ー夜勤")</f>
        <v>0</v>
      </c>
      <c r="Q396" s="76">
        <f t="shared" si="127"/>
        <v>0</v>
      </c>
      <c r="R396" s="76">
        <f>COUNTIF('11月'!D24:E24,R$374)+COUNTIF('11月'!I24:J24,R$374)+COUNTIF('11月'!N24:O24,R$374)+COUNTIF('11月'!S24:T24,R$374)+COUNTIF('11月'!X24:Y24,R$374)+COUNTIF('11月'!AC24:AD24,R$374)+COUNTIF('11月'!AH24:AI24,R$374)+COUNTIF('11月'!AM24:AN24,R$374)+COUNTIF('11月'!AR24:AS24,R$374)+COUNTIF('11月'!AW24:AX24,R$374)+COUNTIF('11月'!BB24:BC24,R$374)+COUNTIF('11月'!BG24:BH24,R$374)+COUNTIF('11月'!BL24:BM24,R$374)+COUNTIF('11月'!BQ24:BR24,R$374)+COUNTIF('11月'!BV24:BW24,R$374)+COUNTIF('11月'!CA24:CB24,R$374)+COUNTIF('11月'!CF24:CG24,R$374)+COUNTIF('11月'!CK24:CL24,R$374)+COUNTIF('11月'!CP24:CQ24,R$374)+COUNTIF('11月'!CU24:CV24,R$374)+COUNTIF('11月'!CZ24:DA24,R$374)+COUNTIF('11月'!DE24:DF24,R$374)+COUNTIF('11月'!DJ24:DK24,R$374)+COUNTIF('11月'!DO24:DP24,R$374)+COUNTIF('11月'!DT24:DU24,R$374)+COUNTIF('11月'!DY24:DZ24,R$374)+COUNTIF('11月'!ED24:EE24,R$374)+COUNTIF('11月'!EI24:EJ24,R$374)+COUNTIF('11月'!EN24:EO24,R$374)+COUNTIF('11月'!ES24:ET24,R$374)</f>
        <v>0</v>
      </c>
      <c r="S396" s="76">
        <f t="shared" si="128"/>
        <v>0</v>
      </c>
      <c r="T396" s="76">
        <f>COUNTIF('11月'!D24:E24,T$374)+COUNTIF('11月'!I24:J24,T$374)+COUNTIF('11月'!N24:O24,T$374)+COUNTIF('11月'!S24:T24,T$374)+COUNTIF('11月'!X24:Y24,T$374)+COUNTIF('11月'!AC24:AD24,T$374)+COUNTIF('11月'!AH24:AI24,T$374)+COUNTIF('11月'!AM24:AN24,T$374)+COUNTIF('11月'!AR24:AS24,T$374)+COUNTIF('11月'!AW24:AX24,T$374)+COUNTIF('11月'!BB24:BC24,T$374)+COUNTIF('11月'!BG24:BH24,T$374)+COUNTIF('11月'!BL24:BM24,T$374)+COUNTIF('11月'!BQ24:BR24,T$374)+COUNTIF('11月'!BV24:BW24,T$374)+COUNTIF('11月'!CA24:CB24,T$374)+COUNTIF('11月'!CF24:CG24,T$374)+COUNTIF('11月'!CK24:CL24,T$374)+COUNTIF('11月'!CP24:CQ24,T$374)+COUNTIF('11月'!CU24:CV24,T$374)+COUNTIF('11月'!CZ24:DA24,T$374)+COUNTIF('11月'!DE24:DF24,T$374)+COUNTIF('11月'!DJ24:DK24,T$374)+COUNTIF('11月'!DO24:DP24,T$374)+COUNTIF('11月'!DT24:DU24,T$374)+COUNTIF('11月'!DY24:DZ24,T$374)+COUNTIF('11月'!ED24:EE24,T$374)+COUNTIF('11月'!EI24:EJ24,T$374)+COUNTIF('11月'!EN24:EO24,T$374)+COUNTIF('11月'!ES24:ET24,T$374)</f>
        <v>0</v>
      </c>
      <c r="U396" s="76">
        <f t="shared" si="129"/>
        <v>0</v>
      </c>
      <c r="V396" s="76">
        <f>COUNTIF('11月'!D24:E24,V$374)+COUNTIF('11月'!I24:J24,V$374)+COUNTIF('11月'!N24:O24,V$374)+COUNTIF('11月'!S24:T24,V$374)+COUNTIF('11月'!X24:Y24,V$374)+COUNTIF('11月'!AC24:AD24,V$374)+COUNTIF('11月'!AH24:AI24,V$374)+COUNTIF('11月'!AM24:AN24,V$374)+COUNTIF('11月'!AR24:AS24,V$374)+COUNTIF('11月'!AW24:AX24,V$374)+COUNTIF('11月'!BB24:BC24,V$374)+COUNTIF('11月'!BG24:BH24,V$374)+COUNTIF('11月'!BL24:BM24,V$374)+COUNTIF('11月'!BQ24:BR24,V$374)+COUNTIF('11月'!BV24:BW24,V$374)+COUNTIF('11月'!CA24:CB24,V$374)+COUNTIF('11月'!CF24:CG24,V$374)+COUNTIF('11月'!CK24:CL24,V$374)+COUNTIF('11月'!CP24:CQ24,V$374)+COUNTIF('11月'!CU24:CV24,V$374)+COUNTIF('11月'!CZ24:DA24,V$374)+COUNTIF('11月'!DE24:DF24,V$374)+COUNTIF('11月'!DJ24:DK24,V$374)+COUNTIF('11月'!DO24:DP24,V$374)+COUNTIF('11月'!DT24:DU24,V$374)+COUNTIF('11月'!DY24:DZ24,V$374)+COUNTIF('11月'!ED24:EE24,V$374)+COUNTIF('11月'!EI24:EJ24,V$374)+COUNTIF('11月'!EN24:EO24,V$374)+COUNTIF('11月'!ES24:ET24,V$374)</f>
        <v>0</v>
      </c>
      <c r="W396" s="76">
        <f t="shared" si="130"/>
        <v>0</v>
      </c>
      <c r="X396" s="76">
        <f>COUNTIF('11月'!D24:E24,X$374)+COUNTIF('11月'!I24:J24,X$374)+COUNTIF('11月'!N24:O24,X$374)+COUNTIF('11月'!S24:T24,X$374)+COUNTIF('11月'!X24:Y24,X$374)+COUNTIF('11月'!AC24:AD24,X$374)+COUNTIF('11月'!AH24:AI24,X$374)+COUNTIF('11月'!AM24:AN24,X$374)+COUNTIF('11月'!AR24:AS24,X$374)+COUNTIF('11月'!AW24:AX24,X$374)+COUNTIF('11月'!BB24:BC24,X$374)+COUNTIF('11月'!BG24:BH24,X$374)+COUNTIF('11月'!BL24:BM24,X$374)+COUNTIF('11月'!BQ24:BR24,X$374)+COUNTIF('11月'!BV24:BW24,X$374)+COUNTIF('11月'!CA24:CB24,X$374)+COUNTIF('11月'!CF24:CG24,X$374)+COUNTIF('11月'!CK24:CL24,X$374)+COUNTIF('11月'!CP24:CQ24,X$374)+COUNTIF('11月'!CU24:CV24,X$374)+COUNTIF('11月'!CZ24:DA24,X$374)+COUNTIF('11月'!DE24:DF24,X$374)+COUNTIF('11月'!DJ24:DK24,X$374)+COUNTIF('11月'!DO24:DP24,X$374)+COUNTIF('11月'!DT24:DU24,X$374)+COUNTIF('11月'!DY24:DZ24,X$374)+COUNTIF('11月'!ED24:EE24,X$374)+COUNTIF('11月'!EI24:EJ24,X$374)+COUNTIF('11月'!EN24:EO24,X$374)+COUNTIF('11月'!ES24:ET24,X$374)</f>
        <v>0</v>
      </c>
      <c r="Y396" s="76">
        <f t="shared" si="131"/>
        <v>0</v>
      </c>
    </row>
    <row r="397" spans="1:25" ht="18" customHeight="1">
      <c r="A397" s="76">
        <v>22</v>
      </c>
      <c r="B397" s="76">
        <f>COUNTIF('11月'!D25:E25,B$374)+COUNTIF('11月'!I25:J25,B$374)+COUNTIF('11月'!N25:O25,B$374)+COUNTIF('11月'!S25:T25,B$374)+COUNTIF('11月'!X25:Y25,B$374)+COUNTIF('11月'!AC25:AD25,B$374)+COUNTIF('11月'!AH25:AI25,B$374)+COUNTIF('11月'!AM25:AN25,B$374)+COUNTIF('11月'!AR25:AS25,B$374)+COUNTIF('11月'!AW25:AX25,B$374)+COUNTIF('11月'!BB25:BC25,B$374)+COUNTIF('11月'!BG25:BH25,B$374)+COUNTIF('11月'!BL25:BM25,B$374)+COUNTIF('11月'!BQ25:BR25,B$374)+COUNTIF('11月'!BV25:BW25,B$374)+COUNTIF('11月'!CA25:CB25,B$374)+COUNTIF('11月'!CF25:CG25,B$374)+COUNTIF('11月'!CK25:CL25,B$374)+COUNTIF('11月'!CP25:CQ25,B$374)+COUNTIF('11月'!CU25:CV25,B$374)+COUNTIF('11月'!CZ25:DA25,B$374)+COUNTIF('11月'!DE25:DF25,B$374)+COUNTIF('11月'!DJ25:DK25,B$374)+COUNTIF('11月'!DO25:DP25,B$374)+COUNTIF('11月'!DT25:DU25,B$374)+COUNTIF('11月'!DY25:DZ25,B$374)+COUNTIF('11月'!ED25:EE25,B$374)+COUNTIF('11月'!EI25:EJ25,B$374)+COUNTIF('11月'!EN25:EO25,B$374)+COUNTIF('11月'!ES25:ET25,B$374)</f>
        <v>0</v>
      </c>
      <c r="C397" s="76">
        <f t="shared" si="120"/>
        <v>0</v>
      </c>
      <c r="D397" s="76">
        <f>COUNTIF('11月'!D25:E25,D$374)+COUNTIF('11月'!I25:J25,D$374)+COUNTIF('11月'!N25:O25,D$374)+COUNTIF('11月'!S25:T25,D$374)+COUNTIF('11月'!X25:Y25,D$374)+COUNTIF('11月'!AC25:AD25,D$374)+COUNTIF('11月'!AH25:AI25,D$374)+COUNTIF('11月'!AM25:AN25,D$374)+COUNTIF('11月'!AR25:AS25,D$374)+COUNTIF('11月'!AW25:AX25,D$374)+COUNTIF('11月'!BB25:BC25,D$374)+COUNTIF('11月'!BG25:BH25,D$374)+COUNTIF('11月'!BL25:BM25,D$374)+COUNTIF('11月'!BQ25:BR25,D$374)+COUNTIF('11月'!BV25:BW25,D$374)+COUNTIF('11月'!CA25:CB25,D$374)+COUNTIF('11月'!CF25:CG25,D$374)+COUNTIF('11月'!CK25:CL25,D$374)+COUNTIF('11月'!CP25:CQ25,D$374)+COUNTIF('11月'!CU25:CV25,D$374)+COUNTIF('11月'!CZ25:DA25,D$374)+COUNTIF('11月'!DE25:DF25,D$374)+COUNTIF('11月'!DJ25:DK25,D$374)+COUNTIF('11月'!DO25:DP25,D$374)+COUNTIF('11月'!DT25:DU25,D$374)+COUNTIF('11月'!DY25:DZ25,D$374)+COUNTIF('11月'!ED25:EE25,D$374)+COUNTIF('11月'!EI25:EJ25,D$374)+COUNTIF('11月'!EN25:EO25,D$374)+COUNTIF('11月'!ES25:ET25,D$374)</f>
        <v>0</v>
      </c>
      <c r="E397" s="76">
        <f t="shared" si="121"/>
        <v>0</v>
      </c>
      <c r="F397" s="76">
        <f>COUNTIF('11月'!D25:E25,F$374)+COUNTIF('11月'!I25:J25,F$374)+COUNTIF('11月'!N25:O25,F$374)+COUNTIF('11月'!S25:T25,F$374)+COUNTIF('11月'!X25:Y25,F$374)+COUNTIF('11月'!AC25:AD25,F$374)+COUNTIF('11月'!AH25:AI25,F$374)+COUNTIF('11月'!AM25:AN25,F$374)+COUNTIF('11月'!AR25:AS25,F$374)+COUNTIF('11月'!AW25:AX25,F$374)+COUNTIF('11月'!BB25:BC25,F$374)+COUNTIF('11月'!BG25:BH25,F$374)+COUNTIF('11月'!BL25:BM25,F$374)+COUNTIF('11月'!BQ25:BR25,F$374)+COUNTIF('11月'!BV25:BW25,F$374)+COUNTIF('11月'!CA25:CB25,F$374)+COUNTIF('11月'!CF25:CG25,F$374)+COUNTIF('11月'!CK25:CL25,F$374)+COUNTIF('11月'!CP25:CQ25,F$374)+COUNTIF('11月'!CU25:CV25,F$374)+COUNTIF('11月'!CZ25:DA25,F$374)+COUNTIF('11月'!DE25:DF25,F$374)+COUNTIF('11月'!DJ25:DK25,F$374)+COUNTIF('11月'!DO25:DP25,F$374)+COUNTIF('11月'!DT25:DU25,F$374)+COUNTIF('11月'!DY25:DZ25,F$374)+COUNTIF('11月'!ED25:EE25,F$374)+COUNTIF('11月'!EI25:EJ25,F$374)+COUNTIF('11月'!EN25:EO25,F$374)+COUNTIF('11月'!ES25:ET25,F$374)</f>
        <v>0</v>
      </c>
      <c r="G397" s="76">
        <f t="shared" si="122"/>
        <v>0</v>
      </c>
      <c r="H397" s="76">
        <f>COUNTIF('11月'!D25:E25,H$374)+COUNTIF('11月'!I25:J25,H$374)+COUNTIF('11月'!N25:O25,H$374)+COUNTIF('11月'!S25:T25,H$374)+COUNTIF('11月'!X25:Y25,H$374)+COUNTIF('11月'!AC25:AD25,H$374)+COUNTIF('11月'!AH25:AI25,H$374)+COUNTIF('11月'!AM25:AN25,H$374)+COUNTIF('11月'!AR25:AS25,H$374)+COUNTIF('11月'!AW25:AX25,H$374)+COUNTIF('11月'!BB25:BC25,H$374)+COUNTIF('11月'!BG25:BH25,H$374)+COUNTIF('11月'!BL25:BM25,H$374)+COUNTIF('11月'!BQ25:BR25,H$374)+COUNTIF('11月'!BV25:BW25,H$374)+COUNTIF('11月'!CA25:CB25,H$374)+COUNTIF('11月'!CF25:CG25,H$374)+COUNTIF('11月'!CK25:CL25,H$374)+COUNTIF('11月'!CP25:CQ25,H$374)+COUNTIF('11月'!CU25:CV25,H$374)+COUNTIF('11月'!CZ25:DA25,H$374)+COUNTIF('11月'!DE25:DF25,H$374)+COUNTIF('11月'!DJ25:DK25,H$374)+COUNTIF('11月'!DO25:DP25,H$374)+COUNTIF('11月'!DT25:DU25,H$374)+COUNTIF('11月'!DY25:DZ25,H$374)+COUNTIF('11月'!ED25:EE25,H$374)+COUNTIF('11月'!EI25:EJ25,H$374)+COUNTIF('11月'!EN25:EO25,H$374)+COUNTIF('11月'!ES25:ET25,H$374)+COUNTIF('11月'!D25:E25,"渋谷-夜勤")+COUNTIF('11月'!I25:J25,"渋谷-夜勤")+COUNTIF('11月'!N25:O25,"渋谷-夜勤")+COUNTIF('11月'!S25:T25,"渋谷-夜勤")+COUNTIF('11月'!X25:Y25,"渋谷-夜勤")+COUNTIF('11月'!AC25:AD25,"渋谷-夜勤")+COUNTIF('11月'!AH25:AI25,"渋谷-夜勤")+COUNTIF('11月'!AM25:AN25,"渋谷-夜勤")+COUNTIF('11月'!AR25:AS25,"渋谷-夜勤")+COUNTIF('11月'!AW25:AX25,"渋谷-夜勤")+COUNTIF('11月'!BB25:BC25,"渋谷-夜勤")+COUNTIF('11月'!BG25:BH25,"渋谷-夜勤")+COUNTIF('11月'!BL25:BM25,"渋谷-夜勤")+COUNTIF('11月'!BQ25:BR25,"渋谷-夜勤")+COUNTIF('11月'!BV25:BW25,"渋谷-夜勤")+COUNTIF('11月'!CA25:CB25,"渋谷-夜勤")+COUNTIF('11月'!CF25:CG25,"渋谷-夜勤")+COUNTIF('11月'!CK25:CL25,"渋谷-夜勤")+COUNTIF('11月'!CP25:CQ25,"渋谷-夜勤")+COUNTIF('11月'!CU25:CV25,"渋谷-夜勤")+COUNTIF('11月'!CZ25:DA25,"渋谷-夜勤")+COUNTIF('11月'!DE25:DF25,"渋谷-夜勤")+COUNTIF('11月'!DJ25:DK25,"渋谷-夜勤")+COUNTIF('11月'!DO25:DP25,"渋谷-夜勤")+COUNTIF('11月'!DT25:DU25,"渋谷-夜勤")+COUNTIF('11月'!DY25:DZ25,"渋谷-夜勤")+COUNTIF('11月'!ED25:EE25,"渋谷-夜勤")+COUNTIF('11月'!EI25:EJ25,"渋谷-夜勤")+COUNTIF('11月'!EN25:EO25,"渋谷-夜勤")+COUNTIF('11月'!ES25:ET25,"渋谷-夜勤")</f>
        <v>0</v>
      </c>
      <c r="I397" s="76">
        <f t="shared" si="123"/>
        <v>0</v>
      </c>
      <c r="J397" s="76">
        <f>COUNTIF('11月'!D25:E25,J$374)+COUNTIF('11月'!I25:J25,J$374)+COUNTIF('11月'!N25:O25,J$374)+COUNTIF('11月'!S25:T25,J$374)+COUNTIF('11月'!X25:Y25,J$374)+COUNTIF('11月'!AC25:AD25,J$374)+COUNTIF('11月'!AH25:AI25,J$374)+COUNTIF('11月'!AM25:AN25,J$374)+COUNTIF('11月'!AR25:AS25,J$374)+COUNTIF('11月'!AW25:AX25,J$374)+COUNTIF('11月'!BB25:BC25,J$374)+COUNTIF('11月'!BG25:BH25,J$374)+COUNTIF('11月'!BL25:BM25,J$374)+COUNTIF('11月'!BQ25:BR25,J$374)+COUNTIF('11月'!BV25:BW25,J$374)+COUNTIF('11月'!CA25:CB25,J$374)+COUNTIF('11月'!CF25:CG25,J$374)+COUNTIF('11月'!CK25:CL25,J$374)+COUNTIF('11月'!CP25:CQ25,J$374)+COUNTIF('11月'!CU25:CV25,J$374)+COUNTIF('11月'!CZ25:DA25,J$374)+COUNTIF('11月'!DE25:DF25,J$374)+COUNTIF('11月'!DJ25:DK25,J$374)+COUNTIF('11月'!DO25:DP25,J$374)+COUNTIF('11月'!DT25:DU25,J$374)+COUNTIF('11月'!DY25:DZ25,J$374)+COUNTIF('11月'!ED25:EE25,J$374)+COUNTIF('11月'!EI25:EJ25,J$374)+COUNTIF('11月'!EN25:EO25,J$374)+COUNTIF('11月'!ES25:ET25,J$374)+COUNTIF('11月'!D25:E25,"六本木-夜勤")+COUNTIF('11月'!I25:J25,"六本木-夜勤")+COUNTIF('11月'!N25:O25,"六本木-夜勤")+COUNTIF('11月'!S25:T25,"六本木-夜勤")+COUNTIF('11月'!X25:Y25,"六本木-夜勤")+COUNTIF('11月'!AC25:AD25,"六本木-夜勤")+COUNTIF('11月'!AH25:AI25,"六本木-夜勤")+COUNTIF('11月'!AM25:AN25,"六本木-夜勤")+COUNTIF('11月'!AR25:AS25,"六本木-夜勤")+COUNTIF('11月'!AW25:AX25,"六本木-夜勤")+COUNTIF('11月'!BB25:BC25,"六本木-夜勤")+COUNTIF('11月'!BG25:BH25,"六本木-夜勤")+COUNTIF('11月'!BL25:BM25,"六本木-夜勤")+COUNTIF('11月'!BQ25:BR25,"六本木-夜勤")+COUNTIF('11月'!BV25:BW25,"六本木-夜勤")+COUNTIF('11月'!CA25:CB25,"六本木-夜勤")+COUNTIF('11月'!CF25:CG25,"六本木-夜勤")+COUNTIF('11月'!CK25:CL25,"六本木-夜勤")+COUNTIF('11月'!CP25:CQ25,"六本木-夜勤")+COUNTIF('11月'!CU25:CV25,"六本木-夜勤")+COUNTIF('11月'!CZ25:DA25,"六本木-夜勤")+COUNTIF('11月'!DE25:DF25,"六本木-夜勤")+COUNTIF('11月'!DJ25:DK25,"六本木-夜勤")+COUNTIF('11月'!DO25:DP25,"六本木-夜勤")+COUNTIF('11月'!DT25:DU25,"六本木-夜勤")+COUNTIF('11月'!DY25:DZ25,"六本木-夜勤")+COUNTIF('11月'!ED25:EE25,"六本木-夜勤")+COUNTIF('11月'!EI25:EJ25,"六本木-夜勤")+COUNTIF('11月'!EN25:EO25,"六本木-夜勤")+COUNTIF('11月'!ES25:ET25,"六本木-夜勤")+COUNTIF('11月'!D25:E25,"六本木ー夜勤")+COUNTIF('11月'!I25:J25,"六本木ー夜勤")+COUNTIF('11月'!N25:O25,"六本木ー夜勤")+COUNTIF('11月'!S25:T25,"六本木ー夜勤")+COUNTIF('11月'!X25:Y25,"六本木ー夜勤")+COUNTIF('11月'!AC25:AD25,"六本木ー夜勤")+COUNTIF('11月'!AH25:AI25,"六本木ー夜勤")+COUNTIF('11月'!AM25:AN25,"六本木ー夜勤")+COUNTIF('11月'!AR25:AS25,"六本木ー夜勤")+COUNTIF('11月'!AW25:AX25,"六本木ー夜勤")+COUNTIF('11月'!BB25:BC25,"六本木ー夜勤")+COUNTIF('11月'!BG25:BH25,"六本木ー夜勤")+COUNTIF('11月'!BL25:BM25,"六本木ー夜勤")+COUNTIF('11月'!BQ25:BR25,"六本木ー夜勤")+COUNTIF('11月'!BV25:BW25,"六本木ー夜勤")+COUNTIF('11月'!CA25:CB25,"六本木ー夜勤")+COUNTIF('11月'!CF25:CG25,"六本木ー夜勤")+COUNTIF('11月'!CK25:CL25,"六本木ー夜勤")+COUNTIF('11月'!CP25:CQ25,"六本木ー夜勤")+COUNTIF('11月'!CU25:CV25,"六本木ー夜勤")+COUNTIF('11月'!CZ25:DA25,"六本木ー夜勤")+COUNTIF('11月'!DE25:DF25,"六本木ー夜勤")+COUNTIF('11月'!DJ25:DK25,"六本木ー夜勤")+COUNTIF('11月'!DO25:DP25,"六本木ー夜勤")+COUNTIF('11月'!DT25:DU25,"六本木ー夜勤")+COUNTIF('11月'!DY25:DZ25,"六本木ー夜勤")+COUNTIF('11月'!ED25:EE25,"六本木ー夜勤")+COUNTIF('11月'!EI25:EJ25,"六本木ー夜勤")+COUNTIF('11月'!EN25:EO25,"六本木ー夜勤")+COUNTIF('11月'!ES25:ET25,"六本木ー夜勤")</f>
        <v>0</v>
      </c>
      <c r="K397" s="76">
        <f t="shared" si="124"/>
        <v>0</v>
      </c>
      <c r="L397" s="76">
        <f>COUNTIF('11月'!D25:E25,L$374)+COUNTIF('11月'!I25:J25,L$374)+COUNTIF('11月'!N25:O25,L$374)+COUNTIF('11月'!S25:T25,L$374)+COUNTIF('11月'!X25:Y25,L$374)+COUNTIF('11月'!AC25:AD25,L$374)+COUNTIF('11月'!AH25:AI25,L$374)+COUNTIF('11月'!AM25:AN25,L$374)+COUNTIF('11月'!AR25:AS25,L$374)+COUNTIF('11月'!AW25:AX25,L$374)+COUNTIF('11月'!BB25:BC25,L$374)+COUNTIF('11月'!BG25:BH25,L$374)+COUNTIF('11月'!BL25:BM25,L$374)+COUNTIF('11月'!BQ25:BR25,L$374)+COUNTIF('11月'!BV25:BW25,L$374)+COUNTIF('11月'!CA25:CB25,L$374)+COUNTIF('11月'!CF25:CG25,L$374)+COUNTIF('11月'!CK25:CL25,L$374)+COUNTIF('11月'!CP25:CQ25,L$374)+COUNTIF('11月'!CU25:CV25,L$374)+COUNTIF('11月'!CZ25:DA25,L$374)+COUNTIF('11月'!DE25:DF25,L$374)+COUNTIF('11月'!DJ25:DK25,L$374)+COUNTIF('11月'!DO25:DP25,L$374)+COUNTIF('11月'!DT25:DU25,L$374)+COUNTIF('11月'!DY25:DZ25,L$374)+COUNTIF('11月'!ED25:EE25,L$374)+COUNTIF('11月'!EI25:EJ25,L$374)+COUNTIF('11月'!EN25:EO25,L$374)+COUNTIF('11月'!ES25:ET25,L$374)</f>
        <v>0</v>
      </c>
      <c r="M397" s="76">
        <f t="shared" si="125"/>
        <v>0</v>
      </c>
      <c r="N397" s="76">
        <f>COUNTIF('11月'!D25:E25,N$374)+COUNTIF('11月'!I25:J25,N$374)+COUNTIF('11月'!N25:O25,N$374)+COUNTIF('11月'!S25:T25,N$374)+COUNTIF('11月'!X25:Y25,N$374)+COUNTIF('11月'!AC25:AD25,N$374)+COUNTIF('11月'!AH25:AI25,N$374)+COUNTIF('11月'!AM25:AN25,N$374)+COUNTIF('11月'!AR25:AS25,N$374)+COUNTIF('11月'!AW25:AX25,N$374)+COUNTIF('11月'!BB25:BC25,N$374)+COUNTIF('11月'!BG25:BH25,N$374)+COUNTIF('11月'!BL25:BM25,N$374)+COUNTIF('11月'!BQ25:BR25,N$374)+COUNTIF('11月'!BV25:BW25,N$374)+COUNTIF('11月'!CA25:CB25,N$374)+COUNTIF('11月'!CF25:CG25,N$374)+COUNTIF('11月'!CK25:CL25,N$374)+COUNTIF('11月'!CP25:CQ25,N$374)+COUNTIF('11月'!CU25:CV25,N$374)+COUNTIF('11月'!CZ25:DA25,N$374)+COUNTIF('11月'!DE25:DF25,N$374)+COUNTIF('11月'!DJ25:DK25,N$374)+COUNTIF('11月'!DO25:DP25,N$374)+COUNTIF('11月'!DT25:DU25,N$374)+COUNTIF('11月'!DY25:DZ25,N$374)+COUNTIF('11月'!ED25:EE25,N$374)+COUNTIF('11月'!EI25:EJ25,N$374)+COUNTIF('11月'!EN25:EO25,N$374)+COUNTIF('11月'!ES25:ET25,N$374)+COUNTIF('11月'!D25:E25,"三軒茶屋－夜勤")+COUNTIF('11月'!I25:J25,"三軒茶屋－夜勤")+COUNTIF('11月'!N25:O25,"三軒茶屋－夜勤")+COUNTIF('11月'!S25:T25,"三軒茶屋－夜勤")+COUNTIF('11月'!X25:Y25,"三軒茶屋－夜勤")+COUNTIF('11月'!AC25:AD25,"三軒茶屋－夜勤")+COUNTIF('11月'!AH25:AI25,"三軒茶屋－夜勤")+COUNTIF('11月'!AM25:AN25,"三軒茶屋－夜勤")+COUNTIF('11月'!AR25:AS25,"三軒茶屋－夜勤")+COUNTIF('11月'!AW25:AX25,"三軒茶屋－夜勤")+COUNTIF('11月'!BB25:BC25,"三軒茶屋－夜勤")+COUNTIF('11月'!BG25:BH25,"三軒茶屋－夜勤")+COUNTIF('11月'!BL25:BM25,"三軒茶屋－夜勤")+COUNTIF('11月'!BQ25:BR25,"三軒茶屋－夜勤")+COUNTIF('11月'!BV25:BW25,"三軒茶屋－夜勤")+COUNTIF('11月'!CA25:CB25,"三軒茶屋－夜勤")+COUNTIF('11月'!CF25:CG25,"三軒茶屋－夜勤")+COUNTIF('11月'!CK25:CL25,"三軒茶屋－夜勤")+COUNTIF('11月'!CP25:CQ25,"三軒茶屋－夜勤")+COUNTIF('11月'!CU25:CV25,"三軒茶屋－夜勤")+COUNTIF('11月'!CZ25:DA25,"三軒茶屋－夜勤")+COUNTIF('11月'!DE25:DF25,"三軒茶屋－夜勤")+COUNTIF('11月'!DJ25:DK25,"三軒茶屋－夜勤")+COUNTIF('11月'!DO25:DP25,"三軒茶屋－夜勤")+COUNTIF('11月'!DT25:DU25,"三軒茶屋－夜勤")+COUNTIF('11月'!DY25:DZ25,"三軒茶屋－夜勤")+COUNTIF('11月'!ED25:EE25,"三軒茶屋－夜勤")+COUNTIF('11月'!EI25:EJ25,"三軒茶屋－夜勤")+COUNTIF('11月'!EN25:EO25,"三軒茶屋－夜勤")+COUNTIF('11月'!ES25:ET25,"三軒茶屋－夜勤")</f>
        <v>0</v>
      </c>
      <c r="O397" s="76">
        <f t="shared" si="126"/>
        <v>0</v>
      </c>
      <c r="P397" s="76">
        <f>COUNTIF('11月'!D25:E25,P$374)+COUNTIF('11月'!I25:J25,P$374)+COUNTIF('11月'!N25:O25,P$374)+COUNTIF('11月'!S25:T25,P$374)+COUNTIF('11月'!X25:Y25,P$374)+COUNTIF('11月'!AC25:AD25,P$374)+COUNTIF('11月'!AH25:AI25,P$374)+COUNTIF('11月'!AM25:AN25,P$374)+COUNTIF('11月'!AR25:AS25,P$374)+COUNTIF('11月'!AW25:AX25,P$374)+COUNTIF('11月'!BB25:BC25,P$374)+COUNTIF('11月'!BG25:BH25,P$374)+COUNTIF('11月'!BL25:BM25,P$374)+COUNTIF('11月'!BQ25:BR25,P$374)+COUNTIF('11月'!BV25:BW25,P$374)+COUNTIF('11月'!CA25:CB25,P$374)+COUNTIF('11月'!CF25:CG25,P$374)+COUNTIF('11月'!CK25:CL25,P$374)+COUNTIF('11月'!CP25:CQ25,P$374)+COUNTIF('11月'!CU25:CV25,P$374)+COUNTIF('11月'!CZ25:DA25,P$374)+COUNTIF('11月'!DE25:DF25,P$374)+COUNTIF('11月'!DJ25:DK25,P$374)+COUNTIF('11月'!DO25:DP25,P$374)+COUNTIF('11月'!DT25:DU25,P$374)+COUNTIF('11月'!DY25:DZ25,P$374)+COUNTIF('11月'!ED25:EE25,P$374)+COUNTIF('11月'!EI25:EJ25,P$374)+COUNTIF('11月'!EN25:EO25,P$374)+COUNTIF('11月'!ES25:ET25,P$374)+COUNTIF('11月'!D25:E25,"荻窪ー夜勤")+COUNTIF('11月'!I25:J25,"荻窪ー夜勤")+COUNTIF('11月'!N25:O25,"荻窪ー夜勤")+COUNTIF('11月'!S25:T25,"荻窪ー夜勤")+COUNTIF('11月'!X25:Y25,"荻窪ー夜勤")+COUNTIF('11月'!AC25:AD25,"荻窪ー夜勤")+COUNTIF('11月'!AH25:AI25,"荻窪ー夜勤")+COUNTIF('11月'!AM25:AN25,"荻窪ー夜勤")+COUNTIF('11月'!AR25:AS25,"荻窪ー夜勤")+COUNTIF('11月'!AW25:AX25,"荻窪ー夜勤")+COUNTIF('11月'!BB25:BC25,"荻窪ー夜勤")+COUNTIF('11月'!BG25:BH25,"荻窪ー夜勤")+COUNTIF('11月'!BL25:BM25,"荻窪ー夜勤")+COUNTIF('11月'!BQ25:BR25,"荻窪ー夜勤")+COUNTIF('11月'!BV25:BW25,"荻窪ー夜勤")+COUNTIF('11月'!CA25:CB25,"荻窪ー夜勤")+COUNTIF('11月'!CF25:CG25,"荻窪ー夜勤")+COUNTIF('11月'!CK25:CL25,"荻窪ー夜勤")+COUNTIF('11月'!CP25:CQ25,"荻窪ー夜勤")+COUNTIF('11月'!CU25:CV25,"荻窪ー夜勤")+COUNTIF('11月'!CZ25:DA25,"荻窪ー夜勤")+COUNTIF('11月'!DE25:DF25,"荻窪ー夜勤")+COUNTIF('11月'!DJ25:DK25,"荻窪ー夜勤")+COUNTIF('11月'!DO25:DP25,"荻窪ー夜勤")+COUNTIF('11月'!DT25:DU25,"荻窪ー夜勤")+COUNTIF('11月'!DY25:DZ25,"荻窪ー夜勤")+COUNTIF('11月'!ED25:EE25,"荻窪ー夜勤")+COUNTIF('11月'!EI25:EJ25,"荻窪ー夜勤")+COUNTIF('11月'!EN25:EO25,"荻窪ー夜勤")+COUNTIF('11月'!ES25:ET25,"荻窪ー夜勤")</f>
        <v>0</v>
      </c>
      <c r="Q397" s="76">
        <f t="shared" si="127"/>
        <v>0</v>
      </c>
      <c r="R397" s="76">
        <f>COUNTIF('11月'!D25:E25,R$374)+COUNTIF('11月'!I25:J25,R$374)+COUNTIF('11月'!N25:O25,R$374)+COUNTIF('11月'!S25:T25,R$374)+COUNTIF('11月'!X25:Y25,R$374)+COUNTIF('11月'!AC25:AD25,R$374)+COUNTIF('11月'!AH25:AI25,R$374)+COUNTIF('11月'!AM25:AN25,R$374)+COUNTIF('11月'!AR25:AS25,R$374)+COUNTIF('11月'!AW25:AX25,R$374)+COUNTIF('11月'!BB25:BC25,R$374)+COUNTIF('11月'!BG25:BH25,R$374)+COUNTIF('11月'!BL25:BM25,R$374)+COUNTIF('11月'!BQ25:BR25,R$374)+COUNTIF('11月'!BV25:BW25,R$374)+COUNTIF('11月'!CA25:CB25,R$374)+COUNTIF('11月'!CF25:CG25,R$374)+COUNTIF('11月'!CK25:CL25,R$374)+COUNTIF('11月'!CP25:CQ25,R$374)+COUNTIF('11月'!CU25:CV25,R$374)+COUNTIF('11月'!CZ25:DA25,R$374)+COUNTIF('11月'!DE25:DF25,R$374)+COUNTIF('11月'!DJ25:DK25,R$374)+COUNTIF('11月'!DO25:DP25,R$374)+COUNTIF('11月'!DT25:DU25,R$374)+COUNTIF('11月'!DY25:DZ25,R$374)+COUNTIF('11月'!ED25:EE25,R$374)+COUNTIF('11月'!EI25:EJ25,R$374)+COUNTIF('11月'!EN25:EO25,R$374)+COUNTIF('11月'!ES25:ET25,R$374)</f>
        <v>0</v>
      </c>
      <c r="S397" s="76">
        <f t="shared" si="128"/>
        <v>0</v>
      </c>
      <c r="T397" s="76">
        <f>COUNTIF('11月'!D25:E25,T$374)+COUNTIF('11月'!I25:J25,T$374)+COUNTIF('11月'!N25:O25,T$374)+COUNTIF('11月'!S25:T25,T$374)+COUNTIF('11月'!X25:Y25,T$374)+COUNTIF('11月'!AC25:AD25,T$374)+COUNTIF('11月'!AH25:AI25,T$374)+COUNTIF('11月'!AM25:AN25,T$374)+COUNTIF('11月'!AR25:AS25,T$374)+COUNTIF('11月'!AW25:AX25,T$374)+COUNTIF('11月'!BB25:BC25,T$374)+COUNTIF('11月'!BG25:BH25,T$374)+COUNTIF('11月'!BL25:BM25,T$374)+COUNTIF('11月'!BQ25:BR25,T$374)+COUNTIF('11月'!BV25:BW25,T$374)+COUNTIF('11月'!CA25:CB25,T$374)+COUNTIF('11月'!CF25:CG25,T$374)+COUNTIF('11月'!CK25:CL25,T$374)+COUNTIF('11月'!CP25:CQ25,T$374)+COUNTIF('11月'!CU25:CV25,T$374)+COUNTIF('11月'!CZ25:DA25,T$374)+COUNTIF('11月'!DE25:DF25,T$374)+COUNTIF('11月'!DJ25:DK25,T$374)+COUNTIF('11月'!DO25:DP25,T$374)+COUNTIF('11月'!DT25:DU25,T$374)+COUNTIF('11月'!DY25:DZ25,T$374)+COUNTIF('11月'!ED25:EE25,T$374)+COUNTIF('11月'!EI25:EJ25,T$374)+COUNTIF('11月'!EN25:EO25,T$374)+COUNTIF('11月'!ES25:ET25,T$374)</f>
        <v>0</v>
      </c>
      <c r="U397" s="76">
        <f t="shared" si="129"/>
        <v>0</v>
      </c>
      <c r="V397" s="76">
        <f>COUNTIF('11月'!D25:E25,V$374)+COUNTIF('11月'!I25:J25,V$374)+COUNTIF('11月'!N25:O25,V$374)+COUNTIF('11月'!S25:T25,V$374)+COUNTIF('11月'!X25:Y25,V$374)+COUNTIF('11月'!AC25:AD25,V$374)+COUNTIF('11月'!AH25:AI25,V$374)+COUNTIF('11月'!AM25:AN25,V$374)+COUNTIF('11月'!AR25:AS25,V$374)+COUNTIF('11月'!AW25:AX25,V$374)+COUNTIF('11月'!BB25:BC25,V$374)+COUNTIF('11月'!BG25:BH25,V$374)+COUNTIF('11月'!BL25:BM25,V$374)+COUNTIF('11月'!BQ25:BR25,V$374)+COUNTIF('11月'!BV25:BW25,V$374)+COUNTIF('11月'!CA25:CB25,V$374)+COUNTIF('11月'!CF25:CG25,V$374)+COUNTIF('11月'!CK25:CL25,V$374)+COUNTIF('11月'!CP25:CQ25,V$374)+COUNTIF('11月'!CU25:CV25,V$374)+COUNTIF('11月'!CZ25:DA25,V$374)+COUNTIF('11月'!DE25:DF25,V$374)+COUNTIF('11月'!DJ25:DK25,V$374)+COUNTIF('11月'!DO25:DP25,V$374)+COUNTIF('11月'!DT25:DU25,V$374)+COUNTIF('11月'!DY25:DZ25,V$374)+COUNTIF('11月'!ED25:EE25,V$374)+COUNTIF('11月'!EI25:EJ25,V$374)+COUNTIF('11月'!EN25:EO25,V$374)+COUNTIF('11月'!ES25:ET25,V$374)</f>
        <v>0</v>
      </c>
      <c r="W397" s="76">
        <f t="shared" si="130"/>
        <v>0</v>
      </c>
      <c r="X397" s="76">
        <f>COUNTIF('11月'!D25:E25,X$374)+COUNTIF('11月'!I25:J25,X$374)+COUNTIF('11月'!N25:O25,X$374)+COUNTIF('11月'!S25:T25,X$374)+COUNTIF('11月'!X25:Y25,X$374)+COUNTIF('11月'!AC25:AD25,X$374)+COUNTIF('11月'!AH25:AI25,X$374)+COUNTIF('11月'!AM25:AN25,X$374)+COUNTIF('11月'!AR25:AS25,X$374)+COUNTIF('11月'!AW25:AX25,X$374)+COUNTIF('11月'!BB25:BC25,X$374)+COUNTIF('11月'!BG25:BH25,X$374)+COUNTIF('11月'!BL25:BM25,X$374)+COUNTIF('11月'!BQ25:BR25,X$374)+COUNTIF('11月'!BV25:BW25,X$374)+COUNTIF('11月'!CA25:CB25,X$374)+COUNTIF('11月'!CF25:CG25,X$374)+COUNTIF('11月'!CK25:CL25,X$374)+COUNTIF('11月'!CP25:CQ25,X$374)+COUNTIF('11月'!CU25:CV25,X$374)+COUNTIF('11月'!CZ25:DA25,X$374)+COUNTIF('11月'!DE25:DF25,X$374)+COUNTIF('11月'!DJ25:DK25,X$374)+COUNTIF('11月'!DO25:DP25,X$374)+COUNTIF('11月'!DT25:DU25,X$374)+COUNTIF('11月'!DY25:DZ25,X$374)+COUNTIF('11月'!ED25:EE25,X$374)+COUNTIF('11月'!EI25:EJ25,X$374)+COUNTIF('11月'!EN25:EO25,X$374)+COUNTIF('11月'!ES25:ET25,X$374)</f>
        <v>0</v>
      </c>
      <c r="Y397" s="76">
        <f t="shared" si="131"/>
        <v>0</v>
      </c>
    </row>
    <row r="398" spans="1:25" ht="18" customHeight="1">
      <c r="A398" s="76">
        <v>23</v>
      </c>
      <c r="B398" s="76">
        <f>COUNTIF('11月'!D26:E26,B$374)+COUNTIF('11月'!I26:J26,B$374)+COUNTIF('11月'!N26:O26,B$374)+COUNTIF('11月'!S26:T26,B$374)+COUNTIF('11月'!X26:Y26,B$374)+COUNTIF('11月'!AC26:AD26,B$374)+COUNTIF('11月'!AH26:AI26,B$374)+COUNTIF('11月'!AM26:AN26,B$374)+COUNTIF('11月'!AR26:AS26,B$374)+COUNTIF('11月'!AW26:AX26,B$374)+COUNTIF('11月'!BB26:BC26,B$374)+COUNTIF('11月'!BG26:BH26,B$374)+COUNTIF('11月'!BL26:BM26,B$374)+COUNTIF('11月'!BQ26:BR26,B$374)+COUNTIF('11月'!BV26:BW26,B$374)+COUNTIF('11月'!CA26:CB26,B$374)+COUNTIF('11月'!CF26:CG26,B$374)+COUNTIF('11月'!CK26:CL26,B$374)+COUNTIF('11月'!CP26:CQ26,B$374)+COUNTIF('11月'!CU26:CV26,B$374)+COUNTIF('11月'!CZ26:DA26,B$374)+COUNTIF('11月'!DE26:DF26,B$374)+COUNTIF('11月'!DJ26:DK26,B$374)+COUNTIF('11月'!DO26:DP26,B$374)+COUNTIF('11月'!DT26:DU26,B$374)+COUNTIF('11月'!DY26:DZ26,B$374)+COUNTIF('11月'!ED26:EE26,B$374)+COUNTIF('11月'!EI26:EJ26,B$374)+COUNTIF('11月'!EN26:EO26,B$374)+COUNTIF('11月'!ES26:ET26,B$374)</f>
        <v>0</v>
      </c>
      <c r="C398" s="76">
        <f t="shared" si="120"/>
        <v>0</v>
      </c>
      <c r="D398" s="76">
        <f>COUNTIF('11月'!D26:E26,D$374)+COUNTIF('11月'!I26:J26,D$374)+COUNTIF('11月'!N26:O26,D$374)+COUNTIF('11月'!S26:T26,D$374)+COUNTIF('11月'!X26:Y26,D$374)+COUNTIF('11月'!AC26:AD26,D$374)+COUNTIF('11月'!AH26:AI26,D$374)+COUNTIF('11月'!AM26:AN26,D$374)+COUNTIF('11月'!AR26:AS26,D$374)+COUNTIF('11月'!AW26:AX26,D$374)+COUNTIF('11月'!BB26:BC26,D$374)+COUNTIF('11月'!BG26:BH26,D$374)+COUNTIF('11月'!BL26:BM26,D$374)+COUNTIF('11月'!BQ26:BR26,D$374)+COUNTIF('11月'!BV26:BW26,D$374)+COUNTIF('11月'!CA26:CB26,D$374)+COUNTIF('11月'!CF26:CG26,D$374)+COUNTIF('11月'!CK26:CL26,D$374)+COUNTIF('11月'!CP26:CQ26,D$374)+COUNTIF('11月'!CU26:CV26,D$374)+COUNTIF('11月'!CZ26:DA26,D$374)+COUNTIF('11月'!DE26:DF26,D$374)+COUNTIF('11月'!DJ26:DK26,D$374)+COUNTIF('11月'!DO26:DP26,D$374)+COUNTIF('11月'!DT26:DU26,D$374)+COUNTIF('11月'!DY26:DZ26,D$374)+COUNTIF('11月'!ED26:EE26,D$374)+COUNTIF('11月'!EI26:EJ26,D$374)+COUNTIF('11月'!EN26:EO26,D$374)+COUNTIF('11月'!ES26:ET26,D$374)</f>
        <v>0</v>
      </c>
      <c r="E398" s="76">
        <f t="shared" si="121"/>
        <v>0</v>
      </c>
      <c r="F398" s="76">
        <f>COUNTIF('11月'!D26:E26,F$374)+COUNTIF('11月'!I26:J26,F$374)+COUNTIF('11月'!N26:O26,F$374)+COUNTIF('11月'!S26:T26,F$374)+COUNTIF('11月'!X26:Y26,F$374)+COUNTIF('11月'!AC26:AD26,F$374)+COUNTIF('11月'!AH26:AI26,F$374)+COUNTIF('11月'!AM26:AN26,F$374)+COUNTIF('11月'!AR26:AS26,F$374)+COUNTIF('11月'!AW26:AX26,F$374)+COUNTIF('11月'!BB26:BC26,F$374)+COUNTIF('11月'!BG26:BH26,F$374)+COUNTIF('11月'!BL26:BM26,F$374)+COUNTIF('11月'!BQ26:BR26,F$374)+COUNTIF('11月'!BV26:BW26,F$374)+COUNTIF('11月'!CA26:CB26,F$374)+COUNTIF('11月'!CF26:CG26,F$374)+COUNTIF('11月'!CK26:CL26,F$374)+COUNTIF('11月'!CP26:CQ26,F$374)+COUNTIF('11月'!CU26:CV26,F$374)+COUNTIF('11月'!CZ26:DA26,F$374)+COUNTIF('11月'!DE26:DF26,F$374)+COUNTIF('11月'!DJ26:DK26,F$374)+COUNTIF('11月'!DO26:DP26,F$374)+COUNTIF('11月'!DT26:DU26,F$374)+COUNTIF('11月'!DY26:DZ26,F$374)+COUNTIF('11月'!ED26:EE26,F$374)+COUNTIF('11月'!EI26:EJ26,F$374)+COUNTIF('11月'!EN26:EO26,F$374)+COUNTIF('11月'!ES26:ET26,F$374)</f>
        <v>0</v>
      </c>
      <c r="G398" s="76">
        <f t="shared" si="122"/>
        <v>0</v>
      </c>
      <c r="H398" s="76">
        <f>COUNTIF('11月'!D26:E26,H$374)+COUNTIF('11月'!I26:J26,H$374)+COUNTIF('11月'!N26:O26,H$374)+COUNTIF('11月'!S26:T26,H$374)+COUNTIF('11月'!X26:Y26,H$374)+COUNTIF('11月'!AC26:AD26,H$374)+COUNTIF('11月'!AH26:AI26,H$374)+COUNTIF('11月'!AM26:AN26,H$374)+COUNTIF('11月'!AR26:AS26,H$374)+COUNTIF('11月'!AW26:AX26,H$374)+COUNTIF('11月'!BB26:BC26,H$374)+COUNTIF('11月'!BG26:BH26,H$374)+COUNTIF('11月'!BL26:BM26,H$374)+COUNTIF('11月'!BQ26:BR26,H$374)+COUNTIF('11月'!BV26:BW26,H$374)+COUNTIF('11月'!CA26:CB26,H$374)+COUNTIF('11月'!CF26:CG26,H$374)+COUNTIF('11月'!CK26:CL26,H$374)+COUNTIF('11月'!CP26:CQ26,H$374)+COUNTIF('11月'!CU26:CV26,H$374)+COUNTIF('11月'!CZ26:DA26,H$374)+COUNTIF('11月'!DE26:DF26,H$374)+COUNTIF('11月'!DJ26:DK26,H$374)+COUNTIF('11月'!DO26:DP26,H$374)+COUNTIF('11月'!DT26:DU26,H$374)+COUNTIF('11月'!DY26:DZ26,H$374)+COUNTIF('11月'!ED26:EE26,H$374)+COUNTIF('11月'!EI26:EJ26,H$374)+COUNTIF('11月'!EN26:EO26,H$374)+COUNTIF('11月'!ES26:ET26,H$374)+COUNTIF('11月'!D26:E26,"渋谷-夜勤")+COUNTIF('11月'!I26:J26,"渋谷-夜勤")+COUNTIF('11月'!N26:O26,"渋谷-夜勤")+COUNTIF('11月'!S26:T26,"渋谷-夜勤")+COUNTIF('11月'!X26:Y26,"渋谷-夜勤")+COUNTIF('11月'!AC26:AD26,"渋谷-夜勤")+COUNTIF('11月'!AH26:AI26,"渋谷-夜勤")+COUNTIF('11月'!AM26:AN26,"渋谷-夜勤")+COUNTIF('11月'!AR26:AS26,"渋谷-夜勤")+COUNTIF('11月'!AW26:AX26,"渋谷-夜勤")+COUNTIF('11月'!BB26:BC26,"渋谷-夜勤")+COUNTIF('11月'!BG26:BH26,"渋谷-夜勤")+COUNTIF('11月'!BL26:BM26,"渋谷-夜勤")+COUNTIF('11月'!BQ26:BR26,"渋谷-夜勤")+COUNTIF('11月'!BV26:BW26,"渋谷-夜勤")+COUNTIF('11月'!CA26:CB26,"渋谷-夜勤")+COUNTIF('11月'!CF26:CG26,"渋谷-夜勤")+COUNTIF('11月'!CK26:CL26,"渋谷-夜勤")+COUNTIF('11月'!CP26:CQ26,"渋谷-夜勤")+COUNTIF('11月'!CU26:CV26,"渋谷-夜勤")+COUNTIF('11月'!CZ26:DA26,"渋谷-夜勤")+COUNTIF('11月'!DE26:DF26,"渋谷-夜勤")+COUNTIF('11月'!DJ26:DK26,"渋谷-夜勤")+COUNTIF('11月'!DO26:DP26,"渋谷-夜勤")+COUNTIF('11月'!DT26:DU26,"渋谷-夜勤")+COUNTIF('11月'!DY26:DZ26,"渋谷-夜勤")+COUNTIF('11月'!ED26:EE26,"渋谷-夜勤")+COUNTIF('11月'!EI26:EJ26,"渋谷-夜勤")+COUNTIF('11月'!EN26:EO26,"渋谷-夜勤")+COUNTIF('11月'!ES26:ET26,"渋谷-夜勤")</f>
        <v>0</v>
      </c>
      <c r="I398" s="76">
        <f t="shared" si="123"/>
        <v>0</v>
      </c>
      <c r="J398" s="76">
        <f>COUNTIF('11月'!D26:E26,J$374)+COUNTIF('11月'!I26:J26,J$374)+COUNTIF('11月'!N26:O26,J$374)+COUNTIF('11月'!S26:T26,J$374)+COUNTIF('11月'!X26:Y26,J$374)+COUNTIF('11月'!AC26:AD26,J$374)+COUNTIF('11月'!AH26:AI26,J$374)+COUNTIF('11月'!AM26:AN26,J$374)+COUNTIF('11月'!AR26:AS26,J$374)+COUNTIF('11月'!AW26:AX26,J$374)+COUNTIF('11月'!BB26:BC26,J$374)+COUNTIF('11月'!BG26:BH26,J$374)+COUNTIF('11月'!BL26:BM26,J$374)+COUNTIF('11月'!BQ26:BR26,J$374)+COUNTIF('11月'!BV26:BW26,J$374)+COUNTIF('11月'!CA26:CB26,J$374)+COUNTIF('11月'!CF26:CG26,J$374)+COUNTIF('11月'!CK26:CL26,J$374)+COUNTIF('11月'!CP26:CQ26,J$374)+COUNTIF('11月'!CU26:CV26,J$374)+COUNTIF('11月'!CZ26:DA26,J$374)+COUNTIF('11月'!DE26:DF26,J$374)+COUNTIF('11月'!DJ26:DK26,J$374)+COUNTIF('11月'!DO26:DP26,J$374)+COUNTIF('11月'!DT26:DU26,J$374)+COUNTIF('11月'!DY26:DZ26,J$374)+COUNTIF('11月'!ED26:EE26,J$374)+COUNTIF('11月'!EI26:EJ26,J$374)+COUNTIF('11月'!EN26:EO26,J$374)+COUNTIF('11月'!ES26:ET26,J$374)+COUNTIF('11月'!D26:E26,"六本木-夜勤")+COUNTIF('11月'!I26:J26,"六本木-夜勤")+COUNTIF('11月'!N26:O26,"六本木-夜勤")+COUNTIF('11月'!S26:T26,"六本木-夜勤")+COUNTIF('11月'!X26:Y26,"六本木-夜勤")+COUNTIF('11月'!AC26:AD26,"六本木-夜勤")+COUNTIF('11月'!AH26:AI26,"六本木-夜勤")+COUNTIF('11月'!AM26:AN26,"六本木-夜勤")+COUNTIF('11月'!AR26:AS26,"六本木-夜勤")+COUNTIF('11月'!AW26:AX26,"六本木-夜勤")+COUNTIF('11月'!BB26:BC26,"六本木-夜勤")+COUNTIF('11月'!BG26:BH26,"六本木-夜勤")+COUNTIF('11月'!BL26:BM26,"六本木-夜勤")+COUNTIF('11月'!BQ26:BR26,"六本木-夜勤")+COUNTIF('11月'!BV26:BW26,"六本木-夜勤")+COUNTIF('11月'!CA26:CB26,"六本木-夜勤")+COUNTIF('11月'!CF26:CG26,"六本木-夜勤")+COUNTIF('11月'!CK26:CL26,"六本木-夜勤")+COUNTIF('11月'!CP26:CQ26,"六本木-夜勤")+COUNTIF('11月'!CU26:CV26,"六本木-夜勤")+COUNTIF('11月'!CZ26:DA26,"六本木-夜勤")+COUNTIF('11月'!DE26:DF26,"六本木-夜勤")+COUNTIF('11月'!DJ26:DK26,"六本木-夜勤")+COUNTIF('11月'!DO26:DP26,"六本木-夜勤")+COUNTIF('11月'!DT26:DU26,"六本木-夜勤")+COUNTIF('11月'!DY26:DZ26,"六本木-夜勤")+COUNTIF('11月'!ED26:EE26,"六本木-夜勤")+COUNTIF('11月'!EI26:EJ26,"六本木-夜勤")+COUNTIF('11月'!EN26:EO26,"六本木-夜勤")+COUNTIF('11月'!ES26:ET26,"六本木-夜勤")+COUNTIF('11月'!D26:E26,"六本木ー夜勤")+COUNTIF('11月'!I26:J26,"六本木ー夜勤")+COUNTIF('11月'!N26:O26,"六本木ー夜勤")+COUNTIF('11月'!S26:T26,"六本木ー夜勤")+COUNTIF('11月'!X26:Y26,"六本木ー夜勤")+COUNTIF('11月'!AC26:AD26,"六本木ー夜勤")+COUNTIF('11月'!AH26:AI26,"六本木ー夜勤")+COUNTIF('11月'!AM26:AN26,"六本木ー夜勤")+COUNTIF('11月'!AR26:AS26,"六本木ー夜勤")+COUNTIF('11月'!AW26:AX26,"六本木ー夜勤")+COUNTIF('11月'!BB26:BC26,"六本木ー夜勤")+COUNTIF('11月'!BG26:BH26,"六本木ー夜勤")+COUNTIF('11月'!BL26:BM26,"六本木ー夜勤")+COUNTIF('11月'!BQ26:BR26,"六本木ー夜勤")+COUNTIF('11月'!BV26:BW26,"六本木ー夜勤")+COUNTIF('11月'!CA26:CB26,"六本木ー夜勤")+COUNTIF('11月'!CF26:CG26,"六本木ー夜勤")+COUNTIF('11月'!CK26:CL26,"六本木ー夜勤")+COUNTIF('11月'!CP26:CQ26,"六本木ー夜勤")+COUNTIF('11月'!CU26:CV26,"六本木ー夜勤")+COUNTIF('11月'!CZ26:DA26,"六本木ー夜勤")+COUNTIF('11月'!DE26:DF26,"六本木ー夜勤")+COUNTIF('11月'!DJ26:DK26,"六本木ー夜勤")+COUNTIF('11月'!DO26:DP26,"六本木ー夜勤")+COUNTIF('11月'!DT26:DU26,"六本木ー夜勤")+COUNTIF('11月'!DY26:DZ26,"六本木ー夜勤")+COUNTIF('11月'!ED26:EE26,"六本木ー夜勤")+COUNTIF('11月'!EI26:EJ26,"六本木ー夜勤")+COUNTIF('11月'!EN26:EO26,"六本木ー夜勤")+COUNTIF('11月'!ES26:ET26,"六本木ー夜勤")</f>
        <v>0</v>
      </c>
      <c r="K398" s="76">
        <f t="shared" si="124"/>
        <v>0</v>
      </c>
      <c r="L398" s="76">
        <f>COUNTIF('11月'!D26:E26,L$374)+COUNTIF('11月'!I26:J26,L$374)+COUNTIF('11月'!N26:O26,L$374)+COUNTIF('11月'!S26:T26,L$374)+COUNTIF('11月'!X26:Y26,L$374)+COUNTIF('11月'!AC26:AD26,L$374)+COUNTIF('11月'!AH26:AI26,L$374)+COUNTIF('11月'!AM26:AN26,L$374)+COUNTIF('11月'!AR26:AS26,L$374)+COUNTIF('11月'!AW26:AX26,L$374)+COUNTIF('11月'!BB26:BC26,L$374)+COUNTIF('11月'!BG26:BH26,L$374)+COUNTIF('11月'!BL26:BM26,L$374)+COUNTIF('11月'!BQ26:BR26,L$374)+COUNTIF('11月'!BV26:BW26,L$374)+COUNTIF('11月'!CA26:CB26,L$374)+COUNTIF('11月'!CF26:CG26,L$374)+COUNTIF('11月'!CK26:CL26,L$374)+COUNTIF('11月'!CP26:CQ26,L$374)+COUNTIF('11月'!CU26:CV26,L$374)+COUNTIF('11月'!CZ26:DA26,L$374)+COUNTIF('11月'!DE26:DF26,L$374)+COUNTIF('11月'!DJ26:DK26,L$374)+COUNTIF('11月'!DO26:DP26,L$374)+COUNTIF('11月'!DT26:DU26,L$374)+COUNTIF('11月'!DY26:DZ26,L$374)+COUNTIF('11月'!ED26:EE26,L$374)+COUNTIF('11月'!EI26:EJ26,L$374)+COUNTIF('11月'!EN26:EO26,L$374)+COUNTIF('11月'!ES26:ET26,L$374)</f>
        <v>0</v>
      </c>
      <c r="M398" s="76">
        <f t="shared" si="125"/>
        <v>0</v>
      </c>
      <c r="N398" s="76">
        <f>COUNTIF('11月'!D26:E26,N$374)+COUNTIF('11月'!I26:J26,N$374)+COUNTIF('11月'!N26:O26,N$374)+COUNTIF('11月'!S26:T26,N$374)+COUNTIF('11月'!X26:Y26,N$374)+COUNTIF('11月'!AC26:AD26,N$374)+COUNTIF('11月'!AH26:AI26,N$374)+COUNTIF('11月'!AM26:AN26,N$374)+COUNTIF('11月'!AR26:AS26,N$374)+COUNTIF('11月'!AW26:AX26,N$374)+COUNTIF('11月'!BB26:BC26,N$374)+COUNTIF('11月'!BG26:BH26,N$374)+COUNTIF('11月'!BL26:BM26,N$374)+COUNTIF('11月'!BQ26:BR26,N$374)+COUNTIF('11月'!BV26:BW26,N$374)+COUNTIF('11月'!CA26:CB26,N$374)+COUNTIF('11月'!CF26:CG26,N$374)+COUNTIF('11月'!CK26:CL26,N$374)+COUNTIF('11月'!CP26:CQ26,N$374)+COUNTIF('11月'!CU26:CV26,N$374)+COUNTIF('11月'!CZ26:DA26,N$374)+COUNTIF('11月'!DE26:DF26,N$374)+COUNTIF('11月'!DJ26:DK26,N$374)+COUNTIF('11月'!DO26:DP26,N$374)+COUNTIF('11月'!DT26:DU26,N$374)+COUNTIF('11月'!DY26:DZ26,N$374)+COUNTIF('11月'!ED26:EE26,N$374)+COUNTIF('11月'!EI26:EJ26,N$374)+COUNTIF('11月'!EN26:EO26,N$374)+COUNTIF('11月'!ES26:ET26,N$374)+COUNTIF('11月'!D26:E26,"三軒茶屋－夜勤")+COUNTIF('11月'!I26:J26,"三軒茶屋－夜勤")+COUNTIF('11月'!N26:O26,"三軒茶屋－夜勤")+COUNTIF('11月'!S26:T26,"三軒茶屋－夜勤")+COUNTIF('11月'!X26:Y26,"三軒茶屋－夜勤")+COUNTIF('11月'!AC26:AD26,"三軒茶屋－夜勤")+COUNTIF('11月'!AH26:AI26,"三軒茶屋－夜勤")+COUNTIF('11月'!AM26:AN26,"三軒茶屋－夜勤")+COUNTIF('11月'!AR26:AS26,"三軒茶屋－夜勤")+COUNTIF('11月'!AW26:AX26,"三軒茶屋－夜勤")+COUNTIF('11月'!BB26:BC26,"三軒茶屋－夜勤")+COUNTIF('11月'!BG26:BH26,"三軒茶屋－夜勤")+COUNTIF('11月'!BL26:BM26,"三軒茶屋－夜勤")+COUNTIF('11月'!BQ26:BR26,"三軒茶屋－夜勤")+COUNTIF('11月'!BV26:BW26,"三軒茶屋－夜勤")+COUNTIF('11月'!CA26:CB26,"三軒茶屋－夜勤")+COUNTIF('11月'!CF26:CG26,"三軒茶屋－夜勤")+COUNTIF('11月'!CK26:CL26,"三軒茶屋－夜勤")+COUNTIF('11月'!CP26:CQ26,"三軒茶屋－夜勤")+COUNTIF('11月'!CU26:CV26,"三軒茶屋－夜勤")+COUNTIF('11月'!CZ26:DA26,"三軒茶屋－夜勤")+COUNTIF('11月'!DE26:DF26,"三軒茶屋－夜勤")+COUNTIF('11月'!DJ26:DK26,"三軒茶屋－夜勤")+COUNTIF('11月'!DO26:DP26,"三軒茶屋－夜勤")+COUNTIF('11月'!DT26:DU26,"三軒茶屋－夜勤")+COUNTIF('11月'!DY26:DZ26,"三軒茶屋－夜勤")+COUNTIF('11月'!ED26:EE26,"三軒茶屋－夜勤")+COUNTIF('11月'!EI26:EJ26,"三軒茶屋－夜勤")+COUNTIF('11月'!EN26:EO26,"三軒茶屋－夜勤")+COUNTIF('11月'!ES26:ET26,"三軒茶屋－夜勤")</f>
        <v>0</v>
      </c>
      <c r="O398" s="76">
        <f t="shared" si="126"/>
        <v>0</v>
      </c>
      <c r="P398" s="76">
        <f>COUNTIF('11月'!D26:E26,P$374)+COUNTIF('11月'!I26:J26,P$374)+COUNTIF('11月'!N26:O26,P$374)+COUNTIF('11月'!S26:T26,P$374)+COUNTIF('11月'!X26:Y26,P$374)+COUNTIF('11月'!AC26:AD26,P$374)+COUNTIF('11月'!AH26:AI26,P$374)+COUNTIF('11月'!AM26:AN26,P$374)+COUNTIF('11月'!AR26:AS26,P$374)+COUNTIF('11月'!AW26:AX26,P$374)+COUNTIF('11月'!BB26:BC26,P$374)+COUNTIF('11月'!BG26:BH26,P$374)+COUNTIF('11月'!BL26:BM26,P$374)+COUNTIF('11月'!BQ26:BR26,P$374)+COUNTIF('11月'!BV26:BW26,P$374)+COUNTIF('11月'!CA26:CB26,P$374)+COUNTIF('11月'!CF26:CG26,P$374)+COUNTIF('11月'!CK26:CL26,P$374)+COUNTIF('11月'!CP26:CQ26,P$374)+COUNTIF('11月'!CU26:CV26,P$374)+COUNTIF('11月'!CZ26:DA26,P$374)+COUNTIF('11月'!DE26:DF26,P$374)+COUNTIF('11月'!DJ26:DK26,P$374)+COUNTIF('11月'!DO26:DP26,P$374)+COUNTIF('11月'!DT26:DU26,P$374)+COUNTIF('11月'!DY26:DZ26,P$374)+COUNTIF('11月'!ED26:EE26,P$374)+COUNTIF('11月'!EI26:EJ26,P$374)+COUNTIF('11月'!EN26:EO26,P$374)+COUNTIF('11月'!ES26:ET26,P$374)+COUNTIF('11月'!D26:E26,"荻窪ー夜勤")+COUNTIF('11月'!I26:J26,"荻窪ー夜勤")+COUNTIF('11月'!N26:O26,"荻窪ー夜勤")+COUNTIF('11月'!S26:T26,"荻窪ー夜勤")+COUNTIF('11月'!X26:Y26,"荻窪ー夜勤")+COUNTIF('11月'!AC26:AD26,"荻窪ー夜勤")+COUNTIF('11月'!AH26:AI26,"荻窪ー夜勤")+COUNTIF('11月'!AM26:AN26,"荻窪ー夜勤")+COUNTIF('11月'!AR26:AS26,"荻窪ー夜勤")+COUNTIF('11月'!AW26:AX26,"荻窪ー夜勤")+COUNTIF('11月'!BB26:BC26,"荻窪ー夜勤")+COUNTIF('11月'!BG26:BH26,"荻窪ー夜勤")+COUNTIF('11月'!BL26:BM26,"荻窪ー夜勤")+COUNTIF('11月'!BQ26:BR26,"荻窪ー夜勤")+COUNTIF('11月'!BV26:BW26,"荻窪ー夜勤")+COUNTIF('11月'!CA26:CB26,"荻窪ー夜勤")+COUNTIF('11月'!CF26:CG26,"荻窪ー夜勤")+COUNTIF('11月'!CK26:CL26,"荻窪ー夜勤")+COUNTIF('11月'!CP26:CQ26,"荻窪ー夜勤")+COUNTIF('11月'!CU26:CV26,"荻窪ー夜勤")+COUNTIF('11月'!CZ26:DA26,"荻窪ー夜勤")+COUNTIF('11月'!DE26:DF26,"荻窪ー夜勤")+COUNTIF('11月'!DJ26:DK26,"荻窪ー夜勤")+COUNTIF('11月'!DO26:DP26,"荻窪ー夜勤")+COUNTIF('11月'!DT26:DU26,"荻窪ー夜勤")+COUNTIF('11月'!DY26:DZ26,"荻窪ー夜勤")+COUNTIF('11月'!ED26:EE26,"荻窪ー夜勤")+COUNTIF('11月'!EI26:EJ26,"荻窪ー夜勤")+COUNTIF('11月'!EN26:EO26,"荻窪ー夜勤")+COUNTIF('11月'!ES26:ET26,"荻窪ー夜勤")</f>
        <v>0</v>
      </c>
      <c r="Q398" s="76">
        <f t="shared" si="127"/>
        <v>0</v>
      </c>
      <c r="R398" s="76">
        <f>COUNTIF('11月'!D26:E26,R$374)+COUNTIF('11月'!I26:J26,R$374)+COUNTIF('11月'!N26:O26,R$374)+COUNTIF('11月'!S26:T26,R$374)+COUNTIF('11月'!X26:Y26,R$374)+COUNTIF('11月'!AC26:AD26,R$374)+COUNTIF('11月'!AH26:AI26,R$374)+COUNTIF('11月'!AM26:AN26,R$374)+COUNTIF('11月'!AR26:AS26,R$374)+COUNTIF('11月'!AW26:AX26,R$374)+COUNTIF('11月'!BB26:BC26,R$374)+COUNTIF('11月'!BG26:BH26,R$374)+COUNTIF('11月'!BL26:BM26,R$374)+COUNTIF('11月'!BQ26:BR26,R$374)+COUNTIF('11月'!BV26:BW26,R$374)+COUNTIF('11月'!CA26:CB26,R$374)+COUNTIF('11月'!CF26:CG26,R$374)+COUNTIF('11月'!CK26:CL26,R$374)+COUNTIF('11月'!CP26:CQ26,R$374)+COUNTIF('11月'!CU26:CV26,R$374)+COUNTIF('11月'!CZ26:DA26,R$374)+COUNTIF('11月'!DE26:DF26,R$374)+COUNTIF('11月'!DJ26:DK26,R$374)+COUNTIF('11月'!DO26:DP26,R$374)+COUNTIF('11月'!DT26:DU26,R$374)+COUNTIF('11月'!DY26:DZ26,R$374)+COUNTIF('11月'!ED26:EE26,R$374)+COUNTIF('11月'!EI26:EJ26,R$374)+COUNTIF('11月'!EN26:EO26,R$374)+COUNTIF('11月'!ES26:ET26,R$374)</f>
        <v>0</v>
      </c>
      <c r="S398" s="76">
        <f t="shared" si="128"/>
        <v>0</v>
      </c>
      <c r="T398" s="76">
        <f>COUNTIF('11月'!D26:E26,T$374)+COUNTIF('11月'!I26:J26,T$374)+COUNTIF('11月'!N26:O26,T$374)+COUNTIF('11月'!S26:T26,T$374)+COUNTIF('11月'!X26:Y26,T$374)+COUNTIF('11月'!AC26:AD26,T$374)+COUNTIF('11月'!AH26:AI26,T$374)+COUNTIF('11月'!AM26:AN26,T$374)+COUNTIF('11月'!AR26:AS26,T$374)+COUNTIF('11月'!AW26:AX26,T$374)+COUNTIF('11月'!BB26:BC26,T$374)+COUNTIF('11月'!BG26:BH26,T$374)+COUNTIF('11月'!BL26:BM26,T$374)+COUNTIF('11月'!BQ26:BR26,T$374)+COUNTIF('11月'!BV26:BW26,T$374)+COUNTIF('11月'!CA26:CB26,T$374)+COUNTIF('11月'!CF26:CG26,T$374)+COUNTIF('11月'!CK26:CL26,T$374)+COUNTIF('11月'!CP26:CQ26,T$374)+COUNTIF('11月'!CU26:CV26,T$374)+COUNTIF('11月'!CZ26:DA26,T$374)+COUNTIF('11月'!DE26:DF26,T$374)+COUNTIF('11月'!DJ26:DK26,T$374)+COUNTIF('11月'!DO26:DP26,T$374)+COUNTIF('11月'!DT26:DU26,T$374)+COUNTIF('11月'!DY26:DZ26,T$374)+COUNTIF('11月'!ED26:EE26,T$374)+COUNTIF('11月'!EI26:EJ26,T$374)+COUNTIF('11月'!EN26:EO26,T$374)+COUNTIF('11月'!ES26:ET26,T$374)</f>
        <v>0</v>
      </c>
      <c r="U398" s="76">
        <f t="shared" si="129"/>
        <v>0</v>
      </c>
      <c r="V398" s="76">
        <f>COUNTIF('11月'!D26:E26,V$374)+COUNTIF('11月'!I26:J26,V$374)+COUNTIF('11月'!N26:O26,V$374)+COUNTIF('11月'!S26:T26,V$374)+COUNTIF('11月'!X26:Y26,V$374)+COUNTIF('11月'!AC26:AD26,V$374)+COUNTIF('11月'!AH26:AI26,V$374)+COUNTIF('11月'!AM26:AN26,V$374)+COUNTIF('11月'!AR26:AS26,V$374)+COUNTIF('11月'!AW26:AX26,V$374)+COUNTIF('11月'!BB26:BC26,V$374)+COUNTIF('11月'!BG26:BH26,V$374)+COUNTIF('11月'!BL26:BM26,V$374)+COUNTIF('11月'!BQ26:BR26,V$374)+COUNTIF('11月'!BV26:BW26,V$374)+COUNTIF('11月'!CA26:CB26,V$374)+COUNTIF('11月'!CF26:CG26,V$374)+COUNTIF('11月'!CK26:CL26,V$374)+COUNTIF('11月'!CP26:CQ26,V$374)+COUNTIF('11月'!CU26:CV26,V$374)+COUNTIF('11月'!CZ26:DA26,V$374)+COUNTIF('11月'!DE26:DF26,V$374)+COUNTIF('11月'!DJ26:DK26,V$374)+COUNTIF('11月'!DO26:DP26,V$374)+COUNTIF('11月'!DT26:DU26,V$374)+COUNTIF('11月'!DY26:DZ26,V$374)+COUNTIF('11月'!ED26:EE26,V$374)+COUNTIF('11月'!EI26:EJ26,V$374)+COUNTIF('11月'!EN26:EO26,V$374)+COUNTIF('11月'!ES26:ET26,V$374)</f>
        <v>0</v>
      </c>
      <c r="W398" s="76">
        <f t="shared" si="130"/>
        <v>0</v>
      </c>
      <c r="X398" s="76">
        <f>COUNTIF('11月'!D26:E26,X$374)+COUNTIF('11月'!I26:J26,X$374)+COUNTIF('11月'!N26:O26,X$374)+COUNTIF('11月'!S26:T26,X$374)+COUNTIF('11月'!X26:Y26,X$374)+COUNTIF('11月'!AC26:AD26,X$374)+COUNTIF('11月'!AH26:AI26,X$374)+COUNTIF('11月'!AM26:AN26,X$374)+COUNTIF('11月'!AR26:AS26,X$374)+COUNTIF('11月'!AW26:AX26,X$374)+COUNTIF('11月'!BB26:BC26,X$374)+COUNTIF('11月'!BG26:BH26,X$374)+COUNTIF('11月'!BL26:BM26,X$374)+COUNTIF('11月'!BQ26:BR26,X$374)+COUNTIF('11月'!BV26:BW26,X$374)+COUNTIF('11月'!CA26:CB26,X$374)+COUNTIF('11月'!CF26:CG26,X$374)+COUNTIF('11月'!CK26:CL26,X$374)+COUNTIF('11月'!CP26:CQ26,X$374)+COUNTIF('11月'!CU26:CV26,X$374)+COUNTIF('11月'!CZ26:DA26,X$374)+COUNTIF('11月'!DE26:DF26,X$374)+COUNTIF('11月'!DJ26:DK26,X$374)+COUNTIF('11月'!DO26:DP26,X$374)+COUNTIF('11月'!DT26:DU26,X$374)+COUNTIF('11月'!DY26:DZ26,X$374)+COUNTIF('11月'!ED26:EE26,X$374)+COUNTIF('11月'!EI26:EJ26,X$374)+COUNTIF('11月'!EN26:EO26,X$374)+COUNTIF('11月'!ES26:ET26,X$374)</f>
        <v>0</v>
      </c>
      <c r="Y398" s="76">
        <f t="shared" si="131"/>
        <v>0</v>
      </c>
    </row>
    <row r="399" spans="1:25" ht="18" customHeight="1">
      <c r="A399" s="76">
        <v>24</v>
      </c>
      <c r="B399" s="76">
        <f>COUNTIF('11月'!D27:E27,B$374)+COUNTIF('11月'!I27:J27,B$374)+COUNTIF('11月'!N27:O27,B$374)+COUNTIF('11月'!S27:T27,B$374)+COUNTIF('11月'!X27:Y27,B$374)+COUNTIF('11月'!AC27:AD27,B$374)+COUNTIF('11月'!AH27:AI27,B$374)+COUNTIF('11月'!AM27:AN27,B$374)+COUNTIF('11月'!AR27:AS27,B$374)+COUNTIF('11月'!AW27:AX27,B$374)+COUNTIF('11月'!BB27:BC27,B$374)+COUNTIF('11月'!BG27:BH27,B$374)+COUNTIF('11月'!BL27:BM27,B$374)+COUNTIF('11月'!BQ27:BR27,B$374)+COUNTIF('11月'!BV27:BW27,B$374)+COUNTIF('11月'!CA27:CB27,B$374)+COUNTIF('11月'!CF27:CG27,B$374)+COUNTIF('11月'!CK27:CL27,B$374)+COUNTIF('11月'!CP27:CQ27,B$374)+COUNTIF('11月'!CU27:CV27,B$374)+COUNTIF('11月'!CZ27:DA27,B$374)+COUNTIF('11月'!DE27:DF27,B$374)+COUNTIF('11月'!DJ27:DK27,B$374)+COUNTIF('11月'!DO27:DP27,B$374)+COUNTIF('11月'!DT27:DU27,B$374)+COUNTIF('11月'!DY27:DZ27,B$374)+COUNTIF('11月'!ED27:EE27,B$374)+COUNTIF('11月'!EI27:EJ27,B$374)+COUNTIF('11月'!EN27:EO27,B$374)+COUNTIF('11月'!ES27:ET27,B$374)</f>
        <v>0</v>
      </c>
      <c r="C399" s="76">
        <f t="shared" si="120"/>
        <v>0</v>
      </c>
      <c r="D399" s="76">
        <f>COUNTIF('11月'!D27:E27,D$374)+COUNTIF('11月'!I27:J27,D$374)+COUNTIF('11月'!N27:O27,D$374)+COUNTIF('11月'!S27:T27,D$374)+COUNTIF('11月'!X27:Y27,D$374)+COUNTIF('11月'!AC27:AD27,D$374)+COUNTIF('11月'!AH27:AI27,D$374)+COUNTIF('11月'!AM27:AN27,D$374)+COUNTIF('11月'!AR27:AS27,D$374)+COUNTIF('11月'!AW27:AX27,D$374)+COUNTIF('11月'!BB27:BC27,D$374)+COUNTIF('11月'!BG27:BH27,D$374)+COUNTIF('11月'!BL27:BM27,D$374)+COUNTIF('11月'!BQ27:BR27,D$374)+COUNTIF('11月'!BV27:BW27,D$374)+COUNTIF('11月'!CA27:CB27,D$374)+COUNTIF('11月'!CF27:CG27,D$374)+COUNTIF('11月'!CK27:CL27,D$374)+COUNTIF('11月'!CP27:CQ27,D$374)+COUNTIF('11月'!CU27:CV27,D$374)+COUNTIF('11月'!CZ27:DA27,D$374)+COUNTIF('11月'!DE27:DF27,D$374)+COUNTIF('11月'!DJ27:DK27,D$374)+COUNTIF('11月'!DO27:DP27,D$374)+COUNTIF('11月'!DT27:DU27,D$374)+COUNTIF('11月'!DY27:DZ27,D$374)+COUNTIF('11月'!ED27:EE27,D$374)+COUNTIF('11月'!EI27:EJ27,D$374)+COUNTIF('11月'!EN27:EO27,D$374)+COUNTIF('11月'!ES27:ET27,D$374)</f>
        <v>0</v>
      </c>
      <c r="E399" s="76">
        <f t="shared" si="121"/>
        <v>0</v>
      </c>
      <c r="F399" s="76">
        <f>COUNTIF('11月'!D27:E27,F$374)+COUNTIF('11月'!I27:J27,F$374)+COUNTIF('11月'!N27:O27,F$374)+COUNTIF('11月'!S27:T27,F$374)+COUNTIF('11月'!X27:Y27,F$374)+COUNTIF('11月'!AC27:AD27,F$374)+COUNTIF('11月'!AH27:AI27,F$374)+COUNTIF('11月'!AM27:AN27,F$374)+COUNTIF('11月'!AR27:AS27,F$374)+COUNTIF('11月'!AW27:AX27,F$374)+COUNTIF('11月'!BB27:BC27,F$374)+COUNTIF('11月'!BG27:BH27,F$374)+COUNTIF('11月'!BL27:BM27,F$374)+COUNTIF('11月'!BQ27:BR27,F$374)+COUNTIF('11月'!BV27:BW27,F$374)+COUNTIF('11月'!CA27:CB27,F$374)+COUNTIF('11月'!CF27:CG27,F$374)+COUNTIF('11月'!CK27:CL27,F$374)+COUNTIF('11月'!CP27:CQ27,F$374)+COUNTIF('11月'!CU27:CV27,F$374)+COUNTIF('11月'!CZ27:DA27,F$374)+COUNTIF('11月'!DE27:DF27,F$374)+COUNTIF('11月'!DJ27:DK27,F$374)+COUNTIF('11月'!DO27:DP27,F$374)+COUNTIF('11月'!DT27:DU27,F$374)+COUNTIF('11月'!DY27:DZ27,F$374)+COUNTIF('11月'!ED27:EE27,F$374)+COUNTIF('11月'!EI27:EJ27,F$374)+COUNTIF('11月'!EN27:EO27,F$374)+COUNTIF('11月'!ES27:ET27,F$374)</f>
        <v>0</v>
      </c>
      <c r="G399" s="76">
        <f t="shared" si="122"/>
        <v>0</v>
      </c>
      <c r="H399" s="76">
        <f>COUNTIF('11月'!D27:E27,H$374)+COUNTIF('11月'!I27:J27,H$374)+COUNTIF('11月'!N27:O27,H$374)+COUNTIF('11月'!S27:T27,H$374)+COUNTIF('11月'!X27:Y27,H$374)+COUNTIF('11月'!AC27:AD27,H$374)+COUNTIF('11月'!AH27:AI27,H$374)+COUNTIF('11月'!AM27:AN27,H$374)+COUNTIF('11月'!AR27:AS27,H$374)+COUNTIF('11月'!AW27:AX27,H$374)+COUNTIF('11月'!BB27:BC27,H$374)+COUNTIF('11月'!BG27:BH27,H$374)+COUNTIF('11月'!BL27:BM27,H$374)+COUNTIF('11月'!BQ27:BR27,H$374)+COUNTIF('11月'!BV27:BW27,H$374)+COUNTIF('11月'!CA27:CB27,H$374)+COUNTIF('11月'!CF27:CG27,H$374)+COUNTIF('11月'!CK27:CL27,H$374)+COUNTIF('11月'!CP27:CQ27,H$374)+COUNTIF('11月'!CU27:CV27,H$374)+COUNTIF('11月'!CZ27:DA27,H$374)+COUNTIF('11月'!DE27:DF27,H$374)+COUNTIF('11月'!DJ27:DK27,H$374)+COUNTIF('11月'!DO27:DP27,H$374)+COUNTIF('11月'!DT27:DU27,H$374)+COUNTIF('11月'!DY27:DZ27,H$374)+COUNTIF('11月'!ED27:EE27,H$374)+COUNTIF('11月'!EI27:EJ27,H$374)+COUNTIF('11月'!EN27:EO27,H$374)+COUNTIF('11月'!ES27:ET27,H$374)+COUNTIF('11月'!D27:E27,"渋谷-夜勤")+COUNTIF('11月'!I27:J27,"渋谷-夜勤")+COUNTIF('11月'!N27:O27,"渋谷-夜勤")+COUNTIF('11月'!S27:T27,"渋谷-夜勤")+COUNTIF('11月'!X27:Y27,"渋谷-夜勤")+COUNTIF('11月'!AC27:AD27,"渋谷-夜勤")+COUNTIF('11月'!AH27:AI27,"渋谷-夜勤")+COUNTIF('11月'!AM27:AN27,"渋谷-夜勤")+COUNTIF('11月'!AR27:AS27,"渋谷-夜勤")+COUNTIF('11月'!AW27:AX27,"渋谷-夜勤")+COUNTIF('11月'!BB27:BC27,"渋谷-夜勤")+COUNTIF('11月'!BG27:BH27,"渋谷-夜勤")+COUNTIF('11月'!BL27:BM27,"渋谷-夜勤")+COUNTIF('11月'!BQ27:BR27,"渋谷-夜勤")+COUNTIF('11月'!BV27:BW27,"渋谷-夜勤")+COUNTIF('11月'!CA27:CB27,"渋谷-夜勤")+COUNTIF('11月'!CF27:CG27,"渋谷-夜勤")+COUNTIF('11月'!CK27:CL27,"渋谷-夜勤")+COUNTIF('11月'!CP27:CQ27,"渋谷-夜勤")+COUNTIF('11月'!CU27:CV27,"渋谷-夜勤")+COUNTIF('11月'!CZ27:DA27,"渋谷-夜勤")+COUNTIF('11月'!DE27:DF27,"渋谷-夜勤")+COUNTIF('11月'!DJ27:DK27,"渋谷-夜勤")+COUNTIF('11月'!DO27:DP27,"渋谷-夜勤")+COUNTIF('11月'!DT27:DU27,"渋谷-夜勤")+COUNTIF('11月'!DY27:DZ27,"渋谷-夜勤")+COUNTIF('11月'!ED27:EE27,"渋谷-夜勤")+COUNTIF('11月'!EI27:EJ27,"渋谷-夜勤")+COUNTIF('11月'!EN27:EO27,"渋谷-夜勤")+COUNTIF('11月'!ES27:ET27,"渋谷-夜勤")</f>
        <v>0</v>
      </c>
      <c r="I399" s="76">
        <f t="shared" si="123"/>
        <v>0</v>
      </c>
      <c r="J399" s="76">
        <f>COUNTIF('11月'!D27:E27,J$374)+COUNTIF('11月'!I27:J27,J$374)+COUNTIF('11月'!N27:O27,J$374)+COUNTIF('11月'!S27:T27,J$374)+COUNTIF('11月'!X27:Y27,J$374)+COUNTIF('11月'!AC27:AD27,J$374)+COUNTIF('11月'!AH27:AI27,J$374)+COUNTIF('11月'!AM27:AN27,J$374)+COUNTIF('11月'!AR27:AS27,J$374)+COUNTIF('11月'!AW27:AX27,J$374)+COUNTIF('11月'!BB27:BC27,J$374)+COUNTIF('11月'!BG27:BH27,J$374)+COUNTIF('11月'!BL27:BM27,J$374)+COUNTIF('11月'!BQ27:BR27,J$374)+COUNTIF('11月'!BV27:BW27,J$374)+COUNTIF('11月'!CA27:CB27,J$374)+COUNTIF('11月'!CF27:CG27,J$374)+COUNTIF('11月'!CK27:CL27,J$374)+COUNTIF('11月'!CP27:CQ27,J$374)+COUNTIF('11月'!CU27:CV27,J$374)+COUNTIF('11月'!CZ27:DA27,J$374)+COUNTIF('11月'!DE27:DF27,J$374)+COUNTIF('11月'!DJ27:DK27,J$374)+COUNTIF('11月'!DO27:DP27,J$374)+COUNTIF('11月'!DT27:DU27,J$374)+COUNTIF('11月'!DY27:DZ27,J$374)+COUNTIF('11月'!ED27:EE27,J$374)+COUNTIF('11月'!EI27:EJ27,J$374)+COUNTIF('11月'!EN27:EO27,J$374)+COUNTIF('11月'!ES27:ET27,J$374)+COUNTIF('11月'!D27:E27,"六本木-夜勤")+COUNTIF('11月'!I27:J27,"六本木-夜勤")+COUNTIF('11月'!N27:O27,"六本木-夜勤")+COUNTIF('11月'!S27:T27,"六本木-夜勤")+COUNTIF('11月'!X27:Y27,"六本木-夜勤")+COUNTIF('11月'!AC27:AD27,"六本木-夜勤")+COUNTIF('11月'!AH27:AI27,"六本木-夜勤")+COUNTIF('11月'!AM27:AN27,"六本木-夜勤")+COUNTIF('11月'!AR27:AS27,"六本木-夜勤")+COUNTIF('11月'!AW27:AX27,"六本木-夜勤")+COUNTIF('11月'!BB27:BC27,"六本木-夜勤")+COUNTIF('11月'!BG27:BH27,"六本木-夜勤")+COUNTIF('11月'!BL27:BM27,"六本木-夜勤")+COUNTIF('11月'!BQ27:BR27,"六本木-夜勤")+COUNTIF('11月'!BV27:BW27,"六本木-夜勤")+COUNTIF('11月'!CA27:CB27,"六本木-夜勤")+COUNTIF('11月'!CF27:CG27,"六本木-夜勤")+COUNTIF('11月'!CK27:CL27,"六本木-夜勤")+COUNTIF('11月'!CP27:CQ27,"六本木-夜勤")+COUNTIF('11月'!CU27:CV27,"六本木-夜勤")+COUNTIF('11月'!CZ27:DA27,"六本木-夜勤")+COUNTIF('11月'!DE27:DF27,"六本木-夜勤")+COUNTIF('11月'!DJ27:DK27,"六本木-夜勤")+COUNTIF('11月'!DO27:DP27,"六本木-夜勤")+COUNTIF('11月'!DT27:DU27,"六本木-夜勤")+COUNTIF('11月'!DY27:DZ27,"六本木-夜勤")+COUNTIF('11月'!ED27:EE27,"六本木-夜勤")+COUNTIF('11月'!EI27:EJ27,"六本木-夜勤")+COUNTIF('11月'!EN27:EO27,"六本木-夜勤")+COUNTIF('11月'!ES27:ET27,"六本木-夜勤")+COUNTIF('11月'!D27:E27,"六本木ー夜勤")+COUNTIF('11月'!I27:J27,"六本木ー夜勤")+COUNTIF('11月'!N27:O27,"六本木ー夜勤")+COUNTIF('11月'!S27:T27,"六本木ー夜勤")+COUNTIF('11月'!X27:Y27,"六本木ー夜勤")+COUNTIF('11月'!AC27:AD27,"六本木ー夜勤")+COUNTIF('11月'!AH27:AI27,"六本木ー夜勤")+COUNTIF('11月'!AM27:AN27,"六本木ー夜勤")+COUNTIF('11月'!AR27:AS27,"六本木ー夜勤")+COUNTIF('11月'!AW27:AX27,"六本木ー夜勤")+COUNTIF('11月'!BB27:BC27,"六本木ー夜勤")+COUNTIF('11月'!BG27:BH27,"六本木ー夜勤")+COUNTIF('11月'!BL27:BM27,"六本木ー夜勤")+COUNTIF('11月'!BQ27:BR27,"六本木ー夜勤")+COUNTIF('11月'!BV27:BW27,"六本木ー夜勤")+COUNTIF('11月'!CA27:CB27,"六本木ー夜勤")+COUNTIF('11月'!CF27:CG27,"六本木ー夜勤")+COUNTIF('11月'!CK27:CL27,"六本木ー夜勤")+COUNTIF('11月'!CP27:CQ27,"六本木ー夜勤")+COUNTIF('11月'!CU27:CV27,"六本木ー夜勤")+COUNTIF('11月'!CZ27:DA27,"六本木ー夜勤")+COUNTIF('11月'!DE27:DF27,"六本木ー夜勤")+COUNTIF('11月'!DJ27:DK27,"六本木ー夜勤")+COUNTIF('11月'!DO27:DP27,"六本木ー夜勤")+COUNTIF('11月'!DT27:DU27,"六本木ー夜勤")+COUNTIF('11月'!DY27:DZ27,"六本木ー夜勤")+COUNTIF('11月'!ED27:EE27,"六本木ー夜勤")+COUNTIF('11月'!EI27:EJ27,"六本木ー夜勤")+COUNTIF('11月'!EN27:EO27,"六本木ー夜勤")+COUNTIF('11月'!ES27:ET27,"六本木ー夜勤")</f>
        <v>0</v>
      </c>
      <c r="K399" s="76">
        <f t="shared" si="124"/>
        <v>0</v>
      </c>
      <c r="L399" s="76">
        <f>COUNTIF('11月'!D27:E27,L$374)+COUNTIF('11月'!I27:J27,L$374)+COUNTIF('11月'!N27:O27,L$374)+COUNTIF('11月'!S27:T27,L$374)+COUNTIF('11月'!X27:Y27,L$374)+COUNTIF('11月'!AC27:AD27,L$374)+COUNTIF('11月'!AH27:AI27,L$374)+COUNTIF('11月'!AM27:AN27,L$374)+COUNTIF('11月'!AR27:AS27,L$374)+COUNTIF('11月'!AW27:AX27,L$374)+COUNTIF('11月'!BB27:BC27,L$374)+COUNTIF('11月'!BG27:BH27,L$374)+COUNTIF('11月'!BL27:BM27,L$374)+COUNTIF('11月'!BQ27:BR27,L$374)+COUNTIF('11月'!BV27:BW27,L$374)+COUNTIF('11月'!CA27:CB27,L$374)+COUNTIF('11月'!CF27:CG27,L$374)+COUNTIF('11月'!CK27:CL27,L$374)+COUNTIF('11月'!CP27:CQ27,L$374)+COUNTIF('11月'!CU27:CV27,L$374)+COUNTIF('11月'!CZ27:DA27,L$374)+COUNTIF('11月'!DE27:DF27,L$374)+COUNTIF('11月'!DJ27:DK27,L$374)+COUNTIF('11月'!DO27:DP27,L$374)+COUNTIF('11月'!DT27:DU27,L$374)+COUNTIF('11月'!DY27:DZ27,L$374)+COUNTIF('11月'!ED27:EE27,L$374)+COUNTIF('11月'!EI27:EJ27,L$374)+COUNTIF('11月'!EN27:EO27,L$374)+COUNTIF('11月'!ES27:ET27,L$374)</f>
        <v>0</v>
      </c>
      <c r="M399" s="76">
        <f t="shared" si="125"/>
        <v>0</v>
      </c>
      <c r="N399" s="76">
        <f>COUNTIF('11月'!D27:E27,N$374)+COUNTIF('11月'!I27:J27,N$374)+COUNTIF('11月'!N27:O27,N$374)+COUNTIF('11月'!S27:T27,N$374)+COUNTIF('11月'!X27:Y27,N$374)+COUNTIF('11月'!AC27:AD27,N$374)+COUNTIF('11月'!AH27:AI27,N$374)+COUNTIF('11月'!AM27:AN27,N$374)+COUNTIF('11月'!AR27:AS27,N$374)+COUNTIF('11月'!AW27:AX27,N$374)+COUNTIF('11月'!BB27:BC27,N$374)+COUNTIF('11月'!BG27:BH27,N$374)+COUNTIF('11月'!BL27:BM27,N$374)+COUNTIF('11月'!BQ27:BR27,N$374)+COUNTIF('11月'!BV27:BW27,N$374)+COUNTIF('11月'!CA27:CB27,N$374)+COUNTIF('11月'!CF27:CG27,N$374)+COUNTIF('11月'!CK27:CL27,N$374)+COUNTIF('11月'!CP27:CQ27,N$374)+COUNTIF('11月'!CU27:CV27,N$374)+COUNTIF('11月'!CZ27:DA27,N$374)+COUNTIF('11月'!DE27:DF27,N$374)+COUNTIF('11月'!DJ27:DK27,N$374)+COUNTIF('11月'!DO27:DP27,N$374)+COUNTIF('11月'!DT27:DU27,N$374)+COUNTIF('11月'!DY27:DZ27,N$374)+COUNTIF('11月'!ED27:EE27,N$374)+COUNTIF('11月'!EI27:EJ27,N$374)+COUNTIF('11月'!EN27:EO27,N$374)+COUNTIF('11月'!ES27:ET27,N$374)+COUNTIF('11月'!D27:E27,"三軒茶屋－夜勤")+COUNTIF('11月'!I27:J27,"三軒茶屋－夜勤")+COUNTIF('11月'!N27:O27,"三軒茶屋－夜勤")+COUNTIF('11月'!S27:T27,"三軒茶屋－夜勤")+COUNTIF('11月'!X27:Y27,"三軒茶屋－夜勤")+COUNTIF('11月'!AC27:AD27,"三軒茶屋－夜勤")+COUNTIF('11月'!AH27:AI27,"三軒茶屋－夜勤")+COUNTIF('11月'!AM27:AN27,"三軒茶屋－夜勤")+COUNTIF('11月'!AR27:AS27,"三軒茶屋－夜勤")+COUNTIF('11月'!AW27:AX27,"三軒茶屋－夜勤")+COUNTIF('11月'!BB27:BC27,"三軒茶屋－夜勤")+COUNTIF('11月'!BG27:BH27,"三軒茶屋－夜勤")+COUNTIF('11月'!BL27:BM27,"三軒茶屋－夜勤")+COUNTIF('11月'!BQ27:BR27,"三軒茶屋－夜勤")+COUNTIF('11月'!BV27:BW27,"三軒茶屋－夜勤")+COUNTIF('11月'!CA27:CB27,"三軒茶屋－夜勤")+COUNTIF('11月'!CF27:CG27,"三軒茶屋－夜勤")+COUNTIF('11月'!CK27:CL27,"三軒茶屋－夜勤")+COUNTIF('11月'!CP27:CQ27,"三軒茶屋－夜勤")+COUNTIF('11月'!CU27:CV27,"三軒茶屋－夜勤")+COUNTIF('11月'!CZ27:DA27,"三軒茶屋－夜勤")+COUNTIF('11月'!DE27:DF27,"三軒茶屋－夜勤")+COUNTIF('11月'!DJ27:DK27,"三軒茶屋－夜勤")+COUNTIF('11月'!DO27:DP27,"三軒茶屋－夜勤")+COUNTIF('11月'!DT27:DU27,"三軒茶屋－夜勤")+COUNTIF('11月'!DY27:DZ27,"三軒茶屋－夜勤")+COUNTIF('11月'!ED27:EE27,"三軒茶屋－夜勤")+COUNTIF('11月'!EI27:EJ27,"三軒茶屋－夜勤")+COUNTIF('11月'!EN27:EO27,"三軒茶屋－夜勤")+COUNTIF('11月'!ES27:ET27,"三軒茶屋－夜勤")</f>
        <v>0</v>
      </c>
      <c r="O399" s="76">
        <f t="shared" si="126"/>
        <v>0</v>
      </c>
      <c r="P399" s="76">
        <f>COUNTIF('11月'!D27:E27,P$374)+COUNTIF('11月'!I27:J27,P$374)+COUNTIF('11月'!N27:O27,P$374)+COUNTIF('11月'!S27:T27,P$374)+COUNTIF('11月'!X27:Y27,P$374)+COUNTIF('11月'!AC27:AD27,P$374)+COUNTIF('11月'!AH27:AI27,P$374)+COUNTIF('11月'!AM27:AN27,P$374)+COUNTIF('11月'!AR27:AS27,P$374)+COUNTIF('11月'!AW27:AX27,P$374)+COUNTIF('11月'!BB27:BC27,P$374)+COUNTIF('11月'!BG27:BH27,P$374)+COUNTIF('11月'!BL27:BM27,P$374)+COUNTIF('11月'!BQ27:BR27,P$374)+COUNTIF('11月'!BV27:BW27,P$374)+COUNTIF('11月'!CA27:CB27,P$374)+COUNTIF('11月'!CF27:CG27,P$374)+COUNTIF('11月'!CK27:CL27,P$374)+COUNTIF('11月'!CP27:CQ27,P$374)+COUNTIF('11月'!CU27:CV27,P$374)+COUNTIF('11月'!CZ27:DA27,P$374)+COUNTIF('11月'!DE27:DF27,P$374)+COUNTIF('11月'!DJ27:DK27,P$374)+COUNTIF('11月'!DO27:DP27,P$374)+COUNTIF('11月'!DT27:DU27,P$374)+COUNTIF('11月'!DY27:DZ27,P$374)+COUNTIF('11月'!ED27:EE27,P$374)+COUNTIF('11月'!EI27:EJ27,P$374)+COUNTIF('11月'!EN27:EO27,P$374)+COUNTIF('11月'!ES27:ET27,P$374)+COUNTIF('11月'!D27:E27,"荻窪ー夜勤")+COUNTIF('11月'!I27:J27,"荻窪ー夜勤")+COUNTIF('11月'!N27:O27,"荻窪ー夜勤")+COUNTIF('11月'!S27:T27,"荻窪ー夜勤")+COUNTIF('11月'!X27:Y27,"荻窪ー夜勤")+COUNTIF('11月'!AC27:AD27,"荻窪ー夜勤")+COUNTIF('11月'!AH27:AI27,"荻窪ー夜勤")+COUNTIF('11月'!AM27:AN27,"荻窪ー夜勤")+COUNTIF('11月'!AR27:AS27,"荻窪ー夜勤")+COUNTIF('11月'!AW27:AX27,"荻窪ー夜勤")+COUNTIF('11月'!BB27:BC27,"荻窪ー夜勤")+COUNTIF('11月'!BG27:BH27,"荻窪ー夜勤")+COUNTIF('11月'!BL27:BM27,"荻窪ー夜勤")+COUNTIF('11月'!BQ27:BR27,"荻窪ー夜勤")+COUNTIF('11月'!BV27:BW27,"荻窪ー夜勤")+COUNTIF('11月'!CA27:CB27,"荻窪ー夜勤")+COUNTIF('11月'!CF27:CG27,"荻窪ー夜勤")+COUNTIF('11月'!CK27:CL27,"荻窪ー夜勤")+COUNTIF('11月'!CP27:CQ27,"荻窪ー夜勤")+COUNTIF('11月'!CU27:CV27,"荻窪ー夜勤")+COUNTIF('11月'!CZ27:DA27,"荻窪ー夜勤")+COUNTIF('11月'!DE27:DF27,"荻窪ー夜勤")+COUNTIF('11月'!DJ27:DK27,"荻窪ー夜勤")+COUNTIF('11月'!DO27:DP27,"荻窪ー夜勤")+COUNTIF('11月'!DT27:DU27,"荻窪ー夜勤")+COUNTIF('11月'!DY27:DZ27,"荻窪ー夜勤")+COUNTIF('11月'!ED27:EE27,"荻窪ー夜勤")+COUNTIF('11月'!EI27:EJ27,"荻窪ー夜勤")+COUNTIF('11月'!EN27:EO27,"荻窪ー夜勤")+COUNTIF('11月'!ES27:ET27,"荻窪ー夜勤")</f>
        <v>0</v>
      </c>
      <c r="Q399" s="76">
        <f t="shared" si="127"/>
        <v>0</v>
      </c>
      <c r="R399" s="76">
        <f>COUNTIF('11月'!D27:E27,R$374)+COUNTIF('11月'!I27:J27,R$374)+COUNTIF('11月'!N27:O27,R$374)+COUNTIF('11月'!S27:T27,R$374)+COUNTIF('11月'!X27:Y27,R$374)+COUNTIF('11月'!AC27:AD27,R$374)+COUNTIF('11月'!AH27:AI27,R$374)+COUNTIF('11月'!AM27:AN27,R$374)+COUNTIF('11月'!AR27:AS27,R$374)+COUNTIF('11月'!AW27:AX27,R$374)+COUNTIF('11月'!BB27:BC27,R$374)+COUNTIF('11月'!BG27:BH27,R$374)+COUNTIF('11月'!BL27:BM27,R$374)+COUNTIF('11月'!BQ27:BR27,R$374)+COUNTIF('11月'!BV27:BW27,R$374)+COUNTIF('11月'!CA27:CB27,R$374)+COUNTIF('11月'!CF27:CG27,R$374)+COUNTIF('11月'!CK27:CL27,R$374)+COUNTIF('11月'!CP27:CQ27,R$374)+COUNTIF('11月'!CU27:CV27,R$374)+COUNTIF('11月'!CZ27:DA27,R$374)+COUNTIF('11月'!DE27:DF27,R$374)+COUNTIF('11月'!DJ27:DK27,R$374)+COUNTIF('11月'!DO27:DP27,R$374)+COUNTIF('11月'!DT27:DU27,R$374)+COUNTIF('11月'!DY27:DZ27,R$374)+COUNTIF('11月'!ED27:EE27,R$374)+COUNTIF('11月'!EI27:EJ27,R$374)+COUNTIF('11月'!EN27:EO27,R$374)+COUNTIF('11月'!ES27:ET27,R$374)</f>
        <v>0</v>
      </c>
      <c r="S399" s="76">
        <f t="shared" si="128"/>
        <v>0</v>
      </c>
      <c r="T399" s="76">
        <f>COUNTIF('11月'!D27:E27,T$374)+COUNTIF('11月'!I27:J27,T$374)+COUNTIF('11月'!N27:O27,T$374)+COUNTIF('11月'!S27:T27,T$374)+COUNTIF('11月'!X27:Y27,T$374)+COUNTIF('11月'!AC27:AD27,T$374)+COUNTIF('11月'!AH27:AI27,T$374)+COUNTIF('11月'!AM27:AN27,T$374)+COUNTIF('11月'!AR27:AS27,T$374)+COUNTIF('11月'!AW27:AX27,T$374)+COUNTIF('11月'!BB27:BC27,T$374)+COUNTIF('11月'!BG27:BH27,T$374)+COUNTIF('11月'!BL27:BM27,T$374)+COUNTIF('11月'!BQ27:BR27,T$374)+COUNTIF('11月'!BV27:BW27,T$374)+COUNTIF('11月'!CA27:CB27,T$374)+COUNTIF('11月'!CF27:CG27,T$374)+COUNTIF('11月'!CK27:CL27,T$374)+COUNTIF('11月'!CP27:CQ27,T$374)+COUNTIF('11月'!CU27:CV27,T$374)+COUNTIF('11月'!CZ27:DA27,T$374)+COUNTIF('11月'!DE27:DF27,T$374)+COUNTIF('11月'!DJ27:DK27,T$374)+COUNTIF('11月'!DO27:DP27,T$374)+COUNTIF('11月'!DT27:DU27,T$374)+COUNTIF('11月'!DY27:DZ27,T$374)+COUNTIF('11月'!ED27:EE27,T$374)+COUNTIF('11月'!EI27:EJ27,T$374)+COUNTIF('11月'!EN27:EO27,T$374)+COUNTIF('11月'!ES27:ET27,T$374)</f>
        <v>0</v>
      </c>
      <c r="U399" s="76">
        <f t="shared" si="129"/>
        <v>0</v>
      </c>
      <c r="V399" s="76">
        <f>COUNTIF('11月'!D27:E27,V$374)+COUNTIF('11月'!I27:J27,V$374)+COUNTIF('11月'!N27:O27,V$374)+COUNTIF('11月'!S27:T27,V$374)+COUNTIF('11月'!X27:Y27,V$374)+COUNTIF('11月'!AC27:AD27,V$374)+COUNTIF('11月'!AH27:AI27,V$374)+COUNTIF('11月'!AM27:AN27,V$374)+COUNTIF('11月'!AR27:AS27,V$374)+COUNTIF('11月'!AW27:AX27,V$374)+COUNTIF('11月'!BB27:BC27,V$374)+COUNTIF('11月'!BG27:BH27,V$374)+COUNTIF('11月'!BL27:BM27,V$374)+COUNTIF('11月'!BQ27:BR27,V$374)+COUNTIF('11月'!BV27:BW27,V$374)+COUNTIF('11月'!CA27:CB27,V$374)+COUNTIF('11月'!CF27:CG27,V$374)+COUNTIF('11月'!CK27:CL27,V$374)+COUNTIF('11月'!CP27:CQ27,V$374)+COUNTIF('11月'!CU27:CV27,V$374)+COUNTIF('11月'!CZ27:DA27,V$374)+COUNTIF('11月'!DE27:DF27,V$374)+COUNTIF('11月'!DJ27:DK27,V$374)+COUNTIF('11月'!DO27:DP27,V$374)+COUNTIF('11月'!DT27:DU27,V$374)+COUNTIF('11月'!DY27:DZ27,V$374)+COUNTIF('11月'!ED27:EE27,V$374)+COUNTIF('11月'!EI27:EJ27,V$374)+COUNTIF('11月'!EN27:EO27,V$374)+COUNTIF('11月'!ES27:ET27,V$374)</f>
        <v>0</v>
      </c>
      <c r="W399" s="76">
        <f t="shared" si="130"/>
        <v>0</v>
      </c>
      <c r="X399" s="76">
        <f>COUNTIF('11月'!D27:E27,X$374)+COUNTIF('11月'!I27:J27,X$374)+COUNTIF('11月'!N27:O27,X$374)+COUNTIF('11月'!S27:T27,X$374)+COUNTIF('11月'!X27:Y27,X$374)+COUNTIF('11月'!AC27:AD27,X$374)+COUNTIF('11月'!AH27:AI27,X$374)+COUNTIF('11月'!AM27:AN27,X$374)+COUNTIF('11月'!AR27:AS27,X$374)+COUNTIF('11月'!AW27:AX27,X$374)+COUNTIF('11月'!BB27:BC27,X$374)+COUNTIF('11月'!BG27:BH27,X$374)+COUNTIF('11月'!BL27:BM27,X$374)+COUNTIF('11月'!BQ27:BR27,X$374)+COUNTIF('11月'!BV27:BW27,X$374)+COUNTIF('11月'!CA27:CB27,X$374)+COUNTIF('11月'!CF27:CG27,X$374)+COUNTIF('11月'!CK27:CL27,X$374)+COUNTIF('11月'!CP27:CQ27,X$374)+COUNTIF('11月'!CU27:CV27,X$374)+COUNTIF('11月'!CZ27:DA27,X$374)+COUNTIF('11月'!DE27:DF27,X$374)+COUNTIF('11月'!DJ27:DK27,X$374)+COUNTIF('11月'!DO27:DP27,X$374)+COUNTIF('11月'!DT27:DU27,X$374)+COUNTIF('11月'!DY27:DZ27,X$374)+COUNTIF('11月'!ED27:EE27,X$374)+COUNTIF('11月'!EI27:EJ27,X$374)+COUNTIF('11月'!EN27:EO27,X$374)+COUNTIF('11月'!ES27:ET27,X$374)</f>
        <v>0</v>
      </c>
      <c r="Y399" s="76">
        <f t="shared" si="131"/>
        <v>0</v>
      </c>
    </row>
    <row r="400" spans="1:25" ht="18" customHeight="1">
      <c r="A400" s="76">
        <v>25</v>
      </c>
      <c r="B400" s="76">
        <f>COUNTIF('11月'!D28:E28,B$374)+COUNTIF('11月'!I28:J28,B$374)+COUNTIF('11月'!N28:O28,B$374)+COUNTIF('11月'!S28:T28,B$374)+COUNTIF('11月'!X28:Y28,B$374)+COUNTIF('11月'!AC28:AD28,B$374)+COUNTIF('11月'!AH28:AI28,B$374)+COUNTIF('11月'!AM28:AN28,B$374)+COUNTIF('11月'!AR28:AS28,B$374)+COUNTIF('11月'!AW28:AX28,B$374)+COUNTIF('11月'!BB28:BC28,B$374)+COUNTIF('11月'!BG28:BH28,B$374)+COUNTIF('11月'!BL28:BM28,B$374)+COUNTIF('11月'!BQ28:BR28,B$374)+COUNTIF('11月'!BV28:BW28,B$374)+COUNTIF('11月'!CA28:CB28,B$374)+COUNTIF('11月'!CF28:CG28,B$374)+COUNTIF('11月'!CK28:CL28,B$374)+COUNTIF('11月'!CP28:CQ28,B$374)+COUNTIF('11月'!CU28:CV28,B$374)+COUNTIF('11月'!CZ28:DA28,B$374)+COUNTIF('11月'!DE28:DF28,B$374)+COUNTIF('11月'!DJ28:DK28,B$374)+COUNTIF('11月'!DO28:DP28,B$374)+COUNTIF('11月'!DT28:DU28,B$374)+COUNTIF('11月'!DY28:DZ28,B$374)+COUNTIF('11月'!ED28:EE28,B$374)+COUNTIF('11月'!EI28:EJ28,B$374)+COUNTIF('11月'!EN28:EO28,B$374)+COUNTIF('11月'!ES28:ET28,B$374)</f>
        <v>0</v>
      </c>
      <c r="C400" s="76">
        <f t="shared" si="120"/>
        <v>0</v>
      </c>
      <c r="D400" s="76">
        <f>COUNTIF('11月'!D28:E28,D$374)+COUNTIF('11月'!I28:J28,D$374)+COUNTIF('11月'!N28:O28,D$374)+COUNTIF('11月'!S28:T28,D$374)+COUNTIF('11月'!X28:Y28,D$374)+COUNTIF('11月'!AC28:AD28,D$374)+COUNTIF('11月'!AH28:AI28,D$374)+COUNTIF('11月'!AM28:AN28,D$374)+COUNTIF('11月'!AR28:AS28,D$374)+COUNTIF('11月'!AW28:AX28,D$374)+COUNTIF('11月'!BB28:BC28,D$374)+COUNTIF('11月'!BG28:BH28,D$374)+COUNTIF('11月'!BL28:BM28,D$374)+COUNTIF('11月'!BQ28:BR28,D$374)+COUNTIF('11月'!BV28:BW28,D$374)+COUNTIF('11月'!CA28:CB28,D$374)+COUNTIF('11月'!CF28:CG28,D$374)+COUNTIF('11月'!CK28:CL28,D$374)+COUNTIF('11月'!CP28:CQ28,D$374)+COUNTIF('11月'!CU28:CV28,D$374)+COUNTIF('11月'!CZ28:DA28,D$374)+COUNTIF('11月'!DE28:DF28,D$374)+COUNTIF('11月'!DJ28:DK28,D$374)+COUNTIF('11月'!DO28:DP28,D$374)+COUNTIF('11月'!DT28:DU28,D$374)+COUNTIF('11月'!DY28:DZ28,D$374)+COUNTIF('11月'!ED28:EE28,D$374)+COUNTIF('11月'!EI28:EJ28,D$374)+COUNTIF('11月'!EN28:EO28,D$374)+COUNTIF('11月'!ES28:ET28,D$374)</f>
        <v>0</v>
      </c>
      <c r="E400" s="76">
        <f t="shared" si="121"/>
        <v>0</v>
      </c>
      <c r="F400" s="76">
        <f>COUNTIF('11月'!D28:E28,F$374)+COUNTIF('11月'!I28:J28,F$374)+COUNTIF('11月'!N28:O28,F$374)+COUNTIF('11月'!S28:T28,F$374)+COUNTIF('11月'!X28:Y28,F$374)+COUNTIF('11月'!AC28:AD28,F$374)+COUNTIF('11月'!AH28:AI28,F$374)+COUNTIF('11月'!AM28:AN28,F$374)+COUNTIF('11月'!AR28:AS28,F$374)+COUNTIF('11月'!AW28:AX28,F$374)+COUNTIF('11月'!BB28:BC28,F$374)+COUNTIF('11月'!BG28:BH28,F$374)+COUNTIF('11月'!BL28:BM28,F$374)+COUNTIF('11月'!BQ28:BR28,F$374)+COUNTIF('11月'!BV28:BW28,F$374)+COUNTIF('11月'!CA28:CB28,F$374)+COUNTIF('11月'!CF28:CG28,F$374)+COUNTIF('11月'!CK28:CL28,F$374)+COUNTIF('11月'!CP28:CQ28,F$374)+COUNTIF('11月'!CU28:CV28,F$374)+COUNTIF('11月'!CZ28:DA28,F$374)+COUNTIF('11月'!DE28:DF28,F$374)+COUNTIF('11月'!DJ28:DK28,F$374)+COUNTIF('11月'!DO28:DP28,F$374)+COUNTIF('11月'!DT28:DU28,F$374)+COUNTIF('11月'!DY28:DZ28,F$374)+COUNTIF('11月'!ED28:EE28,F$374)+COUNTIF('11月'!EI28:EJ28,F$374)+COUNTIF('11月'!EN28:EO28,F$374)+COUNTIF('11月'!ES28:ET28,F$374)</f>
        <v>0</v>
      </c>
      <c r="G400" s="76">
        <f t="shared" si="122"/>
        <v>0</v>
      </c>
      <c r="H400" s="76">
        <f>COUNTIF('11月'!D28:E28,H$374)+COUNTIF('11月'!I28:J28,H$374)+COUNTIF('11月'!N28:O28,H$374)+COUNTIF('11月'!S28:T28,H$374)+COUNTIF('11月'!X28:Y28,H$374)+COUNTIF('11月'!AC28:AD28,H$374)+COUNTIF('11月'!AH28:AI28,H$374)+COUNTIF('11月'!AM28:AN28,H$374)+COUNTIF('11月'!AR28:AS28,H$374)+COUNTIF('11月'!AW28:AX28,H$374)+COUNTIF('11月'!BB28:BC28,H$374)+COUNTIF('11月'!BG28:BH28,H$374)+COUNTIF('11月'!BL28:BM28,H$374)+COUNTIF('11月'!BQ28:BR28,H$374)+COUNTIF('11月'!BV28:BW28,H$374)+COUNTIF('11月'!CA28:CB28,H$374)+COUNTIF('11月'!CF28:CG28,H$374)+COUNTIF('11月'!CK28:CL28,H$374)+COUNTIF('11月'!CP28:CQ28,H$374)+COUNTIF('11月'!CU28:CV28,H$374)+COUNTIF('11月'!CZ28:DA28,H$374)+COUNTIF('11月'!DE28:DF28,H$374)+COUNTIF('11月'!DJ28:DK28,H$374)+COUNTIF('11月'!DO28:DP28,H$374)+COUNTIF('11月'!DT28:DU28,H$374)+COUNTIF('11月'!DY28:DZ28,H$374)+COUNTIF('11月'!ED28:EE28,H$374)+COUNTIF('11月'!EI28:EJ28,H$374)+COUNTIF('11月'!EN28:EO28,H$374)+COUNTIF('11月'!ES28:ET28,H$374)+COUNTIF('11月'!D28:E28,"渋谷-夜勤")+COUNTIF('11月'!I28:J28,"渋谷-夜勤")+COUNTIF('11月'!N28:O28,"渋谷-夜勤")+COUNTIF('11月'!S28:T28,"渋谷-夜勤")+COUNTIF('11月'!X28:Y28,"渋谷-夜勤")+COUNTIF('11月'!AC28:AD28,"渋谷-夜勤")+COUNTIF('11月'!AH28:AI28,"渋谷-夜勤")+COUNTIF('11月'!AM28:AN28,"渋谷-夜勤")+COUNTIF('11月'!AR28:AS28,"渋谷-夜勤")+COUNTIF('11月'!AW28:AX28,"渋谷-夜勤")+COUNTIF('11月'!BB28:BC28,"渋谷-夜勤")+COUNTIF('11月'!BG28:BH28,"渋谷-夜勤")+COUNTIF('11月'!BL28:BM28,"渋谷-夜勤")+COUNTIF('11月'!BQ28:BR28,"渋谷-夜勤")+COUNTIF('11月'!BV28:BW28,"渋谷-夜勤")+COUNTIF('11月'!CA28:CB28,"渋谷-夜勤")+COUNTIF('11月'!CF28:CG28,"渋谷-夜勤")+COUNTIF('11月'!CK28:CL28,"渋谷-夜勤")+COUNTIF('11月'!CP28:CQ28,"渋谷-夜勤")+COUNTIF('11月'!CU28:CV28,"渋谷-夜勤")+COUNTIF('11月'!CZ28:DA28,"渋谷-夜勤")+COUNTIF('11月'!DE28:DF28,"渋谷-夜勤")+COUNTIF('11月'!DJ28:DK28,"渋谷-夜勤")+COUNTIF('11月'!DO28:DP28,"渋谷-夜勤")+COUNTIF('11月'!DT28:DU28,"渋谷-夜勤")+COUNTIF('11月'!DY28:DZ28,"渋谷-夜勤")+COUNTIF('11月'!ED28:EE28,"渋谷-夜勤")+COUNTIF('11月'!EI28:EJ28,"渋谷-夜勤")+COUNTIF('11月'!EN28:EO28,"渋谷-夜勤")+COUNTIF('11月'!ES28:ET28,"渋谷-夜勤")</f>
        <v>0</v>
      </c>
      <c r="I400" s="76">
        <f t="shared" si="123"/>
        <v>0</v>
      </c>
      <c r="J400" s="76">
        <f>COUNTIF('11月'!D28:E28,J$374)+COUNTIF('11月'!I28:J28,J$374)+COUNTIF('11月'!N28:O28,J$374)+COUNTIF('11月'!S28:T28,J$374)+COUNTIF('11月'!X28:Y28,J$374)+COUNTIF('11月'!AC28:AD28,J$374)+COUNTIF('11月'!AH28:AI28,J$374)+COUNTIF('11月'!AM28:AN28,J$374)+COUNTIF('11月'!AR28:AS28,J$374)+COUNTIF('11月'!AW28:AX28,J$374)+COUNTIF('11月'!BB28:BC28,J$374)+COUNTIF('11月'!BG28:BH28,J$374)+COUNTIF('11月'!BL28:BM28,J$374)+COUNTIF('11月'!BQ28:BR28,J$374)+COUNTIF('11月'!BV28:BW28,J$374)+COUNTIF('11月'!CA28:CB28,J$374)+COUNTIF('11月'!CF28:CG28,J$374)+COUNTIF('11月'!CK28:CL28,J$374)+COUNTIF('11月'!CP28:CQ28,J$374)+COUNTIF('11月'!CU28:CV28,J$374)+COUNTIF('11月'!CZ28:DA28,J$374)+COUNTIF('11月'!DE28:DF28,J$374)+COUNTIF('11月'!DJ28:DK28,J$374)+COUNTIF('11月'!DO28:DP28,J$374)+COUNTIF('11月'!DT28:DU28,J$374)+COUNTIF('11月'!DY28:DZ28,J$374)+COUNTIF('11月'!ED28:EE28,J$374)+COUNTIF('11月'!EI28:EJ28,J$374)+COUNTIF('11月'!EN28:EO28,J$374)+COUNTIF('11月'!ES28:ET28,J$374)+COUNTIF('11月'!D28:E28,"六本木-夜勤")+COUNTIF('11月'!I28:J28,"六本木-夜勤")+COUNTIF('11月'!N28:O28,"六本木-夜勤")+COUNTIF('11月'!S28:T28,"六本木-夜勤")+COUNTIF('11月'!X28:Y28,"六本木-夜勤")+COUNTIF('11月'!AC28:AD28,"六本木-夜勤")+COUNTIF('11月'!AH28:AI28,"六本木-夜勤")+COUNTIF('11月'!AM28:AN28,"六本木-夜勤")+COUNTIF('11月'!AR28:AS28,"六本木-夜勤")+COUNTIF('11月'!AW28:AX28,"六本木-夜勤")+COUNTIF('11月'!BB28:BC28,"六本木-夜勤")+COUNTIF('11月'!BG28:BH28,"六本木-夜勤")+COUNTIF('11月'!BL28:BM28,"六本木-夜勤")+COUNTIF('11月'!BQ28:BR28,"六本木-夜勤")+COUNTIF('11月'!BV28:BW28,"六本木-夜勤")+COUNTIF('11月'!CA28:CB28,"六本木-夜勤")+COUNTIF('11月'!CF28:CG28,"六本木-夜勤")+COUNTIF('11月'!CK28:CL28,"六本木-夜勤")+COUNTIF('11月'!CP28:CQ28,"六本木-夜勤")+COUNTIF('11月'!CU28:CV28,"六本木-夜勤")+COUNTIF('11月'!CZ28:DA28,"六本木-夜勤")+COUNTIF('11月'!DE28:DF28,"六本木-夜勤")+COUNTIF('11月'!DJ28:DK28,"六本木-夜勤")+COUNTIF('11月'!DO28:DP28,"六本木-夜勤")+COUNTIF('11月'!DT28:DU28,"六本木-夜勤")+COUNTIF('11月'!DY28:DZ28,"六本木-夜勤")+COUNTIF('11月'!ED28:EE28,"六本木-夜勤")+COUNTIF('11月'!EI28:EJ28,"六本木-夜勤")+COUNTIF('11月'!EN28:EO28,"六本木-夜勤")+COUNTIF('11月'!ES28:ET28,"六本木-夜勤")+COUNTIF('11月'!D28:E28,"六本木ー夜勤")+COUNTIF('11月'!I28:J28,"六本木ー夜勤")+COUNTIF('11月'!N28:O28,"六本木ー夜勤")+COUNTIF('11月'!S28:T28,"六本木ー夜勤")+COUNTIF('11月'!X28:Y28,"六本木ー夜勤")+COUNTIF('11月'!AC28:AD28,"六本木ー夜勤")+COUNTIF('11月'!AH28:AI28,"六本木ー夜勤")+COUNTIF('11月'!AM28:AN28,"六本木ー夜勤")+COUNTIF('11月'!AR28:AS28,"六本木ー夜勤")+COUNTIF('11月'!AW28:AX28,"六本木ー夜勤")+COUNTIF('11月'!BB28:BC28,"六本木ー夜勤")+COUNTIF('11月'!BG28:BH28,"六本木ー夜勤")+COUNTIF('11月'!BL28:BM28,"六本木ー夜勤")+COUNTIF('11月'!BQ28:BR28,"六本木ー夜勤")+COUNTIF('11月'!BV28:BW28,"六本木ー夜勤")+COUNTIF('11月'!CA28:CB28,"六本木ー夜勤")+COUNTIF('11月'!CF28:CG28,"六本木ー夜勤")+COUNTIF('11月'!CK28:CL28,"六本木ー夜勤")+COUNTIF('11月'!CP28:CQ28,"六本木ー夜勤")+COUNTIF('11月'!CU28:CV28,"六本木ー夜勤")+COUNTIF('11月'!CZ28:DA28,"六本木ー夜勤")+COUNTIF('11月'!DE28:DF28,"六本木ー夜勤")+COUNTIF('11月'!DJ28:DK28,"六本木ー夜勤")+COUNTIF('11月'!DO28:DP28,"六本木ー夜勤")+COUNTIF('11月'!DT28:DU28,"六本木ー夜勤")+COUNTIF('11月'!DY28:DZ28,"六本木ー夜勤")+COUNTIF('11月'!ED28:EE28,"六本木ー夜勤")+COUNTIF('11月'!EI28:EJ28,"六本木ー夜勤")+COUNTIF('11月'!EN28:EO28,"六本木ー夜勤")+COUNTIF('11月'!ES28:ET28,"六本木ー夜勤")</f>
        <v>0</v>
      </c>
      <c r="K400" s="76">
        <f t="shared" si="124"/>
        <v>0</v>
      </c>
      <c r="L400" s="76">
        <f>COUNTIF('11月'!D28:E28,L$374)+COUNTIF('11月'!I28:J28,L$374)+COUNTIF('11月'!N28:O28,L$374)+COUNTIF('11月'!S28:T28,L$374)+COUNTIF('11月'!X28:Y28,L$374)+COUNTIF('11月'!AC28:AD28,L$374)+COUNTIF('11月'!AH28:AI28,L$374)+COUNTIF('11月'!AM28:AN28,L$374)+COUNTIF('11月'!AR28:AS28,L$374)+COUNTIF('11月'!AW28:AX28,L$374)+COUNTIF('11月'!BB28:BC28,L$374)+COUNTIF('11月'!BG28:BH28,L$374)+COUNTIF('11月'!BL28:BM28,L$374)+COUNTIF('11月'!BQ28:BR28,L$374)+COUNTIF('11月'!BV28:BW28,L$374)+COUNTIF('11月'!CA28:CB28,L$374)+COUNTIF('11月'!CF28:CG28,L$374)+COUNTIF('11月'!CK28:CL28,L$374)+COUNTIF('11月'!CP28:CQ28,L$374)+COUNTIF('11月'!CU28:CV28,L$374)+COUNTIF('11月'!CZ28:DA28,L$374)+COUNTIF('11月'!DE28:DF28,L$374)+COUNTIF('11月'!DJ28:DK28,L$374)+COUNTIF('11月'!DO28:DP28,L$374)+COUNTIF('11月'!DT28:DU28,L$374)+COUNTIF('11月'!DY28:DZ28,L$374)+COUNTIF('11月'!ED28:EE28,L$374)+COUNTIF('11月'!EI28:EJ28,L$374)+COUNTIF('11月'!EN28:EO28,L$374)+COUNTIF('11月'!ES28:ET28,L$374)</f>
        <v>0</v>
      </c>
      <c r="M400" s="76">
        <f t="shared" si="125"/>
        <v>0</v>
      </c>
      <c r="N400" s="76">
        <f>COUNTIF('11月'!D28:E28,N$374)+COUNTIF('11月'!I28:J28,N$374)+COUNTIF('11月'!N28:O28,N$374)+COUNTIF('11月'!S28:T28,N$374)+COUNTIF('11月'!X28:Y28,N$374)+COUNTIF('11月'!AC28:AD28,N$374)+COUNTIF('11月'!AH28:AI28,N$374)+COUNTIF('11月'!AM28:AN28,N$374)+COUNTIF('11月'!AR28:AS28,N$374)+COUNTIF('11月'!AW28:AX28,N$374)+COUNTIF('11月'!BB28:BC28,N$374)+COUNTIF('11月'!BG28:BH28,N$374)+COUNTIF('11月'!BL28:BM28,N$374)+COUNTIF('11月'!BQ28:BR28,N$374)+COUNTIF('11月'!BV28:BW28,N$374)+COUNTIF('11月'!CA28:CB28,N$374)+COUNTIF('11月'!CF28:CG28,N$374)+COUNTIF('11月'!CK28:CL28,N$374)+COUNTIF('11月'!CP28:CQ28,N$374)+COUNTIF('11月'!CU28:CV28,N$374)+COUNTIF('11月'!CZ28:DA28,N$374)+COUNTIF('11月'!DE28:DF28,N$374)+COUNTIF('11月'!DJ28:DK28,N$374)+COUNTIF('11月'!DO28:DP28,N$374)+COUNTIF('11月'!DT28:DU28,N$374)+COUNTIF('11月'!DY28:DZ28,N$374)+COUNTIF('11月'!ED28:EE28,N$374)+COUNTIF('11月'!EI28:EJ28,N$374)+COUNTIF('11月'!EN28:EO28,N$374)+COUNTIF('11月'!ES28:ET28,N$374)+COUNTIF('11月'!D28:E28,"三軒茶屋－夜勤")+COUNTIF('11月'!I28:J28,"三軒茶屋－夜勤")+COUNTIF('11月'!N28:O28,"三軒茶屋－夜勤")+COUNTIF('11月'!S28:T28,"三軒茶屋－夜勤")+COUNTIF('11月'!X28:Y28,"三軒茶屋－夜勤")+COUNTIF('11月'!AC28:AD28,"三軒茶屋－夜勤")+COUNTIF('11月'!AH28:AI28,"三軒茶屋－夜勤")+COUNTIF('11月'!AM28:AN28,"三軒茶屋－夜勤")+COUNTIF('11月'!AR28:AS28,"三軒茶屋－夜勤")+COUNTIF('11月'!AW28:AX28,"三軒茶屋－夜勤")+COUNTIF('11月'!BB28:BC28,"三軒茶屋－夜勤")+COUNTIF('11月'!BG28:BH28,"三軒茶屋－夜勤")+COUNTIF('11月'!BL28:BM28,"三軒茶屋－夜勤")+COUNTIF('11月'!BQ28:BR28,"三軒茶屋－夜勤")+COUNTIF('11月'!BV28:BW28,"三軒茶屋－夜勤")+COUNTIF('11月'!CA28:CB28,"三軒茶屋－夜勤")+COUNTIF('11月'!CF28:CG28,"三軒茶屋－夜勤")+COUNTIF('11月'!CK28:CL28,"三軒茶屋－夜勤")+COUNTIF('11月'!CP28:CQ28,"三軒茶屋－夜勤")+COUNTIF('11月'!CU28:CV28,"三軒茶屋－夜勤")+COUNTIF('11月'!CZ28:DA28,"三軒茶屋－夜勤")+COUNTIF('11月'!DE28:DF28,"三軒茶屋－夜勤")+COUNTIF('11月'!DJ28:DK28,"三軒茶屋－夜勤")+COUNTIF('11月'!DO28:DP28,"三軒茶屋－夜勤")+COUNTIF('11月'!DT28:DU28,"三軒茶屋－夜勤")+COUNTIF('11月'!DY28:DZ28,"三軒茶屋－夜勤")+COUNTIF('11月'!ED28:EE28,"三軒茶屋－夜勤")+COUNTIF('11月'!EI28:EJ28,"三軒茶屋－夜勤")+COUNTIF('11月'!EN28:EO28,"三軒茶屋－夜勤")+COUNTIF('11月'!ES28:ET28,"三軒茶屋－夜勤")</f>
        <v>0</v>
      </c>
      <c r="O400" s="76">
        <f t="shared" si="126"/>
        <v>0</v>
      </c>
      <c r="P400" s="76">
        <f>COUNTIF('11月'!D28:E28,P$374)+COUNTIF('11月'!I28:J28,P$374)+COUNTIF('11月'!N28:O28,P$374)+COUNTIF('11月'!S28:T28,P$374)+COUNTIF('11月'!X28:Y28,P$374)+COUNTIF('11月'!AC28:AD28,P$374)+COUNTIF('11月'!AH28:AI28,P$374)+COUNTIF('11月'!AM28:AN28,P$374)+COUNTIF('11月'!AR28:AS28,P$374)+COUNTIF('11月'!AW28:AX28,P$374)+COUNTIF('11月'!BB28:BC28,P$374)+COUNTIF('11月'!BG28:BH28,P$374)+COUNTIF('11月'!BL28:BM28,P$374)+COUNTIF('11月'!BQ28:BR28,P$374)+COUNTIF('11月'!BV28:BW28,P$374)+COUNTIF('11月'!CA28:CB28,P$374)+COUNTIF('11月'!CF28:CG28,P$374)+COUNTIF('11月'!CK28:CL28,P$374)+COUNTIF('11月'!CP28:CQ28,P$374)+COUNTIF('11月'!CU28:CV28,P$374)+COUNTIF('11月'!CZ28:DA28,P$374)+COUNTIF('11月'!DE28:DF28,P$374)+COUNTIF('11月'!DJ28:DK28,P$374)+COUNTIF('11月'!DO28:DP28,P$374)+COUNTIF('11月'!DT28:DU28,P$374)+COUNTIF('11月'!DY28:DZ28,P$374)+COUNTIF('11月'!ED28:EE28,P$374)+COUNTIF('11月'!EI28:EJ28,P$374)+COUNTIF('11月'!EN28:EO28,P$374)+COUNTIF('11月'!ES28:ET28,P$374)+COUNTIF('11月'!D28:E28,"荻窪ー夜勤")+COUNTIF('11月'!I28:J28,"荻窪ー夜勤")+COUNTIF('11月'!N28:O28,"荻窪ー夜勤")+COUNTIF('11月'!S28:T28,"荻窪ー夜勤")+COUNTIF('11月'!X28:Y28,"荻窪ー夜勤")+COUNTIF('11月'!AC28:AD28,"荻窪ー夜勤")+COUNTIF('11月'!AH28:AI28,"荻窪ー夜勤")+COUNTIF('11月'!AM28:AN28,"荻窪ー夜勤")+COUNTIF('11月'!AR28:AS28,"荻窪ー夜勤")+COUNTIF('11月'!AW28:AX28,"荻窪ー夜勤")+COUNTIF('11月'!BB28:BC28,"荻窪ー夜勤")+COUNTIF('11月'!BG28:BH28,"荻窪ー夜勤")+COUNTIF('11月'!BL28:BM28,"荻窪ー夜勤")+COUNTIF('11月'!BQ28:BR28,"荻窪ー夜勤")+COUNTIF('11月'!BV28:BW28,"荻窪ー夜勤")+COUNTIF('11月'!CA28:CB28,"荻窪ー夜勤")+COUNTIF('11月'!CF28:CG28,"荻窪ー夜勤")+COUNTIF('11月'!CK28:CL28,"荻窪ー夜勤")+COUNTIF('11月'!CP28:CQ28,"荻窪ー夜勤")+COUNTIF('11月'!CU28:CV28,"荻窪ー夜勤")+COUNTIF('11月'!CZ28:DA28,"荻窪ー夜勤")+COUNTIF('11月'!DE28:DF28,"荻窪ー夜勤")+COUNTIF('11月'!DJ28:DK28,"荻窪ー夜勤")+COUNTIF('11月'!DO28:DP28,"荻窪ー夜勤")+COUNTIF('11月'!DT28:DU28,"荻窪ー夜勤")+COUNTIF('11月'!DY28:DZ28,"荻窪ー夜勤")+COUNTIF('11月'!ED28:EE28,"荻窪ー夜勤")+COUNTIF('11月'!EI28:EJ28,"荻窪ー夜勤")+COUNTIF('11月'!EN28:EO28,"荻窪ー夜勤")+COUNTIF('11月'!ES28:ET28,"荻窪ー夜勤")</f>
        <v>0</v>
      </c>
      <c r="Q400" s="76">
        <f t="shared" si="127"/>
        <v>0</v>
      </c>
      <c r="R400" s="76">
        <f>COUNTIF('11月'!D28:E28,R$374)+COUNTIF('11月'!I28:J28,R$374)+COUNTIF('11月'!N28:O28,R$374)+COUNTIF('11月'!S28:T28,R$374)+COUNTIF('11月'!X28:Y28,R$374)+COUNTIF('11月'!AC28:AD28,R$374)+COUNTIF('11月'!AH28:AI28,R$374)+COUNTIF('11月'!AM28:AN28,R$374)+COUNTIF('11月'!AR28:AS28,R$374)+COUNTIF('11月'!AW28:AX28,R$374)+COUNTIF('11月'!BB28:BC28,R$374)+COUNTIF('11月'!BG28:BH28,R$374)+COUNTIF('11月'!BL28:BM28,R$374)+COUNTIF('11月'!BQ28:BR28,R$374)+COUNTIF('11月'!BV28:BW28,R$374)+COUNTIF('11月'!CA28:CB28,R$374)+COUNTIF('11月'!CF28:CG28,R$374)+COUNTIF('11月'!CK28:CL28,R$374)+COUNTIF('11月'!CP28:CQ28,R$374)+COUNTIF('11月'!CU28:CV28,R$374)+COUNTIF('11月'!CZ28:DA28,R$374)+COUNTIF('11月'!DE28:DF28,R$374)+COUNTIF('11月'!DJ28:DK28,R$374)+COUNTIF('11月'!DO28:DP28,R$374)+COUNTIF('11月'!DT28:DU28,R$374)+COUNTIF('11月'!DY28:DZ28,R$374)+COUNTIF('11月'!ED28:EE28,R$374)+COUNTIF('11月'!EI28:EJ28,R$374)+COUNTIF('11月'!EN28:EO28,R$374)+COUNTIF('11月'!ES28:ET28,R$374)</f>
        <v>0</v>
      </c>
      <c r="S400" s="76">
        <f t="shared" si="128"/>
        <v>0</v>
      </c>
      <c r="T400" s="76">
        <f>COUNTIF('11月'!D28:E28,T$374)+COUNTIF('11月'!I28:J28,T$374)+COUNTIF('11月'!N28:O28,T$374)+COUNTIF('11月'!S28:T28,T$374)+COUNTIF('11月'!X28:Y28,T$374)+COUNTIF('11月'!AC28:AD28,T$374)+COUNTIF('11月'!AH28:AI28,T$374)+COUNTIF('11月'!AM28:AN28,T$374)+COUNTIF('11月'!AR28:AS28,T$374)+COUNTIF('11月'!AW28:AX28,T$374)+COUNTIF('11月'!BB28:BC28,T$374)+COUNTIF('11月'!BG28:BH28,T$374)+COUNTIF('11月'!BL28:BM28,T$374)+COUNTIF('11月'!BQ28:BR28,T$374)+COUNTIF('11月'!BV28:BW28,T$374)+COUNTIF('11月'!CA28:CB28,T$374)+COUNTIF('11月'!CF28:CG28,T$374)+COUNTIF('11月'!CK28:CL28,T$374)+COUNTIF('11月'!CP28:CQ28,T$374)+COUNTIF('11月'!CU28:CV28,T$374)+COUNTIF('11月'!CZ28:DA28,T$374)+COUNTIF('11月'!DE28:DF28,T$374)+COUNTIF('11月'!DJ28:DK28,T$374)+COUNTIF('11月'!DO28:DP28,T$374)+COUNTIF('11月'!DT28:DU28,T$374)+COUNTIF('11月'!DY28:DZ28,T$374)+COUNTIF('11月'!ED28:EE28,T$374)+COUNTIF('11月'!EI28:EJ28,T$374)+COUNTIF('11月'!EN28:EO28,T$374)+COUNTIF('11月'!ES28:ET28,T$374)</f>
        <v>0</v>
      </c>
      <c r="U400" s="76">
        <f t="shared" si="129"/>
        <v>0</v>
      </c>
      <c r="V400" s="76">
        <f>COUNTIF('11月'!D28:E28,V$374)+COUNTIF('11月'!I28:J28,V$374)+COUNTIF('11月'!N28:O28,V$374)+COUNTIF('11月'!S28:T28,V$374)+COUNTIF('11月'!X28:Y28,V$374)+COUNTIF('11月'!AC28:AD28,V$374)+COUNTIF('11月'!AH28:AI28,V$374)+COUNTIF('11月'!AM28:AN28,V$374)+COUNTIF('11月'!AR28:AS28,V$374)+COUNTIF('11月'!AW28:AX28,V$374)+COUNTIF('11月'!BB28:BC28,V$374)+COUNTIF('11月'!BG28:BH28,V$374)+COUNTIF('11月'!BL28:BM28,V$374)+COUNTIF('11月'!BQ28:BR28,V$374)+COUNTIF('11月'!BV28:BW28,V$374)+COUNTIF('11月'!CA28:CB28,V$374)+COUNTIF('11月'!CF28:CG28,V$374)+COUNTIF('11月'!CK28:CL28,V$374)+COUNTIF('11月'!CP28:CQ28,V$374)+COUNTIF('11月'!CU28:CV28,V$374)+COUNTIF('11月'!CZ28:DA28,V$374)+COUNTIF('11月'!DE28:DF28,V$374)+COUNTIF('11月'!DJ28:DK28,V$374)+COUNTIF('11月'!DO28:DP28,V$374)+COUNTIF('11月'!DT28:DU28,V$374)+COUNTIF('11月'!DY28:DZ28,V$374)+COUNTIF('11月'!ED28:EE28,V$374)+COUNTIF('11月'!EI28:EJ28,V$374)+COUNTIF('11月'!EN28:EO28,V$374)+COUNTIF('11月'!ES28:ET28,V$374)</f>
        <v>0</v>
      </c>
      <c r="W400" s="76">
        <f t="shared" si="130"/>
        <v>0</v>
      </c>
      <c r="X400" s="76">
        <f>COUNTIF('11月'!D28:E28,X$374)+COUNTIF('11月'!I28:J28,X$374)+COUNTIF('11月'!N28:O28,X$374)+COUNTIF('11月'!S28:T28,X$374)+COUNTIF('11月'!X28:Y28,X$374)+COUNTIF('11月'!AC28:AD28,X$374)+COUNTIF('11月'!AH28:AI28,X$374)+COUNTIF('11月'!AM28:AN28,X$374)+COUNTIF('11月'!AR28:AS28,X$374)+COUNTIF('11月'!AW28:AX28,X$374)+COUNTIF('11月'!BB28:BC28,X$374)+COUNTIF('11月'!BG28:BH28,X$374)+COUNTIF('11月'!BL28:BM28,X$374)+COUNTIF('11月'!BQ28:BR28,X$374)+COUNTIF('11月'!BV28:BW28,X$374)+COUNTIF('11月'!CA28:CB28,X$374)+COUNTIF('11月'!CF28:CG28,X$374)+COUNTIF('11月'!CK28:CL28,X$374)+COUNTIF('11月'!CP28:CQ28,X$374)+COUNTIF('11月'!CU28:CV28,X$374)+COUNTIF('11月'!CZ28:DA28,X$374)+COUNTIF('11月'!DE28:DF28,X$374)+COUNTIF('11月'!DJ28:DK28,X$374)+COUNTIF('11月'!DO28:DP28,X$374)+COUNTIF('11月'!DT28:DU28,X$374)+COUNTIF('11月'!DY28:DZ28,X$374)+COUNTIF('11月'!ED28:EE28,X$374)+COUNTIF('11月'!EI28:EJ28,X$374)+COUNTIF('11月'!EN28:EO28,X$374)+COUNTIF('11月'!ES28:ET28,X$374)</f>
        <v>0</v>
      </c>
      <c r="Y400" s="76">
        <f t="shared" si="131"/>
        <v>0</v>
      </c>
    </row>
    <row r="401" spans="1:25" ht="18" customHeight="1">
      <c r="A401" s="76">
        <v>26</v>
      </c>
      <c r="B401" s="76">
        <f>COUNTIF('11月'!D29:E29,B$374)+COUNTIF('11月'!I29:J29,B$374)+COUNTIF('11月'!N29:O29,B$374)+COUNTIF('11月'!S29:T29,B$374)+COUNTIF('11月'!X29:Y29,B$374)+COUNTIF('11月'!AC29:AD29,B$374)+COUNTIF('11月'!AH29:AI29,B$374)+COUNTIF('11月'!AM29:AN29,B$374)+COUNTIF('11月'!AR29:AS29,B$374)+COUNTIF('11月'!AW29:AX29,B$374)+COUNTIF('11月'!BB29:BC29,B$374)+COUNTIF('11月'!BG29:BH29,B$374)+COUNTIF('11月'!BL29:BM29,B$374)+COUNTIF('11月'!BQ29:BR29,B$374)+COUNTIF('11月'!BV29:BW29,B$374)+COUNTIF('11月'!CA29:CB29,B$374)+COUNTIF('11月'!CF29:CG29,B$374)+COUNTIF('11月'!CK29:CL29,B$374)+COUNTIF('11月'!CP29:CQ29,B$374)+COUNTIF('11月'!CU29:CV29,B$374)+COUNTIF('11月'!CZ29:DA29,B$374)+COUNTIF('11月'!DE29:DF29,B$374)+COUNTIF('11月'!DJ29:DK29,B$374)+COUNTIF('11月'!DO29:DP29,B$374)+COUNTIF('11月'!DT29:DU29,B$374)+COUNTIF('11月'!DY29:DZ29,B$374)+COUNTIF('11月'!ED29:EE29,B$374)+COUNTIF('11月'!EI29:EJ29,B$374)+COUNTIF('11月'!EN29:EO29,B$374)+COUNTIF('11月'!ES29:ET29,B$374)</f>
        <v>0</v>
      </c>
      <c r="C401" s="76">
        <f t="shared" si="120"/>
        <v>0</v>
      </c>
      <c r="D401" s="76">
        <f>COUNTIF('11月'!D29:E29,D$374)+COUNTIF('11月'!I29:J29,D$374)+COUNTIF('11月'!N29:O29,D$374)+COUNTIF('11月'!S29:T29,D$374)+COUNTIF('11月'!X29:Y29,D$374)+COUNTIF('11月'!AC29:AD29,D$374)+COUNTIF('11月'!AH29:AI29,D$374)+COUNTIF('11月'!AM29:AN29,D$374)+COUNTIF('11月'!AR29:AS29,D$374)+COUNTIF('11月'!AW29:AX29,D$374)+COUNTIF('11月'!BB29:BC29,D$374)+COUNTIF('11月'!BG29:BH29,D$374)+COUNTIF('11月'!BL29:BM29,D$374)+COUNTIF('11月'!BQ29:BR29,D$374)+COUNTIF('11月'!BV29:BW29,D$374)+COUNTIF('11月'!CA29:CB29,D$374)+COUNTIF('11月'!CF29:CG29,D$374)+COUNTIF('11月'!CK29:CL29,D$374)+COUNTIF('11月'!CP29:CQ29,D$374)+COUNTIF('11月'!CU29:CV29,D$374)+COUNTIF('11月'!CZ29:DA29,D$374)+COUNTIF('11月'!DE29:DF29,D$374)+COUNTIF('11月'!DJ29:DK29,D$374)+COUNTIF('11月'!DO29:DP29,D$374)+COUNTIF('11月'!DT29:DU29,D$374)+COUNTIF('11月'!DY29:DZ29,D$374)+COUNTIF('11月'!ED29:EE29,D$374)+COUNTIF('11月'!EI29:EJ29,D$374)+COUNTIF('11月'!EN29:EO29,D$374)+COUNTIF('11月'!ES29:ET29,D$374)</f>
        <v>0</v>
      </c>
      <c r="E401" s="76">
        <f t="shared" si="121"/>
        <v>0</v>
      </c>
      <c r="F401" s="76">
        <f>COUNTIF('11月'!D29:E29,F$374)+COUNTIF('11月'!I29:J29,F$374)+COUNTIF('11月'!N29:O29,F$374)+COUNTIF('11月'!S29:T29,F$374)+COUNTIF('11月'!X29:Y29,F$374)+COUNTIF('11月'!AC29:AD29,F$374)+COUNTIF('11月'!AH29:AI29,F$374)+COUNTIF('11月'!AM29:AN29,F$374)+COUNTIF('11月'!AR29:AS29,F$374)+COUNTIF('11月'!AW29:AX29,F$374)+COUNTIF('11月'!BB29:BC29,F$374)+COUNTIF('11月'!BG29:BH29,F$374)+COUNTIF('11月'!BL29:BM29,F$374)+COUNTIF('11月'!BQ29:BR29,F$374)+COUNTIF('11月'!BV29:BW29,F$374)+COUNTIF('11月'!CA29:CB29,F$374)+COUNTIF('11月'!CF29:CG29,F$374)+COUNTIF('11月'!CK29:CL29,F$374)+COUNTIF('11月'!CP29:CQ29,F$374)+COUNTIF('11月'!CU29:CV29,F$374)+COUNTIF('11月'!CZ29:DA29,F$374)+COUNTIF('11月'!DE29:DF29,F$374)+COUNTIF('11月'!DJ29:DK29,F$374)+COUNTIF('11月'!DO29:DP29,F$374)+COUNTIF('11月'!DT29:DU29,F$374)+COUNTIF('11月'!DY29:DZ29,F$374)+COUNTIF('11月'!ED29:EE29,F$374)+COUNTIF('11月'!EI29:EJ29,F$374)+COUNTIF('11月'!EN29:EO29,F$374)+COUNTIF('11月'!ES29:ET29,F$374)</f>
        <v>0</v>
      </c>
      <c r="G401" s="76">
        <f t="shared" si="122"/>
        <v>0</v>
      </c>
      <c r="H401" s="76">
        <f>COUNTIF('11月'!D29:E29,H$374)+COUNTIF('11月'!I29:J29,H$374)+COUNTIF('11月'!N29:O29,H$374)+COUNTIF('11月'!S29:T29,H$374)+COUNTIF('11月'!X29:Y29,H$374)+COUNTIF('11月'!AC29:AD29,H$374)+COUNTIF('11月'!AH29:AI29,H$374)+COUNTIF('11月'!AM29:AN29,H$374)+COUNTIF('11月'!AR29:AS29,H$374)+COUNTIF('11月'!AW29:AX29,H$374)+COUNTIF('11月'!BB29:BC29,H$374)+COUNTIF('11月'!BG29:BH29,H$374)+COUNTIF('11月'!BL29:BM29,H$374)+COUNTIF('11月'!BQ29:BR29,H$374)+COUNTIF('11月'!BV29:BW29,H$374)+COUNTIF('11月'!CA29:CB29,H$374)+COUNTIF('11月'!CF29:CG29,H$374)+COUNTIF('11月'!CK29:CL29,H$374)+COUNTIF('11月'!CP29:CQ29,H$374)+COUNTIF('11月'!CU29:CV29,H$374)+COUNTIF('11月'!CZ29:DA29,H$374)+COUNTIF('11月'!DE29:DF29,H$374)+COUNTIF('11月'!DJ29:DK29,H$374)+COUNTIF('11月'!DO29:DP29,H$374)+COUNTIF('11月'!DT29:DU29,H$374)+COUNTIF('11月'!DY29:DZ29,H$374)+COUNTIF('11月'!ED29:EE29,H$374)+COUNTIF('11月'!EI29:EJ29,H$374)+COUNTIF('11月'!EN29:EO29,H$374)+COUNTIF('11月'!ES29:ET29,H$374)+COUNTIF('11月'!D29:E29,"渋谷-夜勤")+COUNTIF('11月'!I29:J29,"渋谷-夜勤")+COUNTIF('11月'!N29:O29,"渋谷-夜勤")+COUNTIF('11月'!S29:T29,"渋谷-夜勤")+COUNTIF('11月'!X29:Y29,"渋谷-夜勤")+COUNTIF('11月'!AC29:AD29,"渋谷-夜勤")+COUNTIF('11月'!AH29:AI29,"渋谷-夜勤")+COUNTIF('11月'!AM29:AN29,"渋谷-夜勤")+COUNTIF('11月'!AR29:AS29,"渋谷-夜勤")+COUNTIF('11月'!AW29:AX29,"渋谷-夜勤")+COUNTIF('11月'!BB29:BC29,"渋谷-夜勤")+COUNTIF('11月'!BG29:BH29,"渋谷-夜勤")+COUNTIF('11月'!BL29:BM29,"渋谷-夜勤")+COUNTIF('11月'!BQ29:BR29,"渋谷-夜勤")+COUNTIF('11月'!BV29:BW29,"渋谷-夜勤")+COUNTIF('11月'!CA29:CB29,"渋谷-夜勤")+COUNTIF('11月'!CF29:CG29,"渋谷-夜勤")+COUNTIF('11月'!CK29:CL29,"渋谷-夜勤")+COUNTIF('11月'!CP29:CQ29,"渋谷-夜勤")+COUNTIF('11月'!CU29:CV29,"渋谷-夜勤")+COUNTIF('11月'!CZ29:DA29,"渋谷-夜勤")+COUNTIF('11月'!DE29:DF29,"渋谷-夜勤")+COUNTIF('11月'!DJ29:DK29,"渋谷-夜勤")+COUNTIF('11月'!DO29:DP29,"渋谷-夜勤")+COUNTIF('11月'!DT29:DU29,"渋谷-夜勤")+COUNTIF('11月'!DY29:DZ29,"渋谷-夜勤")+COUNTIF('11月'!ED29:EE29,"渋谷-夜勤")+COUNTIF('11月'!EI29:EJ29,"渋谷-夜勤")+COUNTIF('11月'!EN29:EO29,"渋谷-夜勤")+COUNTIF('11月'!ES29:ET29,"渋谷-夜勤")</f>
        <v>0</v>
      </c>
      <c r="I401" s="76">
        <f t="shared" si="123"/>
        <v>0</v>
      </c>
      <c r="J401" s="76">
        <f>COUNTIF('11月'!D29:E29,J$374)+COUNTIF('11月'!I29:J29,J$374)+COUNTIF('11月'!N29:O29,J$374)+COUNTIF('11月'!S29:T29,J$374)+COUNTIF('11月'!X29:Y29,J$374)+COUNTIF('11月'!AC29:AD29,J$374)+COUNTIF('11月'!AH29:AI29,J$374)+COUNTIF('11月'!AM29:AN29,J$374)+COUNTIF('11月'!AR29:AS29,J$374)+COUNTIF('11月'!AW29:AX29,J$374)+COUNTIF('11月'!BB29:BC29,J$374)+COUNTIF('11月'!BG29:BH29,J$374)+COUNTIF('11月'!BL29:BM29,J$374)+COUNTIF('11月'!BQ29:BR29,J$374)+COUNTIF('11月'!BV29:BW29,J$374)+COUNTIF('11月'!CA29:CB29,J$374)+COUNTIF('11月'!CF29:CG29,J$374)+COUNTIF('11月'!CK29:CL29,J$374)+COUNTIF('11月'!CP29:CQ29,J$374)+COUNTIF('11月'!CU29:CV29,J$374)+COUNTIF('11月'!CZ29:DA29,J$374)+COUNTIF('11月'!DE29:DF29,J$374)+COUNTIF('11月'!DJ29:DK29,J$374)+COUNTIF('11月'!DO29:DP29,J$374)+COUNTIF('11月'!DT29:DU29,J$374)+COUNTIF('11月'!DY29:DZ29,J$374)+COUNTIF('11月'!ED29:EE29,J$374)+COUNTIF('11月'!EI29:EJ29,J$374)+COUNTIF('11月'!EN29:EO29,J$374)+COUNTIF('11月'!ES29:ET29,J$374)+COUNTIF('11月'!D29:E29,"六本木-夜勤")+COUNTIF('11月'!I29:J29,"六本木-夜勤")+COUNTIF('11月'!N29:O29,"六本木-夜勤")+COUNTIF('11月'!S29:T29,"六本木-夜勤")+COUNTIF('11月'!X29:Y29,"六本木-夜勤")+COUNTIF('11月'!AC29:AD29,"六本木-夜勤")+COUNTIF('11月'!AH29:AI29,"六本木-夜勤")+COUNTIF('11月'!AM29:AN29,"六本木-夜勤")+COUNTIF('11月'!AR29:AS29,"六本木-夜勤")+COUNTIF('11月'!AW29:AX29,"六本木-夜勤")+COUNTIF('11月'!BB29:BC29,"六本木-夜勤")+COUNTIF('11月'!BG29:BH29,"六本木-夜勤")+COUNTIF('11月'!BL29:BM29,"六本木-夜勤")+COUNTIF('11月'!BQ29:BR29,"六本木-夜勤")+COUNTIF('11月'!BV29:BW29,"六本木-夜勤")+COUNTIF('11月'!CA29:CB29,"六本木-夜勤")+COUNTIF('11月'!CF29:CG29,"六本木-夜勤")+COUNTIF('11月'!CK29:CL29,"六本木-夜勤")+COUNTIF('11月'!CP29:CQ29,"六本木-夜勤")+COUNTIF('11月'!CU29:CV29,"六本木-夜勤")+COUNTIF('11月'!CZ29:DA29,"六本木-夜勤")+COUNTIF('11月'!DE29:DF29,"六本木-夜勤")+COUNTIF('11月'!DJ29:DK29,"六本木-夜勤")+COUNTIF('11月'!DO29:DP29,"六本木-夜勤")+COUNTIF('11月'!DT29:DU29,"六本木-夜勤")+COUNTIF('11月'!DY29:DZ29,"六本木-夜勤")+COUNTIF('11月'!ED29:EE29,"六本木-夜勤")+COUNTIF('11月'!EI29:EJ29,"六本木-夜勤")+COUNTIF('11月'!EN29:EO29,"六本木-夜勤")+COUNTIF('11月'!ES29:ET29,"六本木-夜勤")+COUNTIF('11月'!D29:E29,"六本木ー夜勤")+COUNTIF('11月'!I29:J29,"六本木ー夜勤")+COUNTIF('11月'!N29:O29,"六本木ー夜勤")+COUNTIF('11月'!S29:T29,"六本木ー夜勤")+COUNTIF('11月'!X29:Y29,"六本木ー夜勤")+COUNTIF('11月'!AC29:AD29,"六本木ー夜勤")+COUNTIF('11月'!AH29:AI29,"六本木ー夜勤")+COUNTIF('11月'!AM29:AN29,"六本木ー夜勤")+COUNTIF('11月'!AR29:AS29,"六本木ー夜勤")+COUNTIF('11月'!AW29:AX29,"六本木ー夜勤")+COUNTIF('11月'!BB29:BC29,"六本木ー夜勤")+COUNTIF('11月'!BG29:BH29,"六本木ー夜勤")+COUNTIF('11月'!BL29:BM29,"六本木ー夜勤")+COUNTIF('11月'!BQ29:BR29,"六本木ー夜勤")+COUNTIF('11月'!BV29:BW29,"六本木ー夜勤")+COUNTIF('11月'!CA29:CB29,"六本木ー夜勤")+COUNTIF('11月'!CF29:CG29,"六本木ー夜勤")+COUNTIF('11月'!CK29:CL29,"六本木ー夜勤")+COUNTIF('11月'!CP29:CQ29,"六本木ー夜勤")+COUNTIF('11月'!CU29:CV29,"六本木ー夜勤")+COUNTIF('11月'!CZ29:DA29,"六本木ー夜勤")+COUNTIF('11月'!DE29:DF29,"六本木ー夜勤")+COUNTIF('11月'!DJ29:DK29,"六本木ー夜勤")+COUNTIF('11月'!DO29:DP29,"六本木ー夜勤")+COUNTIF('11月'!DT29:DU29,"六本木ー夜勤")+COUNTIF('11月'!DY29:DZ29,"六本木ー夜勤")+COUNTIF('11月'!ED29:EE29,"六本木ー夜勤")+COUNTIF('11月'!EI29:EJ29,"六本木ー夜勤")+COUNTIF('11月'!EN29:EO29,"六本木ー夜勤")+COUNTIF('11月'!ES29:ET29,"六本木ー夜勤")</f>
        <v>0</v>
      </c>
      <c r="K401" s="76">
        <f t="shared" si="124"/>
        <v>0</v>
      </c>
      <c r="L401" s="76">
        <f>COUNTIF('11月'!D29:E29,L$374)+COUNTIF('11月'!I29:J29,L$374)+COUNTIF('11月'!N29:O29,L$374)+COUNTIF('11月'!S29:T29,L$374)+COUNTIF('11月'!X29:Y29,L$374)+COUNTIF('11月'!AC29:AD29,L$374)+COUNTIF('11月'!AH29:AI29,L$374)+COUNTIF('11月'!AM29:AN29,L$374)+COUNTIF('11月'!AR29:AS29,L$374)+COUNTIF('11月'!AW29:AX29,L$374)+COUNTIF('11月'!BB29:BC29,L$374)+COUNTIF('11月'!BG29:BH29,L$374)+COUNTIF('11月'!BL29:BM29,L$374)+COUNTIF('11月'!BQ29:BR29,L$374)+COUNTIF('11月'!BV29:BW29,L$374)+COUNTIF('11月'!CA29:CB29,L$374)+COUNTIF('11月'!CF29:CG29,L$374)+COUNTIF('11月'!CK29:CL29,L$374)+COUNTIF('11月'!CP29:CQ29,L$374)+COUNTIF('11月'!CU29:CV29,L$374)+COUNTIF('11月'!CZ29:DA29,L$374)+COUNTIF('11月'!DE29:DF29,L$374)+COUNTIF('11月'!DJ29:DK29,L$374)+COUNTIF('11月'!DO29:DP29,L$374)+COUNTIF('11月'!DT29:DU29,L$374)+COUNTIF('11月'!DY29:DZ29,L$374)+COUNTIF('11月'!ED29:EE29,L$374)+COUNTIF('11月'!EI29:EJ29,L$374)+COUNTIF('11月'!EN29:EO29,L$374)+COUNTIF('11月'!ES29:ET29,L$374)</f>
        <v>0</v>
      </c>
      <c r="M401" s="76">
        <f t="shared" si="125"/>
        <v>0</v>
      </c>
      <c r="N401" s="76">
        <f>COUNTIF('11月'!D29:E29,N$374)+COUNTIF('11月'!I29:J29,N$374)+COUNTIF('11月'!N29:O29,N$374)+COUNTIF('11月'!S29:T29,N$374)+COUNTIF('11月'!X29:Y29,N$374)+COUNTIF('11月'!AC29:AD29,N$374)+COUNTIF('11月'!AH29:AI29,N$374)+COUNTIF('11月'!AM29:AN29,N$374)+COUNTIF('11月'!AR29:AS29,N$374)+COUNTIF('11月'!AW29:AX29,N$374)+COUNTIF('11月'!BB29:BC29,N$374)+COUNTIF('11月'!BG29:BH29,N$374)+COUNTIF('11月'!BL29:BM29,N$374)+COUNTIF('11月'!BQ29:BR29,N$374)+COUNTIF('11月'!BV29:BW29,N$374)+COUNTIF('11月'!CA29:CB29,N$374)+COUNTIF('11月'!CF29:CG29,N$374)+COUNTIF('11月'!CK29:CL29,N$374)+COUNTIF('11月'!CP29:CQ29,N$374)+COUNTIF('11月'!CU29:CV29,N$374)+COUNTIF('11月'!CZ29:DA29,N$374)+COUNTIF('11月'!DE29:DF29,N$374)+COUNTIF('11月'!DJ29:DK29,N$374)+COUNTIF('11月'!DO29:DP29,N$374)+COUNTIF('11月'!DT29:DU29,N$374)+COUNTIF('11月'!DY29:DZ29,N$374)+COUNTIF('11月'!ED29:EE29,N$374)+COUNTIF('11月'!EI29:EJ29,N$374)+COUNTIF('11月'!EN29:EO29,N$374)+COUNTIF('11月'!ES29:ET29,N$374)+COUNTIF('11月'!D29:E29,"三軒茶屋－夜勤")+COUNTIF('11月'!I29:J29,"三軒茶屋－夜勤")+COUNTIF('11月'!N29:O29,"三軒茶屋－夜勤")+COUNTIF('11月'!S29:T29,"三軒茶屋－夜勤")+COUNTIF('11月'!X29:Y29,"三軒茶屋－夜勤")+COUNTIF('11月'!AC29:AD29,"三軒茶屋－夜勤")+COUNTIF('11月'!AH29:AI29,"三軒茶屋－夜勤")+COUNTIF('11月'!AM29:AN29,"三軒茶屋－夜勤")+COUNTIF('11月'!AR29:AS29,"三軒茶屋－夜勤")+COUNTIF('11月'!AW29:AX29,"三軒茶屋－夜勤")+COUNTIF('11月'!BB29:BC29,"三軒茶屋－夜勤")+COUNTIF('11月'!BG29:BH29,"三軒茶屋－夜勤")+COUNTIF('11月'!BL29:BM29,"三軒茶屋－夜勤")+COUNTIF('11月'!BQ29:BR29,"三軒茶屋－夜勤")+COUNTIF('11月'!BV29:BW29,"三軒茶屋－夜勤")+COUNTIF('11月'!CA29:CB29,"三軒茶屋－夜勤")+COUNTIF('11月'!CF29:CG29,"三軒茶屋－夜勤")+COUNTIF('11月'!CK29:CL29,"三軒茶屋－夜勤")+COUNTIF('11月'!CP29:CQ29,"三軒茶屋－夜勤")+COUNTIF('11月'!CU29:CV29,"三軒茶屋－夜勤")+COUNTIF('11月'!CZ29:DA29,"三軒茶屋－夜勤")+COUNTIF('11月'!DE29:DF29,"三軒茶屋－夜勤")+COUNTIF('11月'!DJ29:DK29,"三軒茶屋－夜勤")+COUNTIF('11月'!DO29:DP29,"三軒茶屋－夜勤")+COUNTIF('11月'!DT29:DU29,"三軒茶屋－夜勤")+COUNTIF('11月'!DY29:DZ29,"三軒茶屋－夜勤")+COUNTIF('11月'!ED29:EE29,"三軒茶屋－夜勤")+COUNTIF('11月'!EI29:EJ29,"三軒茶屋－夜勤")+COUNTIF('11月'!EN29:EO29,"三軒茶屋－夜勤")+COUNTIF('11月'!ES29:ET29,"三軒茶屋－夜勤")</f>
        <v>0</v>
      </c>
      <c r="O401" s="76">
        <f t="shared" si="126"/>
        <v>0</v>
      </c>
      <c r="P401" s="76">
        <f>COUNTIF('11月'!D29:E29,P$374)+COUNTIF('11月'!I29:J29,P$374)+COUNTIF('11月'!N29:O29,P$374)+COUNTIF('11月'!S29:T29,P$374)+COUNTIF('11月'!X29:Y29,P$374)+COUNTIF('11月'!AC29:AD29,P$374)+COUNTIF('11月'!AH29:AI29,P$374)+COUNTIF('11月'!AM29:AN29,P$374)+COUNTIF('11月'!AR29:AS29,P$374)+COUNTIF('11月'!AW29:AX29,P$374)+COUNTIF('11月'!BB29:BC29,P$374)+COUNTIF('11月'!BG29:BH29,P$374)+COUNTIF('11月'!BL29:BM29,P$374)+COUNTIF('11月'!BQ29:BR29,P$374)+COUNTIF('11月'!BV29:BW29,P$374)+COUNTIF('11月'!CA29:CB29,P$374)+COUNTIF('11月'!CF29:CG29,P$374)+COUNTIF('11月'!CK29:CL29,P$374)+COUNTIF('11月'!CP29:CQ29,P$374)+COUNTIF('11月'!CU29:CV29,P$374)+COUNTIF('11月'!CZ29:DA29,P$374)+COUNTIF('11月'!DE29:DF29,P$374)+COUNTIF('11月'!DJ29:DK29,P$374)+COUNTIF('11月'!DO29:DP29,P$374)+COUNTIF('11月'!DT29:DU29,P$374)+COUNTIF('11月'!DY29:DZ29,P$374)+COUNTIF('11月'!ED29:EE29,P$374)+COUNTIF('11月'!EI29:EJ29,P$374)+COUNTIF('11月'!EN29:EO29,P$374)+COUNTIF('11月'!ES29:ET29,P$374)+COUNTIF('11月'!D29:E29,"荻窪ー夜勤")+COUNTIF('11月'!I29:J29,"荻窪ー夜勤")+COUNTIF('11月'!N29:O29,"荻窪ー夜勤")+COUNTIF('11月'!S29:T29,"荻窪ー夜勤")+COUNTIF('11月'!X29:Y29,"荻窪ー夜勤")+COUNTIF('11月'!AC29:AD29,"荻窪ー夜勤")+COUNTIF('11月'!AH29:AI29,"荻窪ー夜勤")+COUNTIF('11月'!AM29:AN29,"荻窪ー夜勤")+COUNTIF('11月'!AR29:AS29,"荻窪ー夜勤")+COUNTIF('11月'!AW29:AX29,"荻窪ー夜勤")+COUNTIF('11月'!BB29:BC29,"荻窪ー夜勤")+COUNTIF('11月'!BG29:BH29,"荻窪ー夜勤")+COUNTIF('11月'!BL29:BM29,"荻窪ー夜勤")+COUNTIF('11月'!BQ29:BR29,"荻窪ー夜勤")+COUNTIF('11月'!BV29:BW29,"荻窪ー夜勤")+COUNTIF('11月'!CA29:CB29,"荻窪ー夜勤")+COUNTIF('11月'!CF29:CG29,"荻窪ー夜勤")+COUNTIF('11月'!CK29:CL29,"荻窪ー夜勤")+COUNTIF('11月'!CP29:CQ29,"荻窪ー夜勤")+COUNTIF('11月'!CU29:CV29,"荻窪ー夜勤")+COUNTIF('11月'!CZ29:DA29,"荻窪ー夜勤")+COUNTIF('11月'!DE29:DF29,"荻窪ー夜勤")+COUNTIF('11月'!DJ29:DK29,"荻窪ー夜勤")+COUNTIF('11月'!DO29:DP29,"荻窪ー夜勤")+COUNTIF('11月'!DT29:DU29,"荻窪ー夜勤")+COUNTIF('11月'!DY29:DZ29,"荻窪ー夜勤")+COUNTIF('11月'!ED29:EE29,"荻窪ー夜勤")+COUNTIF('11月'!EI29:EJ29,"荻窪ー夜勤")+COUNTIF('11月'!EN29:EO29,"荻窪ー夜勤")+COUNTIF('11月'!ES29:ET29,"荻窪ー夜勤")</f>
        <v>0</v>
      </c>
      <c r="Q401" s="76">
        <f t="shared" si="127"/>
        <v>0</v>
      </c>
      <c r="R401" s="76">
        <f>COUNTIF('11月'!D29:E29,R$374)+COUNTIF('11月'!I29:J29,R$374)+COUNTIF('11月'!N29:O29,R$374)+COUNTIF('11月'!S29:T29,R$374)+COUNTIF('11月'!X29:Y29,R$374)+COUNTIF('11月'!AC29:AD29,R$374)+COUNTIF('11月'!AH29:AI29,R$374)+COUNTIF('11月'!AM29:AN29,R$374)+COUNTIF('11月'!AR29:AS29,R$374)+COUNTIF('11月'!AW29:AX29,R$374)+COUNTIF('11月'!BB29:BC29,R$374)+COUNTIF('11月'!BG29:BH29,R$374)+COUNTIF('11月'!BL29:BM29,R$374)+COUNTIF('11月'!BQ29:BR29,R$374)+COUNTIF('11月'!BV29:BW29,R$374)+COUNTIF('11月'!CA29:CB29,R$374)+COUNTIF('11月'!CF29:CG29,R$374)+COUNTIF('11月'!CK29:CL29,R$374)+COUNTIF('11月'!CP29:CQ29,R$374)+COUNTIF('11月'!CU29:CV29,R$374)+COUNTIF('11月'!CZ29:DA29,R$374)+COUNTIF('11月'!DE29:DF29,R$374)+COUNTIF('11月'!DJ29:DK29,R$374)+COUNTIF('11月'!DO29:DP29,R$374)+COUNTIF('11月'!DT29:DU29,R$374)+COUNTIF('11月'!DY29:DZ29,R$374)+COUNTIF('11月'!ED29:EE29,R$374)+COUNTIF('11月'!EI29:EJ29,R$374)+COUNTIF('11月'!EN29:EO29,R$374)+COUNTIF('11月'!ES29:ET29,R$374)</f>
        <v>0</v>
      </c>
      <c r="S401" s="76">
        <f t="shared" si="128"/>
        <v>0</v>
      </c>
      <c r="T401" s="76">
        <f>COUNTIF('11月'!D29:E29,T$374)+COUNTIF('11月'!I29:J29,T$374)+COUNTIF('11月'!N29:O29,T$374)+COUNTIF('11月'!S29:T29,T$374)+COUNTIF('11月'!X29:Y29,T$374)+COUNTIF('11月'!AC29:AD29,T$374)+COUNTIF('11月'!AH29:AI29,T$374)+COUNTIF('11月'!AM29:AN29,T$374)+COUNTIF('11月'!AR29:AS29,T$374)+COUNTIF('11月'!AW29:AX29,T$374)+COUNTIF('11月'!BB29:BC29,T$374)+COUNTIF('11月'!BG29:BH29,T$374)+COUNTIF('11月'!BL29:BM29,T$374)+COUNTIF('11月'!BQ29:BR29,T$374)+COUNTIF('11月'!BV29:BW29,T$374)+COUNTIF('11月'!CA29:CB29,T$374)+COUNTIF('11月'!CF29:CG29,T$374)+COUNTIF('11月'!CK29:CL29,T$374)+COUNTIF('11月'!CP29:CQ29,T$374)+COUNTIF('11月'!CU29:CV29,T$374)+COUNTIF('11月'!CZ29:DA29,T$374)+COUNTIF('11月'!DE29:DF29,T$374)+COUNTIF('11月'!DJ29:DK29,T$374)+COUNTIF('11月'!DO29:DP29,T$374)+COUNTIF('11月'!DT29:DU29,T$374)+COUNTIF('11月'!DY29:DZ29,T$374)+COUNTIF('11月'!ED29:EE29,T$374)+COUNTIF('11月'!EI29:EJ29,T$374)+COUNTIF('11月'!EN29:EO29,T$374)+COUNTIF('11月'!ES29:ET29,T$374)</f>
        <v>0</v>
      </c>
      <c r="U401" s="76">
        <f t="shared" si="129"/>
        <v>0</v>
      </c>
      <c r="V401" s="76">
        <f>COUNTIF('11月'!D29:E29,V$374)+COUNTIF('11月'!I29:J29,V$374)+COUNTIF('11月'!N29:O29,V$374)+COUNTIF('11月'!S29:T29,V$374)+COUNTIF('11月'!X29:Y29,V$374)+COUNTIF('11月'!AC29:AD29,V$374)+COUNTIF('11月'!AH29:AI29,V$374)+COUNTIF('11月'!AM29:AN29,V$374)+COUNTIF('11月'!AR29:AS29,V$374)+COUNTIF('11月'!AW29:AX29,V$374)+COUNTIF('11月'!BB29:BC29,V$374)+COUNTIF('11月'!BG29:BH29,V$374)+COUNTIF('11月'!BL29:BM29,V$374)+COUNTIF('11月'!BQ29:BR29,V$374)+COUNTIF('11月'!BV29:BW29,V$374)+COUNTIF('11月'!CA29:CB29,V$374)+COUNTIF('11月'!CF29:CG29,V$374)+COUNTIF('11月'!CK29:CL29,V$374)+COUNTIF('11月'!CP29:CQ29,V$374)+COUNTIF('11月'!CU29:CV29,V$374)+COUNTIF('11月'!CZ29:DA29,V$374)+COUNTIF('11月'!DE29:DF29,V$374)+COUNTIF('11月'!DJ29:DK29,V$374)+COUNTIF('11月'!DO29:DP29,V$374)+COUNTIF('11月'!DT29:DU29,V$374)+COUNTIF('11月'!DY29:DZ29,V$374)+COUNTIF('11月'!ED29:EE29,V$374)+COUNTIF('11月'!EI29:EJ29,V$374)+COUNTIF('11月'!EN29:EO29,V$374)+COUNTIF('11月'!ES29:ET29,V$374)</f>
        <v>0</v>
      </c>
      <c r="W401" s="76">
        <f t="shared" si="130"/>
        <v>0</v>
      </c>
      <c r="X401" s="76">
        <f>COUNTIF('11月'!D29:E29,X$374)+COUNTIF('11月'!I29:J29,X$374)+COUNTIF('11月'!N29:O29,X$374)+COUNTIF('11月'!S29:T29,X$374)+COUNTIF('11月'!X29:Y29,X$374)+COUNTIF('11月'!AC29:AD29,X$374)+COUNTIF('11月'!AH29:AI29,X$374)+COUNTIF('11月'!AM29:AN29,X$374)+COUNTIF('11月'!AR29:AS29,X$374)+COUNTIF('11月'!AW29:AX29,X$374)+COUNTIF('11月'!BB29:BC29,X$374)+COUNTIF('11月'!BG29:BH29,X$374)+COUNTIF('11月'!BL29:BM29,X$374)+COUNTIF('11月'!BQ29:BR29,X$374)+COUNTIF('11月'!BV29:BW29,X$374)+COUNTIF('11月'!CA29:CB29,X$374)+COUNTIF('11月'!CF29:CG29,X$374)+COUNTIF('11月'!CK29:CL29,X$374)+COUNTIF('11月'!CP29:CQ29,X$374)+COUNTIF('11月'!CU29:CV29,X$374)+COUNTIF('11月'!CZ29:DA29,X$374)+COUNTIF('11月'!DE29:DF29,X$374)+COUNTIF('11月'!DJ29:DK29,X$374)+COUNTIF('11月'!DO29:DP29,X$374)+COUNTIF('11月'!DT29:DU29,X$374)+COUNTIF('11月'!DY29:DZ29,X$374)+COUNTIF('11月'!ED29:EE29,X$374)+COUNTIF('11月'!EI29:EJ29,X$374)+COUNTIF('11月'!EN29:EO29,X$374)+COUNTIF('11月'!ES29:ET29,X$374)</f>
        <v>0</v>
      </c>
      <c r="Y401" s="76">
        <f t="shared" si="131"/>
        <v>0</v>
      </c>
    </row>
    <row r="402" spans="1:25" ht="18" customHeight="1">
      <c r="A402" s="76">
        <v>27</v>
      </c>
      <c r="B402" s="76">
        <f>COUNTIF('11月'!D30:E30,B$374)+COUNTIF('11月'!I30:J30,B$374)+COUNTIF('11月'!N30:O30,B$374)+COUNTIF('11月'!S30:T30,B$374)+COUNTIF('11月'!X30:Y30,B$374)+COUNTIF('11月'!AC30:AD30,B$374)+COUNTIF('11月'!AH30:AI30,B$374)+COUNTIF('11月'!AM30:AN30,B$374)+COUNTIF('11月'!AR30:AS30,B$374)+COUNTIF('11月'!AW30:AX30,B$374)+COUNTIF('11月'!BB30:BC30,B$374)+COUNTIF('11月'!BG30:BH30,B$374)+COUNTIF('11月'!BL30:BM30,B$374)+COUNTIF('11月'!BQ30:BR30,B$374)+COUNTIF('11月'!BV30:BW30,B$374)+COUNTIF('11月'!CA30:CB30,B$374)+COUNTIF('11月'!CF30:CG30,B$374)+COUNTIF('11月'!CK30:CL30,B$374)+COUNTIF('11月'!CP30:CQ30,B$374)+COUNTIF('11月'!CU30:CV30,B$374)+COUNTIF('11月'!CZ30:DA30,B$374)+COUNTIF('11月'!DE30:DF30,B$374)+COUNTIF('11月'!DJ30:DK30,B$374)+COUNTIF('11月'!DO30:DP30,B$374)+COUNTIF('11月'!DT30:DU30,B$374)+COUNTIF('11月'!DY30:DZ30,B$374)+COUNTIF('11月'!ED30:EE30,B$374)+COUNTIF('11月'!EI30:EJ30,B$374)+COUNTIF('11月'!EN30:EO30,B$374)+COUNTIF('11月'!ES30:ET30,B$374)</f>
        <v>0</v>
      </c>
      <c r="C402" s="76">
        <f t="shared" si="120"/>
        <v>0</v>
      </c>
      <c r="D402" s="76">
        <f>COUNTIF('11月'!D30:E30,D$374)+COUNTIF('11月'!I30:J30,D$374)+COUNTIF('11月'!N30:O30,D$374)+COUNTIF('11月'!S30:T30,D$374)+COUNTIF('11月'!X30:Y30,D$374)+COUNTIF('11月'!AC30:AD30,D$374)+COUNTIF('11月'!AH30:AI30,D$374)+COUNTIF('11月'!AM30:AN30,D$374)+COUNTIF('11月'!AR30:AS30,D$374)+COUNTIF('11月'!AW30:AX30,D$374)+COUNTIF('11月'!BB30:BC30,D$374)+COUNTIF('11月'!BG30:BH30,D$374)+COUNTIF('11月'!BL30:BM30,D$374)+COUNTIF('11月'!BQ30:BR30,D$374)+COUNTIF('11月'!BV30:BW30,D$374)+COUNTIF('11月'!CA30:CB30,D$374)+COUNTIF('11月'!CF30:CG30,D$374)+COUNTIF('11月'!CK30:CL30,D$374)+COUNTIF('11月'!CP30:CQ30,D$374)+COUNTIF('11月'!CU30:CV30,D$374)+COUNTIF('11月'!CZ30:DA30,D$374)+COUNTIF('11月'!DE30:DF30,D$374)+COUNTIF('11月'!DJ30:DK30,D$374)+COUNTIF('11月'!DO30:DP30,D$374)+COUNTIF('11月'!DT30:DU30,D$374)+COUNTIF('11月'!DY30:DZ30,D$374)+COUNTIF('11月'!ED30:EE30,D$374)+COUNTIF('11月'!EI30:EJ30,D$374)+COUNTIF('11月'!EN30:EO30,D$374)+COUNTIF('11月'!ES30:ET30,D$374)</f>
        <v>0</v>
      </c>
      <c r="E402" s="76">
        <f t="shared" si="121"/>
        <v>0</v>
      </c>
      <c r="F402" s="76">
        <f>COUNTIF('11月'!D30:E30,F$374)+COUNTIF('11月'!I30:J30,F$374)+COUNTIF('11月'!N30:O30,F$374)+COUNTIF('11月'!S30:T30,F$374)+COUNTIF('11月'!X30:Y30,F$374)+COUNTIF('11月'!AC30:AD30,F$374)+COUNTIF('11月'!AH30:AI30,F$374)+COUNTIF('11月'!AM30:AN30,F$374)+COUNTIF('11月'!AR30:AS30,F$374)+COUNTIF('11月'!AW30:AX30,F$374)+COUNTIF('11月'!BB30:BC30,F$374)+COUNTIF('11月'!BG30:BH30,F$374)+COUNTIF('11月'!BL30:BM30,F$374)+COUNTIF('11月'!BQ30:BR30,F$374)+COUNTIF('11月'!BV30:BW30,F$374)+COUNTIF('11月'!CA30:CB30,F$374)+COUNTIF('11月'!CF30:CG30,F$374)+COUNTIF('11月'!CK30:CL30,F$374)+COUNTIF('11月'!CP30:CQ30,F$374)+COUNTIF('11月'!CU30:CV30,F$374)+COUNTIF('11月'!CZ30:DA30,F$374)+COUNTIF('11月'!DE30:DF30,F$374)+COUNTIF('11月'!DJ30:DK30,F$374)+COUNTIF('11月'!DO30:DP30,F$374)+COUNTIF('11月'!DT30:DU30,F$374)+COUNTIF('11月'!DY30:DZ30,F$374)+COUNTIF('11月'!ED30:EE30,F$374)+COUNTIF('11月'!EI30:EJ30,F$374)+COUNTIF('11月'!EN30:EO30,F$374)+COUNTIF('11月'!ES30:ET30,F$374)</f>
        <v>0</v>
      </c>
      <c r="G402" s="76">
        <f t="shared" si="122"/>
        <v>0</v>
      </c>
      <c r="H402" s="76">
        <f>COUNTIF('11月'!D30:E30,H$374)+COUNTIF('11月'!I30:J30,H$374)+COUNTIF('11月'!N30:O30,H$374)+COUNTIF('11月'!S30:T30,H$374)+COUNTIF('11月'!X30:Y30,H$374)+COUNTIF('11月'!AC30:AD30,H$374)+COUNTIF('11月'!AH30:AI30,H$374)+COUNTIF('11月'!AM30:AN30,H$374)+COUNTIF('11月'!AR30:AS30,H$374)+COUNTIF('11月'!AW30:AX30,H$374)+COUNTIF('11月'!BB30:BC30,H$374)+COUNTIF('11月'!BG30:BH30,H$374)+COUNTIF('11月'!BL30:BM30,H$374)+COUNTIF('11月'!BQ30:BR30,H$374)+COUNTIF('11月'!BV30:BW30,H$374)+COUNTIF('11月'!CA30:CB30,H$374)+COUNTIF('11月'!CF30:CG30,H$374)+COUNTIF('11月'!CK30:CL30,H$374)+COUNTIF('11月'!CP30:CQ30,H$374)+COUNTIF('11月'!CU30:CV30,H$374)+COUNTIF('11月'!CZ30:DA30,H$374)+COUNTIF('11月'!DE30:DF30,H$374)+COUNTIF('11月'!DJ30:DK30,H$374)+COUNTIF('11月'!DO30:DP30,H$374)+COUNTIF('11月'!DT30:DU30,H$374)+COUNTIF('11月'!DY30:DZ30,H$374)+COUNTIF('11月'!ED30:EE30,H$374)+COUNTIF('11月'!EI30:EJ30,H$374)+COUNTIF('11月'!EN30:EO30,H$374)+COUNTIF('11月'!ES30:ET30,H$374)+COUNTIF('11月'!D30:E30,"渋谷-夜勤")+COUNTIF('11月'!I30:J30,"渋谷-夜勤")+COUNTIF('11月'!N30:O30,"渋谷-夜勤")+COUNTIF('11月'!S30:T30,"渋谷-夜勤")+COUNTIF('11月'!X30:Y30,"渋谷-夜勤")+COUNTIF('11月'!AC30:AD30,"渋谷-夜勤")+COUNTIF('11月'!AH30:AI30,"渋谷-夜勤")+COUNTIF('11月'!AM30:AN30,"渋谷-夜勤")+COUNTIF('11月'!AR30:AS30,"渋谷-夜勤")+COUNTIF('11月'!AW30:AX30,"渋谷-夜勤")+COUNTIF('11月'!BB30:BC30,"渋谷-夜勤")+COUNTIF('11月'!BG30:BH30,"渋谷-夜勤")+COUNTIF('11月'!BL30:BM30,"渋谷-夜勤")+COUNTIF('11月'!BQ30:BR30,"渋谷-夜勤")+COUNTIF('11月'!BV30:BW30,"渋谷-夜勤")+COUNTIF('11月'!CA30:CB30,"渋谷-夜勤")+COUNTIF('11月'!CF30:CG30,"渋谷-夜勤")+COUNTIF('11月'!CK30:CL30,"渋谷-夜勤")+COUNTIF('11月'!CP30:CQ30,"渋谷-夜勤")+COUNTIF('11月'!CU30:CV30,"渋谷-夜勤")+COUNTIF('11月'!CZ30:DA30,"渋谷-夜勤")+COUNTIF('11月'!DE30:DF30,"渋谷-夜勤")+COUNTIF('11月'!DJ30:DK30,"渋谷-夜勤")+COUNTIF('11月'!DO30:DP30,"渋谷-夜勤")+COUNTIF('11月'!DT30:DU30,"渋谷-夜勤")+COUNTIF('11月'!DY30:DZ30,"渋谷-夜勤")+COUNTIF('11月'!ED30:EE30,"渋谷-夜勤")+COUNTIF('11月'!EI30:EJ30,"渋谷-夜勤")+COUNTIF('11月'!EN30:EO30,"渋谷-夜勤")+COUNTIF('11月'!ES30:ET30,"渋谷-夜勤")</f>
        <v>0</v>
      </c>
      <c r="I402" s="76">
        <f t="shared" si="123"/>
        <v>0</v>
      </c>
      <c r="J402" s="76">
        <f>COUNTIF('11月'!D30:E30,J$374)+COUNTIF('11月'!I30:J30,J$374)+COUNTIF('11月'!N30:O30,J$374)+COUNTIF('11月'!S30:T30,J$374)+COUNTIF('11月'!X30:Y30,J$374)+COUNTIF('11月'!AC30:AD30,J$374)+COUNTIF('11月'!AH30:AI30,J$374)+COUNTIF('11月'!AM30:AN30,J$374)+COUNTIF('11月'!AR30:AS30,J$374)+COUNTIF('11月'!AW30:AX30,J$374)+COUNTIF('11月'!BB30:BC30,J$374)+COUNTIF('11月'!BG30:BH30,J$374)+COUNTIF('11月'!BL30:BM30,J$374)+COUNTIF('11月'!BQ30:BR30,J$374)+COUNTIF('11月'!BV30:BW30,J$374)+COUNTIF('11月'!CA30:CB30,J$374)+COUNTIF('11月'!CF30:CG30,J$374)+COUNTIF('11月'!CK30:CL30,J$374)+COUNTIF('11月'!CP30:CQ30,J$374)+COUNTIF('11月'!CU30:CV30,J$374)+COUNTIF('11月'!CZ30:DA30,J$374)+COUNTIF('11月'!DE30:DF30,J$374)+COUNTIF('11月'!DJ30:DK30,J$374)+COUNTIF('11月'!DO30:DP30,J$374)+COUNTIF('11月'!DT30:DU30,J$374)+COUNTIF('11月'!DY30:DZ30,J$374)+COUNTIF('11月'!ED30:EE30,J$374)+COUNTIF('11月'!EI30:EJ30,J$374)+COUNTIF('11月'!EN30:EO30,J$374)+COUNTIF('11月'!ES30:ET30,J$374)+COUNTIF('11月'!D30:E30,"六本木-夜勤")+COUNTIF('11月'!I30:J30,"六本木-夜勤")+COUNTIF('11月'!N30:O30,"六本木-夜勤")+COUNTIF('11月'!S30:T30,"六本木-夜勤")+COUNTIF('11月'!X30:Y30,"六本木-夜勤")+COUNTIF('11月'!AC30:AD30,"六本木-夜勤")+COUNTIF('11月'!AH30:AI30,"六本木-夜勤")+COUNTIF('11月'!AM30:AN30,"六本木-夜勤")+COUNTIF('11月'!AR30:AS30,"六本木-夜勤")+COUNTIF('11月'!AW30:AX30,"六本木-夜勤")+COUNTIF('11月'!BB30:BC30,"六本木-夜勤")+COUNTIF('11月'!BG30:BH30,"六本木-夜勤")+COUNTIF('11月'!BL30:BM30,"六本木-夜勤")+COUNTIF('11月'!BQ30:BR30,"六本木-夜勤")+COUNTIF('11月'!BV30:BW30,"六本木-夜勤")+COUNTIF('11月'!CA30:CB30,"六本木-夜勤")+COUNTIF('11月'!CF30:CG30,"六本木-夜勤")+COUNTIF('11月'!CK30:CL30,"六本木-夜勤")+COUNTIF('11月'!CP30:CQ30,"六本木-夜勤")+COUNTIF('11月'!CU30:CV30,"六本木-夜勤")+COUNTIF('11月'!CZ30:DA30,"六本木-夜勤")+COUNTIF('11月'!DE30:DF30,"六本木-夜勤")+COUNTIF('11月'!DJ30:DK30,"六本木-夜勤")+COUNTIF('11月'!DO30:DP30,"六本木-夜勤")+COUNTIF('11月'!DT30:DU30,"六本木-夜勤")+COUNTIF('11月'!DY30:DZ30,"六本木-夜勤")+COUNTIF('11月'!ED30:EE30,"六本木-夜勤")+COUNTIF('11月'!EI30:EJ30,"六本木-夜勤")+COUNTIF('11月'!EN30:EO30,"六本木-夜勤")+COUNTIF('11月'!ES30:ET30,"六本木-夜勤")+COUNTIF('11月'!D30:E30,"六本木ー夜勤")+COUNTIF('11月'!I30:J30,"六本木ー夜勤")+COUNTIF('11月'!N30:O30,"六本木ー夜勤")+COUNTIF('11月'!S30:T30,"六本木ー夜勤")+COUNTIF('11月'!X30:Y30,"六本木ー夜勤")+COUNTIF('11月'!AC30:AD30,"六本木ー夜勤")+COUNTIF('11月'!AH30:AI30,"六本木ー夜勤")+COUNTIF('11月'!AM30:AN30,"六本木ー夜勤")+COUNTIF('11月'!AR30:AS30,"六本木ー夜勤")+COUNTIF('11月'!AW30:AX30,"六本木ー夜勤")+COUNTIF('11月'!BB30:BC30,"六本木ー夜勤")+COUNTIF('11月'!BG30:BH30,"六本木ー夜勤")+COUNTIF('11月'!BL30:BM30,"六本木ー夜勤")+COUNTIF('11月'!BQ30:BR30,"六本木ー夜勤")+COUNTIF('11月'!BV30:BW30,"六本木ー夜勤")+COUNTIF('11月'!CA30:CB30,"六本木ー夜勤")+COUNTIF('11月'!CF30:CG30,"六本木ー夜勤")+COUNTIF('11月'!CK30:CL30,"六本木ー夜勤")+COUNTIF('11月'!CP30:CQ30,"六本木ー夜勤")+COUNTIF('11月'!CU30:CV30,"六本木ー夜勤")+COUNTIF('11月'!CZ30:DA30,"六本木ー夜勤")+COUNTIF('11月'!DE30:DF30,"六本木ー夜勤")+COUNTIF('11月'!DJ30:DK30,"六本木ー夜勤")+COUNTIF('11月'!DO30:DP30,"六本木ー夜勤")+COUNTIF('11月'!DT30:DU30,"六本木ー夜勤")+COUNTIF('11月'!DY30:DZ30,"六本木ー夜勤")+COUNTIF('11月'!ED30:EE30,"六本木ー夜勤")+COUNTIF('11月'!EI30:EJ30,"六本木ー夜勤")+COUNTIF('11月'!EN30:EO30,"六本木ー夜勤")+COUNTIF('11月'!ES30:ET30,"六本木ー夜勤")</f>
        <v>0</v>
      </c>
      <c r="K402" s="76">
        <f t="shared" si="124"/>
        <v>0</v>
      </c>
      <c r="L402" s="76">
        <f>COUNTIF('11月'!D30:E30,L$374)+COUNTIF('11月'!I30:J30,L$374)+COUNTIF('11月'!N30:O30,L$374)+COUNTIF('11月'!S30:T30,L$374)+COUNTIF('11月'!X30:Y30,L$374)+COUNTIF('11月'!AC30:AD30,L$374)+COUNTIF('11月'!AH30:AI30,L$374)+COUNTIF('11月'!AM30:AN30,L$374)+COUNTIF('11月'!AR30:AS30,L$374)+COUNTIF('11月'!AW30:AX30,L$374)+COUNTIF('11月'!BB30:BC30,L$374)+COUNTIF('11月'!BG30:BH30,L$374)+COUNTIF('11月'!BL30:BM30,L$374)+COUNTIF('11月'!BQ30:BR30,L$374)+COUNTIF('11月'!BV30:BW30,L$374)+COUNTIF('11月'!CA30:CB30,L$374)+COUNTIF('11月'!CF30:CG30,L$374)+COUNTIF('11月'!CK30:CL30,L$374)+COUNTIF('11月'!CP30:CQ30,L$374)+COUNTIF('11月'!CU30:CV30,L$374)+COUNTIF('11月'!CZ30:DA30,L$374)+COUNTIF('11月'!DE30:DF30,L$374)+COUNTIF('11月'!DJ30:DK30,L$374)+COUNTIF('11月'!DO30:DP30,L$374)+COUNTIF('11月'!DT30:DU30,L$374)+COUNTIF('11月'!DY30:DZ30,L$374)+COUNTIF('11月'!ED30:EE30,L$374)+COUNTIF('11月'!EI30:EJ30,L$374)+COUNTIF('11月'!EN30:EO30,L$374)+COUNTIF('11月'!ES30:ET30,L$374)</f>
        <v>0</v>
      </c>
      <c r="M402" s="76">
        <f t="shared" si="125"/>
        <v>0</v>
      </c>
      <c r="N402" s="76">
        <f>COUNTIF('11月'!D30:E30,N$374)+COUNTIF('11月'!I30:J30,N$374)+COUNTIF('11月'!N30:O30,N$374)+COUNTIF('11月'!S30:T30,N$374)+COUNTIF('11月'!X30:Y30,N$374)+COUNTIF('11月'!AC30:AD30,N$374)+COUNTIF('11月'!AH30:AI30,N$374)+COUNTIF('11月'!AM30:AN30,N$374)+COUNTIF('11月'!AR30:AS30,N$374)+COUNTIF('11月'!AW30:AX30,N$374)+COUNTIF('11月'!BB30:BC30,N$374)+COUNTIF('11月'!BG30:BH30,N$374)+COUNTIF('11月'!BL30:BM30,N$374)+COUNTIF('11月'!BQ30:BR30,N$374)+COUNTIF('11月'!BV30:BW30,N$374)+COUNTIF('11月'!CA30:CB30,N$374)+COUNTIF('11月'!CF30:CG30,N$374)+COUNTIF('11月'!CK30:CL30,N$374)+COUNTIF('11月'!CP30:CQ30,N$374)+COUNTIF('11月'!CU30:CV30,N$374)+COUNTIF('11月'!CZ30:DA30,N$374)+COUNTIF('11月'!DE30:DF30,N$374)+COUNTIF('11月'!DJ30:DK30,N$374)+COUNTIF('11月'!DO30:DP30,N$374)+COUNTIF('11月'!DT30:DU30,N$374)+COUNTIF('11月'!DY30:DZ30,N$374)+COUNTIF('11月'!ED30:EE30,N$374)+COUNTIF('11月'!EI30:EJ30,N$374)+COUNTIF('11月'!EN30:EO30,N$374)+COUNTIF('11月'!ES30:ET30,N$374)+COUNTIF('11月'!D30:E30,"三軒茶屋－夜勤")+COUNTIF('11月'!I30:J30,"三軒茶屋－夜勤")+COUNTIF('11月'!N30:O30,"三軒茶屋－夜勤")+COUNTIF('11月'!S30:T30,"三軒茶屋－夜勤")+COUNTIF('11月'!X30:Y30,"三軒茶屋－夜勤")+COUNTIF('11月'!AC30:AD30,"三軒茶屋－夜勤")+COUNTIF('11月'!AH30:AI30,"三軒茶屋－夜勤")+COUNTIF('11月'!AM30:AN30,"三軒茶屋－夜勤")+COUNTIF('11月'!AR30:AS30,"三軒茶屋－夜勤")+COUNTIF('11月'!AW30:AX30,"三軒茶屋－夜勤")+COUNTIF('11月'!BB30:BC30,"三軒茶屋－夜勤")+COUNTIF('11月'!BG30:BH30,"三軒茶屋－夜勤")+COUNTIF('11月'!BL30:BM30,"三軒茶屋－夜勤")+COUNTIF('11月'!BQ30:BR30,"三軒茶屋－夜勤")+COUNTIF('11月'!BV30:BW30,"三軒茶屋－夜勤")+COUNTIF('11月'!CA30:CB30,"三軒茶屋－夜勤")+COUNTIF('11月'!CF30:CG30,"三軒茶屋－夜勤")+COUNTIF('11月'!CK30:CL30,"三軒茶屋－夜勤")+COUNTIF('11月'!CP30:CQ30,"三軒茶屋－夜勤")+COUNTIF('11月'!CU30:CV30,"三軒茶屋－夜勤")+COUNTIF('11月'!CZ30:DA30,"三軒茶屋－夜勤")+COUNTIF('11月'!DE30:DF30,"三軒茶屋－夜勤")+COUNTIF('11月'!DJ30:DK30,"三軒茶屋－夜勤")+COUNTIF('11月'!DO30:DP30,"三軒茶屋－夜勤")+COUNTIF('11月'!DT30:DU30,"三軒茶屋－夜勤")+COUNTIF('11月'!DY30:DZ30,"三軒茶屋－夜勤")+COUNTIF('11月'!ED30:EE30,"三軒茶屋－夜勤")+COUNTIF('11月'!EI30:EJ30,"三軒茶屋－夜勤")+COUNTIF('11月'!EN30:EO30,"三軒茶屋－夜勤")+COUNTIF('11月'!ES30:ET30,"三軒茶屋－夜勤")</f>
        <v>0</v>
      </c>
      <c r="O402" s="76">
        <f t="shared" si="126"/>
        <v>0</v>
      </c>
      <c r="P402" s="76">
        <f>COUNTIF('11月'!D30:E30,P$374)+COUNTIF('11月'!I30:J30,P$374)+COUNTIF('11月'!N30:O30,P$374)+COUNTIF('11月'!S30:T30,P$374)+COUNTIF('11月'!X30:Y30,P$374)+COUNTIF('11月'!AC30:AD30,P$374)+COUNTIF('11月'!AH30:AI30,P$374)+COUNTIF('11月'!AM30:AN30,P$374)+COUNTIF('11月'!AR30:AS30,P$374)+COUNTIF('11月'!AW30:AX30,P$374)+COUNTIF('11月'!BB30:BC30,P$374)+COUNTIF('11月'!BG30:BH30,P$374)+COUNTIF('11月'!BL30:BM30,P$374)+COUNTIF('11月'!BQ30:BR30,P$374)+COUNTIF('11月'!BV30:BW30,P$374)+COUNTIF('11月'!CA30:CB30,P$374)+COUNTIF('11月'!CF30:CG30,P$374)+COUNTIF('11月'!CK30:CL30,P$374)+COUNTIF('11月'!CP30:CQ30,P$374)+COUNTIF('11月'!CU30:CV30,P$374)+COUNTIF('11月'!CZ30:DA30,P$374)+COUNTIF('11月'!DE30:DF30,P$374)+COUNTIF('11月'!DJ30:DK30,P$374)+COUNTIF('11月'!DO30:DP30,P$374)+COUNTIF('11月'!DT30:DU30,P$374)+COUNTIF('11月'!DY30:DZ30,P$374)+COUNTIF('11月'!ED30:EE30,P$374)+COUNTIF('11月'!EI30:EJ30,P$374)+COUNTIF('11月'!EN30:EO30,P$374)+COUNTIF('11月'!ES30:ET30,P$374)+COUNTIF('11月'!D30:E30,"荻窪ー夜勤")+COUNTIF('11月'!I30:J30,"荻窪ー夜勤")+COUNTIF('11月'!N30:O30,"荻窪ー夜勤")+COUNTIF('11月'!S30:T30,"荻窪ー夜勤")+COUNTIF('11月'!X30:Y30,"荻窪ー夜勤")+COUNTIF('11月'!AC30:AD30,"荻窪ー夜勤")+COUNTIF('11月'!AH30:AI30,"荻窪ー夜勤")+COUNTIF('11月'!AM30:AN30,"荻窪ー夜勤")+COUNTIF('11月'!AR30:AS30,"荻窪ー夜勤")+COUNTIF('11月'!AW30:AX30,"荻窪ー夜勤")+COUNTIF('11月'!BB30:BC30,"荻窪ー夜勤")+COUNTIF('11月'!BG30:BH30,"荻窪ー夜勤")+COUNTIF('11月'!BL30:BM30,"荻窪ー夜勤")+COUNTIF('11月'!BQ30:BR30,"荻窪ー夜勤")+COUNTIF('11月'!BV30:BW30,"荻窪ー夜勤")+COUNTIF('11月'!CA30:CB30,"荻窪ー夜勤")+COUNTIF('11月'!CF30:CG30,"荻窪ー夜勤")+COUNTIF('11月'!CK30:CL30,"荻窪ー夜勤")+COUNTIF('11月'!CP30:CQ30,"荻窪ー夜勤")+COUNTIF('11月'!CU30:CV30,"荻窪ー夜勤")+COUNTIF('11月'!CZ30:DA30,"荻窪ー夜勤")+COUNTIF('11月'!DE30:DF30,"荻窪ー夜勤")+COUNTIF('11月'!DJ30:DK30,"荻窪ー夜勤")+COUNTIF('11月'!DO30:DP30,"荻窪ー夜勤")+COUNTIF('11月'!DT30:DU30,"荻窪ー夜勤")+COUNTIF('11月'!DY30:DZ30,"荻窪ー夜勤")+COUNTIF('11月'!ED30:EE30,"荻窪ー夜勤")+COUNTIF('11月'!EI30:EJ30,"荻窪ー夜勤")+COUNTIF('11月'!EN30:EO30,"荻窪ー夜勤")+COUNTIF('11月'!ES30:ET30,"荻窪ー夜勤")</f>
        <v>0</v>
      </c>
      <c r="Q402" s="76">
        <f t="shared" si="127"/>
        <v>0</v>
      </c>
      <c r="R402" s="76">
        <f>COUNTIF('11月'!D30:E30,R$374)+COUNTIF('11月'!I30:J30,R$374)+COUNTIF('11月'!N30:O30,R$374)+COUNTIF('11月'!S30:T30,R$374)+COUNTIF('11月'!X30:Y30,R$374)+COUNTIF('11月'!AC30:AD30,R$374)+COUNTIF('11月'!AH30:AI30,R$374)+COUNTIF('11月'!AM30:AN30,R$374)+COUNTIF('11月'!AR30:AS30,R$374)+COUNTIF('11月'!AW30:AX30,R$374)+COUNTIF('11月'!BB30:BC30,R$374)+COUNTIF('11月'!BG30:BH30,R$374)+COUNTIF('11月'!BL30:BM30,R$374)+COUNTIF('11月'!BQ30:BR30,R$374)+COUNTIF('11月'!BV30:BW30,R$374)+COUNTIF('11月'!CA30:CB30,R$374)+COUNTIF('11月'!CF30:CG30,R$374)+COUNTIF('11月'!CK30:CL30,R$374)+COUNTIF('11月'!CP30:CQ30,R$374)+COUNTIF('11月'!CU30:CV30,R$374)+COUNTIF('11月'!CZ30:DA30,R$374)+COUNTIF('11月'!DE30:DF30,R$374)+COUNTIF('11月'!DJ30:DK30,R$374)+COUNTIF('11月'!DO30:DP30,R$374)+COUNTIF('11月'!DT30:DU30,R$374)+COUNTIF('11月'!DY30:DZ30,R$374)+COUNTIF('11月'!ED30:EE30,R$374)+COUNTIF('11月'!EI30:EJ30,R$374)+COUNTIF('11月'!EN30:EO30,R$374)+COUNTIF('11月'!ES30:ET30,R$374)</f>
        <v>0</v>
      </c>
      <c r="S402" s="76">
        <f t="shared" si="128"/>
        <v>0</v>
      </c>
      <c r="T402" s="76">
        <f>COUNTIF('11月'!D30:E30,T$374)+COUNTIF('11月'!I30:J30,T$374)+COUNTIF('11月'!N30:O30,T$374)+COUNTIF('11月'!S30:T30,T$374)+COUNTIF('11月'!X30:Y30,T$374)+COUNTIF('11月'!AC30:AD30,T$374)+COUNTIF('11月'!AH30:AI30,T$374)+COUNTIF('11月'!AM30:AN30,T$374)+COUNTIF('11月'!AR30:AS30,T$374)+COUNTIF('11月'!AW30:AX30,T$374)+COUNTIF('11月'!BB30:BC30,T$374)+COUNTIF('11月'!BG30:BH30,T$374)+COUNTIF('11月'!BL30:BM30,T$374)+COUNTIF('11月'!BQ30:BR30,T$374)+COUNTIF('11月'!BV30:BW30,T$374)+COUNTIF('11月'!CA30:CB30,T$374)+COUNTIF('11月'!CF30:CG30,T$374)+COUNTIF('11月'!CK30:CL30,T$374)+COUNTIF('11月'!CP30:CQ30,T$374)+COUNTIF('11月'!CU30:CV30,T$374)+COUNTIF('11月'!CZ30:DA30,T$374)+COUNTIF('11月'!DE30:DF30,T$374)+COUNTIF('11月'!DJ30:DK30,T$374)+COUNTIF('11月'!DO30:DP30,T$374)+COUNTIF('11月'!DT30:DU30,T$374)+COUNTIF('11月'!DY30:DZ30,T$374)+COUNTIF('11月'!ED30:EE30,T$374)+COUNTIF('11月'!EI30:EJ30,T$374)+COUNTIF('11月'!EN30:EO30,T$374)+COUNTIF('11月'!ES30:ET30,T$374)</f>
        <v>0</v>
      </c>
      <c r="U402" s="76">
        <f t="shared" si="129"/>
        <v>0</v>
      </c>
      <c r="V402" s="76">
        <f>COUNTIF('11月'!D30:E30,V$374)+COUNTIF('11月'!I30:J30,V$374)+COUNTIF('11月'!N30:O30,V$374)+COUNTIF('11月'!S30:T30,V$374)+COUNTIF('11月'!X30:Y30,V$374)+COUNTIF('11月'!AC30:AD30,V$374)+COUNTIF('11月'!AH30:AI30,V$374)+COUNTIF('11月'!AM30:AN30,V$374)+COUNTIF('11月'!AR30:AS30,V$374)+COUNTIF('11月'!AW30:AX30,V$374)+COUNTIF('11月'!BB30:BC30,V$374)+COUNTIF('11月'!BG30:BH30,V$374)+COUNTIF('11月'!BL30:BM30,V$374)+COUNTIF('11月'!BQ30:BR30,V$374)+COUNTIF('11月'!BV30:BW30,V$374)+COUNTIF('11月'!CA30:CB30,V$374)+COUNTIF('11月'!CF30:CG30,V$374)+COUNTIF('11月'!CK30:CL30,V$374)+COUNTIF('11月'!CP30:CQ30,V$374)+COUNTIF('11月'!CU30:CV30,V$374)+COUNTIF('11月'!CZ30:DA30,V$374)+COUNTIF('11月'!DE30:DF30,V$374)+COUNTIF('11月'!DJ30:DK30,V$374)+COUNTIF('11月'!DO30:DP30,V$374)+COUNTIF('11月'!DT30:DU30,V$374)+COUNTIF('11月'!DY30:DZ30,V$374)+COUNTIF('11月'!ED30:EE30,V$374)+COUNTIF('11月'!EI30:EJ30,V$374)+COUNTIF('11月'!EN30:EO30,V$374)+COUNTIF('11月'!ES30:ET30,V$374)</f>
        <v>0</v>
      </c>
      <c r="W402" s="76">
        <f t="shared" si="130"/>
        <v>0</v>
      </c>
      <c r="X402" s="76">
        <f>COUNTIF('11月'!D30:E30,X$374)+COUNTIF('11月'!I30:J30,X$374)+COUNTIF('11月'!N30:O30,X$374)+COUNTIF('11月'!S30:T30,X$374)+COUNTIF('11月'!X30:Y30,X$374)+COUNTIF('11月'!AC30:AD30,X$374)+COUNTIF('11月'!AH30:AI30,X$374)+COUNTIF('11月'!AM30:AN30,X$374)+COUNTIF('11月'!AR30:AS30,X$374)+COUNTIF('11月'!AW30:AX30,X$374)+COUNTIF('11月'!BB30:BC30,X$374)+COUNTIF('11月'!BG30:BH30,X$374)+COUNTIF('11月'!BL30:BM30,X$374)+COUNTIF('11月'!BQ30:BR30,X$374)+COUNTIF('11月'!BV30:BW30,X$374)+COUNTIF('11月'!CA30:CB30,X$374)+COUNTIF('11月'!CF30:CG30,X$374)+COUNTIF('11月'!CK30:CL30,X$374)+COUNTIF('11月'!CP30:CQ30,X$374)+COUNTIF('11月'!CU30:CV30,X$374)+COUNTIF('11月'!CZ30:DA30,X$374)+COUNTIF('11月'!DE30:DF30,X$374)+COUNTIF('11月'!DJ30:DK30,X$374)+COUNTIF('11月'!DO30:DP30,X$374)+COUNTIF('11月'!DT30:DU30,X$374)+COUNTIF('11月'!DY30:DZ30,X$374)+COUNTIF('11月'!ED30:EE30,X$374)+COUNTIF('11月'!EI30:EJ30,X$374)+COUNTIF('11月'!EN30:EO30,X$374)+COUNTIF('11月'!ES30:ET30,X$374)</f>
        <v>0</v>
      </c>
      <c r="Y402" s="76">
        <f t="shared" si="131"/>
        <v>0</v>
      </c>
    </row>
    <row r="403" spans="1:25" ht="18" customHeight="1">
      <c r="A403" s="76">
        <v>28</v>
      </c>
      <c r="B403" s="76">
        <f>COUNTIF('11月'!D31:E31,B$374)+COUNTIF('11月'!I31:J31,B$374)+COUNTIF('11月'!N31:O31,B$374)+COUNTIF('11月'!S31:T31,B$374)+COUNTIF('11月'!X31:Y31,B$374)+COUNTIF('11月'!AC31:AD31,B$374)+COUNTIF('11月'!AH31:AI31,B$374)+COUNTIF('11月'!AM31:AN31,B$374)+COUNTIF('11月'!AR31:AS31,B$374)+COUNTIF('11月'!AW31:AX31,B$374)+COUNTIF('11月'!BB31:BC31,B$374)+COUNTIF('11月'!BG31:BH31,B$374)+COUNTIF('11月'!BL31:BM31,B$374)+COUNTIF('11月'!BQ31:BR31,B$374)+COUNTIF('11月'!BV31:BW31,B$374)+COUNTIF('11月'!CA31:CB31,B$374)+COUNTIF('11月'!CF31:CG31,B$374)+COUNTIF('11月'!CK31:CL31,B$374)+COUNTIF('11月'!CP31:CQ31,B$374)+COUNTIF('11月'!CU31:CV31,B$374)+COUNTIF('11月'!CZ31:DA31,B$374)+COUNTIF('11月'!DE31:DF31,B$374)+COUNTIF('11月'!DJ31:DK31,B$374)+COUNTIF('11月'!DO31:DP31,B$374)+COUNTIF('11月'!DT31:DU31,B$374)+COUNTIF('11月'!DY31:DZ31,B$374)+COUNTIF('11月'!ED31:EE31,B$374)+COUNTIF('11月'!EI31:EJ31,B$374)+COUNTIF('11月'!EN31:EO31,B$374)+COUNTIF('11月'!ES31:ET31,B$374)</f>
        <v>0</v>
      </c>
      <c r="C403" s="76">
        <f t="shared" si="120"/>
        <v>0</v>
      </c>
      <c r="D403" s="76">
        <f>COUNTIF('11月'!D31:E31,D$374)+COUNTIF('11月'!I31:J31,D$374)+COUNTIF('11月'!N31:O31,D$374)+COUNTIF('11月'!S31:T31,D$374)+COUNTIF('11月'!X31:Y31,D$374)+COUNTIF('11月'!AC31:AD31,D$374)+COUNTIF('11月'!AH31:AI31,D$374)+COUNTIF('11月'!AM31:AN31,D$374)+COUNTIF('11月'!AR31:AS31,D$374)+COUNTIF('11月'!AW31:AX31,D$374)+COUNTIF('11月'!BB31:BC31,D$374)+COUNTIF('11月'!BG31:BH31,D$374)+COUNTIF('11月'!BL31:BM31,D$374)+COUNTIF('11月'!BQ31:BR31,D$374)+COUNTIF('11月'!BV31:BW31,D$374)+COUNTIF('11月'!CA31:CB31,D$374)+COUNTIF('11月'!CF31:CG31,D$374)+COUNTIF('11月'!CK31:CL31,D$374)+COUNTIF('11月'!CP31:CQ31,D$374)+COUNTIF('11月'!CU31:CV31,D$374)+COUNTIF('11月'!CZ31:DA31,D$374)+COUNTIF('11月'!DE31:DF31,D$374)+COUNTIF('11月'!DJ31:DK31,D$374)+COUNTIF('11月'!DO31:DP31,D$374)+COUNTIF('11月'!DT31:DU31,D$374)+COUNTIF('11月'!DY31:DZ31,D$374)+COUNTIF('11月'!ED31:EE31,D$374)+COUNTIF('11月'!EI31:EJ31,D$374)+COUNTIF('11月'!EN31:EO31,D$374)+COUNTIF('11月'!ES31:ET31,D$374)</f>
        <v>0</v>
      </c>
      <c r="E403" s="76">
        <f t="shared" si="121"/>
        <v>0</v>
      </c>
      <c r="F403" s="76">
        <f>COUNTIF('11月'!D31:E31,F$374)+COUNTIF('11月'!I31:J31,F$374)+COUNTIF('11月'!N31:O31,F$374)+COUNTIF('11月'!S31:T31,F$374)+COUNTIF('11月'!X31:Y31,F$374)+COUNTIF('11月'!AC31:AD31,F$374)+COUNTIF('11月'!AH31:AI31,F$374)+COUNTIF('11月'!AM31:AN31,F$374)+COUNTIF('11月'!AR31:AS31,F$374)+COUNTIF('11月'!AW31:AX31,F$374)+COUNTIF('11月'!BB31:BC31,F$374)+COUNTIF('11月'!BG31:BH31,F$374)+COUNTIF('11月'!BL31:BM31,F$374)+COUNTIF('11月'!BQ31:BR31,F$374)+COUNTIF('11月'!BV31:BW31,F$374)+COUNTIF('11月'!CA31:CB31,F$374)+COUNTIF('11月'!CF31:CG31,F$374)+COUNTIF('11月'!CK31:CL31,F$374)+COUNTIF('11月'!CP31:CQ31,F$374)+COUNTIF('11月'!CU31:CV31,F$374)+COUNTIF('11月'!CZ31:DA31,F$374)+COUNTIF('11月'!DE31:DF31,F$374)+COUNTIF('11月'!DJ31:DK31,F$374)+COUNTIF('11月'!DO31:DP31,F$374)+COUNTIF('11月'!DT31:DU31,F$374)+COUNTIF('11月'!DY31:DZ31,F$374)+COUNTIF('11月'!ED31:EE31,F$374)+COUNTIF('11月'!EI31:EJ31,F$374)+COUNTIF('11月'!EN31:EO31,F$374)+COUNTIF('11月'!ES31:ET31,F$374)</f>
        <v>0</v>
      </c>
      <c r="G403" s="76">
        <f t="shared" si="122"/>
        <v>0</v>
      </c>
      <c r="H403" s="76">
        <f>COUNTIF('11月'!D31:E31,H$374)+COUNTIF('11月'!I31:J31,H$374)+COUNTIF('11月'!N31:O31,H$374)+COUNTIF('11月'!S31:T31,H$374)+COUNTIF('11月'!X31:Y31,H$374)+COUNTIF('11月'!AC31:AD31,H$374)+COUNTIF('11月'!AH31:AI31,H$374)+COUNTIF('11月'!AM31:AN31,H$374)+COUNTIF('11月'!AR31:AS31,H$374)+COUNTIF('11月'!AW31:AX31,H$374)+COUNTIF('11月'!BB31:BC31,H$374)+COUNTIF('11月'!BG31:BH31,H$374)+COUNTIF('11月'!BL31:BM31,H$374)+COUNTIF('11月'!BQ31:BR31,H$374)+COUNTIF('11月'!BV31:BW31,H$374)+COUNTIF('11月'!CA31:CB31,H$374)+COUNTIF('11月'!CF31:CG31,H$374)+COUNTIF('11月'!CK31:CL31,H$374)+COUNTIF('11月'!CP31:CQ31,H$374)+COUNTIF('11月'!CU31:CV31,H$374)+COUNTIF('11月'!CZ31:DA31,H$374)+COUNTIF('11月'!DE31:DF31,H$374)+COUNTIF('11月'!DJ31:DK31,H$374)+COUNTIF('11月'!DO31:DP31,H$374)+COUNTIF('11月'!DT31:DU31,H$374)+COUNTIF('11月'!DY31:DZ31,H$374)+COUNTIF('11月'!ED31:EE31,H$374)+COUNTIF('11月'!EI31:EJ31,H$374)+COUNTIF('11月'!EN31:EO31,H$374)+COUNTIF('11月'!ES31:ET31,H$374)+COUNTIF('11月'!D31:E31,"渋谷-夜勤")+COUNTIF('11月'!I31:J31,"渋谷-夜勤")+COUNTIF('11月'!N31:O31,"渋谷-夜勤")+COUNTIF('11月'!S31:T31,"渋谷-夜勤")+COUNTIF('11月'!X31:Y31,"渋谷-夜勤")+COUNTIF('11月'!AC31:AD31,"渋谷-夜勤")+COUNTIF('11月'!AH31:AI31,"渋谷-夜勤")+COUNTIF('11月'!AM31:AN31,"渋谷-夜勤")+COUNTIF('11月'!AR31:AS31,"渋谷-夜勤")+COUNTIF('11月'!AW31:AX31,"渋谷-夜勤")+COUNTIF('11月'!BB31:BC31,"渋谷-夜勤")+COUNTIF('11月'!BG31:BH31,"渋谷-夜勤")+COUNTIF('11月'!BL31:BM31,"渋谷-夜勤")+COUNTIF('11月'!BQ31:BR31,"渋谷-夜勤")+COUNTIF('11月'!BV31:BW31,"渋谷-夜勤")+COUNTIF('11月'!CA31:CB31,"渋谷-夜勤")+COUNTIF('11月'!CF31:CG31,"渋谷-夜勤")+COUNTIF('11月'!CK31:CL31,"渋谷-夜勤")+COUNTIF('11月'!CP31:CQ31,"渋谷-夜勤")+COUNTIF('11月'!CU31:CV31,"渋谷-夜勤")+COUNTIF('11月'!CZ31:DA31,"渋谷-夜勤")+COUNTIF('11月'!DE31:DF31,"渋谷-夜勤")+COUNTIF('11月'!DJ31:DK31,"渋谷-夜勤")+COUNTIF('11月'!DO31:DP31,"渋谷-夜勤")+COUNTIF('11月'!DT31:DU31,"渋谷-夜勤")+COUNTIF('11月'!DY31:DZ31,"渋谷-夜勤")+COUNTIF('11月'!ED31:EE31,"渋谷-夜勤")+COUNTIF('11月'!EI31:EJ31,"渋谷-夜勤")+COUNTIF('11月'!EN31:EO31,"渋谷-夜勤")+COUNTIF('11月'!ES31:ET31,"渋谷-夜勤")</f>
        <v>0</v>
      </c>
      <c r="I403" s="76">
        <f t="shared" si="123"/>
        <v>0</v>
      </c>
      <c r="J403" s="76">
        <f>COUNTIF('11月'!D31:E31,J$374)+COUNTIF('11月'!I31:J31,J$374)+COUNTIF('11月'!N31:O31,J$374)+COUNTIF('11月'!S31:T31,J$374)+COUNTIF('11月'!X31:Y31,J$374)+COUNTIF('11月'!AC31:AD31,J$374)+COUNTIF('11月'!AH31:AI31,J$374)+COUNTIF('11月'!AM31:AN31,J$374)+COUNTIF('11月'!AR31:AS31,J$374)+COUNTIF('11月'!AW31:AX31,J$374)+COUNTIF('11月'!BB31:BC31,J$374)+COUNTIF('11月'!BG31:BH31,J$374)+COUNTIF('11月'!BL31:BM31,J$374)+COUNTIF('11月'!BQ31:BR31,J$374)+COUNTIF('11月'!BV31:BW31,J$374)+COUNTIF('11月'!CA31:CB31,J$374)+COUNTIF('11月'!CF31:CG31,J$374)+COUNTIF('11月'!CK31:CL31,J$374)+COUNTIF('11月'!CP31:CQ31,J$374)+COUNTIF('11月'!CU31:CV31,J$374)+COUNTIF('11月'!CZ31:DA31,J$374)+COUNTIF('11月'!DE31:DF31,J$374)+COUNTIF('11月'!DJ31:DK31,J$374)+COUNTIF('11月'!DO31:DP31,J$374)+COUNTIF('11月'!DT31:DU31,J$374)+COUNTIF('11月'!DY31:DZ31,J$374)+COUNTIF('11月'!ED31:EE31,J$374)+COUNTIF('11月'!EI31:EJ31,J$374)+COUNTIF('11月'!EN31:EO31,J$374)+COUNTIF('11月'!ES31:ET31,J$374)+COUNTIF('11月'!D31:E31,"六本木-夜勤")+COUNTIF('11月'!I31:J31,"六本木-夜勤")+COUNTIF('11月'!N31:O31,"六本木-夜勤")+COUNTIF('11月'!S31:T31,"六本木-夜勤")+COUNTIF('11月'!X31:Y31,"六本木-夜勤")+COUNTIF('11月'!AC31:AD31,"六本木-夜勤")+COUNTIF('11月'!AH31:AI31,"六本木-夜勤")+COUNTIF('11月'!AM31:AN31,"六本木-夜勤")+COUNTIF('11月'!AR31:AS31,"六本木-夜勤")+COUNTIF('11月'!AW31:AX31,"六本木-夜勤")+COUNTIF('11月'!BB31:BC31,"六本木-夜勤")+COUNTIF('11月'!BG31:BH31,"六本木-夜勤")+COUNTIF('11月'!BL31:BM31,"六本木-夜勤")+COUNTIF('11月'!BQ31:BR31,"六本木-夜勤")+COUNTIF('11月'!BV31:BW31,"六本木-夜勤")+COUNTIF('11月'!CA31:CB31,"六本木-夜勤")+COUNTIF('11月'!CF31:CG31,"六本木-夜勤")+COUNTIF('11月'!CK31:CL31,"六本木-夜勤")+COUNTIF('11月'!CP31:CQ31,"六本木-夜勤")+COUNTIF('11月'!CU31:CV31,"六本木-夜勤")+COUNTIF('11月'!CZ31:DA31,"六本木-夜勤")+COUNTIF('11月'!DE31:DF31,"六本木-夜勤")+COUNTIF('11月'!DJ31:DK31,"六本木-夜勤")+COUNTIF('11月'!DO31:DP31,"六本木-夜勤")+COUNTIF('11月'!DT31:DU31,"六本木-夜勤")+COUNTIF('11月'!DY31:DZ31,"六本木-夜勤")+COUNTIF('11月'!ED31:EE31,"六本木-夜勤")+COUNTIF('11月'!EI31:EJ31,"六本木-夜勤")+COUNTIF('11月'!EN31:EO31,"六本木-夜勤")+COUNTIF('11月'!ES31:ET31,"六本木-夜勤")+COUNTIF('11月'!D31:E31,"六本木ー夜勤")+COUNTIF('11月'!I31:J31,"六本木ー夜勤")+COUNTIF('11月'!N31:O31,"六本木ー夜勤")+COUNTIF('11月'!S31:T31,"六本木ー夜勤")+COUNTIF('11月'!X31:Y31,"六本木ー夜勤")+COUNTIF('11月'!AC31:AD31,"六本木ー夜勤")+COUNTIF('11月'!AH31:AI31,"六本木ー夜勤")+COUNTIF('11月'!AM31:AN31,"六本木ー夜勤")+COUNTIF('11月'!AR31:AS31,"六本木ー夜勤")+COUNTIF('11月'!AW31:AX31,"六本木ー夜勤")+COUNTIF('11月'!BB31:BC31,"六本木ー夜勤")+COUNTIF('11月'!BG31:BH31,"六本木ー夜勤")+COUNTIF('11月'!BL31:BM31,"六本木ー夜勤")+COUNTIF('11月'!BQ31:BR31,"六本木ー夜勤")+COUNTIF('11月'!BV31:BW31,"六本木ー夜勤")+COUNTIF('11月'!CA31:CB31,"六本木ー夜勤")+COUNTIF('11月'!CF31:CG31,"六本木ー夜勤")+COUNTIF('11月'!CK31:CL31,"六本木ー夜勤")+COUNTIF('11月'!CP31:CQ31,"六本木ー夜勤")+COUNTIF('11月'!CU31:CV31,"六本木ー夜勤")+COUNTIF('11月'!CZ31:DA31,"六本木ー夜勤")+COUNTIF('11月'!DE31:DF31,"六本木ー夜勤")+COUNTIF('11月'!DJ31:DK31,"六本木ー夜勤")+COUNTIF('11月'!DO31:DP31,"六本木ー夜勤")+COUNTIF('11月'!DT31:DU31,"六本木ー夜勤")+COUNTIF('11月'!DY31:DZ31,"六本木ー夜勤")+COUNTIF('11月'!ED31:EE31,"六本木ー夜勤")+COUNTIF('11月'!EI31:EJ31,"六本木ー夜勤")+COUNTIF('11月'!EN31:EO31,"六本木ー夜勤")+COUNTIF('11月'!ES31:ET31,"六本木ー夜勤")</f>
        <v>0</v>
      </c>
      <c r="K403" s="76">
        <f t="shared" si="124"/>
        <v>0</v>
      </c>
      <c r="L403" s="76">
        <f>COUNTIF('11月'!D31:E31,L$374)+COUNTIF('11月'!I31:J31,L$374)+COUNTIF('11月'!N31:O31,L$374)+COUNTIF('11月'!S31:T31,L$374)+COUNTIF('11月'!X31:Y31,L$374)+COUNTIF('11月'!AC31:AD31,L$374)+COUNTIF('11月'!AH31:AI31,L$374)+COUNTIF('11月'!AM31:AN31,L$374)+COUNTIF('11月'!AR31:AS31,L$374)+COUNTIF('11月'!AW31:AX31,L$374)+COUNTIF('11月'!BB31:BC31,L$374)+COUNTIF('11月'!BG31:BH31,L$374)+COUNTIF('11月'!BL31:BM31,L$374)+COUNTIF('11月'!BQ31:BR31,L$374)+COUNTIF('11月'!BV31:BW31,L$374)+COUNTIF('11月'!CA31:CB31,L$374)+COUNTIF('11月'!CF31:CG31,L$374)+COUNTIF('11月'!CK31:CL31,L$374)+COUNTIF('11月'!CP31:CQ31,L$374)+COUNTIF('11月'!CU31:CV31,L$374)+COUNTIF('11月'!CZ31:DA31,L$374)+COUNTIF('11月'!DE31:DF31,L$374)+COUNTIF('11月'!DJ31:DK31,L$374)+COUNTIF('11月'!DO31:DP31,L$374)+COUNTIF('11月'!DT31:DU31,L$374)+COUNTIF('11月'!DY31:DZ31,L$374)+COUNTIF('11月'!ED31:EE31,L$374)+COUNTIF('11月'!EI31:EJ31,L$374)+COUNTIF('11月'!EN31:EO31,L$374)+COUNTIF('11月'!ES31:ET31,L$374)</f>
        <v>0</v>
      </c>
      <c r="M403" s="76">
        <f t="shared" si="125"/>
        <v>0</v>
      </c>
      <c r="N403" s="76">
        <f>COUNTIF('11月'!D31:E31,N$374)+COUNTIF('11月'!I31:J31,N$374)+COUNTIF('11月'!N31:O31,N$374)+COUNTIF('11月'!S31:T31,N$374)+COUNTIF('11月'!X31:Y31,N$374)+COUNTIF('11月'!AC31:AD31,N$374)+COUNTIF('11月'!AH31:AI31,N$374)+COUNTIF('11月'!AM31:AN31,N$374)+COUNTIF('11月'!AR31:AS31,N$374)+COUNTIF('11月'!AW31:AX31,N$374)+COUNTIF('11月'!BB31:BC31,N$374)+COUNTIF('11月'!BG31:BH31,N$374)+COUNTIF('11月'!BL31:BM31,N$374)+COUNTIF('11月'!BQ31:BR31,N$374)+COUNTIF('11月'!BV31:BW31,N$374)+COUNTIF('11月'!CA31:CB31,N$374)+COUNTIF('11月'!CF31:CG31,N$374)+COUNTIF('11月'!CK31:CL31,N$374)+COUNTIF('11月'!CP31:CQ31,N$374)+COUNTIF('11月'!CU31:CV31,N$374)+COUNTIF('11月'!CZ31:DA31,N$374)+COUNTIF('11月'!DE31:DF31,N$374)+COUNTIF('11月'!DJ31:DK31,N$374)+COUNTIF('11月'!DO31:DP31,N$374)+COUNTIF('11月'!DT31:DU31,N$374)+COUNTIF('11月'!DY31:DZ31,N$374)+COUNTIF('11月'!ED31:EE31,N$374)+COUNTIF('11月'!EI31:EJ31,N$374)+COUNTIF('11月'!EN31:EO31,N$374)+COUNTIF('11月'!ES31:ET31,N$374)+COUNTIF('11月'!D31:E31,"三軒茶屋－夜勤")+COUNTIF('11月'!I31:J31,"三軒茶屋－夜勤")+COUNTIF('11月'!N31:O31,"三軒茶屋－夜勤")+COUNTIF('11月'!S31:T31,"三軒茶屋－夜勤")+COUNTIF('11月'!X31:Y31,"三軒茶屋－夜勤")+COUNTIF('11月'!AC31:AD31,"三軒茶屋－夜勤")+COUNTIF('11月'!AH31:AI31,"三軒茶屋－夜勤")+COUNTIF('11月'!AM31:AN31,"三軒茶屋－夜勤")+COUNTIF('11月'!AR31:AS31,"三軒茶屋－夜勤")+COUNTIF('11月'!AW31:AX31,"三軒茶屋－夜勤")+COUNTIF('11月'!BB31:BC31,"三軒茶屋－夜勤")+COUNTIF('11月'!BG31:BH31,"三軒茶屋－夜勤")+COUNTIF('11月'!BL31:BM31,"三軒茶屋－夜勤")+COUNTIF('11月'!BQ31:BR31,"三軒茶屋－夜勤")+COUNTIF('11月'!BV31:BW31,"三軒茶屋－夜勤")+COUNTIF('11月'!CA31:CB31,"三軒茶屋－夜勤")+COUNTIF('11月'!CF31:CG31,"三軒茶屋－夜勤")+COUNTIF('11月'!CK31:CL31,"三軒茶屋－夜勤")+COUNTIF('11月'!CP31:CQ31,"三軒茶屋－夜勤")+COUNTIF('11月'!CU31:CV31,"三軒茶屋－夜勤")+COUNTIF('11月'!CZ31:DA31,"三軒茶屋－夜勤")+COUNTIF('11月'!DE31:DF31,"三軒茶屋－夜勤")+COUNTIF('11月'!DJ31:DK31,"三軒茶屋－夜勤")+COUNTIF('11月'!DO31:DP31,"三軒茶屋－夜勤")+COUNTIF('11月'!DT31:DU31,"三軒茶屋－夜勤")+COUNTIF('11月'!DY31:DZ31,"三軒茶屋－夜勤")+COUNTIF('11月'!ED31:EE31,"三軒茶屋－夜勤")+COUNTIF('11月'!EI31:EJ31,"三軒茶屋－夜勤")+COUNTIF('11月'!EN31:EO31,"三軒茶屋－夜勤")+COUNTIF('11月'!ES31:ET31,"三軒茶屋－夜勤")</f>
        <v>0</v>
      </c>
      <c r="O403" s="76">
        <f t="shared" si="126"/>
        <v>0</v>
      </c>
      <c r="P403" s="76">
        <f>COUNTIF('11月'!D31:E31,P$374)+COUNTIF('11月'!I31:J31,P$374)+COUNTIF('11月'!N31:O31,P$374)+COUNTIF('11月'!S31:T31,P$374)+COUNTIF('11月'!X31:Y31,P$374)+COUNTIF('11月'!AC31:AD31,P$374)+COUNTIF('11月'!AH31:AI31,P$374)+COUNTIF('11月'!AM31:AN31,P$374)+COUNTIF('11月'!AR31:AS31,P$374)+COUNTIF('11月'!AW31:AX31,P$374)+COUNTIF('11月'!BB31:BC31,P$374)+COUNTIF('11月'!BG31:BH31,P$374)+COUNTIF('11月'!BL31:BM31,P$374)+COUNTIF('11月'!BQ31:BR31,P$374)+COUNTIF('11月'!BV31:BW31,P$374)+COUNTIF('11月'!CA31:CB31,P$374)+COUNTIF('11月'!CF31:CG31,P$374)+COUNTIF('11月'!CK31:CL31,P$374)+COUNTIF('11月'!CP31:CQ31,P$374)+COUNTIF('11月'!CU31:CV31,P$374)+COUNTIF('11月'!CZ31:DA31,P$374)+COUNTIF('11月'!DE31:DF31,P$374)+COUNTIF('11月'!DJ31:DK31,P$374)+COUNTIF('11月'!DO31:DP31,P$374)+COUNTIF('11月'!DT31:DU31,P$374)+COUNTIF('11月'!DY31:DZ31,P$374)+COUNTIF('11月'!ED31:EE31,P$374)+COUNTIF('11月'!EI31:EJ31,P$374)+COUNTIF('11月'!EN31:EO31,P$374)+COUNTIF('11月'!ES31:ET31,P$374)+COUNTIF('11月'!D31:E31,"荻窪ー夜勤")+COUNTIF('11月'!I31:J31,"荻窪ー夜勤")+COUNTIF('11月'!N31:O31,"荻窪ー夜勤")+COUNTIF('11月'!S31:T31,"荻窪ー夜勤")+COUNTIF('11月'!X31:Y31,"荻窪ー夜勤")+COUNTIF('11月'!AC31:AD31,"荻窪ー夜勤")+COUNTIF('11月'!AH31:AI31,"荻窪ー夜勤")+COUNTIF('11月'!AM31:AN31,"荻窪ー夜勤")+COUNTIF('11月'!AR31:AS31,"荻窪ー夜勤")+COUNTIF('11月'!AW31:AX31,"荻窪ー夜勤")+COUNTIF('11月'!BB31:BC31,"荻窪ー夜勤")+COUNTIF('11月'!BG31:BH31,"荻窪ー夜勤")+COUNTIF('11月'!BL31:BM31,"荻窪ー夜勤")+COUNTIF('11月'!BQ31:BR31,"荻窪ー夜勤")+COUNTIF('11月'!BV31:BW31,"荻窪ー夜勤")+COUNTIF('11月'!CA31:CB31,"荻窪ー夜勤")+COUNTIF('11月'!CF31:CG31,"荻窪ー夜勤")+COUNTIF('11月'!CK31:CL31,"荻窪ー夜勤")+COUNTIF('11月'!CP31:CQ31,"荻窪ー夜勤")+COUNTIF('11月'!CU31:CV31,"荻窪ー夜勤")+COUNTIF('11月'!CZ31:DA31,"荻窪ー夜勤")+COUNTIF('11月'!DE31:DF31,"荻窪ー夜勤")+COUNTIF('11月'!DJ31:DK31,"荻窪ー夜勤")+COUNTIF('11月'!DO31:DP31,"荻窪ー夜勤")+COUNTIF('11月'!DT31:DU31,"荻窪ー夜勤")+COUNTIF('11月'!DY31:DZ31,"荻窪ー夜勤")+COUNTIF('11月'!ED31:EE31,"荻窪ー夜勤")+COUNTIF('11月'!EI31:EJ31,"荻窪ー夜勤")+COUNTIF('11月'!EN31:EO31,"荻窪ー夜勤")+COUNTIF('11月'!ES31:ET31,"荻窪ー夜勤")</f>
        <v>0</v>
      </c>
      <c r="Q403" s="76">
        <f t="shared" si="127"/>
        <v>0</v>
      </c>
      <c r="R403" s="76">
        <f>COUNTIF('11月'!D31:E31,R$374)+COUNTIF('11月'!I31:J31,R$374)+COUNTIF('11月'!N31:O31,R$374)+COUNTIF('11月'!S31:T31,R$374)+COUNTIF('11月'!X31:Y31,R$374)+COUNTIF('11月'!AC31:AD31,R$374)+COUNTIF('11月'!AH31:AI31,R$374)+COUNTIF('11月'!AM31:AN31,R$374)+COUNTIF('11月'!AR31:AS31,R$374)+COUNTIF('11月'!AW31:AX31,R$374)+COUNTIF('11月'!BB31:BC31,R$374)+COUNTIF('11月'!BG31:BH31,R$374)+COUNTIF('11月'!BL31:BM31,R$374)+COUNTIF('11月'!BQ31:BR31,R$374)+COUNTIF('11月'!BV31:BW31,R$374)+COUNTIF('11月'!CA31:CB31,R$374)+COUNTIF('11月'!CF31:CG31,R$374)+COUNTIF('11月'!CK31:CL31,R$374)+COUNTIF('11月'!CP31:CQ31,R$374)+COUNTIF('11月'!CU31:CV31,R$374)+COUNTIF('11月'!CZ31:DA31,R$374)+COUNTIF('11月'!DE31:DF31,R$374)+COUNTIF('11月'!DJ31:DK31,R$374)+COUNTIF('11月'!DO31:DP31,R$374)+COUNTIF('11月'!DT31:DU31,R$374)+COUNTIF('11月'!DY31:DZ31,R$374)+COUNTIF('11月'!ED31:EE31,R$374)+COUNTIF('11月'!EI31:EJ31,R$374)+COUNTIF('11月'!EN31:EO31,R$374)+COUNTIF('11月'!ES31:ET31,R$374)</f>
        <v>0</v>
      </c>
      <c r="S403" s="76">
        <f t="shared" si="128"/>
        <v>0</v>
      </c>
      <c r="T403" s="76">
        <f>COUNTIF('11月'!D31:E31,T$374)+COUNTIF('11月'!I31:J31,T$374)+COUNTIF('11月'!N31:O31,T$374)+COUNTIF('11月'!S31:T31,T$374)+COUNTIF('11月'!X31:Y31,T$374)+COUNTIF('11月'!AC31:AD31,T$374)+COUNTIF('11月'!AH31:AI31,T$374)+COUNTIF('11月'!AM31:AN31,T$374)+COUNTIF('11月'!AR31:AS31,T$374)+COUNTIF('11月'!AW31:AX31,T$374)+COUNTIF('11月'!BB31:BC31,T$374)+COUNTIF('11月'!BG31:BH31,T$374)+COUNTIF('11月'!BL31:BM31,T$374)+COUNTIF('11月'!BQ31:BR31,T$374)+COUNTIF('11月'!BV31:BW31,T$374)+COUNTIF('11月'!CA31:CB31,T$374)+COUNTIF('11月'!CF31:CG31,T$374)+COUNTIF('11月'!CK31:CL31,T$374)+COUNTIF('11月'!CP31:CQ31,T$374)+COUNTIF('11月'!CU31:CV31,T$374)+COUNTIF('11月'!CZ31:DA31,T$374)+COUNTIF('11月'!DE31:DF31,T$374)+COUNTIF('11月'!DJ31:DK31,T$374)+COUNTIF('11月'!DO31:DP31,T$374)+COUNTIF('11月'!DT31:DU31,T$374)+COUNTIF('11月'!DY31:DZ31,T$374)+COUNTIF('11月'!ED31:EE31,T$374)+COUNTIF('11月'!EI31:EJ31,T$374)+COUNTIF('11月'!EN31:EO31,T$374)+COUNTIF('11月'!ES31:ET31,T$374)</f>
        <v>0</v>
      </c>
      <c r="U403" s="76">
        <f t="shared" si="129"/>
        <v>0</v>
      </c>
      <c r="V403" s="76">
        <f>COUNTIF('11月'!D31:E31,V$374)+COUNTIF('11月'!I31:J31,V$374)+COUNTIF('11月'!N31:O31,V$374)+COUNTIF('11月'!S31:T31,V$374)+COUNTIF('11月'!X31:Y31,V$374)+COUNTIF('11月'!AC31:AD31,V$374)+COUNTIF('11月'!AH31:AI31,V$374)+COUNTIF('11月'!AM31:AN31,V$374)+COUNTIF('11月'!AR31:AS31,V$374)+COUNTIF('11月'!AW31:AX31,V$374)+COUNTIF('11月'!BB31:BC31,V$374)+COUNTIF('11月'!BG31:BH31,V$374)+COUNTIF('11月'!BL31:BM31,V$374)+COUNTIF('11月'!BQ31:BR31,V$374)+COUNTIF('11月'!BV31:BW31,V$374)+COUNTIF('11月'!CA31:CB31,V$374)+COUNTIF('11月'!CF31:CG31,V$374)+COUNTIF('11月'!CK31:CL31,V$374)+COUNTIF('11月'!CP31:CQ31,V$374)+COUNTIF('11月'!CU31:CV31,V$374)+COUNTIF('11月'!CZ31:DA31,V$374)+COUNTIF('11月'!DE31:DF31,V$374)+COUNTIF('11月'!DJ31:DK31,V$374)+COUNTIF('11月'!DO31:DP31,V$374)+COUNTIF('11月'!DT31:DU31,V$374)+COUNTIF('11月'!DY31:DZ31,V$374)+COUNTIF('11月'!ED31:EE31,V$374)+COUNTIF('11月'!EI31:EJ31,V$374)+COUNTIF('11月'!EN31:EO31,V$374)+COUNTIF('11月'!ES31:ET31,V$374)</f>
        <v>0</v>
      </c>
      <c r="W403" s="76">
        <f t="shared" si="130"/>
        <v>0</v>
      </c>
      <c r="X403" s="76">
        <f>COUNTIF('11月'!D31:E31,X$374)+COUNTIF('11月'!I31:J31,X$374)+COUNTIF('11月'!N31:O31,X$374)+COUNTIF('11月'!S31:T31,X$374)+COUNTIF('11月'!X31:Y31,X$374)+COUNTIF('11月'!AC31:AD31,X$374)+COUNTIF('11月'!AH31:AI31,X$374)+COUNTIF('11月'!AM31:AN31,X$374)+COUNTIF('11月'!AR31:AS31,X$374)+COUNTIF('11月'!AW31:AX31,X$374)+COUNTIF('11月'!BB31:BC31,X$374)+COUNTIF('11月'!BG31:BH31,X$374)+COUNTIF('11月'!BL31:BM31,X$374)+COUNTIF('11月'!BQ31:BR31,X$374)+COUNTIF('11月'!BV31:BW31,X$374)+COUNTIF('11月'!CA31:CB31,X$374)+COUNTIF('11月'!CF31:CG31,X$374)+COUNTIF('11月'!CK31:CL31,X$374)+COUNTIF('11月'!CP31:CQ31,X$374)+COUNTIF('11月'!CU31:CV31,X$374)+COUNTIF('11月'!CZ31:DA31,X$374)+COUNTIF('11月'!DE31:DF31,X$374)+COUNTIF('11月'!DJ31:DK31,X$374)+COUNTIF('11月'!DO31:DP31,X$374)+COUNTIF('11月'!DT31:DU31,X$374)+COUNTIF('11月'!DY31:DZ31,X$374)+COUNTIF('11月'!ED31:EE31,X$374)+COUNTIF('11月'!EI31:EJ31,X$374)+COUNTIF('11月'!EN31:EO31,X$374)+COUNTIF('11月'!ES31:ET31,X$374)</f>
        <v>0</v>
      </c>
      <c r="Y403" s="76">
        <f t="shared" si="131"/>
        <v>0</v>
      </c>
    </row>
    <row r="404" spans="1:25" ht="18" customHeight="1">
      <c r="A404" s="76">
        <v>29</v>
      </c>
      <c r="B404" s="76">
        <f>COUNTIF('11月'!D32:E32,B$374)+COUNTIF('11月'!I32:J32,B$374)+COUNTIF('11月'!N32:O32,B$374)+COUNTIF('11月'!S32:T32,B$374)+COUNTIF('11月'!X32:Y32,B$374)+COUNTIF('11月'!AC32:AD32,B$374)+COUNTIF('11月'!AH32:AI32,B$374)+COUNTIF('11月'!AM32:AN32,B$374)+COUNTIF('11月'!AR32:AS32,B$374)+COUNTIF('11月'!AW32:AX32,B$374)+COUNTIF('11月'!BB32:BC32,B$374)+COUNTIF('11月'!BG32:BH32,B$374)+COUNTIF('11月'!BL32:BM32,B$374)+COUNTIF('11月'!BQ32:BR32,B$374)+COUNTIF('11月'!BV32:BW32,B$374)+COUNTIF('11月'!CA32:CB32,B$374)+COUNTIF('11月'!CF32:CG32,B$374)+COUNTIF('11月'!CK32:CL32,B$374)+COUNTIF('11月'!CP32:CQ32,B$374)+COUNTIF('11月'!CU32:CV32,B$374)+COUNTIF('11月'!CZ32:DA32,B$374)+COUNTIF('11月'!DE32:DF32,B$374)+COUNTIF('11月'!DJ32:DK32,B$374)+COUNTIF('11月'!DO32:DP32,B$374)+COUNTIF('11月'!DT32:DU32,B$374)+COUNTIF('11月'!DY32:DZ32,B$374)+COUNTIF('11月'!ED32:EE32,B$374)+COUNTIF('11月'!EI32:EJ32,B$374)+COUNTIF('11月'!EN32:EO32,B$374)+COUNTIF('11月'!ES32:ET32,B$374)</f>
        <v>0</v>
      </c>
      <c r="C404" s="76">
        <f t="shared" si="120"/>
        <v>0</v>
      </c>
      <c r="D404" s="76">
        <f>COUNTIF('11月'!D32:E32,D$374)+COUNTIF('11月'!I32:J32,D$374)+COUNTIF('11月'!N32:O32,D$374)+COUNTIF('11月'!S32:T32,D$374)+COUNTIF('11月'!X32:Y32,D$374)+COUNTIF('11月'!AC32:AD32,D$374)+COUNTIF('11月'!AH32:AI32,D$374)+COUNTIF('11月'!AM32:AN32,D$374)+COUNTIF('11月'!AR32:AS32,D$374)+COUNTIF('11月'!AW32:AX32,D$374)+COUNTIF('11月'!BB32:BC32,D$374)+COUNTIF('11月'!BG32:BH32,D$374)+COUNTIF('11月'!BL32:BM32,D$374)+COUNTIF('11月'!BQ32:BR32,D$374)+COUNTIF('11月'!BV32:BW32,D$374)+COUNTIF('11月'!CA32:CB32,D$374)+COUNTIF('11月'!CF32:CG32,D$374)+COUNTIF('11月'!CK32:CL32,D$374)+COUNTIF('11月'!CP32:CQ32,D$374)+COUNTIF('11月'!CU32:CV32,D$374)+COUNTIF('11月'!CZ32:DA32,D$374)+COUNTIF('11月'!DE32:DF32,D$374)+COUNTIF('11月'!DJ32:DK32,D$374)+COUNTIF('11月'!DO32:DP32,D$374)+COUNTIF('11月'!DT32:DU32,D$374)+COUNTIF('11月'!DY32:DZ32,D$374)+COUNTIF('11月'!ED32:EE32,D$374)+COUNTIF('11月'!EI32:EJ32,D$374)+COUNTIF('11月'!EN32:EO32,D$374)+COUNTIF('11月'!ES32:ET32,D$374)</f>
        <v>0</v>
      </c>
      <c r="E404" s="76">
        <f t="shared" si="121"/>
        <v>0</v>
      </c>
      <c r="F404" s="76">
        <f>COUNTIF('11月'!D32:E32,F$374)+COUNTIF('11月'!I32:J32,F$374)+COUNTIF('11月'!N32:O32,F$374)+COUNTIF('11月'!S32:T32,F$374)+COUNTIF('11月'!X32:Y32,F$374)+COUNTIF('11月'!AC32:AD32,F$374)+COUNTIF('11月'!AH32:AI32,F$374)+COUNTIF('11月'!AM32:AN32,F$374)+COUNTIF('11月'!AR32:AS32,F$374)+COUNTIF('11月'!AW32:AX32,F$374)+COUNTIF('11月'!BB32:BC32,F$374)+COUNTIF('11月'!BG32:BH32,F$374)+COUNTIF('11月'!BL32:BM32,F$374)+COUNTIF('11月'!BQ32:BR32,F$374)+COUNTIF('11月'!BV32:BW32,F$374)+COUNTIF('11月'!CA32:CB32,F$374)+COUNTIF('11月'!CF32:CG32,F$374)+COUNTIF('11月'!CK32:CL32,F$374)+COUNTIF('11月'!CP32:CQ32,F$374)+COUNTIF('11月'!CU32:CV32,F$374)+COUNTIF('11月'!CZ32:DA32,F$374)+COUNTIF('11月'!DE32:DF32,F$374)+COUNTIF('11月'!DJ32:DK32,F$374)+COUNTIF('11月'!DO32:DP32,F$374)+COUNTIF('11月'!DT32:DU32,F$374)+COUNTIF('11月'!DY32:DZ32,F$374)+COUNTIF('11月'!ED32:EE32,F$374)+COUNTIF('11月'!EI32:EJ32,F$374)+COUNTIF('11月'!EN32:EO32,F$374)+COUNTIF('11月'!ES32:ET32,F$374)</f>
        <v>0</v>
      </c>
      <c r="G404" s="76">
        <f t="shared" si="122"/>
        <v>0</v>
      </c>
      <c r="H404" s="76">
        <f>COUNTIF('11月'!D32:E32,H$374)+COUNTIF('11月'!I32:J32,H$374)+COUNTIF('11月'!N32:O32,H$374)+COUNTIF('11月'!S32:T32,H$374)+COUNTIF('11月'!X32:Y32,H$374)+COUNTIF('11月'!AC32:AD32,H$374)+COUNTIF('11月'!AH32:AI32,H$374)+COUNTIF('11月'!AM32:AN32,H$374)+COUNTIF('11月'!AR32:AS32,H$374)+COUNTIF('11月'!AW32:AX32,H$374)+COUNTIF('11月'!BB32:BC32,H$374)+COUNTIF('11月'!BG32:BH32,H$374)+COUNTIF('11月'!BL32:BM32,H$374)+COUNTIF('11月'!BQ32:BR32,H$374)+COUNTIF('11月'!BV32:BW32,H$374)+COUNTIF('11月'!CA32:CB32,H$374)+COUNTIF('11月'!CF32:CG32,H$374)+COUNTIF('11月'!CK32:CL32,H$374)+COUNTIF('11月'!CP32:CQ32,H$374)+COUNTIF('11月'!CU32:CV32,H$374)+COUNTIF('11月'!CZ32:DA32,H$374)+COUNTIF('11月'!DE32:DF32,H$374)+COUNTIF('11月'!DJ32:DK32,H$374)+COUNTIF('11月'!DO32:DP32,H$374)+COUNTIF('11月'!DT32:DU32,H$374)+COUNTIF('11月'!DY32:DZ32,H$374)+COUNTIF('11月'!ED32:EE32,H$374)+COUNTIF('11月'!EI32:EJ32,H$374)+COUNTIF('11月'!EN32:EO32,H$374)+COUNTIF('11月'!ES32:ET32,H$374)+COUNTIF('11月'!D32:E32,"渋谷-夜勤")+COUNTIF('11月'!I32:J32,"渋谷-夜勤")+COUNTIF('11月'!N32:O32,"渋谷-夜勤")+COUNTIF('11月'!S32:T32,"渋谷-夜勤")+COUNTIF('11月'!X32:Y32,"渋谷-夜勤")+COUNTIF('11月'!AC32:AD32,"渋谷-夜勤")+COUNTIF('11月'!AH32:AI32,"渋谷-夜勤")+COUNTIF('11月'!AM32:AN32,"渋谷-夜勤")+COUNTIF('11月'!AR32:AS32,"渋谷-夜勤")+COUNTIF('11月'!AW32:AX32,"渋谷-夜勤")+COUNTIF('11月'!BB32:BC32,"渋谷-夜勤")+COUNTIF('11月'!BG32:BH32,"渋谷-夜勤")+COUNTIF('11月'!BL32:BM32,"渋谷-夜勤")+COUNTIF('11月'!BQ32:BR32,"渋谷-夜勤")+COUNTIF('11月'!BV32:BW32,"渋谷-夜勤")+COUNTIF('11月'!CA32:CB32,"渋谷-夜勤")+COUNTIF('11月'!CF32:CG32,"渋谷-夜勤")+COUNTIF('11月'!CK32:CL32,"渋谷-夜勤")+COUNTIF('11月'!CP32:CQ32,"渋谷-夜勤")+COUNTIF('11月'!CU32:CV32,"渋谷-夜勤")+COUNTIF('11月'!CZ32:DA32,"渋谷-夜勤")+COUNTIF('11月'!DE32:DF32,"渋谷-夜勤")+COUNTIF('11月'!DJ32:DK32,"渋谷-夜勤")+COUNTIF('11月'!DO32:DP32,"渋谷-夜勤")+COUNTIF('11月'!DT32:DU32,"渋谷-夜勤")+COUNTIF('11月'!DY32:DZ32,"渋谷-夜勤")+COUNTIF('11月'!ED32:EE32,"渋谷-夜勤")+COUNTIF('11月'!EI32:EJ32,"渋谷-夜勤")+COUNTIF('11月'!EN32:EO32,"渋谷-夜勤")+COUNTIF('11月'!ES32:ET32,"渋谷-夜勤")</f>
        <v>0</v>
      </c>
      <c r="I404" s="76">
        <f t="shared" si="123"/>
        <v>0</v>
      </c>
      <c r="J404" s="76">
        <f>COUNTIF('11月'!D32:E32,J$374)+COUNTIF('11月'!I32:J32,J$374)+COUNTIF('11月'!N32:O32,J$374)+COUNTIF('11月'!S32:T32,J$374)+COUNTIF('11月'!X32:Y32,J$374)+COUNTIF('11月'!AC32:AD32,J$374)+COUNTIF('11月'!AH32:AI32,J$374)+COUNTIF('11月'!AM32:AN32,J$374)+COUNTIF('11月'!AR32:AS32,J$374)+COUNTIF('11月'!AW32:AX32,J$374)+COUNTIF('11月'!BB32:BC32,J$374)+COUNTIF('11月'!BG32:BH32,J$374)+COUNTIF('11月'!BL32:BM32,J$374)+COUNTIF('11月'!BQ32:BR32,J$374)+COUNTIF('11月'!BV32:BW32,J$374)+COUNTIF('11月'!CA32:CB32,J$374)+COUNTIF('11月'!CF32:CG32,J$374)+COUNTIF('11月'!CK32:CL32,J$374)+COUNTIF('11月'!CP32:CQ32,J$374)+COUNTIF('11月'!CU32:CV32,J$374)+COUNTIF('11月'!CZ32:DA32,J$374)+COUNTIF('11月'!DE32:DF32,J$374)+COUNTIF('11月'!DJ32:DK32,J$374)+COUNTIF('11月'!DO32:DP32,J$374)+COUNTIF('11月'!DT32:DU32,J$374)+COUNTIF('11月'!DY32:DZ32,J$374)+COUNTIF('11月'!ED32:EE32,J$374)+COUNTIF('11月'!EI32:EJ32,J$374)+COUNTIF('11月'!EN32:EO32,J$374)+COUNTIF('11月'!ES32:ET32,J$374)+COUNTIF('11月'!D32:E32,"六本木-夜勤")+COUNTIF('11月'!I32:J32,"六本木-夜勤")+COUNTIF('11月'!N32:O32,"六本木-夜勤")+COUNTIF('11月'!S32:T32,"六本木-夜勤")+COUNTIF('11月'!X32:Y32,"六本木-夜勤")+COUNTIF('11月'!AC32:AD32,"六本木-夜勤")+COUNTIF('11月'!AH32:AI32,"六本木-夜勤")+COUNTIF('11月'!AM32:AN32,"六本木-夜勤")+COUNTIF('11月'!AR32:AS32,"六本木-夜勤")+COUNTIF('11月'!AW32:AX32,"六本木-夜勤")+COUNTIF('11月'!BB32:BC32,"六本木-夜勤")+COUNTIF('11月'!BG32:BH32,"六本木-夜勤")+COUNTIF('11月'!BL32:BM32,"六本木-夜勤")+COUNTIF('11月'!BQ32:BR32,"六本木-夜勤")+COUNTIF('11月'!BV32:BW32,"六本木-夜勤")+COUNTIF('11月'!CA32:CB32,"六本木-夜勤")+COUNTIF('11月'!CF32:CG32,"六本木-夜勤")+COUNTIF('11月'!CK32:CL32,"六本木-夜勤")+COUNTIF('11月'!CP32:CQ32,"六本木-夜勤")+COUNTIF('11月'!CU32:CV32,"六本木-夜勤")+COUNTIF('11月'!CZ32:DA32,"六本木-夜勤")+COUNTIF('11月'!DE32:DF32,"六本木-夜勤")+COUNTIF('11月'!DJ32:DK32,"六本木-夜勤")+COUNTIF('11月'!DO32:DP32,"六本木-夜勤")+COUNTIF('11月'!DT32:DU32,"六本木-夜勤")+COUNTIF('11月'!DY32:DZ32,"六本木-夜勤")+COUNTIF('11月'!ED32:EE32,"六本木-夜勤")+COUNTIF('11月'!EI32:EJ32,"六本木-夜勤")+COUNTIF('11月'!EN32:EO32,"六本木-夜勤")+COUNTIF('11月'!ES32:ET32,"六本木-夜勤")+COUNTIF('11月'!D32:E32,"六本木ー夜勤")+COUNTIF('11月'!I32:J32,"六本木ー夜勤")+COUNTIF('11月'!N32:O32,"六本木ー夜勤")+COUNTIF('11月'!S32:T32,"六本木ー夜勤")+COUNTIF('11月'!X32:Y32,"六本木ー夜勤")+COUNTIF('11月'!AC32:AD32,"六本木ー夜勤")+COUNTIF('11月'!AH32:AI32,"六本木ー夜勤")+COUNTIF('11月'!AM32:AN32,"六本木ー夜勤")+COUNTIF('11月'!AR32:AS32,"六本木ー夜勤")+COUNTIF('11月'!AW32:AX32,"六本木ー夜勤")+COUNTIF('11月'!BB32:BC32,"六本木ー夜勤")+COUNTIF('11月'!BG32:BH32,"六本木ー夜勤")+COUNTIF('11月'!BL32:BM32,"六本木ー夜勤")+COUNTIF('11月'!BQ32:BR32,"六本木ー夜勤")+COUNTIF('11月'!BV32:BW32,"六本木ー夜勤")+COUNTIF('11月'!CA32:CB32,"六本木ー夜勤")+COUNTIF('11月'!CF32:CG32,"六本木ー夜勤")+COUNTIF('11月'!CK32:CL32,"六本木ー夜勤")+COUNTIF('11月'!CP32:CQ32,"六本木ー夜勤")+COUNTIF('11月'!CU32:CV32,"六本木ー夜勤")+COUNTIF('11月'!CZ32:DA32,"六本木ー夜勤")+COUNTIF('11月'!DE32:DF32,"六本木ー夜勤")+COUNTIF('11月'!DJ32:DK32,"六本木ー夜勤")+COUNTIF('11月'!DO32:DP32,"六本木ー夜勤")+COUNTIF('11月'!DT32:DU32,"六本木ー夜勤")+COUNTIF('11月'!DY32:DZ32,"六本木ー夜勤")+COUNTIF('11月'!ED32:EE32,"六本木ー夜勤")+COUNTIF('11月'!EI32:EJ32,"六本木ー夜勤")+COUNTIF('11月'!EN32:EO32,"六本木ー夜勤")+COUNTIF('11月'!ES32:ET32,"六本木ー夜勤")</f>
        <v>0</v>
      </c>
      <c r="K404" s="76">
        <f t="shared" si="124"/>
        <v>0</v>
      </c>
      <c r="L404" s="76">
        <f>COUNTIF('11月'!D32:E32,L$374)+COUNTIF('11月'!I32:J32,L$374)+COUNTIF('11月'!N32:O32,L$374)+COUNTIF('11月'!S32:T32,L$374)+COUNTIF('11月'!X32:Y32,L$374)+COUNTIF('11月'!AC32:AD32,L$374)+COUNTIF('11月'!AH32:AI32,L$374)+COUNTIF('11月'!AM32:AN32,L$374)+COUNTIF('11月'!AR32:AS32,L$374)+COUNTIF('11月'!AW32:AX32,L$374)+COUNTIF('11月'!BB32:BC32,L$374)+COUNTIF('11月'!BG32:BH32,L$374)+COUNTIF('11月'!BL32:BM32,L$374)+COUNTIF('11月'!BQ32:BR32,L$374)+COUNTIF('11月'!BV32:BW32,L$374)+COUNTIF('11月'!CA32:CB32,L$374)+COUNTIF('11月'!CF32:CG32,L$374)+COUNTIF('11月'!CK32:CL32,L$374)+COUNTIF('11月'!CP32:CQ32,L$374)+COUNTIF('11月'!CU32:CV32,L$374)+COUNTIF('11月'!CZ32:DA32,L$374)+COUNTIF('11月'!DE32:DF32,L$374)+COUNTIF('11月'!DJ32:DK32,L$374)+COUNTIF('11月'!DO32:DP32,L$374)+COUNTIF('11月'!DT32:DU32,L$374)+COUNTIF('11月'!DY32:DZ32,L$374)+COUNTIF('11月'!ED32:EE32,L$374)+COUNTIF('11月'!EI32:EJ32,L$374)+COUNTIF('11月'!EN32:EO32,L$374)+COUNTIF('11月'!ES32:ET32,L$374)</f>
        <v>0</v>
      </c>
      <c r="M404" s="76">
        <f t="shared" si="125"/>
        <v>0</v>
      </c>
      <c r="N404" s="76">
        <f>COUNTIF('11月'!D32:E32,N$374)+COUNTIF('11月'!I32:J32,N$374)+COUNTIF('11月'!N32:O32,N$374)+COUNTIF('11月'!S32:T32,N$374)+COUNTIF('11月'!X32:Y32,N$374)+COUNTIF('11月'!AC32:AD32,N$374)+COUNTIF('11月'!AH32:AI32,N$374)+COUNTIF('11月'!AM32:AN32,N$374)+COUNTIF('11月'!AR32:AS32,N$374)+COUNTIF('11月'!AW32:AX32,N$374)+COUNTIF('11月'!BB32:BC32,N$374)+COUNTIF('11月'!BG32:BH32,N$374)+COUNTIF('11月'!BL32:BM32,N$374)+COUNTIF('11月'!BQ32:BR32,N$374)+COUNTIF('11月'!BV32:BW32,N$374)+COUNTIF('11月'!CA32:CB32,N$374)+COUNTIF('11月'!CF32:CG32,N$374)+COUNTIF('11月'!CK32:CL32,N$374)+COUNTIF('11月'!CP32:CQ32,N$374)+COUNTIF('11月'!CU32:CV32,N$374)+COUNTIF('11月'!CZ32:DA32,N$374)+COUNTIF('11月'!DE32:DF32,N$374)+COUNTIF('11月'!DJ32:DK32,N$374)+COUNTIF('11月'!DO32:DP32,N$374)+COUNTIF('11月'!DT32:DU32,N$374)+COUNTIF('11月'!DY32:DZ32,N$374)+COUNTIF('11月'!ED32:EE32,N$374)+COUNTIF('11月'!EI32:EJ32,N$374)+COUNTIF('11月'!EN32:EO32,N$374)+COUNTIF('11月'!ES32:ET32,N$374)+COUNTIF('11月'!D32:E32,"三軒茶屋－夜勤")+COUNTIF('11月'!I32:J32,"三軒茶屋－夜勤")+COUNTIF('11月'!N32:O32,"三軒茶屋－夜勤")+COUNTIF('11月'!S32:T32,"三軒茶屋－夜勤")+COUNTIF('11月'!X32:Y32,"三軒茶屋－夜勤")+COUNTIF('11月'!AC32:AD32,"三軒茶屋－夜勤")+COUNTIF('11月'!AH32:AI32,"三軒茶屋－夜勤")+COUNTIF('11月'!AM32:AN32,"三軒茶屋－夜勤")+COUNTIF('11月'!AR32:AS32,"三軒茶屋－夜勤")+COUNTIF('11月'!AW32:AX32,"三軒茶屋－夜勤")+COUNTIF('11月'!BB32:BC32,"三軒茶屋－夜勤")+COUNTIF('11月'!BG32:BH32,"三軒茶屋－夜勤")+COUNTIF('11月'!BL32:BM32,"三軒茶屋－夜勤")+COUNTIF('11月'!BQ32:BR32,"三軒茶屋－夜勤")+COUNTIF('11月'!BV32:BW32,"三軒茶屋－夜勤")+COUNTIF('11月'!CA32:CB32,"三軒茶屋－夜勤")+COUNTIF('11月'!CF32:CG32,"三軒茶屋－夜勤")+COUNTIF('11月'!CK32:CL32,"三軒茶屋－夜勤")+COUNTIF('11月'!CP32:CQ32,"三軒茶屋－夜勤")+COUNTIF('11月'!CU32:CV32,"三軒茶屋－夜勤")+COUNTIF('11月'!CZ32:DA32,"三軒茶屋－夜勤")+COUNTIF('11月'!DE32:DF32,"三軒茶屋－夜勤")+COUNTIF('11月'!DJ32:DK32,"三軒茶屋－夜勤")+COUNTIF('11月'!DO32:DP32,"三軒茶屋－夜勤")+COUNTIF('11月'!DT32:DU32,"三軒茶屋－夜勤")+COUNTIF('11月'!DY32:DZ32,"三軒茶屋－夜勤")+COUNTIF('11月'!ED32:EE32,"三軒茶屋－夜勤")+COUNTIF('11月'!EI32:EJ32,"三軒茶屋－夜勤")+COUNTIF('11月'!EN32:EO32,"三軒茶屋－夜勤")+COUNTIF('11月'!ES32:ET32,"三軒茶屋－夜勤")</f>
        <v>0</v>
      </c>
      <c r="O404" s="76">
        <f t="shared" si="126"/>
        <v>0</v>
      </c>
      <c r="P404" s="76">
        <f>COUNTIF('11月'!D32:E32,P$374)+COUNTIF('11月'!I32:J32,P$374)+COUNTIF('11月'!N32:O32,P$374)+COUNTIF('11月'!S32:T32,P$374)+COUNTIF('11月'!X32:Y32,P$374)+COUNTIF('11月'!AC32:AD32,P$374)+COUNTIF('11月'!AH32:AI32,P$374)+COUNTIF('11月'!AM32:AN32,P$374)+COUNTIF('11月'!AR32:AS32,P$374)+COUNTIF('11月'!AW32:AX32,P$374)+COUNTIF('11月'!BB32:BC32,P$374)+COUNTIF('11月'!BG32:BH32,P$374)+COUNTIF('11月'!BL32:BM32,P$374)+COUNTIF('11月'!BQ32:BR32,P$374)+COUNTIF('11月'!BV32:BW32,P$374)+COUNTIF('11月'!CA32:CB32,P$374)+COUNTIF('11月'!CF32:CG32,P$374)+COUNTIF('11月'!CK32:CL32,P$374)+COUNTIF('11月'!CP32:CQ32,P$374)+COUNTIF('11月'!CU32:CV32,P$374)+COUNTIF('11月'!CZ32:DA32,P$374)+COUNTIF('11月'!DE32:DF32,P$374)+COUNTIF('11月'!DJ32:DK32,P$374)+COUNTIF('11月'!DO32:DP32,P$374)+COUNTIF('11月'!DT32:DU32,P$374)+COUNTIF('11月'!DY32:DZ32,P$374)+COUNTIF('11月'!ED32:EE32,P$374)+COUNTIF('11月'!EI32:EJ32,P$374)+COUNTIF('11月'!EN32:EO32,P$374)+COUNTIF('11月'!ES32:ET32,P$374)+COUNTIF('11月'!D32:E32,"荻窪ー夜勤")+COUNTIF('11月'!I32:J32,"荻窪ー夜勤")+COUNTIF('11月'!N32:O32,"荻窪ー夜勤")+COUNTIF('11月'!S32:T32,"荻窪ー夜勤")+COUNTIF('11月'!X32:Y32,"荻窪ー夜勤")+COUNTIF('11月'!AC32:AD32,"荻窪ー夜勤")+COUNTIF('11月'!AH32:AI32,"荻窪ー夜勤")+COUNTIF('11月'!AM32:AN32,"荻窪ー夜勤")+COUNTIF('11月'!AR32:AS32,"荻窪ー夜勤")+COUNTIF('11月'!AW32:AX32,"荻窪ー夜勤")+COUNTIF('11月'!BB32:BC32,"荻窪ー夜勤")+COUNTIF('11月'!BG32:BH32,"荻窪ー夜勤")+COUNTIF('11月'!BL32:BM32,"荻窪ー夜勤")+COUNTIF('11月'!BQ32:BR32,"荻窪ー夜勤")+COUNTIF('11月'!BV32:BW32,"荻窪ー夜勤")+COUNTIF('11月'!CA32:CB32,"荻窪ー夜勤")+COUNTIF('11月'!CF32:CG32,"荻窪ー夜勤")+COUNTIF('11月'!CK32:CL32,"荻窪ー夜勤")+COUNTIF('11月'!CP32:CQ32,"荻窪ー夜勤")+COUNTIF('11月'!CU32:CV32,"荻窪ー夜勤")+COUNTIF('11月'!CZ32:DA32,"荻窪ー夜勤")+COUNTIF('11月'!DE32:DF32,"荻窪ー夜勤")+COUNTIF('11月'!DJ32:DK32,"荻窪ー夜勤")+COUNTIF('11月'!DO32:DP32,"荻窪ー夜勤")+COUNTIF('11月'!DT32:DU32,"荻窪ー夜勤")+COUNTIF('11月'!DY32:DZ32,"荻窪ー夜勤")+COUNTIF('11月'!ED32:EE32,"荻窪ー夜勤")+COUNTIF('11月'!EI32:EJ32,"荻窪ー夜勤")+COUNTIF('11月'!EN32:EO32,"荻窪ー夜勤")+COUNTIF('11月'!ES32:ET32,"荻窪ー夜勤")</f>
        <v>0</v>
      </c>
      <c r="Q404" s="76">
        <f t="shared" si="127"/>
        <v>0</v>
      </c>
      <c r="R404" s="76">
        <f>COUNTIF('11月'!D32:E32,R$374)+COUNTIF('11月'!I32:J32,R$374)+COUNTIF('11月'!N32:O32,R$374)+COUNTIF('11月'!S32:T32,R$374)+COUNTIF('11月'!X32:Y32,R$374)+COUNTIF('11月'!AC32:AD32,R$374)+COUNTIF('11月'!AH32:AI32,R$374)+COUNTIF('11月'!AM32:AN32,R$374)+COUNTIF('11月'!AR32:AS32,R$374)+COUNTIF('11月'!AW32:AX32,R$374)+COUNTIF('11月'!BB32:BC32,R$374)+COUNTIF('11月'!BG32:BH32,R$374)+COUNTIF('11月'!BL32:BM32,R$374)+COUNTIF('11月'!BQ32:BR32,R$374)+COUNTIF('11月'!BV32:BW32,R$374)+COUNTIF('11月'!CA32:CB32,R$374)+COUNTIF('11月'!CF32:CG32,R$374)+COUNTIF('11月'!CK32:CL32,R$374)+COUNTIF('11月'!CP32:CQ32,R$374)+COUNTIF('11月'!CU32:CV32,R$374)+COUNTIF('11月'!CZ32:DA32,R$374)+COUNTIF('11月'!DE32:DF32,R$374)+COUNTIF('11月'!DJ32:DK32,R$374)+COUNTIF('11月'!DO32:DP32,R$374)+COUNTIF('11月'!DT32:DU32,R$374)+COUNTIF('11月'!DY32:DZ32,R$374)+COUNTIF('11月'!ED32:EE32,R$374)+COUNTIF('11月'!EI32:EJ32,R$374)+COUNTIF('11月'!EN32:EO32,R$374)+COUNTIF('11月'!ES32:ET32,R$374)</f>
        <v>0</v>
      </c>
      <c r="S404" s="76">
        <f t="shared" si="128"/>
        <v>0</v>
      </c>
      <c r="T404" s="76">
        <f>COUNTIF('11月'!D32:E32,T$374)+COUNTIF('11月'!I32:J32,T$374)+COUNTIF('11月'!N32:O32,T$374)+COUNTIF('11月'!S32:T32,T$374)+COUNTIF('11月'!X32:Y32,T$374)+COUNTIF('11月'!AC32:AD32,T$374)+COUNTIF('11月'!AH32:AI32,T$374)+COUNTIF('11月'!AM32:AN32,T$374)+COUNTIF('11月'!AR32:AS32,T$374)+COUNTIF('11月'!AW32:AX32,T$374)+COUNTIF('11月'!BB32:BC32,T$374)+COUNTIF('11月'!BG32:BH32,T$374)+COUNTIF('11月'!BL32:BM32,T$374)+COUNTIF('11月'!BQ32:BR32,T$374)+COUNTIF('11月'!BV32:BW32,T$374)+COUNTIF('11月'!CA32:CB32,T$374)+COUNTIF('11月'!CF32:CG32,T$374)+COUNTIF('11月'!CK32:CL32,T$374)+COUNTIF('11月'!CP32:CQ32,T$374)+COUNTIF('11月'!CU32:CV32,T$374)+COUNTIF('11月'!CZ32:DA32,T$374)+COUNTIF('11月'!DE32:DF32,T$374)+COUNTIF('11月'!DJ32:DK32,T$374)+COUNTIF('11月'!DO32:DP32,T$374)+COUNTIF('11月'!DT32:DU32,T$374)+COUNTIF('11月'!DY32:DZ32,T$374)+COUNTIF('11月'!ED32:EE32,T$374)+COUNTIF('11月'!EI32:EJ32,T$374)+COUNTIF('11月'!EN32:EO32,T$374)+COUNTIF('11月'!ES32:ET32,T$374)</f>
        <v>0</v>
      </c>
      <c r="U404" s="76">
        <f t="shared" si="129"/>
        <v>0</v>
      </c>
      <c r="V404" s="76">
        <f>COUNTIF('11月'!D32:E32,V$374)+COUNTIF('11月'!I32:J32,V$374)+COUNTIF('11月'!N32:O32,V$374)+COUNTIF('11月'!S32:T32,V$374)+COUNTIF('11月'!X32:Y32,V$374)+COUNTIF('11月'!AC32:AD32,V$374)+COUNTIF('11月'!AH32:AI32,V$374)+COUNTIF('11月'!AM32:AN32,V$374)+COUNTIF('11月'!AR32:AS32,V$374)+COUNTIF('11月'!AW32:AX32,V$374)+COUNTIF('11月'!BB32:BC32,V$374)+COUNTIF('11月'!BG32:BH32,V$374)+COUNTIF('11月'!BL32:BM32,V$374)+COUNTIF('11月'!BQ32:BR32,V$374)+COUNTIF('11月'!BV32:BW32,V$374)+COUNTIF('11月'!CA32:CB32,V$374)+COUNTIF('11月'!CF32:CG32,V$374)+COUNTIF('11月'!CK32:CL32,V$374)+COUNTIF('11月'!CP32:CQ32,V$374)+COUNTIF('11月'!CU32:CV32,V$374)+COUNTIF('11月'!CZ32:DA32,V$374)+COUNTIF('11月'!DE32:DF32,V$374)+COUNTIF('11月'!DJ32:DK32,V$374)+COUNTIF('11月'!DO32:DP32,V$374)+COUNTIF('11月'!DT32:DU32,V$374)+COUNTIF('11月'!DY32:DZ32,V$374)+COUNTIF('11月'!ED32:EE32,V$374)+COUNTIF('11月'!EI32:EJ32,V$374)+COUNTIF('11月'!EN32:EO32,V$374)+COUNTIF('11月'!ES32:ET32,V$374)</f>
        <v>0</v>
      </c>
      <c r="W404" s="76">
        <f t="shared" si="130"/>
        <v>0</v>
      </c>
      <c r="X404" s="76">
        <f>COUNTIF('11月'!D32:E32,X$374)+COUNTIF('11月'!I32:J32,X$374)+COUNTIF('11月'!N32:O32,X$374)+COUNTIF('11月'!S32:T32,X$374)+COUNTIF('11月'!X32:Y32,X$374)+COUNTIF('11月'!AC32:AD32,X$374)+COUNTIF('11月'!AH32:AI32,X$374)+COUNTIF('11月'!AM32:AN32,X$374)+COUNTIF('11月'!AR32:AS32,X$374)+COUNTIF('11月'!AW32:AX32,X$374)+COUNTIF('11月'!BB32:BC32,X$374)+COUNTIF('11月'!BG32:BH32,X$374)+COUNTIF('11月'!BL32:BM32,X$374)+COUNTIF('11月'!BQ32:BR32,X$374)+COUNTIF('11月'!BV32:BW32,X$374)+COUNTIF('11月'!CA32:CB32,X$374)+COUNTIF('11月'!CF32:CG32,X$374)+COUNTIF('11月'!CK32:CL32,X$374)+COUNTIF('11月'!CP32:CQ32,X$374)+COUNTIF('11月'!CU32:CV32,X$374)+COUNTIF('11月'!CZ32:DA32,X$374)+COUNTIF('11月'!DE32:DF32,X$374)+COUNTIF('11月'!DJ32:DK32,X$374)+COUNTIF('11月'!DO32:DP32,X$374)+COUNTIF('11月'!DT32:DU32,X$374)+COUNTIF('11月'!DY32:DZ32,X$374)+COUNTIF('11月'!ED32:EE32,X$374)+COUNTIF('11月'!EI32:EJ32,X$374)+COUNTIF('11月'!EN32:EO32,X$374)+COUNTIF('11月'!ES32:ET32,X$374)</f>
        <v>0</v>
      </c>
      <c r="Y404" s="76">
        <f t="shared" si="131"/>
        <v>0</v>
      </c>
    </row>
    <row r="405" spans="1:25" ht="18" customHeight="1">
      <c r="A405" s="76">
        <v>30</v>
      </c>
      <c r="B405" s="76">
        <f>COUNTIF('11月'!D33:E33,B$374)+COUNTIF('11月'!I33:J33,B$374)+COUNTIF('11月'!N33:O33,B$374)+COUNTIF('11月'!S33:T33,B$374)+COUNTIF('11月'!X33:Y33,B$374)+COUNTIF('11月'!AC33:AD33,B$374)+COUNTIF('11月'!AH33:AI33,B$374)+COUNTIF('11月'!AM33:AN33,B$374)+COUNTIF('11月'!AR33:AS33,B$374)+COUNTIF('11月'!AW33:AX33,B$374)+COUNTIF('11月'!BB33:BC33,B$374)+COUNTIF('11月'!BG33:BH33,B$374)+COUNTIF('11月'!BL33:BM33,B$374)+COUNTIF('11月'!BQ33:BR33,B$374)+COUNTIF('11月'!BV33:BW33,B$374)+COUNTIF('11月'!CA33:CB33,B$374)+COUNTIF('11月'!CF33:CG33,B$374)+COUNTIF('11月'!CK33:CL33,B$374)+COUNTIF('11月'!CP33:CQ33,B$374)+COUNTIF('11月'!CU33:CV33,B$374)+COUNTIF('11月'!CZ33:DA33,B$374)+COUNTIF('11月'!DE33:DF33,B$374)+COUNTIF('11月'!DJ33:DK33,B$374)+COUNTIF('11月'!DO33:DP33,B$374)+COUNTIF('11月'!DT33:DU33,B$374)+COUNTIF('11月'!DY33:DZ33,B$374)+COUNTIF('11月'!ED33:EE33,B$374)+COUNTIF('11月'!EI33:EJ33,B$374)+COUNTIF('11月'!EN33:EO33,B$374)+COUNTIF('11月'!ES33:ET33,B$374)</f>
        <v>0</v>
      </c>
      <c r="C405" s="76">
        <f t="shared" si="120"/>
        <v>0</v>
      </c>
      <c r="D405" s="76">
        <f>COUNTIF('11月'!D33:E33,D$374)+COUNTIF('11月'!I33:J33,D$374)+COUNTIF('11月'!N33:O33,D$374)+COUNTIF('11月'!S33:T33,D$374)+COUNTIF('11月'!X33:Y33,D$374)+COUNTIF('11月'!AC33:AD33,D$374)+COUNTIF('11月'!AH33:AI33,D$374)+COUNTIF('11月'!AM33:AN33,D$374)+COUNTIF('11月'!AR33:AS33,D$374)+COUNTIF('11月'!AW33:AX33,D$374)+COUNTIF('11月'!BB33:BC33,D$374)+COUNTIF('11月'!BG33:BH33,D$374)+COUNTIF('11月'!BL33:BM33,D$374)+COUNTIF('11月'!BQ33:BR33,D$374)+COUNTIF('11月'!BV33:BW33,D$374)+COUNTIF('11月'!CA33:CB33,D$374)+COUNTIF('11月'!CF33:CG33,D$374)+COUNTIF('11月'!CK33:CL33,D$374)+COUNTIF('11月'!CP33:CQ33,D$374)+COUNTIF('11月'!CU33:CV33,D$374)+COUNTIF('11月'!CZ33:DA33,D$374)+COUNTIF('11月'!DE33:DF33,D$374)+COUNTIF('11月'!DJ33:DK33,D$374)+COUNTIF('11月'!DO33:DP33,D$374)+COUNTIF('11月'!DT33:DU33,D$374)+COUNTIF('11月'!DY33:DZ33,D$374)+COUNTIF('11月'!ED33:EE33,D$374)+COUNTIF('11月'!EI33:EJ33,D$374)+COUNTIF('11月'!EN33:EO33,D$374)+COUNTIF('11月'!ES33:ET33,D$374)</f>
        <v>0</v>
      </c>
      <c r="E405" s="76">
        <f t="shared" si="121"/>
        <v>0</v>
      </c>
      <c r="F405" s="76">
        <f>COUNTIF('11月'!D33:E33,F$374)+COUNTIF('11月'!I33:J33,F$374)+COUNTIF('11月'!N33:O33,F$374)+COUNTIF('11月'!S33:T33,F$374)+COUNTIF('11月'!X33:Y33,F$374)+COUNTIF('11月'!AC33:AD33,F$374)+COUNTIF('11月'!AH33:AI33,F$374)+COUNTIF('11月'!AM33:AN33,F$374)+COUNTIF('11月'!AR33:AS33,F$374)+COUNTIF('11月'!AW33:AX33,F$374)+COUNTIF('11月'!BB33:BC33,F$374)+COUNTIF('11月'!BG33:BH33,F$374)+COUNTIF('11月'!BL33:BM33,F$374)+COUNTIF('11月'!BQ33:BR33,F$374)+COUNTIF('11月'!BV33:BW33,F$374)+COUNTIF('11月'!CA33:CB33,F$374)+COUNTIF('11月'!CF33:CG33,F$374)+COUNTIF('11月'!CK33:CL33,F$374)+COUNTIF('11月'!CP33:CQ33,F$374)+COUNTIF('11月'!CU33:CV33,F$374)+COUNTIF('11月'!CZ33:DA33,F$374)+COUNTIF('11月'!DE33:DF33,F$374)+COUNTIF('11月'!DJ33:DK33,F$374)+COUNTIF('11月'!DO33:DP33,F$374)+COUNTIF('11月'!DT33:DU33,F$374)+COUNTIF('11月'!DY33:DZ33,F$374)+COUNTIF('11月'!ED33:EE33,F$374)+COUNTIF('11月'!EI33:EJ33,F$374)+COUNTIF('11月'!EN33:EO33,F$374)+COUNTIF('11月'!ES33:ET33,F$374)</f>
        <v>0</v>
      </c>
      <c r="G405" s="76">
        <f t="shared" si="122"/>
        <v>0</v>
      </c>
      <c r="H405" s="76">
        <f>COUNTIF('11月'!D33:E33,H$374)+COUNTIF('11月'!I33:J33,H$374)+COUNTIF('11月'!N33:O33,H$374)+COUNTIF('11月'!S33:T33,H$374)+COUNTIF('11月'!X33:Y33,H$374)+COUNTIF('11月'!AC33:AD33,H$374)+COUNTIF('11月'!AH33:AI33,H$374)+COUNTIF('11月'!AM33:AN33,H$374)+COUNTIF('11月'!AR33:AS33,H$374)+COUNTIF('11月'!AW33:AX33,H$374)+COUNTIF('11月'!BB33:BC33,H$374)+COUNTIF('11月'!BG33:BH33,H$374)+COUNTIF('11月'!BL33:BM33,H$374)+COUNTIF('11月'!BQ33:BR33,H$374)+COUNTIF('11月'!BV33:BW33,H$374)+COUNTIF('11月'!CA33:CB33,H$374)+COUNTIF('11月'!CF33:CG33,H$374)+COUNTIF('11月'!CK33:CL33,H$374)+COUNTIF('11月'!CP33:CQ33,H$374)+COUNTIF('11月'!CU33:CV33,H$374)+COUNTIF('11月'!CZ33:DA33,H$374)+COUNTIF('11月'!DE33:DF33,H$374)+COUNTIF('11月'!DJ33:DK33,H$374)+COUNTIF('11月'!DO33:DP33,H$374)+COUNTIF('11月'!DT33:DU33,H$374)+COUNTIF('11月'!DY33:DZ33,H$374)+COUNTIF('11月'!ED33:EE33,H$374)+COUNTIF('11月'!EI33:EJ33,H$374)+COUNTIF('11月'!EN33:EO33,H$374)+COUNTIF('11月'!ES33:ET33,H$374)+COUNTIF('11月'!D33:E33,"渋谷-夜勤")+COUNTIF('11月'!I33:J33,"渋谷-夜勤")+COUNTIF('11月'!N33:O33,"渋谷-夜勤")+COUNTIF('11月'!S33:T33,"渋谷-夜勤")+COUNTIF('11月'!X33:Y33,"渋谷-夜勤")+COUNTIF('11月'!AC33:AD33,"渋谷-夜勤")+COUNTIF('11月'!AH33:AI33,"渋谷-夜勤")+COUNTIF('11月'!AM33:AN33,"渋谷-夜勤")+COUNTIF('11月'!AR33:AS33,"渋谷-夜勤")+COUNTIF('11月'!AW33:AX33,"渋谷-夜勤")+COUNTIF('11月'!BB33:BC33,"渋谷-夜勤")+COUNTIF('11月'!BG33:BH33,"渋谷-夜勤")+COUNTIF('11月'!BL33:BM33,"渋谷-夜勤")+COUNTIF('11月'!BQ33:BR33,"渋谷-夜勤")+COUNTIF('11月'!BV33:BW33,"渋谷-夜勤")+COUNTIF('11月'!CA33:CB33,"渋谷-夜勤")+COUNTIF('11月'!CF33:CG33,"渋谷-夜勤")+COUNTIF('11月'!CK33:CL33,"渋谷-夜勤")+COUNTIF('11月'!CP33:CQ33,"渋谷-夜勤")+COUNTIF('11月'!CU33:CV33,"渋谷-夜勤")+COUNTIF('11月'!CZ33:DA33,"渋谷-夜勤")+COUNTIF('11月'!DE33:DF33,"渋谷-夜勤")+COUNTIF('11月'!DJ33:DK33,"渋谷-夜勤")+COUNTIF('11月'!DO33:DP33,"渋谷-夜勤")+COUNTIF('11月'!DT33:DU33,"渋谷-夜勤")+COUNTIF('11月'!DY33:DZ33,"渋谷-夜勤")+COUNTIF('11月'!ED33:EE33,"渋谷-夜勤")+COUNTIF('11月'!EI33:EJ33,"渋谷-夜勤")+COUNTIF('11月'!EN33:EO33,"渋谷-夜勤")+COUNTIF('11月'!ES33:ET33,"渋谷-夜勤")</f>
        <v>0</v>
      </c>
      <c r="I405" s="76">
        <f t="shared" si="123"/>
        <v>0</v>
      </c>
      <c r="J405" s="76">
        <f>COUNTIF('11月'!D33:E33,J$374)+COUNTIF('11月'!I33:J33,J$374)+COUNTIF('11月'!N33:O33,J$374)+COUNTIF('11月'!S33:T33,J$374)+COUNTIF('11月'!X33:Y33,J$374)+COUNTIF('11月'!AC33:AD33,J$374)+COUNTIF('11月'!AH33:AI33,J$374)+COUNTIF('11月'!AM33:AN33,J$374)+COUNTIF('11月'!AR33:AS33,J$374)+COUNTIF('11月'!AW33:AX33,J$374)+COUNTIF('11月'!BB33:BC33,J$374)+COUNTIF('11月'!BG33:BH33,J$374)+COUNTIF('11月'!BL33:BM33,J$374)+COUNTIF('11月'!BQ33:BR33,J$374)+COUNTIF('11月'!BV33:BW33,J$374)+COUNTIF('11月'!CA33:CB33,J$374)+COUNTIF('11月'!CF33:CG33,J$374)+COUNTIF('11月'!CK33:CL33,J$374)+COUNTIF('11月'!CP33:CQ33,J$374)+COUNTIF('11月'!CU33:CV33,J$374)+COUNTIF('11月'!CZ33:DA33,J$374)+COUNTIF('11月'!DE33:DF33,J$374)+COUNTIF('11月'!DJ33:DK33,J$374)+COUNTIF('11月'!DO33:DP33,J$374)+COUNTIF('11月'!DT33:DU33,J$374)+COUNTIF('11月'!DY33:DZ33,J$374)+COUNTIF('11月'!ED33:EE33,J$374)+COUNTIF('11月'!EI33:EJ33,J$374)+COUNTIF('11月'!EN33:EO33,J$374)+COUNTIF('11月'!ES33:ET33,J$374)+COUNTIF('11月'!D33:E33,"六本木-夜勤")+COUNTIF('11月'!I33:J33,"六本木-夜勤")+COUNTIF('11月'!N33:O33,"六本木-夜勤")+COUNTIF('11月'!S33:T33,"六本木-夜勤")+COUNTIF('11月'!X33:Y33,"六本木-夜勤")+COUNTIF('11月'!AC33:AD33,"六本木-夜勤")+COUNTIF('11月'!AH33:AI33,"六本木-夜勤")+COUNTIF('11月'!AM33:AN33,"六本木-夜勤")+COUNTIF('11月'!AR33:AS33,"六本木-夜勤")+COUNTIF('11月'!AW33:AX33,"六本木-夜勤")+COUNTIF('11月'!BB33:BC33,"六本木-夜勤")+COUNTIF('11月'!BG33:BH33,"六本木-夜勤")+COUNTIF('11月'!BL33:BM33,"六本木-夜勤")+COUNTIF('11月'!BQ33:BR33,"六本木-夜勤")+COUNTIF('11月'!BV33:BW33,"六本木-夜勤")+COUNTIF('11月'!CA33:CB33,"六本木-夜勤")+COUNTIF('11月'!CF33:CG33,"六本木-夜勤")+COUNTIF('11月'!CK33:CL33,"六本木-夜勤")+COUNTIF('11月'!CP33:CQ33,"六本木-夜勤")+COUNTIF('11月'!CU33:CV33,"六本木-夜勤")+COUNTIF('11月'!CZ33:DA33,"六本木-夜勤")+COUNTIF('11月'!DE33:DF33,"六本木-夜勤")+COUNTIF('11月'!DJ33:DK33,"六本木-夜勤")+COUNTIF('11月'!DO33:DP33,"六本木-夜勤")+COUNTIF('11月'!DT33:DU33,"六本木-夜勤")+COUNTIF('11月'!DY33:DZ33,"六本木-夜勤")+COUNTIF('11月'!ED33:EE33,"六本木-夜勤")+COUNTIF('11月'!EI33:EJ33,"六本木-夜勤")+COUNTIF('11月'!EN33:EO33,"六本木-夜勤")+COUNTIF('11月'!ES33:ET33,"六本木-夜勤")+COUNTIF('11月'!D33:E33,"六本木ー夜勤")+COUNTIF('11月'!I33:J33,"六本木ー夜勤")+COUNTIF('11月'!N33:O33,"六本木ー夜勤")+COUNTIF('11月'!S33:T33,"六本木ー夜勤")+COUNTIF('11月'!X33:Y33,"六本木ー夜勤")+COUNTIF('11月'!AC33:AD33,"六本木ー夜勤")+COUNTIF('11月'!AH33:AI33,"六本木ー夜勤")+COUNTIF('11月'!AM33:AN33,"六本木ー夜勤")+COUNTIF('11月'!AR33:AS33,"六本木ー夜勤")+COUNTIF('11月'!AW33:AX33,"六本木ー夜勤")+COUNTIF('11月'!BB33:BC33,"六本木ー夜勤")+COUNTIF('11月'!BG33:BH33,"六本木ー夜勤")+COUNTIF('11月'!BL33:BM33,"六本木ー夜勤")+COUNTIF('11月'!BQ33:BR33,"六本木ー夜勤")+COUNTIF('11月'!BV33:BW33,"六本木ー夜勤")+COUNTIF('11月'!CA33:CB33,"六本木ー夜勤")+COUNTIF('11月'!CF33:CG33,"六本木ー夜勤")+COUNTIF('11月'!CK33:CL33,"六本木ー夜勤")+COUNTIF('11月'!CP33:CQ33,"六本木ー夜勤")+COUNTIF('11月'!CU33:CV33,"六本木ー夜勤")+COUNTIF('11月'!CZ33:DA33,"六本木ー夜勤")+COUNTIF('11月'!DE33:DF33,"六本木ー夜勤")+COUNTIF('11月'!DJ33:DK33,"六本木ー夜勤")+COUNTIF('11月'!DO33:DP33,"六本木ー夜勤")+COUNTIF('11月'!DT33:DU33,"六本木ー夜勤")+COUNTIF('11月'!DY33:DZ33,"六本木ー夜勤")+COUNTIF('11月'!ED33:EE33,"六本木ー夜勤")+COUNTIF('11月'!EI33:EJ33,"六本木ー夜勤")+COUNTIF('11月'!EN33:EO33,"六本木ー夜勤")+COUNTIF('11月'!ES33:ET33,"六本木ー夜勤")</f>
        <v>0</v>
      </c>
      <c r="K405" s="76">
        <f t="shared" si="124"/>
        <v>0</v>
      </c>
      <c r="L405" s="76">
        <f>COUNTIF('11月'!D33:E33,L$374)+COUNTIF('11月'!I33:J33,L$374)+COUNTIF('11月'!N33:O33,L$374)+COUNTIF('11月'!S33:T33,L$374)+COUNTIF('11月'!X33:Y33,L$374)+COUNTIF('11月'!AC33:AD33,L$374)+COUNTIF('11月'!AH33:AI33,L$374)+COUNTIF('11月'!AM33:AN33,L$374)+COUNTIF('11月'!AR33:AS33,L$374)+COUNTIF('11月'!AW33:AX33,L$374)+COUNTIF('11月'!BB33:BC33,L$374)+COUNTIF('11月'!BG33:BH33,L$374)+COUNTIF('11月'!BL33:BM33,L$374)+COUNTIF('11月'!BQ33:BR33,L$374)+COUNTIF('11月'!BV33:BW33,L$374)+COUNTIF('11月'!CA33:CB33,L$374)+COUNTIF('11月'!CF33:CG33,L$374)+COUNTIF('11月'!CK33:CL33,L$374)+COUNTIF('11月'!CP33:CQ33,L$374)+COUNTIF('11月'!CU33:CV33,L$374)+COUNTIF('11月'!CZ33:DA33,L$374)+COUNTIF('11月'!DE33:DF33,L$374)+COUNTIF('11月'!DJ33:DK33,L$374)+COUNTIF('11月'!DO33:DP33,L$374)+COUNTIF('11月'!DT33:DU33,L$374)+COUNTIF('11月'!DY33:DZ33,L$374)+COUNTIF('11月'!ED33:EE33,L$374)+COUNTIF('11月'!EI33:EJ33,L$374)+COUNTIF('11月'!EN33:EO33,L$374)+COUNTIF('11月'!ES33:ET33,L$374)</f>
        <v>0</v>
      </c>
      <c r="M405" s="76">
        <f t="shared" si="125"/>
        <v>0</v>
      </c>
      <c r="N405" s="76">
        <f>COUNTIF('11月'!D33:E33,N$374)+COUNTIF('11月'!I33:J33,N$374)+COUNTIF('11月'!N33:O33,N$374)+COUNTIF('11月'!S33:T33,N$374)+COUNTIF('11月'!X33:Y33,N$374)+COUNTIF('11月'!AC33:AD33,N$374)+COUNTIF('11月'!AH33:AI33,N$374)+COUNTIF('11月'!AM33:AN33,N$374)+COUNTIF('11月'!AR33:AS33,N$374)+COUNTIF('11月'!AW33:AX33,N$374)+COUNTIF('11月'!BB33:BC33,N$374)+COUNTIF('11月'!BG33:BH33,N$374)+COUNTIF('11月'!BL33:BM33,N$374)+COUNTIF('11月'!BQ33:BR33,N$374)+COUNTIF('11月'!BV33:BW33,N$374)+COUNTIF('11月'!CA33:CB33,N$374)+COUNTIF('11月'!CF33:CG33,N$374)+COUNTIF('11月'!CK33:CL33,N$374)+COUNTIF('11月'!CP33:CQ33,N$374)+COUNTIF('11月'!CU33:CV33,N$374)+COUNTIF('11月'!CZ33:DA33,N$374)+COUNTIF('11月'!DE33:DF33,N$374)+COUNTIF('11月'!DJ33:DK33,N$374)+COUNTIF('11月'!DO33:DP33,N$374)+COUNTIF('11月'!DT33:DU33,N$374)+COUNTIF('11月'!DY33:DZ33,N$374)+COUNTIF('11月'!ED33:EE33,N$374)+COUNTIF('11月'!EI33:EJ33,N$374)+COUNTIF('11月'!EN33:EO33,N$374)+COUNTIF('11月'!ES33:ET33,N$374)+COUNTIF('11月'!D33:E33,"三軒茶屋－夜勤")+COUNTIF('11月'!I33:J33,"三軒茶屋－夜勤")+COUNTIF('11月'!N33:O33,"三軒茶屋－夜勤")+COUNTIF('11月'!S33:T33,"三軒茶屋－夜勤")+COUNTIF('11月'!X33:Y33,"三軒茶屋－夜勤")+COUNTIF('11月'!AC33:AD33,"三軒茶屋－夜勤")+COUNTIF('11月'!AH33:AI33,"三軒茶屋－夜勤")+COUNTIF('11月'!AM33:AN33,"三軒茶屋－夜勤")+COUNTIF('11月'!AR33:AS33,"三軒茶屋－夜勤")+COUNTIF('11月'!AW33:AX33,"三軒茶屋－夜勤")+COUNTIF('11月'!BB33:BC33,"三軒茶屋－夜勤")+COUNTIF('11月'!BG33:BH33,"三軒茶屋－夜勤")+COUNTIF('11月'!BL33:BM33,"三軒茶屋－夜勤")+COUNTIF('11月'!BQ33:BR33,"三軒茶屋－夜勤")+COUNTIF('11月'!BV33:BW33,"三軒茶屋－夜勤")+COUNTIF('11月'!CA33:CB33,"三軒茶屋－夜勤")+COUNTIF('11月'!CF33:CG33,"三軒茶屋－夜勤")+COUNTIF('11月'!CK33:CL33,"三軒茶屋－夜勤")+COUNTIF('11月'!CP33:CQ33,"三軒茶屋－夜勤")+COUNTIF('11月'!CU33:CV33,"三軒茶屋－夜勤")+COUNTIF('11月'!CZ33:DA33,"三軒茶屋－夜勤")+COUNTIF('11月'!DE33:DF33,"三軒茶屋－夜勤")+COUNTIF('11月'!DJ33:DK33,"三軒茶屋－夜勤")+COUNTIF('11月'!DO33:DP33,"三軒茶屋－夜勤")+COUNTIF('11月'!DT33:DU33,"三軒茶屋－夜勤")+COUNTIF('11月'!DY33:DZ33,"三軒茶屋－夜勤")+COUNTIF('11月'!ED33:EE33,"三軒茶屋－夜勤")+COUNTIF('11月'!EI33:EJ33,"三軒茶屋－夜勤")+COUNTIF('11月'!EN33:EO33,"三軒茶屋－夜勤")+COUNTIF('11月'!ES33:ET33,"三軒茶屋－夜勤")</f>
        <v>0</v>
      </c>
      <c r="O405" s="76">
        <f t="shared" si="126"/>
        <v>0</v>
      </c>
      <c r="P405" s="76">
        <f>COUNTIF('11月'!D33:E33,P$374)+COUNTIF('11月'!I33:J33,P$374)+COUNTIF('11月'!N33:O33,P$374)+COUNTIF('11月'!S33:T33,P$374)+COUNTIF('11月'!X33:Y33,P$374)+COUNTIF('11月'!AC33:AD33,P$374)+COUNTIF('11月'!AH33:AI33,P$374)+COUNTIF('11月'!AM33:AN33,P$374)+COUNTIF('11月'!AR33:AS33,P$374)+COUNTIF('11月'!AW33:AX33,P$374)+COUNTIF('11月'!BB33:BC33,P$374)+COUNTIF('11月'!BG33:BH33,P$374)+COUNTIF('11月'!BL33:BM33,P$374)+COUNTIF('11月'!BQ33:BR33,P$374)+COUNTIF('11月'!BV33:BW33,P$374)+COUNTIF('11月'!CA33:CB33,P$374)+COUNTIF('11月'!CF33:CG33,P$374)+COUNTIF('11月'!CK33:CL33,P$374)+COUNTIF('11月'!CP33:CQ33,P$374)+COUNTIF('11月'!CU33:CV33,P$374)+COUNTIF('11月'!CZ33:DA33,P$374)+COUNTIF('11月'!DE33:DF33,P$374)+COUNTIF('11月'!DJ33:DK33,P$374)+COUNTIF('11月'!DO33:DP33,P$374)+COUNTIF('11月'!DT33:DU33,P$374)+COUNTIF('11月'!DY33:DZ33,P$374)+COUNTIF('11月'!ED33:EE33,P$374)+COUNTIF('11月'!EI33:EJ33,P$374)+COUNTIF('11月'!EN33:EO33,P$374)+COUNTIF('11月'!ES33:ET33,P$374)+COUNTIF('11月'!D33:E33,"荻窪ー夜勤")+COUNTIF('11月'!I33:J33,"荻窪ー夜勤")+COUNTIF('11月'!N33:O33,"荻窪ー夜勤")+COUNTIF('11月'!S33:T33,"荻窪ー夜勤")+COUNTIF('11月'!X33:Y33,"荻窪ー夜勤")+COUNTIF('11月'!AC33:AD33,"荻窪ー夜勤")+COUNTIF('11月'!AH33:AI33,"荻窪ー夜勤")+COUNTIF('11月'!AM33:AN33,"荻窪ー夜勤")+COUNTIF('11月'!AR33:AS33,"荻窪ー夜勤")+COUNTIF('11月'!AW33:AX33,"荻窪ー夜勤")+COUNTIF('11月'!BB33:BC33,"荻窪ー夜勤")+COUNTIF('11月'!BG33:BH33,"荻窪ー夜勤")+COUNTIF('11月'!BL33:BM33,"荻窪ー夜勤")+COUNTIF('11月'!BQ33:BR33,"荻窪ー夜勤")+COUNTIF('11月'!BV33:BW33,"荻窪ー夜勤")+COUNTIF('11月'!CA33:CB33,"荻窪ー夜勤")+COUNTIF('11月'!CF33:CG33,"荻窪ー夜勤")+COUNTIF('11月'!CK33:CL33,"荻窪ー夜勤")+COUNTIF('11月'!CP33:CQ33,"荻窪ー夜勤")+COUNTIF('11月'!CU33:CV33,"荻窪ー夜勤")+COUNTIF('11月'!CZ33:DA33,"荻窪ー夜勤")+COUNTIF('11月'!DE33:DF33,"荻窪ー夜勤")+COUNTIF('11月'!DJ33:DK33,"荻窪ー夜勤")+COUNTIF('11月'!DO33:DP33,"荻窪ー夜勤")+COUNTIF('11月'!DT33:DU33,"荻窪ー夜勤")+COUNTIF('11月'!DY33:DZ33,"荻窪ー夜勤")+COUNTIF('11月'!ED33:EE33,"荻窪ー夜勤")+COUNTIF('11月'!EI33:EJ33,"荻窪ー夜勤")+COUNTIF('11月'!EN33:EO33,"荻窪ー夜勤")+COUNTIF('11月'!ES33:ET33,"荻窪ー夜勤")</f>
        <v>0</v>
      </c>
      <c r="Q405" s="76">
        <f t="shared" si="127"/>
        <v>0</v>
      </c>
      <c r="R405" s="76">
        <f>COUNTIF('11月'!D33:E33,R$374)+COUNTIF('11月'!I33:J33,R$374)+COUNTIF('11月'!N33:O33,R$374)+COUNTIF('11月'!S33:T33,R$374)+COUNTIF('11月'!X33:Y33,R$374)+COUNTIF('11月'!AC33:AD33,R$374)+COUNTIF('11月'!AH33:AI33,R$374)+COUNTIF('11月'!AM33:AN33,R$374)+COUNTIF('11月'!AR33:AS33,R$374)+COUNTIF('11月'!AW33:AX33,R$374)+COUNTIF('11月'!BB33:BC33,R$374)+COUNTIF('11月'!BG33:BH33,R$374)+COUNTIF('11月'!BL33:BM33,R$374)+COUNTIF('11月'!BQ33:BR33,R$374)+COUNTIF('11月'!BV33:BW33,R$374)+COUNTIF('11月'!CA33:CB33,R$374)+COUNTIF('11月'!CF33:CG33,R$374)+COUNTIF('11月'!CK33:CL33,R$374)+COUNTIF('11月'!CP33:CQ33,R$374)+COUNTIF('11月'!CU33:CV33,R$374)+COUNTIF('11月'!CZ33:DA33,R$374)+COUNTIF('11月'!DE33:DF33,R$374)+COUNTIF('11月'!DJ33:DK33,R$374)+COUNTIF('11月'!DO33:DP33,R$374)+COUNTIF('11月'!DT33:DU33,R$374)+COUNTIF('11月'!DY33:DZ33,R$374)+COUNTIF('11月'!ED33:EE33,R$374)+COUNTIF('11月'!EI33:EJ33,R$374)+COUNTIF('11月'!EN33:EO33,R$374)+COUNTIF('11月'!ES33:ET33,R$374)</f>
        <v>0</v>
      </c>
      <c r="S405" s="76">
        <f t="shared" si="128"/>
        <v>0</v>
      </c>
      <c r="T405" s="76">
        <f>COUNTIF('11月'!D33:E33,T$374)+COUNTIF('11月'!I33:J33,T$374)+COUNTIF('11月'!N33:O33,T$374)+COUNTIF('11月'!S33:T33,T$374)+COUNTIF('11月'!X33:Y33,T$374)+COUNTIF('11月'!AC33:AD33,T$374)+COUNTIF('11月'!AH33:AI33,T$374)+COUNTIF('11月'!AM33:AN33,T$374)+COUNTIF('11月'!AR33:AS33,T$374)+COUNTIF('11月'!AW33:AX33,T$374)+COUNTIF('11月'!BB33:BC33,T$374)+COUNTIF('11月'!BG33:BH33,T$374)+COUNTIF('11月'!BL33:BM33,T$374)+COUNTIF('11月'!BQ33:BR33,T$374)+COUNTIF('11月'!BV33:BW33,T$374)+COUNTIF('11月'!CA33:CB33,T$374)+COUNTIF('11月'!CF33:CG33,T$374)+COUNTIF('11月'!CK33:CL33,T$374)+COUNTIF('11月'!CP33:CQ33,T$374)+COUNTIF('11月'!CU33:CV33,T$374)+COUNTIF('11月'!CZ33:DA33,T$374)+COUNTIF('11月'!DE33:DF33,T$374)+COUNTIF('11月'!DJ33:DK33,T$374)+COUNTIF('11月'!DO33:DP33,T$374)+COUNTIF('11月'!DT33:DU33,T$374)+COUNTIF('11月'!DY33:DZ33,T$374)+COUNTIF('11月'!ED33:EE33,T$374)+COUNTIF('11月'!EI33:EJ33,T$374)+COUNTIF('11月'!EN33:EO33,T$374)+COUNTIF('11月'!ES33:ET33,T$374)</f>
        <v>0</v>
      </c>
      <c r="U405" s="76">
        <f t="shared" si="129"/>
        <v>0</v>
      </c>
      <c r="V405" s="76">
        <f>COUNTIF('11月'!D33:E33,V$374)+COUNTIF('11月'!I33:J33,V$374)+COUNTIF('11月'!N33:O33,V$374)+COUNTIF('11月'!S33:T33,V$374)+COUNTIF('11月'!X33:Y33,V$374)+COUNTIF('11月'!AC33:AD33,V$374)+COUNTIF('11月'!AH33:AI33,V$374)+COUNTIF('11月'!AM33:AN33,V$374)+COUNTIF('11月'!AR33:AS33,V$374)+COUNTIF('11月'!AW33:AX33,V$374)+COUNTIF('11月'!BB33:BC33,V$374)+COUNTIF('11月'!BG33:BH33,V$374)+COUNTIF('11月'!BL33:BM33,V$374)+COUNTIF('11月'!BQ33:BR33,V$374)+COUNTIF('11月'!BV33:BW33,V$374)+COUNTIF('11月'!CA33:CB33,V$374)+COUNTIF('11月'!CF33:CG33,V$374)+COUNTIF('11月'!CK33:CL33,V$374)+COUNTIF('11月'!CP33:CQ33,V$374)+COUNTIF('11月'!CU33:CV33,V$374)+COUNTIF('11月'!CZ33:DA33,V$374)+COUNTIF('11月'!DE33:DF33,V$374)+COUNTIF('11月'!DJ33:DK33,V$374)+COUNTIF('11月'!DO33:DP33,V$374)+COUNTIF('11月'!DT33:DU33,V$374)+COUNTIF('11月'!DY33:DZ33,V$374)+COUNTIF('11月'!ED33:EE33,V$374)+COUNTIF('11月'!EI33:EJ33,V$374)+COUNTIF('11月'!EN33:EO33,V$374)+COUNTIF('11月'!ES33:ET33,V$374)</f>
        <v>0</v>
      </c>
      <c r="W405" s="76">
        <f t="shared" si="130"/>
        <v>0</v>
      </c>
      <c r="X405" s="76">
        <f>COUNTIF('11月'!D33:E33,X$374)+COUNTIF('11月'!I33:J33,X$374)+COUNTIF('11月'!N33:O33,X$374)+COUNTIF('11月'!S33:T33,X$374)+COUNTIF('11月'!X33:Y33,X$374)+COUNTIF('11月'!AC33:AD33,X$374)+COUNTIF('11月'!AH33:AI33,X$374)+COUNTIF('11月'!AM33:AN33,X$374)+COUNTIF('11月'!AR33:AS33,X$374)+COUNTIF('11月'!AW33:AX33,X$374)+COUNTIF('11月'!BB33:BC33,X$374)+COUNTIF('11月'!BG33:BH33,X$374)+COUNTIF('11月'!BL33:BM33,X$374)+COUNTIF('11月'!BQ33:BR33,X$374)+COUNTIF('11月'!BV33:BW33,X$374)+COUNTIF('11月'!CA33:CB33,X$374)+COUNTIF('11月'!CF33:CG33,X$374)+COUNTIF('11月'!CK33:CL33,X$374)+COUNTIF('11月'!CP33:CQ33,X$374)+COUNTIF('11月'!CU33:CV33,X$374)+COUNTIF('11月'!CZ33:DA33,X$374)+COUNTIF('11月'!DE33:DF33,X$374)+COUNTIF('11月'!DJ33:DK33,X$374)+COUNTIF('11月'!DO33:DP33,X$374)+COUNTIF('11月'!DT33:DU33,X$374)+COUNTIF('11月'!DY33:DZ33,X$374)+COUNTIF('11月'!ED33:EE33,X$374)+COUNTIF('11月'!EI33:EJ33,X$374)+COUNTIF('11月'!EN33:EO33,X$374)+COUNTIF('11月'!ES33:ET33,X$374)</f>
        <v>0</v>
      </c>
      <c r="Y405" s="76">
        <f t="shared" si="131"/>
        <v>0</v>
      </c>
    </row>
    <row r="406" spans="1:25" ht="18" customHeight="1">
      <c r="A406" s="76">
        <v>31</v>
      </c>
      <c r="B406" s="76">
        <f>COUNTIF('11月'!D34:E34,B$374)+COUNTIF('11月'!I34:J34,B$374)+COUNTIF('11月'!N34:O34,B$374)+COUNTIF('11月'!S34:T34,B$374)+COUNTIF('11月'!X34:Y34,B$374)+COUNTIF('11月'!AC34:AD34,B$374)+COUNTIF('11月'!AH34:AI34,B$374)+COUNTIF('11月'!AM34:AN34,B$374)+COUNTIF('11月'!AR34:AS34,B$374)+COUNTIF('11月'!AW34:AX34,B$374)+COUNTIF('11月'!BB34:BC34,B$374)+COUNTIF('11月'!BG34:BH34,B$374)+COUNTIF('11月'!BL34:BM34,B$374)+COUNTIF('11月'!BQ34:BR34,B$374)+COUNTIF('11月'!BV34:BW34,B$374)+COUNTIF('11月'!CA34:CB34,B$374)+COUNTIF('11月'!CF34:CG34,B$374)+COUNTIF('11月'!CK34:CL34,B$374)+COUNTIF('11月'!CP34:CQ34,B$374)+COUNTIF('11月'!CU34:CV34,B$374)+COUNTIF('11月'!CZ34:DA34,B$374)+COUNTIF('11月'!DE34:DF34,B$374)+COUNTIF('11月'!DJ34:DK34,B$374)+COUNTIF('11月'!DO34:DP34,B$374)+COUNTIF('11月'!DT34:DU34,B$374)+COUNTIF('11月'!DY34:DZ34,B$374)+COUNTIF('11月'!ED34:EE34,B$374)+COUNTIF('11月'!EI34:EJ34,B$374)+COUNTIF('11月'!EN34:EO34,B$374)+COUNTIF('11月'!ES34:ET34,B$374)</f>
        <v>0</v>
      </c>
      <c r="C406" s="76">
        <f t="shared" si="120"/>
        <v>0</v>
      </c>
      <c r="D406" s="76">
        <f>COUNTIF('11月'!D34:E34,D$374)+COUNTIF('11月'!I34:J34,D$374)+COUNTIF('11月'!N34:O34,D$374)+COUNTIF('11月'!S34:T34,D$374)+COUNTIF('11月'!X34:Y34,D$374)+COUNTIF('11月'!AC34:AD34,D$374)+COUNTIF('11月'!AH34:AI34,D$374)+COUNTIF('11月'!AM34:AN34,D$374)+COUNTIF('11月'!AR34:AS34,D$374)+COUNTIF('11月'!AW34:AX34,D$374)+COUNTIF('11月'!BB34:BC34,D$374)+COUNTIF('11月'!BG34:BH34,D$374)+COUNTIF('11月'!BL34:BM34,D$374)+COUNTIF('11月'!BQ34:BR34,D$374)+COUNTIF('11月'!BV34:BW34,D$374)+COUNTIF('11月'!CA34:CB34,D$374)+COUNTIF('11月'!CF34:CG34,D$374)+COUNTIF('11月'!CK34:CL34,D$374)+COUNTIF('11月'!CP34:CQ34,D$374)+COUNTIF('11月'!CU34:CV34,D$374)+COUNTIF('11月'!CZ34:DA34,D$374)+COUNTIF('11月'!DE34:DF34,D$374)+COUNTIF('11月'!DJ34:DK34,D$374)+COUNTIF('11月'!DO34:DP34,D$374)+COUNTIF('11月'!DT34:DU34,D$374)+COUNTIF('11月'!DY34:DZ34,D$374)+COUNTIF('11月'!ED34:EE34,D$374)+COUNTIF('11月'!EI34:EJ34,D$374)+COUNTIF('11月'!EN34:EO34,D$374)+COUNTIF('11月'!ES34:ET34,D$374)</f>
        <v>0</v>
      </c>
      <c r="E406" s="76">
        <f t="shared" si="121"/>
        <v>0</v>
      </c>
      <c r="F406" s="76">
        <f>COUNTIF('11月'!D34:E34,F$374)+COUNTIF('11月'!I34:J34,F$374)+COUNTIF('11月'!N34:O34,F$374)+COUNTIF('11月'!S34:T34,F$374)+COUNTIF('11月'!X34:Y34,F$374)+COUNTIF('11月'!AC34:AD34,F$374)+COUNTIF('11月'!AH34:AI34,F$374)+COUNTIF('11月'!AM34:AN34,F$374)+COUNTIF('11月'!AR34:AS34,F$374)+COUNTIF('11月'!AW34:AX34,F$374)+COUNTIF('11月'!BB34:BC34,F$374)+COUNTIF('11月'!BG34:BH34,F$374)+COUNTIF('11月'!BL34:BM34,F$374)+COUNTIF('11月'!BQ34:BR34,F$374)+COUNTIF('11月'!BV34:BW34,F$374)+COUNTIF('11月'!CA34:CB34,F$374)+COUNTIF('11月'!CF34:CG34,F$374)+COUNTIF('11月'!CK34:CL34,F$374)+COUNTIF('11月'!CP34:CQ34,F$374)+COUNTIF('11月'!CU34:CV34,F$374)+COUNTIF('11月'!CZ34:DA34,F$374)+COUNTIF('11月'!DE34:DF34,F$374)+COUNTIF('11月'!DJ34:DK34,F$374)+COUNTIF('11月'!DO34:DP34,F$374)+COUNTIF('11月'!DT34:DU34,F$374)+COUNTIF('11月'!DY34:DZ34,F$374)+COUNTIF('11月'!ED34:EE34,F$374)+COUNTIF('11月'!EI34:EJ34,F$374)+COUNTIF('11月'!EN34:EO34,F$374)+COUNTIF('11月'!ES34:ET34,F$374)</f>
        <v>0</v>
      </c>
      <c r="G406" s="76">
        <f t="shared" si="122"/>
        <v>0</v>
      </c>
      <c r="H406" s="76">
        <f>COUNTIF('11月'!D34:E34,H$374)+COUNTIF('11月'!I34:J34,H$374)+COUNTIF('11月'!N34:O34,H$374)+COUNTIF('11月'!S34:T34,H$374)+COUNTIF('11月'!X34:Y34,H$374)+COUNTIF('11月'!AC34:AD34,H$374)+COUNTIF('11月'!AH34:AI34,H$374)+COUNTIF('11月'!AM34:AN34,H$374)+COUNTIF('11月'!AR34:AS34,H$374)+COUNTIF('11月'!AW34:AX34,H$374)+COUNTIF('11月'!BB34:BC34,H$374)+COUNTIF('11月'!BG34:BH34,H$374)+COUNTIF('11月'!BL34:BM34,H$374)+COUNTIF('11月'!BQ34:BR34,H$374)+COUNTIF('11月'!BV34:BW34,H$374)+COUNTIF('11月'!CA34:CB34,H$374)+COUNTIF('11月'!CF34:CG34,H$374)+COUNTIF('11月'!CK34:CL34,H$374)+COUNTIF('11月'!CP34:CQ34,H$374)+COUNTIF('11月'!CU34:CV34,H$374)+COUNTIF('11月'!CZ34:DA34,H$374)+COUNTIF('11月'!DE34:DF34,H$374)+COUNTIF('11月'!DJ34:DK34,H$374)+COUNTIF('11月'!DO34:DP34,H$374)+COUNTIF('11月'!DT34:DU34,H$374)+COUNTIF('11月'!DY34:DZ34,H$374)+COUNTIF('11月'!ED34:EE34,H$374)+COUNTIF('11月'!EI34:EJ34,H$374)+COUNTIF('11月'!EN34:EO34,H$374)+COUNTIF('11月'!ES34:ET34,H$374)+COUNTIF('11月'!D34:E34,"渋谷-夜勤")+COUNTIF('11月'!I34:J34,"渋谷-夜勤")+COUNTIF('11月'!N34:O34,"渋谷-夜勤")+COUNTIF('11月'!S34:T34,"渋谷-夜勤")+COUNTIF('11月'!X34:Y34,"渋谷-夜勤")+COUNTIF('11月'!AC34:AD34,"渋谷-夜勤")+COUNTIF('11月'!AH34:AI34,"渋谷-夜勤")+COUNTIF('11月'!AM34:AN34,"渋谷-夜勤")+COUNTIF('11月'!AR34:AS34,"渋谷-夜勤")+COUNTIF('11月'!AW34:AX34,"渋谷-夜勤")+COUNTIF('11月'!BB34:BC34,"渋谷-夜勤")+COUNTIF('11月'!BG34:BH34,"渋谷-夜勤")+COUNTIF('11月'!BL34:BM34,"渋谷-夜勤")+COUNTIF('11月'!BQ34:BR34,"渋谷-夜勤")+COUNTIF('11月'!BV34:BW34,"渋谷-夜勤")+COUNTIF('11月'!CA34:CB34,"渋谷-夜勤")+COUNTIF('11月'!CF34:CG34,"渋谷-夜勤")+COUNTIF('11月'!CK34:CL34,"渋谷-夜勤")+COUNTIF('11月'!CP34:CQ34,"渋谷-夜勤")+COUNTIF('11月'!CU34:CV34,"渋谷-夜勤")+COUNTIF('11月'!CZ34:DA34,"渋谷-夜勤")+COUNTIF('11月'!DE34:DF34,"渋谷-夜勤")+COUNTIF('11月'!DJ34:DK34,"渋谷-夜勤")+COUNTIF('11月'!DO34:DP34,"渋谷-夜勤")+COUNTIF('11月'!DT34:DU34,"渋谷-夜勤")+COUNTIF('11月'!DY34:DZ34,"渋谷-夜勤")+COUNTIF('11月'!ED34:EE34,"渋谷-夜勤")+COUNTIF('11月'!EI34:EJ34,"渋谷-夜勤")+COUNTIF('11月'!EN34:EO34,"渋谷-夜勤")+COUNTIF('11月'!ES34:ET34,"渋谷-夜勤")</f>
        <v>0</v>
      </c>
      <c r="I406" s="76">
        <f t="shared" si="123"/>
        <v>0</v>
      </c>
      <c r="J406" s="76">
        <f>COUNTIF('11月'!D34:E34,J$374)+COUNTIF('11月'!I34:J34,J$374)+COUNTIF('11月'!N34:O34,J$374)+COUNTIF('11月'!S34:T34,J$374)+COUNTIF('11月'!X34:Y34,J$374)+COUNTIF('11月'!AC34:AD34,J$374)+COUNTIF('11月'!AH34:AI34,J$374)+COUNTIF('11月'!AM34:AN34,J$374)+COUNTIF('11月'!AR34:AS34,J$374)+COUNTIF('11月'!AW34:AX34,J$374)+COUNTIF('11月'!BB34:BC34,J$374)+COUNTIF('11月'!BG34:BH34,J$374)+COUNTIF('11月'!BL34:BM34,J$374)+COUNTIF('11月'!BQ34:BR34,J$374)+COUNTIF('11月'!BV34:BW34,J$374)+COUNTIF('11月'!CA34:CB34,J$374)+COUNTIF('11月'!CF34:CG34,J$374)+COUNTIF('11月'!CK34:CL34,J$374)+COUNTIF('11月'!CP34:CQ34,J$374)+COUNTIF('11月'!CU34:CV34,J$374)+COUNTIF('11月'!CZ34:DA34,J$374)+COUNTIF('11月'!DE34:DF34,J$374)+COUNTIF('11月'!DJ34:DK34,J$374)+COUNTIF('11月'!DO34:DP34,J$374)+COUNTIF('11月'!DT34:DU34,J$374)+COUNTIF('11月'!DY34:DZ34,J$374)+COUNTIF('11月'!ED34:EE34,J$374)+COUNTIF('11月'!EI34:EJ34,J$374)+COUNTIF('11月'!EN34:EO34,J$374)+COUNTIF('11月'!ES34:ET34,J$374)+COUNTIF('11月'!D34:E34,"六本木-夜勤")+COUNTIF('11月'!I34:J34,"六本木-夜勤")+COUNTIF('11月'!N34:O34,"六本木-夜勤")+COUNTIF('11月'!S34:T34,"六本木-夜勤")+COUNTIF('11月'!X34:Y34,"六本木-夜勤")+COUNTIF('11月'!AC34:AD34,"六本木-夜勤")+COUNTIF('11月'!AH34:AI34,"六本木-夜勤")+COUNTIF('11月'!AM34:AN34,"六本木-夜勤")+COUNTIF('11月'!AR34:AS34,"六本木-夜勤")+COUNTIF('11月'!AW34:AX34,"六本木-夜勤")+COUNTIF('11月'!BB34:BC34,"六本木-夜勤")+COUNTIF('11月'!BG34:BH34,"六本木-夜勤")+COUNTIF('11月'!BL34:BM34,"六本木-夜勤")+COUNTIF('11月'!BQ34:BR34,"六本木-夜勤")+COUNTIF('11月'!BV34:BW34,"六本木-夜勤")+COUNTIF('11月'!CA34:CB34,"六本木-夜勤")+COUNTIF('11月'!CF34:CG34,"六本木-夜勤")+COUNTIF('11月'!CK34:CL34,"六本木-夜勤")+COUNTIF('11月'!CP34:CQ34,"六本木-夜勤")+COUNTIF('11月'!CU34:CV34,"六本木-夜勤")+COUNTIF('11月'!CZ34:DA34,"六本木-夜勤")+COUNTIF('11月'!DE34:DF34,"六本木-夜勤")+COUNTIF('11月'!DJ34:DK34,"六本木-夜勤")+COUNTIF('11月'!DO34:DP34,"六本木-夜勤")+COUNTIF('11月'!DT34:DU34,"六本木-夜勤")+COUNTIF('11月'!DY34:DZ34,"六本木-夜勤")+COUNTIF('11月'!ED34:EE34,"六本木-夜勤")+COUNTIF('11月'!EI34:EJ34,"六本木-夜勤")+COUNTIF('11月'!EN34:EO34,"六本木-夜勤")+COUNTIF('11月'!ES34:ET34,"六本木-夜勤")+COUNTIF('11月'!D34:E34,"六本木ー夜勤")+COUNTIF('11月'!I34:J34,"六本木ー夜勤")+COUNTIF('11月'!N34:O34,"六本木ー夜勤")+COUNTIF('11月'!S34:T34,"六本木ー夜勤")+COUNTIF('11月'!X34:Y34,"六本木ー夜勤")+COUNTIF('11月'!AC34:AD34,"六本木ー夜勤")+COUNTIF('11月'!AH34:AI34,"六本木ー夜勤")+COUNTIF('11月'!AM34:AN34,"六本木ー夜勤")+COUNTIF('11月'!AR34:AS34,"六本木ー夜勤")+COUNTIF('11月'!AW34:AX34,"六本木ー夜勤")+COUNTIF('11月'!BB34:BC34,"六本木ー夜勤")+COUNTIF('11月'!BG34:BH34,"六本木ー夜勤")+COUNTIF('11月'!BL34:BM34,"六本木ー夜勤")+COUNTIF('11月'!BQ34:BR34,"六本木ー夜勤")+COUNTIF('11月'!BV34:BW34,"六本木ー夜勤")+COUNTIF('11月'!CA34:CB34,"六本木ー夜勤")+COUNTIF('11月'!CF34:CG34,"六本木ー夜勤")+COUNTIF('11月'!CK34:CL34,"六本木ー夜勤")+COUNTIF('11月'!CP34:CQ34,"六本木ー夜勤")+COUNTIF('11月'!CU34:CV34,"六本木ー夜勤")+COUNTIF('11月'!CZ34:DA34,"六本木ー夜勤")+COUNTIF('11月'!DE34:DF34,"六本木ー夜勤")+COUNTIF('11月'!DJ34:DK34,"六本木ー夜勤")+COUNTIF('11月'!DO34:DP34,"六本木ー夜勤")+COUNTIF('11月'!DT34:DU34,"六本木ー夜勤")+COUNTIF('11月'!DY34:DZ34,"六本木ー夜勤")+COUNTIF('11月'!ED34:EE34,"六本木ー夜勤")+COUNTIF('11月'!EI34:EJ34,"六本木ー夜勤")+COUNTIF('11月'!EN34:EO34,"六本木ー夜勤")+COUNTIF('11月'!ES34:ET34,"六本木ー夜勤")</f>
        <v>0</v>
      </c>
      <c r="K406" s="76">
        <f t="shared" si="124"/>
        <v>0</v>
      </c>
      <c r="L406" s="76">
        <f>COUNTIF('11月'!D34:E34,L$374)+COUNTIF('11月'!I34:J34,L$374)+COUNTIF('11月'!N34:O34,L$374)+COUNTIF('11月'!S34:T34,L$374)+COUNTIF('11月'!X34:Y34,L$374)+COUNTIF('11月'!AC34:AD34,L$374)+COUNTIF('11月'!AH34:AI34,L$374)+COUNTIF('11月'!AM34:AN34,L$374)+COUNTIF('11月'!AR34:AS34,L$374)+COUNTIF('11月'!AW34:AX34,L$374)+COUNTIF('11月'!BB34:BC34,L$374)+COUNTIF('11月'!BG34:BH34,L$374)+COUNTIF('11月'!BL34:BM34,L$374)+COUNTIF('11月'!BQ34:BR34,L$374)+COUNTIF('11月'!BV34:BW34,L$374)+COUNTIF('11月'!CA34:CB34,L$374)+COUNTIF('11月'!CF34:CG34,L$374)+COUNTIF('11月'!CK34:CL34,L$374)+COUNTIF('11月'!CP34:CQ34,L$374)+COUNTIF('11月'!CU34:CV34,L$374)+COUNTIF('11月'!CZ34:DA34,L$374)+COUNTIF('11月'!DE34:DF34,L$374)+COUNTIF('11月'!DJ34:DK34,L$374)+COUNTIF('11月'!DO34:DP34,L$374)+COUNTIF('11月'!DT34:DU34,L$374)+COUNTIF('11月'!DY34:DZ34,L$374)+COUNTIF('11月'!ED34:EE34,L$374)+COUNTIF('11月'!EI34:EJ34,L$374)+COUNTIF('11月'!EN34:EO34,L$374)+COUNTIF('11月'!ES34:ET34,L$374)</f>
        <v>0</v>
      </c>
      <c r="M406" s="76">
        <f t="shared" si="125"/>
        <v>0</v>
      </c>
      <c r="N406" s="76">
        <f>COUNTIF('11月'!D34:E34,N$374)+COUNTIF('11月'!I34:J34,N$374)+COUNTIF('11月'!N34:O34,N$374)+COUNTIF('11月'!S34:T34,N$374)+COUNTIF('11月'!X34:Y34,N$374)+COUNTIF('11月'!AC34:AD34,N$374)+COUNTIF('11月'!AH34:AI34,N$374)+COUNTIF('11月'!AM34:AN34,N$374)+COUNTIF('11月'!AR34:AS34,N$374)+COUNTIF('11月'!AW34:AX34,N$374)+COUNTIF('11月'!BB34:BC34,N$374)+COUNTIF('11月'!BG34:BH34,N$374)+COUNTIF('11月'!BL34:BM34,N$374)+COUNTIF('11月'!BQ34:BR34,N$374)+COUNTIF('11月'!BV34:BW34,N$374)+COUNTIF('11月'!CA34:CB34,N$374)+COUNTIF('11月'!CF34:CG34,N$374)+COUNTIF('11月'!CK34:CL34,N$374)+COUNTIF('11月'!CP34:CQ34,N$374)+COUNTIF('11月'!CU34:CV34,N$374)+COUNTIF('11月'!CZ34:DA34,N$374)+COUNTIF('11月'!DE34:DF34,N$374)+COUNTIF('11月'!DJ34:DK34,N$374)+COUNTIF('11月'!DO34:DP34,N$374)+COUNTIF('11月'!DT34:DU34,N$374)+COUNTIF('11月'!DY34:DZ34,N$374)+COUNTIF('11月'!ED34:EE34,N$374)+COUNTIF('11月'!EI34:EJ34,N$374)+COUNTIF('11月'!EN34:EO34,N$374)+COUNTIF('11月'!ES34:ET34,N$374)+COUNTIF('11月'!D34:E34,"三軒茶屋－夜勤")+COUNTIF('11月'!I34:J34,"三軒茶屋－夜勤")+COUNTIF('11月'!N34:O34,"三軒茶屋－夜勤")+COUNTIF('11月'!S34:T34,"三軒茶屋－夜勤")+COUNTIF('11月'!X34:Y34,"三軒茶屋－夜勤")+COUNTIF('11月'!AC34:AD34,"三軒茶屋－夜勤")+COUNTIF('11月'!AH34:AI34,"三軒茶屋－夜勤")+COUNTIF('11月'!AM34:AN34,"三軒茶屋－夜勤")+COUNTIF('11月'!AR34:AS34,"三軒茶屋－夜勤")+COUNTIF('11月'!AW34:AX34,"三軒茶屋－夜勤")+COUNTIF('11月'!BB34:BC34,"三軒茶屋－夜勤")+COUNTIF('11月'!BG34:BH34,"三軒茶屋－夜勤")+COUNTIF('11月'!BL34:BM34,"三軒茶屋－夜勤")+COUNTIF('11月'!BQ34:BR34,"三軒茶屋－夜勤")+COUNTIF('11月'!BV34:BW34,"三軒茶屋－夜勤")+COUNTIF('11月'!CA34:CB34,"三軒茶屋－夜勤")+COUNTIF('11月'!CF34:CG34,"三軒茶屋－夜勤")+COUNTIF('11月'!CK34:CL34,"三軒茶屋－夜勤")+COUNTIF('11月'!CP34:CQ34,"三軒茶屋－夜勤")+COUNTIF('11月'!CU34:CV34,"三軒茶屋－夜勤")+COUNTIF('11月'!CZ34:DA34,"三軒茶屋－夜勤")+COUNTIF('11月'!DE34:DF34,"三軒茶屋－夜勤")+COUNTIF('11月'!DJ34:DK34,"三軒茶屋－夜勤")+COUNTIF('11月'!DO34:DP34,"三軒茶屋－夜勤")+COUNTIF('11月'!DT34:DU34,"三軒茶屋－夜勤")+COUNTIF('11月'!DY34:DZ34,"三軒茶屋－夜勤")+COUNTIF('11月'!ED34:EE34,"三軒茶屋－夜勤")+COUNTIF('11月'!EI34:EJ34,"三軒茶屋－夜勤")+COUNTIF('11月'!EN34:EO34,"三軒茶屋－夜勤")+COUNTIF('11月'!ES34:ET34,"三軒茶屋－夜勤")</f>
        <v>0</v>
      </c>
      <c r="O406" s="76">
        <f t="shared" si="126"/>
        <v>0</v>
      </c>
      <c r="P406" s="76">
        <f>COUNTIF('11月'!D34:E34,P$374)+COUNTIF('11月'!I34:J34,P$374)+COUNTIF('11月'!N34:O34,P$374)+COUNTIF('11月'!S34:T34,P$374)+COUNTIF('11月'!X34:Y34,P$374)+COUNTIF('11月'!AC34:AD34,P$374)+COUNTIF('11月'!AH34:AI34,P$374)+COUNTIF('11月'!AM34:AN34,P$374)+COUNTIF('11月'!AR34:AS34,P$374)+COUNTIF('11月'!AW34:AX34,P$374)+COUNTIF('11月'!BB34:BC34,P$374)+COUNTIF('11月'!BG34:BH34,P$374)+COUNTIF('11月'!BL34:BM34,P$374)+COUNTIF('11月'!BQ34:BR34,P$374)+COUNTIF('11月'!BV34:BW34,P$374)+COUNTIF('11月'!CA34:CB34,P$374)+COUNTIF('11月'!CF34:CG34,P$374)+COUNTIF('11月'!CK34:CL34,P$374)+COUNTIF('11月'!CP34:CQ34,P$374)+COUNTIF('11月'!CU34:CV34,P$374)+COUNTIF('11月'!CZ34:DA34,P$374)+COUNTIF('11月'!DE34:DF34,P$374)+COUNTIF('11月'!DJ34:DK34,P$374)+COUNTIF('11月'!DO34:DP34,P$374)+COUNTIF('11月'!DT34:DU34,P$374)+COUNTIF('11月'!DY34:DZ34,P$374)+COUNTIF('11月'!ED34:EE34,P$374)+COUNTIF('11月'!EI34:EJ34,P$374)+COUNTIF('11月'!EN34:EO34,P$374)+COUNTIF('11月'!ES34:ET34,P$374)+COUNTIF('11月'!D34:E34,"荻窪ー夜勤")+COUNTIF('11月'!I34:J34,"荻窪ー夜勤")+COUNTIF('11月'!N34:O34,"荻窪ー夜勤")+COUNTIF('11月'!S34:T34,"荻窪ー夜勤")+COUNTIF('11月'!X34:Y34,"荻窪ー夜勤")+COUNTIF('11月'!AC34:AD34,"荻窪ー夜勤")+COUNTIF('11月'!AH34:AI34,"荻窪ー夜勤")+COUNTIF('11月'!AM34:AN34,"荻窪ー夜勤")+COUNTIF('11月'!AR34:AS34,"荻窪ー夜勤")+COUNTIF('11月'!AW34:AX34,"荻窪ー夜勤")+COUNTIF('11月'!BB34:BC34,"荻窪ー夜勤")+COUNTIF('11月'!BG34:BH34,"荻窪ー夜勤")+COUNTIF('11月'!BL34:BM34,"荻窪ー夜勤")+COUNTIF('11月'!BQ34:BR34,"荻窪ー夜勤")+COUNTIF('11月'!BV34:BW34,"荻窪ー夜勤")+COUNTIF('11月'!CA34:CB34,"荻窪ー夜勤")+COUNTIF('11月'!CF34:CG34,"荻窪ー夜勤")+COUNTIF('11月'!CK34:CL34,"荻窪ー夜勤")+COUNTIF('11月'!CP34:CQ34,"荻窪ー夜勤")+COUNTIF('11月'!CU34:CV34,"荻窪ー夜勤")+COUNTIF('11月'!CZ34:DA34,"荻窪ー夜勤")+COUNTIF('11月'!DE34:DF34,"荻窪ー夜勤")+COUNTIF('11月'!DJ34:DK34,"荻窪ー夜勤")+COUNTIF('11月'!DO34:DP34,"荻窪ー夜勤")+COUNTIF('11月'!DT34:DU34,"荻窪ー夜勤")+COUNTIF('11月'!DY34:DZ34,"荻窪ー夜勤")+COUNTIF('11月'!ED34:EE34,"荻窪ー夜勤")+COUNTIF('11月'!EI34:EJ34,"荻窪ー夜勤")+COUNTIF('11月'!EN34:EO34,"荻窪ー夜勤")+COUNTIF('11月'!ES34:ET34,"荻窪ー夜勤")</f>
        <v>0</v>
      </c>
      <c r="Q406" s="76">
        <f t="shared" si="127"/>
        <v>0</v>
      </c>
      <c r="R406" s="76">
        <f>COUNTIF('11月'!D34:E34,R$374)+COUNTIF('11月'!I34:J34,R$374)+COUNTIF('11月'!N34:O34,R$374)+COUNTIF('11月'!S34:T34,R$374)+COUNTIF('11月'!X34:Y34,R$374)+COUNTIF('11月'!AC34:AD34,R$374)+COUNTIF('11月'!AH34:AI34,R$374)+COUNTIF('11月'!AM34:AN34,R$374)+COUNTIF('11月'!AR34:AS34,R$374)+COUNTIF('11月'!AW34:AX34,R$374)+COUNTIF('11月'!BB34:BC34,R$374)+COUNTIF('11月'!BG34:BH34,R$374)+COUNTIF('11月'!BL34:BM34,R$374)+COUNTIF('11月'!BQ34:BR34,R$374)+COUNTIF('11月'!BV34:BW34,R$374)+COUNTIF('11月'!CA34:CB34,R$374)+COUNTIF('11月'!CF34:CG34,R$374)+COUNTIF('11月'!CK34:CL34,R$374)+COUNTIF('11月'!CP34:CQ34,R$374)+COUNTIF('11月'!CU34:CV34,R$374)+COUNTIF('11月'!CZ34:DA34,R$374)+COUNTIF('11月'!DE34:DF34,R$374)+COUNTIF('11月'!DJ34:DK34,R$374)+COUNTIF('11月'!DO34:DP34,R$374)+COUNTIF('11月'!DT34:DU34,R$374)+COUNTIF('11月'!DY34:DZ34,R$374)+COUNTIF('11月'!ED34:EE34,R$374)+COUNTIF('11月'!EI34:EJ34,R$374)+COUNTIF('11月'!EN34:EO34,R$374)+COUNTIF('11月'!ES34:ET34,R$374)</f>
        <v>0</v>
      </c>
      <c r="S406" s="76">
        <f t="shared" si="128"/>
        <v>0</v>
      </c>
      <c r="T406" s="76">
        <f>COUNTIF('11月'!D34:E34,T$374)+COUNTIF('11月'!I34:J34,T$374)+COUNTIF('11月'!N34:O34,T$374)+COUNTIF('11月'!S34:T34,T$374)+COUNTIF('11月'!X34:Y34,T$374)+COUNTIF('11月'!AC34:AD34,T$374)+COUNTIF('11月'!AH34:AI34,T$374)+COUNTIF('11月'!AM34:AN34,T$374)+COUNTIF('11月'!AR34:AS34,T$374)+COUNTIF('11月'!AW34:AX34,T$374)+COUNTIF('11月'!BB34:BC34,T$374)+COUNTIF('11月'!BG34:BH34,T$374)+COUNTIF('11月'!BL34:BM34,T$374)+COUNTIF('11月'!BQ34:BR34,T$374)+COUNTIF('11月'!BV34:BW34,T$374)+COUNTIF('11月'!CA34:CB34,T$374)+COUNTIF('11月'!CF34:CG34,T$374)+COUNTIF('11月'!CK34:CL34,T$374)+COUNTIF('11月'!CP34:CQ34,T$374)+COUNTIF('11月'!CU34:CV34,T$374)+COUNTIF('11月'!CZ34:DA34,T$374)+COUNTIF('11月'!DE34:DF34,T$374)+COUNTIF('11月'!DJ34:DK34,T$374)+COUNTIF('11月'!DO34:DP34,T$374)+COUNTIF('11月'!DT34:DU34,T$374)+COUNTIF('11月'!DY34:DZ34,T$374)+COUNTIF('11月'!ED34:EE34,T$374)+COUNTIF('11月'!EI34:EJ34,T$374)+COUNTIF('11月'!EN34:EO34,T$374)+COUNTIF('11月'!ES34:ET34,T$374)</f>
        <v>0</v>
      </c>
      <c r="U406" s="76">
        <f t="shared" si="129"/>
        <v>0</v>
      </c>
      <c r="V406" s="76">
        <f>COUNTIF('11月'!D34:E34,V$374)+COUNTIF('11月'!I34:J34,V$374)+COUNTIF('11月'!N34:O34,V$374)+COUNTIF('11月'!S34:T34,V$374)+COUNTIF('11月'!X34:Y34,V$374)+COUNTIF('11月'!AC34:AD34,V$374)+COUNTIF('11月'!AH34:AI34,V$374)+COUNTIF('11月'!AM34:AN34,V$374)+COUNTIF('11月'!AR34:AS34,V$374)+COUNTIF('11月'!AW34:AX34,V$374)+COUNTIF('11月'!BB34:BC34,V$374)+COUNTIF('11月'!BG34:BH34,V$374)+COUNTIF('11月'!BL34:BM34,V$374)+COUNTIF('11月'!BQ34:BR34,V$374)+COUNTIF('11月'!BV34:BW34,V$374)+COUNTIF('11月'!CA34:CB34,V$374)+COUNTIF('11月'!CF34:CG34,V$374)+COUNTIF('11月'!CK34:CL34,V$374)+COUNTIF('11月'!CP34:CQ34,V$374)+COUNTIF('11月'!CU34:CV34,V$374)+COUNTIF('11月'!CZ34:DA34,V$374)+COUNTIF('11月'!DE34:DF34,V$374)+COUNTIF('11月'!DJ34:DK34,V$374)+COUNTIF('11月'!DO34:DP34,V$374)+COUNTIF('11月'!DT34:DU34,V$374)+COUNTIF('11月'!DY34:DZ34,V$374)+COUNTIF('11月'!ED34:EE34,V$374)+COUNTIF('11月'!EI34:EJ34,V$374)+COUNTIF('11月'!EN34:EO34,V$374)+COUNTIF('11月'!ES34:ET34,V$374)</f>
        <v>0</v>
      </c>
      <c r="W406" s="76">
        <f t="shared" si="130"/>
        <v>0</v>
      </c>
      <c r="X406" s="76">
        <f>COUNTIF('11月'!D34:E34,X$374)+COUNTIF('11月'!I34:J34,X$374)+COUNTIF('11月'!N34:O34,X$374)+COUNTIF('11月'!S34:T34,X$374)+COUNTIF('11月'!X34:Y34,X$374)+COUNTIF('11月'!AC34:AD34,X$374)+COUNTIF('11月'!AH34:AI34,X$374)+COUNTIF('11月'!AM34:AN34,X$374)+COUNTIF('11月'!AR34:AS34,X$374)+COUNTIF('11月'!AW34:AX34,X$374)+COUNTIF('11月'!BB34:BC34,X$374)+COUNTIF('11月'!BG34:BH34,X$374)+COUNTIF('11月'!BL34:BM34,X$374)+COUNTIF('11月'!BQ34:BR34,X$374)+COUNTIF('11月'!BV34:BW34,X$374)+COUNTIF('11月'!CA34:CB34,X$374)+COUNTIF('11月'!CF34:CG34,X$374)+COUNTIF('11月'!CK34:CL34,X$374)+COUNTIF('11月'!CP34:CQ34,X$374)+COUNTIF('11月'!CU34:CV34,X$374)+COUNTIF('11月'!CZ34:DA34,X$374)+COUNTIF('11月'!DE34:DF34,X$374)+COUNTIF('11月'!DJ34:DK34,X$374)+COUNTIF('11月'!DO34:DP34,X$374)+COUNTIF('11月'!DT34:DU34,X$374)+COUNTIF('11月'!DY34:DZ34,X$374)+COUNTIF('11月'!ED34:EE34,X$374)+COUNTIF('11月'!EI34:EJ34,X$374)+COUNTIF('11月'!EN34:EO34,X$374)+COUNTIF('11月'!ES34:ET34,X$374)</f>
        <v>0</v>
      </c>
      <c r="Y406" s="76">
        <f t="shared" si="131"/>
        <v>0</v>
      </c>
    </row>
    <row r="407" spans="1:25" ht="21.95" customHeight="1">
      <c r="A407" s="65" t="s">
        <v>116</v>
      </c>
      <c r="B407" s="65">
        <f>SUM(B376:B406)</f>
        <v>0</v>
      </c>
      <c r="C407" s="65"/>
      <c r="D407" s="65">
        <f>SUM(D376:D406)</f>
        <v>0</v>
      </c>
      <c r="E407" s="65"/>
      <c r="F407" s="65">
        <f>SUM(F376:F406)</f>
        <v>0</v>
      </c>
      <c r="G407" s="65"/>
      <c r="H407" s="65">
        <f>SUM(H376:H406)</f>
        <v>0</v>
      </c>
      <c r="I407" s="65"/>
      <c r="J407" s="65">
        <f>SUM(J376:J406)</f>
        <v>0</v>
      </c>
      <c r="K407" s="65"/>
      <c r="L407" s="65">
        <f>SUM(L376:L406)</f>
        <v>0</v>
      </c>
      <c r="M407" s="65"/>
      <c r="N407" s="65">
        <f>SUM(N376:N406)</f>
        <v>0</v>
      </c>
      <c r="O407" s="65"/>
      <c r="P407" s="65">
        <f>SUM(P376:P406)</f>
        <v>0</v>
      </c>
      <c r="Q407" s="65"/>
      <c r="R407" s="65">
        <f>SUM(R376:R406)</f>
        <v>0</v>
      </c>
      <c r="S407" s="65"/>
      <c r="T407" s="65">
        <f>SUM(T376:T406)</f>
        <v>0</v>
      </c>
      <c r="U407" s="65"/>
      <c r="V407" s="65">
        <f>SUM(V376:V406)</f>
        <v>0</v>
      </c>
      <c r="W407" s="65"/>
      <c r="X407" s="65">
        <f>SUM(X376:X406)</f>
        <v>0</v>
      </c>
      <c r="Y407" s="65"/>
    </row>
    <row r="408" spans="1:25" ht="21.95" customHeight="1">
      <c r="A408" s="65" t="s">
        <v>117</v>
      </c>
      <c r="B408" s="65">
        <f>SUM('11月'!H4:H34)+SUM('11月'!M4:M34)+SUM('11月'!R4:R34)+SUM('11月'!W4:W34)+SUM('11月'!AB4:AB34)+SUM('11月'!AG4:AG34)+SUM('11月'!AL4:AL34)+SUM('11月'!AQ4:AQ34)+SUM('11月'!AV4:AV34)+SUM('11月'!BA4:BA34)+SUM('11月'!BF4:BF34)+SUM('11月'!BK4:BK34)+SUM('11月'!BP4:BP34)+SUM('11月'!BU4:BU34)+SUM('11月'!BZ4:BZ34)+SUM('11月'!CE4:CE34)+SUM('11月'!CJ4:CJ34)+SUM('11月'!CO4:CO34)+SUM('11月'!CT4:CT34)+SUM('11月'!CY4:CY34)+SUM('11月'!DD4:DD34)+SUM('11月'!DI4:DI34)+SUM('11月'!DN4:DN34)+SUM('11月'!DS4:DS34)+SUM('11月'!DX4:DX34)+SUM('11月'!EC4:EC34)+SUM('11月'!EH4:EH34)+SUM('11月'!EM4:EM34)+SUM('11月'!ER4:ER34)+SUM('11月'!EW4:EW34)</f>
        <v>0</v>
      </c>
      <c r="C408" s="127" t="s">
        <v>118</v>
      </c>
      <c r="D408" s="127"/>
      <c r="E408" s="127"/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</row>
    <row r="409" spans="1:25" ht="9.9499999999999993" customHeight="1"/>
    <row r="410" spans="1:25" ht="21.95" customHeight="1">
      <c r="A410" s="112" t="str">
        <f>対象年度&amp;"年 12月分  30日締め"</f>
        <v>2026年 12月分  30日締め</v>
      </c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</row>
    <row r="411" spans="1:25" ht="21.95" customHeight="1">
      <c r="A411" s="60" t="s">
        <v>113</v>
      </c>
      <c r="B411" s="123" t="str">
        <f>IFERROR(現場マスタ!$C$4,"")</f>
        <v>新宿</v>
      </c>
      <c r="C411" s="123"/>
      <c r="D411" s="123" t="str">
        <f>IFERROR(現場マスタ!$C$5,"")</f>
        <v>赤坂</v>
      </c>
      <c r="E411" s="123"/>
      <c r="F411" s="123" t="str">
        <f>IFERROR(現場マスタ!$C$6,"")</f>
        <v>渋谷ヒカリエ</v>
      </c>
      <c r="G411" s="123"/>
      <c r="H411" s="123" t="str">
        <f>IFERROR(現場マスタ!$C$7,"")</f>
        <v>六本木ヒルズ</v>
      </c>
      <c r="I411" s="123"/>
      <c r="J411" s="123" t="str">
        <f>IFERROR(現場マスタ!$C$10,"")</f>
        <v>有給</v>
      </c>
      <c r="K411" s="123"/>
      <c r="L411" s="123">
        <f>IFERROR(現場マスタ!$C$12,"")</f>
        <v>0</v>
      </c>
      <c r="M411" s="123"/>
      <c r="N411" s="123">
        <f>IFERROR(現場マスタ!$C$16,"")</f>
        <v>0</v>
      </c>
      <c r="O411" s="123"/>
      <c r="P411" s="123">
        <f>IFERROR(現場マスタ!$C$17,"")</f>
        <v>0</v>
      </c>
      <c r="Q411" s="123"/>
      <c r="R411" s="123">
        <f>IFERROR(現場マスタ!$C$18,"")</f>
        <v>0</v>
      </c>
      <c r="S411" s="123"/>
      <c r="T411" s="123">
        <f>IFERROR(現場マスタ!$C$20,"")</f>
        <v>0</v>
      </c>
      <c r="U411" s="123"/>
      <c r="V411" s="123">
        <f>IFERROR(現場マスタ!$C$21,"")</f>
        <v>0</v>
      </c>
      <c r="W411" s="123"/>
      <c r="X411" s="123">
        <f>IFERROR(現場マスタ!$C$22,"")</f>
        <v>0</v>
      </c>
      <c r="Y411" s="123"/>
    </row>
    <row r="412" spans="1:25" ht="20.100000000000001" customHeight="1">
      <c r="A412" s="60" t="s">
        <v>4</v>
      </c>
      <c r="B412" s="65" t="s">
        <v>114</v>
      </c>
      <c r="C412" s="65" t="s">
        <v>115</v>
      </c>
      <c r="D412" s="65" t="s">
        <v>114</v>
      </c>
      <c r="E412" s="65" t="s">
        <v>115</v>
      </c>
      <c r="F412" s="65" t="s">
        <v>114</v>
      </c>
      <c r="G412" s="65" t="s">
        <v>115</v>
      </c>
      <c r="H412" s="65" t="s">
        <v>114</v>
      </c>
      <c r="I412" s="65" t="s">
        <v>115</v>
      </c>
      <c r="J412" s="65" t="s">
        <v>114</v>
      </c>
      <c r="K412" s="65" t="s">
        <v>115</v>
      </c>
      <c r="L412" s="65" t="s">
        <v>114</v>
      </c>
      <c r="M412" s="65" t="s">
        <v>115</v>
      </c>
      <c r="N412" s="65" t="s">
        <v>114</v>
      </c>
      <c r="O412" s="65" t="s">
        <v>115</v>
      </c>
      <c r="P412" s="65" t="s">
        <v>114</v>
      </c>
      <c r="Q412" s="65" t="s">
        <v>115</v>
      </c>
      <c r="R412" s="65" t="s">
        <v>114</v>
      </c>
      <c r="S412" s="65" t="s">
        <v>115</v>
      </c>
      <c r="T412" s="65" t="s">
        <v>114</v>
      </c>
      <c r="U412" s="65" t="s">
        <v>115</v>
      </c>
      <c r="V412" s="65" t="s">
        <v>114</v>
      </c>
      <c r="W412" s="65" t="s">
        <v>115</v>
      </c>
      <c r="X412" s="65" t="s">
        <v>114</v>
      </c>
      <c r="Y412" s="65" t="s">
        <v>115</v>
      </c>
    </row>
    <row r="413" spans="1:25" ht="18" customHeight="1">
      <c r="A413" s="76">
        <v>1</v>
      </c>
      <c r="B413" s="76">
        <f>COUNTIF('12月'!D4:E4,B$411)+COUNTIF('12月'!I4:J4,B$411)+COUNTIF('12月'!N4:O4,B$411)+COUNTIF('12月'!S4:T4,B$411)+COUNTIF('12月'!X4:Y4,B$411)+COUNTIF('12月'!AC4:AD4,B$411)+COUNTIF('12月'!AH4:AI4,B$411)+COUNTIF('12月'!AM4:AN4,B$411)+COUNTIF('12月'!AR4:AS4,B$411)+COUNTIF('12月'!AW4:AX4,B$411)+COUNTIF('12月'!BB4:BC4,B$411)+COUNTIF('12月'!BG4:BH4,B$411)+COUNTIF('12月'!BL4:BM4,B$411)+COUNTIF('12月'!BQ4:BR4,B$411)+COUNTIF('12月'!BV4:BW4,B$411)+COUNTIF('12月'!CA4:CB4,B$411)+COUNTIF('12月'!CF4:CG4,B$411)+COUNTIF('12月'!CK4:CL4,B$411)+COUNTIF('12月'!CP4:CQ4,B$411)+COUNTIF('12月'!CU4:CV4,B$411)+COUNTIF('12月'!CZ4:DA4,B$411)+COUNTIF('12月'!DE4:DF4,B$411)+COUNTIF('12月'!DJ4:DK4,B$411)+COUNTIF('12月'!DO4:DP4,B$411)+COUNTIF('12月'!DT4:DU4,B$411)+COUNTIF('12月'!DY4:DZ4,B$411)+COUNTIF('12月'!ED4:EE4,B$411)+COUNTIF('12月'!EI4:EJ4,B$411)+COUNTIF('12月'!EN4:EO4,B$411)+COUNTIF('12月'!ES4:ET4,B$411)</f>
        <v>0</v>
      </c>
      <c r="C413" s="76">
        <f>IF(B413=0,0,B413)</f>
        <v>0</v>
      </c>
      <c r="D413" s="76">
        <f>COUNTIF('12月'!D4:E4,D$411)+COUNTIF('12月'!I4:J4,D$411)+COUNTIF('12月'!N4:O4,D$411)+COUNTIF('12月'!S4:T4,D$411)+COUNTIF('12月'!X4:Y4,D$411)+COUNTIF('12月'!AC4:AD4,D$411)+COUNTIF('12月'!AH4:AI4,D$411)+COUNTIF('12月'!AM4:AN4,D$411)+COUNTIF('12月'!AR4:AS4,D$411)+COUNTIF('12月'!AW4:AX4,D$411)+COUNTIF('12月'!BB4:BC4,D$411)+COUNTIF('12月'!BG4:BH4,D$411)+COUNTIF('12月'!BL4:BM4,D$411)+COUNTIF('12月'!BQ4:BR4,D$411)+COUNTIF('12月'!BV4:BW4,D$411)+COUNTIF('12月'!CA4:CB4,D$411)+COUNTIF('12月'!CF4:CG4,D$411)+COUNTIF('12月'!CK4:CL4,D$411)+COUNTIF('12月'!CP4:CQ4,D$411)+COUNTIF('12月'!CU4:CV4,D$411)+COUNTIF('12月'!CZ4:DA4,D$411)+COUNTIF('12月'!DE4:DF4,D$411)+COUNTIF('12月'!DJ4:DK4,D$411)+COUNTIF('12月'!DO4:DP4,D$411)+COUNTIF('12月'!DT4:DU4,D$411)+COUNTIF('12月'!DY4:DZ4,D$411)+COUNTIF('12月'!ED4:EE4,D$411)+COUNTIF('12月'!EI4:EJ4,D$411)+COUNTIF('12月'!EN4:EO4,D$411)+COUNTIF('12月'!ES4:ET4,D$411)</f>
        <v>0</v>
      </c>
      <c r="E413" s="76">
        <f>IF(D413=0,0,D413)</f>
        <v>0</v>
      </c>
      <c r="F413" s="76">
        <f>COUNTIF('12月'!D4:E4,F$411)+COUNTIF('12月'!I4:J4,F$411)+COUNTIF('12月'!N4:O4,F$411)+COUNTIF('12月'!S4:T4,F$411)+COUNTIF('12月'!X4:Y4,F$411)+COUNTIF('12月'!AC4:AD4,F$411)+COUNTIF('12月'!AH4:AI4,F$411)+COUNTIF('12月'!AM4:AN4,F$411)+COUNTIF('12月'!AR4:AS4,F$411)+COUNTIF('12月'!AW4:AX4,F$411)+COUNTIF('12月'!BB4:BC4,F$411)+COUNTIF('12月'!BG4:BH4,F$411)+COUNTIF('12月'!BL4:BM4,F$411)+COUNTIF('12月'!BQ4:BR4,F$411)+COUNTIF('12月'!BV4:BW4,F$411)+COUNTIF('12月'!CA4:CB4,F$411)+COUNTIF('12月'!CF4:CG4,F$411)+COUNTIF('12月'!CK4:CL4,F$411)+COUNTIF('12月'!CP4:CQ4,F$411)+COUNTIF('12月'!CU4:CV4,F$411)+COUNTIF('12月'!CZ4:DA4,F$411)+COUNTIF('12月'!DE4:DF4,F$411)+COUNTIF('12月'!DJ4:DK4,F$411)+COUNTIF('12月'!DO4:DP4,F$411)+COUNTIF('12月'!DT4:DU4,F$411)+COUNTIF('12月'!DY4:DZ4,F$411)+COUNTIF('12月'!ED4:EE4,F$411)+COUNTIF('12月'!EI4:EJ4,F$411)+COUNTIF('12月'!EN4:EO4,F$411)+COUNTIF('12月'!ES4:ET4,F$411)</f>
        <v>0</v>
      </c>
      <c r="G413" s="76">
        <f>IF(F413=0,0,F413)</f>
        <v>0</v>
      </c>
      <c r="H413" s="76">
        <f>COUNTIF('12月'!D4:E4,H$411)+COUNTIF('12月'!I4:J4,H$411)+COUNTIF('12月'!N4:O4,H$411)+COUNTIF('12月'!S4:T4,H$411)+COUNTIF('12月'!X4:Y4,H$411)+COUNTIF('12月'!AC4:AD4,H$411)+COUNTIF('12月'!AH4:AI4,H$411)+COUNTIF('12月'!AM4:AN4,H$411)+COUNTIF('12月'!AR4:AS4,H$411)+COUNTIF('12月'!AW4:AX4,H$411)+COUNTIF('12月'!BB4:BC4,H$411)+COUNTIF('12月'!BG4:BH4,H$411)+COUNTIF('12月'!BL4:BM4,H$411)+COUNTIF('12月'!BQ4:BR4,H$411)+COUNTIF('12月'!BV4:BW4,H$411)+COUNTIF('12月'!CA4:CB4,H$411)+COUNTIF('12月'!CF4:CG4,H$411)+COUNTIF('12月'!CK4:CL4,H$411)+COUNTIF('12月'!CP4:CQ4,H$411)+COUNTIF('12月'!CU4:CV4,H$411)+COUNTIF('12月'!CZ4:DA4,H$411)+COUNTIF('12月'!DE4:DF4,H$411)+COUNTIF('12月'!DJ4:DK4,H$411)+COUNTIF('12月'!DO4:DP4,H$411)+COUNTIF('12月'!DT4:DU4,H$411)+COUNTIF('12月'!DY4:DZ4,H$411)+COUNTIF('12月'!ED4:EE4,H$411)+COUNTIF('12月'!EI4:EJ4,H$411)+COUNTIF('12月'!EN4:EO4,H$411)+COUNTIF('12月'!ES4:ET4,H$411)+COUNTIF('12月'!D4:E4,"渋谷-夜勤")+COUNTIF('12月'!I4:J4,"渋谷-夜勤")+COUNTIF('12月'!N4:O4,"渋谷-夜勤")+COUNTIF('12月'!S4:T4,"渋谷-夜勤")+COUNTIF('12月'!X4:Y4,"渋谷-夜勤")+COUNTIF('12月'!AC4:AD4,"渋谷-夜勤")+COUNTIF('12月'!AH4:AI4,"渋谷-夜勤")+COUNTIF('12月'!AM4:AN4,"渋谷-夜勤")+COUNTIF('12月'!AR4:AS4,"渋谷-夜勤")+COUNTIF('12月'!AW4:AX4,"渋谷-夜勤")+COUNTIF('12月'!BB4:BC4,"渋谷-夜勤")+COUNTIF('12月'!BG4:BH4,"渋谷-夜勤")+COUNTIF('12月'!BL4:BM4,"渋谷-夜勤")+COUNTIF('12月'!BQ4:BR4,"渋谷-夜勤")+COUNTIF('12月'!BV4:BW4,"渋谷-夜勤")+COUNTIF('12月'!CA4:CB4,"渋谷-夜勤")+COUNTIF('12月'!CF4:CG4,"渋谷-夜勤")+COUNTIF('12月'!CK4:CL4,"渋谷-夜勤")+COUNTIF('12月'!CP4:CQ4,"渋谷-夜勤")+COUNTIF('12月'!CU4:CV4,"渋谷-夜勤")+COUNTIF('12月'!CZ4:DA4,"渋谷-夜勤")+COUNTIF('12月'!DE4:DF4,"渋谷-夜勤")+COUNTIF('12月'!DJ4:DK4,"渋谷-夜勤")+COUNTIF('12月'!DO4:DP4,"渋谷-夜勤")+COUNTIF('12月'!DT4:DU4,"渋谷-夜勤")+COUNTIF('12月'!DY4:DZ4,"渋谷-夜勤")+COUNTIF('12月'!ED4:EE4,"渋谷-夜勤")+COUNTIF('12月'!EI4:EJ4,"渋谷-夜勤")+COUNTIF('12月'!EN4:EO4,"渋谷-夜勤")+COUNTIF('12月'!ES4:ET4,"渋谷-夜勤")</f>
        <v>0</v>
      </c>
      <c r="I413" s="76">
        <f>IF(H413=0,0,H413)</f>
        <v>0</v>
      </c>
      <c r="J413" s="76">
        <f>COUNTIF('12月'!D4:E4,J$411)+COUNTIF('12月'!I4:J4,J$411)+COUNTIF('12月'!N4:O4,J$411)+COUNTIF('12月'!S4:T4,J$411)+COUNTIF('12月'!X4:Y4,J$411)+COUNTIF('12月'!AC4:AD4,J$411)+COUNTIF('12月'!AH4:AI4,J$411)+COUNTIF('12月'!AM4:AN4,J$411)+COUNTIF('12月'!AR4:AS4,J$411)+COUNTIF('12月'!AW4:AX4,J$411)+COUNTIF('12月'!BB4:BC4,J$411)+COUNTIF('12月'!BG4:BH4,J$411)+COUNTIF('12月'!BL4:BM4,J$411)+COUNTIF('12月'!BQ4:BR4,J$411)+COUNTIF('12月'!BV4:BW4,J$411)+COUNTIF('12月'!CA4:CB4,J$411)+COUNTIF('12月'!CF4:CG4,J$411)+COUNTIF('12月'!CK4:CL4,J$411)+COUNTIF('12月'!CP4:CQ4,J$411)+COUNTIF('12月'!CU4:CV4,J$411)+COUNTIF('12月'!CZ4:DA4,J$411)+COUNTIF('12月'!DE4:DF4,J$411)+COUNTIF('12月'!DJ4:DK4,J$411)+COUNTIF('12月'!DO4:DP4,J$411)+COUNTIF('12月'!DT4:DU4,J$411)+COUNTIF('12月'!DY4:DZ4,J$411)+COUNTIF('12月'!ED4:EE4,J$411)+COUNTIF('12月'!EI4:EJ4,J$411)+COUNTIF('12月'!EN4:EO4,J$411)+COUNTIF('12月'!ES4:ET4,J$411)+COUNTIF('12月'!D4:E4,"六本木-夜勤")+COUNTIF('12月'!I4:J4,"六本木-夜勤")+COUNTIF('12月'!N4:O4,"六本木-夜勤")+COUNTIF('12月'!S4:T4,"六本木-夜勤")+COUNTIF('12月'!X4:Y4,"六本木-夜勤")+COUNTIF('12月'!AC4:AD4,"六本木-夜勤")+COUNTIF('12月'!AH4:AI4,"六本木-夜勤")+COUNTIF('12月'!AM4:AN4,"六本木-夜勤")+COUNTIF('12月'!AR4:AS4,"六本木-夜勤")+COUNTIF('12月'!AW4:AX4,"六本木-夜勤")+COUNTIF('12月'!BB4:BC4,"六本木-夜勤")+COUNTIF('12月'!BG4:BH4,"六本木-夜勤")+COUNTIF('12月'!BL4:BM4,"六本木-夜勤")+COUNTIF('12月'!BQ4:BR4,"六本木-夜勤")+COUNTIF('12月'!BV4:BW4,"六本木-夜勤")+COUNTIF('12月'!CA4:CB4,"六本木-夜勤")+COUNTIF('12月'!CF4:CG4,"六本木-夜勤")+COUNTIF('12月'!CK4:CL4,"六本木-夜勤")+COUNTIF('12月'!CP4:CQ4,"六本木-夜勤")+COUNTIF('12月'!CU4:CV4,"六本木-夜勤")+COUNTIF('12月'!CZ4:DA4,"六本木-夜勤")+COUNTIF('12月'!DE4:DF4,"六本木-夜勤")+COUNTIF('12月'!DJ4:DK4,"六本木-夜勤")+COUNTIF('12月'!DO4:DP4,"六本木-夜勤")+COUNTIF('12月'!DT4:DU4,"六本木-夜勤")+COUNTIF('12月'!DY4:DZ4,"六本木-夜勤")+COUNTIF('12月'!ED4:EE4,"六本木-夜勤")+COUNTIF('12月'!EI4:EJ4,"六本木-夜勤")+COUNTIF('12月'!EN4:EO4,"六本木-夜勤")+COUNTIF('12月'!ES4:ET4,"六本木-夜勤")+COUNTIF('12月'!D4:E4,"六本木ー夜勤")+COUNTIF('12月'!I4:J4,"六本木ー夜勤")+COUNTIF('12月'!N4:O4,"六本木ー夜勤")+COUNTIF('12月'!S4:T4,"六本木ー夜勤")+COUNTIF('12月'!X4:Y4,"六本木ー夜勤")+COUNTIF('12月'!AC4:AD4,"六本木ー夜勤")+COUNTIF('12月'!AH4:AI4,"六本木ー夜勤")+COUNTIF('12月'!AM4:AN4,"六本木ー夜勤")+COUNTIF('12月'!AR4:AS4,"六本木ー夜勤")+COUNTIF('12月'!AW4:AX4,"六本木ー夜勤")+COUNTIF('12月'!BB4:BC4,"六本木ー夜勤")+COUNTIF('12月'!BG4:BH4,"六本木ー夜勤")+COUNTIF('12月'!BL4:BM4,"六本木ー夜勤")+COUNTIF('12月'!BQ4:BR4,"六本木ー夜勤")+COUNTIF('12月'!BV4:BW4,"六本木ー夜勤")+COUNTIF('12月'!CA4:CB4,"六本木ー夜勤")+COUNTIF('12月'!CF4:CG4,"六本木ー夜勤")+COUNTIF('12月'!CK4:CL4,"六本木ー夜勤")+COUNTIF('12月'!CP4:CQ4,"六本木ー夜勤")+COUNTIF('12月'!CU4:CV4,"六本木ー夜勤")+COUNTIF('12月'!CZ4:DA4,"六本木ー夜勤")+COUNTIF('12月'!DE4:DF4,"六本木ー夜勤")+COUNTIF('12月'!DJ4:DK4,"六本木ー夜勤")+COUNTIF('12月'!DO4:DP4,"六本木ー夜勤")+COUNTIF('12月'!DT4:DU4,"六本木ー夜勤")+COUNTIF('12月'!DY4:DZ4,"六本木ー夜勤")+COUNTIF('12月'!ED4:EE4,"六本木ー夜勤")+COUNTIF('12月'!EI4:EJ4,"六本木ー夜勤")+COUNTIF('12月'!EN4:EO4,"六本木ー夜勤")+COUNTIF('12月'!ES4:ET4,"六本木ー夜勤")</f>
        <v>0</v>
      </c>
      <c r="K413" s="76">
        <f>IF(J413=0,0,J413)</f>
        <v>0</v>
      </c>
      <c r="L413" s="76">
        <f>COUNTIF('12月'!D4:E4,L$411)+COUNTIF('12月'!I4:J4,L$411)+COUNTIF('12月'!N4:O4,L$411)+COUNTIF('12月'!S4:T4,L$411)+COUNTIF('12月'!X4:Y4,L$411)+COUNTIF('12月'!AC4:AD4,L$411)+COUNTIF('12月'!AH4:AI4,L$411)+COUNTIF('12月'!AM4:AN4,L$411)+COUNTIF('12月'!AR4:AS4,L$411)+COUNTIF('12月'!AW4:AX4,L$411)+COUNTIF('12月'!BB4:BC4,L$411)+COUNTIF('12月'!BG4:BH4,L$411)+COUNTIF('12月'!BL4:BM4,L$411)+COUNTIF('12月'!BQ4:BR4,L$411)+COUNTIF('12月'!BV4:BW4,L$411)+COUNTIF('12月'!CA4:CB4,L$411)+COUNTIF('12月'!CF4:CG4,L$411)+COUNTIF('12月'!CK4:CL4,L$411)+COUNTIF('12月'!CP4:CQ4,L$411)+COUNTIF('12月'!CU4:CV4,L$411)+COUNTIF('12月'!CZ4:DA4,L$411)+COUNTIF('12月'!DE4:DF4,L$411)+COUNTIF('12月'!DJ4:DK4,L$411)+COUNTIF('12月'!DO4:DP4,L$411)+COUNTIF('12月'!DT4:DU4,L$411)+COUNTIF('12月'!DY4:DZ4,L$411)+COUNTIF('12月'!ED4:EE4,L$411)+COUNTIF('12月'!EI4:EJ4,L$411)+COUNTIF('12月'!EN4:EO4,L$411)+COUNTIF('12月'!ES4:ET4,L$411)</f>
        <v>0</v>
      </c>
      <c r="M413" s="76">
        <f>IF(L413=0,0,L413)</f>
        <v>0</v>
      </c>
      <c r="N413" s="76">
        <f>COUNTIF('12月'!D4:E4,N$411)+COUNTIF('12月'!I4:J4,N$411)+COUNTIF('12月'!N4:O4,N$411)+COUNTIF('12月'!S4:T4,N$411)+COUNTIF('12月'!X4:Y4,N$411)+COUNTIF('12月'!AC4:AD4,N$411)+COUNTIF('12月'!AH4:AI4,N$411)+COUNTIF('12月'!AM4:AN4,N$411)+COUNTIF('12月'!AR4:AS4,N$411)+COUNTIF('12月'!AW4:AX4,N$411)+COUNTIF('12月'!BB4:BC4,N$411)+COUNTIF('12月'!BG4:BH4,N$411)+COUNTIF('12月'!BL4:BM4,N$411)+COUNTIF('12月'!BQ4:BR4,N$411)+COUNTIF('12月'!BV4:BW4,N$411)+COUNTIF('12月'!CA4:CB4,N$411)+COUNTIF('12月'!CF4:CG4,N$411)+COUNTIF('12月'!CK4:CL4,N$411)+COUNTIF('12月'!CP4:CQ4,N$411)+COUNTIF('12月'!CU4:CV4,N$411)+COUNTIF('12月'!CZ4:DA4,N$411)+COUNTIF('12月'!DE4:DF4,N$411)+COUNTIF('12月'!DJ4:DK4,N$411)+COUNTIF('12月'!DO4:DP4,N$411)+COUNTIF('12月'!DT4:DU4,N$411)+COUNTIF('12月'!DY4:DZ4,N$411)+COUNTIF('12月'!ED4:EE4,N$411)+COUNTIF('12月'!EI4:EJ4,N$411)+COUNTIF('12月'!EN4:EO4,N$411)+COUNTIF('12月'!ES4:ET4,N$411)+COUNTIF('12月'!D4:E4,"三軒茶屋－夜勤")+COUNTIF('12月'!I4:J4,"三軒茶屋－夜勤")+COUNTIF('12月'!N4:O4,"三軒茶屋－夜勤")+COUNTIF('12月'!S4:T4,"三軒茶屋－夜勤")+COUNTIF('12月'!X4:Y4,"三軒茶屋－夜勤")+COUNTIF('12月'!AC4:AD4,"三軒茶屋－夜勤")+COUNTIF('12月'!AH4:AI4,"三軒茶屋－夜勤")+COUNTIF('12月'!AM4:AN4,"三軒茶屋－夜勤")+COUNTIF('12月'!AR4:AS4,"三軒茶屋－夜勤")+COUNTIF('12月'!AW4:AX4,"三軒茶屋－夜勤")+COUNTIF('12月'!BB4:BC4,"三軒茶屋－夜勤")+COUNTIF('12月'!BG4:BH4,"三軒茶屋－夜勤")+COUNTIF('12月'!BL4:BM4,"三軒茶屋－夜勤")+COUNTIF('12月'!BQ4:BR4,"三軒茶屋－夜勤")+COUNTIF('12月'!BV4:BW4,"三軒茶屋－夜勤")+COUNTIF('12月'!CA4:CB4,"三軒茶屋－夜勤")+COUNTIF('12月'!CF4:CG4,"三軒茶屋－夜勤")+COUNTIF('12月'!CK4:CL4,"三軒茶屋－夜勤")+COUNTIF('12月'!CP4:CQ4,"三軒茶屋－夜勤")+COUNTIF('12月'!CU4:CV4,"三軒茶屋－夜勤")+COUNTIF('12月'!CZ4:DA4,"三軒茶屋－夜勤")+COUNTIF('12月'!DE4:DF4,"三軒茶屋－夜勤")+COUNTIF('12月'!DJ4:DK4,"三軒茶屋－夜勤")+COUNTIF('12月'!DO4:DP4,"三軒茶屋－夜勤")+COUNTIF('12月'!DT4:DU4,"三軒茶屋－夜勤")+COUNTIF('12月'!DY4:DZ4,"三軒茶屋－夜勤")+COUNTIF('12月'!ED4:EE4,"三軒茶屋－夜勤")+COUNTIF('12月'!EI4:EJ4,"三軒茶屋－夜勤")+COUNTIF('12月'!EN4:EO4,"三軒茶屋－夜勤")+COUNTIF('12月'!ES4:ET4,"三軒茶屋－夜勤")</f>
        <v>0</v>
      </c>
      <c r="O413" s="76">
        <f>IF(N413=0,0,N413)</f>
        <v>0</v>
      </c>
      <c r="P413" s="76">
        <f>COUNTIF('12月'!D4:E4,P$411)+COUNTIF('12月'!I4:J4,P$411)+COUNTIF('12月'!N4:O4,P$411)+COUNTIF('12月'!S4:T4,P$411)+COUNTIF('12月'!X4:Y4,P$411)+COUNTIF('12月'!AC4:AD4,P$411)+COUNTIF('12月'!AH4:AI4,P$411)+COUNTIF('12月'!AM4:AN4,P$411)+COUNTIF('12月'!AR4:AS4,P$411)+COUNTIF('12月'!AW4:AX4,P$411)+COUNTIF('12月'!BB4:BC4,P$411)+COUNTIF('12月'!BG4:BH4,P$411)+COUNTIF('12月'!BL4:BM4,P$411)+COUNTIF('12月'!BQ4:BR4,P$411)+COUNTIF('12月'!BV4:BW4,P$411)+COUNTIF('12月'!CA4:CB4,P$411)+COUNTIF('12月'!CF4:CG4,P$411)+COUNTIF('12月'!CK4:CL4,P$411)+COUNTIF('12月'!CP4:CQ4,P$411)+COUNTIF('12月'!CU4:CV4,P$411)+COUNTIF('12月'!CZ4:DA4,P$411)+COUNTIF('12月'!DE4:DF4,P$411)+COUNTIF('12月'!DJ4:DK4,P$411)+COUNTIF('12月'!DO4:DP4,P$411)+COUNTIF('12月'!DT4:DU4,P$411)+COUNTIF('12月'!DY4:DZ4,P$411)+COUNTIF('12月'!ED4:EE4,P$411)+COUNTIF('12月'!EI4:EJ4,P$411)+COUNTIF('12月'!EN4:EO4,P$411)+COUNTIF('12月'!ES4:ET4,P$411)+COUNTIF('12月'!D4:E4,"荻窪ー夜勤")+COUNTIF('12月'!I4:J4,"荻窪ー夜勤")+COUNTIF('12月'!N4:O4,"荻窪ー夜勤")+COUNTIF('12月'!S4:T4,"荻窪ー夜勤")+COUNTIF('12月'!X4:Y4,"荻窪ー夜勤")+COUNTIF('12月'!AC4:AD4,"荻窪ー夜勤")+COUNTIF('12月'!AH4:AI4,"荻窪ー夜勤")+COUNTIF('12月'!AM4:AN4,"荻窪ー夜勤")+COUNTIF('12月'!AR4:AS4,"荻窪ー夜勤")+COUNTIF('12月'!AW4:AX4,"荻窪ー夜勤")+COUNTIF('12月'!BB4:BC4,"荻窪ー夜勤")+COUNTIF('12月'!BG4:BH4,"荻窪ー夜勤")+COUNTIF('12月'!BL4:BM4,"荻窪ー夜勤")+COUNTIF('12月'!BQ4:BR4,"荻窪ー夜勤")+COUNTIF('12月'!BV4:BW4,"荻窪ー夜勤")+COUNTIF('12月'!CA4:CB4,"荻窪ー夜勤")+COUNTIF('12月'!CF4:CG4,"荻窪ー夜勤")+COUNTIF('12月'!CK4:CL4,"荻窪ー夜勤")+COUNTIF('12月'!CP4:CQ4,"荻窪ー夜勤")+COUNTIF('12月'!CU4:CV4,"荻窪ー夜勤")+COUNTIF('12月'!CZ4:DA4,"荻窪ー夜勤")+COUNTIF('12月'!DE4:DF4,"荻窪ー夜勤")+COUNTIF('12月'!DJ4:DK4,"荻窪ー夜勤")+COUNTIF('12月'!DO4:DP4,"荻窪ー夜勤")+COUNTIF('12月'!DT4:DU4,"荻窪ー夜勤")+COUNTIF('12月'!DY4:DZ4,"荻窪ー夜勤")+COUNTIF('12月'!ED4:EE4,"荻窪ー夜勤")+COUNTIF('12月'!EI4:EJ4,"荻窪ー夜勤")+COUNTIF('12月'!EN4:EO4,"荻窪ー夜勤")+COUNTIF('12月'!ES4:ET4,"荻窪ー夜勤")</f>
        <v>0</v>
      </c>
      <c r="Q413" s="76">
        <f>IF(P413=0,0,P413)</f>
        <v>0</v>
      </c>
      <c r="R413" s="76">
        <f>COUNTIF('12月'!D4:E4,R$411)+COUNTIF('12月'!I4:J4,R$411)+COUNTIF('12月'!N4:O4,R$411)+COUNTIF('12月'!S4:T4,R$411)+COUNTIF('12月'!X4:Y4,R$411)+COUNTIF('12月'!AC4:AD4,R$411)+COUNTIF('12月'!AH4:AI4,R$411)+COUNTIF('12月'!AM4:AN4,R$411)+COUNTIF('12月'!AR4:AS4,R$411)+COUNTIF('12月'!AW4:AX4,R$411)+COUNTIF('12月'!BB4:BC4,R$411)+COUNTIF('12月'!BG4:BH4,R$411)+COUNTIF('12月'!BL4:BM4,R$411)+COUNTIF('12月'!BQ4:BR4,R$411)+COUNTIF('12月'!BV4:BW4,R$411)+COUNTIF('12月'!CA4:CB4,R$411)+COUNTIF('12月'!CF4:CG4,R$411)+COUNTIF('12月'!CK4:CL4,R$411)+COUNTIF('12月'!CP4:CQ4,R$411)+COUNTIF('12月'!CU4:CV4,R$411)+COUNTIF('12月'!CZ4:DA4,R$411)+COUNTIF('12月'!DE4:DF4,R$411)+COUNTIF('12月'!DJ4:DK4,R$411)+COUNTIF('12月'!DO4:DP4,R$411)+COUNTIF('12月'!DT4:DU4,R$411)+COUNTIF('12月'!DY4:DZ4,R$411)+COUNTIF('12月'!ED4:EE4,R$411)+COUNTIF('12月'!EI4:EJ4,R$411)+COUNTIF('12月'!EN4:EO4,R$411)+COUNTIF('12月'!ES4:ET4,R$411)</f>
        <v>0</v>
      </c>
      <c r="S413" s="76">
        <f>IF(R413=0,0,R413)</f>
        <v>0</v>
      </c>
      <c r="T413" s="76">
        <f>COUNTIF('12月'!D4:E4,T$411)+COUNTIF('12月'!I4:J4,T$411)+COUNTIF('12月'!N4:O4,T$411)+COUNTIF('12月'!S4:T4,T$411)+COUNTIF('12月'!X4:Y4,T$411)+COUNTIF('12月'!AC4:AD4,T$411)+COUNTIF('12月'!AH4:AI4,T$411)+COUNTIF('12月'!AM4:AN4,T$411)+COUNTIF('12月'!AR4:AS4,T$411)+COUNTIF('12月'!AW4:AX4,T$411)+COUNTIF('12月'!BB4:BC4,T$411)+COUNTIF('12月'!BG4:BH4,T$411)+COUNTIF('12月'!BL4:BM4,T$411)+COUNTIF('12月'!BQ4:BR4,T$411)+COUNTIF('12月'!BV4:BW4,T$411)+COUNTIF('12月'!CA4:CB4,T$411)+COUNTIF('12月'!CF4:CG4,T$411)+COUNTIF('12月'!CK4:CL4,T$411)+COUNTIF('12月'!CP4:CQ4,T$411)+COUNTIF('12月'!CU4:CV4,T$411)+COUNTIF('12月'!CZ4:DA4,T$411)+COUNTIF('12月'!DE4:DF4,T$411)+COUNTIF('12月'!DJ4:DK4,T$411)+COUNTIF('12月'!DO4:DP4,T$411)+COUNTIF('12月'!DT4:DU4,T$411)+COUNTIF('12月'!DY4:DZ4,T$411)+COUNTIF('12月'!ED4:EE4,T$411)+COUNTIF('12月'!EI4:EJ4,T$411)+COUNTIF('12月'!EN4:EO4,T$411)+COUNTIF('12月'!ES4:ET4,T$411)</f>
        <v>0</v>
      </c>
      <c r="U413" s="76">
        <f>IF(T413=0,0,T413)</f>
        <v>0</v>
      </c>
      <c r="V413" s="76">
        <f>COUNTIF('12月'!D4:E4,V$411)+COUNTIF('12月'!I4:J4,V$411)+COUNTIF('12月'!N4:O4,V$411)+COUNTIF('12月'!S4:T4,V$411)+COUNTIF('12月'!X4:Y4,V$411)+COUNTIF('12月'!AC4:AD4,V$411)+COUNTIF('12月'!AH4:AI4,V$411)+COUNTIF('12月'!AM4:AN4,V$411)+COUNTIF('12月'!AR4:AS4,V$411)+COUNTIF('12月'!AW4:AX4,V$411)+COUNTIF('12月'!BB4:BC4,V$411)+COUNTIF('12月'!BG4:BH4,V$411)+COUNTIF('12月'!BL4:BM4,V$411)+COUNTIF('12月'!BQ4:BR4,V$411)+COUNTIF('12月'!BV4:BW4,V$411)+COUNTIF('12月'!CA4:CB4,V$411)+COUNTIF('12月'!CF4:CG4,V$411)+COUNTIF('12月'!CK4:CL4,V$411)+COUNTIF('12月'!CP4:CQ4,V$411)+COUNTIF('12月'!CU4:CV4,V$411)+COUNTIF('12月'!CZ4:DA4,V$411)+COUNTIF('12月'!DE4:DF4,V$411)+COUNTIF('12月'!DJ4:DK4,V$411)+COUNTIF('12月'!DO4:DP4,V$411)+COUNTIF('12月'!DT4:DU4,V$411)+COUNTIF('12月'!DY4:DZ4,V$411)+COUNTIF('12月'!ED4:EE4,V$411)+COUNTIF('12月'!EI4:EJ4,V$411)+COUNTIF('12月'!EN4:EO4,V$411)+COUNTIF('12月'!ES4:ET4,V$411)</f>
        <v>0</v>
      </c>
      <c r="W413" s="76">
        <f>IF(V413=0,0,V413)</f>
        <v>0</v>
      </c>
      <c r="X413" s="76">
        <f>COUNTIF('12月'!D4:E4,X$411)+COUNTIF('12月'!I4:J4,X$411)+COUNTIF('12月'!N4:O4,X$411)+COUNTIF('12月'!S4:T4,X$411)+COUNTIF('12月'!X4:Y4,X$411)+COUNTIF('12月'!AC4:AD4,X$411)+COUNTIF('12月'!AH4:AI4,X$411)+COUNTIF('12月'!AM4:AN4,X$411)+COUNTIF('12月'!AR4:AS4,X$411)+COUNTIF('12月'!AW4:AX4,X$411)+COUNTIF('12月'!BB4:BC4,X$411)+COUNTIF('12月'!BG4:BH4,X$411)+COUNTIF('12月'!BL4:BM4,X$411)+COUNTIF('12月'!BQ4:BR4,X$411)+COUNTIF('12月'!BV4:BW4,X$411)+COUNTIF('12月'!CA4:CB4,X$411)+COUNTIF('12月'!CF4:CG4,X$411)+COUNTIF('12月'!CK4:CL4,X$411)+COUNTIF('12月'!CP4:CQ4,X$411)+COUNTIF('12月'!CU4:CV4,X$411)+COUNTIF('12月'!CZ4:DA4,X$411)+COUNTIF('12月'!DE4:DF4,X$411)+COUNTIF('12月'!DJ4:DK4,X$411)+COUNTIF('12月'!DO4:DP4,X$411)+COUNTIF('12月'!DT4:DU4,X$411)+COUNTIF('12月'!DY4:DZ4,X$411)+COUNTIF('12月'!ED4:EE4,X$411)+COUNTIF('12月'!EI4:EJ4,X$411)+COUNTIF('12月'!EN4:EO4,X$411)+COUNTIF('12月'!ES4:ET4,X$411)</f>
        <v>0</v>
      </c>
      <c r="Y413" s="76">
        <f>IF(X413=0,0,X413)</f>
        <v>0</v>
      </c>
    </row>
    <row r="414" spans="1:25" ht="18" customHeight="1">
      <c r="A414" s="76">
        <v>2</v>
      </c>
      <c r="B414" s="76">
        <f>COUNTIF('12月'!D5:E5,B$411)+COUNTIF('12月'!I5:J5,B$411)+COUNTIF('12月'!N5:O5,B$411)+COUNTIF('12月'!S5:T5,B$411)+COUNTIF('12月'!X5:Y5,B$411)+COUNTIF('12月'!AC5:AD5,B$411)+COUNTIF('12月'!AH5:AI5,B$411)+COUNTIF('12月'!AM5:AN5,B$411)+COUNTIF('12月'!AR5:AS5,B$411)+COUNTIF('12月'!AW5:AX5,B$411)+COUNTIF('12月'!BB5:BC5,B$411)+COUNTIF('12月'!BG5:BH5,B$411)+COUNTIF('12月'!BL5:BM5,B$411)+COUNTIF('12月'!BQ5:BR5,B$411)+COUNTIF('12月'!BV5:BW5,B$411)+COUNTIF('12月'!CA5:CB5,B$411)+COUNTIF('12月'!CF5:CG5,B$411)+COUNTIF('12月'!CK5:CL5,B$411)+COUNTIF('12月'!CP5:CQ5,B$411)+COUNTIF('12月'!CU5:CV5,B$411)+COUNTIF('12月'!CZ5:DA5,B$411)+COUNTIF('12月'!DE5:DF5,B$411)+COUNTIF('12月'!DJ5:DK5,B$411)+COUNTIF('12月'!DO5:DP5,B$411)+COUNTIF('12月'!DT5:DU5,B$411)+COUNTIF('12月'!DY5:DZ5,B$411)+COUNTIF('12月'!ED5:EE5,B$411)+COUNTIF('12月'!EI5:EJ5,B$411)+COUNTIF('12月'!EN5:EO5,B$411)+COUNTIF('12月'!ES5:ET5,B$411)</f>
        <v>0</v>
      </c>
      <c r="C414" s="76">
        <f t="shared" ref="C414:C443" si="132">IF(B414=0,C413,C413+B414)</f>
        <v>0</v>
      </c>
      <c r="D414" s="76">
        <f>COUNTIF('12月'!D5:E5,D$411)+COUNTIF('12月'!I5:J5,D$411)+COUNTIF('12月'!N5:O5,D$411)+COUNTIF('12月'!S5:T5,D$411)+COUNTIF('12月'!X5:Y5,D$411)+COUNTIF('12月'!AC5:AD5,D$411)+COUNTIF('12月'!AH5:AI5,D$411)+COUNTIF('12月'!AM5:AN5,D$411)+COUNTIF('12月'!AR5:AS5,D$411)+COUNTIF('12月'!AW5:AX5,D$411)+COUNTIF('12月'!BB5:BC5,D$411)+COUNTIF('12月'!BG5:BH5,D$411)+COUNTIF('12月'!BL5:BM5,D$411)+COUNTIF('12月'!BQ5:BR5,D$411)+COUNTIF('12月'!BV5:BW5,D$411)+COUNTIF('12月'!CA5:CB5,D$411)+COUNTIF('12月'!CF5:CG5,D$411)+COUNTIF('12月'!CK5:CL5,D$411)+COUNTIF('12月'!CP5:CQ5,D$411)+COUNTIF('12月'!CU5:CV5,D$411)+COUNTIF('12月'!CZ5:DA5,D$411)+COUNTIF('12月'!DE5:DF5,D$411)+COUNTIF('12月'!DJ5:DK5,D$411)+COUNTIF('12月'!DO5:DP5,D$411)+COUNTIF('12月'!DT5:DU5,D$411)+COUNTIF('12月'!DY5:DZ5,D$411)+COUNTIF('12月'!ED5:EE5,D$411)+COUNTIF('12月'!EI5:EJ5,D$411)+COUNTIF('12月'!EN5:EO5,D$411)+COUNTIF('12月'!ES5:ET5,D$411)</f>
        <v>0</v>
      </c>
      <c r="E414" s="76">
        <f t="shared" ref="E414:E443" si="133">IF(D414=0,E413,E413+D414)</f>
        <v>0</v>
      </c>
      <c r="F414" s="76">
        <f>COUNTIF('12月'!D5:E5,F$411)+COUNTIF('12月'!I5:J5,F$411)+COUNTIF('12月'!N5:O5,F$411)+COUNTIF('12月'!S5:T5,F$411)+COUNTIF('12月'!X5:Y5,F$411)+COUNTIF('12月'!AC5:AD5,F$411)+COUNTIF('12月'!AH5:AI5,F$411)+COUNTIF('12月'!AM5:AN5,F$411)+COUNTIF('12月'!AR5:AS5,F$411)+COUNTIF('12月'!AW5:AX5,F$411)+COUNTIF('12月'!BB5:BC5,F$411)+COUNTIF('12月'!BG5:BH5,F$411)+COUNTIF('12月'!BL5:BM5,F$411)+COUNTIF('12月'!BQ5:BR5,F$411)+COUNTIF('12月'!BV5:BW5,F$411)+COUNTIF('12月'!CA5:CB5,F$411)+COUNTIF('12月'!CF5:CG5,F$411)+COUNTIF('12月'!CK5:CL5,F$411)+COUNTIF('12月'!CP5:CQ5,F$411)+COUNTIF('12月'!CU5:CV5,F$411)+COUNTIF('12月'!CZ5:DA5,F$411)+COUNTIF('12月'!DE5:DF5,F$411)+COUNTIF('12月'!DJ5:DK5,F$411)+COUNTIF('12月'!DO5:DP5,F$411)+COUNTIF('12月'!DT5:DU5,F$411)+COUNTIF('12月'!DY5:DZ5,F$411)+COUNTIF('12月'!ED5:EE5,F$411)+COUNTIF('12月'!EI5:EJ5,F$411)+COUNTIF('12月'!EN5:EO5,F$411)+COUNTIF('12月'!ES5:ET5,F$411)</f>
        <v>0</v>
      </c>
      <c r="G414" s="76">
        <f t="shared" ref="G414:G443" si="134">IF(F414=0,G413,G413+F414)</f>
        <v>0</v>
      </c>
      <c r="H414" s="76">
        <f>COUNTIF('12月'!D5:E5,H$411)+COUNTIF('12月'!I5:J5,H$411)+COUNTIF('12月'!N5:O5,H$411)+COUNTIF('12月'!S5:T5,H$411)+COUNTIF('12月'!X5:Y5,H$411)+COUNTIF('12月'!AC5:AD5,H$411)+COUNTIF('12月'!AH5:AI5,H$411)+COUNTIF('12月'!AM5:AN5,H$411)+COUNTIF('12月'!AR5:AS5,H$411)+COUNTIF('12月'!AW5:AX5,H$411)+COUNTIF('12月'!BB5:BC5,H$411)+COUNTIF('12月'!BG5:BH5,H$411)+COUNTIF('12月'!BL5:BM5,H$411)+COUNTIF('12月'!BQ5:BR5,H$411)+COUNTIF('12月'!BV5:BW5,H$411)+COUNTIF('12月'!CA5:CB5,H$411)+COUNTIF('12月'!CF5:CG5,H$411)+COUNTIF('12月'!CK5:CL5,H$411)+COUNTIF('12月'!CP5:CQ5,H$411)+COUNTIF('12月'!CU5:CV5,H$411)+COUNTIF('12月'!CZ5:DA5,H$411)+COUNTIF('12月'!DE5:DF5,H$411)+COUNTIF('12月'!DJ5:DK5,H$411)+COUNTIF('12月'!DO5:DP5,H$411)+COUNTIF('12月'!DT5:DU5,H$411)+COUNTIF('12月'!DY5:DZ5,H$411)+COUNTIF('12月'!ED5:EE5,H$411)+COUNTIF('12月'!EI5:EJ5,H$411)+COUNTIF('12月'!EN5:EO5,H$411)+COUNTIF('12月'!ES5:ET5,H$411)+COUNTIF('12月'!D5:E5,"渋谷-夜勤")+COUNTIF('12月'!I5:J5,"渋谷-夜勤")+COUNTIF('12月'!N5:O5,"渋谷-夜勤")+COUNTIF('12月'!S5:T5,"渋谷-夜勤")+COUNTIF('12月'!X5:Y5,"渋谷-夜勤")+COUNTIF('12月'!AC5:AD5,"渋谷-夜勤")+COUNTIF('12月'!AH5:AI5,"渋谷-夜勤")+COUNTIF('12月'!AM5:AN5,"渋谷-夜勤")+COUNTIF('12月'!AR5:AS5,"渋谷-夜勤")+COUNTIF('12月'!AW5:AX5,"渋谷-夜勤")+COUNTIF('12月'!BB5:BC5,"渋谷-夜勤")+COUNTIF('12月'!BG5:BH5,"渋谷-夜勤")+COUNTIF('12月'!BL5:BM5,"渋谷-夜勤")+COUNTIF('12月'!BQ5:BR5,"渋谷-夜勤")+COUNTIF('12月'!BV5:BW5,"渋谷-夜勤")+COUNTIF('12月'!CA5:CB5,"渋谷-夜勤")+COUNTIF('12月'!CF5:CG5,"渋谷-夜勤")+COUNTIF('12月'!CK5:CL5,"渋谷-夜勤")+COUNTIF('12月'!CP5:CQ5,"渋谷-夜勤")+COUNTIF('12月'!CU5:CV5,"渋谷-夜勤")+COUNTIF('12月'!CZ5:DA5,"渋谷-夜勤")+COUNTIF('12月'!DE5:DF5,"渋谷-夜勤")+COUNTIF('12月'!DJ5:DK5,"渋谷-夜勤")+COUNTIF('12月'!DO5:DP5,"渋谷-夜勤")+COUNTIF('12月'!DT5:DU5,"渋谷-夜勤")+COUNTIF('12月'!DY5:DZ5,"渋谷-夜勤")+COUNTIF('12月'!ED5:EE5,"渋谷-夜勤")+COUNTIF('12月'!EI5:EJ5,"渋谷-夜勤")+COUNTIF('12月'!EN5:EO5,"渋谷-夜勤")+COUNTIF('12月'!ES5:ET5,"渋谷-夜勤")</f>
        <v>0</v>
      </c>
      <c r="I414" s="76">
        <f t="shared" ref="I414:I443" si="135">IF(H414=0,I413,I413+H414)</f>
        <v>0</v>
      </c>
      <c r="J414" s="76">
        <f>COUNTIF('12月'!D5:E5,J$411)+COUNTIF('12月'!I5:J5,J$411)+COUNTIF('12月'!N5:O5,J$411)+COUNTIF('12月'!S5:T5,J$411)+COUNTIF('12月'!X5:Y5,J$411)+COUNTIF('12月'!AC5:AD5,J$411)+COUNTIF('12月'!AH5:AI5,J$411)+COUNTIF('12月'!AM5:AN5,J$411)+COUNTIF('12月'!AR5:AS5,J$411)+COUNTIF('12月'!AW5:AX5,J$411)+COUNTIF('12月'!BB5:BC5,J$411)+COUNTIF('12月'!BG5:BH5,J$411)+COUNTIF('12月'!BL5:BM5,J$411)+COUNTIF('12月'!BQ5:BR5,J$411)+COUNTIF('12月'!BV5:BW5,J$411)+COUNTIF('12月'!CA5:CB5,J$411)+COUNTIF('12月'!CF5:CG5,J$411)+COUNTIF('12月'!CK5:CL5,J$411)+COUNTIF('12月'!CP5:CQ5,J$411)+COUNTIF('12月'!CU5:CV5,J$411)+COUNTIF('12月'!CZ5:DA5,J$411)+COUNTIF('12月'!DE5:DF5,J$411)+COUNTIF('12月'!DJ5:DK5,J$411)+COUNTIF('12月'!DO5:DP5,J$411)+COUNTIF('12月'!DT5:DU5,J$411)+COUNTIF('12月'!DY5:DZ5,J$411)+COUNTIF('12月'!ED5:EE5,J$411)+COUNTIF('12月'!EI5:EJ5,J$411)+COUNTIF('12月'!EN5:EO5,J$411)+COUNTIF('12月'!ES5:ET5,J$411)+COUNTIF('12月'!D5:E5,"六本木-夜勤")+COUNTIF('12月'!I5:J5,"六本木-夜勤")+COUNTIF('12月'!N5:O5,"六本木-夜勤")+COUNTIF('12月'!S5:T5,"六本木-夜勤")+COUNTIF('12月'!X5:Y5,"六本木-夜勤")+COUNTIF('12月'!AC5:AD5,"六本木-夜勤")+COUNTIF('12月'!AH5:AI5,"六本木-夜勤")+COUNTIF('12月'!AM5:AN5,"六本木-夜勤")+COUNTIF('12月'!AR5:AS5,"六本木-夜勤")+COUNTIF('12月'!AW5:AX5,"六本木-夜勤")+COUNTIF('12月'!BB5:BC5,"六本木-夜勤")+COUNTIF('12月'!BG5:BH5,"六本木-夜勤")+COUNTIF('12月'!BL5:BM5,"六本木-夜勤")+COUNTIF('12月'!BQ5:BR5,"六本木-夜勤")+COUNTIF('12月'!BV5:BW5,"六本木-夜勤")+COUNTIF('12月'!CA5:CB5,"六本木-夜勤")+COUNTIF('12月'!CF5:CG5,"六本木-夜勤")+COUNTIF('12月'!CK5:CL5,"六本木-夜勤")+COUNTIF('12月'!CP5:CQ5,"六本木-夜勤")+COUNTIF('12月'!CU5:CV5,"六本木-夜勤")+COUNTIF('12月'!CZ5:DA5,"六本木-夜勤")+COUNTIF('12月'!DE5:DF5,"六本木-夜勤")+COUNTIF('12月'!DJ5:DK5,"六本木-夜勤")+COUNTIF('12月'!DO5:DP5,"六本木-夜勤")+COUNTIF('12月'!DT5:DU5,"六本木-夜勤")+COUNTIF('12月'!DY5:DZ5,"六本木-夜勤")+COUNTIF('12月'!ED5:EE5,"六本木-夜勤")+COUNTIF('12月'!EI5:EJ5,"六本木-夜勤")+COUNTIF('12月'!EN5:EO5,"六本木-夜勤")+COUNTIF('12月'!ES5:ET5,"六本木-夜勤")+COUNTIF('12月'!D5:E5,"六本木ー夜勤")+COUNTIF('12月'!I5:J5,"六本木ー夜勤")+COUNTIF('12月'!N5:O5,"六本木ー夜勤")+COUNTIF('12月'!S5:T5,"六本木ー夜勤")+COUNTIF('12月'!X5:Y5,"六本木ー夜勤")+COUNTIF('12月'!AC5:AD5,"六本木ー夜勤")+COUNTIF('12月'!AH5:AI5,"六本木ー夜勤")+COUNTIF('12月'!AM5:AN5,"六本木ー夜勤")+COUNTIF('12月'!AR5:AS5,"六本木ー夜勤")+COUNTIF('12月'!AW5:AX5,"六本木ー夜勤")+COUNTIF('12月'!BB5:BC5,"六本木ー夜勤")+COUNTIF('12月'!BG5:BH5,"六本木ー夜勤")+COUNTIF('12月'!BL5:BM5,"六本木ー夜勤")+COUNTIF('12月'!BQ5:BR5,"六本木ー夜勤")+COUNTIF('12月'!BV5:BW5,"六本木ー夜勤")+COUNTIF('12月'!CA5:CB5,"六本木ー夜勤")+COUNTIF('12月'!CF5:CG5,"六本木ー夜勤")+COUNTIF('12月'!CK5:CL5,"六本木ー夜勤")+COUNTIF('12月'!CP5:CQ5,"六本木ー夜勤")+COUNTIF('12月'!CU5:CV5,"六本木ー夜勤")+COUNTIF('12月'!CZ5:DA5,"六本木ー夜勤")+COUNTIF('12月'!DE5:DF5,"六本木ー夜勤")+COUNTIF('12月'!DJ5:DK5,"六本木ー夜勤")+COUNTIF('12月'!DO5:DP5,"六本木ー夜勤")+COUNTIF('12月'!DT5:DU5,"六本木ー夜勤")+COUNTIF('12月'!DY5:DZ5,"六本木ー夜勤")+COUNTIF('12月'!ED5:EE5,"六本木ー夜勤")+COUNTIF('12月'!EI5:EJ5,"六本木ー夜勤")+COUNTIF('12月'!EN5:EO5,"六本木ー夜勤")+COUNTIF('12月'!ES5:ET5,"六本木ー夜勤")</f>
        <v>0</v>
      </c>
      <c r="K414" s="76">
        <f t="shared" ref="K414:K443" si="136">IF(J414=0,K413,K413+J414)</f>
        <v>0</v>
      </c>
      <c r="L414" s="76">
        <f>COUNTIF('12月'!D5:E5,L$411)+COUNTIF('12月'!I5:J5,L$411)+COUNTIF('12月'!N5:O5,L$411)+COUNTIF('12月'!S5:T5,L$411)+COUNTIF('12月'!X5:Y5,L$411)+COUNTIF('12月'!AC5:AD5,L$411)+COUNTIF('12月'!AH5:AI5,L$411)+COUNTIF('12月'!AM5:AN5,L$411)+COUNTIF('12月'!AR5:AS5,L$411)+COUNTIF('12月'!AW5:AX5,L$411)+COUNTIF('12月'!BB5:BC5,L$411)+COUNTIF('12月'!BG5:BH5,L$411)+COUNTIF('12月'!BL5:BM5,L$411)+COUNTIF('12月'!BQ5:BR5,L$411)+COUNTIF('12月'!BV5:BW5,L$411)+COUNTIF('12月'!CA5:CB5,L$411)+COUNTIF('12月'!CF5:CG5,L$411)+COUNTIF('12月'!CK5:CL5,L$411)+COUNTIF('12月'!CP5:CQ5,L$411)+COUNTIF('12月'!CU5:CV5,L$411)+COUNTIF('12月'!CZ5:DA5,L$411)+COUNTIF('12月'!DE5:DF5,L$411)+COUNTIF('12月'!DJ5:DK5,L$411)+COUNTIF('12月'!DO5:DP5,L$411)+COUNTIF('12月'!DT5:DU5,L$411)+COUNTIF('12月'!DY5:DZ5,L$411)+COUNTIF('12月'!ED5:EE5,L$411)+COUNTIF('12月'!EI5:EJ5,L$411)+COUNTIF('12月'!EN5:EO5,L$411)+COUNTIF('12月'!ES5:ET5,L$411)</f>
        <v>0</v>
      </c>
      <c r="M414" s="76">
        <f t="shared" ref="M414:M443" si="137">IF(L414=0,M413,M413+L414)</f>
        <v>0</v>
      </c>
      <c r="N414" s="76">
        <f>COUNTIF('12月'!D5:E5,N$411)+COUNTIF('12月'!I5:J5,N$411)+COUNTIF('12月'!N5:O5,N$411)+COUNTIF('12月'!S5:T5,N$411)+COUNTIF('12月'!X5:Y5,N$411)+COUNTIF('12月'!AC5:AD5,N$411)+COUNTIF('12月'!AH5:AI5,N$411)+COUNTIF('12月'!AM5:AN5,N$411)+COUNTIF('12月'!AR5:AS5,N$411)+COUNTIF('12月'!AW5:AX5,N$411)+COUNTIF('12月'!BB5:BC5,N$411)+COUNTIF('12月'!BG5:BH5,N$411)+COUNTIF('12月'!BL5:BM5,N$411)+COUNTIF('12月'!BQ5:BR5,N$411)+COUNTIF('12月'!BV5:BW5,N$411)+COUNTIF('12月'!CA5:CB5,N$411)+COUNTIF('12月'!CF5:CG5,N$411)+COUNTIF('12月'!CK5:CL5,N$411)+COUNTIF('12月'!CP5:CQ5,N$411)+COUNTIF('12月'!CU5:CV5,N$411)+COUNTIF('12月'!CZ5:DA5,N$411)+COUNTIF('12月'!DE5:DF5,N$411)+COUNTIF('12月'!DJ5:DK5,N$411)+COUNTIF('12月'!DO5:DP5,N$411)+COUNTIF('12月'!DT5:DU5,N$411)+COUNTIF('12月'!DY5:DZ5,N$411)+COUNTIF('12月'!ED5:EE5,N$411)+COUNTIF('12月'!EI5:EJ5,N$411)+COUNTIF('12月'!EN5:EO5,N$411)+COUNTIF('12月'!ES5:ET5,N$411)+COUNTIF('12月'!D5:E5,"三軒茶屋－夜勤")+COUNTIF('12月'!I5:J5,"三軒茶屋－夜勤")+COUNTIF('12月'!N5:O5,"三軒茶屋－夜勤")+COUNTIF('12月'!S5:T5,"三軒茶屋－夜勤")+COUNTIF('12月'!X5:Y5,"三軒茶屋－夜勤")+COUNTIF('12月'!AC5:AD5,"三軒茶屋－夜勤")+COUNTIF('12月'!AH5:AI5,"三軒茶屋－夜勤")+COUNTIF('12月'!AM5:AN5,"三軒茶屋－夜勤")+COUNTIF('12月'!AR5:AS5,"三軒茶屋－夜勤")+COUNTIF('12月'!AW5:AX5,"三軒茶屋－夜勤")+COUNTIF('12月'!BB5:BC5,"三軒茶屋－夜勤")+COUNTIF('12月'!BG5:BH5,"三軒茶屋－夜勤")+COUNTIF('12月'!BL5:BM5,"三軒茶屋－夜勤")+COUNTIF('12月'!BQ5:BR5,"三軒茶屋－夜勤")+COUNTIF('12月'!BV5:BW5,"三軒茶屋－夜勤")+COUNTIF('12月'!CA5:CB5,"三軒茶屋－夜勤")+COUNTIF('12月'!CF5:CG5,"三軒茶屋－夜勤")+COUNTIF('12月'!CK5:CL5,"三軒茶屋－夜勤")+COUNTIF('12月'!CP5:CQ5,"三軒茶屋－夜勤")+COUNTIF('12月'!CU5:CV5,"三軒茶屋－夜勤")+COUNTIF('12月'!CZ5:DA5,"三軒茶屋－夜勤")+COUNTIF('12月'!DE5:DF5,"三軒茶屋－夜勤")+COUNTIF('12月'!DJ5:DK5,"三軒茶屋－夜勤")+COUNTIF('12月'!DO5:DP5,"三軒茶屋－夜勤")+COUNTIF('12月'!DT5:DU5,"三軒茶屋－夜勤")+COUNTIF('12月'!DY5:DZ5,"三軒茶屋－夜勤")+COUNTIF('12月'!ED5:EE5,"三軒茶屋－夜勤")+COUNTIF('12月'!EI5:EJ5,"三軒茶屋－夜勤")+COUNTIF('12月'!EN5:EO5,"三軒茶屋－夜勤")+COUNTIF('12月'!ES5:ET5,"三軒茶屋－夜勤")</f>
        <v>0</v>
      </c>
      <c r="O414" s="76">
        <f t="shared" ref="O414:O443" si="138">IF(N414=0,O413,O413+N414)</f>
        <v>0</v>
      </c>
      <c r="P414" s="76">
        <f>COUNTIF('12月'!D5:E5,P$411)+COUNTIF('12月'!I5:J5,P$411)+COUNTIF('12月'!N5:O5,P$411)+COUNTIF('12月'!S5:T5,P$411)+COUNTIF('12月'!X5:Y5,P$411)+COUNTIF('12月'!AC5:AD5,P$411)+COUNTIF('12月'!AH5:AI5,P$411)+COUNTIF('12月'!AM5:AN5,P$411)+COUNTIF('12月'!AR5:AS5,P$411)+COUNTIF('12月'!AW5:AX5,P$411)+COUNTIF('12月'!BB5:BC5,P$411)+COUNTIF('12月'!BG5:BH5,P$411)+COUNTIF('12月'!BL5:BM5,P$411)+COUNTIF('12月'!BQ5:BR5,P$411)+COUNTIF('12月'!BV5:BW5,P$411)+COUNTIF('12月'!CA5:CB5,P$411)+COUNTIF('12月'!CF5:CG5,P$411)+COUNTIF('12月'!CK5:CL5,P$411)+COUNTIF('12月'!CP5:CQ5,P$411)+COUNTIF('12月'!CU5:CV5,P$411)+COUNTIF('12月'!CZ5:DA5,P$411)+COUNTIF('12月'!DE5:DF5,P$411)+COUNTIF('12月'!DJ5:DK5,P$411)+COUNTIF('12月'!DO5:DP5,P$411)+COUNTIF('12月'!DT5:DU5,P$411)+COUNTIF('12月'!DY5:DZ5,P$411)+COUNTIF('12月'!ED5:EE5,P$411)+COUNTIF('12月'!EI5:EJ5,P$411)+COUNTIF('12月'!EN5:EO5,P$411)+COUNTIF('12月'!ES5:ET5,P$411)+COUNTIF('12月'!D5:E5,"荻窪ー夜勤")+COUNTIF('12月'!I5:J5,"荻窪ー夜勤")+COUNTIF('12月'!N5:O5,"荻窪ー夜勤")+COUNTIF('12月'!S5:T5,"荻窪ー夜勤")+COUNTIF('12月'!X5:Y5,"荻窪ー夜勤")+COUNTIF('12月'!AC5:AD5,"荻窪ー夜勤")+COUNTIF('12月'!AH5:AI5,"荻窪ー夜勤")+COUNTIF('12月'!AM5:AN5,"荻窪ー夜勤")+COUNTIF('12月'!AR5:AS5,"荻窪ー夜勤")+COUNTIF('12月'!AW5:AX5,"荻窪ー夜勤")+COUNTIF('12月'!BB5:BC5,"荻窪ー夜勤")+COUNTIF('12月'!BG5:BH5,"荻窪ー夜勤")+COUNTIF('12月'!BL5:BM5,"荻窪ー夜勤")+COUNTIF('12月'!BQ5:BR5,"荻窪ー夜勤")+COUNTIF('12月'!BV5:BW5,"荻窪ー夜勤")+COUNTIF('12月'!CA5:CB5,"荻窪ー夜勤")+COUNTIF('12月'!CF5:CG5,"荻窪ー夜勤")+COUNTIF('12月'!CK5:CL5,"荻窪ー夜勤")+COUNTIF('12月'!CP5:CQ5,"荻窪ー夜勤")+COUNTIF('12月'!CU5:CV5,"荻窪ー夜勤")+COUNTIF('12月'!CZ5:DA5,"荻窪ー夜勤")+COUNTIF('12月'!DE5:DF5,"荻窪ー夜勤")+COUNTIF('12月'!DJ5:DK5,"荻窪ー夜勤")+COUNTIF('12月'!DO5:DP5,"荻窪ー夜勤")+COUNTIF('12月'!DT5:DU5,"荻窪ー夜勤")+COUNTIF('12月'!DY5:DZ5,"荻窪ー夜勤")+COUNTIF('12月'!ED5:EE5,"荻窪ー夜勤")+COUNTIF('12月'!EI5:EJ5,"荻窪ー夜勤")+COUNTIF('12月'!EN5:EO5,"荻窪ー夜勤")+COUNTIF('12月'!ES5:ET5,"荻窪ー夜勤")</f>
        <v>0</v>
      </c>
      <c r="Q414" s="76">
        <f t="shared" ref="Q414:Q443" si="139">IF(P414=0,Q413,Q413+P414)</f>
        <v>0</v>
      </c>
      <c r="R414" s="76">
        <f>COUNTIF('12月'!D5:E5,R$411)+COUNTIF('12月'!I5:J5,R$411)+COUNTIF('12月'!N5:O5,R$411)+COUNTIF('12月'!S5:T5,R$411)+COUNTIF('12月'!X5:Y5,R$411)+COUNTIF('12月'!AC5:AD5,R$411)+COUNTIF('12月'!AH5:AI5,R$411)+COUNTIF('12月'!AM5:AN5,R$411)+COUNTIF('12月'!AR5:AS5,R$411)+COUNTIF('12月'!AW5:AX5,R$411)+COUNTIF('12月'!BB5:BC5,R$411)+COUNTIF('12月'!BG5:BH5,R$411)+COUNTIF('12月'!BL5:BM5,R$411)+COUNTIF('12月'!BQ5:BR5,R$411)+COUNTIF('12月'!BV5:BW5,R$411)+COUNTIF('12月'!CA5:CB5,R$411)+COUNTIF('12月'!CF5:CG5,R$411)+COUNTIF('12月'!CK5:CL5,R$411)+COUNTIF('12月'!CP5:CQ5,R$411)+COUNTIF('12月'!CU5:CV5,R$411)+COUNTIF('12月'!CZ5:DA5,R$411)+COUNTIF('12月'!DE5:DF5,R$411)+COUNTIF('12月'!DJ5:DK5,R$411)+COUNTIF('12月'!DO5:DP5,R$411)+COUNTIF('12月'!DT5:DU5,R$411)+COUNTIF('12月'!DY5:DZ5,R$411)+COUNTIF('12月'!ED5:EE5,R$411)+COUNTIF('12月'!EI5:EJ5,R$411)+COUNTIF('12月'!EN5:EO5,R$411)+COUNTIF('12月'!ES5:ET5,R$411)</f>
        <v>0</v>
      </c>
      <c r="S414" s="76">
        <f t="shared" ref="S414:S443" si="140">IF(R414=0,S413,S413+R414)</f>
        <v>0</v>
      </c>
      <c r="T414" s="76">
        <f>COUNTIF('12月'!D5:E5,T$411)+COUNTIF('12月'!I5:J5,T$411)+COUNTIF('12月'!N5:O5,T$411)+COUNTIF('12月'!S5:T5,T$411)+COUNTIF('12月'!X5:Y5,T$411)+COUNTIF('12月'!AC5:AD5,T$411)+COUNTIF('12月'!AH5:AI5,T$411)+COUNTIF('12月'!AM5:AN5,T$411)+COUNTIF('12月'!AR5:AS5,T$411)+COUNTIF('12月'!AW5:AX5,T$411)+COUNTIF('12月'!BB5:BC5,T$411)+COUNTIF('12月'!BG5:BH5,T$411)+COUNTIF('12月'!BL5:BM5,T$411)+COUNTIF('12月'!BQ5:BR5,T$411)+COUNTIF('12月'!BV5:BW5,T$411)+COUNTIF('12月'!CA5:CB5,T$411)+COUNTIF('12月'!CF5:CG5,T$411)+COUNTIF('12月'!CK5:CL5,T$411)+COUNTIF('12月'!CP5:CQ5,T$411)+COUNTIF('12月'!CU5:CV5,T$411)+COUNTIF('12月'!CZ5:DA5,T$411)+COUNTIF('12月'!DE5:DF5,T$411)+COUNTIF('12月'!DJ5:DK5,T$411)+COUNTIF('12月'!DO5:DP5,T$411)+COUNTIF('12月'!DT5:DU5,T$411)+COUNTIF('12月'!DY5:DZ5,T$411)+COUNTIF('12月'!ED5:EE5,T$411)+COUNTIF('12月'!EI5:EJ5,T$411)+COUNTIF('12月'!EN5:EO5,T$411)+COUNTIF('12月'!ES5:ET5,T$411)</f>
        <v>0</v>
      </c>
      <c r="U414" s="76">
        <f t="shared" ref="U414:U443" si="141">IF(T414=0,U413,U413+T414)</f>
        <v>0</v>
      </c>
      <c r="V414" s="76">
        <f>COUNTIF('12月'!D5:E5,V$411)+COUNTIF('12月'!I5:J5,V$411)+COUNTIF('12月'!N5:O5,V$411)+COUNTIF('12月'!S5:T5,V$411)+COUNTIF('12月'!X5:Y5,V$411)+COUNTIF('12月'!AC5:AD5,V$411)+COUNTIF('12月'!AH5:AI5,V$411)+COUNTIF('12月'!AM5:AN5,V$411)+COUNTIF('12月'!AR5:AS5,V$411)+COUNTIF('12月'!AW5:AX5,V$411)+COUNTIF('12月'!BB5:BC5,V$411)+COUNTIF('12月'!BG5:BH5,V$411)+COUNTIF('12月'!BL5:BM5,V$411)+COUNTIF('12月'!BQ5:BR5,V$411)+COUNTIF('12月'!BV5:BW5,V$411)+COUNTIF('12月'!CA5:CB5,V$411)+COUNTIF('12月'!CF5:CG5,V$411)+COUNTIF('12月'!CK5:CL5,V$411)+COUNTIF('12月'!CP5:CQ5,V$411)+COUNTIF('12月'!CU5:CV5,V$411)+COUNTIF('12月'!CZ5:DA5,V$411)+COUNTIF('12月'!DE5:DF5,V$411)+COUNTIF('12月'!DJ5:DK5,V$411)+COUNTIF('12月'!DO5:DP5,V$411)+COUNTIF('12月'!DT5:DU5,V$411)+COUNTIF('12月'!DY5:DZ5,V$411)+COUNTIF('12月'!ED5:EE5,V$411)+COUNTIF('12月'!EI5:EJ5,V$411)+COUNTIF('12月'!EN5:EO5,V$411)+COUNTIF('12月'!ES5:ET5,V$411)</f>
        <v>0</v>
      </c>
      <c r="W414" s="76">
        <f t="shared" ref="W414:W443" si="142">IF(V414=0,W413,W413+V414)</f>
        <v>0</v>
      </c>
      <c r="X414" s="76">
        <f>COUNTIF('12月'!D5:E5,X$411)+COUNTIF('12月'!I5:J5,X$411)+COUNTIF('12月'!N5:O5,X$411)+COUNTIF('12月'!S5:T5,X$411)+COUNTIF('12月'!X5:Y5,X$411)+COUNTIF('12月'!AC5:AD5,X$411)+COUNTIF('12月'!AH5:AI5,X$411)+COUNTIF('12月'!AM5:AN5,X$411)+COUNTIF('12月'!AR5:AS5,X$411)+COUNTIF('12月'!AW5:AX5,X$411)+COUNTIF('12月'!BB5:BC5,X$411)+COUNTIF('12月'!BG5:BH5,X$411)+COUNTIF('12月'!BL5:BM5,X$411)+COUNTIF('12月'!BQ5:BR5,X$411)+COUNTIF('12月'!BV5:BW5,X$411)+COUNTIF('12月'!CA5:CB5,X$411)+COUNTIF('12月'!CF5:CG5,X$411)+COUNTIF('12月'!CK5:CL5,X$411)+COUNTIF('12月'!CP5:CQ5,X$411)+COUNTIF('12月'!CU5:CV5,X$411)+COUNTIF('12月'!CZ5:DA5,X$411)+COUNTIF('12月'!DE5:DF5,X$411)+COUNTIF('12月'!DJ5:DK5,X$411)+COUNTIF('12月'!DO5:DP5,X$411)+COUNTIF('12月'!DT5:DU5,X$411)+COUNTIF('12月'!DY5:DZ5,X$411)+COUNTIF('12月'!ED5:EE5,X$411)+COUNTIF('12月'!EI5:EJ5,X$411)+COUNTIF('12月'!EN5:EO5,X$411)+COUNTIF('12月'!ES5:ET5,X$411)</f>
        <v>0</v>
      </c>
      <c r="Y414" s="76">
        <f t="shared" ref="Y414:Y443" si="143">IF(X414=0,Y413,Y413+X414)</f>
        <v>0</v>
      </c>
    </row>
    <row r="415" spans="1:25" ht="18" customHeight="1">
      <c r="A415" s="76">
        <v>3</v>
      </c>
      <c r="B415" s="76">
        <f>COUNTIF('12月'!D6:E6,B$411)+COUNTIF('12月'!I6:J6,B$411)+COUNTIF('12月'!N6:O6,B$411)+COUNTIF('12月'!S6:T6,B$411)+COUNTIF('12月'!X6:Y6,B$411)+COUNTIF('12月'!AC6:AD6,B$411)+COUNTIF('12月'!AH6:AI6,B$411)+COUNTIF('12月'!AM6:AN6,B$411)+COUNTIF('12月'!AR6:AS6,B$411)+COUNTIF('12月'!AW6:AX6,B$411)+COUNTIF('12月'!BB6:BC6,B$411)+COUNTIF('12月'!BG6:BH6,B$411)+COUNTIF('12月'!BL6:BM6,B$411)+COUNTIF('12月'!BQ6:BR6,B$411)+COUNTIF('12月'!BV6:BW6,B$411)+COUNTIF('12月'!CA6:CB6,B$411)+COUNTIF('12月'!CF6:CG6,B$411)+COUNTIF('12月'!CK6:CL6,B$411)+COUNTIF('12月'!CP6:CQ6,B$411)+COUNTIF('12月'!CU6:CV6,B$411)+COUNTIF('12月'!CZ6:DA6,B$411)+COUNTIF('12月'!DE6:DF6,B$411)+COUNTIF('12月'!DJ6:DK6,B$411)+COUNTIF('12月'!DO6:DP6,B$411)+COUNTIF('12月'!DT6:DU6,B$411)+COUNTIF('12月'!DY6:DZ6,B$411)+COUNTIF('12月'!ED6:EE6,B$411)+COUNTIF('12月'!EI6:EJ6,B$411)+COUNTIF('12月'!EN6:EO6,B$411)+COUNTIF('12月'!ES6:ET6,B$411)</f>
        <v>0</v>
      </c>
      <c r="C415" s="76">
        <f t="shared" si="132"/>
        <v>0</v>
      </c>
      <c r="D415" s="76">
        <f>COUNTIF('12月'!D6:E6,D$411)+COUNTIF('12月'!I6:J6,D$411)+COUNTIF('12月'!N6:O6,D$411)+COUNTIF('12月'!S6:T6,D$411)+COUNTIF('12月'!X6:Y6,D$411)+COUNTIF('12月'!AC6:AD6,D$411)+COUNTIF('12月'!AH6:AI6,D$411)+COUNTIF('12月'!AM6:AN6,D$411)+COUNTIF('12月'!AR6:AS6,D$411)+COUNTIF('12月'!AW6:AX6,D$411)+COUNTIF('12月'!BB6:BC6,D$411)+COUNTIF('12月'!BG6:BH6,D$411)+COUNTIF('12月'!BL6:BM6,D$411)+COUNTIF('12月'!BQ6:BR6,D$411)+COUNTIF('12月'!BV6:BW6,D$411)+COUNTIF('12月'!CA6:CB6,D$411)+COUNTIF('12月'!CF6:CG6,D$411)+COUNTIF('12月'!CK6:CL6,D$411)+COUNTIF('12月'!CP6:CQ6,D$411)+COUNTIF('12月'!CU6:CV6,D$411)+COUNTIF('12月'!CZ6:DA6,D$411)+COUNTIF('12月'!DE6:DF6,D$411)+COUNTIF('12月'!DJ6:DK6,D$411)+COUNTIF('12月'!DO6:DP6,D$411)+COUNTIF('12月'!DT6:DU6,D$411)+COUNTIF('12月'!DY6:DZ6,D$411)+COUNTIF('12月'!ED6:EE6,D$411)+COUNTIF('12月'!EI6:EJ6,D$411)+COUNTIF('12月'!EN6:EO6,D$411)+COUNTIF('12月'!ES6:ET6,D$411)</f>
        <v>0</v>
      </c>
      <c r="E415" s="76">
        <f t="shared" si="133"/>
        <v>0</v>
      </c>
      <c r="F415" s="76">
        <f>COUNTIF('12月'!D6:E6,F$411)+COUNTIF('12月'!I6:J6,F$411)+COUNTIF('12月'!N6:O6,F$411)+COUNTIF('12月'!S6:T6,F$411)+COUNTIF('12月'!X6:Y6,F$411)+COUNTIF('12月'!AC6:AD6,F$411)+COUNTIF('12月'!AH6:AI6,F$411)+COUNTIF('12月'!AM6:AN6,F$411)+COUNTIF('12月'!AR6:AS6,F$411)+COUNTIF('12月'!AW6:AX6,F$411)+COUNTIF('12月'!BB6:BC6,F$411)+COUNTIF('12月'!BG6:BH6,F$411)+COUNTIF('12月'!BL6:BM6,F$411)+COUNTIF('12月'!BQ6:BR6,F$411)+COUNTIF('12月'!BV6:BW6,F$411)+COUNTIF('12月'!CA6:CB6,F$411)+COUNTIF('12月'!CF6:CG6,F$411)+COUNTIF('12月'!CK6:CL6,F$411)+COUNTIF('12月'!CP6:CQ6,F$411)+COUNTIF('12月'!CU6:CV6,F$411)+COUNTIF('12月'!CZ6:DA6,F$411)+COUNTIF('12月'!DE6:DF6,F$411)+COUNTIF('12月'!DJ6:DK6,F$411)+COUNTIF('12月'!DO6:DP6,F$411)+COUNTIF('12月'!DT6:DU6,F$411)+COUNTIF('12月'!DY6:DZ6,F$411)+COUNTIF('12月'!ED6:EE6,F$411)+COUNTIF('12月'!EI6:EJ6,F$411)+COUNTIF('12月'!EN6:EO6,F$411)+COUNTIF('12月'!ES6:ET6,F$411)</f>
        <v>0</v>
      </c>
      <c r="G415" s="76">
        <f t="shared" si="134"/>
        <v>0</v>
      </c>
      <c r="H415" s="76">
        <f>COUNTIF('12月'!D6:E6,H$411)+COUNTIF('12月'!I6:J6,H$411)+COUNTIF('12月'!N6:O6,H$411)+COUNTIF('12月'!S6:T6,H$411)+COUNTIF('12月'!X6:Y6,H$411)+COUNTIF('12月'!AC6:AD6,H$411)+COUNTIF('12月'!AH6:AI6,H$411)+COUNTIF('12月'!AM6:AN6,H$411)+COUNTIF('12月'!AR6:AS6,H$411)+COUNTIF('12月'!AW6:AX6,H$411)+COUNTIF('12月'!BB6:BC6,H$411)+COUNTIF('12月'!BG6:BH6,H$411)+COUNTIF('12月'!BL6:BM6,H$411)+COUNTIF('12月'!BQ6:BR6,H$411)+COUNTIF('12月'!BV6:BW6,H$411)+COUNTIF('12月'!CA6:CB6,H$411)+COUNTIF('12月'!CF6:CG6,H$411)+COUNTIF('12月'!CK6:CL6,H$411)+COUNTIF('12月'!CP6:CQ6,H$411)+COUNTIF('12月'!CU6:CV6,H$411)+COUNTIF('12月'!CZ6:DA6,H$411)+COUNTIF('12月'!DE6:DF6,H$411)+COUNTIF('12月'!DJ6:DK6,H$411)+COUNTIF('12月'!DO6:DP6,H$411)+COUNTIF('12月'!DT6:DU6,H$411)+COUNTIF('12月'!DY6:DZ6,H$411)+COUNTIF('12月'!ED6:EE6,H$411)+COUNTIF('12月'!EI6:EJ6,H$411)+COUNTIF('12月'!EN6:EO6,H$411)+COUNTIF('12月'!ES6:ET6,H$411)+COUNTIF('12月'!D6:E6,"渋谷-夜勤")+COUNTIF('12月'!I6:J6,"渋谷-夜勤")+COUNTIF('12月'!N6:O6,"渋谷-夜勤")+COUNTIF('12月'!S6:T6,"渋谷-夜勤")+COUNTIF('12月'!X6:Y6,"渋谷-夜勤")+COUNTIF('12月'!AC6:AD6,"渋谷-夜勤")+COUNTIF('12月'!AH6:AI6,"渋谷-夜勤")+COUNTIF('12月'!AM6:AN6,"渋谷-夜勤")+COUNTIF('12月'!AR6:AS6,"渋谷-夜勤")+COUNTIF('12月'!AW6:AX6,"渋谷-夜勤")+COUNTIF('12月'!BB6:BC6,"渋谷-夜勤")+COUNTIF('12月'!BG6:BH6,"渋谷-夜勤")+COUNTIF('12月'!BL6:BM6,"渋谷-夜勤")+COUNTIF('12月'!BQ6:BR6,"渋谷-夜勤")+COUNTIF('12月'!BV6:BW6,"渋谷-夜勤")+COUNTIF('12月'!CA6:CB6,"渋谷-夜勤")+COUNTIF('12月'!CF6:CG6,"渋谷-夜勤")+COUNTIF('12月'!CK6:CL6,"渋谷-夜勤")+COUNTIF('12月'!CP6:CQ6,"渋谷-夜勤")+COUNTIF('12月'!CU6:CV6,"渋谷-夜勤")+COUNTIF('12月'!CZ6:DA6,"渋谷-夜勤")+COUNTIF('12月'!DE6:DF6,"渋谷-夜勤")+COUNTIF('12月'!DJ6:DK6,"渋谷-夜勤")+COUNTIF('12月'!DO6:DP6,"渋谷-夜勤")+COUNTIF('12月'!DT6:DU6,"渋谷-夜勤")+COUNTIF('12月'!DY6:DZ6,"渋谷-夜勤")+COUNTIF('12月'!ED6:EE6,"渋谷-夜勤")+COUNTIF('12月'!EI6:EJ6,"渋谷-夜勤")+COUNTIF('12月'!EN6:EO6,"渋谷-夜勤")+COUNTIF('12月'!ES6:ET6,"渋谷-夜勤")</f>
        <v>0</v>
      </c>
      <c r="I415" s="76">
        <f t="shared" si="135"/>
        <v>0</v>
      </c>
      <c r="J415" s="76">
        <f>COUNTIF('12月'!D6:E6,J$411)+COUNTIF('12月'!I6:J6,J$411)+COUNTIF('12月'!N6:O6,J$411)+COUNTIF('12月'!S6:T6,J$411)+COUNTIF('12月'!X6:Y6,J$411)+COUNTIF('12月'!AC6:AD6,J$411)+COUNTIF('12月'!AH6:AI6,J$411)+COUNTIF('12月'!AM6:AN6,J$411)+COUNTIF('12月'!AR6:AS6,J$411)+COUNTIF('12月'!AW6:AX6,J$411)+COUNTIF('12月'!BB6:BC6,J$411)+COUNTIF('12月'!BG6:BH6,J$411)+COUNTIF('12月'!BL6:BM6,J$411)+COUNTIF('12月'!BQ6:BR6,J$411)+COUNTIF('12月'!BV6:BW6,J$411)+COUNTIF('12月'!CA6:CB6,J$411)+COUNTIF('12月'!CF6:CG6,J$411)+COUNTIF('12月'!CK6:CL6,J$411)+COUNTIF('12月'!CP6:CQ6,J$411)+COUNTIF('12月'!CU6:CV6,J$411)+COUNTIF('12月'!CZ6:DA6,J$411)+COUNTIF('12月'!DE6:DF6,J$411)+COUNTIF('12月'!DJ6:DK6,J$411)+COUNTIF('12月'!DO6:DP6,J$411)+COUNTIF('12月'!DT6:DU6,J$411)+COUNTIF('12月'!DY6:DZ6,J$411)+COUNTIF('12月'!ED6:EE6,J$411)+COUNTIF('12月'!EI6:EJ6,J$411)+COUNTIF('12月'!EN6:EO6,J$411)+COUNTIF('12月'!ES6:ET6,J$411)+COUNTIF('12月'!D6:E6,"六本木-夜勤")+COUNTIF('12月'!I6:J6,"六本木-夜勤")+COUNTIF('12月'!N6:O6,"六本木-夜勤")+COUNTIF('12月'!S6:T6,"六本木-夜勤")+COUNTIF('12月'!X6:Y6,"六本木-夜勤")+COUNTIF('12月'!AC6:AD6,"六本木-夜勤")+COUNTIF('12月'!AH6:AI6,"六本木-夜勤")+COUNTIF('12月'!AM6:AN6,"六本木-夜勤")+COUNTIF('12月'!AR6:AS6,"六本木-夜勤")+COUNTIF('12月'!AW6:AX6,"六本木-夜勤")+COUNTIF('12月'!BB6:BC6,"六本木-夜勤")+COUNTIF('12月'!BG6:BH6,"六本木-夜勤")+COUNTIF('12月'!BL6:BM6,"六本木-夜勤")+COUNTIF('12月'!BQ6:BR6,"六本木-夜勤")+COUNTIF('12月'!BV6:BW6,"六本木-夜勤")+COUNTIF('12月'!CA6:CB6,"六本木-夜勤")+COUNTIF('12月'!CF6:CG6,"六本木-夜勤")+COUNTIF('12月'!CK6:CL6,"六本木-夜勤")+COUNTIF('12月'!CP6:CQ6,"六本木-夜勤")+COUNTIF('12月'!CU6:CV6,"六本木-夜勤")+COUNTIF('12月'!CZ6:DA6,"六本木-夜勤")+COUNTIF('12月'!DE6:DF6,"六本木-夜勤")+COUNTIF('12月'!DJ6:DK6,"六本木-夜勤")+COUNTIF('12月'!DO6:DP6,"六本木-夜勤")+COUNTIF('12月'!DT6:DU6,"六本木-夜勤")+COUNTIF('12月'!DY6:DZ6,"六本木-夜勤")+COUNTIF('12月'!ED6:EE6,"六本木-夜勤")+COUNTIF('12月'!EI6:EJ6,"六本木-夜勤")+COUNTIF('12月'!EN6:EO6,"六本木-夜勤")+COUNTIF('12月'!ES6:ET6,"六本木-夜勤")+COUNTIF('12月'!D6:E6,"六本木ー夜勤")+COUNTIF('12月'!I6:J6,"六本木ー夜勤")+COUNTIF('12月'!N6:O6,"六本木ー夜勤")+COUNTIF('12月'!S6:T6,"六本木ー夜勤")+COUNTIF('12月'!X6:Y6,"六本木ー夜勤")+COUNTIF('12月'!AC6:AD6,"六本木ー夜勤")+COUNTIF('12月'!AH6:AI6,"六本木ー夜勤")+COUNTIF('12月'!AM6:AN6,"六本木ー夜勤")+COUNTIF('12月'!AR6:AS6,"六本木ー夜勤")+COUNTIF('12月'!AW6:AX6,"六本木ー夜勤")+COUNTIF('12月'!BB6:BC6,"六本木ー夜勤")+COUNTIF('12月'!BG6:BH6,"六本木ー夜勤")+COUNTIF('12月'!BL6:BM6,"六本木ー夜勤")+COUNTIF('12月'!BQ6:BR6,"六本木ー夜勤")+COUNTIF('12月'!BV6:BW6,"六本木ー夜勤")+COUNTIF('12月'!CA6:CB6,"六本木ー夜勤")+COUNTIF('12月'!CF6:CG6,"六本木ー夜勤")+COUNTIF('12月'!CK6:CL6,"六本木ー夜勤")+COUNTIF('12月'!CP6:CQ6,"六本木ー夜勤")+COUNTIF('12月'!CU6:CV6,"六本木ー夜勤")+COUNTIF('12月'!CZ6:DA6,"六本木ー夜勤")+COUNTIF('12月'!DE6:DF6,"六本木ー夜勤")+COUNTIF('12月'!DJ6:DK6,"六本木ー夜勤")+COUNTIF('12月'!DO6:DP6,"六本木ー夜勤")+COUNTIF('12月'!DT6:DU6,"六本木ー夜勤")+COUNTIF('12月'!DY6:DZ6,"六本木ー夜勤")+COUNTIF('12月'!ED6:EE6,"六本木ー夜勤")+COUNTIF('12月'!EI6:EJ6,"六本木ー夜勤")+COUNTIF('12月'!EN6:EO6,"六本木ー夜勤")+COUNTIF('12月'!ES6:ET6,"六本木ー夜勤")</f>
        <v>0</v>
      </c>
      <c r="K415" s="76">
        <f t="shared" si="136"/>
        <v>0</v>
      </c>
      <c r="L415" s="76">
        <f>COUNTIF('12月'!D6:E6,L$411)+COUNTIF('12月'!I6:J6,L$411)+COUNTIF('12月'!N6:O6,L$411)+COUNTIF('12月'!S6:T6,L$411)+COUNTIF('12月'!X6:Y6,L$411)+COUNTIF('12月'!AC6:AD6,L$411)+COUNTIF('12月'!AH6:AI6,L$411)+COUNTIF('12月'!AM6:AN6,L$411)+COUNTIF('12月'!AR6:AS6,L$411)+COUNTIF('12月'!AW6:AX6,L$411)+COUNTIF('12月'!BB6:BC6,L$411)+COUNTIF('12月'!BG6:BH6,L$411)+COUNTIF('12月'!BL6:BM6,L$411)+COUNTIF('12月'!BQ6:BR6,L$411)+COUNTIF('12月'!BV6:BW6,L$411)+COUNTIF('12月'!CA6:CB6,L$411)+COUNTIF('12月'!CF6:CG6,L$411)+COUNTIF('12月'!CK6:CL6,L$411)+COUNTIF('12月'!CP6:CQ6,L$411)+COUNTIF('12月'!CU6:CV6,L$411)+COUNTIF('12月'!CZ6:DA6,L$411)+COUNTIF('12月'!DE6:DF6,L$411)+COUNTIF('12月'!DJ6:DK6,L$411)+COUNTIF('12月'!DO6:DP6,L$411)+COUNTIF('12月'!DT6:DU6,L$411)+COUNTIF('12月'!DY6:DZ6,L$411)+COUNTIF('12月'!ED6:EE6,L$411)+COUNTIF('12月'!EI6:EJ6,L$411)+COUNTIF('12月'!EN6:EO6,L$411)+COUNTIF('12月'!ES6:ET6,L$411)</f>
        <v>0</v>
      </c>
      <c r="M415" s="76">
        <f t="shared" si="137"/>
        <v>0</v>
      </c>
      <c r="N415" s="76">
        <f>COUNTIF('12月'!D6:E6,N$411)+COUNTIF('12月'!I6:J6,N$411)+COUNTIF('12月'!N6:O6,N$411)+COUNTIF('12月'!S6:T6,N$411)+COUNTIF('12月'!X6:Y6,N$411)+COUNTIF('12月'!AC6:AD6,N$411)+COUNTIF('12月'!AH6:AI6,N$411)+COUNTIF('12月'!AM6:AN6,N$411)+COUNTIF('12月'!AR6:AS6,N$411)+COUNTIF('12月'!AW6:AX6,N$411)+COUNTIF('12月'!BB6:BC6,N$411)+COUNTIF('12月'!BG6:BH6,N$411)+COUNTIF('12月'!BL6:BM6,N$411)+COUNTIF('12月'!BQ6:BR6,N$411)+COUNTIF('12月'!BV6:BW6,N$411)+COUNTIF('12月'!CA6:CB6,N$411)+COUNTIF('12月'!CF6:CG6,N$411)+COUNTIF('12月'!CK6:CL6,N$411)+COUNTIF('12月'!CP6:CQ6,N$411)+COUNTIF('12月'!CU6:CV6,N$411)+COUNTIF('12月'!CZ6:DA6,N$411)+COUNTIF('12月'!DE6:DF6,N$411)+COUNTIF('12月'!DJ6:DK6,N$411)+COUNTIF('12月'!DO6:DP6,N$411)+COUNTIF('12月'!DT6:DU6,N$411)+COUNTIF('12月'!DY6:DZ6,N$411)+COUNTIF('12月'!ED6:EE6,N$411)+COUNTIF('12月'!EI6:EJ6,N$411)+COUNTIF('12月'!EN6:EO6,N$411)+COUNTIF('12月'!ES6:ET6,N$411)+COUNTIF('12月'!D6:E6,"三軒茶屋－夜勤")+COUNTIF('12月'!I6:J6,"三軒茶屋－夜勤")+COUNTIF('12月'!N6:O6,"三軒茶屋－夜勤")+COUNTIF('12月'!S6:T6,"三軒茶屋－夜勤")+COUNTIF('12月'!X6:Y6,"三軒茶屋－夜勤")+COUNTIF('12月'!AC6:AD6,"三軒茶屋－夜勤")+COUNTIF('12月'!AH6:AI6,"三軒茶屋－夜勤")+COUNTIF('12月'!AM6:AN6,"三軒茶屋－夜勤")+COUNTIF('12月'!AR6:AS6,"三軒茶屋－夜勤")+COUNTIF('12月'!AW6:AX6,"三軒茶屋－夜勤")+COUNTIF('12月'!BB6:BC6,"三軒茶屋－夜勤")+COUNTIF('12月'!BG6:BH6,"三軒茶屋－夜勤")+COUNTIF('12月'!BL6:BM6,"三軒茶屋－夜勤")+COUNTIF('12月'!BQ6:BR6,"三軒茶屋－夜勤")+COUNTIF('12月'!BV6:BW6,"三軒茶屋－夜勤")+COUNTIF('12月'!CA6:CB6,"三軒茶屋－夜勤")+COUNTIF('12月'!CF6:CG6,"三軒茶屋－夜勤")+COUNTIF('12月'!CK6:CL6,"三軒茶屋－夜勤")+COUNTIF('12月'!CP6:CQ6,"三軒茶屋－夜勤")+COUNTIF('12月'!CU6:CV6,"三軒茶屋－夜勤")+COUNTIF('12月'!CZ6:DA6,"三軒茶屋－夜勤")+COUNTIF('12月'!DE6:DF6,"三軒茶屋－夜勤")+COUNTIF('12月'!DJ6:DK6,"三軒茶屋－夜勤")+COUNTIF('12月'!DO6:DP6,"三軒茶屋－夜勤")+COUNTIF('12月'!DT6:DU6,"三軒茶屋－夜勤")+COUNTIF('12月'!DY6:DZ6,"三軒茶屋－夜勤")+COUNTIF('12月'!ED6:EE6,"三軒茶屋－夜勤")+COUNTIF('12月'!EI6:EJ6,"三軒茶屋－夜勤")+COUNTIF('12月'!EN6:EO6,"三軒茶屋－夜勤")+COUNTIF('12月'!ES6:ET6,"三軒茶屋－夜勤")</f>
        <v>0</v>
      </c>
      <c r="O415" s="76">
        <f t="shared" si="138"/>
        <v>0</v>
      </c>
      <c r="P415" s="76">
        <f>COUNTIF('12月'!D6:E6,P$411)+COUNTIF('12月'!I6:J6,P$411)+COUNTIF('12月'!N6:O6,P$411)+COUNTIF('12月'!S6:T6,P$411)+COUNTIF('12月'!X6:Y6,P$411)+COUNTIF('12月'!AC6:AD6,P$411)+COUNTIF('12月'!AH6:AI6,P$411)+COUNTIF('12月'!AM6:AN6,P$411)+COUNTIF('12月'!AR6:AS6,P$411)+COUNTIF('12月'!AW6:AX6,P$411)+COUNTIF('12月'!BB6:BC6,P$411)+COUNTIF('12月'!BG6:BH6,P$411)+COUNTIF('12月'!BL6:BM6,P$411)+COUNTIF('12月'!BQ6:BR6,P$411)+COUNTIF('12月'!BV6:BW6,P$411)+COUNTIF('12月'!CA6:CB6,P$411)+COUNTIF('12月'!CF6:CG6,P$411)+COUNTIF('12月'!CK6:CL6,P$411)+COUNTIF('12月'!CP6:CQ6,P$411)+COUNTIF('12月'!CU6:CV6,P$411)+COUNTIF('12月'!CZ6:DA6,P$411)+COUNTIF('12月'!DE6:DF6,P$411)+COUNTIF('12月'!DJ6:DK6,P$411)+COUNTIF('12月'!DO6:DP6,P$411)+COUNTIF('12月'!DT6:DU6,P$411)+COUNTIF('12月'!DY6:DZ6,P$411)+COUNTIF('12月'!ED6:EE6,P$411)+COUNTIF('12月'!EI6:EJ6,P$411)+COUNTIF('12月'!EN6:EO6,P$411)+COUNTIF('12月'!ES6:ET6,P$411)+COUNTIF('12月'!D6:E6,"荻窪ー夜勤")+COUNTIF('12月'!I6:J6,"荻窪ー夜勤")+COUNTIF('12月'!N6:O6,"荻窪ー夜勤")+COUNTIF('12月'!S6:T6,"荻窪ー夜勤")+COUNTIF('12月'!X6:Y6,"荻窪ー夜勤")+COUNTIF('12月'!AC6:AD6,"荻窪ー夜勤")+COUNTIF('12月'!AH6:AI6,"荻窪ー夜勤")+COUNTIF('12月'!AM6:AN6,"荻窪ー夜勤")+COUNTIF('12月'!AR6:AS6,"荻窪ー夜勤")+COUNTIF('12月'!AW6:AX6,"荻窪ー夜勤")+COUNTIF('12月'!BB6:BC6,"荻窪ー夜勤")+COUNTIF('12月'!BG6:BH6,"荻窪ー夜勤")+COUNTIF('12月'!BL6:BM6,"荻窪ー夜勤")+COUNTIF('12月'!BQ6:BR6,"荻窪ー夜勤")+COUNTIF('12月'!BV6:BW6,"荻窪ー夜勤")+COUNTIF('12月'!CA6:CB6,"荻窪ー夜勤")+COUNTIF('12月'!CF6:CG6,"荻窪ー夜勤")+COUNTIF('12月'!CK6:CL6,"荻窪ー夜勤")+COUNTIF('12月'!CP6:CQ6,"荻窪ー夜勤")+COUNTIF('12月'!CU6:CV6,"荻窪ー夜勤")+COUNTIF('12月'!CZ6:DA6,"荻窪ー夜勤")+COUNTIF('12月'!DE6:DF6,"荻窪ー夜勤")+COUNTIF('12月'!DJ6:DK6,"荻窪ー夜勤")+COUNTIF('12月'!DO6:DP6,"荻窪ー夜勤")+COUNTIF('12月'!DT6:DU6,"荻窪ー夜勤")+COUNTIF('12月'!DY6:DZ6,"荻窪ー夜勤")+COUNTIF('12月'!ED6:EE6,"荻窪ー夜勤")+COUNTIF('12月'!EI6:EJ6,"荻窪ー夜勤")+COUNTIF('12月'!EN6:EO6,"荻窪ー夜勤")+COUNTIF('12月'!ES6:ET6,"荻窪ー夜勤")</f>
        <v>0</v>
      </c>
      <c r="Q415" s="76">
        <f t="shared" si="139"/>
        <v>0</v>
      </c>
      <c r="R415" s="76">
        <f>COUNTIF('12月'!D6:E6,R$411)+COUNTIF('12月'!I6:J6,R$411)+COUNTIF('12月'!N6:O6,R$411)+COUNTIF('12月'!S6:T6,R$411)+COUNTIF('12月'!X6:Y6,R$411)+COUNTIF('12月'!AC6:AD6,R$411)+COUNTIF('12月'!AH6:AI6,R$411)+COUNTIF('12月'!AM6:AN6,R$411)+COUNTIF('12月'!AR6:AS6,R$411)+COUNTIF('12月'!AW6:AX6,R$411)+COUNTIF('12月'!BB6:BC6,R$411)+COUNTIF('12月'!BG6:BH6,R$411)+COUNTIF('12月'!BL6:BM6,R$411)+COUNTIF('12月'!BQ6:BR6,R$411)+COUNTIF('12月'!BV6:BW6,R$411)+COUNTIF('12月'!CA6:CB6,R$411)+COUNTIF('12月'!CF6:CG6,R$411)+COUNTIF('12月'!CK6:CL6,R$411)+COUNTIF('12月'!CP6:CQ6,R$411)+COUNTIF('12月'!CU6:CV6,R$411)+COUNTIF('12月'!CZ6:DA6,R$411)+COUNTIF('12月'!DE6:DF6,R$411)+COUNTIF('12月'!DJ6:DK6,R$411)+COUNTIF('12月'!DO6:DP6,R$411)+COUNTIF('12月'!DT6:DU6,R$411)+COUNTIF('12月'!DY6:DZ6,R$411)+COUNTIF('12月'!ED6:EE6,R$411)+COUNTIF('12月'!EI6:EJ6,R$411)+COUNTIF('12月'!EN6:EO6,R$411)+COUNTIF('12月'!ES6:ET6,R$411)</f>
        <v>0</v>
      </c>
      <c r="S415" s="76">
        <f t="shared" si="140"/>
        <v>0</v>
      </c>
      <c r="T415" s="76">
        <f>COUNTIF('12月'!D6:E6,T$411)+COUNTIF('12月'!I6:J6,T$411)+COUNTIF('12月'!N6:O6,T$411)+COUNTIF('12月'!S6:T6,T$411)+COUNTIF('12月'!X6:Y6,T$411)+COUNTIF('12月'!AC6:AD6,T$411)+COUNTIF('12月'!AH6:AI6,T$411)+COUNTIF('12月'!AM6:AN6,T$411)+COUNTIF('12月'!AR6:AS6,T$411)+COUNTIF('12月'!AW6:AX6,T$411)+COUNTIF('12月'!BB6:BC6,T$411)+COUNTIF('12月'!BG6:BH6,T$411)+COUNTIF('12月'!BL6:BM6,T$411)+COUNTIF('12月'!BQ6:BR6,T$411)+COUNTIF('12月'!BV6:BW6,T$411)+COUNTIF('12月'!CA6:CB6,T$411)+COUNTIF('12月'!CF6:CG6,T$411)+COUNTIF('12月'!CK6:CL6,T$411)+COUNTIF('12月'!CP6:CQ6,T$411)+COUNTIF('12月'!CU6:CV6,T$411)+COUNTIF('12月'!CZ6:DA6,T$411)+COUNTIF('12月'!DE6:DF6,T$411)+COUNTIF('12月'!DJ6:DK6,T$411)+COUNTIF('12月'!DO6:DP6,T$411)+COUNTIF('12月'!DT6:DU6,T$411)+COUNTIF('12月'!DY6:DZ6,T$411)+COUNTIF('12月'!ED6:EE6,T$411)+COUNTIF('12月'!EI6:EJ6,T$411)+COUNTIF('12月'!EN6:EO6,T$411)+COUNTIF('12月'!ES6:ET6,T$411)</f>
        <v>0</v>
      </c>
      <c r="U415" s="76">
        <f t="shared" si="141"/>
        <v>0</v>
      </c>
      <c r="V415" s="76">
        <f>COUNTIF('12月'!D6:E6,V$411)+COUNTIF('12月'!I6:J6,V$411)+COUNTIF('12月'!N6:O6,V$411)+COUNTIF('12月'!S6:T6,V$411)+COUNTIF('12月'!X6:Y6,V$411)+COUNTIF('12月'!AC6:AD6,V$411)+COUNTIF('12月'!AH6:AI6,V$411)+COUNTIF('12月'!AM6:AN6,V$411)+COUNTIF('12月'!AR6:AS6,V$411)+COUNTIF('12月'!AW6:AX6,V$411)+COUNTIF('12月'!BB6:BC6,V$411)+COUNTIF('12月'!BG6:BH6,V$411)+COUNTIF('12月'!BL6:BM6,V$411)+COUNTIF('12月'!BQ6:BR6,V$411)+COUNTIF('12月'!BV6:BW6,V$411)+COUNTIF('12月'!CA6:CB6,V$411)+COUNTIF('12月'!CF6:CG6,V$411)+COUNTIF('12月'!CK6:CL6,V$411)+COUNTIF('12月'!CP6:CQ6,V$411)+COUNTIF('12月'!CU6:CV6,V$411)+COUNTIF('12月'!CZ6:DA6,V$411)+COUNTIF('12月'!DE6:DF6,V$411)+COUNTIF('12月'!DJ6:DK6,V$411)+COUNTIF('12月'!DO6:DP6,V$411)+COUNTIF('12月'!DT6:DU6,V$411)+COUNTIF('12月'!DY6:DZ6,V$411)+COUNTIF('12月'!ED6:EE6,V$411)+COUNTIF('12月'!EI6:EJ6,V$411)+COUNTIF('12月'!EN6:EO6,V$411)+COUNTIF('12月'!ES6:ET6,V$411)</f>
        <v>0</v>
      </c>
      <c r="W415" s="76">
        <f t="shared" si="142"/>
        <v>0</v>
      </c>
      <c r="X415" s="76">
        <f>COUNTIF('12月'!D6:E6,X$411)+COUNTIF('12月'!I6:J6,X$411)+COUNTIF('12月'!N6:O6,X$411)+COUNTIF('12月'!S6:T6,X$411)+COUNTIF('12月'!X6:Y6,X$411)+COUNTIF('12月'!AC6:AD6,X$411)+COUNTIF('12月'!AH6:AI6,X$411)+COUNTIF('12月'!AM6:AN6,X$411)+COUNTIF('12月'!AR6:AS6,X$411)+COUNTIF('12月'!AW6:AX6,X$411)+COUNTIF('12月'!BB6:BC6,X$411)+COUNTIF('12月'!BG6:BH6,X$411)+COUNTIF('12月'!BL6:BM6,X$411)+COUNTIF('12月'!BQ6:BR6,X$411)+COUNTIF('12月'!BV6:BW6,X$411)+COUNTIF('12月'!CA6:CB6,X$411)+COUNTIF('12月'!CF6:CG6,X$411)+COUNTIF('12月'!CK6:CL6,X$411)+COUNTIF('12月'!CP6:CQ6,X$411)+COUNTIF('12月'!CU6:CV6,X$411)+COUNTIF('12月'!CZ6:DA6,X$411)+COUNTIF('12月'!DE6:DF6,X$411)+COUNTIF('12月'!DJ6:DK6,X$411)+COUNTIF('12月'!DO6:DP6,X$411)+COUNTIF('12月'!DT6:DU6,X$411)+COUNTIF('12月'!DY6:DZ6,X$411)+COUNTIF('12月'!ED6:EE6,X$411)+COUNTIF('12月'!EI6:EJ6,X$411)+COUNTIF('12月'!EN6:EO6,X$411)+COUNTIF('12月'!ES6:ET6,X$411)</f>
        <v>0</v>
      </c>
      <c r="Y415" s="76">
        <f t="shared" si="143"/>
        <v>0</v>
      </c>
    </row>
    <row r="416" spans="1:25" ht="18" customHeight="1">
      <c r="A416" s="76">
        <v>4</v>
      </c>
      <c r="B416" s="76">
        <f>COUNTIF('12月'!D7:E7,B$411)+COUNTIF('12月'!I7:J7,B$411)+COUNTIF('12月'!N7:O7,B$411)+COUNTIF('12月'!S7:T7,B$411)+COUNTIF('12月'!X7:Y7,B$411)+COUNTIF('12月'!AC7:AD7,B$411)+COUNTIF('12月'!AH7:AI7,B$411)+COUNTIF('12月'!AM7:AN7,B$411)+COUNTIF('12月'!AR7:AS7,B$411)+COUNTIF('12月'!AW7:AX7,B$411)+COUNTIF('12月'!BB7:BC7,B$411)+COUNTIF('12月'!BG7:BH7,B$411)+COUNTIF('12月'!BL7:BM7,B$411)+COUNTIF('12月'!BQ7:BR7,B$411)+COUNTIF('12月'!BV7:BW7,B$411)+COUNTIF('12月'!CA7:CB7,B$411)+COUNTIF('12月'!CF7:CG7,B$411)+COUNTIF('12月'!CK7:CL7,B$411)+COUNTIF('12月'!CP7:CQ7,B$411)+COUNTIF('12月'!CU7:CV7,B$411)+COUNTIF('12月'!CZ7:DA7,B$411)+COUNTIF('12月'!DE7:DF7,B$411)+COUNTIF('12月'!DJ7:DK7,B$411)+COUNTIF('12月'!DO7:DP7,B$411)+COUNTIF('12月'!DT7:DU7,B$411)+COUNTIF('12月'!DY7:DZ7,B$411)+COUNTIF('12月'!ED7:EE7,B$411)+COUNTIF('12月'!EI7:EJ7,B$411)+COUNTIF('12月'!EN7:EO7,B$411)+COUNTIF('12月'!ES7:ET7,B$411)</f>
        <v>0</v>
      </c>
      <c r="C416" s="76">
        <f t="shared" si="132"/>
        <v>0</v>
      </c>
      <c r="D416" s="76">
        <f>COUNTIF('12月'!D7:E7,D$411)+COUNTIF('12月'!I7:J7,D$411)+COUNTIF('12月'!N7:O7,D$411)+COUNTIF('12月'!S7:T7,D$411)+COUNTIF('12月'!X7:Y7,D$411)+COUNTIF('12月'!AC7:AD7,D$411)+COUNTIF('12月'!AH7:AI7,D$411)+COUNTIF('12月'!AM7:AN7,D$411)+COUNTIF('12月'!AR7:AS7,D$411)+COUNTIF('12月'!AW7:AX7,D$411)+COUNTIF('12月'!BB7:BC7,D$411)+COUNTIF('12月'!BG7:BH7,D$411)+COUNTIF('12月'!BL7:BM7,D$411)+COUNTIF('12月'!BQ7:BR7,D$411)+COUNTIF('12月'!BV7:BW7,D$411)+COUNTIF('12月'!CA7:CB7,D$411)+COUNTIF('12月'!CF7:CG7,D$411)+COUNTIF('12月'!CK7:CL7,D$411)+COUNTIF('12月'!CP7:CQ7,D$411)+COUNTIF('12月'!CU7:CV7,D$411)+COUNTIF('12月'!CZ7:DA7,D$411)+COUNTIF('12月'!DE7:DF7,D$411)+COUNTIF('12月'!DJ7:DK7,D$411)+COUNTIF('12月'!DO7:DP7,D$411)+COUNTIF('12月'!DT7:DU7,D$411)+COUNTIF('12月'!DY7:DZ7,D$411)+COUNTIF('12月'!ED7:EE7,D$411)+COUNTIF('12月'!EI7:EJ7,D$411)+COUNTIF('12月'!EN7:EO7,D$411)+COUNTIF('12月'!ES7:ET7,D$411)</f>
        <v>0</v>
      </c>
      <c r="E416" s="76">
        <f t="shared" si="133"/>
        <v>0</v>
      </c>
      <c r="F416" s="76">
        <f>COUNTIF('12月'!D7:E7,F$411)+COUNTIF('12月'!I7:J7,F$411)+COUNTIF('12月'!N7:O7,F$411)+COUNTIF('12月'!S7:T7,F$411)+COUNTIF('12月'!X7:Y7,F$411)+COUNTIF('12月'!AC7:AD7,F$411)+COUNTIF('12月'!AH7:AI7,F$411)+COUNTIF('12月'!AM7:AN7,F$411)+COUNTIF('12月'!AR7:AS7,F$411)+COUNTIF('12月'!AW7:AX7,F$411)+COUNTIF('12月'!BB7:BC7,F$411)+COUNTIF('12月'!BG7:BH7,F$411)+COUNTIF('12月'!BL7:BM7,F$411)+COUNTIF('12月'!BQ7:BR7,F$411)+COUNTIF('12月'!BV7:BW7,F$411)+COUNTIF('12月'!CA7:CB7,F$411)+COUNTIF('12月'!CF7:CG7,F$411)+COUNTIF('12月'!CK7:CL7,F$411)+COUNTIF('12月'!CP7:CQ7,F$411)+COUNTIF('12月'!CU7:CV7,F$411)+COUNTIF('12月'!CZ7:DA7,F$411)+COUNTIF('12月'!DE7:DF7,F$411)+COUNTIF('12月'!DJ7:DK7,F$411)+COUNTIF('12月'!DO7:DP7,F$411)+COUNTIF('12月'!DT7:DU7,F$411)+COUNTIF('12月'!DY7:DZ7,F$411)+COUNTIF('12月'!ED7:EE7,F$411)+COUNTIF('12月'!EI7:EJ7,F$411)+COUNTIF('12月'!EN7:EO7,F$411)+COUNTIF('12月'!ES7:ET7,F$411)</f>
        <v>0</v>
      </c>
      <c r="G416" s="76">
        <f t="shared" si="134"/>
        <v>0</v>
      </c>
      <c r="H416" s="76">
        <f>COUNTIF('12月'!D7:E7,H$411)+COUNTIF('12月'!I7:J7,H$411)+COUNTIF('12月'!N7:O7,H$411)+COUNTIF('12月'!S7:T7,H$411)+COUNTIF('12月'!X7:Y7,H$411)+COUNTIF('12月'!AC7:AD7,H$411)+COUNTIF('12月'!AH7:AI7,H$411)+COUNTIF('12月'!AM7:AN7,H$411)+COUNTIF('12月'!AR7:AS7,H$411)+COUNTIF('12月'!AW7:AX7,H$411)+COUNTIF('12月'!BB7:BC7,H$411)+COUNTIF('12月'!BG7:BH7,H$411)+COUNTIF('12月'!BL7:BM7,H$411)+COUNTIF('12月'!BQ7:BR7,H$411)+COUNTIF('12月'!BV7:BW7,H$411)+COUNTIF('12月'!CA7:CB7,H$411)+COUNTIF('12月'!CF7:CG7,H$411)+COUNTIF('12月'!CK7:CL7,H$411)+COUNTIF('12月'!CP7:CQ7,H$411)+COUNTIF('12月'!CU7:CV7,H$411)+COUNTIF('12月'!CZ7:DA7,H$411)+COUNTIF('12月'!DE7:DF7,H$411)+COUNTIF('12月'!DJ7:DK7,H$411)+COUNTIF('12月'!DO7:DP7,H$411)+COUNTIF('12月'!DT7:DU7,H$411)+COUNTIF('12月'!DY7:DZ7,H$411)+COUNTIF('12月'!ED7:EE7,H$411)+COUNTIF('12月'!EI7:EJ7,H$411)+COUNTIF('12月'!EN7:EO7,H$411)+COUNTIF('12月'!ES7:ET7,H$411)+COUNTIF('12月'!D7:E7,"渋谷-夜勤")+COUNTIF('12月'!I7:J7,"渋谷-夜勤")+COUNTIF('12月'!N7:O7,"渋谷-夜勤")+COUNTIF('12月'!S7:T7,"渋谷-夜勤")+COUNTIF('12月'!X7:Y7,"渋谷-夜勤")+COUNTIF('12月'!AC7:AD7,"渋谷-夜勤")+COUNTIF('12月'!AH7:AI7,"渋谷-夜勤")+COUNTIF('12月'!AM7:AN7,"渋谷-夜勤")+COUNTIF('12月'!AR7:AS7,"渋谷-夜勤")+COUNTIF('12月'!AW7:AX7,"渋谷-夜勤")+COUNTIF('12月'!BB7:BC7,"渋谷-夜勤")+COUNTIF('12月'!BG7:BH7,"渋谷-夜勤")+COUNTIF('12月'!BL7:BM7,"渋谷-夜勤")+COUNTIF('12月'!BQ7:BR7,"渋谷-夜勤")+COUNTIF('12月'!BV7:BW7,"渋谷-夜勤")+COUNTIF('12月'!CA7:CB7,"渋谷-夜勤")+COUNTIF('12月'!CF7:CG7,"渋谷-夜勤")+COUNTIF('12月'!CK7:CL7,"渋谷-夜勤")+COUNTIF('12月'!CP7:CQ7,"渋谷-夜勤")+COUNTIF('12月'!CU7:CV7,"渋谷-夜勤")+COUNTIF('12月'!CZ7:DA7,"渋谷-夜勤")+COUNTIF('12月'!DE7:DF7,"渋谷-夜勤")+COUNTIF('12月'!DJ7:DK7,"渋谷-夜勤")+COUNTIF('12月'!DO7:DP7,"渋谷-夜勤")+COUNTIF('12月'!DT7:DU7,"渋谷-夜勤")+COUNTIF('12月'!DY7:DZ7,"渋谷-夜勤")+COUNTIF('12月'!ED7:EE7,"渋谷-夜勤")+COUNTIF('12月'!EI7:EJ7,"渋谷-夜勤")+COUNTIF('12月'!EN7:EO7,"渋谷-夜勤")+COUNTIF('12月'!ES7:ET7,"渋谷-夜勤")</f>
        <v>0</v>
      </c>
      <c r="I416" s="76">
        <f t="shared" si="135"/>
        <v>0</v>
      </c>
      <c r="J416" s="76">
        <f>COUNTIF('12月'!D7:E7,J$411)+COUNTIF('12月'!I7:J7,J$411)+COUNTIF('12月'!N7:O7,J$411)+COUNTIF('12月'!S7:T7,J$411)+COUNTIF('12月'!X7:Y7,J$411)+COUNTIF('12月'!AC7:AD7,J$411)+COUNTIF('12月'!AH7:AI7,J$411)+COUNTIF('12月'!AM7:AN7,J$411)+COUNTIF('12月'!AR7:AS7,J$411)+COUNTIF('12月'!AW7:AX7,J$411)+COUNTIF('12月'!BB7:BC7,J$411)+COUNTIF('12月'!BG7:BH7,J$411)+COUNTIF('12月'!BL7:BM7,J$411)+COUNTIF('12月'!BQ7:BR7,J$411)+COUNTIF('12月'!BV7:BW7,J$411)+COUNTIF('12月'!CA7:CB7,J$411)+COUNTIF('12月'!CF7:CG7,J$411)+COUNTIF('12月'!CK7:CL7,J$411)+COUNTIF('12月'!CP7:CQ7,J$411)+COUNTIF('12月'!CU7:CV7,J$411)+COUNTIF('12月'!CZ7:DA7,J$411)+COUNTIF('12月'!DE7:DF7,J$411)+COUNTIF('12月'!DJ7:DK7,J$411)+COUNTIF('12月'!DO7:DP7,J$411)+COUNTIF('12月'!DT7:DU7,J$411)+COUNTIF('12月'!DY7:DZ7,J$411)+COUNTIF('12月'!ED7:EE7,J$411)+COUNTIF('12月'!EI7:EJ7,J$411)+COUNTIF('12月'!EN7:EO7,J$411)+COUNTIF('12月'!ES7:ET7,J$411)+COUNTIF('12月'!D7:E7,"六本木-夜勤")+COUNTIF('12月'!I7:J7,"六本木-夜勤")+COUNTIF('12月'!N7:O7,"六本木-夜勤")+COUNTIF('12月'!S7:T7,"六本木-夜勤")+COUNTIF('12月'!X7:Y7,"六本木-夜勤")+COUNTIF('12月'!AC7:AD7,"六本木-夜勤")+COUNTIF('12月'!AH7:AI7,"六本木-夜勤")+COUNTIF('12月'!AM7:AN7,"六本木-夜勤")+COUNTIF('12月'!AR7:AS7,"六本木-夜勤")+COUNTIF('12月'!AW7:AX7,"六本木-夜勤")+COUNTIF('12月'!BB7:BC7,"六本木-夜勤")+COUNTIF('12月'!BG7:BH7,"六本木-夜勤")+COUNTIF('12月'!BL7:BM7,"六本木-夜勤")+COUNTIF('12月'!BQ7:BR7,"六本木-夜勤")+COUNTIF('12月'!BV7:BW7,"六本木-夜勤")+COUNTIF('12月'!CA7:CB7,"六本木-夜勤")+COUNTIF('12月'!CF7:CG7,"六本木-夜勤")+COUNTIF('12月'!CK7:CL7,"六本木-夜勤")+COUNTIF('12月'!CP7:CQ7,"六本木-夜勤")+COUNTIF('12月'!CU7:CV7,"六本木-夜勤")+COUNTIF('12月'!CZ7:DA7,"六本木-夜勤")+COUNTIF('12月'!DE7:DF7,"六本木-夜勤")+COUNTIF('12月'!DJ7:DK7,"六本木-夜勤")+COUNTIF('12月'!DO7:DP7,"六本木-夜勤")+COUNTIF('12月'!DT7:DU7,"六本木-夜勤")+COUNTIF('12月'!DY7:DZ7,"六本木-夜勤")+COUNTIF('12月'!ED7:EE7,"六本木-夜勤")+COUNTIF('12月'!EI7:EJ7,"六本木-夜勤")+COUNTIF('12月'!EN7:EO7,"六本木-夜勤")+COUNTIF('12月'!ES7:ET7,"六本木-夜勤")+COUNTIF('12月'!D7:E7,"六本木ー夜勤")+COUNTIF('12月'!I7:J7,"六本木ー夜勤")+COUNTIF('12月'!N7:O7,"六本木ー夜勤")+COUNTIF('12月'!S7:T7,"六本木ー夜勤")+COUNTIF('12月'!X7:Y7,"六本木ー夜勤")+COUNTIF('12月'!AC7:AD7,"六本木ー夜勤")+COUNTIF('12月'!AH7:AI7,"六本木ー夜勤")+COUNTIF('12月'!AM7:AN7,"六本木ー夜勤")+COUNTIF('12月'!AR7:AS7,"六本木ー夜勤")+COUNTIF('12月'!AW7:AX7,"六本木ー夜勤")+COUNTIF('12月'!BB7:BC7,"六本木ー夜勤")+COUNTIF('12月'!BG7:BH7,"六本木ー夜勤")+COUNTIF('12月'!BL7:BM7,"六本木ー夜勤")+COUNTIF('12月'!BQ7:BR7,"六本木ー夜勤")+COUNTIF('12月'!BV7:BW7,"六本木ー夜勤")+COUNTIF('12月'!CA7:CB7,"六本木ー夜勤")+COUNTIF('12月'!CF7:CG7,"六本木ー夜勤")+COUNTIF('12月'!CK7:CL7,"六本木ー夜勤")+COUNTIF('12月'!CP7:CQ7,"六本木ー夜勤")+COUNTIF('12月'!CU7:CV7,"六本木ー夜勤")+COUNTIF('12月'!CZ7:DA7,"六本木ー夜勤")+COUNTIF('12月'!DE7:DF7,"六本木ー夜勤")+COUNTIF('12月'!DJ7:DK7,"六本木ー夜勤")+COUNTIF('12月'!DO7:DP7,"六本木ー夜勤")+COUNTIF('12月'!DT7:DU7,"六本木ー夜勤")+COUNTIF('12月'!DY7:DZ7,"六本木ー夜勤")+COUNTIF('12月'!ED7:EE7,"六本木ー夜勤")+COUNTIF('12月'!EI7:EJ7,"六本木ー夜勤")+COUNTIF('12月'!EN7:EO7,"六本木ー夜勤")+COUNTIF('12月'!ES7:ET7,"六本木ー夜勤")</f>
        <v>0</v>
      </c>
      <c r="K416" s="76">
        <f t="shared" si="136"/>
        <v>0</v>
      </c>
      <c r="L416" s="76">
        <f>COUNTIF('12月'!D7:E7,L$411)+COUNTIF('12月'!I7:J7,L$411)+COUNTIF('12月'!N7:O7,L$411)+COUNTIF('12月'!S7:T7,L$411)+COUNTIF('12月'!X7:Y7,L$411)+COUNTIF('12月'!AC7:AD7,L$411)+COUNTIF('12月'!AH7:AI7,L$411)+COUNTIF('12月'!AM7:AN7,L$411)+COUNTIF('12月'!AR7:AS7,L$411)+COUNTIF('12月'!AW7:AX7,L$411)+COUNTIF('12月'!BB7:BC7,L$411)+COUNTIF('12月'!BG7:BH7,L$411)+COUNTIF('12月'!BL7:BM7,L$411)+COUNTIF('12月'!BQ7:BR7,L$411)+COUNTIF('12月'!BV7:BW7,L$411)+COUNTIF('12月'!CA7:CB7,L$411)+COUNTIF('12月'!CF7:CG7,L$411)+COUNTIF('12月'!CK7:CL7,L$411)+COUNTIF('12月'!CP7:CQ7,L$411)+COUNTIF('12月'!CU7:CV7,L$411)+COUNTIF('12月'!CZ7:DA7,L$411)+COUNTIF('12月'!DE7:DF7,L$411)+COUNTIF('12月'!DJ7:DK7,L$411)+COUNTIF('12月'!DO7:DP7,L$411)+COUNTIF('12月'!DT7:DU7,L$411)+COUNTIF('12月'!DY7:DZ7,L$411)+COUNTIF('12月'!ED7:EE7,L$411)+COUNTIF('12月'!EI7:EJ7,L$411)+COUNTIF('12月'!EN7:EO7,L$411)+COUNTIF('12月'!ES7:ET7,L$411)</f>
        <v>0</v>
      </c>
      <c r="M416" s="76">
        <f t="shared" si="137"/>
        <v>0</v>
      </c>
      <c r="N416" s="76">
        <f>COUNTIF('12月'!D7:E7,N$411)+COUNTIF('12月'!I7:J7,N$411)+COUNTIF('12月'!N7:O7,N$411)+COUNTIF('12月'!S7:T7,N$411)+COUNTIF('12月'!X7:Y7,N$411)+COUNTIF('12月'!AC7:AD7,N$411)+COUNTIF('12月'!AH7:AI7,N$411)+COUNTIF('12月'!AM7:AN7,N$411)+COUNTIF('12月'!AR7:AS7,N$411)+COUNTIF('12月'!AW7:AX7,N$411)+COUNTIF('12月'!BB7:BC7,N$411)+COUNTIF('12月'!BG7:BH7,N$411)+COUNTIF('12月'!BL7:BM7,N$411)+COUNTIF('12月'!BQ7:BR7,N$411)+COUNTIF('12月'!BV7:BW7,N$411)+COUNTIF('12月'!CA7:CB7,N$411)+COUNTIF('12月'!CF7:CG7,N$411)+COUNTIF('12月'!CK7:CL7,N$411)+COUNTIF('12月'!CP7:CQ7,N$411)+COUNTIF('12月'!CU7:CV7,N$411)+COUNTIF('12月'!CZ7:DA7,N$411)+COUNTIF('12月'!DE7:DF7,N$411)+COUNTIF('12月'!DJ7:DK7,N$411)+COUNTIF('12月'!DO7:DP7,N$411)+COUNTIF('12月'!DT7:DU7,N$411)+COUNTIF('12月'!DY7:DZ7,N$411)+COUNTIF('12月'!ED7:EE7,N$411)+COUNTIF('12月'!EI7:EJ7,N$411)+COUNTIF('12月'!EN7:EO7,N$411)+COUNTIF('12月'!ES7:ET7,N$411)+COUNTIF('12月'!D7:E7,"三軒茶屋－夜勤")+COUNTIF('12月'!I7:J7,"三軒茶屋－夜勤")+COUNTIF('12月'!N7:O7,"三軒茶屋－夜勤")+COUNTIF('12月'!S7:T7,"三軒茶屋－夜勤")+COUNTIF('12月'!X7:Y7,"三軒茶屋－夜勤")+COUNTIF('12月'!AC7:AD7,"三軒茶屋－夜勤")+COUNTIF('12月'!AH7:AI7,"三軒茶屋－夜勤")+COUNTIF('12月'!AM7:AN7,"三軒茶屋－夜勤")+COUNTIF('12月'!AR7:AS7,"三軒茶屋－夜勤")+COUNTIF('12月'!AW7:AX7,"三軒茶屋－夜勤")+COUNTIF('12月'!BB7:BC7,"三軒茶屋－夜勤")+COUNTIF('12月'!BG7:BH7,"三軒茶屋－夜勤")+COUNTIF('12月'!BL7:BM7,"三軒茶屋－夜勤")+COUNTIF('12月'!BQ7:BR7,"三軒茶屋－夜勤")+COUNTIF('12月'!BV7:BW7,"三軒茶屋－夜勤")+COUNTIF('12月'!CA7:CB7,"三軒茶屋－夜勤")+COUNTIF('12月'!CF7:CG7,"三軒茶屋－夜勤")+COUNTIF('12月'!CK7:CL7,"三軒茶屋－夜勤")+COUNTIF('12月'!CP7:CQ7,"三軒茶屋－夜勤")+COUNTIF('12月'!CU7:CV7,"三軒茶屋－夜勤")+COUNTIF('12月'!CZ7:DA7,"三軒茶屋－夜勤")+COUNTIF('12月'!DE7:DF7,"三軒茶屋－夜勤")+COUNTIF('12月'!DJ7:DK7,"三軒茶屋－夜勤")+COUNTIF('12月'!DO7:DP7,"三軒茶屋－夜勤")+COUNTIF('12月'!DT7:DU7,"三軒茶屋－夜勤")+COUNTIF('12月'!DY7:DZ7,"三軒茶屋－夜勤")+COUNTIF('12月'!ED7:EE7,"三軒茶屋－夜勤")+COUNTIF('12月'!EI7:EJ7,"三軒茶屋－夜勤")+COUNTIF('12月'!EN7:EO7,"三軒茶屋－夜勤")+COUNTIF('12月'!ES7:ET7,"三軒茶屋－夜勤")</f>
        <v>0</v>
      </c>
      <c r="O416" s="76">
        <f t="shared" si="138"/>
        <v>0</v>
      </c>
      <c r="P416" s="76">
        <f>COUNTIF('12月'!D7:E7,P$411)+COUNTIF('12月'!I7:J7,P$411)+COUNTIF('12月'!N7:O7,P$411)+COUNTIF('12月'!S7:T7,P$411)+COUNTIF('12月'!X7:Y7,P$411)+COUNTIF('12月'!AC7:AD7,P$411)+COUNTIF('12月'!AH7:AI7,P$411)+COUNTIF('12月'!AM7:AN7,P$411)+COUNTIF('12月'!AR7:AS7,P$411)+COUNTIF('12月'!AW7:AX7,P$411)+COUNTIF('12月'!BB7:BC7,P$411)+COUNTIF('12月'!BG7:BH7,P$411)+COUNTIF('12月'!BL7:BM7,P$411)+COUNTIF('12月'!BQ7:BR7,P$411)+COUNTIF('12月'!BV7:BW7,P$411)+COUNTIF('12月'!CA7:CB7,P$411)+COUNTIF('12月'!CF7:CG7,P$411)+COUNTIF('12月'!CK7:CL7,P$411)+COUNTIF('12月'!CP7:CQ7,P$411)+COUNTIF('12月'!CU7:CV7,P$411)+COUNTIF('12月'!CZ7:DA7,P$411)+COUNTIF('12月'!DE7:DF7,P$411)+COUNTIF('12月'!DJ7:DK7,P$411)+COUNTIF('12月'!DO7:DP7,P$411)+COUNTIF('12月'!DT7:DU7,P$411)+COUNTIF('12月'!DY7:DZ7,P$411)+COUNTIF('12月'!ED7:EE7,P$411)+COUNTIF('12月'!EI7:EJ7,P$411)+COUNTIF('12月'!EN7:EO7,P$411)+COUNTIF('12月'!ES7:ET7,P$411)+COUNTIF('12月'!D7:E7,"荻窪ー夜勤")+COUNTIF('12月'!I7:J7,"荻窪ー夜勤")+COUNTIF('12月'!N7:O7,"荻窪ー夜勤")+COUNTIF('12月'!S7:T7,"荻窪ー夜勤")+COUNTIF('12月'!X7:Y7,"荻窪ー夜勤")+COUNTIF('12月'!AC7:AD7,"荻窪ー夜勤")+COUNTIF('12月'!AH7:AI7,"荻窪ー夜勤")+COUNTIF('12月'!AM7:AN7,"荻窪ー夜勤")+COUNTIF('12月'!AR7:AS7,"荻窪ー夜勤")+COUNTIF('12月'!AW7:AX7,"荻窪ー夜勤")+COUNTIF('12月'!BB7:BC7,"荻窪ー夜勤")+COUNTIF('12月'!BG7:BH7,"荻窪ー夜勤")+COUNTIF('12月'!BL7:BM7,"荻窪ー夜勤")+COUNTIF('12月'!BQ7:BR7,"荻窪ー夜勤")+COUNTIF('12月'!BV7:BW7,"荻窪ー夜勤")+COUNTIF('12月'!CA7:CB7,"荻窪ー夜勤")+COUNTIF('12月'!CF7:CG7,"荻窪ー夜勤")+COUNTIF('12月'!CK7:CL7,"荻窪ー夜勤")+COUNTIF('12月'!CP7:CQ7,"荻窪ー夜勤")+COUNTIF('12月'!CU7:CV7,"荻窪ー夜勤")+COUNTIF('12月'!CZ7:DA7,"荻窪ー夜勤")+COUNTIF('12月'!DE7:DF7,"荻窪ー夜勤")+COUNTIF('12月'!DJ7:DK7,"荻窪ー夜勤")+COUNTIF('12月'!DO7:DP7,"荻窪ー夜勤")+COUNTIF('12月'!DT7:DU7,"荻窪ー夜勤")+COUNTIF('12月'!DY7:DZ7,"荻窪ー夜勤")+COUNTIF('12月'!ED7:EE7,"荻窪ー夜勤")+COUNTIF('12月'!EI7:EJ7,"荻窪ー夜勤")+COUNTIF('12月'!EN7:EO7,"荻窪ー夜勤")+COUNTIF('12月'!ES7:ET7,"荻窪ー夜勤")</f>
        <v>0</v>
      </c>
      <c r="Q416" s="76">
        <f t="shared" si="139"/>
        <v>0</v>
      </c>
      <c r="R416" s="76">
        <f>COUNTIF('12月'!D7:E7,R$411)+COUNTIF('12月'!I7:J7,R$411)+COUNTIF('12月'!N7:O7,R$411)+COUNTIF('12月'!S7:T7,R$411)+COUNTIF('12月'!X7:Y7,R$411)+COUNTIF('12月'!AC7:AD7,R$411)+COUNTIF('12月'!AH7:AI7,R$411)+COUNTIF('12月'!AM7:AN7,R$411)+COUNTIF('12月'!AR7:AS7,R$411)+COUNTIF('12月'!AW7:AX7,R$411)+COUNTIF('12月'!BB7:BC7,R$411)+COUNTIF('12月'!BG7:BH7,R$411)+COUNTIF('12月'!BL7:BM7,R$411)+COUNTIF('12月'!BQ7:BR7,R$411)+COUNTIF('12月'!BV7:BW7,R$411)+COUNTIF('12月'!CA7:CB7,R$411)+COUNTIF('12月'!CF7:CG7,R$411)+COUNTIF('12月'!CK7:CL7,R$411)+COUNTIF('12月'!CP7:CQ7,R$411)+COUNTIF('12月'!CU7:CV7,R$411)+COUNTIF('12月'!CZ7:DA7,R$411)+COUNTIF('12月'!DE7:DF7,R$411)+COUNTIF('12月'!DJ7:DK7,R$411)+COUNTIF('12月'!DO7:DP7,R$411)+COUNTIF('12月'!DT7:DU7,R$411)+COUNTIF('12月'!DY7:DZ7,R$411)+COUNTIF('12月'!ED7:EE7,R$411)+COUNTIF('12月'!EI7:EJ7,R$411)+COUNTIF('12月'!EN7:EO7,R$411)+COUNTIF('12月'!ES7:ET7,R$411)</f>
        <v>0</v>
      </c>
      <c r="S416" s="76">
        <f t="shared" si="140"/>
        <v>0</v>
      </c>
      <c r="T416" s="76">
        <f>COUNTIF('12月'!D7:E7,T$411)+COUNTIF('12月'!I7:J7,T$411)+COUNTIF('12月'!N7:O7,T$411)+COUNTIF('12月'!S7:T7,T$411)+COUNTIF('12月'!X7:Y7,T$411)+COUNTIF('12月'!AC7:AD7,T$411)+COUNTIF('12月'!AH7:AI7,T$411)+COUNTIF('12月'!AM7:AN7,T$411)+COUNTIF('12月'!AR7:AS7,T$411)+COUNTIF('12月'!AW7:AX7,T$411)+COUNTIF('12月'!BB7:BC7,T$411)+COUNTIF('12月'!BG7:BH7,T$411)+COUNTIF('12月'!BL7:BM7,T$411)+COUNTIF('12月'!BQ7:BR7,T$411)+COUNTIF('12月'!BV7:BW7,T$411)+COUNTIF('12月'!CA7:CB7,T$411)+COUNTIF('12月'!CF7:CG7,T$411)+COUNTIF('12月'!CK7:CL7,T$411)+COUNTIF('12月'!CP7:CQ7,T$411)+COUNTIF('12月'!CU7:CV7,T$411)+COUNTIF('12月'!CZ7:DA7,T$411)+COUNTIF('12月'!DE7:DF7,T$411)+COUNTIF('12月'!DJ7:DK7,T$411)+COUNTIF('12月'!DO7:DP7,T$411)+COUNTIF('12月'!DT7:DU7,T$411)+COUNTIF('12月'!DY7:DZ7,T$411)+COUNTIF('12月'!ED7:EE7,T$411)+COUNTIF('12月'!EI7:EJ7,T$411)+COUNTIF('12月'!EN7:EO7,T$411)+COUNTIF('12月'!ES7:ET7,T$411)</f>
        <v>0</v>
      </c>
      <c r="U416" s="76">
        <f t="shared" si="141"/>
        <v>0</v>
      </c>
      <c r="V416" s="76">
        <f>COUNTIF('12月'!D7:E7,V$411)+COUNTIF('12月'!I7:J7,V$411)+COUNTIF('12月'!N7:O7,V$411)+COUNTIF('12月'!S7:T7,V$411)+COUNTIF('12月'!X7:Y7,V$411)+COUNTIF('12月'!AC7:AD7,V$411)+COUNTIF('12月'!AH7:AI7,V$411)+COUNTIF('12月'!AM7:AN7,V$411)+COUNTIF('12月'!AR7:AS7,V$411)+COUNTIF('12月'!AW7:AX7,V$411)+COUNTIF('12月'!BB7:BC7,V$411)+COUNTIF('12月'!BG7:BH7,V$411)+COUNTIF('12月'!BL7:BM7,V$411)+COUNTIF('12月'!BQ7:BR7,V$411)+COUNTIF('12月'!BV7:BW7,V$411)+COUNTIF('12月'!CA7:CB7,V$411)+COUNTIF('12月'!CF7:CG7,V$411)+COUNTIF('12月'!CK7:CL7,V$411)+COUNTIF('12月'!CP7:CQ7,V$411)+COUNTIF('12月'!CU7:CV7,V$411)+COUNTIF('12月'!CZ7:DA7,V$411)+COUNTIF('12月'!DE7:DF7,V$411)+COUNTIF('12月'!DJ7:DK7,V$411)+COUNTIF('12月'!DO7:DP7,V$411)+COUNTIF('12月'!DT7:DU7,V$411)+COUNTIF('12月'!DY7:DZ7,V$411)+COUNTIF('12月'!ED7:EE7,V$411)+COUNTIF('12月'!EI7:EJ7,V$411)+COUNTIF('12月'!EN7:EO7,V$411)+COUNTIF('12月'!ES7:ET7,V$411)</f>
        <v>0</v>
      </c>
      <c r="W416" s="76">
        <f t="shared" si="142"/>
        <v>0</v>
      </c>
      <c r="X416" s="76">
        <f>COUNTIF('12月'!D7:E7,X$411)+COUNTIF('12月'!I7:J7,X$411)+COUNTIF('12月'!N7:O7,X$411)+COUNTIF('12月'!S7:T7,X$411)+COUNTIF('12月'!X7:Y7,X$411)+COUNTIF('12月'!AC7:AD7,X$411)+COUNTIF('12月'!AH7:AI7,X$411)+COUNTIF('12月'!AM7:AN7,X$411)+COUNTIF('12月'!AR7:AS7,X$411)+COUNTIF('12月'!AW7:AX7,X$411)+COUNTIF('12月'!BB7:BC7,X$411)+COUNTIF('12月'!BG7:BH7,X$411)+COUNTIF('12月'!BL7:BM7,X$411)+COUNTIF('12月'!BQ7:BR7,X$411)+COUNTIF('12月'!BV7:BW7,X$411)+COUNTIF('12月'!CA7:CB7,X$411)+COUNTIF('12月'!CF7:CG7,X$411)+COUNTIF('12月'!CK7:CL7,X$411)+COUNTIF('12月'!CP7:CQ7,X$411)+COUNTIF('12月'!CU7:CV7,X$411)+COUNTIF('12月'!CZ7:DA7,X$411)+COUNTIF('12月'!DE7:DF7,X$411)+COUNTIF('12月'!DJ7:DK7,X$411)+COUNTIF('12月'!DO7:DP7,X$411)+COUNTIF('12月'!DT7:DU7,X$411)+COUNTIF('12月'!DY7:DZ7,X$411)+COUNTIF('12月'!ED7:EE7,X$411)+COUNTIF('12月'!EI7:EJ7,X$411)+COUNTIF('12月'!EN7:EO7,X$411)+COUNTIF('12月'!ES7:ET7,X$411)</f>
        <v>0</v>
      </c>
      <c r="Y416" s="76">
        <f t="shared" si="143"/>
        <v>0</v>
      </c>
    </row>
    <row r="417" spans="1:25" ht="18" customHeight="1">
      <c r="A417" s="76">
        <v>5</v>
      </c>
      <c r="B417" s="76">
        <f>COUNTIF('12月'!D8:E8,B$411)+COUNTIF('12月'!I8:J8,B$411)+COUNTIF('12月'!N8:O8,B$411)+COUNTIF('12月'!S8:T8,B$411)+COUNTIF('12月'!X8:Y8,B$411)+COUNTIF('12月'!AC8:AD8,B$411)+COUNTIF('12月'!AH8:AI8,B$411)+COUNTIF('12月'!AM8:AN8,B$411)+COUNTIF('12月'!AR8:AS8,B$411)+COUNTIF('12月'!AW8:AX8,B$411)+COUNTIF('12月'!BB8:BC8,B$411)+COUNTIF('12月'!BG8:BH8,B$411)+COUNTIF('12月'!BL8:BM8,B$411)+COUNTIF('12月'!BQ8:BR8,B$411)+COUNTIF('12月'!BV8:BW8,B$411)+COUNTIF('12月'!CA8:CB8,B$411)+COUNTIF('12月'!CF8:CG8,B$411)+COUNTIF('12月'!CK8:CL8,B$411)+COUNTIF('12月'!CP8:CQ8,B$411)+COUNTIF('12月'!CU8:CV8,B$411)+COUNTIF('12月'!CZ8:DA8,B$411)+COUNTIF('12月'!DE8:DF8,B$411)+COUNTIF('12月'!DJ8:DK8,B$411)+COUNTIF('12月'!DO8:DP8,B$411)+COUNTIF('12月'!DT8:DU8,B$411)+COUNTIF('12月'!DY8:DZ8,B$411)+COUNTIF('12月'!ED8:EE8,B$411)+COUNTIF('12月'!EI8:EJ8,B$411)+COUNTIF('12月'!EN8:EO8,B$411)+COUNTIF('12月'!ES8:ET8,B$411)</f>
        <v>0</v>
      </c>
      <c r="C417" s="76">
        <f t="shared" si="132"/>
        <v>0</v>
      </c>
      <c r="D417" s="76">
        <f>COUNTIF('12月'!D8:E8,D$411)+COUNTIF('12月'!I8:J8,D$411)+COUNTIF('12月'!N8:O8,D$411)+COUNTIF('12月'!S8:T8,D$411)+COUNTIF('12月'!X8:Y8,D$411)+COUNTIF('12月'!AC8:AD8,D$411)+COUNTIF('12月'!AH8:AI8,D$411)+COUNTIF('12月'!AM8:AN8,D$411)+COUNTIF('12月'!AR8:AS8,D$411)+COUNTIF('12月'!AW8:AX8,D$411)+COUNTIF('12月'!BB8:BC8,D$411)+COUNTIF('12月'!BG8:BH8,D$411)+COUNTIF('12月'!BL8:BM8,D$411)+COUNTIF('12月'!BQ8:BR8,D$411)+COUNTIF('12月'!BV8:BW8,D$411)+COUNTIF('12月'!CA8:CB8,D$411)+COUNTIF('12月'!CF8:CG8,D$411)+COUNTIF('12月'!CK8:CL8,D$411)+COUNTIF('12月'!CP8:CQ8,D$411)+COUNTIF('12月'!CU8:CV8,D$411)+COUNTIF('12月'!CZ8:DA8,D$411)+COUNTIF('12月'!DE8:DF8,D$411)+COUNTIF('12月'!DJ8:DK8,D$411)+COUNTIF('12月'!DO8:DP8,D$411)+COUNTIF('12月'!DT8:DU8,D$411)+COUNTIF('12月'!DY8:DZ8,D$411)+COUNTIF('12月'!ED8:EE8,D$411)+COUNTIF('12月'!EI8:EJ8,D$411)+COUNTIF('12月'!EN8:EO8,D$411)+COUNTIF('12月'!ES8:ET8,D$411)</f>
        <v>0</v>
      </c>
      <c r="E417" s="76">
        <f t="shared" si="133"/>
        <v>0</v>
      </c>
      <c r="F417" s="76">
        <f>COUNTIF('12月'!D8:E8,F$411)+COUNTIF('12月'!I8:J8,F$411)+COUNTIF('12月'!N8:O8,F$411)+COUNTIF('12月'!S8:T8,F$411)+COUNTIF('12月'!X8:Y8,F$411)+COUNTIF('12月'!AC8:AD8,F$411)+COUNTIF('12月'!AH8:AI8,F$411)+COUNTIF('12月'!AM8:AN8,F$411)+COUNTIF('12月'!AR8:AS8,F$411)+COUNTIF('12月'!AW8:AX8,F$411)+COUNTIF('12月'!BB8:BC8,F$411)+COUNTIF('12月'!BG8:BH8,F$411)+COUNTIF('12月'!BL8:BM8,F$411)+COUNTIF('12月'!BQ8:BR8,F$411)+COUNTIF('12月'!BV8:BW8,F$411)+COUNTIF('12月'!CA8:CB8,F$411)+COUNTIF('12月'!CF8:CG8,F$411)+COUNTIF('12月'!CK8:CL8,F$411)+COUNTIF('12月'!CP8:CQ8,F$411)+COUNTIF('12月'!CU8:CV8,F$411)+COUNTIF('12月'!CZ8:DA8,F$411)+COUNTIF('12月'!DE8:DF8,F$411)+COUNTIF('12月'!DJ8:DK8,F$411)+COUNTIF('12月'!DO8:DP8,F$411)+COUNTIF('12月'!DT8:DU8,F$411)+COUNTIF('12月'!DY8:DZ8,F$411)+COUNTIF('12月'!ED8:EE8,F$411)+COUNTIF('12月'!EI8:EJ8,F$411)+COUNTIF('12月'!EN8:EO8,F$411)+COUNTIF('12月'!ES8:ET8,F$411)</f>
        <v>0</v>
      </c>
      <c r="G417" s="76">
        <f t="shared" si="134"/>
        <v>0</v>
      </c>
      <c r="H417" s="76">
        <f>COUNTIF('12月'!D8:E8,H$411)+COUNTIF('12月'!I8:J8,H$411)+COUNTIF('12月'!N8:O8,H$411)+COUNTIF('12月'!S8:T8,H$411)+COUNTIF('12月'!X8:Y8,H$411)+COUNTIF('12月'!AC8:AD8,H$411)+COUNTIF('12月'!AH8:AI8,H$411)+COUNTIF('12月'!AM8:AN8,H$411)+COUNTIF('12月'!AR8:AS8,H$411)+COUNTIF('12月'!AW8:AX8,H$411)+COUNTIF('12月'!BB8:BC8,H$411)+COUNTIF('12月'!BG8:BH8,H$411)+COUNTIF('12月'!BL8:BM8,H$411)+COUNTIF('12月'!BQ8:BR8,H$411)+COUNTIF('12月'!BV8:BW8,H$411)+COUNTIF('12月'!CA8:CB8,H$411)+COUNTIF('12月'!CF8:CG8,H$411)+COUNTIF('12月'!CK8:CL8,H$411)+COUNTIF('12月'!CP8:CQ8,H$411)+COUNTIF('12月'!CU8:CV8,H$411)+COUNTIF('12月'!CZ8:DA8,H$411)+COUNTIF('12月'!DE8:DF8,H$411)+COUNTIF('12月'!DJ8:DK8,H$411)+COUNTIF('12月'!DO8:DP8,H$411)+COUNTIF('12月'!DT8:DU8,H$411)+COUNTIF('12月'!DY8:DZ8,H$411)+COUNTIF('12月'!ED8:EE8,H$411)+COUNTIF('12月'!EI8:EJ8,H$411)+COUNTIF('12月'!EN8:EO8,H$411)+COUNTIF('12月'!ES8:ET8,H$411)+COUNTIF('12月'!D8:E8,"渋谷-夜勤")+COUNTIF('12月'!I8:J8,"渋谷-夜勤")+COUNTIF('12月'!N8:O8,"渋谷-夜勤")+COUNTIF('12月'!S8:T8,"渋谷-夜勤")+COUNTIF('12月'!X8:Y8,"渋谷-夜勤")+COUNTIF('12月'!AC8:AD8,"渋谷-夜勤")+COUNTIF('12月'!AH8:AI8,"渋谷-夜勤")+COUNTIF('12月'!AM8:AN8,"渋谷-夜勤")+COUNTIF('12月'!AR8:AS8,"渋谷-夜勤")+COUNTIF('12月'!AW8:AX8,"渋谷-夜勤")+COUNTIF('12月'!BB8:BC8,"渋谷-夜勤")+COUNTIF('12月'!BG8:BH8,"渋谷-夜勤")+COUNTIF('12月'!BL8:BM8,"渋谷-夜勤")+COUNTIF('12月'!BQ8:BR8,"渋谷-夜勤")+COUNTIF('12月'!BV8:BW8,"渋谷-夜勤")+COUNTIF('12月'!CA8:CB8,"渋谷-夜勤")+COUNTIF('12月'!CF8:CG8,"渋谷-夜勤")+COUNTIF('12月'!CK8:CL8,"渋谷-夜勤")+COUNTIF('12月'!CP8:CQ8,"渋谷-夜勤")+COUNTIF('12月'!CU8:CV8,"渋谷-夜勤")+COUNTIF('12月'!CZ8:DA8,"渋谷-夜勤")+COUNTIF('12月'!DE8:DF8,"渋谷-夜勤")+COUNTIF('12月'!DJ8:DK8,"渋谷-夜勤")+COUNTIF('12月'!DO8:DP8,"渋谷-夜勤")+COUNTIF('12月'!DT8:DU8,"渋谷-夜勤")+COUNTIF('12月'!DY8:DZ8,"渋谷-夜勤")+COUNTIF('12月'!ED8:EE8,"渋谷-夜勤")+COUNTIF('12月'!EI8:EJ8,"渋谷-夜勤")+COUNTIF('12月'!EN8:EO8,"渋谷-夜勤")+COUNTIF('12月'!ES8:ET8,"渋谷-夜勤")</f>
        <v>0</v>
      </c>
      <c r="I417" s="76">
        <f t="shared" si="135"/>
        <v>0</v>
      </c>
      <c r="J417" s="76">
        <f>COUNTIF('12月'!D8:E8,J$411)+COUNTIF('12月'!I8:J8,J$411)+COUNTIF('12月'!N8:O8,J$411)+COUNTIF('12月'!S8:T8,J$411)+COUNTIF('12月'!X8:Y8,J$411)+COUNTIF('12月'!AC8:AD8,J$411)+COUNTIF('12月'!AH8:AI8,J$411)+COUNTIF('12月'!AM8:AN8,J$411)+COUNTIF('12月'!AR8:AS8,J$411)+COUNTIF('12月'!AW8:AX8,J$411)+COUNTIF('12月'!BB8:BC8,J$411)+COUNTIF('12月'!BG8:BH8,J$411)+COUNTIF('12月'!BL8:BM8,J$411)+COUNTIF('12月'!BQ8:BR8,J$411)+COUNTIF('12月'!BV8:BW8,J$411)+COUNTIF('12月'!CA8:CB8,J$411)+COUNTIF('12月'!CF8:CG8,J$411)+COUNTIF('12月'!CK8:CL8,J$411)+COUNTIF('12月'!CP8:CQ8,J$411)+COUNTIF('12月'!CU8:CV8,J$411)+COUNTIF('12月'!CZ8:DA8,J$411)+COUNTIF('12月'!DE8:DF8,J$411)+COUNTIF('12月'!DJ8:DK8,J$411)+COUNTIF('12月'!DO8:DP8,J$411)+COUNTIF('12月'!DT8:DU8,J$411)+COUNTIF('12月'!DY8:DZ8,J$411)+COUNTIF('12月'!ED8:EE8,J$411)+COUNTIF('12月'!EI8:EJ8,J$411)+COUNTIF('12月'!EN8:EO8,J$411)+COUNTIF('12月'!ES8:ET8,J$411)+COUNTIF('12月'!D8:E8,"六本木-夜勤")+COUNTIF('12月'!I8:J8,"六本木-夜勤")+COUNTIF('12月'!N8:O8,"六本木-夜勤")+COUNTIF('12月'!S8:T8,"六本木-夜勤")+COUNTIF('12月'!X8:Y8,"六本木-夜勤")+COUNTIF('12月'!AC8:AD8,"六本木-夜勤")+COUNTIF('12月'!AH8:AI8,"六本木-夜勤")+COUNTIF('12月'!AM8:AN8,"六本木-夜勤")+COUNTIF('12月'!AR8:AS8,"六本木-夜勤")+COUNTIF('12月'!AW8:AX8,"六本木-夜勤")+COUNTIF('12月'!BB8:BC8,"六本木-夜勤")+COUNTIF('12月'!BG8:BH8,"六本木-夜勤")+COUNTIF('12月'!BL8:BM8,"六本木-夜勤")+COUNTIF('12月'!BQ8:BR8,"六本木-夜勤")+COUNTIF('12月'!BV8:BW8,"六本木-夜勤")+COUNTIF('12月'!CA8:CB8,"六本木-夜勤")+COUNTIF('12月'!CF8:CG8,"六本木-夜勤")+COUNTIF('12月'!CK8:CL8,"六本木-夜勤")+COUNTIF('12月'!CP8:CQ8,"六本木-夜勤")+COUNTIF('12月'!CU8:CV8,"六本木-夜勤")+COUNTIF('12月'!CZ8:DA8,"六本木-夜勤")+COUNTIF('12月'!DE8:DF8,"六本木-夜勤")+COUNTIF('12月'!DJ8:DK8,"六本木-夜勤")+COUNTIF('12月'!DO8:DP8,"六本木-夜勤")+COUNTIF('12月'!DT8:DU8,"六本木-夜勤")+COUNTIF('12月'!DY8:DZ8,"六本木-夜勤")+COUNTIF('12月'!ED8:EE8,"六本木-夜勤")+COUNTIF('12月'!EI8:EJ8,"六本木-夜勤")+COUNTIF('12月'!EN8:EO8,"六本木-夜勤")+COUNTIF('12月'!ES8:ET8,"六本木-夜勤")+COUNTIF('12月'!D8:E8,"六本木ー夜勤")+COUNTIF('12月'!I8:J8,"六本木ー夜勤")+COUNTIF('12月'!N8:O8,"六本木ー夜勤")+COUNTIF('12月'!S8:T8,"六本木ー夜勤")+COUNTIF('12月'!X8:Y8,"六本木ー夜勤")+COUNTIF('12月'!AC8:AD8,"六本木ー夜勤")+COUNTIF('12月'!AH8:AI8,"六本木ー夜勤")+COUNTIF('12月'!AM8:AN8,"六本木ー夜勤")+COUNTIF('12月'!AR8:AS8,"六本木ー夜勤")+COUNTIF('12月'!AW8:AX8,"六本木ー夜勤")+COUNTIF('12月'!BB8:BC8,"六本木ー夜勤")+COUNTIF('12月'!BG8:BH8,"六本木ー夜勤")+COUNTIF('12月'!BL8:BM8,"六本木ー夜勤")+COUNTIF('12月'!BQ8:BR8,"六本木ー夜勤")+COUNTIF('12月'!BV8:BW8,"六本木ー夜勤")+COUNTIF('12月'!CA8:CB8,"六本木ー夜勤")+COUNTIF('12月'!CF8:CG8,"六本木ー夜勤")+COUNTIF('12月'!CK8:CL8,"六本木ー夜勤")+COUNTIF('12月'!CP8:CQ8,"六本木ー夜勤")+COUNTIF('12月'!CU8:CV8,"六本木ー夜勤")+COUNTIF('12月'!CZ8:DA8,"六本木ー夜勤")+COUNTIF('12月'!DE8:DF8,"六本木ー夜勤")+COUNTIF('12月'!DJ8:DK8,"六本木ー夜勤")+COUNTIF('12月'!DO8:DP8,"六本木ー夜勤")+COUNTIF('12月'!DT8:DU8,"六本木ー夜勤")+COUNTIF('12月'!DY8:DZ8,"六本木ー夜勤")+COUNTIF('12月'!ED8:EE8,"六本木ー夜勤")+COUNTIF('12月'!EI8:EJ8,"六本木ー夜勤")+COUNTIF('12月'!EN8:EO8,"六本木ー夜勤")+COUNTIF('12月'!ES8:ET8,"六本木ー夜勤")</f>
        <v>0</v>
      </c>
      <c r="K417" s="76">
        <f t="shared" si="136"/>
        <v>0</v>
      </c>
      <c r="L417" s="76">
        <f>COUNTIF('12月'!D8:E8,L$411)+COUNTIF('12月'!I8:J8,L$411)+COUNTIF('12月'!N8:O8,L$411)+COUNTIF('12月'!S8:T8,L$411)+COUNTIF('12月'!X8:Y8,L$411)+COUNTIF('12月'!AC8:AD8,L$411)+COUNTIF('12月'!AH8:AI8,L$411)+COUNTIF('12月'!AM8:AN8,L$411)+COUNTIF('12月'!AR8:AS8,L$411)+COUNTIF('12月'!AW8:AX8,L$411)+COUNTIF('12月'!BB8:BC8,L$411)+COUNTIF('12月'!BG8:BH8,L$411)+COUNTIF('12月'!BL8:BM8,L$411)+COUNTIF('12月'!BQ8:BR8,L$411)+COUNTIF('12月'!BV8:BW8,L$411)+COUNTIF('12月'!CA8:CB8,L$411)+COUNTIF('12月'!CF8:CG8,L$411)+COUNTIF('12月'!CK8:CL8,L$411)+COUNTIF('12月'!CP8:CQ8,L$411)+COUNTIF('12月'!CU8:CV8,L$411)+COUNTIF('12月'!CZ8:DA8,L$411)+COUNTIF('12月'!DE8:DF8,L$411)+COUNTIF('12月'!DJ8:DK8,L$411)+COUNTIF('12月'!DO8:DP8,L$411)+COUNTIF('12月'!DT8:DU8,L$411)+COUNTIF('12月'!DY8:DZ8,L$411)+COUNTIF('12月'!ED8:EE8,L$411)+COUNTIF('12月'!EI8:EJ8,L$411)+COUNTIF('12月'!EN8:EO8,L$411)+COUNTIF('12月'!ES8:ET8,L$411)</f>
        <v>0</v>
      </c>
      <c r="M417" s="76">
        <f t="shared" si="137"/>
        <v>0</v>
      </c>
      <c r="N417" s="76">
        <f>COUNTIF('12月'!D8:E8,N$411)+COUNTIF('12月'!I8:J8,N$411)+COUNTIF('12月'!N8:O8,N$411)+COUNTIF('12月'!S8:T8,N$411)+COUNTIF('12月'!X8:Y8,N$411)+COUNTIF('12月'!AC8:AD8,N$411)+COUNTIF('12月'!AH8:AI8,N$411)+COUNTIF('12月'!AM8:AN8,N$411)+COUNTIF('12月'!AR8:AS8,N$411)+COUNTIF('12月'!AW8:AX8,N$411)+COUNTIF('12月'!BB8:BC8,N$411)+COUNTIF('12月'!BG8:BH8,N$411)+COUNTIF('12月'!BL8:BM8,N$411)+COUNTIF('12月'!BQ8:BR8,N$411)+COUNTIF('12月'!BV8:BW8,N$411)+COUNTIF('12月'!CA8:CB8,N$411)+COUNTIF('12月'!CF8:CG8,N$411)+COUNTIF('12月'!CK8:CL8,N$411)+COUNTIF('12月'!CP8:CQ8,N$411)+COUNTIF('12月'!CU8:CV8,N$411)+COUNTIF('12月'!CZ8:DA8,N$411)+COUNTIF('12月'!DE8:DF8,N$411)+COUNTIF('12月'!DJ8:DK8,N$411)+COUNTIF('12月'!DO8:DP8,N$411)+COUNTIF('12月'!DT8:DU8,N$411)+COUNTIF('12月'!DY8:DZ8,N$411)+COUNTIF('12月'!ED8:EE8,N$411)+COUNTIF('12月'!EI8:EJ8,N$411)+COUNTIF('12月'!EN8:EO8,N$411)+COUNTIF('12月'!ES8:ET8,N$411)+COUNTIF('12月'!D8:E8,"三軒茶屋－夜勤")+COUNTIF('12月'!I8:J8,"三軒茶屋－夜勤")+COUNTIF('12月'!N8:O8,"三軒茶屋－夜勤")+COUNTIF('12月'!S8:T8,"三軒茶屋－夜勤")+COUNTIF('12月'!X8:Y8,"三軒茶屋－夜勤")+COUNTIF('12月'!AC8:AD8,"三軒茶屋－夜勤")+COUNTIF('12月'!AH8:AI8,"三軒茶屋－夜勤")+COUNTIF('12月'!AM8:AN8,"三軒茶屋－夜勤")+COUNTIF('12月'!AR8:AS8,"三軒茶屋－夜勤")+COUNTIF('12月'!AW8:AX8,"三軒茶屋－夜勤")+COUNTIF('12月'!BB8:BC8,"三軒茶屋－夜勤")+COUNTIF('12月'!BG8:BH8,"三軒茶屋－夜勤")+COUNTIF('12月'!BL8:BM8,"三軒茶屋－夜勤")+COUNTIF('12月'!BQ8:BR8,"三軒茶屋－夜勤")+COUNTIF('12月'!BV8:BW8,"三軒茶屋－夜勤")+COUNTIF('12月'!CA8:CB8,"三軒茶屋－夜勤")+COUNTIF('12月'!CF8:CG8,"三軒茶屋－夜勤")+COUNTIF('12月'!CK8:CL8,"三軒茶屋－夜勤")+COUNTIF('12月'!CP8:CQ8,"三軒茶屋－夜勤")+COUNTIF('12月'!CU8:CV8,"三軒茶屋－夜勤")+COUNTIF('12月'!CZ8:DA8,"三軒茶屋－夜勤")+COUNTIF('12月'!DE8:DF8,"三軒茶屋－夜勤")+COUNTIF('12月'!DJ8:DK8,"三軒茶屋－夜勤")+COUNTIF('12月'!DO8:DP8,"三軒茶屋－夜勤")+COUNTIF('12月'!DT8:DU8,"三軒茶屋－夜勤")+COUNTIF('12月'!DY8:DZ8,"三軒茶屋－夜勤")+COUNTIF('12月'!ED8:EE8,"三軒茶屋－夜勤")+COUNTIF('12月'!EI8:EJ8,"三軒茶屋－夜勤")+COUNTIF('12月'!EN8:EO8,"三軒茶屋－夜勤")+COUNTIF('12月'!ES8:ET8,"三軒茶屋－夜勤")</f>
        <v>0</v>
      </c>
      <c r="O417" s="76">
        <f t="shared" si="138"/>
        <v>0</v>
      </c>
      <c r="P417" s="76">
        <f>COUNTIF('12月'!D8:E8,P$411)+COUNTIF('12月'!I8:J8,P$411)+COUNTIF('12月'!N8:O8,P$411)+COUNTIF('12月'!S8:T8,P$411)+COUNTIF('12月'!X8:Y8,P$411)+COUNTIF('12月'!AC8:AD8,P$411)+COUNTIF('12月'!AH8:AI8,P$411)+COUNTIF('12月'!AM8:AN8,P$411)+COUNTIF('12月'!AR8:AS8,P$411)+COUNTIF('12月'!AW8:AX8,P$411)+COUNTIF('12月'!BB8:BC8,P$411)+COUNTIF('12月'!BG8:BH8,P$411)+COUNTIF('12月'!BL8:BM8,P$411)+COUNTIF('12月'!BQ8:BR8,P$411)+COUNTIF('12月'!BV8:BW8,P$411)+COUNTIF('12月'!CA8:CB8,P$411)+COUNTIF('12月'!CF8:CG8,P$411)+COUNTIF('12月'!CK8:CL8,P$411)+COUNTIF('12月'!CP8:CQ8,P$411)+COUNTIF('12月'!CU8:CV8,P$411)+COUNTIF('12月'!CZ8:DA8,P$411)+COUNTIF('12月'!DE8:DF8,P$411)+COUNTIF('12月'!DJ8:DK8,P$411)+COUNTIF('12月'!DO8:DP8,P$411)+COUNTIF('12月'!DT8:DU8,P$411)+COUNTIF('12月'!DY8:DZ8,P$411)+COUNTIF('12月'!ED8:EE8,P$411)+COUNTIF('12月'!EI8:EJ8,P$411)+COUNTIF('12月'!EN8:EO8,P$411)+COUNTIF('12月'!ES8:ET8,P$411)+COUNTIF('12月'!D8:E8,"荻窪ー夜勤")+COUNTIF('12月'!I8:J8,"荻窪ー夜勤")+COUNTIF('12月'!N8:O8,"荻窪ー夜勤")+COUNTIF('12月'!S8:T8,"荻窪ー夜勤")+COUNTIF('12月'!X8:Y8,"荻窪ー夜勤")+COUNTIF('12月'!AC8:AD8,"荻窪ー夜勤")+COUNTIF('12月'!AH8:AI8,"荻窪ー夜勤")+COUNTIF('12月'!AM8:AN8,"荻窪ー夜勤")+COUNTIF('12月'!AR8:AS8,"荻窪ー夜勤")+COUNTIF('12月'!AW8:AX8,"荻窪ー夜勤")+COUNTIF('12月'!BB8:BC8,"荻窪ー夜勤")+COUNTIF('12月'!BG8:BH8,"荻窪ー夜勤")+COUNTIF('12月'!BL8:BM8,"荻窪ー夜勤")+COUNTIF('12月'!BQ8:BR8,"荻窪ー夜勤")+COUNTIF('12月'!BV8:BW8,"荻窪ー夜勤")+COUNTIF('12月'!CA8:CB8,"荻窪ー夜勤")+COUNTIF('12月'!CF8:CG8,"荻窪ー夜勤")+COUNTIF('12月'!CK8:CL8,"荻窪ー夜勤")+COUNTIF('12月'!CP8:CQ8,"荻窪ー夜勤")+COUNTIF('12月'!CU8:CV8,"荻窪ー夜勤")+COUNTIF('12月'!CZ8:DA8,"荻窪ー夜勤")+COUNTIF('12月'!DE8:DF8,"荻窪ー夜勤")+COUNTIF('12月'!DJ8:DK8,"荻窪ー夜勤")+COUNTIF('12月'!DO8:DP8,"荻窪ー夜勤")+COUNTIF('12月'!DT8:DU8,"荻窪ー夜勤")+COUNTIF('12月'!DY8:DZ8,"荻窪ー夜勤")+COUNTIF('12月'!ED8:EE8,"荻窪ー夜勤")+COUNTIF('12月'!EI8:EJ8,"荻窪ー夜勤")+COUNTIF('12月'!EN8:EO8,"荻窪ー夜勤")+COUNTIF('12月'!ES8:ET8,"荻窪ー夜勤")</f>
        <v>0</v>
      </c>
      <c r="Q417" s="76">
        <f t="shared" si="139"/>
        <v>0</v>
      </c>
      <c r="R417" s="76">
        <f>COUNTIF('12月'!D8:E8,R$411)+COUNTIF('12月'!I8:J8,R$411)+COUNTIF('12月'!N8:O8,R$411)+COUNTIF('12月'!S8:T8,R$411)+COUNTIF('12月'!X8:Y8,R$411)+COUNTIF('12月'!AC8:AD8,R$411)+COUNTIF('12月'!AH8:AI8,R$411)+COUNTIF('12月'!AM8:AN8,R$411)+COUNTIF('12月'!AR8:AS8,R$411)+COUNTIF('12月'!AW8:AX8,R$411)+COUNTIF('12月'!BB8:BC8,R$411)+COUNTIF('12月'!BG8:BH8,R$411)+COUNTIF('12月'!BL8:BM8,R$411)+COUNTIF('12月'!BQ8:BR8,R$411)+COUNTIF('12月'!BV8:BW8,R$411)+COUNTIF('12月'!CA8:CB8,R$411)+COUNTIF('12月'!CF8:CG8,R$411)+COUNTIF('12月'!CK8:CL8,R$411)+COUNTIF('12月'!CP8:CQ8,R$411)+COUNTIF('12月'!CU8:CV8,R$411)+COUNTIF('12月'!CZ8:DA8,R$411)+COUNTIF('12月'!DE8:DF8,R$411)+COUNTIF('12月'!DJ8:DK8,R$411)+COUNTIF('12月'!DO8:DP8,R$411)+COUNTIF('12月'!DT8:DU8,R$411)+COUNTIF('12月'!DY8:DZ8,R$411)+COUNTIF('12月'!ED8:EE8,R$411)+COUNTIF('12月'!EI8:EJ8,R$411)+COUNTIF('12月'!EN8:EO8,R$411)+COUNTIF('12月'!ES8:ET8,R$411)</f>
        <v>0</v>
      </c>
      <c r="S417" s="76">
        <f t="shared" si="140"/>
        <v>0</v>
      </c>
      <c r="T417" s="76">
        <f>COUNTIF('12月'!D8:E8,T$411)+COUNTIF('12月'!I8:J8,T$411)+COUNTIF('12月'!N8:O8,T$411)+COUNTIF('12月'!S8:T8,T$411)+COUNTIF('12月'!X8:Y8,T$411)+COUNTIF('12月'!AC8:AD8,T$411)+COUNTIF('12月'!AH8:AI8,T$411)+COUNTIF('12月'!AM8:AN8,T$411)+COUNTIF('12月'!AR8:AS8,T$411)+COUNTIF('12月'!AW8:AX8,T$411)+COUNTIF('12月'!BB8:BC8,T$411)+COUNTIF('12月'!BG8:BH8,T$411)+COUNTIF('12月'!BL8:BM8,T$411)+COUNTIF('12月'!BQ8:BR8,T$411)+COUNTIF('12月'!BV8:BW8,T$411)+COUNTIF('12月'!CA8:CB8,T$411)+COUNTIF('12月'!CF8:CG8,T$411)+COUNTIF('12月'!CK8:CL8,T$411)+COUNTIF('12月'!CP8:CQ8,T$411)+COUNTIF('12月'!CU8:CV8,T$411)+COUNTIF('12月'!CZ8:DA8,T$411)+COUNTIF('12月'!DE8:DF8,T$411)+COUNTIF('12月'!DJ8:DK8,T$411)+COUNTIF('12月'!DO8:DP8,T$411)+COUNTIF('12月'!DT8:DU8,T$411)+COUNTIF('12月'!DY8:DZ8,T$411)+COUNTIF('12月'!ED8:EE8,T$411)+COUNTIF('12月'!EI8:EJ8,T$411)+COUNTIF('12月'!EN8:EO8,T$411)+COUNTIF('12月'!ES8:ET8,T$411)</f>
        <v>0</v>
      </c>
      <c r="U417" s="76">
        <f t="shared" si="141"/>
        <v>0</v>
      </c>
      <c r="V417" s="76">
        <f>COUNTIF('12月'!D8:E8,V$411)+COUNTIF('12月'!I8:J8,V$411)+COUNTIF('12月'!N8:O8,V$411)+COUNTIF('12月'!S8:T8,V$411)+COUNTIF('12月'!X8:Y8,V$411)+COUNTIF('12月'!AC8:AD8,V$411)+COUNTIF('12月'!AH8:AI8,V$411)+COUNTIF('12月'!AM8:AN8,V$411)+COUNTIF('12月'!AR8:AS8,V$411)+COUNTIF('12月'!AW8:AX8,V$411)+COUNTIF('12月'!BB8:BC8,V$411)+COUNTIF('12月'!BG8:BH8,V$411)+COUNTIF('12月'!BL8:BM8,V$411)+COUNTIF('12月'!BQ8:BR8,V$411)+COUNTIF('12月'!BV8:BW8,V$411)+COUNTIF('12月'!CA8:CB8,V$411)+COUNTIF('12月'!CF8:CG8,V$411)+COUNTIF('12月'!CK8:CL8,V$411)+COUNTIF('12月'!CP8:CQ8,V$411)+COUNTIF('12月'!CU8:CV8,V$411)+COUNTIF('12月'!CZ8:DA8,V$411)+COUNTIF('12月'!DE8:DF8,V$411)+COUNTIF('12月'!DJ8:DK8,V$411)+COUNTIF('12月'!DO8:DP8,V$411)+COUNTIF('12月'!DT8:DU8,V$411)+COUNTIF('12月'!DY8:DZ8,V$411)+COUNTIF('12月'!ED8:EE8,V$411)+COUNTIF('12月'!EI8:EJ8,V$411)+COUNTIF('12月'!EN8:EO8,V$411)+COUNTIF('12月'!ES8:ET8,V$411)</f>
        <v>0</v>
      </c>
      <c r="W417" s="76">
        <f t="shared" si="142"/>
        <v>0</v>
      </c>
      <c r="X417" s="76">
        <f>COUNTIF('12月'!D8:E8,X$411)+COUNTIF('12月'!I8:J8,X$411)+COUNTIF('12月'!N8:O8,X$411)+COUNTIF('12月'!S8:T8,X$411)+COUNTIF('12月'!X8:Y8,X$411)+COUNTIF('12月'!AC8:AD8,X$411)+COUNTIF('12月'!AH8:AI8,X$411)+COUNTIF('12月'!AM8:AN8,X$411)+COUNTIF('12月'!AR8:AS8,X$411)+COUNTIF('12月'!AW8:AX8,X$411)+COUNTIF('12月'!BB8:BC8,X$411)+COUNTIF('12月'!BG8:BH8,X$411)+COUNTIF('12月'!BL8:BM8,X$411)+COUNTIF('12月'!BQ8:BR8,X$411)+COUNTIF('12月'!BV8:BW8,X$411)+COUNTIF('12月'!CA8:CB8,X$411)+COUNTIF('12月'!CF8:CG8,X$411)+COUNTIF('12月'!CK8:CL8,X$411)+COUNTIF('12月'!CP8:CQ8,X$411)+COUNTIF('12月'!CU8:CV8,X$411)+COUNTIF('12月'!CZ8:DA8,X$411)+COUNTIF('12月'!DE8:DF8,X$411)+COUNTIF('12月'!DJ8:DK8,X$411)+COUNTIF('12月'!DO8:DP8,X$411)+COUNTIF('12月'!DT8:DU8,X$411)+COUNTIF('12月'!DY8:DZ8,X$411)+COUNTIF('12月'!ED8:EE8,X$411)+COUNTIF('12月'!EI8:EJ8,X$411)+COUNTIF('12月'!EN8:EO8,X$411)+COUNTIF('12月'!ES8:ET8,X$411)</f>
        <v>0</v>
      </c>
      <c r="Y417" s="76">
        <f t="shared" si="143"/>
        <v>0</v>
      </c>
    </row>
    <row r="418" spans="1:25" ht="18" customHeight="1">
      <c r="A418" s="76">
        <v>6</v>
      </c>
      <c r="B418" s="76">
        <f>COUNTIF('12月'!D9:E9,B$411)+COUNTIF('12月'!I9:J9,B$411)+COUNTIF('12月'!N9:O9,B$411)+COUNTIF('12月'!S9:T9,B$411)+COUNTIF('12月'!X9:Y9,B$411)+COUNTIF('12月'!AC9:AD9,B$411)+COUNTIF('12月'!AH9:AI9,B$411)+COUNTIF('12月'!AM9:AN9,B$411)+COUNTIF('12月'!AR9:AS9,B$411)+COUNTIF('12月'!AW9:AX9,B$411)+COUNTIF('12月'!BB9:BC9,B$411)+COUNTIF('12月'!BG9:BH9,B$411)+COUNTIF('12月'!BL9:BM9,B$411)+COUNTIF('12月'!BQ9:BR9,B$411)+COUNTIF('12月'!BV9:BW9,B$411)+COUNTIF('12月'!CA9:CB9,B$411)+COUNTIF('12月'!CF9:CG9,B$411)+COUNTIF('12月'!CK9:CL9,B$411)+COUNTIF('12月'!CP9:CQ9,B$411)+COUNTIF('12月'!CU9:CV9,B$411)+COUNTIF('12月'!CZ9:DA9,B$411)+COUNTIF('12月'!DE9:DF9,B$411)+COUNTIF('12月'!DJ9:DK9,B$411)+COUNTIF('12月'!DO9:DP9,B$411)+COUNTIF('12月'!DT9:DU9,B$411)+COUNTIF('12月'!DY9:DZ9,B$411)+COUNTIF('12月'!ED9:EE9,B$411)+COUNTIF('12月'!EI9:EJ9,B$411)+COUNTIF('12月'!EN9:EO9,B$411)+COUNTIF('12月'!ES9:ET9,B$411)</f>
        <v>0</v>
      </c>
      <c r="C418" s="76">
        <f t="shared" si="132"/>
        <v>0</v>
      </c>
      <c r="D418" s="76">
        <f>COUNTIF('12月'!D9:E9,D$411)+COUNTIF('12月'!I9:J9,D$411)+COUNTIF('12月'!N9:O9,D$411)+COUNTIF('12月'!S9:T9,D$411)+COUNTIF('12月'!X9:Y9,D$411)+COUNTIF('12月'!AC9:AD9,D$411)+COUNTIF('12月'!AH9:AI9,D$411)+COUNTIF('12月'!AM9:AN9,D$411)+COUNTIF('12月'!AR9:AS9,D$411)+COUNTIF('12月'!AW9:AX9,D$411)+COUNTIF('12月'!BB9:BC9,D$411)+COUNTIF('12月'!BG9:BH9,D$411)+COUNTIF('12月'!BL9:BM9,D$411)+COUNTIF('12月'!BQ9:BR9,D$411)+COUNTIF('12月'!BV9:BW9,D$411)+COUNTIF('12月'!CA9:CB9,D$411)+COUNTIF('12月'!CF9:CG9,D$411)+COUNTIF('12月'!CK9:CL9,D$411)+COUNTIF('12月'!CP9:CQ9,D$411)+COUNTIF('12月'!CU9:CV9,D$411)+COUNTIF('12月'!CZ9:DA9,D$411)+COUNTIF('12月'!DE9:DF9,D$411)+COUNTIF('12月'!DJ9:DK9,D$411)+COUNTIF('12月'!DO9:DP9,D$411)+COUNTIF('12月'!DT9:DU9,D$411)+COUNTIF('12月'!DY9:DZ9,D$411)+COUNTIF('12月'!ED9:EE9,D$411)+COUNTIF('12月'!EI9:EJ9,D$411)+COUNTIF('12月'!EN9:EO9,D$411)+COUNTIF('12月'!ES9:ET9,D$411)</f>
        <v>0</v>
      </c>
      <c r="E418" s="76">
        <f t="shared" si="133"/>
        <v>0</v>
      </c>
      <c r="F418" s="76">
        <f>COUNTIF('12月'!D9:E9,F$411)+COUNTIF('12月'!I9:J9,F$411)+COUNTIF('12月'!N9:O9,F$411)+COUNTIF('12月'!S9:T9,F$411)+COUNTIF('12月'!X9:Y9,F$411)+COUNTIF('12月'!AC9:AD9,F$411)+COUNTIF('12月'!AH9:AI9,F$411)+COUNTIF('12月'!AM9:AN9,F$411)+COUNTIF('12月'!AR9:AS9,F$411)+COUNTIF('12月'!AW9:AX9,F$411)+COUNTIF('12月'!BB9:BC9,F$411)+COUNTIF('12月'!BG9:BH9,F$411)+COUNTIF('12月'!BL9:BM9,F$411)+COUNTIF('12月'!BQ9:BR9,F$411)+COUNTIF('12月'!BV9:BW9,F$411)+COUNTIF('12月'!CA9:CB9,F$411)+COUNTIF('12月'!CF9:CG9,F$411)+COUNTIF('12月'!CK9:CL9,F$411)+COUNTIF('12月'!CP9:CQ9,F$411)+COUNTIF('12月'!CU9:CV9,F$411)+COUNTIF('12月'!CZ9:DA9,F$411)+COUNTIF('12月'!DE9:DF9,F$411)+COUNTIF('12月'!DJ9:DK9,F$411)+COUNTIF('12月'!DO9:DP9,F$411)+COUNTIF('12月'!DT9:DU9,F$411)+COUNTIF('12月'!DY9:DZ9,F$411)+COUNTIF('12月'!ED9:EE9,F$411)+COUNTIF('12月'!EI9:EJ9,F$411)+COUNTIF('12月'!EN9:EO9,F$411)+COUNTIF('12月'!ES9:ET9,F$411)</f>
        <v>0</v>
      </c>
      <c r="G418" s="76">
        <f t="shared" si="134"/>
        <v>0</v>
      </c>
      <c r="H418" s="76">
        <f>COUNTIF('12月'!D9:E9,H$411)+COUNTIF('12月'!I9:J9,H$411)+COUNTIF('12月'!N9:O9,H$411)+COUNTIF('12月'!S9:T9,H$411)+COUNTIF('12月'!X9:Y9,H$411)+COUNTIF('12月'!AC9:AD9,H$411)+COUNTIF('12月'!AH9:AI9,H$411)+COUNTIF('12月'!AM9:AN9,H$411)+COUNTIF('12月'!AR9:AS9,H$411)+COUNTIF('12月'!AW9:AX9,H$411)+COUNTIF('12月'!BB9:BC9,H$411)+COUNTIF('12月'!BG9:BH9,H$411)+COUNTIF('12月'!BL9:BM9,H$411)+COUNTIF('12月'!BQ9:BR9,H$411)+COUNTIF('12月'!BV9:BW9,H$411)+COUNTIF('12月'!CA9:CB9,H$411)+COUNTIF('12月'!CF9:CG9,H$411)+COUNTIF('12月'!CK9:CL9,H$411)+COUNTIF('12月'!CP9:CQ9,H$411)+COUNTIF('12月'!CU9:CV9,H$411)+COUNTIF('12月'!CZ9:DA9,H$411)+COUNTIF('12月'!DE9:DF9,H$411)+COUNTIF('12月'!DJ9:DK9,H$411)+COUNTIF('12月'!DO9:DP9,H$411)+COUNTIF('12月'!DT9:DU9,H$411)+COUNTIF('12月'!DY9:DZ9,H$411)+COUNTIF('12月'!ED9:EE9,H$411)+COUNTIF('12月'!EI9:EJ9,H$411)+COUNTIF('12月'!EN9:EO9,H$411)+COUNTIF('12月'!ES9:ET9,H$411)+COUNTIF('12月'!D9:E9,"渋谷-夜勤")+COUNTIF('12月'!I9:J9,"渋谷-夜勤")+COUNTIF('12月'!N9:O9,"渋谷-夜勤")+COUNTIF('12月'!S9:T9,"渋谷-夜勤")+COUNTIF('12月'!X9:Y9,"渋谷-夜勤")+COUNTIF('12月'!AC9:AD9,"渋谷-夜勤")+COUNTIF('12月'!AH9:AI9,"渋谷-夜勤")+COUNTIF('12月'!AM9:AN9,"渋谷-夜勤")+COUNTIF('12月'!AR9:AS9,"渋谷-夜勤")+COUNTIF('12月'!AW9:AX9,"渋谷-夜勤")+COUNTIF('12月'!BB9:BC9,"渋谷-夜勤")+COUNTIF('12月'!BG9:BH9,"渋谷-夜勤")+COUNTIF('12月'!BL9:BM9,"渋谷-夜勤")+COUNTIF('12月'!BQ9:BR9,"渋谷-夜勤")+COUNTIF('12月'!BV9:BW9,"渋谷-夜勤")+COUNTIF('12月'!CA9:CB9,"渋谷-夜勤")+COUNTIF('12月'!CF9:CG9,"渋谷-夜勤")+COUNTIF('12月'!CK9:CL9,"渋谷-夜勤")+COUNTIF('12月'!CP9:CQ9,"渋谷-夜勤")+COUNTIF('12月'!CU9:CV9,"渋谷-夜勤")+COUNTIF('12月'!CZ9:DA9,"渋谷-夜勤")+COUNTIF('12月'!DE9:DF9,"渋谷-夜勤")+COUNTIF('12月'!DJ9:DK9,"渋谷-夜勤")+COUNTIF('12月'!DO9:DP9,"渋谷-夜勤")+COUNTIF('12月'!DT9:DU9,"渋谷-夜勤")+COUNTIF('12月'!DY9:DZ9,"渋谷-夜勤")+COUNTIF('12月'!ED9:EE9,"渋谷-夜勤")+COUNTIF('12月'!EI9:EJ9,"渋谷-夜勤")+COUNTIF('12月'!EN9:EO9,"渋谷-夜勤")+COUNTIF('12月'!ES9:ET9,"渋谷-夜勤")</f>
        <v>0</v>
      </c>
      <c r="I418" s="76">
        <f t="shared" si="135"/>
        <v>0</v>
      </c>
      <c r="J418" s="76">
        <f>COUNTIF('12月'!D9:E9,J$411)+COUNTIF('12月'!I9:J9,J$411)+COUNTIF('12月'!N9:O9,J$411)+COUNTIF('12月'!S9:T9,J$411)+COUNTIF('12月'!X9:Y9,J$411)+COUNTIF('12月'!AC9:AD9,J$411)+COUNTIF('12月'!AH9:AI9,J$411)+COUNTIF('12月'!AM9:AN9,J$411)+COUNTIF('12月'!AR9:AS9,J$411)+COUNTIF('12月'!AW9:AX9,J$411)+COUNTIF('12月'!BB9:BC9,J$411)+COUNTIF('12月'!BG9:BH9,J$411)+COUNTIF('12月'!BL9:BM9,J$411)+COUNTIF('12月'!BQ9:BR9,J$411)+COUNTIF('12月'!BV9:BW9,J$411)+COUNTIF('12月'!CA9:CB9,J$411)+COUNTIF('12月'!CF9:CG9,J$411)+COUNTIF('12月'!CK9:CL9,J$411)+COUNTIF('12月'!CP9:CQ9,J$411)+COUNTIF('12月'!CU9:CV9,J$411)+COUNTIF('12月'!CZ9:DA9,J$411)+COUNTIF('12月'!DE9:DF9,J$411)+COUNTIF('12月'!DJ9:DK9,J$411)+COUNTIF('12月'!DO9:DP9,J$411)+COUNTIF('12月'!DT9:DU9,J$411)+COUNTIF('12月'!DY9:DZ9,J$411)+COUNTIF('12月'!ED9:EE9,J$411)+COUNTIF('12月'!EI9:EJ9,J$411)+COUNTIF('12月'!EN9:EO9,J$411)+COUNTIF('12月'!ES9:ET9,J$411)+COUNTIF('12月'!D9:E9,"六本木-夜勤")+COUNTIF('12月'!I9:J9,"六本木-夜勤")+COUNTIF('12月'!N9:O9,"六本木-夜勤")+COUNTIF('12月'!S9:T9,"六本木-夜勤")+COUNTIF('12月'!X9:Y9,"六本木-夜勤")+COUNTIF('12月'!AC9:AD9,"六本木-夜勤")+COUNTIF('12月'!AH9:AI9,"六本木-夜勤")+COUNTIF('12月'!AM9:AN9,"六本木-夜勤")+COUNTIF('12月'!AR9:AS9,"六本木-夜勤")+COUNTIF('12月'!AW9:AX9,"六本木-夜勤")+COUNTIF('12月'!BB9:BC9,"六本木-夜勤")+COUNTIF('12月'!BG9:BH9,"六本木-夜勤")+COUNTIF('12月'!BL9:BM9,"六本木-夜勤")+COUNTIF('12月'!BQ9:BR9,"六本木-夜勤")+COUNTIF('12月'!BV9:BW9,"六本木-夜勤")+COUNTIF('12月'!CA9:CB9,"六本木-夜勤")+COUNTIF('12月'!CF9:CG9,"六本木-夜勤")+COUNTIF('12月'!CK9:CL9,"六本木-夜勤")+COUNTIF('12月'!CP9:CQ9,"六本木-夜勤")+COUNTIF('12月'!CU9:CV9,"六本木-夜勤")+COUNTIF('12月'!CZ9:DA9,"六本木-夜勤")+COUNTIF('12月'!DE9:DF9,"六本木-夜勤")+COUNTIF('12月'!DJ9:DK9,"六本木-夜勤")+COUNTIF('12月'!DO9:DP9,"六本木-夜勤")+COUNTIF('12月'!DT9:DU9,"六本木-夜勤")+COUNTIF('12月'!DY9:DZ9,"六本木-夜勤")+COUNTIF('12月'!ED9:EE9,"六本木-夜勤")+COUNTIF('12月'!EI9:EJ9,"六本木-夜勤")+COUNTIF('12月'!EN9:EO9,"六本木-夜勤")+COUNTIF('12月'!ES9:ET9,"六本木-夜勤")+COUNTIF('12月'!D9:E9,"六本木ー夜勤")+COUNTIF('12月'!I9:J9,"六本木ー夜勤")+COUNTIF('12月'!N9:O9,"六本木ー夜勤")+COUNTIF('12月'!S9:T9,"六本木ー夜勤")+COUNTIF('12月'!X9:Y9,"六本木ー夜勤")+COUNTIF('12月'!AC9:AD9,"六本木ー夜勤")+COUNTIF('12月'!AH9:AI9,"六本木ー夜勤")+COUNTIF('12月'!AM9:AN9,"六本木ー夜勤")+COUNTIF('12月'!AR9:AS9,"六本木ー夜勤")+COUNTIF('12月'!AW9:AX9,"六本木ー夜勤")+COUNTIF('12月'!BB9:BC9,"六本木ー夜勤")+COUNTIF('12月'!BG9:BH9,"六本木ー夜勤")+COUNTIF('12月'!BL9:BM9,"六本木ー夜勤")+COUNTIF('12月'!BQ9:BR9,"六本木ー夜勤")+COUNTIF('12月'!BV9:BW9,"六本木ー夜勤")+COUNTIF('12月'!CA9:CB9,"六本木ー夜勤")+COUNTIF('12月'!CF9:CG9,"六本木ー夜勤")+COUNTIF('12月'!CK9:CL9,"六本木ー夜勤")+COUNTIF('12月'!CP9:CQ9,"六本木ー夜勤")+COUNTIF('12月'!CU9:CV9,"六本木ー夜勤")+COUNTIF('12月'!CZ9:DA9,"六本木ー夜勤")+COUNTIF('12月'!DE9:DF9,"六本木ー夜勤")+COUNTIF('12月'!DJ9:DK9,"六本木ー夜勤")+COUNTIF('12月'!DO9:DP9,"六本木ー夜勤")+COUNTIF('12月'!DT9:DU9,"六本木ー夜勤")+COUNTIF('12月'!DY9:DZ9,"六本木ー夜勤")+COUNTIF('12月'!ED9:EE9,"六本木ー夜勤")+COUNTIF('12月'!EI9:EJ9,"六本木ー夜勤")+COUNTIF('12月'!EN9:EO9,"六本木ー夜勤")+COUNTIF('12月'!ES9:ET9,"六本木ー夜勤")</f>
        <v>0</v>
      </c>
      <c r="K418" s="76">
        <f t="shared" si="136"/>
        <v>0</v>
      </c>
      <c r="L418" s="76">
        <f>COUNTIF('12月'!D9:E9,L$411)+COUNTIF('12月'!I9:J9,L$411)+COUNTIF('12月'!N9:O9,L$411)+COUNTIF('12月'!S9:T9,L$411)+COUNTIF('12月'!X9:Y9,L$411)+COUNTIF('12月'!AC9:AD9,L$411)+COUNTIF('12月'!AH9:AI9,L$411)+COUNTIF('12月'!AM9:AN9,L$411)+COUNTIF('12月'!AR9:AS9,L$411)+COUNTIF('12月'!AW9:AX9,L$411)+COUNTIF('12月'!BB9:BC9,L$411)+COUNTIF('12月'!BG9:BH9,L$411)+COUNTIF('12月'!BL9:BM9,L$411)+COUNTIF('12月'!BQ9:BR9,L$411)+COUNTIF('12月'!BV9:BW9,L$411)+COUNTIF('12月'!CA9:CB9,L$411)+COUNTIF('12月'!CF9:CG9,L$411)+COUNTIF('12月'!CK9:CL9,L$411)+COUNTIF('12月'!CP9:CQ9,L$411)+COUNTIF('12月'!CU9:CV9,L$411)+COUNTIF('12月'!CZ9:DA9,L$411)+COUNTIF('12月'!DE9:DF9,L$411)+COUNTIF('12月'!DJ9:DK9,L$411)+COUNTIF('12月'!DO9:DP9,L$411)+COUNTIF('12月'!DT9:DU9,L$411)+COUNTIF('12月'!DY9:DZ9,L$411)+COUNTIF('12月'!ED9:EE9,L$411)+COUNTIF('12月'!EI9:EJ9,L$411)+COUNTIF('12月'!EN9:EO9,L$411)+COUNTIF('12月'!ES9:ET9,L$411)</f>
        <v>0</v>
      </c>
      <c r="M418" s="76">
        <f t="shared" si="137"/>
        <v>0</v>
      </c>
      <c r="N418" s="76">
        <f>COUNTIF('12月'!D9:E9,N$411)+COUNTIF('12月'!I9:J9,N$411)+COUNTIF('12月'!N9:O9,N$411)+COUNTIF('12月'!S9:T9,N$411)+COUNTIF('12月'!X9:Y9,N$411)+COUNTIF('12月'!AC9:AD9,N$411)+COUNTIF('12月'!AH9:AI9,N$411)+COUNTIF('12月'!AM9:AN9,N$411)+COUNTIF('12月'!AR9:AS9,N$411)+COUNTIF('12月'!AW9:AX9,N$411)+COUNTIF('12月'!BB9:BC9,N$411)+COUNTIF('12月'!BG9:BH9,N$411)+COUNTIF('12月'!BL9:BM9,N$411)+COUNTIF('12月'!BQ9:BR9,N$411)+COUNTIF('12月'!BV9:BW9,N$411)+COUNTIF('12月'!CA9:CB9,N$411)+COUNTIF('12月'!CF9:CG9,N$411)+COUNTIF('12月'!CK9:CL9,N$411)+COUNTIF('12月'!CP9:CQ9,N$411)+COUNTIF('12月'!CU9:CV9,N$411)+COUNTIF('12月'!CZ9:DA9,N$411)+COUNTIF('12月'!DE9:DF9,N$411)+COUNTIF('12月'!DJ9:DK9,N$411)+COUNTIF('12月'!DO9:DP9,N$411)+COUNTIF('12月'!DT9:DU9,N$411)+COUNTIF('12月'!DY9:DZ9,N$411)+COUNTIF('12月'!ED9:EE9,N$411)+COUNTIF('12月'!EI9:EJ9,N$411)+COUNTIF('12月'!EN9:EO9,N$411)+COUNTIF('12月'!ES9:ET9,N$411)+COUNTIF('12月'!D9:E9,"三軒茶屋－夜勤")+COUNTIF('12月'!I9:J9,"三軒茶屋－夜勤")+COUNTIF('12月'!N9:O9,"三軒茶屋－夜勤")+COUNTIF('12月'!S9:T9,"三軒茶屋－夜勤")+COUNTIF('12月'!X9:Y9,"三軒茶屋－夜勤")+COUNTIF('12月'!AC9:AD9,"三軒茶屋－夜勤")+COUNTIF('12月'!AH9:AI9,"三軒茶屋－夜勤")+COUNTIF('12月'!AM9:AN9,"三軒茶屋－夜勤")+COUNTIF('12月'!AR9:AS9,"三軒茶屋－夜勤")+COUNTIF('12月'!AW9:AX9,"三軒茶屋－夜勤")+COUNTIF('12月'!BB9:BC9,"三軒茶屋－夜勤")+COUNTIF('12月'!BG9:BH9,"三軒茶屋－夜勤")+COUNTIF('12月'!BL9:BM9,"三軒茶屋－夜勤")+COUNTIF('12月'!BQ9:BR9,"三軒茶屋－夜勤")+COUNTIF('12月'!BV9:BW9,"三軒茶屋－夜勤")+COUNTIF('12月'!CA9:CB9,"三軒茶屋－夜勤")+COUNTIF('12月'!CF9:CG9,"三軒茶屋－夜勤")+COUNTIF('12月'!CK9:CL9,"三軒茶屋－夜勤")+COUNTIF('12月'!CP9:CQ9,"三軒茶屋－夜勤")+COUNTIF('12月'!CU9:CV9,"三軒茶屋－夜勤")+COUNTIF('12月'!CZ9:DA9,"三軒茶屋－夜勤")+COUNTIF('12月'!DE9:DF9,"三軒茶屋－夜勤")+COUNTIF('12月'!DJ9:DK9,"三軒茶屋－夜勤")+COUNTIF('12月'!DO9:DP9,"三軒茶屋－夜勤")+COUNTIF('12月'!DT9:DU9,"三軒茶屋－夜勤")+COUNTIF('12月'!DY9:DZ9,"三軒茶屋－夜勤")+COUNTIF('12月'!ED9:EE9,"三軒茶屋－夜勤")+COUNTIF('12月'!EI9:EJ9,"三軒茶屋－夜勤")+COUNTIF('12月'!EN9:EO9,"三軒茶屋－夜勤")+COUNTIF('12月'!ES9:ET9,"三軒茶屋－夜勤")</f>
        <v>0</v>
      </c>
      <c r="O418" s="76">
        <f t="shared" si="138"/>
        <v>0</v>
      </c>
      <c r="P418" s="76">
        <f>COUNTIF('12月'!D9:E9,P$411)+COUNTIF('12月'!I9:J9,P$411)+COUNTIF('12月'!N9:O9,P$411)+COUNTIF('12月'!S9:T9,P$411)+COUNTIF('12月'!X9:Y9,P$411)+COUNTIF('12月'!AC9:AD9,P$411)+COUNTIF('12月'!AH9:AI9,P$411)+COUNTIF('12月'!AM9:AN9,P$411)+COUNTIF('12月'!AR9:AS9,P$411)+COUNTIF('12月'!AW9:AX9,P$411)+COUNTIF('12月'!BB9:BC9,P$411)+COUNTIF('12月'!BG9:BH9,P$411)+COUNTIF('12月'!BL9:BM9,P$411)+COUNTIF('12月'!BQ9:BR9,P$411)+COUNTIF('12月'!BV9:BW9,P$411)+COUNTIF('12月'!CA9:CB9,P$411)+COUNTIF('12月'!CF9:CG9,P$411)+COUNTIF('12月'!CK9:CL9,P$411)+COUNTIF('12月'!CP9:CQ9,P$411)+COUNTIF('12月'!CU9:CV9,P$411)+COUNTIF('12月'!CZ9:DA9,P$411)+COUNTIF('12月'!DE9:DF9,P$411)+COUNTIF('12月'!DJ9:DK9,P$411)+COUNTIF('12月'!DO9:DP9,P$411)+COUNTIF('12月'!DT9:DU9,P$411)+COUNTIF('12月'!DY9:DZ9,P$411)+COUNTIF('12月'!ED9:EE9,P$411)+COUNTIF('12月'!EI9:EJ9,P$411)+COUNTIF('12月'!EN9:EO9,P$411)+COUNTIF('12月'!ES9:ET9,P$411)+COUNTIF('12月'!D9:E9,"荻窪ー夜勤")+COUNTIF('12月'!I9:J9,"荻窪ー夜勤")+COUNTIF('12月'!N9:O9,"荻窪ー夜勤")+COUNTIF('12月'!S9:T9,"荻窪ー夜勤")+COUNTIF('12月'!X9:Y9,"荻窪ー夜勤")+COUNTIF('12月'!AC9:AD9,"荻窪ー夜勤")+COUNTIF('12月'!AH9:AI9,"荻窪ー夜勤")+COUNTIF('12月'!AM9:AN9,"荻窪ー夜勤")+COUNTIF('12月'!AR9:AS9,"荻窪ー夜勤")+COUNTIF('12月'!AW9:AX9,"荻窪ー夜勤")+COUNTIF('12月'!BB9:BC9,"荻窪ー夜勤")+COUNTIF('12月'!BG9:BH9,"荻窪ー夜勤")+COUNTIF('12月'!BL9:BM9,"荻窪ー夜勤")+COUNTIF('12月'!BQ9:BR9,"荻窪ー夜勤")+COUNTIF('12月'!BV9:BW9,"荻窪ー夜勤")+COUNTIF('12月'!CA9:CB9,"荻窪ー夜勤")+COUNTIF('12月'!CF9:CG9,"荻窪ー夜勤")+COUNTIF('12月'!CK9:CL9,"荻窪ー夜勤")+COUNTIF('12月'!CP9:CQ9,"荻窪ー夜勤")+COUNTIF('12月'!CU9:CV9,"荻窪ー夜勤")+COUNTIF('12月'!CZ9:DA9,"荻窪ー夜勤")+COUNTIF('12月'!DE9:DF9,"荻窪ー夜勤")+COUNTIF('12月'!DJ9:DK9,"荻窪ー夜勤")+COUNTIF('12月'!DO9:DP9,"荻窪ー夜勤")+COUNTIF('12月'!DT9:DU9,"荻窪ー夜勤")+COUNTIF('12月'!DY9:DZ9,"荻窪ー夜勤")+COUNTIF('12月'!ED9:EE9,"荻窪ー夜勤")+COUNTIF('12月'!EI9:EJ9,"荻窪ー夜勤")+COUNTIF('12月'!EN9:EO9,"荻窪ー夜勤")+COUNTIF('12月'!ES9:ET9,"荻窪ー夜勤")</f>
        <v>0</v>
      </c>
      <c r="Q418" s="76">
        <f t="shared" si="139"/>
        <v>0</v>
      </c>
      <c r="R418" s="76">
        <f>COUNTIF('12月'!D9:E9,R$411)+COUNTIF('12月'!I9:J9,R$411)+COUNTIF('12月'!N9:O9,R$411)+COUNTIF('12月'!S9:T9,R$411)+COUNTIF('12月'!X9:Y9,R$411)+COUNTIF('12月'!AC9:AD9,R$411)+COUNTIF('12月'!AH9:AI9,R$411)+COUNTIF('12月'!AM9:AN9,R$411)+COUNTIF('12月'!AR9:AS9,R$411)+COUNTIF('12月'!AW9:AX9,R$411)+COUNTIF('12月'!BB9:BC9,R$411)+COUNTIF('12月'!BG9:BH9,R$411)+COUNTIF('12月'!BL9:BM9,R$411)+COUNTIF('12月'!BQ9:BR9,R$411)+COUNTIF('12月'!BV9:BW9,R$411)+COUNTIF('12月'!CA9:CB9,R$411)+COUNTIF('12月'!CF9:CG9,R$411)+COUNTIF('12月'!CK9:CL9,R$411)+COUNTIF('12月'!CP9:CQ9,R$411)+COUNTIF('12月'!CU9:CV9,R$411)+COUNTIF('12月'!CZ9:DA9,R$411)+COUNTIF('12月'!DE9:DF9,R$411)+COUNTIF('12月'!DJ9:DK9,R$411)+COUNTIF('12月'!DO9:DP9,R$411)+COUNTIF('12月'!DT9:DU9,R$411)+COUNTIF('12月'!DY9:DZ9,R$411)+COUNTIF('12月'!ED9:EE9,R$411)+COUNTIF('12月'!EI9:EJ9,R$411)+COUNTIF('12月'!EN9:EO9,R$411)+COUNTIF('12月'!ES9:ET9,R$411)</f>
        <v>0</v>
      </c>
      <c r="S418" s="76">
        <f t="shared" si="140"/>
        <v>0</v>
      </c>
      <c r="T418" s="76">
        <f>COUNTIF('12月'!D9:E9,T$411)+COUNTIF('12月'!I9:J9,T$411)+COUNTIF('12月'!N9:O9,T$411)+COUNTIF('12月'!S9:T9,T$411)+COUNTIF('12月'!X9:Y9,T$411)+COUNTIF('12月'!AC9:AD9,T$411)+COUNTIF('12月'!AH9:AI9,T$411)+COUNTIF('12月'!AM9:AN9,T$411)+COUNTIF('12月'!AR9:AS9,T$411)+COUNTIF('12月'!AW9:AX9,T$411)+COUNTIF('12月'!BB9:BC9,T$411)+COUNTIF('12月'!BG9:BH9,T$411)+COUNTIF('12月'!BL9:BM9,T$411)+COUNTIF('12月'!BQ9:BR9,T$411)+COUNTIF('12月'!BV9:BW9,T$411)+COUNTIF('12月'!CA9:CB9,T$411)+COUNTIF('12月'!CF9:CG9,T$411)+COUNTIF('12月'!CK9:CL9,T$411)+COUNTIF('12月'!CP9:CQ9,T$411)+COUNTIF('12月'!CU9:CV9,T$411)+COUNTIF('12月'!CZ9:DA9,T$411)+COUNTIF('12月'!DE9:DF9,T$411)+COUNTIF('12月'!DJ9:DK9,T$411)+COUNTIF('12月'!DO9:DP9,T$411)+COUNTIF('12月'!DT9:DU9,T$411)+COUNTIF('12月'!DY9:DZ9,T$411)+COUNTIF('12月'!ED9:EE9,T$411)+COUNTIF('12月'!EI9:EJ9,T$411)+COUNTIF('12月'!EN9:EO9,T$411)+COUNTIF('12月'!ES9:ET9,T$411)</f>
        <v>0</v>
      </c>
      <c r="U418" s="76">
        <f t="shared" si="141"/>
        <v>0</v>
      </c>
      <c r="V418" s="76">
        <f>COUNTIF('12月'!D9:E9,V$411)+COUNTIF('12月'!I9:J9,V$411)+COUNTIF('12月'!N9:O9,V$411)+COUNTIF('12月'!S9:T9,V$411)+COUNTIF('12月'!X9:Y9,V$411)+COUNTIF('12月'!AC9:AD9,V$411)+COUNTIF('12月'!AH9:AI9,V$411)+COUNTIF('12月'!AM9:AN9,V$411)+COUNTIF('12月'!AR9:AS9,V$411)+COUNTIF('12月'!AW9:AX9,V$411)+COUNTIF('12月'!BB9:BC9,V$411)+COUNTIF('12月'!BG9:BH9,V$411)+COUNTIF('12月'!BL9:BM9,V$411)+COUNTIF('12月'!BQ9:BR9,V$411)+COUNTIF('12月'!BV9:BW9,V$411)+COUNTIF('12月'!CA9:CB9,V$411)+COUNTIF('12月'!CF9:CG9,V$411)+COUNTIF('12月'!CK9:CL9,V$411)+COUNTIF('12月'!CP9:CQ9,V$411)+COUNTIF('12月'!CU9:CV9,V$411)+COUNTIF('12月'!CZ9:DA9,V$411)+COUNTIF('12月'!DE9:DF9,V$411)+COUNTIF('12月'!DJ9:DK9,V$411)+COUNTIF('12月'!DO9:DP9,V$411)+COUNTIF('12月'!DT9:DU9,V$411)+COUNTIF('12月'!DY9:DZ9,V$411)+COUNTIF('12月'!ED9:EE9,V$411)+COUNTIF('12月'!EI9:EJ9,V$411)+COUNTIF('12月'!EN9:EO9,V$411)+COUNTIF('12月'!ES9:ET9,V$411)</f>
        <v>0</v>
      </c>
      <c r="W418" s="76">
        <f t="shared" si="142"/>
        <v>0</v>
      </c>
      <c r="X418" s="76">
        <f>COUNTIF('12月'!D9:E9,X$411)+COUNTIF('12月'!I9:J9,X$411)+COUNTIF('12月'!N9:O9,X$411)+COUNTIF('12月'!S9:T9,X$411)+COUNTIF('12月'!X9:Y9,X$411)+COUNTIF('12月'!AC9:AD9,X$411)+COUNTIF('12月'!AH9:AI9,X$411)+COUNTIF('12月'!AM9:AN9,X$411)+COUNTIF('12月'!AR9:AS9,X$411)+COUNTIF('12月'!AW9:AX9,X$411)+COUNTIF('12月'!BB9:BC9,X$411)+COUNTIF('12月'!BG9:BH9,X$411)+COUNTIF('12月'!BL9:BM9,X$411)+COUNTIF('12月'!BQ9:BR9,X$411)+COUNTIF('12月'!BV9:BW9,X$411)+COUNTIF('12月'!CA9:CB9,X$411)+COUNTIF('12月'!CF9:CG9,X$411)+COUNTIF('12月'!CK9:CL9,X$411)+COUNTIF('12月'!CP9:CQ9,X$411)+COUNTIF('12月'!CU9:CV9,X$411)+COUNTIF('12月'!CZ9:DA9,X$411)+COUNTIF('12月'!DE9:DF9,X$411)+COUNTIF('12月'!DJ9:DK9,X$411)+COUNTIF('12月'!DO9:DP9,X$411)+COUNTIF('12月'!DT9:DU9,X$411)+COUNTIF('12月'!DY9:DZ9,X$411)+COUNTIF('12月'!ED9:EE9,X$411)+COUNTIF('12月'!EI9:EJ9,X$411)+COUNTIF('12月'!EN9:EO9,X$411)+COUNTIF('12月'!ES9:ET9,X$411)</f>
        <v>0</v>
      </c>
      <c r="Y418" s="76">
        <f t="shared" si="143"/>
        <v>0</v>
      </c>
    </row>
    <row r="419" spans="1:25" ht="18" customHeight="1">
      <c r="A419" s="76">
        <v>7</v>
      </c>
      <c r="B419" s="76">
        <f>COUNTIF('12月'!D10:E10,B$411)+COUNTIF('12月'!I10:J10,B$411)+COUNTIF('12月'!N10:O10,B$411)+COUNTIF('12月'!S10:T10,B$411)+COUNTIF('12月'!X10:Y10,B$411)+COUNTIF('12月'!AC10:AD10,B$411)+COUNTIF('12月'!AH10:AI10,B$411)+COUNTIF('12月'!AM10:AN10,B$411)+COUNTIF('12月'!AR10:AS10,B$411)+COUNTIF('12月'!AW10:AX10,B$411)+COUNTIF('12月'!BB10:BC10,B$411)+COUNTIF('12月'!BG10:BH10,B$411)+COUNTIF('12月'!BL10:BM10,B$411)+COUNTIF('12月'!BQ10:BR10,B$411)+COUNTIF('12月'!BV10:BW10,B$411)+COUNTIF('12月'!CA10:CB10,B$411)+COUNTIF('12月'!CF10:CG10,B$411)+COUNTIF('12月'!CK10:CL10,B$411)+COUNTIF('12月'!CP10:CQ10,B$411)+COUNTIF('12月'!CU10:CV10,B$411)+COUNTIF('12月'!CZ10:DA10,B$411)+COUNTIF('12月'!DE10:DF10,B$411)+COUNTIF('12月'!DJ10:DK10,B$411)+COUNTIF('12月'!DO10:DP10,B$411)+COUNTIF('12月'!DT10:DU10,B$411)+COUNTIF('12月'!DY10:DZ10,B$411)+COUNTIF('12月'!ED10:EE10,B$411)+COUNTIF('12月'!EI10:EJ10,B$411)+COUNTIF('12月'!EN10:EO10,B$411)+COUNTIF('12月'!ES10:ET10,B$411)</f>
        <v>0</v>
      </c>
      <c r="C419" s="76">
        <f t="shared" si="132"/>
        <v>0</v>
      </c>
      <c r="D419" s="76">
        <f>COUNTIF('12月'!D10:E10,D$411)+COUNTIF('12月'!I10:J10,D$411)+COUNTIF('12月'!N10:O10,D$411)+COUNTIF('12月'!S10:T10,D$411)+COUNTIF('12月'!X10:Y10,D$411)+COUNTIF('12月'!AC10:AD10,D$411)+COUNTIF('12月'!AH10:AI10,D$411)+COUNTIF('12月'!AM10:AN10,D$411)+COUNTIF('12月'!AR10:AS10,D$411)+COUNTIF('12月'!AW10:AX10,D$411)+COUNTIF('12月'!BB10:BC10,D$411)+COUNTIF('12月'!BG10:BH10,D$411)+COUNTIF('12月'!BL10:BM10,D$411)+COUNTIF('12月'!BQ10:BR10,D$411)+COUNTIF('12月'!BV10:BW10,D$411)+COUNTIF('12月'!CA10:CB10,D$411)+COUNTIF('12月'!CF10:CG10,D$411)+COUNTIF('12月'!CK10:CL10,D$411)+COUNTIF('12月'!CP10:CQ10,D$411)+COUNTIF('12月'!CU10:CV10,D$411)+COUNTIF('12月'!CZ10:DA10,D$411)+COUNTIF('12月'!DE10:DF10,D$411)+COUNTIF('12月'!DJ10:DK10,D$411)+COUNTIF('12月'!DO10:DP10,D$411)+COUNTIF('12月'!DT10:DU10,D$411)+COUNTIF('12月'!DY10:DZ10,D$411)+COUNTIF('12月'!ED10:EE10,D$411)+COUNTIF('12月'!EI10:EJ10,D$411)+COUNTIF('12月'!EN10:EO10,D$411)+COUNTIF('12月'!ES10:ET10,D$411)</f>
        <v>0</v>
      </c>
      <c r="E419" s="76">
        <f t="shared" si="133"/>
        <v>0</v>
      </c>
      <c r="F419" s="76">
        <f>COUNTIF('12月'!D10:E10,F$411)+COUNTIF('12月'!I10:J10,F$411)+COUNTIF('12月'!N10:O10,F$411)+COUNTIF('12月'!S10:T10,F$411)+COUNTIF('12月'!X10:Y10,F$411)+COUNTIF('12月'!AC10:AD10,F$411)+COUNTIF('12月'!AH10:AI10,F$411)+COUNTIF('12月'!AM10:AN10,F$411)+COUNTIF('12月'!AR10:AS10,F$411)+COUNTIF('12月'!AW10:AX10,F$411)+COUNTIF('12月'!BB10:BC10,F$411)+COUNTIF('12月'!BG10:BH10,F$411)+COUNTIF('12月'!BL10:BM10,F$411)+COUNTIF('12月'!BQ10:BR10,F$411)+COUNTIF('12月'!BV10:BW10,F$411)+COUNTIF('12月'!CA10:CB10,F$411)+COUNTIF('12月'!CF10:CG10,F$411)+COUNTIF('12月'!CK10:CL10,F$411)+COUNTIF('12月'!CP10:CQ10,F$411)+COUNTIF('12月'!CU10:CV10,F$411)+COUNTIF('12月'!CZ10:DA10,F$411)+COUNTIF('12月'!DE10:DF10,F$411)+COUNTIF('12月'!DJ10:DK10,F$411)+COUNTIF('12月'!DO10:DP10,F$411)+COUNTIF('12月'!DT10:DU10,F$411)+COUNTIF('12月'!DY10:DZ10,F$411)+COUNTIF('12月'!ED10:EE10,F$411)+COUNTIF('12月'!EI10:EJ10,F$411)+COUNTIF('12月'!EN10:EO10,F$411)+COUNTIF('12月'!ES10:ET10,F$411)</f>
        <v>0</v>
      </c>
      <c r="G419" s="76">
        <f t="shared" si="134"/>
        <v>0</v>
      </c>
      <c r="H419" s="76">
        <f>COUNTIF('12月'!D10:E10,H$411)+COUNTIF('12月'!I10:J10,H$411)+COUNTIF('12月'!N10:O10,H$411)+COUNTIF('12月'!S10:T10,H$411)+COUNTIF('12月'!X10:Y10,H$411)+COUNTIF('12月'!AC10:AD10,H$411)+COUNTIF('12月'!AH10:AI10,H$411)+COUNTIF('12月'!AM10:AN10,H$411)+COUNTIF('12月'!AR10:AS10,H$411)+COUNTIF('12月'!AW10:AX10,H$411)+COUNTIF('12月'!BB10:BC10,H$411)+COUNTIF('12月'!BG10:BH10,H$411)+COUNTIF('12月'!BL10:BM10,H$411)+COUNTIF('12月'!BQ10:BR10,H$411)+COUNTIF('12月'!BV10:BW10,H$411)+COUNTIF('12月'!CA10:CB10,H$411)+COUNTIF('12月'!CF10:CG10,H$411)+COUNTIF('12月'!CK10:CL10,H$411)+COUNTIF('12月'!CP10:CQ10,H$411)+COUNTIF('12月'!CU10:CV10,H$411)+COUNTIF('12月'!CZ10:DA10,H$411)+COUNTIF('12月'!DE10:DF10,H$411)+COUNTIF('12月'!DJ10:DK10,H$411)+COUNTIF('12月'!DO10:DP10,H$411)+COUNTIF('12月'!DT10:DU10,H$411)+COUNTIF('12月'!DY10:DZ10,H$411)+COUNTIF('12月'!ED10:EE10,H$411)+COUNTIF('12月'!EI10:EJ10,H$411)+COUNTIF('12月'!EN10:EO10,H$411)+COUNTIF('12月'!ES10:ET10,H$411)+COUNTIF('12月'!D10:E10,"渋谷-夜勤")+COUNTIF('12月'!I10:J10,"渋谷-夜勤")+COUNTIF('12月'!N10:O10,"渋谷-夜勤")+COUNTIF('12月'!S10:T10,"渋谷-夜勤")+COUNTIF('12月'!X10:Y10,"渋谷-夜勤")+COUNTIF('12月'!AC10:AD10,"渋谷-夜勤")+COUNTIF('12月'!AH10:AI10,"渋谷-夜勤")+COUNTIF('12月'!AM10:AN10,"渋谷-夜勤")+COUNTIF('12月'!AR10:AS10,"渋谷-夜勤")+COUNTIF('12月'!AW10:AX10,"渋谷-夜勤")+COUNTIF('12月'!BB10:BC10,"渋谷-夜勤")+COUNTIF('12月'!BG10:BH10,"渋谷-夜勤")+COUNTIF('12月'!BL10:BM10,"渋谷-夜勤")+COUNTIF('12月'!BQ10:BR10,"渋谷-夜勤")+COUNTIF('12月'!BV10:BW10,"渋谷-夜勤")+COUNTIF('12月'!CA10:CB10,"渋谷-夜勤")+COUNTIF('12月'!CF10:CG10,"渋谷-夜勤")+COUNTIF('12月'!CK10:CL10,"渋谷-夜勤")+COUNTIF('12月'!CP10:CQ10,"渋谷-夜勤")+COUNTIF('12月'!CU10:CV10,"渋谷-夜勤")+COUNTIF('12月'!CZ10:DA10,"渋谷-夜勤")+COUNTIF('12月'!DE10:DF10,"渋谷-夜勤")+COUNTIF('12月'!DJ10:DK10,"渋谷-夜勤")+COUNTIF('12月'!DO10:DP10,"渋谷-夜勤")+COUNTIF('12月'!DT10:DU10,"渋谷-夜勤")+COUNTIF('12月'!DY10:DZ10,"渋谷-夜勤")+COUNTIF('12月'!ED10:EE10,"渋谷-夜勤")+COUNTIF('12月'!EI10:EJ10,"渋谷-夜勤")+COUNTIF('12月'!EN10:EO10,"渋谷-夜勤")+COUNTIF('12月'!ES10:ET10,"渋谷-夜勤")</f>
        <v>0</v>
      </c>
      <c r="I419" s="76">
        <f t="shared" si="135"/>
        <v>0</v>
      </c>
      <c r="J419" s="76">
        <f>COUNTIF('12月'!D10:E10,J$411)+COUNTIF('12月'!I10:J10,J$411)+COUNTIF('12月'!N10:O10,J$411)+COUNTIF('12月'!S10:T10,J$411)+COUNTIF('12月'!X10:Y10,J$411)+COUNTIF('12月'!AC10:AD10,J$411)+COUNTIF('12月'!AH10:AI10,J$411)+COUNTIF('12月'!AM10:AN10,J$411)+COUNTIF('12月'!AR10:AS10,J$411)+COUNTIF('12月'!AW10:AX10,J$411)+COUNTIF('12月'!BB10:BC10,J$411)+COUNTIF('12月'!BG10:BH10,J$411)+COUNTIF('12月'!BL10:BM10,J$411)+COUNTIF('12月'!BQ10:BR10,J$411)+COUNTIF('12月'!BV10:BW10,J$411)+COUNTIF('12月'!CA10:CB10,J$411)+COUNTIF('12月'!CF10:CG10,J$411)+COUNTIF('12月'!CK10:CL10,J$411)+COUNTIF('12月'!CP10:CQ10,J$411)+COUNTIF('12月'!CU10:CV10,J$411)+COUNTIF('12月'!CZ10:DA10,J$411)+COUNTIF('12月'!DE10:DF10,J$411)+COUNTIF('12月'!DJ10:DK10,J$411)+COUNTIF('12月'!DO10:DP10,J$411)+COUNTIF('12月'!DT10:DU10,J$411)+COUNTIF('12月'!DY10:DZ10,J$411)+COUNTIF('12月'!ED10:EE10,J$411)+COUNTIF('12月'!EI10:EJ10,J$411)+COUNTIF('12月'!EN10:EO10,J$411)+COUNTIF('12月'!ES10:ET10,J$411)+COUNTIF('12月'!D10:E10,"六本木-夜勤")+COUNTIF('12月'!I10:J10,"六本木-夜勤")+COUNTIF('12月'!N10:O10,"六本木-夜勤")+COUNTIF('12月'!S10:T10,"六本木-夜勤")+COUNTIF('12月'!X10:Y10,"六本木-夜勤")+COUNTIF('12月'!AC10:AD10,"六本木-夜勤")+COUNTIF('12月'!AH10:AI10,"六本木-夜勤")+COUNTIF('12月'!AM10:AN10,"六本木-夜勤")+COUNTIF('12月'!AR10:AS10,"六本木-夜勤")+COUNTIF('12月'!AW10:AX10,"六本木-夜勤")+COUNTIF('12月'!BB10:BC10,"六本木-夜勤")+COUNTIF('12月'!BG10:BH10,"六本木-夜勤")+COUNTIF('12月'!BL10:BM10,"六本木-夜勤")+COUNTIF('12月'!BQ10:BR10,"六本木-夜勤")+COUNTIF('12月'!BV10:BW10,"六本木-夜勤")+COUNTIF('12月'!CA10:CB10,"六本木-夜勤")+COUNTIF('12月'!CF10:CG10,"六本木-夜勤")+COUNTIF('12月'!CK10:CL10,"六本木-夜勤")+COUNTIF('12月'!CP10:CQ10,"六本木-夜勤")+COUNTIF('12月'!CU10:CV10,"六本木-夜勤")+COUNTIF('12月'!CZ10:DA10,"六本木-夜勤")+COUNTIF('12月'!DE10:DF10,"六本木-夜勤")+COUNTIF('12月'!DJ10:DK10,"六本木-夜勤")+COUNTIF('12月'!DO10:DP10,"六本木-夜勤")+COUNTIF('12月'!DT10:DU10,"六本木-夜勤")+COUNTIF('12月'!DY10:DZ10,"六本木-夜勤")+COUNTIF('12月'!ED10:EE10,"六本木-夜勤")+COUNTIF('12月'!EI10:EJ10,"六本木-夜勤")+COUNTIF('12月'!EN10:EO10,"六本木-夜勤")+COUNTIF('12月'!ES10:ET10,"六本木-夜勤")+COUNTIF('12月'!D10:E10,"六本木ー夜勤")+COUNTIF('12月'!I10:J10,"六本木ー夜勤")+COUNTIF('12月'!N10:O10,"六本木ー夜勤")+COUNTIF('12月'!S10:T10,"六本木ー夜勤")+COUNTIF('12月'!X10:Y10,"六本木ー夜勤")+COUNTIF('12月'!AC10:AD10,"六本木ー夜勤")+COUNTIF('12月'!AH10:AI10,"六本木ー夜勤")+COUNTIF('12月'!AM10:AN10,"六本木ー夜勤")+COUNTIF('12月'!AR10:AS10,"六本木ー夜勤")+COUNTIF('12月'!AW10:AX10,"六本木ー夜勤")+COUNTIF('12月'!BB10:BC10,"六本木ー夜勤")+COUNTIF('12月'!BG10:BH10,"六本木ー夜勤")+COUNTIF('12月'!BL10:BM10,"六本木ー夜勤")+COUNTIF('12月'!BQ10:BR10,"六本木ー夜勤")+COUNTIF('12月'!BV10:BW10,"六本木ー夜勤")+COUNTIF('12月'!CA10:CB10,"六本木ー夜勤")+COUNTIF('12月'!CF10:CG10,"六本木ー夜勤")+COUNTIF('12月'!CK10:CL10,"六本木ー夜勤")+COUNTIF('12月'!CP10:CQ10,"六本木ー夜勤")+COUNTIF('12月'!CU10:CV10,"六本木ー夜勤")+COUNTIF('12月'!CZ10:DA10,"六本木ー夜勤")+COUNTIF('12月'!DE10:DF10,"六本木ー夜勤")+COUNTIF('12月'!DJ10:DK10,"六本木ー夜勤")+COUNTIF('12月'!DO10:DP10,"六本木ー夜勤")+COUNTIF('12月'!DT10:DU10,"六本木ー夜勤")+COUNTIF('12月'!DY10:DZ10,"六本木ー夜勤")+COUNTIF('12月'!ED10:EE10,"六本木ー夜勤")+COUNTIF('12月'!EI10:EJ10,"六本木ー夜勤")+COUNTIF('12月'!EN10:EO10,"六本木ー夜勤")+COUNTIF('12月'!ES10:ET10,"六本木ー夜勤")</f>
        <v>0</v>
      </c>
      <c r="K419" s="76">
        <f t="shared" si="136"/>
        <v>0</v>
      </c>
      <c r="L419" s="76">
        <f>COUNTIF('12月'!D10:E10,L$411)+COUNTIF('12月'!I10:J10,L$411)+COUNTIF('12月'!N10:O10,L$411)+COUNTIF('12月'!S10:T10,L$411)+COUNTIF('12月'!X10:Y10,L$411)+COUNTIF('12月'!AC10:AD10,L$411)+COUNTIF('12月'!AH10:AI10,L$411)+COUNTIF('12月'!AM10:AN10,L$411)+COUNTIF('12月'!AR10:AS10,L$411)+COUNTIF('12月'!AW10:AX10,L$411)+COUNTIF('12月'!BB10:BC10,L$411)+COUNTIF('12月'!BG10:BH10,L$411)+COUNTIF('12月'!BL10:BM10,L$411)+COUNTIF('12月'!BQ10:BR10,L$411)+COUNTIF('12月'!BV10:BW10,L$411)+COUNTIF('12月'!CA10:CB10,L$411)+COUNTIF('12月'!CF10:CG10,L$411)+COUNTIF('12月'!CK10:CL10,L$411)+COUNTIF('12月'!CP10:CQ10,L$411)+COUNTIF('12月'!CU10:CV10,L$411)+COUNTIF('12月'!CZ10:DA10,L$411)+COUNTIF('12月'!DE10:DF10,L$411)+COUNTIF('12月'!DJ10:DK10,L$411)+COUNTIF('12月'!DO10:DP10,L$411)+COUNTIF('12月'!DT10:DU10,L$411)+COUNTIF('12月'!DY10:DZ10,L$411)+COUNTIF('12月'!ED10:EE10,L$411)+COUNTIF('12月'!EI10:EJ10,L$411)+COUNTIF('12月'!EN10:EO10,L$411)+COUNTIF('12月'!ES10:ET10,L$411)</f>
        <v>0</v>
      </c>
      <c r="M419" s="76">
        <f t="shared" si="137"/>
        <v>0</v>
      </c>
      <c r="N419" s="76">
        <f>COUNTIF('12月'!D10:E10,N$411)+COUNTIF('12月'!I10:J10,N$411)+COUNTIF('12月'!N10:O10,N$411)+COUNTIF('12月'!S10:T10,N$411)+COUNTIF('12月'!X10:Y10,N$411)+COUNTIF('12月'!AC10:AD10,N$411)+COUNTIF('12月'!AH10:AI10,N$411)+COUNTIF('12月'!AM10:AN10,N$411)+COUNTIF('12月'!AR10:AS10,N$411)+COUNTIF('12月'!AW10:AX10,N$411)+COUNTIF('12月'!BB10:BC10,N$411)+COUNTIF('12月'!BG10:BH10,N$411)+COUNTIF('12月'!BL10:BM10,N$411)+COUNTIF('12月'!BQ10:BR10,N$411)+COUNTIF('12月'!BV10:BW10,N$411)+COUNTIF('12月'!CA10:CB10,N$411)+COUNTIF('12月'!CF10:CG10,N$411)+COUNTIF('12月'!CK10:CL10,N$411)+COUNTIF('12月'!CP10:CQ10,N$411)+COUNTIF('12月'!CU10:CV10,N$411)+COUNTIF('12月'!CZ10:DA10,N$411)+COUNTIF('12月'!DE10:DF10,N$411)+COUNTIF('12月'!DJ10:DK10,N$411)+COUNTIF('12月'!DO10:DP10,N$411)+COUNTIF('12月'!DT10:DU10,N$411)+COUNTIF('12月'!DY10:DZ10,N$411)+COUNTIF('12月'!ED10:EE10,N$411)+COUNTIF('12月'!EI10:EJ10,N$411)+COUNTIF('12月'!EN10:EO10,N$411)+COUNTIF('12月'!ES10:ET10,N$411)+COUNTIF('12月'!D10:E10,"三軒茶屋－夜勤")+COUNTIF('12月'!I10:J10,"三軒茶屋－夜勤")+COUNTIF('12月'!N10:O10,"三軒茶屋－夜勤")+COUNTIF('12月'!S10:T10,"三軒茶屋－夜勤")+COUNTIF('12月'!X10:Y10,"三軒茶屋－夜勤")+COUNTIF('12月'!AC10:AD10,"三軒茶屋－夜勤")+COUNTIF('12月'!AH10:AI10,"三軒茶屋－夜勤")+COUNTIF('12月'!AM10:AN10,"三軒茶屋－夜勤")+COUNTIF('12月'!AR10:AS10,"三軒茶屋－夜勤")+COUNTIF('12月'!AW10:AX10,"三軒茶屋－夜勤")+COUNTIF('12月'!BB10:BC10,"三軒茶屋－夜勤")+COUNTIF('12月'!BG10:BH10,"三軒茶屋－夜勤")+COUNTIF('12月'!BL10:BM10,"三軒茶屋－夜勤")+COUNTIF('12月'!BQ10:BR10,"三軒茶屋－夜勤")+COUNTIF('12月'!BV10:BW10,"三軒茶屋－夜勤")+COUNTIF('12月'!CA10:CB10,"三軒茶屋－夜勤")+COUNTIF('12月'!CF10:CG10,"三軒茶屋－夜勤")+COUNTIF('12月'!CK10:CL10,"三軒茶屋－夜勤")+COUNTIF('12月'!CP10:CQ10,"三軒茶屋－夜勤")+COUNTIF('12月'!CU10:CV10,"三軒茶屋－夜勤")+COUNTIF('12月'!CZ10:DA10,"三軒茶屋－夜勤")+COUNTIF('12月'!DE10:DF10,"三軒茶屋－夜勤")+COUNTIF('12月'!DJ10:DK10,"三軒茶屋－夜勤")+COUNTIF('12月'!DO10:DP10,"三軒茶屋－夜勤")+COUNTIF('12月'!DT10:DU10,"三軒茶屋－夜勤")+COUNTIF('12月'!DY10:DZ10,"三軒茶屋－夜勤")+COUNTIF('12月'!ED10:EE10,"三軒茶屋－夜勤")+COUNTIF('12月'!EI10:EJ10,"三軒茶屋－夜勤")+COUNTIF('12月'!EN10:EO10,"三軒茶屋－夜勤")+COUNTIF('12月'!ES10:ET10,"三軒茶屋－夜勤")</f>
        <v>0</v>
      </c>
      <c r="O419" s="76">
        <f t="shared" si="138"/>
        <v>0</v>
      </c>
      <c r="P419" s="76">
        <f>COUNTIF('12月'!D10:E10,P$411)+COUNTIF('12月'!I10:J10,P$411)+COUNTIF('12月'!N10:O10,P$411)+COUNTIF('12月'!S10:T10,P$411)+COUNTIF('12月'!X10:Y10,P$411)+COUNTIF('12月'!AC10:AD10,P$411)+COUNTIF('12月'!AH10:AI10,P$411)+COUNTIF('12月'!AM10:AN10,P$411)+COUNTIF('12月'!AR10:AS10,P$411)+COUNTIF('12月'!AW10:AX10,P$411)+COUNTIF('12月'!BB10:BC10,P$411)+COUNTIF('12月'!BG10:BH10,P$411)+COUNTIF('12月'!BL10:BM10,P$411)+COUNTIF('12月'!BQ10:BR10,P$411)+COUNTIF('12月'!BV10:BW10,P$411)+COUNTIF('12月'!CA10:CB10,P$411)+COUNTIF('12月'!CF10:CG10,P$411)+COUNTIF('12月'!CK10:CL10,P$411)+COUNTIF('12月'!CP10:CQ10,P$411)+COUNTIF('12月'!CU10:CV10,P$411)+COUNTIF('12月'!CZ10:DA10,P$411)+COUNTIF('12月'!DE10:DF10,P$411)+COUNTIF('12月'!DJ10:DK10,P$411)+COUNTIF('12月'!DO10:DP10,P$411)+COUNTIF('12月'!DT10:DU10,P$411)+COUNTIF('12月'!DY10:DZ10,P$411)+COUNTIF('12月'!ED10:EE10,P$411)+COUNTIF('12月'!EI10:EJ10,P$411)+COUNTIF('12月'!EN10:EO10,P$411)+COUNTIF('12月'!ES10:ET10,P$411)+COUNTIF('12月'!D10:E10,"荻窪ー夜勤")+COUNTIF('12月'!I10:J10,"荻窪ー夜勤")+COUNTIF('12月'!N10:O10,"荻窪ー夜勤")+COUNTIF('12月'!S10:T10,"荻窪ー夜勤")+COUNTIF('12月'!X10:Y10,"荻窪ー夜勤")+COUNTIF('12月'!AC10:AD10,"荻窪ー夜勤")+COUNTIF('12月'!AH10:AI10,"荻窪ー夜勤")+COUNTIF('12月'!AM10:AN10,"荻窪ー夜勤")+COUNTIF('12月'!AR10:AS10,"荻窪ー夜勤")+COUNTIF('12月'!AW10:AX10,"荻窪ー夜勤")+COUNTIF('12月'!BB10:BC10,"荻窪ー夜勤")+COUNTIF('12月'!BG10:BH10,"荻窪ー夜勤")+COUNTIF('12月'!BL10:BM10,"荻窪ー夜勤")+COUNTIF('12月'!BQ10:BR10,"荻窪ー夜勤")+COUNTIF('12月'!BV10:BW10,"荻窪ー夜勤")+COUNTIF('12月'!CA10:CB10,"荻窪ー夜勤")+COUNTIF('12月'!CF10:CG10,"荻窪ー夜勤")+COUNTIF('12月'!CK10:CL10,"荻窪ー夜勤")+COUNTIF('12月'!CP10:CQ10,"荻窪ー夜勤")+COUNTIF('12月'!CU10:CV10,"荻窪ー夜勤")+COUNTIF('12月'!CZ10:DA10,"荻窪ー夜勤")+COUNTIF('12月'!DE10:DF10,"荻窪ー夜勤")+COUNTIF('12月'!DJ10:DK10,"荻窪ー夜勤")+COUNTIF('12月'!DO10:DP10,"荻窪ー夜勤")+COUNTIF('12月'!DT10:DU10,"荻窪ー夜勤")+COUNTIF('12月'!DY10:DZ10,"荻窪ー夜勤")+COUNTIF('12月'!ED10:EE10,"荻窪ー夜勤")+COUNTIF('12月'!EI10:EJ10,"荻窪ー夜勤")+COUNTIF('12月'!EN10:EO10,"荻窪ー夜勤")+COUNTIF('12月'!ES10:ET10,"荻窪ー夜勤")</f>
        <v>0</v>
      </c>
      <c r="Q419" s="76">
        <f t="shared" si="139"/>
        <v>0</v>
      </c>
      <c r="R419" s="76">
        <f>COUNTIF('12月'!D10:E10,R$411)+COUNTIF('12月'!I10:J10,R$411)+COUNTIF('12月'!N10:O10,R$411)+COUNTIF('12月'!S10:T10,R$411)+COUNTIF('12月'!X10:Y10,R$411)+COUNTIF('12月'!AC10:AD10,R$411)+COUNTIF('12月'!AH10:AI10,R$411)+COUNTIF('12月'!AM10:AN10,R$411)+COUNTIF('12月'!AR10:AS10,R$411)+COUNTIF('12月'!AW10:AX10,R$411)+COUNTIF('12月'!BB10:BC10,R$411)+COUNTIF('12月'!BG10:BH10,R$411)+COUNTIF('12月'!BL10:BM10,R$411)+COUNTIF('12月'!BQ10:BR10,R$411)+COUNTIF('12月'!BV10:BW10,R$411)+COUNTIF('12月'!CA10:CB10,R$411)+COUNTIF('12月'!CF10:CG10,R$411)+COUNTIF('12月'!CK10:CL10,R$411)+COUNTIF('12月'!CP10:CQ10,R$411)+COUNTIF('12月'!CU10:CV10,R$411)+COUNTIF('12月'!CZ10:DA10,R$411)+COUNTIF('12月'!DE10:DF10,R$411)+COUNTIF('12月'!DJ10:DK10,R$411)+COUNTIF('12月'!DO10:DP10,R$411)+COUNTIF('12月'!DT10:DU10,R$411)+COUNTIF('12月'!DY10:DZ10,R$411)+COUNTIF('12月'!ED10:EE10,R$411)+COUNTIF('12月'!EI10:EJ10,R$411)+COUNTIF('12月'!EN10:EO10,R$411)+COUNTIF('12月'!ES10:ET10,R$411)</f>
        <v>0</v>
      </c>
      <c r="S419" s="76">
        <f t="shared" si="140"/>
        <v>0</v>
      </c>
      <c r="T419" s="76">
        <f>COUNTIF('12月'!D10:E10,T$411)+COUNTIF('12月'!I10:J10,T$411)+COUNTIF('12月'!N10:O10,T$411)+COUNTIF('12月'!S10:T10,T$411)+COUNTIF('12月'!X10:Y10,T$411)+COUNTIF('12月'!AC10:AD10,T$411)+COUNTIF('12月'!AH10:AI10,T$411)+COUNTIF('12月'!AM10:AN10,T$411)+COUNTIF('12月'!AR10:AS10,T$411)+COUNTIF('12月'!AW10:AX10,T$411)+COUNTIF('12月'!BB10:BC10,T$411)+COUNTIF('12月'!BG10:BH10,T$411)+COUNTIF('12月'!BL10:BM10,T$411)+COUNTIF('12月'!BQ10:BR10,T$411)+COUNTIF('12月'!BV10:BW10,T$411)+COUNTIF('12月'!CA10:CB10,T$411)+COUNTIF('12月'!CF10:CG10,T$411)+COUNTIF('12月'!CK10:CL10,T$411)+COUNTIF('12月'!CP10:CQ10,T$411)+COUNTIF('12月'!CU10:CV10,T$411)+COUNTIF('12月'!CZ10:DA10,T$411)+COUNTIF('12月'!DE10:DF10,T$411)+COUNTIF('12月'!DJ10:DK10,T$411)+COUNTIF('12月'!DO10:DP10,T$411)+COUNTIF('12月'!DT10:DU10,T$411)+COUNTIF('12月'!DY10:DZ10,T$411)+COUNTIF('12月'!ED10:EE10,T$411)+COUNTIF('12月'!EI10:EJ10,T$411)+COUNTIF('12月'!EN10:EO10,T$411)+COUNTIF('12月'!ES10:ET10,T$411)</f>
        <v>0</v>
      </c>
      <c r="U419" s="76">
        <f t="shared" si="141"/>
        <v>0</v>
      </c>
      <c r="V419" s="76">
        <f>COUNTIF('12月'!D10:E10,V$411)+COUNTIF('12月'!I10:J10,V$411)+COUNTIF('12月'!N10:O10,V$411)+COUNTIF('12月'!S10:T10,V$411)+COUNTIF('12月'!X10:Y10,V$411)+COUNTIF('12月'!AC10:AD10,V$411)+COUNTIF('12月'!AH10:AI10,V$411)+COUNTIF('12月'!AM10:AN10,V$411)+COUNTIF('12月'!AR10:AS10,V$411)+COUNTIF('12月'!AW10:AX10,V$411)+COUNTIF('12月'!BB10:BC10,V$411)+COUNTIF('12月'!BG10:BH10,V$411)+COUNTIF('12月'!BL10:BM10,V$411)+COUNTIF('12月'!BQ10:BR10,V$411)+COUNTIF('12月'!BV10:BW10,V$411)+COUNTIF('12月'!CA10:CB10,V$411)+COUNTIF('12月'!CF10:CG10,V$411)+COUNTIF('12月'!CK10:CL10,V$411)+COUNTIF('12月'!CP10:CQ10,V$411)+COUNTIF('12月'!CU10:CV10,V$411)+COUNTIF('12月'!CZ10:DA10,V$411)+COUNTIF('12月'!DE10:DF10,V$411)+COUNTIF('12月'!DJ10:DK10,V$411)+COUNTIF('12月'!DO10:DP10,V$411)+COUNTIF('12月'!DT10:DU10,V$411)+COUNTIF('12月'!DY10:DZ10,V$411)+COUNTIF('12月'!ED10:EE10,V$411)+COUNTIF('12月'!EI10:EJ10,V$411)+COUNTIF('12月'!EN10:EO10,V$411)+COUNTIF('12月'!ES10:ET10,V$411)</f>
        <v>0</v>
      </c>
      <c r="W419" s="76">
        <f t="shared" si="142"/>
        <v>0</v>
      </c>
      <c r="X419" s="76">
        <f>COUNTIF('12月'!D10:E10,X$411)+COUNTIF('12月'!I10:J10,X$411)+COUNTIF('12月'!N10:O10,X$411)+COUNTIF('12月'!S10:T10,X$411)+COUNTIF('12月'!X10:Y10,X$411)+COUNTIF('12月'!AC10:AD10,X$411)+COUNTIF('12月'!AH10:AI10,X$411)+COUNTIF('12月'!AM10:AN10,X$411)+COUNTIF('12月'!AR10:AS10,X$411)+COUNTIF('12月'!AW10:AX10,X$411)+COUNTIF('12月'!BB10:BC10,X$411)+COUNTIF('12月'!BG10:BH10,X$411)+COUNTIF('12月'!BL10:BM10,X$411)+COUNTIF('12月'!BQ10:BR10,X$411)+COUNTIF('12月'!BV10:BW10,X$411)+COUNTIF('12月'!CA10:CB10,X$411)+COUNTIF('12月'!CF10:CG10,X$411)+COUNTIF('12月'!CK10:CL10,X$411)+COUNTIF('12月'!CP10:CQ10,X$411)+COUNTIF('12月'!CU10:CV10,X$411)+COUNTIF('12月'!CZ10:DA10,X$411)+COUNTIF('12月'!DE10:DF10,X$411)+COUNTIF('12月'!DJ10:DK10,X$411)+COUNTIF('12月'!DO10:DP10,X$411)+COUNTIF('12月'!DT10:DU10,X$411)+COUNTIF('12月'!DY10:DZ10,X$411)+COUNTIF('12月'!ED10:EE10,X$411)+COUNTIF('12月'!EI10:EJ10,X$411)+COUNTIF('12月'!EN10:EO10,X$411)+COUNTIF('12月'!ES10:ET10,X$411)</f>
        <v>0</v>
      </c>
      <c r="Y419" s="76">
        <f t="shared" si="143"/>
        <v>0</v>
      </c>
    </row>
    <row r="420" spans="1:25" ht="18" customHeight="1">
      <c r="A420" s="76">
        <v>8</v>
      </c>
      <c r="B420" s="76">
        <f>COUNTIF('12月'!D11:E11,B$411)+COUNTIF('12月'!I11:J11,B$411)+COUNTIF('12月'!N11:O11,B$411)+COUNTIF('12月'!S11:T11,B$411)+COUNTIF('12月'!X11:Y11,B$411)+COUNTIF('12月'!AC11:AD11,B$411)+COUNTIF('12月'!AH11:AI11,B$411)+COUNTIF('12月'!AM11:AN11,B$411)+COUNTIF('12月'!AR11:AS11,B$411)+COUNTIF('12月'!AW11:AX11,B$411)+COUNTIF('12月'!BB11:BC11,B$411)+COUNTIF('12月'!BG11:BH11,B$411)+COUNTIF('12月'!BL11:BM11,B$411)+COUNTIF('12月'!BQ11:BR11,B$411)+COUNTIF('12月'!BV11:BW11,B$411)+COUNTIF('12月'!CA11:CB11,B$411)+COUNTIF('12月'!CF11:CG11,B$411)+COUNTIF('12月'!CK11:CL11,B$411)+COUNTIF('12月'!CP11:CQ11,B$411)+COUNTIF('12月'!CU11:CV11,B$411)+COUNTIF('12月'!CZ11:DA11,B$411)+COUNTIF('12月'!DE11:DF11,B$411)+COUNTIF('12月'!DJ11:DK11,B$411)+COUNTIF('12月'!DO11:DP11,B$411)+COUNTIF('12月'!DT11:DU11,B$411)+COUNTIF('12月'!DY11:DZ11,B$411)+COUNTIF('12月'!ED11:EE11,B$411)+COUNTIF('12月'!EI11:EJ11,B$411)+COUNTIF('12月'!EN11:EO11,B$411)+COUNTIF('12月'!ES11:ET11,B$411)</f>
        <v>0</v>
      </c>
      <c r="C420" s="76">
        <f t="shared" si="132"/>
        <v>0</v>
      </c>
      <c r="D420" s="76">
        <f>COUNTIF('12月'!D11:E11,D$411)+COUNTIF('12月'!I11:J11,D$411)+COUNTIF('12月'!N11:O11,D$411)+COUNTIF('12月'!S11:T11,D$411)+COUNTIF('12月'!X11:Y11,D$411)+COUNTIF('12月'!AC11:AD11,D$411)+COUNTIF('12月'!AH11:AI11,D$411)+COUNTIF('12月'!AM11:AN11,D$411)+COUNTIF('12月'!AR11:AS11,D$411)+COUNTIF('12月'!AW11:AX11,D$411)+COUNTIF('12月'!BB11:BC11,D$411)+COUNTIF('12月'!BG11:BH11,D$411)+COUNTIF('12月'!BL11:BM11,D$411)+COUNTIF('12月'!BQ11:BR11,D$411)+COUNTIF('12月'!BV11:BW11,D$411)+COUNTIF('12月'!CA11:CB11,D$411)+COUNTIF('12月'!CF11:CG11,D$411)+COUNTIF('12月'!CK11:CL11,D$411)+COUNTIF('12月'!CP11:CQ11,D$411)+COUNTIF('12月'!CU11:CV11,D$411)+COUNTIF('12月'!CZ11:DA11,D$411)+COUNTIF('12月'!DE11:DF11,D$411)+COUNTIF('12月'!DJ11:DK11,D$411)+COUNTIF('12月'!DO11:DP11,D$411)+COUNTIF('12月'!DT11:DU11,D$411)+COUNTIF('12月'!DY11:DZ11,D$411)+COUNTIF('12月'!ED11:EE11,D$411)+COUNTIF('12月'!EI11:EJ11,D$411)+COUNTIF('12月'!EN11:EO11,D$411)+COUNTIF('12月'!ES11:ET11,D$411)</f>
        <v>0</v>
      </c>
      <c r="E420" s="76">
        <f t="shared" si="133"/>
        <v>0</v>
      </c>
      <c r="F420" s="76">
        <f>COUNTIF('12月'!D11:E11,F$411)+COUNTIF('12月'!I11:J11,F$411)+COUNTIF('12月'!N11:O11,F$411)+COUNTIF('12月'!S11:T11,F$411)+COUNTIF('12月'!X11:Y11,F$411)+COUNTIF('12月'!AC11:AD11,F$411)+COUNTIF('12月'!AH11:AI11,F$411)+COUNTIF('12月'!AM11:AN11,F$411)+COUNTIF('12月'!AR11:AS11,F$411)+COUNTIF('12月'!AW11:AX11,F$411)+COUNTIF('12月'!BB11:BC11,F$411)+COUNTIF('12月'!BG11:BH11,F$411)+COUNTIF('12月'!BL11:BM11,F$411)+COUNTIF('12月'!BQ11:BR11,F$411)+COUNTIF('12月'!BV11:BW11,F$411)+COUNTIF('12月'!CA11:CB11,F$411)+COUNTIF('12月'!CF11:CG11,F$411)+COUNTIF('12月'!CK11:CL11,F$411)+COUNTIF('12月'!CP11:CQ11,F$411)+COUNTIF('12月'!CU11:CV11,F$411)+COUNTIF('12月'!CZ11:DA11,F$411)+COUNTIF('12月'!DE11:DF11,F$411)+COUNTIF('12月'!DJ11:DK11,F$411)+COUNTIF('12月'!DO11:DP11,F$411)+COUNTIF('12月'!DT11:DU11,F$411)+COUNTIF('12月'!DY11:DZ11,F$411)+COUNTIF('12月'!ED11:EE11,F$411)+COUNTIF('12月'!EI11:EJ11,F$411)+COUNTIF('12月'!EN11:EO11,F$411)+COUNTIF('12月'!ES11:ET11,F$411)</f>
        <v>0</v>
      </c>
      <c r="G420" s="76">
        <f t="shared" si="134"/>
        <v>0</v>
      </c>
      <c r="H420" s="76">
        <f>COUNTIF('12月'!D11:E11,H$411)+COUNTIF('12月'!I11:J11,H$411)+COUNTIF('12月'!N11:O11,H$411)+COUNTIF('12月'!S11:T11,H$411)+COUNTIF('12月'!X11:Y11,H$411)+COUNTIF('12月'!AC11:AD11,H$411)+COUNTIF('12月'!AH11:AI11,H$411)+COUNTIF('12月'!AM11:AN11,H$411)+COUNTIF('12月'!AR11:AS11,H$411)+COUNTIF('12月'!AW11:AX11,H$411)+COUNTIF('12月'!BB11:BC11,H$411)+COUNTIF('12月'!BG11:BH11,H$411)+COUNTIF('12月'!BL11:BM11,H$411)+COUNTIF('12月'!BQ11:BR11,H$411)+COUNTIF('12月'!BV11:BW11,H$411)+COUNTIF('12月'!CA11:CB11,H$411)+COUNTIF('12月'!CF11:CG11,H$411)+COUNTIF('12月'!CK11:CL11,H$411)+COUNTIF('12月'!CP11:CQ11,H$411)+COUNTIF('12月'!CU11:CV11,H$411)+COUNTIF('12月'!CZ11:DA11,H$411)+COUNTIF('12月'!DE11:DF11,H$411)+COUNTIF('12月'!DJ11:DK11,H$411)+COUNTIF('12月'!DO11:DP11,H$411)+COUNTIF('12月'!DT11:DU11,H$411)+COUNTIF('12月'!DY11:DZ11,H$411)+COUNTIF('12月'!ED11:EE11,H$411)+COUNTIF('12月'!EI11:EJ11,H$411)+COUNTIF('12月'!EN11:EO11,H$411)+COUNTIF('12月'!ES11:ET11,H$411)+COUNTIF('12月'!D11:E11,"渋谷-夜勤")+COUNTIF('12月'!I11:J11,"渋谷-夜勤")+COUNTIF('12月'!N11:O11,"渋谷-夜勤")+COUNTIF('12月'!S11:T11,"渋谷-夜勤")+COUNTIF('12月'!X11:Y11,"渋谷-夜勤")+COUNTIF('12月'!AC11:AD11,"渋谷-夜勤")+COUNTIF('12月'!AH11:AI11,"渋谷-夜勤")+COUNTIF('12月'!AM11:AN11,"渋谷-夜勤")+COUNTIF('12月'!AR11:AS11,"渋谷-夜勤")+COUNTIF('12月'!AW11:AX11,"渋谷-夜勤")+COUNTIF('12月'!BB11:BC11,"渋谷-夜勤")+COUNTIF('12月'!BG11:BH11,"渋谷-夜勤")+COUNTIF('12月'!BL11:BM11,"渋谷-夜勤")+COUNTIF('12月'!BQ11:BR11,"渋谷-夜勤")+COUNTIF('12月'!BV11:BW11,"渋谷-夜勤")+COUNTIF('12月'!CA11:CB11,"渋谷-夜勤")+COUNTIF('12月'!CF11:CG11,"渋谷-夜勤")+COUNTIF('12月'!CK11:CL11,"渋谷-夜勤")+COUNTIF('12月'!CP11:CQ11,"渋谷-夜勤")+COUNTIF('12月'!CU11:CV11,"渋谷-夜勤")+COUNTIF('12月'!CZ11:DA11,"渋谷-夜勤")+COUNTIF('12月'!DE11:DF11,"渋谷-夜勤")+COUNTIF('12月'!DJ11:DK11,"渋谷-夜勤")+COUNTIF('12月'!DO11:DP11,"渋谷-夜勤")+COUNTIF('12月'!DT11:DU11,"渋谷-夜勤")+COUNTIF('12月'!DY11:DZ11,"渋谷-夜勤")+COUNTIF('12月'!ED11:EE11,"渋谷-夜勤")+COUNTIF('12月'!EI11:EJ11,"渋谷-夜勤")+COUNTIF('12月'!EN11:EO11,"渋谷-夜勤")+COUNTIF('12月'!ES11:ET11,"渋谷-夜勤")</f>
        <v>0</v>
      </c>
      <c r="I420" s="76">
        <f t="shared" si="135"/>
        <v>0</v>
      </c>
      <c r="J420" s="76">
        <f>COUNTIF('12月'!D11:E11,J$411)+COUNTIF('12月'!I11:J11,J$411)+COUNTIF('12月'!N11:O11,J$411)+COUNTIF('12月'!S11:T11,J$411)+COUNTIF('12月'!X11:Y11,J$411)+COUNTIF('12月'!AC11:AD11,J$411)+COUNTIF('12月'!AH11:AI11,J$411)+COUNTIF('12月'!AM11:AN11,J$411)+COUNTIF('12月'!AR11:AS11,J$411)+COUNTIF('12月'!AW11:AX11,J$411)+COUNTIF('12月'!BB11:BC11,J$411)+COUNTIF('12月'!BG11:BH11,J$411)+COUNTIF('12月'!BL11:BM11,J$411)+COUNTIF('12月'!BQ11:BR11,J$411)+COUNTIF('12月'!BV11:BW11,J$411)+COUNTIF('12月'!CA11:CB11,J$411)+COUNTIF('12月'!CF11:CG11,J$411)+COUNTIF('12月'!CK11:CL11,J$411)+COUNTIF('12月'!CP11:CQ11,J$411)+COUNTIF('12月'!CU11:CV11,J$411)+COUNTIF('12月'!CZ11:DA11,J$411)+COUNTIF('12月'!DE11:DF11,J$411)+COUNTIF('12月'!DJ11:DK11,J$411)+COUNTIF('12月'!DO11:DP11,J$411)+COUNTIF('12月'!DT11:DU11,J$411)+COUNTIF('12月'!DY11:DZ11,J$411)+COUNTIF('12月'!ED11:EE11,J$411)+COUNTIF('12月'!EI11:EJ11,J$411)+COUNTIF('12月'!EN11:EO11,J$411)+COUNTIF('12月'!ES11:ET11,J$411)+COUNTIF('12月'!D11:E11,"六本木-夜勤")+COUNTIF('12月'!I11:J11,"六本木-夜勤")+COUNTIF('12月'!N11:O11,"六本木-夜勤")+COUNTIF('12月'!S11:T11,"六本木-夜勤")+COUNTIF('12月'!X11:Y11,"六本木-夜勤")+COUNTIF('12月'!AC11:AD11,"六本木-夜勤")+COUNTIF('12月'!AH11:AI11,"六本木-夜勤")+COUNTIF('12月'!AM11:AN11,"六本木-夜勤")+COUNTIF('12月'!AR11:AS11,"六本木-夜勤")+COUNTIF('12月'!AW11:AX11,"六本木-夜勤")+COUNTIF('12月'!BB11:BC11,"六本木-夜勤")+COUNTIF('12月'!BG11:BH11,"六本木-夜勤")+COUNTIF('12月'!BL11:BM11,"六本木-夜勤")+COUNTIF('12月'!BQ11:BR11,"六本木-夜勤")+COUNTIF('12月'!BV11:BW11,"六本木-夜勤")+COUNTIF('12月'!CA11:CB11,"六本木-夜勤")+COUNTIF('12月'!CF11:CG11,"六本木-夜勤")+COUNTIF('12月'!CK11:CL11,"六本木-夜勤")+COUNTIF('12月'!CP11:CQ11,"六本木-夜勤")+COUNTIF('12月'!CU11:CV11,"六本木-夜勤")+COUNTIF('12月'!CZ11:DA11,"六本木-夜勤")+COUNTIF('12月'!DE11:DF11,"六本木-夜勤")+COUNTIF('12月'!DJ11:DK11,"六本木-夜勤")+COUNTIF('12月'!DO11:DP11,"六本木-夜勤")+COUNTIF('12月'!DT11:DU11,"六本木-夜勤")+COUNTIF('12月'!DY11:DZ11,"六本木-夜勤")+COUNTIF('12月'!ED11:EE11,"六本木-夜勤")+COUNTIF('12月'!EI11:EJ11,"六本木-夜勤")+COUNTIF('12月'!EN11:EO11,"六本木-夜勤")+COUNTIF('12月'!ES11:ET11,"六本木-夜勤")+COUNTIF('12月'!D11:E11,"六本木ー夜勤")+COUNTIF('12月'!I11:J11,"六本木ー夜勤")+COUNTIF('12月'!N11:O11,"六本木ー夜勤")+COUNTIF('12月'!S11:T11,"六本木ー夜勤")+COUNTIF('12月'!X11:Y11,"六本木ー夜勤")+COUNTIF('12月'!AC11:AD11,"六本木ー夜勤")+COUNTIF('12月'!AH11:AI11,"六本木ー夜勤")+COUNTIF('12月'!AM11:AN11,"六本木ー夜勤")+COUNTIF('12月'!AR11:AS11,"六本木ー夜勤")+COUNTIF('12月'!AW11:AX11,"六本木ー夜勤")+COUNTIF('12月'!BB11:BC11,"六本木ー夜勤")+COUNTIF('12月'!BG11:BH11,"六本木ー夜勤")+COUNTIF('12月'!BL11:BM11,"六本木ー夜勤")+COUNTIF('12月'!BQ11:BR11,"六本木ー夜勤")+COUNTIF('12月'!BV11:BW11,"六本木ー夜勤")+COUNTIF('12月'!CA11:CB11,"六本木ー夜勤")+COUNTIF('12月'!CF11:CG11,"六本木ー夜勤")+COUNTIF('12月'!CK11:CL11,"六本木ー夜勤")+COUNTIF('12月'!CP11:CQ11,"六本木ー夜勤")+COUNTIF('12月'!CU11:CV11,"六本木ー夜勤")+COUNTIF('12月'!CZ11:DA11,"六本木ー夜勤")+COUNTIF('12月'!DE11:DF11,"六本木ー夜勤")+COUNTIF('12月'!DJ11:DK11,"六本木ー夜勤")+COUNTIF('12月'!DO11:DP11,"六本木ー夜勤")+COUNTIF('12月'!DT11:DU11,"六本木ー夜勤")+COUNTIF('12月'!DY11:DZ11,"六本木ー夜勤")+COUNTIF('12月'!ED11:EE11,"六本木ー夜勤")+COUNTIF('12月'!EI11:EJ11,"六本木ー夜勤")+COUNTIF('12月'!EN11:EO11,"六本木ー夜勤")+COUNTIF('12月'!ES11:ET11,"六本木ー夜勤")</f>
        <v>0</v>
      </c>
      <c r="K420" s="76">
        <f t="shared" si="136"/>
        <v>0</v>
      </c>
      <c r="L420" s="76">
        <f>COUNTIF('12月'!D11:E11,L$411)+COUNTIF('12月'!I11:J11,L$411)+COUNTIF('12月'!N11:O11,L$411)+COUNTIF('12月'!S11:T11,L$411)+COUNTIF('12月'!X11:Y11,L$411)+COUNTIF('12月'!AC11:AD11,L$411)+COUNTIF('12月'!AH11:AI11,L$411)+COUNTIF('12月'!AM11:AN11,L$411)+COUNTIF('12月'!AR11:AS11,L$411)+COUNTIF('12月'!AW11:AX11,L$411)+COUNTIF('12月'!BB11:BC11,L$411)+COUNTIF('12月'!BG11:BH11,L$411)+COUNTIF('12月'!BL11:BM11,L$411)+COUNTIF('12月'!BQ11:BR11,L$411)+COUNTIF('12月'!BV11:BW11,L$411)+COUNTIF('12月'!CA11:CB11,L$411)+COUNTIF('12月'!CF11:CG11,L$411)+COUNTIF('12月'!CK11:CL11,L$411)+COUNTIF('12月'!CP11:CQ11,L$411)+COUNTIF('12月'!CU11:CV11,L$411)+COUNTIF('12月'!CZ11:DA11,L$411)+COUNTIF('12月'!DE11:DF11,L$411)+COUNTIF('12月'!DJ11:DK11,L$411)+COUNTIF('12月'!DO11:DP11,L$411)+COUNTIF('12月'!DT11:DU11,L$411)+COUNTIF('12月'!DY11:DZ11,L$411)+COUNTIF('12月'!ED11:EE11,L$411)+COUNTIF('12月'!EI11:EJ11,L$411)+COUNTIF('12月'!EN11:EO11,L$411)+COUNTIF('12月'!ES11:ET11,L$411)</f>
        <v>0</v>
      </c>
      <c r="M420" s="76">
        <f t="shared" si="137"/>
        <v>0</v>
      </c>
      <c r="N420" s="76">
        <f>COUNTIF('12月'!D11:E11,N$411)+COUNTIF('12月'!I11:J11,N$411)+COUNTIF('12月'!N11:O11,N$411)+COUNTIF('12月'!S11:T11,N$411)+COUNTIF('12月'!X11:Y11,N$411)+COUNTIF('12月'!AC11:AD11,N$411)+COUNTIF('12月'!AH11:AI11,N$411)+COUNTIF('12月'!AM11:AN11,N$411)+COUNTIF('12月'!AR11:AS11,N$411)+COUNTIF('12月'!AW11:AX11,N$411)+COUNTIF('12月'!BB11:BC11,N$411)+COUNTIF('12月'!BG11:BH11,N$411)+COUNTIF('12月'!BL11:BM11,N$411)+COUNTIF('12月'!BQ11:BR11,N$411)+COUNTIF('12月'!BV11:BW11,N$411)+COUNTIF('12月'!CA11:CB11,N$411)+COUNTIF('12月'!CF11:CG11,N$411)+COUNTIF('12月'!CK11:CL11,N$411)+COUNTIF('12月'!CP11:CQ11,N$411)+COUNTIF('12月'!CU11:CV11,N$411)+COUNTIF('12月'!CZ11:DA11,N$411)+COUNTIF('12月'!DE11:DF11,N$411)+COUNTIF('12月'!DJ11:DK11,N$411)+COUNTIF('12月'!DO11:DP11,N$411)+COUNTIF('12月'!DT11:DU11,N$411)+COUNTIF('12月'!DY11:DZ11,N$411)+COUNTIF('12月'!ED11:EE11,N$411)+COUNTIF('12月'!EI11:EJ11,N$411)+COUNTIF('12月'!EN11:EO11,N$411)+COUNTIF('12月'!ES11:ET11,N$411)+COUNTIF('12月'!D11:E11,"三軒茶屋－夜勤")+COUNTIF('12月'!I11:J11,"三軒茶屋－夜勤")+COUNTIF('12月'!N11:O11,"三軒茶屋－夜勤")+COUNTIF('12月'!S11:T11,"三軒茶屋－夜勤")+COUNTIF('12月'!X11:Y11,"三軒茶屋－夜勤")+COUNTIF('12月'!AC11:AD11,"三軒茶屋－夜勤")+COUNTIF('12月'!AH11:AI11,"三軒茶屋－夜勤")+COUNTIF('12月'!AM11:AN11,"三軒茶屋－夜勤")+COUNTIF('12月'!AR11:AS11,"三軒茶屋－夜勤")+COUNTIF('12月'!AW11:AX11,"三軒茶屋－夜勤")+COUNTIF('12月'!BB11:BC11,"三軒茶屋－夜勤")+COUNTIF('12月'!BG11:BH11,"三軒茶屋－夜勤")+COUNTIF('12月'!BL11:BM11,"三軒茶屋－夜勤")+COUNTIF('12月'!BQ11:BR11,"三軒茶屋－夜勤")+COUNTIF('12月'!BV11:BW11,"三軒茶屋－夜勤")+COUNTIF('12月'!CA11:CB11,"三軒茶屋－夜勤")+COUNTIF('12月'!CF11:CG11,"三軒茶屋－夜勤")+COUNTIF('12月'!CK11:CL11,"三軒茶屋－夜勤")+COUNTIF('12月'!CP11:CQ11,"三軒茶屋－夜勤")+COUNTIF('12月'!CU11:CV11,"三軒茶屋－夜勤")+COUNTIF('12月'!CZ11:DA11,"三軒茶屋－夜勤")+COUNTIF('12月'!DE11:DF11,"三軒茶屋－夜勤")+COUNTIF('12月'!DJ11:DK11,"三軒茶屋－夜勤")+COUNTIF('12月'!DO11:DP11,"三軒茶屋－夜勤")+COUNTIF('12月'!DT11:DU11,"三軒茶屋－夜勤")+COUNTIF('12月'!DY11:DZ11,"三軒茶屋－夜勤")+COUNTIF('12月'!ED11:EE11,"三軒茶屋－夜勤")+COUNTIF('12月'!EI11:EJ11,"三軒茶屋－夜勤")+COUNTIF('12月'!EN11:EO11,"三軒茶屋－夜勤")+COUNTIF('12月'!ES11:ET11,"三軒茶屋－夜勤")</f>
        <v>0</v>
      </c>
      <c r="O420" s="76">
        <f t="shared" si="138"/>
        <v>0</v>
      </c>
      <c r="P420" s="76">
        <f>COUNTIF('12月'!D11:E11,P$411)+COUNTIF('12月'!I11:J11,P$411)+COUNTIF('12月'!N11:O11,P$411)+COUNTIF('12月'!S11:T11,P$411)+COUNTIF('12月'!X11:Y11,P$411)+COUNTIF('12月'!AC11:AD11,P$411)+COUNTIF('12月'!AH11:AI11,P$411)+COUNTIF('12月'!AM11:AN11,P$411)+COUNTIF('12月'!AR11:AS11,P$411)+COUNTIF('12月'!AW11:AX11,P$411)+COUNTIF('12月'!BB11:BC11,P$411)+COUNTIF('12月'!BG11:BH11,P$411)+COUNTIF('12月'!BL11:BM11,P$411)+COUNTIF('12月'!BQ11:BR11,P$411)+COUNTIF('12月'!BV11:BW11,P$411)+COUNTIF('12月'!CA11:CB11,P$411)+COUNTIF('12月'!CF11:CG11,P$411)+COUNTIF('12月'!CK11:CL11,P$411)+COUNTIF('12月'!CP11:CQ11,P$411)+COUNTIF('12月'!CU11:CV11,P$411)+COUNTIF('12月'!CZ11:DA11,P$411)+COUNTIF('12月'!DE11:DF11,P$411)+COUNTIF('12月'!DJ11:DK11,P$411)+COUNTIF('12月'!DO11:DP11,P$411)+COUNTIF('12月'!DT11:DU11,P$411)+COUNTIF('12月'!DY11:DZ11,P$411)+COUNTIF('12月'!ED11:EE11,P$411)+COUNTIF('12月'!EI11:EJ11,P$411)+COUNTIF('12月'!EN11:EO11,P$411)+COUNTIF('12月'!ES11:ET11,P$411)+COUNTIF('12月'!D11:E11,"荻窪ー夜勤")+COUNTIF('12月'!I11:J11,"荻窪ー夜勤")+COUNTIF('12月'!N11:O11,"荻窪ー夜勤")+COUNTIF('12月'!S11:T11,"荻窪ー夜勤")+COUNTIF('12月'!X11:Y11,"荻窪ー夜勤")+COUNTIF('12月'!AC11:AD11,"荻窪ー夜勤")+COUNTIF('12月'!AH11:AI11,"荻窪ー夜勤")+COUNTIF('12月'!AM11:AN11,"荻窪ー夜勤")+COUNTIF('12月'!AR11:AS11,"荻窪ー夜勤")+COUNTIF('12月'!AW11:AX11,"荻窪ー夜勤")+COUNTIF('12月'!BB11:BC11,"荻窪ー夜勤")+COUNTIF('12月'!BG11:BH11,"荻窪ー夜勤")+COUNTIF('12月'!BL11:BM11,"荻窪ー夜勤")+COUNTIF('12月'!BQ11:BR11,"荻窪ー夜勤")+COUNTIF('12月'!BV11:BW11,"荻窪ー夜勤")+COUNTIF('12月'!CA11:CB11,"荻窪ー夜勤")+COUNTIF('12月'!CF11:CG11,"荻窪ー夜勤")+COUNTIF('12月'!CK11:CL11,"荻窪ー夜勤")+COUNTIF('12月'!CP11:CQ11,"荻窪ー夜勤")+COUNTIF('12月'!CU11:CV11,"荻窪ー夜勤")+COUNTIF('12月'!CZ11:DA11,"荻窪ー夜勤")+COUNTIF('12月'!DE11:DF11,"荻窪ー夜勤")+COUNTIF('12月'!DJ11:DK11,"荻窪ー夜勤")+COUNTIF('12月'!DO11:DP11,"荻窪ー夜勤")+COUNTIF('12月'!DT11:DU11,"荻窪ー夜勤")+COUNTIF('12月'!DY11:DZ11,"荻窪ー夜勤")+COUNTIF('12月'!ED11:EE11,"荻窪ー夜勤")+COUNTIF('12月'!EI11:EJ11,"荻窪ー夜勤")+COUNTIF('12月'!EN11:EO11,"荻窪ー夜勤")+COUNTIF('12月'!ES11:ET11,"荻窪ー夜勤")</f>
        <v>0</v>
      </c>
      <c r="Q420" s="76">
        <f t="shared" si="139"/>
        <v>0</v>
      </c>
      <c r="R420" s="76">
        <f>COUNTIF('12月'!D11:E11,R$411)+COUNTIF('12月'!I11:J11,R$411)+COUNTIF('12月'!N11:O11,R$411)+COUNTIF('12月'!S11:T11,R$411)+COUNTIF('12月'!X11:Y11,R$411)+COUNTIF('12月'!AC11:AD11,R$411)+COUNTIF('12月'!AH11:AI11,R$411)+COUNTIF('12月'!AM11:AN11,R$411)+COUNTIF('12月'!AR11:AS11,R$411)+COUNTIF('12月'!AW11:AX11,R$411)+COUNTIF('12月'!BB11:BC11,R$411)+COUNTIF('12月'!BG11:BH11,R$411)+COUNTIF('12月'!BL11:BM11,R$411)+COUNTIF('12月'!BQ11:BR11,R$411)+COUNTIF('12月'!BV11:BW11,R$411)+COUNTIF('12月'!CA11:CB11,R$411)+COUNTIF('12月'!CF11:CG11,R$411)+COUNTIF('12月'!CK11:CL11,R$411)+COUNTIF('12月'!CP11:CQ11,R$411)+COUNTIF('12月'!CU11:CV11,R$411)+COUNTIF('12月'!CZ11:DA11,R$411)+COUNTIF('12月'!DE11:DF11,R$411)+COUNTIF('12月'!DJ11:DK11,R$411)+COUNTIF('12月'!DO11:DP11,R$411)+COUNTIF('12月'!DT11:DU11,R$411)+COUNTIF('12月'!DY11:DZ11,R$411)+COUNTIF('12月'!ED11:EE11,R$411)+COUNTIF('12月'!EI11:EJ11,R$411)+COUNTIF('12月'!EN11:EO11,R$411)+COUNTIF('12月'!ES11:ET11,R$411)</f>
        <v>0</v>
      </c>
      <c r="S420" s="76">
        <f t="shared" si="140"/>
        <v>0</v>
      </c>
      <c r="T420" s="76">
        <f>COUNTIF('12月'!D11:E11,T$411)+COUNTIF('12月'!I11:J11,T$411)+COUNTIF('12月'!N11:O11,T$411)+COUNTIF('12月'!S11:T11,T$411)+COUNTIF('12月'!X11:Y11,T$411)+COUNTIF('12月'!AC11:AD11,T$411)+COUNTIF('12月'!AH11:AI11,T$411)+COUNTIF('12月'!AM11:AN11,T$411)+COUNTIF('12月'!AR11:AS11,T$411)+COUNTIF('12月'!AW11:AX11,T$411)+COUNTIF('12月'!BB11:BC11,T$411)+COUNTIF('12月'!BG11:BH11,T$411)+COUNTIF('12月'!BL11:BM11,T$411)+COUNTIF('12月'!BQ11:BR11,T$411)+COUNTIF('12月'!BV11:BW11,T$411)+COUNTIF('12月'!CA11:CB11,T$411)+COUNTIF('12月'!CF11:CG11,T$411)+COUNTIF('12月'!CK11:CL11,T$411)+COUNTIF('12月'!CP11:CQ11,T$411)+COUNTIF('12月'!CU11:CV11,T$411)+COUNTIF('12月'!CZ11:DA11,T$411)+COUNTIF('12月'!DE11:DF11,T$411)+COUNTIF('12月'!DJ11:DK11,T$411)+COUNTIF('12月'!DO11:DP11,T$411)+COUNTIF('12月'!DT11:DU11,T$411)+COUNTIF('12月'!DY11:DZ11,T$411)+COUNTIF('12月'!ED11:EE11,T$411)+COUNTIF('12月'!EI11:EJ11,T$411)+COUNTIF('12月'!EN11:EO11,T$411)+COUNTIF('12月'!ES11:ET11,T$411)</f>
        <v>0</v>
      </c>
      <c r="U420" s="76">
        <f t="shared" si="141"/>
        <v>0</v>
      </c>
      <c r="V420" s="76">
        <f>COUNTIF('12月'!D11:E11,V$411)+COUNTIF('12月'!I11:J11,V$411)+COUNTIF('12月'!N11:O11,V$411)+COUNTIF('12月'!S11:T11,V$411)+COUNTIF('12月'!X11:Y11,V$411)+COUNTIF('12月'!AC11:AD11,V$411)+COUNTIF('12月'!AH11:AI11,V$411)+COUNTIF('12月'!AM11:AN11,V$411)+COUNTIF('12月'!AR11:AS11,V$411)+COUNTIF('12月'!AW11:AX11,V$411)+COUNTIF('12月'!BB11:BC11,V$411)+COUNTIF('12月'!BG11:BH11,V$411)+COUNTIF('12月'!BL11:BM11,V$411)+COUNTIF('12月'!BQ11:BR11,V$411)+COUNTIF('12月'!BV11:BW11,V$411)+COUNTIF('12月'!CA11:CB11,V$411)+COUNTIF('12月'!CF11:CG11,V$411)+COUNTIF('12月'!CK11:CL11,V$411)+COUNTIF('12月'!CP11:CQ11,V$411)+COUNTIF('12月'!CU11:CV11,V$411)+COUNTIF('12月'!CZ11:DA11,V$411)+COUNTIF('12月'!DE11:DF11,V$411)+COUNTIF('12月'!DJ11:DK11,V$411)+COUNTIF('12月'!DO11:DP11,V$411)+COUNTIF('12月'!DT11:DU11,V$411)+COUNTIF('12月'!DY11:DZ11,V$411)+COUNTIF('12月'!ED11:EE11,V$411)+COUNTIF('12月'!EI11:EJ11,V$411)+COUNTIF('12月'!EN11:EO11,V$411)+COUNTIF('12月'!ES11:ET11,V$411)</f>
        <v>0</v>
      </c>
      <c r="W420" s="76">
        <f t="shared" si="142"/>
        <v>0</v>
      </c>
      <c r="X420" s="76">
        <f>COUNTIF('12月'!D11:E11,X$411)+COUNTIF('12月'!I11:J11,X$411)+COUNTIF('12月'!N11:O11,X$411)+COUNTIF('12月'!S11:T11,X$411)+COUNTIF('12月'!X11:Y11,X$411)+COUNTIF('12月'!AC11:AD11,X$411)+COUNTIF('12月'!AH11:AI11,X$411)+COUNTIF('12月'!AM11:AN11,X$411)+COUNTIF('12月'!AR11:AS11,X$411)+COUNTIF('12月'!AW11:AX11,X$411)+COUNTIF('12月'!BB11:BC11,X$411)+COUNTIF('12月'!BG11:BH11,X$411)+COUNTIF('12月'!BL11:BM11,X$411)+COUNTIF('12月'!BQ11:BR11,X$411)+COUNTIF('12月'!BV11:BW11,X$411)+COUNTIF('12月'!CA11:CB11,X$411)+COUNTIF('12月'!CF11:CG11,X$411)+COUNTIF('12月'!CK11:CL11,X$411)+COUNTIF('12月'!CP11:CQ11,X$411)+COUNTIF('12月'!CU11:CV11,X$411)+COUNTIF('12月'!CZ11:DA11,X$411)+COUNTIF('12月'!DE11:DF11,X$411)+COUNTIF('12月'!DJ11:DK11,X$411)+COUNTIF('12月'!DO11:DP11,X$411)+COUNTIF('12月'!DT11:DU11,X$411)+COUNTIF('12月'!DY11:DZ11,X$411)+COUNTIF('12月'!ED11:EE11,X$411)+COUNTIF('12月'!EI11:EJ11,X$411)+COUNTIF('12月'!EN11:EO11,X$411)+COUNTIF('12月'!ES11:ET11,X$411)</f>
        <v>0</v>
      </c>
      <c r="Y420" s="76">
        <f t="shared" si="143"/>
        <v>0</v>
      </c>
    </row>
    <row r="421" spans="1:25" ht="18" customHeight="1">
      <c r="A421" s="76">
        <v>9</v>
      </c>
      <c r="B421" s="76">
        <f>COUNTIF('12月'!D12:E12,B$411)+COUNTIF('12月'!I12:J12,B$411)+COUNTIF('12月'!N12:O12,B$411)+COUNTIF('12月'!S12:T12,B$411)+COUNTIF('12月'!X12:Y12,B$411)+COUNTIF('12月'!AC12:AD12,B$411)+COUNTIF('12月'!AH12:AI12,B$411)+COUNTIF('12月'!AM12:AN12,B$411)+COUNTIF('12月'!AR12:AS12,B$411)+COUNTIF('12月'!AW12:AX12,B$411)+COUNTIF('12月'!BB12:BC12,B$411)+COUNTIF('12月'!BG12:BH12,B$411)+COUNTIF('12月'!BL12:BM12,B$411)+COUNTIF('12月'!BQ12:BR12,B$411)+COUNTIF('12月'!BV12:BW12,B$411)+COUNTIF('12月'!CA12:CB12,B$411)+COUNTIF('12月'!CF12:CG12,B$411)+COUNTIF('12月'!CK12:CL12,B$411)+COUNTIF('12月'!CP12:CQ12,B$411)+COUNTIF('12月'!CU12:CV12,B$411)+COUNTIF('12月'!CZ12:DA12,B$411)+COUNTIF('12月'!DE12:DF12,B$411)+COUNTIF('12月'!DJ12:DK12,B$411)+COUNTIF('12月'!DO12:DP12,B$411)+COUNTIF('12月'!DT12:DU12,B$411)+COUNTIF('12月'!DY12:DZ12,B$411)+COUNTIF('12月'!ED12:EE12,B$411)+COUNTIF('12月'!EI12:EJ12,B$411)+COUNTIF('12月'!EN12:EO12,B$411)+COUNTIF('12月'!ES12:ET12,B$411)</f>
        <v>0</v>
      </c>
      <c r="C421" s="76">
        <f t="shared" si="132"/>
        <v>0</v>
      </c>
      <c r="D421" s="76">
        <f>COUNTIF('12月'!D12:E12,D$411)+COUNTIF('12月'!I12:J12,D$411)+COUNTIF('12月'!N12:O12,D$411)+COUNTIF('12月'!S12:T12,D$411)+COUNTIF('12月'!X12:Y12,D$411)+COUNTIF('12月'!AC12:AD12,D$411)+COUNTIF('12月'!AH12:AI12,D$411)+COUNTIF('12月'!AM12:AN12,D$411)+COUNTIF('12月'!AR12:AS12,D$411)+COUNTIF('12月'!AW12:AX12,D$411)+COUNTIF('12月'!BB12:BC12,D$411)+COUNTIF('12月'!BG12:BH12,D$411)+COUNTIF('12月'!BL12:BM12,D$411)+COUNTIF('12月'!BQ12:BR12,D$411)+COUNTIF('12月'!BV12:BW12,D$411)+COUNTIF('12月'!CA12:CB12,D$411)+COUNTIF('12月'!CF12:CG12,D$411)+COUNTIF('12月'!CK12:CL12,D$411)+COUNTIF('12月'!CP12:CQ12,D$411)+COUNTIF('12月'!CU12:CV12,D$411)+COUNTIF('12月'!CZ12:DA12,D$411)+COUNTIF('12月'!DE12:DF12,D$411)+COUNTIF('12月'!DJ12:DK12,D$411)+COUNTIF('12月'!DO12:DP12,D$411)+COUNTIF('12月'!DT12:DU12,D$411)+COUNTIF('12月'!DY12:DZ12,D$411)+COUNTIF('12月'!ED12:EE12,D$411)+COUNTIF('12月'!EI12:EJ12,D$411)+COUNTIF('12月'!EN12:EO12,D$411)+COUNTIF('12月'!ES12:ET12,D$411)</f>
        <v>0</v>
      </c>
      <c r="E421" s="76">
        <f t="shared" si="133"/>
        <v>0</v>
      </c>
      <c r="F421" s="76">
        <f>COUNTIF('12月'!D12:E12,F$411)+COUNTIF('12月'!I12:J12,F$411)+COUNTIF('12月'!N12:O12,F$411)+COUNTIF('12月'!S12:T12,F$411)+COUNTIF('12月'!X12:Y12,F$411)+COUNTIF('12月'!AC12:AD12,F$411)+COUNTIF('12月'!AH12:AI12,F$411)+COUNTIF('12月'!AM12:AN12,F$411)+COUNTIF('12月'!AR12:AS12,F$411)+COUNTIF('12月'!AW12:AX12,F$411)+COUNTIF('12月'!BB12:BC12,F$411)+COUNTIF('12月'!BG12:BH12,F$411)+COUNTIF('12月'!BL12:BM12,F$411)+COUNTIF('12月'!BQ12:BR12,F$411)+COUNTIF('12月'!BV12:BW12,F$411)+COUNTIF('12月'!CA12:CB12,F$411)+COUNTIF('12月'!CF12:CG12,F$411)+COUNTIF('12月'!CK12:CL12,F$411)+COUNTIF('12月'!CP12:CQ12,F$411)+COUNTIF('12月'!CU12:CV12,F$411)+COUNTIF('12月'!CZ12:DA12,F$411)+COUNTIF('12月'!DE12:DF12,F$411)+COUNTIF('12月'!DJ12:DK12,F$411)+COUNTIF('12月'!DO12:DP12,F$411)+COUNTIF('12月'!DT12:DU12,F$411)+COUNTIF('12月'!DY12:DZ12,F$411)+COUNTIF('12月'!ED12:EE12,F$411)+COUNTIF('12月'!EI12:EJ12,F$411)+COUNTIF('12月'!EN12:EO12,F$411)+COUNTIF('12月'!ES12:ET12,F$411)</f>
        <v>0</v>
      </c>
      <c r="G421" s="76">
        <f t="shared" si="134"/>
        <v>0</v>
      </c>
      <c r="H421" s="76">
        <f>COUNTIF('12月'!D12:E12,H$411)+COUNTIF('12月'!I12:J12,H$411)+COUNTIF('12月'!N12:O12,H$411)+COUNTIF('12月'!S12:T12,H$411)+COUNTIF('12月'!X12:Y12,H$411)+COUNTIF('12月'!AC12:AD12,H$411)+COUNTIF('12月'!AH12:AI12,H$411)+COUNTIF('12月'!AM12:AN12,H$411)+COUNTIF('12月'!AR12:AS12,H$411)+COUNTIF('12月'!AW12:AX12,H$411)+COUNTIF('12月'!BB12:BC12,H$411)+COUNTIF('12月'!BG12:BH12,H$411)+COUNTIF('12月'!BL12:BM12,H$411)+COUNTIF('12月'!BQ12:BR12,H$411)+COUNTIF('12月'!BV12:BW12,H$411)+COUNTIF('12月'!CA12:CB12,H$411)+COUNTIF('12月'!CF12:CG12,H$411)+COUNTIF('12月'!CK12:CL12,H$411)+COUNTIF('12月'!CP12:CQ12,H$411)+COUNTIF('12月'!CU12:CV12,H$411)+COUNTIF('12月'!CZ12:DA12,H$411)+COUNTIF('12月'!DE12:DF12,H$411)+COUNTIF('12月'!DJ12:DK12,H$411)+COUNTIF('12月'!DO12:DP12,H$411)+COUNTIF('12月'!DT12:DU12,H$411)+COUNTIF('12月'!DY12:DZ12,H$411)+COUNTIF('12月'!ED12:EE12,H$411)+COUNTIF('12月'!EI12:EJ12,H$411)+COUNTIF('12月'!EN12:EO12,H$411)+COUNTIF('12月'!ES12:ET12,H$411)+COUNTIF('12月'!D12:E12,"渋谷-夜勤")+COUNTIF('12月'!I12:J12,"渋谷-夜勤")+COUNTIF('12月'!N12:O12,"渋谷-夜勤")+COUNTIF('12月'!S12:T12,"渋谷-夜勤")+COUNTIF('12月'!X12:Y12,"渋谷-夜勤")+COUNTIF('12月'!AC12:AD12,"渋谷-夜勤")+COUNTIF('12月'!AH12:AI12,"渋谷-夜勤")+COUNTIF('12月'!AM12:AN12,"渋谷-夜勤")+COUNTIF('12月'!AR12:AS12,"渋谷-夜勤")+COUNTIF('12月'!AW12:AX12,"渋谷-夜勤")+COUNTIF('12月'!BB12:BC12,"渋谷-夜勤")+COUNTIF('12月'!BG12:BH12,"渋谷-夜勤")+COUNTIF('12月'!BL12:BM12,"渋谷-夜勤")+COUNTIF('12月'!BQ12:BR12,"渋谷-夜勤")+COUNTIF('12月'!BV12:BW12,"渋谷-夜勤")+COUNTIF('12月'!CA12:CB12,"渋谷-夜勤")+COUNTIF('12月'!CF12:CG12,"渋谷-夜勤")+COUNTIF('12月'!CK12:CL12,"渋谷-夜勤")+COUNTIF('12月'!CP12:CQ12,"渋谷-夜勤")+COUNTIF('12月'!CU12:CV12,"渋谷-夜勤")+COUNTIF('12月'!CZ12:DA12,"渋谷-夜勤")+COUNTIF('12月'!DE12:DF12,"渋谷-夜勤")+COUNTIF('12月'!DJ12:DK12,"渋谷-夜勤")+COUNTIF('12月'!DO12:DP12,"渋谷-夜勤")+COUNTIF('12月'!DT12:DU12,"渋谷-夜勤")+COUNTIF('12月'!DY12:DZ12,"渋谷-夜勤")+COUNTIF('12月'!ED12:EE12,"渋谷-夜勤")+COUNTIF('12月'!EI12:EJ12,"渋谷-夜勤")+COUNTIF('12月'!EN12:EO12,"渋谷-夜勤")+COUNTIF('12月'!ES12:ET12,"渋谷-夜勤")</f>
        <v>0</v>
      </c>
      <c r="I421" s="76">
        <f t="shared" si="135"/>
        <v>0</v>
      </c>
      <c r="J421" s="76">
        <f>COUNTIF('12月'!D12:E12,J$411)+COUNTIF('12月'!I12:J12,J$411)+COUNTIF('12月'!N12:O12,J$411)+COUNTIF('12月'!S12:T12,J$411)+COUNTIF('12月'!X12:Y12,J$411)+COUNTIF('12月'!AC12:AD12,J$411)+COUNTIF('12月'!AH12:AI12,J$411)+COUNTIF('12月'!AM12:AN12,J$411)+COUNTIF('12月'!AR12:AS12,J$411)+COUNTIF('12月'!AW12:AX12,J$411)+COUNTIF('12月'!BB12:BC12,J$411)+COUNTIF('12月'!BG12:BH12,J$411)+COUNTIF('12月'!BL12:BM12,J$411)+COUNTIF('12月'!BQ12:BR12,J$411)+COUNTIF('12月'!BV12:BW12,J$411)+COUNTIF('12月'!CA12:CB12,J$411)+COUNTIF('12月'!CF12:CG12,J$411)+COUNTIF('12月'!CK12:CL12,J$411)+COUNTIF('12月'!CP12:CQ12,J$411)+COUNTIF('12月'!CU12:CV12,J$411)+COUNTIF('12月'!CZ12:DA12,J$411)+COUNTIF('12月'!DE12:DF12,J$411)+COUNTIF('12月'!DJ12:DK12,J$411)+COUNTIF('12月'!DO12:DP12,J$411)+COUNTIF('12月'!DT12:DU12,J$411)+COUNTIF('12月'!DY12:DZ12,J$411)+COUNTIF('12月'!ED12:EE12,J$411)+COUNTIF('12月'!EI12:EJ12,J$411)+COUNTIF('12月'!EN12:EO12,J$411)+COUNTIF('12月'!ES12:ET12,J$411)+COUNTIF('12月'!D12:E12,"六本木-夜勤")+COUNTIF('12月'!I12:J12,"六本木-夜勤")+COUNTIF('12月'!N12:O12,"六本木-夜勤")+COUNTIF('12月'!S12:T12,"六本木-夜勤")+COUNTIF('12月'!X12:Y12,"六本木-夜勤")+COUNTIF('12月'!AC12:AD12,"六本木-夜勤")+COUNTIF('12月'!AH12:AI12,"六本木-夜勤")+COUNTIF('12月'!AM12:AN12,"六本木-夜勤")+COUNTIF('12月'!AR12:AS12,"六本木-夜勤")+COUNTIF('12月'!AW12:AX12,"六本木-夜勤")+COUNTIF('12月'!BB12:BC12,"六本木-夜勤")+COUNTIF('12月'!BG12:BH12,"六本木-夜勤")+COUNTIF('12月'!BL12:BM12,"六本木-夜勤")+COUNTIF('12月'!BQ12:BR12,"六本木-夜勤")+COUNTIF('12月'!BV12:BW12,"六本木-夜勤")+COUNTIF('12月'!CA12:CB12,"六本木-夜勤")+COUNTIF('12月'!CF12:CG12,"六本木-夜勤")+COUNTIF('12月'!CK12:CL12,"六本木-夜勤")+COUNTIF('12月'!CP12:CQ12,"六本木-夜勤")+COUNTIF('12月'!CU12:CV12,"六本木-夜勤")+COUNTIF('12月'!CZ12:DA12,"六本木-夜勤")+COUNTIF('12月'!DE12:DF12,"六本木-夜勤")+COUNTIF('12月'!DJ12:DK12,"六本木-夜勤")+COUNTIF('12月'!DO12:DP12,"六本木-夜勤")+COUNTIF('12月'!DT12:DU12,"六本木-夜勤")+COUNTIF('12月'!DY12:DZ12,"六本木-夜勤")+COUNTIF('12月'!ED12:EE12,"六本木-夜勤")+COUNTIF('12月'!EI12:EJ12,"六本木-夜勤")+COUNTIF('12月'!EN12:EO12,"六本木-夜勤")+COUNTIF('12月'!ES12:ET12,"六本木-夜勤")+COUNTIF('12月'!D12:E12,"六本木ー夜勤")+COUNTIF('12月'!I12:J12,"六本木ー夜勤")+COUNTIF('12月'!N12:O12,"六本木ー夜勤")+COUNTIF('12月'!S12:T12,"六本木ー夜勤")+COUNTIF('12月'!X12:Y12,"六本木ー夜勤")+COUNTIF('12月'!AC12:AD12,"六本木ー夜勤")+COUNTIF('12月'!AH12:AI12,"六本木ー夜勤")+COUNTIF('12月'!AM12:AN12,"六本木ー夜勤")+COUNTIF('12月'!AR12:AS12,"六本木ー夜勤")+COUNTIF('12月'!AW12:AX12,"六本木ー夜勤")+COUNTIF('12月'!BB12:BC12,"六本木ー夜勤")+COUNTIF('12月'!BG12:BH12,"六本木ー夜勤")+COUNTIF('12月'!BL12:BM12,"六本木ー夜勤")+COUNTIF('12月'!BQ12:BR12,"六本木ー夜勤")+COUNTIF('12月'!BV12:BW12,"六本木ー夜勤")+COUNTIF('12月'!CA12:CB12,"六本木ー夜勤")+COUNTIF('12月'!CF12:CG12,"六本木ー夜勤")+COUNTIF('12月'!CK12:CL12,"六本木ー夜勤")+COUNTIF('12月'!CP12:CQ12,"六本木ー夜勤")+COUNTIF('12月'!CU12:CV12,"六本木ー夜勤")+COUNTIF('12月'!CZ12:DA12,"六本木ー夜勤")+COUNTIF('12月'!DE12:DF12,"六本木ー夜勤")+COUNTIF('12月'!DJ12:DK12,"六本木ー夜勤")+COUNTIF('12月'!DO12:DP12,"六本木ー夜勤")+COUNTIF('12月'!DT12:DU12,"六本木ー夜勤")+COUNTIF('12月'!DY12:DZ12,"六本木ー夜勤")+COUNTIF('12月'!ED12:EE12,"六本木ー夜勤")+COUNTIF('12月'!EI12:EJ12,"六本木ー夜勤")+COUNTIF('12月'!EN12:EO12,"六本木ー夜勤")+COUNTIF('12月'!ES12:ET12,"六本木ー夜勤")</f>
        <v>0</v>
      </c>
      <c r="K421" s="76">
        <f t="shared" si="136"/>
        <v>0</v>
      </c>
      <c r="L421" s="76">
        <f>COUNTIF('12月'!D12:E12,L$411)+COUNTIF('12月'!I12:J12,L$411)+COUNTIF('12月'!N12:O12,L$411)+COUNTIF('12月'!S12:T12,L$411)+COUNTIF('12月'!X12:Y12,L$411)+COUNTIF('12月'!AC12:AD12,L$411)+COUNTIF('12月'!AH12:AI12,L$411)+COUNTIF('12月'!AM12:AN12,L$411)+COUNTIF('12月'!AR12:AS12,L$411)+COUNTIF('12月'!AW12:AX12,L$411)+COUNTIF('12月'!BB12:BC12,L$411)+COUNTIF('12月'!BG12:BH12,L$411)+COUNTIF('12月'!BL12:BM12,L$411)+COUNTIF('12月'!BQ12:BR12,L$411)+COUNTIF('12月'!BV12:BW12,L$411)+COUNTIF('12月'!CA12:CB12,L$411)+COUNTIF('12月'!CF12:CG12,L$411)+COUNTIF('12月'!CK12:CL12,L$411)+COUNTIF('12月'!CP12:CQ12,L$411)+COUNTIF('12月'!CU12:CV12,L$411)+COUNTIF('12月'!CZ12:DA12,L$411)+COUNTIF('12月'!DE12:DF12,L$411)+COUNTIF('12月'!DJ12:DK12,L$411)+COUNTIF('12月'!DO12:DP12,L$411)+COUNTIF('12月'!DT12:DU12,L$411)+COUNTIF('12月'!DY12:DZ12,L$411)+COUNTIF('12月'!ED12:EE12,L$411)+COUNTIF('12月'!EI12:EJ12,L$411)+COUNTIF('12月'!EN12:EO12,L$411)+COUNTIF('12月'!ES12:ET12,L$411)</f>
        <v>0</v>
      </c>
      <c r="M421" s="76">
        <f t="shared" si="137"/>
        <v>0</v>
      </c>
      <c r="N421" s="76">
        <f>COUNTIF('12月'!D12:E12,N$411)+COUNTIF('12月'!I12:J12,N$411)+COUNTIF('12月'!N12:O12,N$411)+COUNTIF('12月'!S12:T12,N$411)+COUNTIF('12月'!X12:Y12,N$411)+COUNTIF('12月'!AC12:AD12,N$411)+COUNTIF('12月'!AH12:AI12,N$411)+COUNTIF('12月'!AM12:AN12,N$411)+COUNTIF('12月'!AR12:AS12,N$411)+COUNTIF('12月'!AW12:AX12,N$411)+COUNTIF('12月'!BB12:BC12,N$411)+COUNTIF('12月'!BG12:BH12,N$411)+COUNTIF('12月'!BL12:BM12,N$411)+COUNTIF('12月'!BQ12:BR12,N$411)+COUNTIF('12月'!BV12:BW12,N$411)+COUNTIF('12月'!CA12:CB12,N$411)+COUNTIF('12月'!CF12:CG12,N$411)+COUNTIF('12月'!CK12:CL12,N$411)+COUNTIF('12月'!CP12:CQ12,N$411)+COUNTIF('12月'!CU12:CV12,N$411)+COUNTIF('12月'!CZ12:DA12,N$411)+COUNTIF('12月'!DE12:DF12,N$411)+COUNTIF('12月'!DJ12:DK12,N$411)+COUNTIF('12月'!DO12:DP12,N$411)+COUNTIF('12月'!DT12:DU12,N$411)+COUNTIF('12月'!DY12:DZ12,N$411)+COUNTIF('12月'!ED12:EE12,N$411)+COUNTIF('12月'!EI12:EJ12,N$411)+COUNTIF('12月'!EN12:EO12,N$411)+COUNTIF('12月'!ES12:ET12,N$411)+COUNTIF('12月'!D12:E12,"三軒茶屋－夜勤")+COUNTIF('12月'!I12:J12,"三軒茶屋－夜勤")+COUNTIF('12月'!N12:O12,"三軒茶屋－夜勤")+COUNTIF('12月'!S12:T12,"三軒茶屋－夜勤")+COUNTIF('12月'!X12:Y12,"三軒茶屋－夜勤")+COUNTIF('12月'!AC12:AD12,"三軒茶屋－夜勤")+COUNTIF('12月'!AH12:AI12,"三軒茶屋－夜勤")+COUNTIF('12月'!AM12:AN12,"三軒茶屋－夜勤")+COUNTIF('12月'!AR12:AS12,"三軒茶屋－夜勤")+COUNTIF('12月'!AW12:AX12,"三軒茶屋－夜勤")+COUNTIF('12月'!BB12:BC12,"三軒茶屋－夜勤")+COUNTIF('12月'!BG12:BH12,"三軒茶屋－夜勤")+COUNTIF('12月'!BL12:BM12,"三軒茶屋－夜勤")+COUNTIF('12月'!BQ12:BR12,"三軒茶屋－夜勤")+COUNTIF('12月'!BV12:BW12,"三軒茶屋－夜勤")+COUNTIF('12月'!CA12:CB12,"三軒茶屋－夜勤")+COUNTIF('12月'!CF12:CG12,"三軒茶屋－夜勤")+COUNTIF('12月'!CK12:CL12,"三軒茶屋－夜勤")+COUNTIF('12月'!CP12:CQ12,"三軒茶屋－夜勤")+COUNTIF('12月'!CU12:CV12,"三軒茶屋－夜勤")+COUNTIF('12月'!CZ12:DA12,"三軒茶屋－夜勤")+COUNTIF('12月'!DE12:DF12,"三軒茶屋－夜勤")+COUNTIF('12月'!DJ12:DK12,"三軒茶屋－夜勤")+COUNTIF('12月'!DO12:DP12,"三軒茶屋－夜勤")+COUNTIF('12月'!DT12:DU12,"三軒茶屋－夜勤")+COUNTIF('12月'!DY12:DZ12,"三軒茶屋－夜勤")+COUNTIF('12月'!ED12:EE12,"三軒茶屋－夜勤")+COUNTIF('12月'!EI12:EJ12,"三軒茶屋－夜勤")+COUNTIF('12月'!EN12:EO12,"三軒茶屋－夜勤")+COUNTIF('12月'!ES12:ET12,"三軒茶屋－夜勤")</f>
        <v>0</v>
      </c>
      <c r="O421" s="76">
        <f t="shared" si="138"/>
        <v>0</v>
      </c>
      <c r="P421" s="76">
        <f>COUNTIF('12月'!D12:E12,P$411)+COUNTIF('12月'!I12:J12,P$411)+COUNTIF('12月'!N12:O12,P$411)+COUNTIF('12月'!S12:T12,P$411)+COUNTIF('12月'!X12:Y12,P$411)+COUNTIF('12月'!AC12:AD12,P$411)+COUNTIF('12月'!AH12:AI12,P$411)+COUNTIF('12月'!AM12:AN12,P$411)+COUNTIF('12月'!AR12:AS12,P$411)+COUNTIF('12月'!AW12:AX12,P$411)+COUNTIF('12月'!BB12:BC12,P$411)+COUNTIF('12月'!BG12:BH12,P$411)+COUNTIF('12月'!BL12:BM12,P$411)+COUNTIF('12月'!BQ12:BR12,P$411)+COUNTIF('12月'!BV12:BW12,P$411)+COUNTIF('12月'!CA12:CB12,P$411)+COUNTIF('12月'!CF12:CG12,P$411)+COUNTIF('12月'!CK12:CL12,P$411)+COUNTIF('12月'!CP12:CQ12,P$411)+COUNTIF('12月'!CU12:CV12,P$411)+COUNTIF('12月'!CZ12:DA12,P$411)+COUNTIF('12月'!DE12:DF12,P$411)+COUNTIF('12月'!DJ12:DK12,P$411)+COUNTIF('12月'!DO12:DP12,P$411)+COUNTIF('12月'!DT12:DU12,P$411)+COUNTIF('12月'!DY12:DZ12,P$411)+COUNTIF('12月'!ED12:EE12,P$411)+COUNTIF('12月'!EI12:EJ12,P$411)+COUNTIF('12月'!EN12:EO12,P$411)+COUNTIF('12月'!ES12:ET12,P$411)+COUNTIF('12月'!D12:E12,"荻窪ー夜勤")+COUNTIF('12月'!I12:J12,"荻窪ー夜勤")+COUNTIF('12月'!N12:O12,"荻窪ー夜勤")+COUNTIF('12月'!S12:T12,"荻窪ー夜勤")+COUNTIF('12月'!X12:Y12,"荻窪ー夜勤")+COUNTIF('12月'!AC12:AD12,"荻窪ー夜勤")+COUNTIF('12月'!AH12:AI12,"荻窪ー夜勤")+COUNTIF('12月'!AM12:AN12,"荻窪ー夜勤")+COUNTIF('12月'!AR12:AS12,"荻窪ー夜勤")+COUNTIF('12月'!AW12:AX12,"荻窪ー夜勤")+COUNTIF('12月'!BB12:BC12,"荻窪ー夜勤")+COUNTIF('12月'!BG12:BH12,"荻窪ー夜勤")+COUNTIF('12月'!BL12:BM12,"荻窪ー夜勤")+COUNTIF('12月'!BQ12:BR12,"荻窪ー夜勤")+COUNTIF('12月'!BV12:BW12,"荻窪ー夜勤")+COUNTIF('12月'!CA12:CB12,"荻窪ー夜勤")+COUNTIF('12月'!CF12:CG12,"荻窪ー夜勤")+COUNTIF('12月'!CK12:CL12,"荻窪ー夜勤")+COUNTIF('12月'!CP12:CQ12,"荻窪ー夜勤")+COUNTIF('12月'!CU12:CV12,"荻窪ー夜勤")+COUNTIF('12月'!CZ12:DA12,"荻窪ー夜勤")+COUNTIF('12月'!DE12:DF12,"荻窪ー夜勤")+COUNTIF('12月'!DJ12:DK12,"荻窪ー夜勤")+COUNTIF('12月'!DO12:DP12,"荻窪ー夜勤")+COUNTIF('12月'!DT12:DU12,"荻窪ー夜勤")+COUNTIF('12月'!DY12:DZ12,"荻窪ー夜勤")+COUNTIF('12月'!ED12:EE12,"荻窪ー夜勤")+COUNTIF('12月'!EI12:EJ12,"荻窪ー夜勤")+COUNTIF('12月'!EN12:EO12,"荻窪ー夜勤")+COUNTIF('12月'!ES12:ET12,"荻窪ー夜勤")</f>
        <v>0</v>
      </c>
      <c r="Q421" s="76">
        <f t="shared" si="139"/>
        <v>0</v>
      </c>
      <c r="R421" s="76">
        <f>COUNTIF('12月'!D12:E12,R$411)+COUNTIF('12月'!I12:J12,R$411)+COUNTIF('12月'!N12:O12,R$411)+COUNTIF('12月'!S12:T12,R$411)+COUNTIF('12月'!X12:Y12,R$411)+COUNTIF('12月'!AC12:AD12,R$411)+COUNTIF('12月'!AH12:AI12,R$411)+COUNTIF('12月'!AM12:AN12,R$411)+COUNTIF('12月'!AR12:AS12,R$411)+COUNTIF('12月'!AW12:AX12,R$411)+COUNTIF('12月'!BB12:BC12,R$411)+COUNTIF('12月'!BG12:BH12,R$411)+COUNTIF('12月'!BL12:BM12,R$411)+COUNTIF('12月'!BQ12:BR12,R$411)+COUNTIF('12月'!BV12:BW12,R$411)+COUNTIF('12月'!CA12:CB12,R$411)+COUNTIF('12月'!CF12:CG12,R$411)+COUNTIF('12月'!CK12:CL12,R$411)+COUNTIF('12月'!CP12:CQ12,R$411)+COUNTIF('12月'!CU12:CV12,R$411)+COUNTIF('12月'!CZ12:DA12,R$411)+COUNTIF('12月'!DE12:DF12,R$411)+COUNTIF('12月'!DJ12:DK12,R$411)+COUNTIF('12月'!DO12:DP12,R$411)+COUNTIF('12月'!DT12:DU12,R$411)+COUNTIF('12月'!DY12:DZ12,R$411)+COUNTIF('12月'!ED12:EE12,R$411)+COUNTIF('12月'!EI12:EJ12,R$411)+COUNTIF('12月'!EN12:EO12,R$411)+COUNTIF('12月'!ES12:ET12,R$411)</f>
        <v>0</v>
      </c>
      <c r="S421" s="76">
        <f t="shared" si="140"/>
        <v>0</v>
      </c>
      <c r="T421" s="76">
        <f>COUNTIF('12月'!D12:E12,T$411)+COUNTIF('12月'!I12:J12,T$411)+COUNTIF('12月'!N12:O12,T$411)+COUNTIF('12月'!S12:T12,T$411)+COUNTIF('12月'!X12:Y12,T$411)+COUNTIF('12月'!AC12:AD12,T$411)+COUNTIF('12月'!AH12:AI12,T$411)+COUNTIF('12月'!AM12:AN12,T$411)+COUNTIF('12月'!AR12:AS12,T$411)+COUNTIF('12月'!AW12:AX12,T$411)+COUNTIF('12月'!BB12:BC12,T$411)+COUNTIF('12月'!BG12:BH12,T$411)+COUNTIF('12月'!BL12:BM12,T$411)+COUNTIF('12月'!BQ12:BR12,T$411)+COUNTIF('12月'!BV12:BW12,T$411)+COUNTIF('12月'!CA12:CB12,T$411)+COUNTIF('12月'!CF12:CG12,T$411)+COUNTIF('12月'!CK12:CL12,T$411)+COUNTIF('12月'!CP12:CQ12,T$411)+COUNTIF('12月'!CU12:CV12,T$411)+COUNTIF('12月'!CZ12:DA12,T$411)+COUNTIF('12月'!DE12:DF12,T$411)+COUNTIF('12月'!DJ12:DK12,T$411)+COUNTIF('12月'!DO12:DP12,T$411)+COUNTIF('12月'!DT12:DU12,T$411)+COUNTIF('12月'!DY12:DZ12,T$411)+COUNTIF('12月'!ED12:EE12,T$411)+COUNTIF('12月'!EI12:EJ12,T$411)+COUNTIF('12月'!EN12:EO12,T$411)+COUNTIF('12月'!ES12:ET12,T$411)</f>
        <v>0</v>
      </c>
      <c r="U421" s="76">
        <f t="shared" si="141"/>
        <v>0</v>
      </c>
      <c r="V421" s="76">
        <f>COUNTIF('12月'!D12:E12,V$411)+COUNTIF('12月'!I12:J12,V$411)+COUNTIF('12月'!N12:O12,V$411)+COUNTIF('12月'!S12:T12,V$411)+COUNTIF('12月'!X12:Y12,V$411)+COUNTIF('12月'!AC12:AD12,V$411)+COUNTIF('12月'!AH12:AI12,V$411)+COUNTIF('12月'!AM12:AN12,V$411)+COUNTIF('12月'!AR12:AS12,V$411)+COUNTIF('12月'!AW12:AX12,V$411)+COUNTIF('12月'!BB12:BC12,V$411)+COUNTIF('12月'!BG12:BH12,V$411)+COUNTIF('12月'!BL12:BM12,V$411)+COUNTIF('12月'!BQ12:BR12,V$411)+COUNTIF('12月'!BV12:BW12,V$411)+COUNTIF('12月'!CA12:CB12,V$411)+COUNTIF('12月'!CF12:CG12,V$411)+COUNTIF('12月'!CK12:CL12,V$411)+COUNTIF('12月'!CP12:CQ12,V$411)+COUNTIF('12月'!CU12:CV12,V$411)+COUNTIF('12月'!CZ12:DA12,V$411)+COUNTIF('12月'!DE12:DF12,V$411)+COUNTIF('12月'!DJ12:DK12,V$411)+COUNTIF('12月'!DO12:DP12,V$411)+COUNTIF('12月'!DT12:DU12,V$411)+COUNTIF('12月'!DY12:DZ12,V$411)+COUNTIF('12月'!ED12:EE12,V$411)+COUNTIF('12月'!EI12:EJ12,V$411)+COUNTIF('12月'!EN12:EO12,V$411)+COUNTIF('12月'!ES12:ET12,V$411)</f>
        <v>0</v>
      </c>
      <c r="W421" s="76">
        <f t="shared" si="142"/>
        <v>0</v>
      </c>
      <c r="X421" s="76">
        <f>COUNTIF('12月'!D12:E12,X$411)+COUNTIF('12月'!I12:J12,X$411)+COUNTIF('12月'!N12:O12,X$411)+COUNTIF('12月'!S12:T12,X$411)+COUNTIF('12月'!X12:Y12,X$411)+COUNTIF('12月'!AC12:AD12,X$411)+COUNTIF('12月'!AH12:AI12,X$411)+COUNTIF('12月'!AM12:AN12,X$411)+COUNTIF('12月'!AR12:AS12,X$411)+COUNTIF('12月'!AW12:AX12,X$411)+COUNTIF('12月'!BB12:BC12,X$411)+COUNTIF('12月'!BG12:BH12,X$411)+COUNTIF('12月'!BL12:BM12,X$411)+COUNTIF('12月'!BQ12:BR12,X$411)+COUNTIF('12月'!BV12:BW12,X$411)+COUNTIF('12月'!CA12:CB12,X$411)+COUNTIF('12月'!CF12:CG12,X$411)+COUNTIF('12月'!CK12:CL12,X$411)+COUNTIF('12月'!CP12:CQ12,X$411)+COUNTIF('12月'!CU12:CV12,X$411)+COUNTIF('12月'!CZ12:DA12,X$411)+COUNTIF('12月'!DE12:DF12,X$411)+COUNTIF('12月'!DJ12:DK12,X$411)+COUNTIF('12月'!DO12:DP12,X$411)+COUNTIF('12月'!DT12:DU12,X$411)+COUNTIF('12月'!DY12:DZ12,X$411)+COUNTIF('12月'!ED12:EE12,X$411)+COUNTIF('12月'!EI12:EJ12,X$411)+COUNTIF('12月'!EN12:EO12,X$411)+COUNTIF('12月'!ES12:ET12,X$411)</f>
        <v>0</v>
      </c>
      <c r="Y421" s="76">
        <f t="shared" si="143"/>
        <v>0</v>
      </c>
    </row>
    <row r="422" spans="1:25" ht="18" customHeight="1">
      <c r="A422" s="76">
        <v>10</v>
      </c>
      <c r="B422" s="76">
        <f>COUNTIF('12月'!D13:E13,B$411)+COUNTIF('12月'!I13:J13,B$411)+COUNTIF('12月'!N13:O13,B$411)+COUNTIF('12月'!S13:T13,B$411)+COUNTIF('12月'!X13:Y13,B$411)+COUNTIF('12月'!AC13:AD13,B$411)+COUNTIF('12月'!AH13:AI13,B$411)+COUNTIF('12月'!AM13:AN13,B$411)+COUNTIF('12月'!AR13:AS13,B$411)+COUNTIF('12月'!AW13:AX13,B$411)+COUNTIF('12月'!BB13:BC13,B$411)+COUNTIF('12月'!BG13:BH13,B$411)+COUNTIF('12月'!BL13:BM13,B$411)+COUNTIF('12月'!BQ13:BR13,B$411)+COUNTIF('12月'!BV13:BW13,B$411)+COUNTIF('12月'!CA13:CB13,B$411)+COUNTIF('12月'!CF13:CG13,B$411)+COUNTIF('12月'!CK13:CL13,B$411)+COUNTIF('12月'!CP13:CQ13,B$411)+COUNTIF('12月'!CU13:CV13,B$411)+COUNTIF('12月'!CZ13:DA13,B$411)+COUNTIF('12月'!DE13:DF13,B$411)+COUNTIF('12月'!DJ13:DK13,B$411)+COUNTIF('12月'!DO13:DP13,B$411)+COUNTIF('12月'!DT13:DU13,B$411)+COUNTIF('12月'!DY13:DZ13,B$411)+COUNTIF('12月'!ED13:EE13,B$411)+COUNTIF('12月'!EI13:EJ13,B$411)+COUNTIF('12月'!EN13:EO13,B$411)+COUNTIF('12月'!ES13:ET13,B$411)</f>
        <v>0</v>
      </c>
      <c r="C422" s="76">
        <f t="shared" si="132"/>
        <v>0</v>
      </c>
      <c r="D422" s="76">
        <f>COUNTIF('12月'!D13:E13,D$411)+COUNTIF('12月'!I13:J13,D$411)+COUNTIF('12月'!N13:O13,D$411)+COUNTIF('12月'!S13:T13,D$411)+COUNTIF('12月'!X13:Y13,D$411)+COUNTIF('12月'!AC13:AD13,D$411)+COUNTIF('12月'!AH13:AI13,D$411)+COUNTIF('12月'!AM13:AN13,D$411)+COUNTIF('12月'!AR13:AS13,D$411)+COUNTIF('12月'!AW13:AX13,D$411)+COUNTIF('12月'!BB13:BC13,D$411)+COUNTIF('12月'!BG13:BH13,D$411)+COUNTIF('12月'!BL13:BM13,D$411)+COUNTIF('12月'!BQ13:BR13,D$411)+COUNTIF('12月'!BV13:BW13,D$411)+COUNTIF('12月'!CA13:CB13,D$411)+COUNTIF('12月'!CF13:CG13,D$411)+COUNTIF('12月'!CK13:CL13,D$411)+COUNTIF('12月'!CP13:CQ13,D$411)+COUNTIF('12月'!CU13:CV13,D$411)+COUNTIF('12月'!CZ13:DA13,D$411)+COUNTIF('12月'!DE13:DF13,D$411)+COUNTIF('12月'!DJ13:DK13,D$411)+COUNTIF('12月'!DO13:DP13,D$411)+COUNTIF('12月'!DT13:DU13,D$411)+COUNTIF('12月'!DY13:DZ13,D$411)+COUNTIF('12月'!ED13:EE13,D$411)+COUNTIF('12月'!EI13:EJ13,D$411)+COUNTIF('12月'!EN13:EO13,D$411)+COUNTIF('12月'!ES13:ET13,D$411)</f>
        <v>0</v>
      </c>
      <c r="E422" s="76">
        <f t="shared" si="133"/>
        <v>0</v>
      </c>
      <c r="F422" s="76">
        <f>COUNTIF('12月'!D13:E13,F$411)+COUNTIF('12月'!I13:J13,F$411)+COUNTIF('12月'!N13:O13,F$411)+COUNTIF('12月'!S13:T13,F$411)+COUNTIF('12月'!X13:Y13,F$411)+COUNTIF('12月'!AC13:AD13,F$411)+COUNTIF('12月'!AH13:AI13,F$411)+COUNTIF('12月'!AM13:AN13,F$411)+COUNTIF('12月'!AR13:AS13,F$411)+COUNTIF('12月'!AW13:AX13,F$411)+COUNTIF('12月'!BB13:BC13,F$411)+COUNTIF('12月'!BG13:BH13,F$411)+COUNTIF('12月'!BL13:BM13,F$411)+COUNTIF('12月'!BQ13:BR13,F$411)+COUNTIF('12月'!BV13:BW13,F$411)+COUNTIF('12月'!CA13:CB13,F$411)+COUNTIF('12月'!CF13:CG13,F$411)+COUNTIF('12月'!CK13:CL13,F$411)+COUNTIF('12月'!CP13:CQ13,F$411)+COUNTIF('12月'!CU13:CV13,F$411)+COUNTIF('12月'!CZ13:DA13,F$411)+COUNTIF('12月'!DE13:DF13,F$411)+COUNTIF('12月'!DJ13:DK13,F$411)+COUNTIF('12月'!DO13:DP13,F$411)+COUNTIF('12月'!DT13:DU13,F$411)+COUNTIF('12月'!DY13:DZ13,F$411)+COUNTIF('12月'!ED13:EE13,F$411)+COUNTIF('12月'!EI13:EJ13,F$411)+COUNTIF('12月'!EN13:EO13,F$411)+COUNTIF('12月'!ES13:ET13,F$411)</f>
        <v>0</v>
      </c>
      <c r="G422" s="76">
        <f t="shared" si="134"/>
        <v>0</v>
      </c>
      <c r="H422" s="76">
        <f>COUNTIF('12月'!D13:E13,H$411)+COUNTIF('12月'!I13:J13,H$411)+COUNTIF('12月'!N13:O13,H$411)+COUNTIF('12月'!S13:T13,H$411)+COUNTIF('12月'!X13:Y13,H$411)+COUNTIF('12月'!AC13:AD13,H$411)+COUNTIF('12月'!AH13:AI13,H$411)+COUNTIF('12月'!AM13:AN13,H$411)+COUNTIF('12月'!AR13:AS13,H$411)+COUNTIF('12月'!AW13:AX13,H$411)+COUNTIF('12月'!BB13:BC13,H$411)+COUNTIF('12月'!BG13:BH13,H$411)+COUNTIF('12月'!BL13:BM13,H$411)+COUNTIF('12月'!BQ13:BR13,H$411)+COUNTIF('12月'!BV13:BW13,H$411)+COUNTIF('12月'!CA13:CB13,H$411)+COUNTIF('12月'!CF13:CG13,H$411)+COUNTIF('12月'!CK13:CL13,H$411)+COUNTIF('12月'!CP13:CQ13,H$411)+COUNTIF('12月'!CU13:CV13,H$411)+COUNTIF('12月'!CZ13:DA13,H$411)+COUNTIF('12月'!DE13:DF13,H$411)+COUNTIF('12月'!DJ13:DK13,H$411)+COUNTIF('12月'!DO13:DP13,H$411)+COUNTIF('12月'!DT13:DU13,H$411)+COUNTIF('12月'!DY13:DZ13,H$411)+COUNTIF('12月'!ED13:EE13,H$411)+COUNTIF('12月'!EI13:EJ13,H$411)+COUNTIF('12月'!EN13:EO13,H$411)+COUNTIF('12月'!ES13:ET13,H$411)+COUNTIF('12月'!D13:E13,"渋谷-夜勤")+COUNTIF('12月'!I13:J13,"渋谷-夜勤")+COUNTIF('12月'!N13:O13,"渋谷-夜勤")+COUNTIF('12月'!S13:T13,"渋谷-夜勤")+COUNTIF('12月'!X13:Y13,"渋谷-夜勤")+COUNTIF('12月'!AC13:AD13,"渋谷-夜勤")+COUNTIF('12月'!AH13:AI13,"渋谷-夜勤")+COUNTIF('12月'!AM13:AN13,"渋谷-夜勤")+COUNTIF('12月'!AR13:AS13,"渋谷-夜勤")+COUNTIF('12月'!AW13:AX13,"渋谷-夜勤")+COUNTIF('12月'!BB13:BC13,"渋谷-夜勤")+COUNTIF('12月'!BG13:BH13,"渋谷-夜勤")+COUNTIF('12月'!BL13:BM13,"渋谷-夜勤")+COUNTIF('12月'!BQ13:BR13,"渋谷-夜勤")+COUNTIF('12月'!BV13:BW13,"渋谷-夜勤")+COUNTIF('12月'!CA13:CB13,"渋谷-夜勤")+COUNTIF('12月'!CF13:CG13,"渋谷-夜勤")+COUNTIF('12月'!CK13:CL13,"渋谷-夜勤")+COUNTIF('12月'!CP13:CQ13,"渋谷-夜勤")+COUNTIF('12月'!CU13:CV13,"渋谷-夜勤")+COUNTIF('12月'!CZ13:DA13,"渋谷-夜勤")+COUNTIF('12月'!DE13:DF13,"渋谷-夜勤")+COUNTIF('12月'!DJ13:DK13,"渋谷-夜勤")+COUNTIF('12月'!DO13:DP13,"渋谷-夜勤")+COUNTIF('12月'!DT13:DU13,"渋谷-夜勤")+COUNTIF('12月'!DY13:DZ13,"渋谷-夜勤")+COUNTIF('12月'!ED13:EE13,"渋谷-夜勤")+COUNTIF('12月'!EI13:EJ13,"渋谷-夜勤")+COUNTIF('12月'!EN13:EO13,"渋谷-夜勤")+COUNTIF('12月'!ES13:ET13,"渋谷-夜勤")</f>
        <v>0</v>
      </c>
      <c r="I422" s="76">
        <f t="shared" si="135"/>
        <v>0</v>
      </c>
      <c r="J422" s="76">
        <f>COUNTIF('12月'!D13:E13,J$411)+COUNTIF('12月'!I13:J13,J$411)+COUNTIF('12月'!N13:O13,J$411)+COUNTIF('12月'!S13:T13,J$411)+COUNTIF('12月'!X13:Y13,J$411)+COUNTIF('12月'!AC13:AD13,J$411)+COUNTIF('12月'!AH13:AI13,J$411)+COUNTIF('12月'!AM13:AN13,J$411)+COUNTIF('12月'!AR13:AS13,J$411)+COUNTIF('12月'!AW13:AX13,J$411)+COUNTIF('12月'!BB13:BC13,J$411)+COUNTIF('12月'!BG13:BH13,J$411)+COUNTIF('12月'!BL13:BM13,J$411)+COUNTIF('12月'!BQ13:BR13,J$411)+COUNTIF('12月'!BV13:BW13,J$411)+COUNTIF('12月'!CA13:CB13,J$411)+COUNTIF('12月'!CF13:CG13,J$411)+COUNTIF('12月'!CK13:CL13,J$411)+COUNTIF('12月'!CP13:CQ13,J$411)+COUNTIF('12月'!CU13:CV13,J$411)+COUNTIF('12月'!CZ13:DA13,J$411)+COUNTIF('12月'!DE13:DF13,J$411)+COUNTIF('12月'!DJ13:DK13,J$411)+COUNTIF('12月'!DO13:DP13,J$411)+COUNTIF('12月'!DT13:DU13,J$411)+COUNTIF('12月'!DY13:DZ13,J$411)+COUNTIF('12月'!ED13:EE13,J$411)+COUNTIF('12月'!EI13:EJ13,J$411)+COUNTIF('12月'!EN13:EO13,J$411)+COUNTIF('12月'!ES13:ET13,J$411)+COUNTIF('12月'!D13:E13,"六本木-夜勤")+COUNTIF('12月'!I13:J13,"六本木-夜勤")+COUNTIF('12月'!N13:O13,"六本木-夜勤")+COUNTIF('12月'!S13:T13,"六本木-夜勤")+COUNTIF('12月'!X13:Y13,"六本木-夜勤")+COUNTIF('12月'!AC13:AD13,"六本木-夜勤")+COUNTIF('12月'!AH13:AI13,"六本木-夜勤")+COUNTIF('12月'!AM13:AN13,"六本木-夜勤")+COUNTIF('12月'!AR13:AS13,"六本木-夜勤")+COUNTIF('12月'!AW13:AX13,"六本木-夜勤")+COUNTIF('12月'!BB13:BC13,"六本木-夜勤")+COUNTIF('12月'!BG13:BH13,"六本木-夜勤")+COUNTIF('12月'!BL13:BM13,"六本木-夜勤")+COUNTIF('12月'!BQ13:BR13,"六本木-夜勤")+COUNTIF('12月'!BV13:BW13,"六本木-夜勤")+COUNTIF('12月'!CA13:CB13,"六本木-夜勤")+COUNTIF('12月'!CF13:CG13,"六本木-夜勤")+COUNTIF('12月'!CK13:CL13,"六本木-夜勤")+COUNTIF('12月'!CP13:CQ13,"六本木-夜勤")+COUNTIF('12月'!CU13:CV13,"六本木-夜勤")+COUNTIF('12月'!CZ13:DA13,"六本木-夜勤")+COUNTIF('12月'!DE13:DF13,"六本木-夜勤")+COUNTIF('12月'!DJ13:DK13,"六本木-夜勤")+COUNTIF('12月'!DO13:DP13,"六本木-夜勤")+COUNTIF('12月'!DT13:DU13,"六本木-夜勤")+COUNTIF('12月'!DY13:DZ13,"六本木-夜勤")+COUNTIF('12月'!ED13:EE13,"六本木-夜勤")+COUNTIF('12月'!EI13:EJ13,"六本木-夜勤")+COUNTIF('12月'!EN13:EO13,"六本木-夜勤")+COUNTIF('12月'!ES13:ET13,"六本木-夜勤")+COUNTIF('12月'!D13:E13,"六本木ー夜勤")+COUNTIF('12月'!I13:J13,"六本木ー夜勤")+COUNTIF('12月'!N13:O13,"六本木ー夜勤")+COUNTIF('12月'!S13:T13,"六本木ー夜勤")+COUNTIF('12月'!X13:Y13,"六本木ー夜勤")+COUNTIF('12月'!AC13:AD13,"六本木ー夜勤")+COUNTIF('12月'!AH13:AI13,"六本木ー夜勤")+COUNTIF('12月'!AM13:AN13,"六本木ー夜勤")+COUNTIF('12月'!AR13:AS13,"六本木ー夜勤")+COUNTIF('12月'!AW13:AX13,"六本木ー夜勤")+COUNTIF('12月'!BB13:BC13,"六本木ー夜勤")+COUNTIF('12月'!BG13:BH13,"六本木ー夜勤")+COUNTIF('12月'!BL13:BM13,"六本木ー夜勤")+COUNTIF('12月'!BQ13:BR13,"六本木ー夜勤")+COUNTIF('12月'!BV13:BW13,"六本木ー夜勤")+COUNTIF('12月'!CA13:CB13,"六本木ー夜勤")+COUNTIF('12月'!CF13:CG13,"六本木ー夜勤")+COUNTIF('12月'!CK13:CL13,"六本木ー夜勤")+COUNTIF('12月'!CP13:CQ13,"六本木ー夜勤")+COUNTIF('12月'!CU13:CV13,"六本木ー夜勤")+COUNTIF('12月'!CZ13:DA13,"六本木ー夜勤")+COUNTIF('12月'!DE13:DF13,"六本木ー夜勤")+COUNTIF('12月'!DJ13:DK13,"六本木ー夜勤")+COUNTIF('12月'!DO13:DP13,"六本木ー夜勤")+COUNTIF('12月'!DT13:DU13,"六本木ー夜勤")+COUNTIF('12月'!DY13:DZ13,"六本木ー夜勤")+COUNTIF('12月'!ED13:EE13,"六本木ー夜勤")+COUNTIF('12月'!EI13:EJ13,"六本木ー夜勤")+COUNTIF('12月'!EN13:EO13,"六本木ー夜勤")+COUNTIF('12月'!ES13:ET13,"六本木ー夜勤")</f>
        <v>0</v>
      </c>
      <c r="K422" s="76">
        <f t="shared" si="136"/>
        <v>0</v>
      </c>
      <c r="L422" s="76">
        <f>COUNTIF('12月'!D13:E13,L$411)+COUNTIF('12月'!I13:J13,L$411)+COUNTIF('12月'!N13:O13,L$411)+COUNTIF('12月'!S13:T13,L$411)+COUNTIF('12月'!X13:Y13,L$411)+COUNTIF('12月'!AC13:AD13,L$411)+COUNTIF('12月'!AH13:AI13,L$411)+COUNTIF('12月'!AM13:AN13,L$411)+COUNTIF('12月'!AR13:AS13,L$411)+COUNTIF('12月'!AW13:AX13,L$411)+COUNTIF('12月'!BB13:BC13,L$411)+COUNTIF('12月'!BG13:BH13,L$411)+COUNTIF('12月'!BL13:BM13,L$411)+COUNTIF('12月'!BQ13:BR13,L$411)+COUNTIF('12月'!BV13:BW13,L$411)+COUNTIF('12月'!CA13:CB13,L$411)+COUNTIF('12月'!CF13:CG13,L$411)+COUNTIF('12月'!CK13:CL13,L$411)+COUNTIF('12月'!CP13:CQ13,L$411)+COUNTIF('12月'!CU13:CV13,L$411)+COUNTIF('12月'!CZ13:DA13,L$411)+COUNTIF('12月'!DE13:DF13,L$411)+COUNTIF('12月'!DJ13:DK13,L$411)+COUNTIF('12月'!DO13:DP13,L$411)+COUNTIF('12月'!DT13:DU13,L$411)+COUNTIF('12月'!DY13:DZ13,L$411)+COUNTIF('12月'!ED13:EE13,L$411)+COUNTIF('12月'!EI13:EJ13,L$411)+COUNTIF('12月'!EN13:EO13,L$411)+COUNTIF('12月'!ES13:ET13,L$411)</f>
        <v>0</v>
      </c>
      <c r="M422" s="76">
        <f t="shared" si="137"/>
        <v>0</v>
      </c>
      <c r="N422" s="76">
        <f>COUNTIF('12月'!D13:E13,N$411)+COUNTIF('12月'!I13:J13,N$411)+COUNTIF('12月'!N13:O13,N$411)+COUNTIF('12月'!S13:T13,N$411)+COUNTIF('12月'!X13:Y13,N$411)+COUNTIF('12月'!AC13:AD13,N$411)+COUNTIF('12月'!AH13:AI13,N$411)+COUNTIF('12月'!AM13:AN13,N$411)+COUNTIF('12月'!AR13:AS13,N$411)+COUNTIF('12月'!AW13:AX13,N$411)+COUNTIF('12月'!BB13:BC13,N$411)+COUNTIF('12月'!BG13:BH13,N$411)+COUNTIF('12月'!BL13:BM13,N$411)+COUNTIF('12月'!BQ13:BR13,N$411)+COUNTIF('12月'!BV13:BW13,N$411)+COUNTIF('12月'!CA13:CB13,N$411)+COUNTIF('12月'!CF13:CG13,N$411)+COUNTIF('12月'!CK13:CL13,N$411)+COUNTIF('12月'!CP13:CQ13,N$411)+COUNTIF('12月'!CU13:CV13,N$411)+COUNTIF('12月'!CZ13:DA13,N$411)+COUNTIF('12月'!DE13:DF13,N$411)+COUNTIF('12月'!DJ13:DK13,N$411)+COUNTIF('12月'!DO13:DP13,N$411)+COUNTIF('12月'!DT13:DU13,N$411)+COUNTIF('12月'!DY13:DZ13,N$411)+COUNTIF('12月'!ED13:EE13,N$411)+COUNTIF('12月'!EI13:EJ13,N$411)+COUNTIF('12月'!EN13:EO13,N$411)+COUNTIF('12月'!ES13:ET13,N$411)+COUNTIF('12月'!D13:E13,"三軒茶屋－夜勤")+COUNTIF('12月'!I13:J13,"三軒茶屋－夜勤")+COUNTIF('12月'!N13:O13,"三軒茶屋－夜勤")+COUNTIF('12月'!S13:T13,"三軒茶屋－夜勤")+COUNTIF('12月'!X13:Y13,"三軒茶屋－夜勤")+COUNTIF('12月'!AC13:AD13,"三軒茶屋－夜勤")+COUNTIF('12月'!AH13:AI13,"三軒茶屋－夜勤")+COUNTIF('12月'!AM13:AN13,"三軒茶屋－夜勤")+COUNTIF('12月'!AR13:AS13,"三軒茶屋－夜勤")+COUNTIF('12月'!AW13:AX13,"三軒茶屋－夜勤")+COUNTIF('12月'!BB13:BC13,"三軒茶屋－夜勤")+COUNTIF('12月'!BG13:BH13,"三軒茶屋－夜勤")+COUNTIF('12月'!BL13:BM13,"三軒茶屋－夜勤")+COUNTIF('12月'!BQ13:BR13,"三軒茶屋－夜勤")+COUNTIF('12月'!BV13:BW13,"三軒茶屋－夜勤")+COUNTIF('12月'!CA13:CB13,"三軒茶屋－夜勤")+COUNTIF('12月'!CF13:CG13,"三軒茶屋－夜勤")+COUNTIF('12月'!CK13:CL13,"三軒茶屋－夜勤")+COUNTIF('12月'!CP13:CQ13,"三軒茶屋－夜勤")+COUNTIF('12月'!CU13:CV13,"三軒茶屋－夜勤")+COUNTIF('12月'!CZ13:DA13,"三軒茶屋－夜勤")+COUNTIF('12月'!DE13:DF13,"三軒茶屋－夜勤")+COUNTIF('12月'!DJ13:DK13,"三軒茶屋－夜勤")+COUNTIF('12月'!DO13:DP13,"三軒茶屋－夜勤")+COUNTIF('12月'!DT13:DU13,"三軒茶屋－夜勤")+COUNTIF('12月'!DY13:DZ13,"三軒茶屋－夜勤")+COUNTIF('12月'!ED13:EE13,"三軒茶屋－夜勤")+COUNTIF('12月'!EI13:EJ13,"三軒茶屋－夜勤")+COUNTIF('12月'!EN13:EO13,"三軒茶屋－夜勤")+COUNTIF('12月'!ES13:ET13,"三軒茶屋－夜勤")</f>
        <v>0</v>
      </c>
      <c r="O422" s="76">
        <f t="shared" si="138"/>
        <v>0</v>
      </c>
      <c r="P422" s="76">
        <f>COUNTIF('12月'!D13:E13,P$411)+COUNTIF('12月'!I13:J13,P$411)+COUNTIF('12月'!N13:O13,P$411)+COUNTIF('12月'!S13:T13,P$411)+COUNTIF('12月'!X13:Y13,P$411)+COUNTIF('12月'!AC13:AD13,P$411)+COUNTIF('12月'!AH13:AI13,P$411)+COUNTIF('12月'!AM13:AN13,P$411)+COUNTIF('12月'!AR13:AS13,P$411)+COUNTIF('12月'!AW13:AX13,P$411)+COUNTIF('12月'!BB13:BC13,P$411)+COUNTIF('12月'!BG13:BH13,P$411)+COUNTIF('12月'!BL13:BM13,P$411)+COUNTIF('12月'!BQ13:BR13,P$411)+COUNTIF('12月'!BV13:BW13,P$411)+COUNTIF('12月'!CA13:CB13,P$411)+COUNTIF('12月'!CF13:CG13,P$411)+COUNTIF('12月'!CK13:CL13,P$411)+COUNTIF('12月'!CP13:CQ13,P$411)+COUNTIF('12月'!CU13:CV13,P$411)+COUNTIF('12月'!CZ13:DA13,P$411)+COUNTIF('12月'!DE13:DF13,P$411)+COUNTIF('12月'!DJ13:DK13,P$411)+COUNTIF('12月'!DO13:DP13,P$411)+COUNTIF('12月'!DT13:DU13,P$411)+COUNTIF('12月'!DY13:DZ13,P$411)+COUNTIF('12月'!ED13:EE13,P$411)+COUNTIF('12月'!EI13:EJ13,P$411)+COUNTIF('12月'!EN13:EO13,P$411)+COUNTIF('12月'!ES13:ET13,P$411)+COUNTIF('12月'!D13:E13,"荻窪ー夜勤")+COUNTIF('12月'!I13:J13,"荻窪ー夜勤")+COUNTIF('12月'!N13:O13,"荻窪ー夜勤")+COUNTIF('12月'!S13:T13,"荻窪ー夜勤")+COUNTIF('12月'!X13:Y13,"荻窪ー夜勤")+COUNTIF('12月'!AC13:AD13,"荻窪ー夜勤")+COUNTIF('12月'!AH13:AI13,"荻窪ー夜勤")+COUNTIF('12月'!AM13:AN13,"荻窪ー夜勤")+COUNTIF('12月'!AR13:AS13,"荻窪ー夜勤")+COUNTIF('12月'!AW13:AX13,"荻窪ー夜勤")+COUNTIF('12月'!BB13:BC13,"荻窪ー夜勤")+COUNTIF('12月'!BG13:BH13,"荻窪ー夜勤")+COUNTIF('12月'!BL13:BM13,"荻窪ー夜勤")+COUNTIF('12月'!BQ13:BR13,"荻窪ー夜勤")+COUNTIF('12月'!BV13:BW13,"荻窪ー夜勤")+COUNTIF('12月'!CA13:CB13,"荻窪ー夜勤")+COUNTIF('12月'!CF13:CG13,"荻窪ー夜勤")+COUNTIF('12月'!CK13:CL13,"荻窪ー夜勤")+COUNTIF('12月'!CP13:CQ13,"荻窪ー夜勤")+COUNTIF('12月'!CU13:CV13,"荻窪ー夜勤")+COUNTIF('12月'!CZ13:DA13,"荻窪ー夜勤")+COUNTIF('12月'!DE13:DF13,"荻窪ー夜勤")+COUNTIF('12月'!DJ13:DK13,"荻窪ー夜勤")+COUNTIF('12月'!DO13:DP13,"荻窪ー夜勤")+COUNTIF('12月'!DT13:DU13,"荻窪ー夜勤")+COUNTIF('12月'!DY13:DZ13,"荻窪ー夜勤")+COUNTIF('12月'!ED13:EE13,"荻窪ー夜勤")+COUNTIF('12月'!EI13:EJ13,"荻窪ー夜勤")+COUNTIF('12月'!EN13:EO13,"荻窪ー夜勤")+COUNTIF('12月'!ES13:ET13,"荻窪ー夜勤")</f>
        <v>0</v>
      </c>
      <c r="Q422" s="76">
        <f t="shared" si="139"/>
        <v>0</v>
      </c>
      <c r="R422" s="76">
        <f>COUNTIF('12月'!D13:E13,R$411)+COUNTIF('12月'!I13:J13,R$411)+COUNTIF('12月'!N13:O13,R$411)+COUNTIF('12月'!S13:T13,R$411)+COUNTIF('12月'!X13:Y13,R$411)+COUNTIF('12月'!AC13:AD13,R$411)+COUNTIF('12月'!AH13:AI13,R$411)+COUNTIF('12月'!AM13:AN13,R$411)+COUNTIF('12月'!AR13:AS13,R$411)+COUNTIF('12月'!AW13:AX13,R$411)+COUNTIF('12月'!BB13:BC13,R$411)+COUNTIF('12月'!BG13:BH13,R$411)+COUNTIF('12月'!BL13:BM13,R$411)+COUNTIF('12月'!BQ13:BR13,R$411)+COUNTIF('12月'!BV13:BW13,R$411)+COUNTIF('12月'!CA13:CB13,R$411)+COUNTIF('12月'!CF13:CG13,R$411)+COUNTIF('12月'!CK13:CL13,R$411)+COUNTIF('12月'!CP13:CQ13,R$411)+COUNTIF('12月'!CU13:CV13,R$411)+COUNTIF('12月'!CZ13:DA13,R$411)+COUNTIF('12月'!DE13:DF13,R$411)+COUNTIF('12月'!DJ13:DK13,R$411)+COUNTIF('12月'!DO13:DP13,R$411)+COUNTIF('12月'!DT13:DU13,R$411)+COUNTIF('12月'!DY13:DZ13,R$411)+COUNTIF('12月'!ED13:EE13,R$411)+COUNTIF('12月'!EI13:EJ13,R$411)+COUNTIF('12月'!EN13:EO13,R$411)+COUNTIF('12月'!ES13:ET13,R$411)</f>
        <v>0</v>
      </c>
      <c r="S422" s="76">
        <f t="shared" si="140"/>
        <v>0</v>
      </c>
      <c r="T422" s="76">
        <f>COUNTIF('12月'!D13:E13,T$411)+COUNTIF('12月'!I13:J13,T$411)+COUNTIF('12月'!N13:O13,T$411)+COUNTIF('12月'!S13:T13,T$411)+COUNTIF('12月'!X13:Y13,T$411)+COUNTIF('12月'!AC13:AD13,T$411)+COUNTIF('12月'!AH13:AI13,T$411)+COUNTIF('12月'!AM13:AN13,T$411)+COUNTIF('12月'!AR13:AS13,T$411)+COUNTIF('12月'!AW13:AX13,T$411)+COUNTIF('12月'!BB13:BC13,T$411)+COUNTIF('12月'!BG13:BH13,T$411)+COUNTIF('12月'!BL13:BM13,T$411)+COUNTIF('12月'!BQ13:BR13,T$411)+COUNTIF('12月'!BV13:BW13,T$411)+COUNTIF('12月'!CA13:CB13,T$411)+COUNTIF('12月'!CF13:CG13,T$411)+COUNTIF('12月'!CK13:CL13,T$411)+COUNTIF('12月'!CP13:CQ13,T$411)+COUNTIF('12月'!CU13:CV13,T$411)+COUNTIF('12月'!CZ13:DA13,T$411)+COUNTIF('12月'!DE13:DF13,T$411)+COUNTIF('12月'!DJ13:DK13,T$411)+COUNTIF('12月'!DO13:DP13,T$411)+COUNTIF('12月'!DT13:DU13,T$411)+COUNTIF('12月'!DY13:DZ13,T$411)+COUNTIF('12月'!ED13:EE13,T$411)+COUNTIF('12月'!EI13:EJ13,T$411)+COUNTIF('12月'!EN13:EO13,T$411)+COUNTIF('12月'!ES13:ET13,T$411)</f>
        <v>0</v>
      </c>
      <c r="U422" s="76">
        <f t="shared" si="141"/>
        <v>0</v>
      </c>
      <c r="V422" s="76">
        <f>COUNTIF('12月'!D13:E13,V$411)+COUNTIF('12月'!I13:J13,V$411)+COUNTIF('12月'!N13:O13,V$411)+COUNTIF('12月'!S13:T13,V$411)+COUNTIF('12月'!X13:Y13,V$411)+COUNTIF('12月'!AC13:AD13,V$411)+COUNTIF('12月'!AH13:AI13,V$411)+COUNTIF('12月'!AM13:AN13,V$411)+COUNTIF('12月'!AR13:AS13,V$411)+COUNTIF('12月'!AW13:AX13,V$411)+COUNTIF('12月'!BB13:BC13,V$411)+COUNTIF('12月'!BG13:BH13,V$411)+COUNTIF('12月'!BL13:BM13,V$411)+COUNTIF('12月'!BQ13:BR13,V$411)+COUNTIF('12月'!BV13:BW13,V$411)+COUNTIF('12月'!CA13:CB13,V$411)+COUNTIF('12月'!CF13:CG13,V$411)+COUNTIF('12月'!CK13:CL13,V$411)+COUNTIF('12月'!CP13:CQ13,V$411)+COUNTIF('12月'!CU13:CV13,V$411)+COUNTIF('12月'!CZ13:DA13,V$411)+COUNTIF('12月'!DE13:DF13,V$411)+COUNTIF('12月'!DJ13:DK13,V$411)+COUNTIF('12月'!DO13:DP13,V$411)+COUNTIF('12月'!DT13:DU13,V$411)+COUNTIF('12月'!DY13:DZ13,V$411)+COUNTIF('12月'!ED13:EE13,V$411)+COUNTIF('12月'!EI13:EJ13,V$411)+COUNTIF('12月'!EN13:EO13,V$411)+COUNTIF('12月'!ES13:ET13,V$411)</f>
        <v>0</v>
      </c>
      <c r="W422" s="76">
        <f t="shared" si="142"/>
        <v>0</v>
      </c>
      <c r="X422" s="76">
        <f>COUNTIF('12月'!D13:E13,X$411)+COUNTIF('12月'!I13:J13,X$411)+COUNTIF('12月'!N13:O13,X$411)+COUNTIF('12月'!S13:T13,X$411)+COUNTIF('12月'!X13:Y13,X$411)+COUNTIF('12月'!AC13:AD13,X$411)+COUNTIF('12月'!AH13:AI13,X$411)+COUNTIF('12月'!AM13:AN13,X$411)+COUNTIF('12月'!AR13:AS13,X$411)+COUNTIF('12月'!AW13:AX13,X$411)+COUNTIF('12月'!BB13:BC13,X$411)+COUNTIF('12月'!BG13:BH13,X$411)+COUNTIF('12月'!BL13:BM13,X$411)+COUNTIF('12月'!BQ13:BR13,X$411)+COUNTIF('12月'!BV13:BW13,X$411)+COUNTIF('12月'!CA13:CB13,X$411)+COUNTIF('12月'!CF13:CG13,X$411)+COUNTIF('12月'!CK13:CL13,X$411)+COUNTIF('12月'!CP13:CQ13,X$411)+COUNTIF('12月'!CU13:CV13,X$411)+COUNTIF('12月'!CZ13:DA13,X$411)+COUNTIF('12月'!DE13:DF13,X$411)+COUNTIF('12月'!DJ13:DK13,X$411)+COUNTIF('12月'!DO13:DP13,X$411)+COUNTIF('12月'!DT13:DU13,X$411)+COUNTIF('12月'!DY13:DZ13,X$411)+COUNTIF('12月'!ED13:EE13,X$411)+COUNTIF('12月'!EI13:EJ13,X$411)+COUNTIF('12月'!EN13:EO13,X$411)+COUNTIF('12月'!ES13:ET13,X$411)</f>
        <v>0</v>
      </c>
      <c r="Y422" s="76">
        <f t="shared" si="143"/>
        <v>0</v>
      </c>
    </row>
    <row r="423" spans="1:25" ht="18" customHeight="1">
      <c r="A423" s="76">
        <v>11</v>
      </c>
      <c r="B423" s="76">
        <f>COUNTIF('12月'!D14:E14,B$411)+COUNTIF('12月'!I14:J14,B$411)+COUNTIF('12月'!N14:O14,B$411)+COUNTIF('12月'!S14:T14,B$411)+COUNTIF('12月'!X14:Y14,B$411)+COUNTIF('12月'!AC14:AD14,B$411)+COUNTIF('12月'!AH14:AI14,B$411)+COUNTIF('12月'!AM14:AN14,B$411)+COUNTIF('12月'!AR14:AS14,B$411)+COUNTIF('12月'!AW14:AX14,B$411)+COUNTIF('12月'!BB14:BC14,B$411)+COUNTIF('12月'!BG14:BH14,B$411)+COUNTIF('12月'!BL14:BM14,B$411)+COUNTIF('12月'!BQ14:BR14,B$411)+COUNTIF('12月'!BV14:BW14,B$411)+COUNTIF('12月'!CA14:CB14,B$411)+COUNTIF('12月'!CF14:CG14,B$411)+COUNTIF('12月'!CK14:CL14,B$411)+COUNTIF('12月'!CP14:CQ14,B$411)+COUNTIF('12月'!CU14:CV14,B$411)+COUNTIF('12月'!CZ14:DA14,B$411)+COUNTIF('12月'!DE14:DF14,B$411)+COUNTIF('12月'!DJ14:DK14,B$411)+COUNTIF('12月'!DO14:DP14,B$411)+COUNTIF('12月'!DT14:DU14,B$411)+COUNTIF('12月'!DY14:DZ14,B$411)+COUNTIF('12月'!ED14:EE14,B$411)+COUNTIF('12月'!EI14:EJ14,B$411)+COUNTIF('12月'!EN14:EO14,B$411)+COUNTIF('12月'!ES14:ET14,B$411)</f>
        <v>0</v>
      </c>
      <c r="C423" s="76">
        <f t="shared" si="132"/>
        <v>0</v>
      </c>
      <c r="D423" s="76">
        <f>COUNTIF('12月'!D14:E14,D$411)+COUNTIF('12月'!I14:J14,D$411)+COUNTIF('12月'!N14:O14,D$411)+COUNTIF('12月'!S14:T14,D$411)+COUNTIF('12月'!X14:Y14,D$411)+COUNTIF('12月'!AC14:AD14,D$411)+COUNTIF('12月'!AH14:AI14,D$411)+COUNTIF('12月'!AM14:AN14,D$411)+COUNTIF('12月'!AR14:AS14,D$411)+COUNTIF('12月'!AW14:AX14,D$411)+COUNTIF('12月'!BB14:BC14,D$411)+COUNTIF('12月'!BG14:BH14,D$411)+COUNTIF('12月'!BL14:BM14,D$411)+COUNTIF('12月'!BQ14:BR14,D$411)+COUNTIF('12月'!BV14:BW14,D$411)+COUNTIF('12月'!CA14:CB14,D$411)+COUNTIF('12月'!CF14:CG14,D$411)+COUNTIF('12月'!CK14:CL14,D$411)+COUNTIF('12月'!CP14:CQ14,D$411)+COUNTIF('12月'!CU14:CV14,D$411)+COUNTIF('12月'!CZ14:DA14,D$411)+COUNTIF('12月'!DE14:DF14,D$411)+COUNTIF('12月'!DJ14:DK14,D$411)+COUNTIF('12月'!DO14:DP14,D$411)+COUNTIF('12月'!DT14:DU14,D$411)+COUNTIF('12月'!DY14:DZ14,D$411)+COUNTIF('12月'!ED14:EE14,D$411)+COUNTIF('12月'!EI14:EJ14,D$411)+COUNTIF('12月'!EN14:EO14,D$411)+COUNTIF('12月'!ES14:ET14,D$411)</f>
        <v>0</v>
      </c>
      <c r="E423" s="76">
        <f t="shared" si="133"/>
        <v>0</v>
      </c>
      <c r="F423" s="76">
        <f>COUNTIF('12月'!D14:E14,F$411)+COUNTIF('12月'!I14:J14,F$411)+COUNTIF('12月'!N14:O14,F$411)+COUNTIF('12月'!S14:T14,F$411)+COUNTIF('12月'!X14:Y14,F$411)+COUNTIF('12月'!AC14:AD14,F$411)+COUNTIF('12月'!AH14:AI14,F$411)+COUNTIF('12月'!AM14:AN14,F$411)+COUNTIF('12月'!AR14:AS14,F$411)+COUNTIF('12月'!AW14:AX14,F$411)+COUNTIF('12月'!BB14:BC14,F$411)+COUNTIF('12月'!BG14:BH14,F$411)+COUNTIF('12月'!BL14:BM14,F$411)+COUNTIF('12月'!BQ14:BR14,F$411)+COUNTIF('12月'!BV14:BW14,F$411)+COUNTIF('12月'!CA14:CB14,F$411)+COUNTIF('12月'!CF14:CG14,F$411)+COUNTIF('12月'!CK14:CL14,F$411)+COUNTIF('12月'!CP14:CQ14,F$411)+COUNTIF('12月'!CU14:CV14,F$411)+COUNTIF('12月'!CZ14:DA14,F$411)+COUNTIF('12月'!DE14:DF14,F$411)+COUNTIF('12月'!DJ14:DK14,F$411)+COUNTIF('12月'!DO14:DP14,F$411)+COUNTIF('12月'!DT14:DU14,F$411)+COUNTIF('12月'!DY14:DZ14,F$411)+COUNTIF('12月'!ED14:EE14,F$411)+COUNTIF('12月'!EI14:EJ14,F$411)+COUNTIF('12月'!EN14:EO14,F$411)+COUNTIF('12月'!ES14:ET14,F$411)</f>
        <v>0</v>
      </c>
      <c r="G423" s="76">
        <f t="shared" si="134"/>
        <v>0</v>
      </c>
      <c r="H423" s="76">
        <f>COUNTIF('12月'!D14:E14,H$411)+COUNTIF('12月'!I14:J14,H$411)+COUNTIF('12月'!N14:O14,H$411)+COUNTIF('12月'!S14:T14,H$411)+COUNTIF('12月'!X14:Y14,H$411)+COUNTIF('12月'!AC14:AD14,H$411)+COUNTIF('12月'!AH14:AI14,H$411)+COUNTIF('12月'!AM14:AN14,H$411)+COUNTIF('12月'!AR14:AS14,H$411)+COUNTIF('12月'!AW14:AX14,H$411)+COUNTIF('12月'!BB14:BC14,H$411)+COUNTIF('12月'!BG14:BH14,H$411)+COUNTIF('12月'!BL14:BM14,H$411)+COUNTIF('12月'!BQ14:BR14,H$411)+COUNTIF('12月'!BV14:BW14,H$411)+COUNTIF('12月'!CA14:CB14,H$411)+COUNTIF('12月'!CF14:CG14,H$411)+COUNTIF('12月'!CK14:CL14,H$411)+COUNTIF('12月'!CP14:CQ14,H$411)+COUNTIF('12月'!CU14:CV14,H$411)+COUNTIF('12月'!CZ14:DA14,H$411)+COUNTIF('12月'!DE14:DF14,H$411)+COUNTIF('12月'!DJ14:DK14,H$411)+COUNTIF('12月'!DO14:DP14,H$411)+COUNTIF('12月'!DT14:DU14,H$411)+COUNTIF('12月'!DY14:DZ14,H$411)+COUNTIF('12月'!ED14:EE14,H$411)+COUNTIF('12月'!EI14:EJ14,H$411)+COUNTIF('12月'!EN14:EO14,H$411)+COUNTIF('12月'!ES14:ET14,H$411)+COUNTIF('12月'!D14:E14,"渋谷-夜勤")+COUNTIF('12月'!I14:J14,"渋谷-夜勤")+COUNTIF('12月'!N14:O14,"渋谷-夜勤")+COUNTIF('12月'!S14:T14,"渋谷-夜勤")+COUNTIF('12月'!X14:Y14,"渋谷-夜勤")+COUNTIF('12月'!AC14:AD14,"渋谷-夜勤")+COUNTIF('12月'!AH14:AI14,"渋谷-夜勤")+COUNTIF('12月'!AM14:AN14,"渋谷-夜勤")+COUNTIF('12月'!AR14:AS14,"渋谷-夜勤")+COUNTIF('12月'!AW14:AX14,"渋谷-夜勤")+COUNTIF('12月'!BB14:BC14,"渋谷-夜勤")+COUNTIF('12月'!BG14:BH14,"渋谷-夜勤")+COUNTIF('12月'!BL14:BM14,"渋谷-夜勤")+COUNTIF('12月'!BQ14:BR14,"渋谷-夜勤")+COUNTIF('12月'!BV14:BW14,"渋谷-夜勤")+COUNTIF('12月'!CA14:CB14,"渋谷-夜勤")+COUNTIF('12月'!CF14:CG14,"渋谷-夜勤")+COUNTIF('12月'!CK14:CL14,"渋谷-夜勤")+COUNTIF('12月'!CP14:CQ14,"渋谷-夜勤")+COUNTIF('12月'!CU14:CV14,"渋谷-夜勤")+COUNTIF('12月'!CZ14:DA14,"渋谷-夜勤")+COUNTIF('12月'!DE14:DF14,"渋谷-夜勤")+COUNTIF('12月'!DJ14:DK14,"渋谷-夜勤")+COUNTIF('12月'!DO14:DP14,"渋谷-夜勤")+COUNTIF('12月'!DT14:DU14,"渋谷-夜勤")+COUNTIF('12月'!DY14:DZ14,"渋谷-夜勤")+COUNTIF('12月'!ED14:EE14,"渋谷-夜勤")+COUNTIF('12月'!EI14:EJ14,"渋谷-夜勤")+COUNTIF('12月'!EN14:EO14,"渋谷-夜勤")+COUNTIF('12月'!ES14:ET14,"渋谷-夜勤")</f>
        <v>0</v>
      </c>
      <c r="I423" s="76">
        <f t="shared" si="135"/>
        <v>0</v>
      </c>
      <c r="J423" s="76">
        <f>COUNTIF('12月'!D14:E14,J$411)+COUNTIF('12月'!I14:J14,J$411)+COUNTIF('12月'!N14:O14,J$411)+COUNTIF('12月'!S14:T14,J$411)+COUNTIF('12月'!X14:Y14,J$411)+COUNTIF('12月'!AC14:AD14,J$411)+COUNTIF('12月'!AH14:AI14,J$411)+COUNTIF('12月'!AM14:AN14,J$411)+COUNTIF('12月'!AR14:AS14,J$411)+COUNTIF('12月'!AW14:AX14,J$411)+COUNTIF('12月'!BB14:BC14,J$411)+COUNTIF('12月'!BG14:BH14,J$411)+COUNTIF('12月'!BL14:BM14,J$411)+COUNTIF('12月'!BQ14:BR14,J$411)+COUNTIF('12月'!BV14:BW14,J$411)+COUNTIF('12月'!CA14:CB14,J$411)+COUNTIF('12月'!CF14:CG14,J$411)+COUNTIF('12月'!CK14:CL14,J$411)+COUNTIF('12月'!CP14:CQ14,J$411)+COUNTIF('12月'!CU14:CV14,J$411)+COUNTIF('12月'!CZ14:DA14,J$411)+COUNTIF('12月'!DE14:DF14,J$411)+COUNTIF('12月'!DJ14:DK14,J$411)+COUNTIF('12月'!DO14:DP14,J$411)+COUNTIF('12月'!DT14:DU14,J$411)+COUNTIF('12月'!DY14:DZ14,J$411)+COUNTIF('12月'!ED14:EE14,J$411)+COUNTIF('12月'!EI14:EJ14,J$411)+COUNTIF('12月'!EN14:EO14,J$411)+COUNTIF('12月'!ES14:ET14,J$411)+COUNTIF('12月'!D14:E14,"六本木-夜勤")+COUNTIF('12月'!I14:J14,"六本木-夜勤")+COUNTIF('12月'!N14:O14,"六本木-夜勤")+COUNTIF('12月'!S14:T14,"六本木-夜勤")+COUNTIF('12月'!X14:Y14,"六本木-夜勤")+COUNTIF('12月'!AC14:AD14,"六本木-夜勤")+COUNTIF('12月'!AH14:AI14,"六本木-夜勤")+COUNTIF('12月'!AM14:AN14,"六本木-夜勤")+COUNTIF('12月'!AR14:AS14,"六本木-夜勤")+COUNTIF('12月'!AW14:AX14,"六本木-夜勤")+COUNTIF('12月'!BB14:BC14,"六本木-夜勤")+COUNTIF('12月'!BG14:BH14,"六本木-夜勤")+COUNTIF('12月'!BL14:BM14,"六本木-夜勤")+COUNTIF('12月'!BQ14:BR14,"六本木-夜勤")+COUNTIF('12月'!BV14:BW14,"六本木-夜勤")+COUNTIF('12月'!CA14:CB14,"六本木-夜勤")+COUNTIF('12月'!CF14:CG14,"六本木-夜勤")+COUNTIF('12月'!CK14:CL14,"六本木-夜勤")+COUNTIF('12月'!CP14:CQ14,"六本木-夜勤")+COUNTIF('12月'!CU14:CV14,"六本木-夜勤")+COUNTIF('12月'!CZ14:DA14,"六本木-夜勤")+COUNTIF('12月'!DE14:DF14,"六本木-夜勤")+COUNTIF('12月'!DJ14:DK14,"六本木-夜勤")+COUNTIF('12月'!DO14:DP14,"六本木-夜勤")+COUNTIF('12月'!DT14:DU14,"六本木-夜勤")+COUNTIF('12月'!DY14:DZ14,"六本木-夜勤")+COUNTIF('12月'!ED14:EE14,"六本木-夜勤")+COUNTIF('12月'!EI14:EJ14,"六本木-夜勤")+COUNTIF('12月'!EN14:EO14,"六本木-夜勤")+COUNTIF('12月'!ES14:ET14,"六本木-夜勤")+COUNTIF('12月'!D14:E14,"六本木ー夜勤")+COUNTIF('12月'!I14:J14,"六本木ー夜勤")+COUNTIF('12月'!N14:O14,"六本木ー夜勤")+COUNTIF('12月'!S14:T14,"六本木ー夜勤")+COUNTIF('12月'!X14:Y14,"六本木ー夜勤")+COUNTIF('12月'!AC14:AD14,"六本木ー夜勤")+COUNTIF('12月'!AH14:AI14,"六本木ー夜勤")+COUNTIF('12月'!AM14:AN14,"六本木ー夜勤")+COUNTIF('12月'!AR14:AS14,"六本木ー夜勤")+COUNTIF('12月'!AW14:AX14,"六本木ー夜勤")+COUNTIF('12月'!BB14:BC14,"六本木ー夜勤")+COUNTIF('12月'!BG14:BH14,"六本木ー夜勤")+COUNTIF('12月'!BL14:BM14,"六本木ー夜勤")+COUNTIF('12月'!BQ14:BR14,"六本木ー夜勤")+COUNTIF('12月'!BV14:BW14,"六本木ー夜勤")+COUNTIF('12月'!CA14:CB14,"六本木ー夜勤")+COUNTIF('12月'!CF14:CG14,"六本木ー夜勤")+COUNTIF('12月'!CK14:CL14,"六本木ー夜勤")+COUNTIF('12月'!CP14:CQ14,"六本木ー夜勤")+COUNTIF('12月'!CU14:CV14,"六本木ー夜勤")+COUNTIF('12月'!CZ14:DA14,"六本木ー夜勤")+COUNTIF('12月'!DE14:DF14,"六本木ー夜勤")+COUNTIF('12月'!DJ14:DK14,"六本木ー夜勤")+COUNTIF('12月'!DO14:DP14,"六本木ー夜勤")+COUNTIF('12月'!DT14:DU14,"六本木ー夜勤")+COUNTIF('12月'!DY14:DZ14,"六本木ー夜勤")+COUNTIF('12月'!ED14:EE14,"六本木ー夜勤")+COUNTIF('12月'!EI14:EJ14,"六本木ー夜勤")+COUNTIF('12月'!EN14:EO14,"六本木ー夜勤")+COUNTIF('12月'!ES14:ET14,"六本木ー夜勤")</f>
        <v>0</v>
      </c>
      <c r="K423" s="76">
        <f t="shared" si="136"/>
        <v>0</v>
      </c>
      <c r="L423" s="76">
        <f>COUNTIF('12月'!D14:E14,L$411)+COUNTIF('12月'!I14:J14,L$411)+COUNTIF('12月'!N14:O14,L$411)+COUNTIF('12月'!S14:T14,L$411)+COUNTIF('12月'!X14:Y14,L$411)+COUNTIF('12月'!AC14:AD14,L$411)+COUNTIF('12月'!AH14:AI14,L$411)+COUNTIF('12月'!AM14:AN14,L$411)+COUNTIF('12月'!AR14:AS14,L$411)+COUNTIF('12月'!AW14:AX14,L$411)+COUNTIF('12月'!BB14:BC14,L$411)+COUNTIF('12月'!BG14:BH14,L$411)+COUNTIF('12月'!BL14:BM14,L$411)+COUNTIF('12月'!BQ14:BR14,L$411)+COUNTIF('12月'!BV14:BW14,L$411)+COUNTIF('12月'!CA14:CB14,L$411)+COUNTIF('12月'!CF14:CG14,L$411)+COUNTIF('12月'!CK14:CL14,L$411)+COUNTIF('12月'!CP14:CQ14,L$411)+COUNTIF('12月'!CU14:CV14,L$411)+COUNTIF('12月'!CZ14:DA14,L$411)+COUNTIF('12月'!DE14:DF14,L$411)+COUNTIF('12月'!DJ14:DK14,L$411)+COUNTIF('12月'!DO14:DP14,L$411)+COUNTIF('12月'!DT14:DU14,L$411)+COUNTIF('12月'!DY14:DZ14,L$411)+COUNTIF('12月'!ED14:EE14,L$411)+COUNTIF('12月'!EI14:EJ14,L$411)+COUNTIF('12月'!EN14:EO14,L$411)+COUNTIF('12月'!ES14:ET14,L$411)</f>
        <v>0</v>
      </c>
      <c r="M423" s="76">
        <f t="shared" si="137"/>
        <v>0</v>
      </c>
      <c r="N423" s="76">
        <f>COUNTIF('12月'!D14:E14,N$411)+COUNTIF('12月'!I14:J14,N$411)+COUNTIF('12月'!N14:O14,N$411)+COUNTIF('12月'!S14:T14,N$411)+COUNTIF('12月'!X14:Y14,N$411)+COUNTIF('12月'!AC14:AD14,N$411)+COUNTIF('12月'!AH14:AI14,N$411)+COUNTIF('12月'!AM14:AN14,N$411)+COUNTIF('12月'!AR14:AS14,N$411)+COUNTIF('12月'!AW14:AX14,N$411)+COUNTIF('12月'!BB14:BC14,N$411)+COUNTIF('12月'!BG14:BH14,N$411)+COUNTIF('12月'!BL14:BM14,N$411)+COUNTIF('12月'!BQ14:BR14,N$411)+COUNTIF('12月'!BV14:BW14,N$411)+COUNTIF('12月'!CA14:CB14,N$411)+COUNTIF('12月'!CF14:CG14,N$411)+COUNTIF('12月'!CK14:CL14,N$411)+COUNTIF('12月'!CP14:CQ14,N$411)+COUNTIF('12月'!CU14:CV14,N$411)+COUNTIF('12月'!CZ14:DA14,N$411)+COUNTIF('12月'!DE14:DF14,N$411)+COUNTIF('12月'!DJ14:DK14,N$411)+COUNTIF('12月'!DO14:DP14,N$411)+COUNTIF('12月'!DT14:DU14,N$411)+COUNTIF('12月'!DY14:DZ14,N$411)+COUNTIF('12月'!ED14:EE14,N$411)+COUNTIF('12月'!EI14:EJ14,N$411)+COUNTIF('12月'!EN14:EO14,N$411)+COUNTIF('12月'!ES14:ET14,N$411)+COUNTIF('12月'!D14:E14,"三軒茶屋－夜勤")+COUNTIF('12月'!I14:J14,"三軒茶屋－夜勤")+COUNTIF('12月'!N14:O14,"三軒茶屋－夜勤")+COUNTIF('12月'!S14:T14,"三軒茶屋－夜勤")+COUNTIF('12月'!X14:Y14,"三軒茶屋－夜勤")+COUNTIF('12月'!AC14:AD14,"三軒茶屋－夜勤")+COUNTIF('12月'!AH14:AI14,"三軒茶屋－夜勤")+COUNTIF('12月'!AM14:AN14,"三軒茶屋－夜勤")+COUNTIF('12月'!AR14:AS14,"三軒茶屋－夜勤")+COUNTIF('12月'!AW14:AX14,"三軒茶屋－夜勤")+COUNTIF('12月'!BB14:BC14,"三軒茶屋－夜勤")+COUNTIF('12月'!BG14:BH14,"三軒茶屋－夜勤")+COUNTIF('12月'!BL14:BM14,"三軒茶屋－夜勤")+COUNTIF('12月'!BQ14:BR14,"三軒茶屋－夜勤")+COUNTIF('12月'!BV14:BW14,"三軒茶屋－夜勤")+COUNTIF('12月'!CA14:CB14,"三軒茶屋－夜勤")+COUNTIF('12月'!CF14:CG14,"三軒茶屋－夜勤")+COUNTIF('12月'!CK14:CL14,"三軒茶屋－夜勤")+COUNTIF('12月'!CP14:CQ14,"三軒茶屋－夜勤")+COUNTIF('12月'!CU14:CV14,"三軒茶屋－夜勤")+COUNTIF('12月'!CZ14:DA14,"三軒茶屋－夜勤")+COUNTIF('12月'!DE14:DF14,"三軒茶屋－夜勤")+COUNTIF('12月'!DJ14:DK14,"三軒茶屋－夜勤")+COUNTIF('12月'!DO14:DP14,"三軒茶屋－夜勤")+COUNTIF('12月'!DT14:DU14,"三軒茶屋－夜勤")+COUNTIF('12月'!DY14:DZ14,"三軒茶屋－夜勤")+COUNTIF('12月'!ED14:EE14,"三軒茶屋－夜勤")+COUNTIF('12月'!EI14:EJ14,"三軒茶屋－夜勤")+COUNTIF('12月'!EN14:EO14,"三軒茶屋－夜勤")+COUNTIF('12月'!ES14:ET14,"三軒茶屋－夜勤")</f>
        <v>0</v>
      </c>
      <c r="O423" s="76">
        <f t="shared" si="138"/>
        <v>0</v>
      </c>
      <c r="P423" s="76">
        <f>COUNTIF('12月'!D14:E14,P$411)+COUNTIF('12月'!I14:J14,P$411)+COUNTIF('12月'!N14:O14,P$411)+COUNTIF('12月'!S14:T14,P$411)+COUNTIF('12月'!X14:Y14,P$411)+COUNTIF('12月'!AC14:AD14,P$411)+COUNTIF('12月'!AH14:AI14,P$411)+COUNTIF('12月'!AM14:AN14,P$411)+COUNTIF('12月'!AR14:AS14,P$411)+COUNTIF('12月'!AW14:AX14,P$411)+COUNTIF('12月'!BB14:BC14,P$411)+COUNTIF('12月'!BG14:BH14,P$411)+COUNTIF('12月'!BL14:BM14,P$411)+COUNTIF('12月'!BQ14:BR14,P$411)+COUNTIF('12月'!BV14:BW14,P$411)+COUNTIF('12月'!CA14:CB14,P$411)+COUNTIF('12月'!CF14:CG14,P$411)+COUNTIF('12月'!CK14:CL14,P$411)+COUNTIF('12月'!CP14:CQ14,P$411)+COUNTIF('12月'!CU14:CV14,P$411)+COUNTIF('12月'!CZ14:DA14,P$411)+COUNTIF('12月'!DE14:DF14,P$411)+COUNTIF('12月'!DJ14:DK14,P$411)+COUNTIF('12月'!DO14:DP14,P$411)+COUNTIF('12月'!DT14:DU14,P$411)+COUNTIF('12月'!DY14:DZ14,P$411)+COUNTIF('12月'!ED14:EE14,P$411)+COUNTIF('12月'!EI14:EJ14,P$411)+COUNTIF('12月'!EN14:EO14,P$411)+COUNTIF('12月'!ES14:ET14,P$411)+COUNTIF('12月'!D14:E14,"荻窪ー夜勤")+COUNTIF('12月'!I14:J14,"荻窪ー夜勤")+COUNTIF('12月'!N14:O14,"荻窪ー夜勤")+COUNTIF('12月'!S14:T14,"荻窪ー夜勤")+COUNTIF('12月'!X14:Y14,"荻窪ー夜勤")+COUNTIF('12月'!AC14:AD14,"荻窪ー夜勤")+COUNTIF('12月'!AH14:AI14,"荻窪ー夜勤")+COUNTIF('12月'!AM14:AN14,"荻窪ー夜勤")+COUNTIF('12月'!AR14:AS14,"荻窪ー夜勤")+COUNTIF('12月'!AW14:AX14,"荻窪ー夜勤")+COUNTIF('12月'!BB14:BC14,"荻窪ー夜勤")+COUNTIF('12月'!BG14:BH14,"荻窪ー夜勤")+COUNTIF('12月'!BL14:BM14,"荻窪ー夜勤")+COUNTIF('12月'!BQ14:BR14,"荻窪ー夜勤")+COUNTIF('12月'!BV14:BW14,"荻窪ー夜勤")+COUNTIF('12月'!CA14:CB14,"荻窪ー夜勤")+COUNTIF('12月'!CF14:CG14,"荻窪ー夜勤")+COUNTIF('12月'!CK14:CL14,"荻窪ー夜勤")+COUNTIF('12月'!CP14:CQ14,"荻窪ー夜勤")+COUNTIF('12月'!CU14:CV14,"荻窪ー夜勤")+COUNTIF('12月'!CZ14:DA14,"荻窪ー夜勤")+COUNTIF('12月'!DE14:DF14,"荻窪ー夜勤")+COUNTIF('12月'!DJ14:DK14,"荻窪ー夜勤")+COUNTIF('12月'!DO14:DP14,"荻窪ー夜勤")+COUNTIF('12月'!DT14:DU14,"荻窪ー夜勤")+COUNTIF('12月'!DY14:DZ14,"荻窪ー夜勤")+COUNTIF('12月'!ED14:EE14,"荻窪ー夜勤")+COUNTIF('12月'!EI14:EJ14,"荻窪ー夜勤")+COUNTIF('12月'!EN14:EO14,"荻窪ー夜勤")+COUNTIF('12月'!ES14:ET14,"荻窪ー夜勤")</f>
        <v>0</v>
      </c>
      <c r="Q423" s="76">
        <f t="shared" si="139"/>
        <v>0</v>
      </c>
      <c r="R423" s="76">
        <f>COUNTIF('12月'!D14:E14,R$411)+COUNTIF('12月'!I14:J14,R$411)+COUNTIF('12月'!N14:O14,R$411)+COUNTIF('12月'!S14:T14,R$411)+COUNTIF('12月'!X14:Y14,R$411)+COUNTIF('12月'!AC14:AD14,R$411)+COUNTIF('12月'!AH14:AI14,R$411)+COUNTIF('12月'!AM14:AN14,R$411)+COUNTIF('12月'!AR14:AS14,R$411)+COUNTIF('12月'!AW14:AX14,R$411)+COUNTIF('12月'!BB14:BC14,R$411)+COUNTIF('12月'!BG14:BH14,R$411)+COUNTIF('12月'!BL14:BM14,R$411)+COUNTIF('12月'!BQ14:BR14,R$411)+COUNTIF('12月'!BV14:BW14,R$411)+COUNTIF('12月'!CA14:CB14,R$411)+COUNTIF('12月'!CF14:CG14,R$411)+COUNTIF('12月'!CK14:CL14,R$411)+COUNTIF('12月'!CP14:CQ14,R$411)+COUNTIF('12月'!CU14:CV14,R$411)+COUNTIF('12月'!CZ14:DA14,R$411)+COUNTIF('12月'!DE14:DF14,R$411)+COUNTIF('12月'!DJ14:DK14,R$411)+COUNTIF('12月'!DO14:DP14,R$411)+COUNTIF('12月'!DT14:DU14,R$411)+COUNTIF('12月'!DY14:DZ14,R$411)+COUNTIF('12月'!ED14:EE14,R$411)+COUNTIF('12月'!EI14:EJ14,R$411)+COUNTIF('12月'!EN14:EO14,R$411)+COUNTIF('12月'!ES14:ET14,R$411)</f>
        <v>0</v>
      </c>
      <c r="S423" s="76">
        <f t="shared" si="140"/>
        <v>0</v>
      </c>
      <c r="T423" s="76">
        <f>COUNTIF('12月'!D14:E14,T$411)+COUNTIF('12月'!I14:J14,T$411)+COUNTIF('12月'!N14:O14,T$411)+COUNTIF('12月'!S14:T14,T$411)+COUNTIF('12月'!X14:Y14,T$411)+COUNTIF('12月'!AC14:AD14,T$411)+COUNTIF('12月'!AH14:AI14,T$411)+COUNTIF('12月'!AM14:AN14,T$411)+COUNTIF('12月'!AR14:AS14,T$411)+COUNTIF('12月'!AW14:AX14,T$411)+COUNTIF('12月'!BB14:BC14,T$411)+COUNTIF('12月'!BG14:BH14,T$411)+COUNTIF('12月'!BL14:BM14,T$411)+COUNTIF('12月'!BQ14:BR14,T$411)+COUNTIF('12月'!BV14:BW14,T$411)+COUNTIF('12月'!CA14:CB14,T$411)+COUNTIF('12月'!CF14:CG14,T$411)+COUNTIF('12月'!CK14:CL14,T$411)+COUNTIF('12月'!CP14:CQ14,T$411)+COUNTIF('12月'!CU14:CV14,T$411)+COUNTIF('12月'!CZ14:DA14,T$411)+COUNTIF('12月'!DE14:DF14,T$411)+COUNTIF('12月'!DJ14:DK14,T$411)+COUNTIF('12月'!DO14:DP14,T$411)+COUNTIF('12月'!DT14:DU14,T$411)+COUNTIF('12月'!DY14:DZ14,T$411)+COUNTIF('12月'!ED14:EE14,T$411)+COUNTIF('12月'!EI14:EJ14,T$411)+COUNTIF('12月'!EN14:EO14,T$411)+COUNTIF('12月'!ES14:ET14,T$411)</f>
        <v>0</v>
      </c>
      <c r="U423" s="76">
        <f t="shared" si="141"/>
        <v>0</v>
      </c>
      <c r="V423" s="76">
        <f>COUNTIF('12月'!D14:E14,V$411)+COUNTIF('12月'!I14:J14,V$411)+COUNTIF('12月'!N14:O14,V$411)+COUNTIF('12月'!S14:T14,V$411)+COUNTIF('12月'!X14:Y14,V$411)+COUNTIF('12月'!AC14:AD14,V$411)+COUNTIF('12月'!AH14:AI14,V$411)+COUNTIF('12月'!AM14:AN14,V$411)+COUNTIF('12月'!AR14:AS14,V$411)+COUNTIF('12月'!AW14:AX14,V$411)+COUNTIF('12月'!BB14:BC14,V$411)+COUNTIF('12月'!BG14:BH14,V$411)+COUNTIF('12月'!BL14:BM14,V$411)+COUNTIF('12月'!BQ14:BR14,V$411)+COUNTIF('12月'!BV14:BW14,V$411)+COUNTIF('12月'!CA14:CB14,V$411)+COUNTIF('12月'!CF14:CG14,V$411)+COUNTIF('12月'!CK14:CL14,V$411)+COUNTIF('12月'!CP14:CQ14,V$411)+COUNTIF('12月'!CU14:CV14,V$411)+COUNTIF('12月'!CZ14:DA14,V$411)+COUNTIF('12月'!DE14:DF14,V$411)+COUNTIF('12月'!DJ14:DK14,V$411)+COUNTIF('12月'!DO14:DP14,V$411)+COUNTIF('12月'!DT14:DU14,V$411)+COUNTIF('12月'!DY14:DZ14,V$411)+COUNTIF('12月'!ED14:EE14,V$411)+COUNTIF('12月'!EI14:EJ14,V$411)+COUNTIF('12月'!EN14:EO14,V$411)+COUNTIF('12月'!ES14:ET14,V$411)</f>
        <v>0</v>
      </c>
      <c r="W423" s="76">
        <f t="shared" si="142"/>
        <v>0</v>
      </c>
      <c r="X423" s="76">
        <f>COUNTIF('12月'!D14:E14,X$411)+COUNTIF('12月'!I14:J14,X$411)+COUNTIF('12月'!N14:O14,X$411)+COUNTIF('12月'!S14:T14,X$411)+COUNTIF('12月'!X14:Y14,X$411)+COUNTIF('12月'!AC14:AD14,X$411)+COUNTIF('12月'!AH14:AI14,X$411)+COUNTIF('12月'!AM14:AN14,X$411)+COUNTIF('12月'!AR14:AS14,X$411)+COUNTIF('12月'!AW14:AX14,X$411)+COUNTIF('12月'!BB14:BC14,X$411)+COUNTIF('12月'!BG14:BH14,X$411)+COUNTIF('12月'!BL14:BM14,X$411)+COUNTIF('12月'!BQ14:BR14,X$411)+COUNTIF('12月'!BV14:BW14,X$411)+COUNTIF('12月'!CA14:CB14,X$411)+COUNTIF('12月'!CF14:CG14,X$411)+COUNTIF('12月'!CK14:CL14,X$411)+COUNTIF('12月'!CP14:CQ14,X$411)+COUNTIF('12月'!CU14:CV14,X$411)+COUNTIF('12月'!CZ14:DA14,X$411)+COUNTIF('12月'!DE14:DF14,X$411)+COUNTIF('12月'!DJ14:DK14,X$411)+COUNTIF('12月'!DO14:DP14,X$411)+COUNTIF('12月'!DT14:DU14,X$411)+COUNTIF('12月'!DY14:DZ14,X$411)+COUNTIF('12月'!ED14:EE14,X$411)+COUNTIF('12月'!EI14:EJ14,X$411)+COUNTIF('12月'!EN14:EO14,X$411)+COUNTIF('12月'!ES14:ET14,X$411)</f>
        <v>0</v>
      </c>
      <c r="Y423" s="76">
        <f t="shared" si="143"/>
        <v>0</v>
      </c>
    </row>
    <row r="424" spans="1:25" ht="18" customHeight="1">
      <c r="A424" s="76">
        <v>12</v>
      </c>
      <c r="B424" s="76">
        <f>COUNTIF('12月'!D15:E15,B$411)+COUNTIF('12月'!I15:J15,B$411)+COUNTIF('12月'!N15:O15,B$411)+COUNTIF('12月'!S15:T15,B$411)+COUNTIF('12月'!X15:Y15,B$411)+COUNTIF('12月'!AC15:AD15,B$411)+COUNTIF('12月'!AH15:AI15,B$411)+COUNTIF('12月'!AM15:AN15,B$411)+COUNTIF('12月'!AR15:AS15,B$411)+COUNTIF('12月'!AW15:AX15,B$411)+COUNTIF('12月'!BB15:BC15,B$411)+COUNTIF('12月'!BG15:BH15,B$411)+COUNTIF('12月'!BL15:BM15,B$411)+COUNTIF('12月'!BQ15:BR15,B$411)+COUNTIF('12月'!BV15:BW15,B$411)+COUNTIF('12月'!CA15:CB15,B$411)+COUNTIF('12月'!CF15:CG15,B$411)+COUNTIF('12月'!CK15:CL15,B$411)+COUNTIF('12月'!CP15:CQ15,B$411)+COUNTIF('12月'!CU15:CV15,B$411)+COUNTIF('12月'!CZ15:DA15,B$411)+COUNTIF('12月'!DE15:DF15,B$411)+COUNTIF('12月'!DJ15:DK15,B$411)+COUNTIF('12月'!DO15:DP15,B$411)+COUNTIF('12月'!DT15:DU15,B$411)+COUNTIF('12月'!DY15:DZ15,B$411)+COUNTIF('12月'!ED15:EE15,B$411)+COUNTIF('12月'!EI15:EJ15,B$411)+COUNTIF('12月'!EN15:EO15,B$411)+COUNTIF('12月'!ES15:ET15,B$411)</f>
        <v>0</v>
      </c>
      <c r="C424" s="76">
        <f t="shared" si="132"/>
        <v>0</v>
      </c>
      <c r="D424" s="76">
        <f>COUNTIF('12月'!D15:E15,D$411)+COUNTIF('12月'!I15:J15,D$411)+COUNTIF('12月'!N15:O15,D$411)+COUNTIF('12月'!S15:T15,D$411)+COUNTIF('12月'!X15:Y15,D$411)+COUNTIF('12月'!AC15:AD15,D$411)+COUNTIF('12月'!AH15:AI15,D$411)+COUNTIF('12月'!AM15:AN15,D$411)+COUNTIF('12月'!AR15:AS15,D$411)+COUNTIF('12月'!AW15:AX15,D$411)+COUNTIF('12月'!BB15:BC15,D$411)+COUNTIF('12月'!BG15:BH15,D$411)+COUNTIF('12月'!BL15:BM15,D$411)+COUNTIF('12月'!BQ15:BR15,D$411)+COUNTIF('12月'!BV15:BW15,D$411)+COUNTIF('12月'!CA15:CB15,D$411)+COUNTIF('12月'!CF15:CG15,D$411)+COUNTIF('12月'!CK15:CL15,D$411)+COUNTIF('12月'!CP15:CQ15,D$411)+COUNTIF('12月'!CU15:CV15,D$411)+COUNTIF('12月'!CZ15:DA15,D$411)+COUNTIF('12月'!DE15:DF15,D$411)+COUNTIF('12月'!DJ15:DK15,D$411)+COUNTIF('12月'!DO15:DP15,D$411)+COUNTIF('12月'!DT15:DU15,D$411)+COUNTIF('12月'!DY15:DZ15,D$411)+COUNTIF('12月'!ED15:EE15,D$411)+COUNTIF('12月'!EI15:EJ15,D$411)+COUNTIF('12月'!EN15:EO15,D$411)+COUNTIF('12月'!ES15:ET15,D$411)</f>
        <v>0</v>
      </c>
      <c r="E424" s="76">
        <f t="shared" si="133"/>
        <v>0</v>
      </c>
      <c r="F424" s="76">
        <f>COUNTIF('12月'!D15:E15,F$411)+COUNTIF('12月'!I15:J15,F$411)+COUNTIF('12月'!N15:O15,F$411)+COUNTIF('12月'!S15:T15,F$411)+COUNTIF('12月'!X15:Y15,F$411)+COUNTIF('12月'!AC15:AD15,F$411)+COUNTIF('12月'!AH15:AI15,F$411)+COUNTIF('12月'!AM15:AN15,F$411)+COUNTIF('12月'!AR15:AS15,F$411)+COUNTIF('12月'!AW15:AX15,F$411)+COUNTIF('12月'!BB15:BC15,F$411)+COUNTIF('12月'!BG15:BH15,F$411)+COUNTIF('12月'!BL15:BM15,F$411)+COUNTIF('12月'!BQ15:BR15,F$411)+COUNTIF('12月'!BV15:BW15,F$411)+COUNTIF('12月'!CA15:CB15,F$411)+COUNTIF('12月'!CF15:CG15,F$411)+COUNTIF('12月'!CK15:CL15,F$411)+COUNTIF('12月'!CP15:CQ15,F$411)+COUNTIF('12月'!CU15:CV15,F$411)+COUNTIF('12月'!CZ15:DA15,F$411)+COUNTIF('12月'!DE15:DF15,F$411)+COUNTIF('12月'!DJ15:DK15,F$411)+COUNTIF('12月'!DO15:DP15,F$411)+COUNTIF('12月'!DT15:DU15,F$411)+COUNTIF('12月'!DY15:DZ15,F$411)+COUNTIF('12月'!ED15:EE15,F$411)+COUNTIF('12月'!EI15:EJ15,F$411)+COUNTIF('12月'!EN15:EO15,F$411)+COUNTIF('12月'!ES15:ET15,F$411)</f>
        <v>0</v>
      </c>
      <c r="G424" s="76">
        <f t="shared" si="134"/>
        <v>0</v>
      </c>
      <c r="H424" s="76">
        <f>COUNTIF('12月'!D15:E15,H$411)+COUNTIF('12月'!I15:J15,H$411)+COUNTIF('12月'!N15:O15,H$411)+COUNTIF('12月'!S15:T15,H$411)+COUNTIF('12月'!X15:Y15,H$411)+COUNTIF('12月'!AC15:AD15,H$411)+COUNTIF('12月'!AH15:AI15,H$411)+COUNTIF('12月'!AM15:AN15,H$411)+COUNTIF('12月'!AR15:AS15,H$411)+COUNTIF('12月'!AW15:AX15,H$411)+COUNTIF('12月'!BB15:BC15,H$411)+COUNTIF('12月'!BG15:BH15,H$411)+COUNTIF('12月'!BL15:BM15,H$411)+COUNTIF('12月'!BQ15:BR15,H$411)+COUNTIF('12月'!BV15:BW15,H$411)+COUNTIF('12月'!CA15:CB15,H$411)+COUNTIF('12月'!CF15:CG15,H$411)+COUNTIF('12月'!CK15:CL15,H$411)+COUNTIF('12月'!CP15:CQ15,H$411)+COUNTIF('12月'!CU15:CV15,H$411)+COUNTIF('12月'!CZ15:DA15,H$411)+COUNTIF('12月'!DE15:DF15,H$411)+COUNTIF('12月'!DJ15:DK15,H$411)+COUNTIF('12月'!DO15:DP15,H$411)+COUNTIF('12月'!DT15:DU15,H$411)+COUNTIF('12月'!DY15:DZ15,H$411)+COUNTIF('12月'!ED15:EE15,H$411)+COUNTIF('12月'!EI15:EJ15,H$411)+COUNTIF('12月'!EN15:EO15,H$411)+COUNTIF('12月'!ES15:ET15,H$411)+COUNTIF('12月'!D15:E15,"渋谷-夜勤")+COUNTIF('12月'!I15:J15,"渋谷-夜勤")+COUNTIF('12月'!N15:O15,"渋谷-夜勤")+COUNTIF('12月'!S15:T15,"渋谷-夜勤")+COUNTIF('12月'!X15:Y15,"渋谷-夜勤")+COUNTIF('12月'!AC15:AD15,"渋谷-夜勤")+COUNTIF('12月'!AH15:AI15,"渋谷-夜勤")+COUNTIF('12月'!AM15:AN15,"渋谷-夜勤")+COUNTIF('12月'!AR15:AS15,"渋谷-夜勤")+COUNTIF('12月'!AW15:AX15,"渋谷-夜勤")+COUNTIF('12月'!BB15:BC15,"渋谷-夜勤")+COUNTIF('12月'!BG15:BH15,"渋谷-夜勤")+COUNTIF('12月'!BL15:BM15,"渋谷-夜勤")+COUNTIF('12月'!BQ15:BR15,"渋谷-夜勤")+COUNTIF('12月'!BV15:BW15,"渋谷-夜勤")+COUNTIF('12月'!CA15:CB15,"渋谷-夜勤")+COUNTIF('12月'!CF15:CG15,"渋谷-夜勤")+COUNTIF('12月'!CK15:CL15,"渋谷-夜勤")+COUNTIF('12月'!CP15:CQ15,"渋谷-夜勤")+COUNTIF('12月'!CU15:CV15,"渋谷-夜勤")+COUNTIF('12月'!CZ15:DA15,"渋谷-夜勤")+COUNTIF('12月'!DE15:DF15,"渋谷-夜勤")+COUNTIF('12月'!DJ15:DK15,"渋谷-夜勤")+COUNTIF('12月'!DO15:DP15,"渋谷-夜勤")+COUNTIF('12月'!DT15:DU15,"渋谷-夜勤")+COUNTIF('12月'!DY15:DZ15,"渋谷-夜勤")+COUNTIF('12月'!ED15:EE15,"渋谷-夜勤")+COUNTIF('12月'!EI15:EJ15,"渋谷-夜勤")+COUNTIF('12月'!EN15:EO15,"渋谷-夜勤")+COUNTIF('12月'!ES15:ET15,"渋谷-夜勤")</f>
        <v>0</v>
      </c>
      <c r="I424" s="76">
        <f t="shared" si="135"/>
        <v>0</v>
      </c>
      <c r="J424" s="76">
        <f>COUNTIF('12月'!D15:E15,J$411)+COUNTIF('12月'!I15:J15,J$411)+COUNTIF('12月'!N15:O15,J$411)+COUNTIF('12月'!S15:T15,J$411)+COUNTIF('12月'!X15:Y15,J$411)+COUNTIF('12月'!AC15:AD15,J$411)+COUNTIF('12月'!AH15:AI15,J$411)+COUNTIF('12月'!AM15:AN15,J$411)+COUNTIF('12月'!AR15:AS15,J$411)+COUNTIF('12月'!AW15:AX15,J$411)+COUNTIF('12月'!BB15:BC15,J$411)+COUNTIF('12月'!BG15:BH15,J$411)+COUNTIF('12月'!BL15:BM15,J$411)+COUNTIF('12月'!BQ15:BR15,J$411)+COUNTIF('12月'!BV15:BW15,J$411)+COUNTIF('12月'!CA15:CB15,J$411)+COUNTIF('12月'!CF15:CG15,J$411)+COUNTIF('12月'!CK15:CL15,J$411)+COUNTIF('12月'!CP15:CQ15,J$411)+COUNTIF('12月'!CU15:CV15,J$411)+COUNTIF('12月'!CZ15:DA15,J$411)+COUNTIF('12月'!DE15:DF15,J$411)+COUNTIF('12月'!DJ15:DK15,J$411)+COUNTIF('12月'!DO15:DP15,J$411)+COUNTIF('12月'!DT15:DU15,J$411)+COUNTIF('12月'!DY15:DZ15,J$411)+COUNTIF('12月'!ED15:EE15,J$411)+COUNTIF('12月'!EI15:EJ15,J$411)+COUNTIF('12月'!EN15:EO15,J$411)+COUNTIF('12月'!ES15:ET15,J$411)+COUNTIF('12月'!D15:E15,"六本木-夜勤")+COUNTIF('12月'!I15:J15,"六本木-夜勤")+COUNTIF('12月'!N15:O15,"六本木-夜勤")+COUNTIF('12月'!S15:T15,"六本木-夜勤")+COUNTIF('12月'!X15:Y15,"六本木-夜勤")+COUNTIF('12月'!AC15:AD15,"六本木-夜勤")+COUNTIF('12月'!AH15:AI15,"六本木-夜勤")+COUNTIF('12月'!AM15:AN15,"六本木-夜勤")+COUNTIF('12月'!AR15:AS15,"六本木-夜勤")+COUNTIF('12月'!AW15:AX15,"六本木-夜勤")+COUNTIF('12月'!BB15:BC15,"六本木-夜勤")+COUNTIF('12月'!BG15:BH15,"六本木-夜勤")+COUNTIF('12月'!BL15:BM15,"六本木-夜勤")+COUNTIF('12月'!BQ15:BR15,"六本木-夜勤")+COUNTIF('12月'!BV15:BW15,"六本木-夜勤")+COUNTIF('12月'!CA15:CB15,"六本木-夜勤")+COUNTIF('12月'!CF15:CG15,"六本木-夜勤")+COUNTIF('12月'!CK15:CL15,"六本木-夜勤")+COUNTIF('12月'!CP15:CQ15,"六本木-夜勤")+COUNTIF('12月'!CU15:CV15,"六本木-夜勤")+COUNTIF('12月'!CZ15:DA15,"六本木-夜勤")+COUNTIF('12月'!DE15:DF15,"六本木-夜勤")+COUNTIF('12月'!DJ15:DK15,"六本木-夜勤")+COUNTIF('12月'!DO15:DP15,"六本木-夜勤")+COUNTIF('12月'!DT15:DU15,"六本木-夜勤")+COUNTIF('12月'!DY15:DZ15,"六本木-夜勤")+COUNTIF('12月'!ED15:EE15,"六本木-夜勤")+COUNTIF('12月'!EI15:EJ15,"六本木-夜勤")+COUNTIF('12月'!EN15:EO15,"六本木-夜勤")+COUNTIF('12月'!ES15:ET15,"六本木-夜勤")+COUNTIF('12月'!D15:E15,"六本木ー夜勤")+COUNTIF('12月'!I15:J15,"六本木ー夜勤")+COUNTIF('12月'!N15:O15,"六本木ー夜勤")+COUNTIF('12月'!S15:T15,"六本木ー夜勤")+COUNTIF('12月'!X15:Y15,"六本木ー夜勤")+COUNTIF('12月'!AC15:AD15,"六本木ー夜勤")+COUNTIF('12月'!AH15:AI15,"六本木ー夜勤")+COUNTIF('12月'!AM15:AN15,"六本木ー夜勤")+COUNTIF('12月'!AR15:AS15,"六本木ー夜勤")+COUNTIF('12月'!AW15:AX15,"六本木ー夜勤")+COUNTIF('12月'!BB15:BC15,"六本木ー夜勤")+COUNTIF('12月'!BG15:BH15,"六本木ー夜勤")+COUNTIF('12月'!BL15:BM15,"六本木ー夜勤")+COUNTIF('12月'!BQ15:BR15,"六本木ー夜勤")+COUNTIF('12月'!BV15:BW15,"六本木ー夜勤")+COUNTIF('12月'!CA15:CB15,"六本木ー夜勤")+COUNTIF('12月'!CF15:CG15,"六本木ー夜勤")+COUNTIF('12月'!CK15:CL15,"六本木ー夜勤")+COUNTIF('12月'!CP15:CQ15,"六本木ー夜勤")+COUNTIF('12月'!CU15:CV15,"六本木ー夜勤")+COUNTIF('12月'!CZ15:DA15,"六本木ー夜勤")+COUNTIF('12月'!DE15:DF15,"六本木ー夜勤")+COUNTIF('12月'!DJ15:DK15,"六本木ー夜勤")+COUNTIF('12月'!DO15:DP15,"六本木ー夜勤")+COUNTIF('12月'!DT15:DU15,"六本木ー夜勤")+COUNTIF('12月'!DY15:DZ15,"六本木ー夜勤")+COUNTIF('12月'!ED15:EE15,"六本木ー夜勤")+COUNTIF('12月'!EI15:EJ15,"六本木ー夜勤")+COUNTIF('12月'!EN15:EO15,"六本木ー夜勤")+COUNTIF('12月'!ES15:ET15,"六本木ー夜勤")</f>
        <v>0</v>
      </c>
      <c r="K424" s="76">
        <f t="shared" si="136"/>
        <v>0</v>
      </c>
      <c r="L424" s="76">
        <f>COUNTIF('12月'!D15:E15,L$411)+COUNTIF('12月'!I15:J15,L$411)+COUNTIF('12月'!N15:O15,L$411)+COUNTIF('12月'!S15:T15,L$411)+COUNTIF('12月'!X15:Y15,L$411)+COUNTIF('12月'!AC15:AD15,L$411)+COUNTIF('12月'!AH15:AI15,L$411)+COUNTIF('12月'!AM15:AN15,L$411)+COUNTIF('12月'!AR15:AS15,L$411)+COUNTIF('12月'!AW15:AX15,L$411)+COUNTIF('12月'!BB15:BC15,L$411)+COUNTIF('12月'!BG15:BH15,L$411)+COUNTIF('12月'!BL15:BM15,L$411)+COUNTIF('12月'!BQ15:BR15,L$411)+COUNTIF('12月'!BV15:BW15,L$411)+COUNTIF('12月'!CA15:CB15,L$411)+COUNTIF('12月'!CF15:CG15,L$411)+COUNTIF('12月'!CK15:CL15,L$411)+COUNTIF('12月'!CP15:CQ15,L$411)+COUNTIF('12月'!CU15:CV15,L$411)+COUNTIF('12月'!CZ15:DA15,L$411)+COUNTIF('12月'!DE15:DF15,L$411)+COUNTIF('12月'!DJ15:DK15,L$411)+COUNTIF('12月'!DO15:DP15,L$411)+COUNTIF('12月'!DT15:DU15,L$411)+COUNTIF('12月'!DY15:DZ15,L$411)+COUNTIF('12月'!ED15:EE15,L$411)+COUNTIF('12月'!EI15:EJ15,L$411)+COUNTIF('12月'!EN15:EO15,L$411)+COUNTIF('12月'!ES15:ET15,L$411)</f>
        <v>0</v>
      </c>
      <c r="M424" s="76">
        <f t="shared" si="137"/>
        <v>0</v>
      </c>
      <c r="N424" s="76">
        <f>COUNTIF('12月'!D15:E15,N$411)+COUNTIF('12月'!I15:J15,N$411)+COUNTIF('12月'!N15:O15,N$411)+COUNTIF('12月'!S15:T15,N$411)+COUNTIF('12月'!X15:Y15,N$411)+COUNTIF('12月'!AC15:AD15,N$411)+COUNTIF('12月'!AH15:AI15,N$411)+COUNTIF('12月'!AM15:AN15,N$411)+COUNTIF('12月'!AR15:AS15,N$411)+COUNTIF('12月'!AW15:AX15,N$411)+COUNTIF('12月'!BB15:BC15,N$411)+COUNTIF('12月'!BG15:BH15,N$411)+COUNTIF('12月'!BL15:BM15,N$411)+COUNTIF('12月'!BQ15:BR15,N$411)+COUNTIF('12月'!BV15:BW15,N$411)+COUNTIF('12月'!CA15:CB15,N$411)+COUNTIF('12月'!CF15:CG15,N$411)+COUNTIF('12月'!CK15:CL15,N$411)+COUNTIF('12月'!CP15:CQ15,N$411)+COUNTIF('12月'!CU15:CV15,N$411)+COUNTIF('12月'!CZ15:DA15,N$411)+COUNTIF('12月'!DE15:DF15,N$411)+COUNTIF('12月'!DJ15:DK15,N$411)+COUNTIF('12月'!DO15:DP15,N$411)+COUNTIF('12月'!DT15:DU15,N$411)+COUNTIF('12月'!DY15:DZ15,N$411)+COUNTIF('12月'!ED15:EE15,N$411)+COUNTIF('12月'!EI15:EJ15,N$411)+COUNTIF('12月'!EN15:EO15,N$411)+COUNTIF('12月'!ES15:ET15,N$411)+COUNTIF('12月'!D15:E15,"三軒茶屋－夜勤")+COUNTIF('12月'!I15:J15,"三軒茶屋－夜勤")+COUNTIF('12月'!N15:O15,"三軒茶屋－夜勤")+COUNTIF('12月'!S15:T15,"三軒茶屋－夜勤")+COUNTIF('12月'!X15:Y15,"三軒茶屋－夜勤")+COUNTIF('12月'!AC15:AD15,"三軒茶屋－夜勤")+COUNTIF('12月'!AH15:AI15,"三軒茶屋－夜勤")+COUNTIF('12月'!AM15:AN15,"三軒茶屋－夜勤")+COUNTIF('12月'!AR15:AS15,"三軒茶屋－夜勤")+COUNTIF('12月'!AW15:AX15,"三軒茶屋－夜勤")+COUNTIF('12月'!BB15:BC15,"三軒茶屋－夜勤")+COUNTIF('12月'!BG15:BH15,"三軒茶屋－夜勤")+COUNTIF('12月'!BL15:BM15,"三軒茶屋－夜勤")+COUNTIF('12月'!BQ15:BR15,"三軒茶屋－夜勤")+COUNTIF('12月'!BV15:BW15,"三軒茶屋－夜勤")+COUNTIF('12月'!CA15:CB15,"三軒茶屋－夜勤")+COUNTIF('12月'!CF15:CG15,"三軒茶屋－夜勤")+COUNTIF('12月'!CK15:CL15,"三軒茶屋－夜勤")+COUNTIF('12月'!CP15:CQ15,"三軒茶屋－夜勤")+COUNTIF('12月'!CU15:CV15,"三軒茶屋－夜勤")+COUNTIF('12月'!CZ15:DA15,"三軒茶屋－夜勤")+COUNTIF('12月'!DE15:DF15,"三軒茶屋－夜勤")+COUNTIF('12月'!DJ15:DK15,"三軒茶屋－夜勤")+COUNTIF('12月'!DO15:DP15,"三軒茶屋－夜勤")+COUNTIF('12月'!DT15:DU15,"三軒茶屋－夜勤")+COUNTIF('12月'!DY15:DZ15,"三軒茶屋－夜勤")+COUNTIF('12月'!ED15:EE15,"三軒茶屋－夜勤")+COUNTIF('12月'!EI15:EJ15,"三軒茶屋－夜勤")+COUNTIF('12月'!EN15:EO15,"三軒茶屋－夜勤")+COUNTIF('12月'!ES15:ET15,"三軒茶屋－夜勤")</f>
        <v>0</v>
      </c>
      <c r="O424" s="76">
        <f t="shared" si="138"/>
        <v>0</v>
      </c>
      <c r="P424" s="76">
        <f>COUNTIF('12月'!D15:E15,P$411)+COUNTIF('12月'!I15:J15,P$411)+COUNTIF('12月'!N15:O15,P$411)+COUNTIF('12月'!S15:T15,P$411)+COUNTIF('12月'!X15:Y15,P$411)+COUNTIF('12月'!AC15:AD15,P$411)+COUNTIF('12月'!AH15:AI15,P$411)+COUNTIF('12月'!AM15:AN15,P$411)+COUNTIF('12月'!AR15:AS15,P$411)+COUNTIF('12月'!AW15:AX15,P$411)+COUNTIF('12月'!BB15:BC15,P$411)+COUNTIF('12月'!BG15:BH15,P$411)+COUNTIF('12月'!BL15:BM15,P$411)+COUNTIF('12月'!BQ15:BR15,P$411)+COUNTIF('12月'!BV15:BW15,P$411)+COUNTIF('12月'!CA15:CB15,P$411)+COUNTIF('12月'!CF15:CG15,P$411)+COUNTIF('12月'!CK15:CL15,P$411)+COUNTIF('12月'!CP15:CQ15,P$411)+COUNTIF('12月'!CU15:CV15,P$411)+COUNTIF('12月'!CZ15:DA15,P$411)+COUNTIF('12月'!DE15:DF15,P$411)+COUNTIF('12月'!DJ15:DK15,P$411)+COUNTIF('12月'!DO15:DP15,P$411)+COUNTIF('12月'!DT15:DU15,P$411)+COUNTIF('12月'!DY15:DZ15,P$411)+COUNTIF('12月'!ED15:EE15,P$411)+COUNTIF('12月'!EI15:EJ15,P$411)+COUNTIF('12月'!EN15:EO15,P$411)+COUNTIF('12月'!ES15:ET15,P$411)+COUNTIF('12月'!D15:E15,"荻窪ー夜勤")+COUNTIF('12月'!I15:J15,"荻窪ー夜勤")+COUNTIF('12月'!N15:O15,"荻窪ー夜勤")+COUNTIF('12月'!S15:T15,"荻窪ー夜勤")+COUNTIF('12月'!X15:Y15,"荻窪ー夜勤")+COUNTIF('12月'!AC15:AD15,"荻窪ー夜勤")+COUNTIF('12月'!AH15:AI15,"荻窪ー夜勤")+COUNTIF('12月'!AM15:AN15,"荻窪ー夜勤")+COUNTIF('12月'!AR15:AS15,"荻窪ー夜勤")+COUNTIF('12月'!AW15:AX15,"荻窪ー夜勤")+COUNTIF('12月'!BB15:BC15,"荻窪ー夜勤")+COUNTIF('12月'!BG15:BH15,"荻窪ー夜勤")+COUNTIF('12月'!BL15:BM15,"荻窪ー夜勤")+COUNTIF('12月'!BQ15:BR15,"荻窪ー夜勤")+COUNTIF('12月'!BV15:BW15,"荻窪ー夜勤")+COUNTIF('12月'!CA15:CB15,"荻窪ー夜勤")+COUNTIF('12月'!CF15:CG15,"荻窪ー夜勤")+COUNTIF('12月'!CK15:CL15,"荻窪ー夜勤")+COUNTIF('12月'!CP15:CQ15,"荻窪ー夜勤")+COUNTIF('12月'!CU15:CV15,"荻窪ー夜勤")+COUNTIF('12月'!CZ15:DA15,"荻窪ー夜勤")+COUNTIF('12月'!DE15:DF15,"荻窪ー夜勤")+COUNTIF('12月'!DJ15:DK15,"荻窪ー夜勤")+COUNTIF('12月'!DO15:DP15,"荻窪ー夜勤")+COUNTIF('12月'!DT15:DU15,"荻窪ー夜勤")+COUNTIF('12月'!DY15:DZ15,"荻窪ー夜勤")+COUNTIF('12月'!ED15:EE15,"荻窪ー夜勤")+COUNTIF('12月'!EI15:EJ15,"荻窪ー夜勤")+COUNTIF('12月'!EN15:EO15,"荻窪ー夜勤")+COUNTIF('12月'!ES15:ET15,"荻窪ー夜勤")</f>
        <v>0</v>
      </c>
      <c r="Q424" s="76">
        <f t="shared" si="139"/>
        <v>0</v>
      </c>
      <c r="R424" s="76">
        <f>COUNTIF('12月'!D15:E15,R$411)+COUNTIF('12月'!I15:J15,R$411)+COUNTIF('12月'!N15:O15,R$411)+COUNTIF('12月'!S15:T15,R$411)+COUNTIF('12月'!X15:Y15,R$411)+COUNTIF('12月'!AC15:AD15,R$411)+COUNTIF('12月'!AH15:AI15,R$411)+COUNTIF('12月'!AM15:AN15,R$411)+COUNTIF('12月'!AR15:AS15,R$411)+COUNTIF('12月'!AW15:AX15,R$411)+COUNTIF('12月'!BB15:BC15,R$411)+COUNTIF('12月'!BG15:BH15,R$411)+COUNTIF('12月'!BL15:BM15,R$411)+COUNTIF('12月'!BQ15:BR15,R$411)+COUNTIF('12月'!BV15:BW15,R$411)+COUNTIF('12月'!CA15:CB15,R$411)+COUNTIF('12月'!CF15:CG15,R$411)+COUNTIF('12月'!CK15:CL15,R$411)+COUNTIF('12月'!CP15:CQ15,R$411)+COUNTIF('12月'!CU15:CV15,R$411)+COUNTIF('12月'!CZ15:DA15,R$411)+COUNTIF('12月'!DE15:DF15,R$411)+COUNTIF('12月'!DJ15:DK15,R$411)+COUNTIF('12月'!DO15:DP15,R$411)+COUNTIF('12月'!DT15:DU15,R$411)+COUNTIF('12月'!DY15:DZ15,R$411)+COUNTIF('12月'!ED15:EE15,R$411)+COUNTIF('12月'!EI15:EJ15,R$411)+COUNTIF('12月'!EN15:EO15,R$411)+COUNTIF('12月'!ES15:ET15,R$411)</f>
        <v>0</v>
      </c>
      <c r="S424" s="76">
        <f t="shared" si="140"/>
        <v>0</v>
      </c>
      <c r="T424" s="76">
        <f>COUNTIF('12月'!D15:E15,T$411)+COUNTIF('12月'!I15:J15,T$411)+COUNTIF('12月'!N15:O15,T$411)+COUNTIF('12月'!S15:T15,T$411)+COUNTIF('12月'!X15:Y15,T$411)+COUNTIF('12月'!AC15:AD15,T$411)+COUNTIF('12月'!AH15:AI15,T$411)+COUNTIF('12月'!AM15:AN15,T$411)+COUNTIF('12月'!AR15:AS15,T$411)+COUNTIF('12月'!AW15:AX15,T$411)+COUNTIF('12月'!BB15:BC15,T$411)+COUNTIF('12月'!BG15:BH15,T$411)+COUNTIF('12月'!BL15:BM15,T$411)+COUNTIF('12月'!BQ15:BR15,T$411)+COUNTIF('12月'!BV15:BW15,T$411)+COUNTIF('12月'!CA15:CB15,T$411)+COUNTIF('12月'!CF15:CG15,T$411)+COUNTIF('12月'!CK15:CL15,T$411)+COUNTIF('12月'!CP15:CQ15,T$411)+COUNTIF('12月'!CU15:CV15,T$411)+COUNTIF('12月'!CZ15:DA15,T$411)+COUNTIF('12月'!DE15:DF15,T$411)+COUNTIF('12月'!DJ15:DK15,T$411)+COUNTIF('12月'!DO15:DP15,T$411)+COUNTIF('12月'!DT15:DU15,T$411)+COUNTIF('12月'!DY15:DZ15,T$411)+COUNTIF('12月'!ED15:EE15,T$411)+COUNTIF('12月'!EI15:EJ15,T$411)+COUNTIF('12月'!EN15:EO15,T$411)+COUNTIF('12月'!ES15:ET15,T$411)</f>
        <v>0</v>
      </c>
      <c r="U424" s="76">
        <f t="shared" si="141"/>
        <v>0</v>
      </c>
      <c r="V424" s="76">
        <f>COUNTIF('12月'!D15:E15,V$411)+COUNTIF('12月'!I15:J15,V$411)+COUNTIF('12月'!N15:O15,V$411)+COUNTIF('12月'!S15:T15,V$411)+COUNTIF('12月'!X15:Y15,V$411)+COUNTIF('12月'!AC15:AD15,V$411)+COUNTIF('12月'!AH15:AI15,V$411)+COUNTIF('12月'!AM15:AN15,V$411)+COUNTIF('12月'!AR15:AS15,V$411)+COUNTIF('12月'!AW15:AX15,V$411)+COUNTIF('12月'!BB15:BC15,V$411)+COUNTIF('12月'!BG15:BH15,V$411)+COUNTIF('12月'!BL15:BM15,V$411)+COUNTIF('12月'!BQ15:BR15,V$411)+COUNTIF('12月'!BV15:BW15,V$411)+COUNTIF('12月'!CA15:CB15,V$411)+COUNTIF('12月'!CF15:CG15,V$411)+COUNTIF('12月'!CK15:CL15,V$411)+COUNTIF('12月'!CP15:CQ15,V$411)+COUNTIF('12月'!CU15:CV15,V$411)+COUNTIF('12月'!CZ15:DA15,V$411)+COUNTIF('12月'!DE15:DF15,V$411)+COUNTIF('12月'!DJ15:DK15,V$411)+COUNTIF('12月'!DO15:DP15,V$411)+COUNTIF('12月'!DT15:DU15,V$411)+COUNTIF('12月'!DY15:DZ15,V$411)+COUNTIF('12月'!ED15:EE15,V$411)+COUNTIF('12月'!EI15:EJ15,V$411)+COUNTIF('12月'!EN15:EO15,V$411)+COUNTIF('12月'!ES15:ET15,V$411)</f>
        <v>0</v>
      </c>
      <c r="W424" s="76">
        <f t="shared" si="142"/>
        <v>0</v>
      </c>
      <c r="X424" s="76">
        <f>COUNTIF('12月'!D15:E15,X$411)+COUNTIF('12月'!I15:J15,X$411)+COUNTIF('12月'!N15:O15,X$411)+COUNTIF('12月'!S15:T15,X$411)+COUNTIF('12月'!X15:Y15,X$411)+COUNTIF('12月'!AC15:AD15,X$411)+COUNTIF('12月'!AH15:AI15,X$411)+COUNTIF('12月'!AM15:AN15,X$411)+COUNTIF('12月'!AR15:AS15,X$411)+COUNTIF('12月'!AW15:AX15,X$411)+COUNTIF('12月'!BB15:BC15,X$411)+COUNTIF('12月'!BG15:BH15,X$411)+COUNTIF('12月'!BL15:BM15,X$411)+COUNTIF('12月'!BQ15:BR15,X$411)+COUNTIF('12月'!BV15:BW15,X$411)+COUNTIF('12月'!CA15:CB15,X$411)+COUNTIF('12月'!CF15:CG15,X$411)+COUNTIF('12月'!CK15:CL15,X$411)+COUNTIF('12月'!CP15:CQ15,X$411)+COUNTIF('12月'!CU15:CV15,X$411)+COUNTIF('12月'!CZ15:DA15,X$411)+COUNTIF('12月'!DE15:DF15,X$411)+COUNTIF('12月'!DJ15:DK15,X$411)+COUNTIF('12月'!DO15:DP15,X$411)+COUNTIF('12月'!DT15:DU15,X$411)+COUNTIF('12月'!DY15:DZ15,X$411)+COUNTIF('12月'!ED15:EE15,X$411)+COUNTIF('12月'!EI15:EJ15,X$411)+COUNTIF('12月'!EN15:EO15,X$411)+COUNTIF('12月'!ES15:ET15,X$411)</f>
        <v>0</v>
      </c>
      <c r="Y424" s="76">
        <f t="shared" si="143"/>
        <v>0</v>
      </c>
    </row>
    <row r="425" spans="1:25" ht="18" customHeight="1">
      <c r="A425" s="76">
        <v>13</v>
      </c>
      <c r="B425" s="76">
        <f>COUNTIF('12月'!D16:E16,B$411)+COUNTIF('12月'!I16:J16,B$411)+COUNTIF('12月'!N16:O16,B$411)+COUNTIF('12月'!S16:T16,B$411)+COUNTIF('12月'!X16:Y16,B$411)+COUNTIF('12月'!AC16:AD16,B$411)+COUNTIF('12月'!AH16:AI16,B$411)+COUNTIF('12月'!AM16:AN16,B$411)+COUNTIF('12月'!AR16:AS16,B$411)+COUNTIF('12月'!AW16:AX16,B$411)+COUNTIF('12月'!BB16:BC16,B$411)+COUNTIF('12月'!BG16:BH16,B$411)+COUNTIF('12月'!BL16:BM16,B$411)+COUNTIF('12月'!BQ16:BR16,B$411)+COUNTIF('12月'!BV16:BW16,B$411)+COUNTIF('12月'!CA16:CB16,B$411)+COUNTIF('12月'!CF16:CG16,B$411)+COUNTIF('12月'!CK16:CL16,B$411)+COUNTIF('12月'!CP16:CQ16,B$411)+COUNTIF('12月'!CU16:CV16,B$411)+COUNTIF('12月'!CZ16:DA16,B$411)+COUNTIF('12月'!DE16:DF16,B$411)+COUNTIF('12月'!DJ16:DK16,B$411)+COUNTIF('12月'!DO16:DP16,B$411)+COUNTIF('12月'!DT16:DU16,B$411)+COUNTIF('12月'!DY16:DZ16,B$411)+COUNTIF('12月'!ED16:EE16,B$411)+COUNTIF('12月'!EI16:EJ16,B$411)+COUNTIF('12月'!EN16:EO16,B$411)+COUNTIF('12月'!ES16:ET16,B$411)</f>
        <v>0</v>
      </c>
      <c r="C425" s="76">
        <f t="shared" si="132"/>
        <v>0</v>
      </c>
      <c r="D425" s="76">
        <f>COUNTIF('12月'!D16:E16,D$411)+COUNTIF('12月'!I16:J16,D$411)+COUNTIF('12月'!N16:O16,D$411)+COUNTIF('12月'!S16:T16,D$411)+COUNTIF('12月'!X16:Y16,D$411)+COUNTIF('12月'!AC16:AD16,D$411)+COUNTIF('12月'!AH16:AI16,D$411)+COUNTIF('12月'!AM16:AN16,D$411)+COUNTIF('12月'!AR16:AS16,D$411)+COUNTIF('12月'!AW16:AX16,D$411)+COUNTIF('12月'!BB16:BC16,D$411)+COUNTIF('12月'!BG16:BH16,D$411)+COUNTIF('12月'!BL16:BM16,D$411)+COUNTIF('12月'!BQ16:BR16,D$411)+COUNTIF('12月'!BV16:BW16,D$411)+COUNTIF('12月'!CA16:CB16,D$411)+COUNTIF('12月'!CF16:CG16,D$411)+COUNTIF('12月'!CK16:CL16,D$411)+COUNTIF('12月'!CP16:CQ16,D$411)+COUNTIF('12月'!CU16:CV16,D$411)+COUNTIF('12月'!CZ16:DA16,D$411)+COUNTIF('12月'!DE16:DF16,D$411)+COUNTIF('12月'!DJ16:DK16,D$411)+COUNTIF('12月'!DO16:DP16,D$411)+COUNTIF('12月'!DT16:DU16,D$411)+COUNTIF('12月'!DY16:DZ16,D$411)+COUNTIF('12月'!ED16:EE16,D$411)+COUNTIF('12月'!EI16:EJ16,D$411)+COUNTIF('12月'!EN16:EO16,D$411)+COUNTIF('12月'!ES16:ET16,D$411)</f>
        <v>0</v>
      </c>
      <c r="E425" s="76">
        <f t="shared" si="133"/>
        <v>0</v>
      </c>
      <c r="F425" s="76">
        <f>COUNTIF('12月'!D16:E16,F$411)+COUNTIF('12月'!I16:J16,F$411)+COUNTIF('12月'!N16:O16,F$411)+COUNTIF('12月'!S16:T16,F$411)+COUNTIF('12月'!X16:Y16,F$411)+COUNTIF('12月'!AC16:AD16,F$411)+COUNTIF('12月'!AH16:AI16,F$411)+COUNTIF('12月'!AM16:AN16,F$411)+COUNTIF('12月'!AR16:AS16,F$411)+COUNTIF('12月'!AW16:AX16,F$411)+COUNTIF('12月'!BB16:BC16,F$411)+COUNTIF('12月'!BG16:BH16,F$411)+COUNTIF('12月'!BL16:BM16,F$411)+COUNTIF('12月'!BQ16:BR16,F$411)+COUNTIF('12月'!BV16:BW16,F$411)+COUNTIF('12月'!CA16:CB16,F$411)+COUNTIF('12月'!CF16:CG16,F$411)+COUNTIF('12月'!CK16:CL16,F$411)+COUNTIF('12月'!CP16:CQ16,F$411)+COUNTIF('12月'!CU16:CV16,F$411)+COUNTIF('12月'!CZ16:DA16,F$411)+COUNTIF('12月'!DE16:DF16,F$411)+COUNTIF('12月'!DJ16:DK16,F$411)+COUNTIF('12月'!DO16:DP16,F$411)+COUNTIF('12月'!DT16:DU16,F$411)+COUNTIF('12月'!DY16:DZ16,F$411)+COUNTIF('12月'!ED16:EE16,F$411)+COUNTIF('12月'!EI16:EJ16,F$411)+COUNTIF('12月'!EN16:EO16,F$411)+COUNTIF('12月'!ES16:ET16,F$411)</f>
        <v>0</v>
      </c>
      <c r="G425" s="76">
        <f t="shared" si="134"/>
        <v>0</v>
      </c>
      <c r="H425" s="76">
        <f>COUNTIF('12月'!D16:E16,H$411)+COUNTIF('12月'!I16:J16,H$411)+COUNTIF('12月'!N16:O16,H$411)+COUNTIF('12月'!S16:T16,H$411)+COUNTIF('12月'!X16:Y16,H$411)+COUNTIF('12月'!AC16:AD16,H$411)+COUNTIF('12月'!AH16:AI16,H$411)+COUNTIF('12月'!AM16:AN16,H$411)+COUNTIF('12月'!AR16:AS16,H$411)+COUNTIF('12月'!AW16:AX16,H$411)+COUNTIF('12月'!BB16:BC16,H$411)+COUNTIF('12月'!BG16:BH16,H$411)+COUNTIF('12月'!BL16:BM16,H$411)+COUNTIF('12月'!BQ16:BR16,H$411)+COUNTIF('12月'!BV16:BW16,H$411)+COUNTIF('12月'!CA16:CB16,H$411)+COUNTIF('12月'!CF16:CG16,H$411)+COUNTIF('12月'!CK16:CL16,H$411)+COUNTIF('12月'!CP16:CQ16,H$411)+COUNTIF('12月'!CU16:CV16,H$411)+COUNTIF('12月'!CZ16:DA16,H$411)+COUNTIF('12月'!DE16:DF16,H$411)+COUNTIF('12月'!DJ16:DK16,H$411)+COUNTIF('12月'!DO16:DP16,H$411)+COUNTIF('12月'!DT16:DU16,H$411)+COUNTIF('12月'!DY16:DZ16,H$411)+COUNTIF('12月'!ED16:EE16,H$411)+COUNTIF('12月'!EI16:EJ16,H$411)+COUNTIF('12月'!EN16:EO16,H$411)+COUNTIF('12月'!ES16:ET16,H$411)+COUNTIF('12月'!D16:E16,"渋谷-夜勤")+COUNTIF('12月'!I16:J16,"渋谷-夜勤")+COUNTIF('12月'!N16:O16,"渋谷-夜勤")+COUNTIF('12月'!S16:T16,"渋谷-夜勤")+COUNTIF('12月'!X16:Y16,"渋谷-夜勤")+COUNTIF('12月'!AC16:AD16,"渋谷-夜勤")+COUNTIF('12月'!AH16:AI16,"渋谷-夜勤")+COUNTIF('12月'!AM16:AN16,"渋谷-夜勤")+COUNTIF('12月'!AR16:AS16,"渋谷-夜勤")+COUNTIF('12月'!AW16:AX16,"渋谷-夜勤")+COUNTIF('12月'!BB16:BC16,"渋谷-夜勤")+COUNTIF('12月'!BG16:BH16,"渋谷-夜勤")+COUNTIF('12月'!BL16:BM16,"渋谷-夜勤")+COUNTIF('12月'!BQ16:BR16,"渋谷-夜勤")+COUNTIF('12月'!BV16:BW16,"渋谷-夜勤")+COUNTIF('12月'!CA16:CB16,"渋谷-夜勤")+COUNTIF('12月'!CF16:CG16,"渋谷-夜勤")+COUNTIF('12月'!CK16:CL16,"渋谷-夜勤")+COUNTIF('12月'!CP16:CQ16,"渋谷-夜勤")+COUNTIF('12月'!CU16:CV16,"渋谷-夜勤")+COUNTIF('12月'!CZ16:DA16,"渋谷-夜勤")+COUNTIF('12月'!DE16:DF16,"渋谷-夜勤")+COUNTIF('12月'!DJ16:DK16,"渋谷-夜勤")+COUNTIF('12月'!DO16:DP16,"渋谷-夜勤")+COUNTIF('12月'!DT16:DU16,"渋谷-夜勤")+COUNTIF('12月'!DY16:DZ16,"渋谷-夜勤")+COUNTIF('12月'!ED16:EE16,"渋谷-夜勤")+COUNTIF('12月'!EI16:EJ16,"渋谷-夜勤")+COUNTIF('12月'!EN16:EO16,"渋谷-夜勤")+COUNTIF('12月'!ES16:ET16,"渋谷-夜勤")</f>
        <v>0</v>
      </c>
      <c r="I425" s="76">
        <f t="shared" si="135"/>
        <v>0</v>
      </c>
      <c r="J425" s="76">
        <f>COUNTIF('12月'!D16:E16,J$411)+COUNTIF('12月'!I16:J16,J$411)+COUNTIF('12月'!N16:O16,J$411)+COUNTIF('12月'!S16:T16,J$411)+COUNTIF('12月'!X16:Y16,J$411)+COUNTIF('12月'!AC16:AD16,J$411)+COUNTIF('12月'!AH16:AI16,J$411)+COUNTIF('12月'!AM16:AN16,J$411)+COUNTIF('12月'!AR16:AS16,J$411)+COUNTIF('12月'!AW16:AX16,J$411)+COUNTIF('12月'!BB16:BC16,J$411)+COUNTIF('12月'!BG16:BH16,J$411)+COUNTIF('12月'!BL16:BM16,J$411)+COUNTIF('12月'!BQ16:BR16,J$411)+COUNTIF('12月'!BV16:BW16,J$411)+COUNTIF('12月'!CA16:CB16,J$411)+COUNTIF('12月'!CF16:CG16,J$411)+COUNTIF('12月'!CK16:CL16,J$411)+COUNTIF('12月'!CP16:CQ16,J$411)+COUNTIF('12月'!CU16:CV16,J$411)+COUNTIF('12月'!CZ16:DA16,J$411)+COUNTIF('12月'!DE16:DF16,J$411)+COUNTIF('12月'!DJ16:DK16,J$411)+COUNTIF('12月'!DO16:DP16,J$411)+COUNTIF('12月'!DT16:DU16,J$411)+COUNTIF('12月'!DY16:DZ16,J$411)+COUNTIF('12月'!ED16:EE16,J$411)+COUNTIF('12月'!EI16:EJ16,J$411)+COUNTIF('12月'!EN16:EO16,J$411)+COUNTIF('12月'!ES16:ET16,J$411)+COUNTIF('12月'!D16:E16,"六本木-夜勤")+COUNTIF('12月'!I16:J16,"六本木-夜勤")+COUNTIF('12月'!N16:O16,"六本木-夜勤")+COUNTIF('12月'!S16:T16,"六本木-夜勤")+COUNTIF('12月'!X16:Y16,"六本木-夜勤")+COUNTIF('12月'!AC16:AD16,"六本木-夜勤")+COUNTIF('12月'!AH16:AI16,"六本木-夜勤")+COUNTIF('12月'!AM16:AN16,"六本木-夜勤")+COUNTIF('12月'!AR16:AS16,"六本木-夜勤")+COUNTIF('12月'!AW16:AX16,"六本木-夜勤")+COUNTIF('12月'!BB16:BC16,"六本木-夜勤")+COUNTIF('12月'!BG16:BH16,"六本木-夜勤")+COUNTIF('12月'!BL16:BM16,"六本木-夜勤")+COUNTIF('12月'!BQ16:BR16,"六本木-夜勤")+COUNTIF('12月'!BV16:BW16,"六本木-夜勤")+COUNTIF('12月'!CA16:CB16,"六本木-夜勤")+COUNTIF('12月'!CF16:CG16,"六本木-夜勤")+COUNTIF('12月'!CK16:CL16,"六本木-夜勤")+COUNTIF('12月'!CP16:CQ16,"六本木-夜勤")+COUNTIF('12月'!CU16:CV16,"六本木-夜勤")+COUNTIF('12月'!CZ16:DA16,"六本木-夜勤")+COUNTIF('12月'!DE16:DF16,"六本木-夜勤")+COUNTIF('12月'!DJ16:DK16,"六本木-夜勤")+COUNTIF('12月'!DO16:DP16,"六本木-夜勤")+COUNTIF('12月'!DT16:DU16,"六本木-夜勤")+COUNTIF('12月'!DY16:DZ16,"六本木-夜勤")+COUNTIF('12月'!ED16:EE16,"六本木-夜勤")+COUNTIF('12月'!EI16:EJ16,"六本木-夜勤")+COUNTIF('12月'!EN16:EO16,"六本木-夜勤")+COUNTIF('12月'!ES16:ET16,"六本木-夜勤")+COUNTIF('12月'!D16:E16,"六本木ー夜勤")+COUNTIF('12月'!I16:J16,"六本木ー夜勤")+COUNTIF('12月'!N16:O16,"六本木ー夜勤")+COUNTIF('12月'!S16:T16,"六本木ー夜勤")+COUNTIF('12月'!X16:Y16,"六本木ー夜勤")+COUNTIF('12月'!AC16:AD16,"六本木ー夜勤")+COUNTIF('12月'!AH16:AI16,"六本木ー夜勤")+COUNTIF('12月'!AM16:AN16,"六本木ー夜勤")+COUNTIF('12月'!AR16:AS16,"六本木ー夜勤")+COUNTIF('12月'!AW16:AX16,"六本木ー夜勤")+COUNTIF('12月'!BB16:BC16,"六本木ー夜勤")+COUNTIF('12月'!BG16:BH16,"六本木ー夜勤")+COUNTIF('12月'!BL16:BM16,"六本木ー夜勤")+COUNTIF('12月'!BQ16:BR16,"六本木ー夜勤")+COUNTIF('12月'!BV16:BW16,"六本木ー夜勤")+COUNTIF('12月'!CA16:CB16,"六本木ー夜勤")+COUNTIF('12月'!CF16:CG16,"六本木ー夜勤")+COUNTIF('12月'!CK16:CL16,"六本木ー夜勤")+COUNTIF('12月'!CP16:CQ16,"六本木ー夜勤")+COUNTIF('12月'!CU16:CV16,"六本木ー夜勤")+COUNTIF('12月'!CZ16:DA16,"六本木ー夜勤")+COUNTIF('12月'!DE16:DF16,"六本木ー夜勤")+COUNTIF('12月'!DJ16:DK16,"六本木ー夜勤")+COUNTIF('12月'!DO16:DP16,"六本木ー夜勤")+COUNTIF('12月'!DT16:DU16,"六本木ー夜勤")+COUNTIF('12月'!DY16:DZ16,"六本木ー夜勤")+COUNTIF('12月'!ED16:EE16,"六本木ー夜勤")+COUNTIF('12月'!EI16:EJ16,"六本木ー夜勤")+COUNTIF('12月'!EN16:EO16,"六本木ー夜勤")+COUNTIF('12月'!ES16:ET16,"六本木ー夜勤")</f>
        <v>0</v>
      </c>
      <c r="K425" s="76">
        <f t="shared" si="136"/>
        <v>0</v>
      </c>
      <c r="L425" s="76">
        <f>COUNTIF('12月'!D16:E16,L$411)+COUNTIF('12月'!I16:J16,L$411)+COUNTIF('12月'!N16:O16,L$411)+COUNTIF('12月'!S16:T16,L$411)+COUNTIF('12月'!X16:Y16,L$411)+COUNTIF('12月'!AC16:AD16,L$411)+COUNTIF('12月'!AH16:AI16,L$411)+COUNTIF('12月'!AM16:AN16,L$411)+COUNTIF('12月'!AR16:AS16,L$411)+COUNTIF('12月'!AW16:AX16,L$411)+COUNTIF('12月'!BB16:BC16,L$411)+COUNTIF('12月'!BG16:BH16,L$411)+COUNTIF('12月'!BL16:BM16,L$411)+COUNTIF('12月'!BQ16:BR16,L$411)+COUNTIF('12月'!BV16:BW16,L$411)+COUNTIF('12月'!CA16:CB16,L$411)+COUNTIF('12月'!CF16:CG16,L$411)+COUNTIF('12月'!CK16:CL16,L$411)+COUNTIF('12月'!CP16:CQ16,L$411)+COUNTIF('12月'!CU16:CV16,L$411)+COUNTIF('12月'!CZ16:DA16,L$411)+COUNTIF('12月'!DE16:DF16,L$411)+COUNTIF('12月'!DJ16:DK16,L$411)+COUNTIF('12月'!DO16:DP16,L$411)+COUNTIF('12月'!DT16:DU16,L$411)+COUNTIF('12月'!DY16:DZ16,L$411)+COUNTIF('12月'!ED16:EE16,L$411)+COUNTIF('12月'!EI16:EJ16,L$411)+COUNTIF('12月'!EN16:EO16,L$411)+COUNTIF('12月'!ES16:ET16,L$411)</f>
        <v>0</v>
      </c>
      <c r="M425" s="76">
        <f t="shared" si="137"/>
        <v>0</v>
      </c>
      <c r="N425" s="76">
        <f>COUNTIF('12月'!D16:E16,N$411)+COUNTIF('12月'!I16:J16,N$411)+COUNTIF('12月'!N16:O16,N$411)+COUNTIF('12月'!S16:T16,N$411)+COUNTIF('12月'!X16:Y16,N$411)+COUNTIF('12月'!AC16:AD16,N$411)+COUNTIF('12月'!AH16:AI16,N$411)+COUNTIF('12月'!AM16:AN16,N$411)+COUNTIF('12月'!AR16:AS16,N$411)+COUNTIF('12月'!AW16:AX16,N$411)+COUNTIF('12月'!BB16:BC16,N$411)+COUNTIF('12月'!BG16:BH16,N$411)+COUNTIF('12月'!BL16:BM16,N$411)+COUNTIF('12月'!BQ16:BR16,N$411)+COUNTIF('12月'!BV16:BW16,N$411)+COUNTIF('12月'!CA16:CB16,N$411)+COUNTIF('12月'!CF16:CG16,N$411)+COUNTIF('12月'!CK16:CL16,N$411)+COUNTIF('12月'!CP16:CQ16,N$411)+COUNTIF('12月'!CU16:CV16,N$411)+COUNTIF('12月'!CZ16:DA16,N$411)+COUNTIF('12月'!DE16:DF16,N$411)+COUNTIF('12月'!DJ16:DK16,N$411)+COUNTIF('12月'!DO16:DP16,N$411)+COUNTIF('12月'!DT16:DU16,N$411)+COUNTIF('12月'!DY16:DZ16,N$411)+COUNTIF('12月'!ED16:EE16,N$411)+COUNTIF('12月'!EI16:EJ16,N$411)+COUNTIF('12月'!EN16:EO16,N$411)+COUNTIF('12月'!ES16:ET16,N$411)+COUNTIF('12月'!D16:E16,"三軒茶屋－夜勤")+COUNTIF('12月'!I16:J16,"三軒茶屋－夜勤")+COUNTIF('12月'!N16:O16,"三軒茶屋－夜勤")+COUNTIF('12月'!S16:T16,"三軒茶屋－夜勤")+COUNTIF('12月'!X16:Y16,"三軒茶屋－夜勤")+COUNTIF('12月'!AC16:AD16,"三軒茶屋－夜勤")+COUNTIF('12月'!AH16:AI16,"三軒茶屋－夜勤")+COUNTIF('12月'!AM16:AN16,"三軒茶屋－夜勤")+COUNTIF('12月'!AR16:AS16,"三軒茶屋－夜勤")+COUNTIF('12月'!AW16:AX16,"三軒茶屋－夜勤")+COUNTIF('12月'!BB16:BC16,"三軒茶屋－夜勤")+COUNTIF('12月'!BG16:BH16,"三軒茶屋－夜勤")+COUNTIF('12月'!BL16:BM16,"三軒茶屋－夜勤")+COUNTIF('12月'!BQ16:BR16,"三軒茶屋－夜勤")+COUNTIF('12月'!BV16:BW16,"三軒茶屋－夜勤")+COUNTIF('12月'!CA16:CB16,"三軒茶屋－夜勤")+COUNTIF('12月'!CF16:CG16,"三軒茶屋－夜勤")+COUNTIF('12月'!CK16:CL16,"三軒茶屋－夜勤")+COUNTIF('12月'!CP16:CQ16,"三軒茶屋－夜勤")+COUNTIF('12月'!CU16:CV16,"三軒茶屋－夜勤")+COUNTIF('12月'!CZ16:DA16,"三軒茶屋－夜勤")+COUNTIF('12月'!DE16:DF16,"三軒茶屋－夜勤")+COUNTIF('12月'!DJ16:DK16,"三軒茶屋－夜勤")+COUNTIF('12月'!DO16:DP16,"三軒茶屋－夜勤")+COUNTIF('12月'!DT16:DU16,"三軒茶屋－夜勤")+COUNTIF('12月'!DY16:DZ16,"三軒茶屋－夜勤")+COUNTIF('12月'!ED16:EE16,"三軒茶屋－夜勤")+COUNTIF('12月'!EI16:EJ16,"三軒茶屋－夜勤")+COUNTIF('12月'!EN16:EO16,"三軒茶屋－夜勤")+COUNTIF('12月'!ES16:ET16,"三軒茶屋－夜勤")</f>
        <v>0</v>
      </c>
      <c r="O425" s="76">
        <f t="shared" si="138"/>
        <v>0</v>
      </c>
      <c r="P425" s="76">
        <f>COUNTIF('12月'!D16:E16,P$411)+COUNTIF('12月'!I16:J16,P$411)+COUNTIF('12月'!N16:O16,P$411)+COUNTIF('12月'!S16:T16,P$411)+COUNTIF('12月'!X16:Y16,P$411)+COUNTIF('12月'!AC16:AD16,P$411)+COUNTIF('12月'!AH16:AI16,P$411)+COUNTIF('12月'!AM16:AN16,P$411)+COUNTIF('12月'!AR16:AS16,P$411)+COUNTIF('12月'!AW16:AX16,P$411)+COUNTIF('12月'!BB16:BC16,P$411)+COUNTIF('12月'!BG16:BH16,P$411)+COUNTIF('12月'!BL16:BM16,P$411)+COUNTIF('12月'!BQ16:BR16,P$411)+COUNTIF('12月'!BV16:BW16,P$411)+COUNTIF('12月'!CA16:CB16,P$411)+COUNTIF('12月'!CF16:CG16,P$411)+COUNTIF('12月'!CK16:CL16,P$411)+COUNTIF('12月'!CP16:CQ16,P$411)+COUNTIF('12月'!CU16:CV16,P$411)+COUNTIF('12月'!CZ16:DA16,P$411)+COUNTIF('12月'!DE16:DF16,P$411)+COUNTIF('12月'!DJ16:DK16,P$411)+COUNTIF('12月'!DO16:DP16,P$411)+COUNTIF('12月'!DT16:DU16,P$411)+COUNTIF('12月'!DY16:DZ16,P$411)+COUNTIF('12月'!ED16:EE16,P$411)+COUNTIF('12月'!EI16:EJ16,P$411)+COUNTIF('12月'!EN16:EO16,P$411)+COUNTIF('12月'!ES16:ET16,P$411)+COUNTIF('12月'!D16:E16,"荻窪ー夜勤")+COUNTIF('12月'!I16:J16,"荻窪ー夜勤")+COUNTIF('12月'!N16:O16,"荻窪ー夜勤")+COUNTIF('12月'!S16:T16,"荻窪ー夜勤")+COUNTIF('12月'!X16:Y16,"荻窪ー夜勤")+COUNTIF('12月'!AC16:AD16,"荻窪ー夜勤")+COUNTIF('12月'!AH16:AI16,"荻窪ー夜勤")+COUNTIF('12月'!AM16:AN16,"荻窪ー夜勤")+COUNTIF('12月'!AR16:AS16,"荻窪ー夜勤")+COUNTIF('12月'!AW16:AX16,"荻窪ー夜勤")+COUNTIF('12月'!BB16:BC16,"荻窪ー夜勤")+COUNTIF('12月'!BG16:BH16,"荻窪ー夜勤")+COUNTIF('12月'!BL16:BM16,"荻窪ー夜勤")+COUNTIF('12月'!BQ16:BR16,"荻窪ー夜勤")+COUNTIF('12月'!BV16:BW16,"荻窪ー夜勤")+COUNTIF('12月'!CA16:CB16,"荻窪ー夜勤")+COUNTIF('12月'!CF16:CG16,"荻窪ー夜勤")+COUNTIF('12月'!CK16:CL16,"荻窪ー夜勤")+COUNTIF('12月'!CP16:CQ16,"荻窪ー夜勤")+COUNTIF('12月'!CU16:CV16,"荻窪ー夜勤")+COUNTIF('12月'!CZ16:DA16,"荻窪ー夜勤")+COUNTIF('12月'!DE16:DF16,"荻窪ー夜勤")+COUNTIF('12月'!DJ16:DK16,"荻窪ー夜勤")+COUNTIF('12月'!DO16:DP16,"荻窪ー夜勤")+COUNTIF('12月'!DT16:DU16,"荻窪ー夜勤")+COUNTIF('12月'!DY16:DZ16,"荻窪ー夜勤")+COUNTIF('12月'!ED16:EE16,"荻窪ー夜勤")+COUNTIF('12月'!EI16:EJ16,"荻窪ー夜勤")+COUNTIF('12月'!EN16:EO16,"荻窪ー夜勤")+COUNTIF('12月'!ES16:ET16,"荻窪ー夜勤")</f>
        <v>0</v>
      </c>
      <c r="Q425" s="76">
        <f t="shared" si="139"/>
        <v>0</v>
      </c>
      <c r="R425" s="76">
        <f>COUNTIF('12月'!D16:E16,R$411)+COUNTIF('12月'!I16:J16,R$411)+COUNTIF('12月'!N16:O16,R$411)+COUNTIF('12月'!S16:T16,R$411)+COUNTIF('12月'!X16:Y16,R$411)+COUNTIF('12月'!AC16:AD16,R$411)+COUNTIF('12月'!AH16:AI16,R$411)+COUNTIF('12月'!AM16:AN16,R$411)+COUNTIF('12月'!AR16:AS16,R$411)+COUNTIF('12月'!AW16:AX16,R$411)+COUNTIF('12月'!BB16:BC16,R$411)+COUNTIF('12月'!BG16:BH16,R$411)+COUNTIF('12月'!BL16:BM16,R$411)+COUNTIF('12月'!BQ16:BR16,R$411)+COUNTIF('12月'!BV16:BW16,R$411)+COUNTIF('12月'!CA16:CB16,R$411)+COUNTIF('12月'!CF16:CG16,R$411)+COUNTIF('12月'!CK16:CL16,R$411)+COUNTIF('12月'!CP16:CQ16,R$411)+COUNTIF('12月'!CU16:CV16,R$411)+COUNTIF('12月'!CZ16:DA16,R$411)+COUNTIF('12月'!DE16:DF16,R$411)+COUNTIF('12月'!DJ16:DK16,R$411)+COUNTIF('12月'!DO16:DP16,R$411)+COUNTIF('12月'!DT16:DU16,R$411)+COUNTIF('12月'!DY16:DZ16,R$411)+COUNTIF('12月'!ED16:EE16,R$411)+COUNTIF('12月'!EI16:EJ16,R$411)+COUNTIF('12月'!EN16:EO16,R$411)+COUNTIF('12月'!ES16:ET16,R$411)</f>
        <v>0</v>
      </c>
      <c r="S425" s="76">
        <f t="shared" si="140"/>
        <v>0</v>
      </c>
      <c r="T425" s="76">
        <f>COUNTIF('12月'!D16:E16,T$411)+COUNTIF('12月'!I16:J16,T$411)+COUNTIF('12月'!N16:O16,T$411)+COUNTIF('12月'!S16:T16,T$411)+COUNTIF('12月'!X16:Y16,T$411)+COUNTIF('12月'!AC16:AD16,T$411)+COUNTIF('12月'!AH16:AI16,T$411)+COUNTIF('12月'!AM16:AN16,T$411)+COUNTIF('12月'!AR16:AS16,T$411)+COUNTIF('12月'!AW16:AX16,T$411)+COUNTIF('12月'!BB16:BC16,T$411)+COUNTIF('12月'!BG16:BH16,T$411)+COUNTIF('12月'!BL16:BM16,T$411)+COUNTIF('12月'!BQ16:BR16,T$411)+COUNTIF('12月'!BV16:BW16,T$411)+COUNTIF('12月'!CA16:CB16,T$411)+COUNTIF('12月'!CF16:CG16,T$411)+COUNTIF('12月'!CK16:CL16,T$411)+COUNTIF('12月'!CP16:CQ16,T$411)+COUNTIF('12月'!CU16:CV16,T$411)+COUNTIF('12月'!CZ16:DA16,T$411)+COUNTIF('12月'!DE16:DF16,T$411)+COUNTIF('12月'!DJ16:DK16,T$411)+COUNTIF('12月'!DO16:DP16,T$411)+COUNTIF('12月'!DT16:DU16,T$411)+COUNTIF('12月'!DY16:DZ16,T$411)+COUNTIF('12月'!ED16:EE16,T$411)+COUNTIF('12月'!EI16:EJ16,T$411)+COUNTIF('12月'!EN16:EO16,T$411)+COUNTIF('12月'!ES16:ET16,T$411)</f>
        <v>0</v>
      </c>
      <c r="U425" s="76">
        <f t="shared" si="141"/>
        <v>0</v>
      </c>
      <c r="V425" s="76">
        <f>COUNTIF('12月'!D16:E16,V$411)+COUNTIF('12月'!I16:J16,V$411)+COUNTIF('12月'!N16:O16,V$411)+COUNTIF('12月'!S16:T16,V$411)+COUNTIF('12月'!X16:Y16,V$411)+COUNTIF('12月'!AC16:AD16,V$411)+COUNTIF('12月'!AH16:AI16,V$411)+COUNTIF('12月'!AM16:AN16,V$411)+COUNTIF('12月'!AR16:AS16,V$411)+COUNTIF('12月'!AW16:AX16,V$411)+COUNTIF('12月'!BB16:BC16,V$411)+COUNTIF('12月'!BG16:BH16,V$411)+COUNTIF('12月'!BL16:BM16,V$411)+COUNTIF('12月'!BQ16:BR16,V$411)+COUNTIF('12月'!BV16:BW16,V$411)+COUNTIF('12月'!CA16:CB16,V$411)+COUNTIF('12月'!CF16:CG16,V$411)+COUNTIF('12月'!CK16:CL16,V$411)+COUNTIF('12月'!CP16:CQ16,V$411)+COUNTIF('12月'!CU16:CV16,V$411)+COUNTIF('12月'!CZ16:DA16,V$411)+COUNTIF('12月'!DE16:DF16,V$411)+COUNTIF('12月'!DJ16:DK16,V$411)+COUNTIF('12月'!DO16:DP16,V$411)+COUNTIF('12月'!DT16:DU16,V$411)+COUNTIF('12月'!DY16:DZ16,V$411)+COUNTIF('12月'!ED16:EE16,V$411)+COUNTIF('12月'!EI16:EJ16,V$411)+COUNTIF('12月'!EN16:EO16,V$411)+COUNTIF('12月'!ES16:ET16,V$411)</f>
        <v>0</v>
      </c>
      <c r="W425" s="76">
        <f t="shared" si="142"/>
        <v>0</v>
      </c>
      <c r="X425" s="76">
        <f>COUNTIF('12月'!D16:E16,X$411)+COUNTIF('12月'!I16:J16,X$411)+COUNTIF('12月'!N16:O16,X$411)+COUNTIF('12月'!S16:T16,X$411)+COUNTIF('12月'!X16:Y16,X$411)+COUNTIF('12月'!AC16:AD16,X$411)+COUNTIF('12月'!AH16:AI16,X$411)+COUNTIF('12月'!AM16:AN16,X$411)+COUNTIF('12月'!AR16:AS16,X$411)+COUNTIF('12月'!AW16:AX16,X$411)+COUNTIF('12月'!BB16:BC16,X$411)+COUNTIF('12月'!BG16:BH16,X$411)+COUNTIF('12月'!BL16:BM16,X$411)+COUNTIF('12月'!BQ16:BR16,X$411)+COUNTIF('12月'!BV16:BW16,X$411)+COUNTIF('12月'!CA16:CB16,X$411)+COUNTIF('12月'!CF16:CG16,X$411)+COUNTIF('12月'!CK16:CL16,X$411)+COUNTIF('12月'!CP16:CQ16,X$411)+COUNTIF('12月'!CU16:CV16,X$411)+COUNTIF('12月'!CZ16:DA16,X$411)+COUNTIF('12月'!DE16:DF16,X$411)+COUNTIF('12月'!DJ16:DK16,X$411)+COUNTIF('12月'!DO16:DP16,X$411)+COUNTIF('12月'!DT16:DU16,X$411)+COUNTIF('12月'!DY16:DZ16,X$411)+COUNTIF('12月'!ED16:EE16,X$411)+COUNTIF('12月'!EI16:EJ16,X$411)+COUNTIF('12月'!EN16:EO16,X$411)+COUNTIF('12月'!ES16:ET16,X$411)</f>
        <v>0</v>
      </c>
      <c r="Y425" s="76">
        <f t="shared" si="143"/>
        <v>0</v>
      </c>
    </row>
    <row r="426" spans="1:25" ht="18" customHeight="1">
      <c r="A426" s="76">
        <v>14</v>
      </c>
      <c r="B426" s="76">
        <f>COUNTIF('12月'!D17:E17,B$411)+COUNTIF('12月'!I17:J17,B$411)+COUNTIF('12月'!N17:O17,B$411)+COUNTIF('12月'!S17:T17,B$411)+COUNTIF('12月'!X17:Y17,B$411)+COUNTIF('12月'!AC17:AD17,B$411)+COUNTIF('12月'!AH17:AI17,B$411)+COUNTIF('12月'!AM17:AN17,B$411)+COUNTIF('12月'!AR17:AS17,B$411)+COUNTIF('12月'!AW17:AX17,B$411)+COUNTIF('12月'!BB17:BC17,B$411)+COUNTIF('12月'!BG17:BH17,B$411)+COUNTIF('12月'!BL17:BM17,B$411)+COUNTIF('12月'!BQ17:BR17,B$411)+COUNTIF('12月'!BV17:BW17,B$411)+COUNTIF('12月'!CA17:CB17,B$411)+COUNTIF('12月'!CF17:CG17,B$411)+COUNTIF('12月'!CK17:CL17,B$411)+COUNTIF('12月'!CP17:CQ17,B$411)+COUNTIF('12月'!CU17:CV17,B$411)+COUNTIF('12月'!CZ17:DA17,B$411)+COUNTIF('12月'!DE17:DF17,B$411)+COUNTIF('12月'!DJ17:DK17,B$411)+COUNTIF('12月'!DO17:DP17,B$411)+COUNTIF('12月'!DT17:DU17,B$411)+COUNTIF('12月'!DY17:DZ17,B$411)+COUNTIF('12月'!ED17:EE17,B$411)+COUNTIF('12月'!EI17:EJ17,B$411)+COUNTIF('12月'!EN17:EO17,B$411)+COUNTIF('12月'!ES17:ET17,B$411)</f>
        <v>0</v>
      </c>
      <c r="C426" s="76">
        <f t="shared" si="132"/>
        <v>0</v>
      </c>
      <c r="D426" s="76">
        <f>COUNTIF('12月'!D17:E17,D$411)+COUNTIF('12月'!I17:J17,D$411)+COUNTIF('12月'!N17:O17,D$411)+COUNTIF('12月'!S17:T17,D$411)+COUNTIF('12月'!X17:Y17,D$411)+COUNTIF('12月'!AC17:AD17,D$411)+COUNTIF('12月'!AH17:AI17,D$411)+COUNTIF('12月'!AM17:AN17,D$411)+COUNTIF('12月'!AR17:AS17,D$411)+COUNTIF('12月'!AW17:AX17,D$411)+COUNTIF('12月'!BB17:BC17,D$411)+COUNTIF('12月'!BG17:BH17,D$411)+COUNTIF('12月'!BL17:BM17,D$411)+COUNTIF('12月'!BQ17:BR17,D$411)+COUNTIF('12月'!BV17:BW17,D$411)+COUNTIF('12月'!CA17:CB17,D$411)+COUNTIF('12月'!CF17:CG17,D$411)+COUNTIF('12月'!CK17:CL17,D$411)+COUNTIF('12月'!CP17:CQ17,D$411)+COUNTIF('12月'!CU17:CV17,D$411)+COUNTIF('12月'!CZ17:DA17,D$411)+COUNTIF('12月'!DE17:DF17,D$411)+COUNTIF('12月'!DJ17:DK17,D$411)+COUNTIF('12月'!DO17:DP17,D$411)+COUNTIF('12月'!DT17:DU17,D$411)+COUNTIF('12月'!DY17:DZ17,D$411)+COUNTIF('12月'!ED17:EE17,D$411)+COUNTIF('12月'!EI17:EJ17,D$411)+COUNTIF('12月'!EN17:EO17,D$411)+COUNTIF('12月'!ES17:ET17,D$411)</f>
        <v>0</v>
      </c>
      <c r="E426" s="76">
        <f t="shared" si="133"/>
        <v>0</v>
      </c>
      <c r="F426" s="76">
        <f>COUNTIF('12月'!D17:E17,F$411)+COUNTIF('12月'!I17:J17,F$411)+COUNTIF('12月'!N17:O17,F$411)+COUNTIF('12月'!S17:T17,F$411)+COUNTIF('12月'!X17:Y17,F$411)+COUNTIF('12月'!AC17:AD17,F$411)+COUNTIF('12月'!AH17:AI17,F$411)+COUNTIF('12月'!AM17:AN17,F$411)+COUNTIF('12月'!AR17:AS17,F$411)+COUNTIF('12月'!AW17:AX17,F$411)+COUNTIF('12月'!BB17:BC17,F$411)+COUNTIF('12月'!BG17:BH17,F$411)+COUNTIF('12月'!BL17:BM17,F$411)+COUNTIF('12月'!BQ17:BR17,F$411)+COUNTIF('12月'!BV17:BW17,F$411)+COUNTIF('12月'!CA17:CB17,F$411)+COUNTIF('12月'!CF17:CG17,F$411)+COUNTIF('12月'!CK17:CL17,F$411)+COUNTIF('12月'!CP17:CQ17,F$411)+COUNTIF('12月'!CU17:CV17,F$411)+COUNTIF('12月'!CZ17:DA17,F$411)+COUNTIF('12月'!DE17:DF17,F$411)+COUNTIF('12月'!DJ17:DK17,F$411)+COUNTIF('12月'!DO17:DP17,F$411)+COUNTIF('12月'!DT17:DU17,F$411)+COUNTIF('12月'!DY17:DZ17,F$411)+COUNTIF('12月'!ED17:EE17,F$411)+COUNTIF('12月'!EI17:EJ17,F$411)+COUNTIF('12月'!EN17:EO17,F$411)+COUNTIF('12月'!ES17:ET17,F$411)</f>
        <v>0</v>
      </c>
      <c r="G426" s="76">
        <f t="shared" si="134"/>
        <v>0</v>
      </c>
      <c r="H426" s="76">
        <f>COUNTIF('12月'!D17:E17,H$411)+COUNTIF('12月'!I17:J17,H$411)+COUNTIF('12月'!N17:O17,H$411)+COUNTIF('12月'!S17:T17,H$411)+COUNTIF('12月'!X17:Y17,H$411)+COUNTIF('12月'!AC17:AD17,H$411)+COUNTIF('12月'!AH17:AI17,H$411)+COUNTIF('12月'!AM17:AN17,H$411)+COUNTIF('12月'!AR17:AS17,H$411)+COUNTIF('12月'!AW17:AX17,H$411)+COUNTIF('12月'!BB17:BC17,H$411)+COUNTIF('12月'!BG17:BH17,H$411)+COUNTIF('12月'!BL17:BM17,H$411)+COUNTIF('12月'!BQ17:BR17,H$411)+COUNTIF('12月'!BV17:BW17,H$411)+COUNTIF('12月'!CA17:CB17,H$411)+COUNTIF('12月'!CF17:CG17,H$411)+COUNTIF('12月'!CK17:CL17,H$411)+COUNTIF('12月'!CP17:CQ17,H$411)+COUNTIF('12月'!CU17:CV17,H$411)+COUNTIF('12月'!CZ17:DA17,H$411)+COUNTIF('12月'!DE17:DF17,H$411)+COUNTIF('12月'!DJ17:DK17,H$411)+COUNTIF('12月'!DO17:DP17,H$411)+COUNTIF('12月'!DT17:DU17,H$411)+COUNTIF('12月'!DY17:DZ17,H$411)+COUNTIF('12月'!ED17:EE17,H$411)+COUNTIF('12月'!EI17:EJ17,H$411)+COUNTIF('12月'!EN17:EO17,H$411)+COUNTIF('12月'!ES17:ET17,H$411)+COUNTIF('12月'!D17:E17,"渋谷-夜勤")+COUNTIF('12月'!I17:J17,"渋谷-夜勤")+COUNTIF('12月'!N17:O17,"渋谷-夜勤")+COUNTIF('12月'!S17:T17,"渋谷-夜勤")+COUNTIF('12月'!X17:Y17,"渋谷-夜勤")+COUNTIF('12月'!AC17:AD17,"渋谷-夜勤")+COUNTIF('12月'!AH17:AI17,"渋谷-夜勤")+COUNTIF('12月'!AM17:AN17,"渋谷-夜勤")+COUNTIF('12月'!AR17:AS17,"渋谷-夜勤")+COUNTIF('12月'!AW17:AX17,"渋谷-夜勤")+COUNTIF('12月'!BB17:BC17,"渋谷-夜勤")+COUNTIF('12月'!BG17:BH17,"渋谷-夜勤")+COUNTIF('12月'!BL17:BM17,"渋谷-夜勤")+COUNTIF('12月'!BQ17:BR17,"渋谷-夜勤")+COUNTIF('12月'!BV17:BW17,"渋谷-夜勤")+COUNTIF('12月'!CA17:CB17,"渋谷-夜勤")+COUNTIF('12月'!CF17:CG17,"渋谷-夜勤")+COUNTIF('12月'!CK17:CL17,"渋谷-夜勤")+COUNTIF('12月'!CP17:CQ17,"渋谷-夜勤")+COUNTIF('12月'!CU17:CV17,"渋谷-夜勤")+COUNTIF('12月'!CZ17:DA17,"渋谷-夜勤")+COUNTIF('12月'!DE17:DF17,"渋谷-夜勤")+COUNTIF('12月'!DJ17:DK17,"渋谷-夜勤")+COUNTIF('12月'!DO17:DP17,"渋谷-夜勤")+COUNTIF('12月'!DT17:DU17,"渋谷-夜勤")+COUNTIF('12月'!DY17:DZ17,"渋谷-夜勤")+COUNTIF('12月'!ED17:EE17,"渋谷-夜勤")+COUNTIF('12月'!EI17:EJ17,"渋谷-夜勤")+COUNTIF('12月'!EN17:EO17,"渋谷-夜勤")+COUNTIF('12月'!ES17:ET17,"渋谷-夜勤")</f>
        <v>0</v>
      </c>
      <c r="I426" s="76">
        <f t="shared" si="135"/>
        <v>0</v>
      </c>
      <c r="J426" s="76">
        <f>COUNTIF('12月'!D17:E17,J$411)+COUNTIF('12月'!I17:J17,J$411)+COUNTIF('12月'!N17:O17,J$411)+COUNTIF('12月'!S17:T17,J$411)+COUNTIF('12月'!X17:Y17,J$411)+COUNTIF('12月'!AC17:AD17,J$411)+COUNTIF('12月'!AH17:AI17,J$411)+COUNTIF('12月'!AM17:AN17,J$411)+COUNTIF('12月'!AR17:AS17,J$411)+COUNTIF('12月'!AW17:AX17,J$411)+COUNTIF('12月'!BB17:BC17,J$411)+COUNTIF('12月'!BG17:BH17,J$411)+COUNTIF('12月'!BL17:BM17,J$411)+COUNTIF('12月'!BQ17:BR17,J$411)+COUNTIF('12月'!BV17:BW17,J$411)+COUNTIF('12月'!CA17:CB17,J$411)+COUNTIF('12月'!CF17:CG17,J$411)+COUNTIF('12月'!CK17:CL17,J$411)+COUNTIF('12月'!CP17:CQ17,J$411)+COUNTIF('12月'!CU17:CV17,J$411)+COUNTIF('12月'!CZ17:DA17,J$411)+COUNTIF('12月'!DE17:DF17,J$411)+COUNTIF('12月'!DJ17:DK17,J$411)+COUNTIF('12月'!DO17:DP17,J$411)+COUNTIF('12月'!DT17:DU17,J$411)+COUNTIF('12月'!DY17:DZ17,J$411)+COUNTIF('12月'!ED17:EE17,J$411)+COUNTIF('12月'!EI17:EJ17,J$411)+COUNTIF('12月'!EN17:EO17,J$411)+COUNTIF('12月'!ES17:ET17,J$411)+COUNTIF('12月'!D17:E17,"六本木-夜勤")+COUNTIF('12月'!I17:J17,"六本木-夜勤")+COUNTIF('12月'!N17:O17,"六本木-夜勤")+COUNTIF('12月'!S17:T17,"六本木-夜勤")+COUNTIF('12月'!X17:Y17,"六本木-夜勤")+COUNTIF('12月'!AC17:AD17,"六本木-夜勤")+COUNTIF('12月'!AH17:AI17,"六本木-夜勤")+COUNTIF('12月'!AM17:AN17,"六本木-夜勤")+COUNTIF('12月'!AR17:AS17,"六本木-夜勤")+COUNTIF('12月'!AW17:AX17,"六本木-夜勤")+COUNTIF('12月'!BB17:BC17,"六本木-夜勤")+COUNTIF('12月'!BG17:BH17,"六本木-夜勤")+COUNTIF('12月'!BL17:BM17,"六本木-夜勤")+COUNTIF('12月'!BQ17:BR17,"六本木-夜勤")+COUNTIF('12月'!BV17:BW17,"六本木-夜勤")+COUNTIF('12月'!CA17:CB17,"六本木-夜勤")+COUNTIF('12月'!CF17:CG17,"六本木-夜勤")+COUNTIF('12月'!CK17:CL17,"六本木-夜勤")+COUNTIF('12月'!CP17:CQ17,"六本木-夜勤")+COUNTIF('12月'!CU17:CV17,"六本木-夜勤")+COUNTIF('12月'!CZ17:DA17,"六本木-夜勤")+COUNTIF('12月'!DE17:DF17,"六本木-夜勤")+COUNTIF('12月'!DJ17:DK17,"六本木-夜勤")+COUNTIF('12月'!DO17:DP17,"六本木-夜勤")+COUNTIF('12月'!DT17:DU17,"六本木-夜勤")+COUNTIF('12月'!DY17:DZ17,"六本木-夜勤")+COUNTIF('12月'!ED17:EE17,"六本木-夜勤")+COUNTIF('12月'!EI17:EJ17,"六本木-夜勤")+COUNTIF('12月'!EN17:EO17,"六本木-夜勤")+COUNTIF('12月'!ES17:ET17,"六本木-夜勤")+COUNTIF('12月'!D17:E17,"六本木ー夜勤")+COUNTIF('12月'!I17:J17,"六本木ー夜勤")+COUNTIF('12月'!N17:O17,"六本木ー夜勤")+COUNTIF('12月'!S17:T17,"六本木ー夜勤")+COUNTIF('12月'!X17:Y17,"六本木ー夜勤")+COUNTIF('12月'!AC17:AD17,"六本木ー夜勤")+COUNTIF('12月'!AH17:AI17,"六本木ー夜勤")+COUNTIF('12月'!AM17:AN17,"六本木ー夜勤")+COUNTIF('12月'!AR17:AS17,"六本木ー夜勤")+COUNTIF('12月'!AW17:AX17,"六本木ー夜勤")+COUNTIF('12月'!BB17:BC17,"六本木ー夜勤")+COUNTIF('12月'!BG17:BH17,"六本木ー夜勤")+COUNTIF('12月'!BL17:BM17,"六本木ー夜勤")+COUNTIF('12月'!BQ17:BR17,"六本木ー夜勤")+COUNTIF('12月'!BV17:BW17,"六本木ー夜勤")+COUNTIF('12月'!CA17:CB17,"六本木ー夜勤")+COUNTIF('12月'!CF17:CG17,"六本木ー夜勤")+COUNTIF('12月'!CK17:CL17,"六本木ー夜勤")+COUNTIF('12月'!CP17:CQ17,"六本木ー夜勤")+COUNTIF('12月'!CU17:CV17,"六本木ー夜勤")+COUNTIF('12月'!CZ17:DA17,"六本木ー夜勤")+COUNTIF('12月'!DE17:DF17,"六本木ー夜勤")+COUNTIF('12月'!DJ17:DK17,"六本木ー夜勤")+COUNTIF('12月'!DO17:DP17,"六本木ー夜勤")+COUNTIF('12月'!DT17:DU17,"六本木ー夜勤")+COUNTIF('12月'!DY17:DZ17,"六本木ー夜勤")+COUNTIF('12月'!ED17:EE17,"六本木ー夜勤")+COUNTIF('12月'!EI17:EJ17,"六本木ー夜勤")+COUNTIF('12月'!EN17:EO17,"六本木ー夜勤")+COUNTIF('12月'!ES17:ET17,"六本木ー夜勤")</f>
        <v>0</v>
      </c>
      <c r="K426" s="76">
        <f t="shared" si="136"/>
        <v>0</v>
      </c>
      <c r="L426" s="76">
        <f>COUNTIF('12月'!D17:E17,L$411)+COUNTIF('12月'!I17:J17,L$411)+COUNTIF('12月'!N17:O17,L$411)+COUNTIF('12月'!S17:T17,L$411)+COUNTIF('12月'!X17:Y17,L$411)+COUNTIF('12月'!AC17:AD17,L$411)+COUNTIF('12月'!AH17:AI17,L$411)+COUNTIF('12月'!AM17:AN17,L$411)+COUNTIF('12月'!AR17:AS17,L$411)+COUNTIF('12月'!AW17:AX17,L$411)+COUNTIF('12月'!BB17:BC17,L$411)+COUNTIF('12月'!BG17:BH17,L$411)+COUNTIF('12月'!BL17:BM17,L$411)+COUNTIF('12月'!BQ17:BR17,L$411)+COUNTIF('12月'!BV17:BW17,L$411)+COUNTIF('12月'!CA17:CB17,L$411)+COUNTIF('12月'!CF17:CG17,L$411)+COUNTIF('12月'!CK17:CL17,L$411)+COUNTIF('12月'!CP17:CQ17,L$411)+COUNTIF('12月'!CU17:CV17,L$411)+COUNTIF('12月'!CZ17:DA17,L$411)+COUNTIF('12月'!DE17:DF17,L$411)+COUNTIF('12月'!DJ17:DK17,L$411)+COUNTIF('12月'!DO17:DP17,L$411)+COUNTIF('12月'!DT17:DU17,L$411)+COUNTIF('12月'!DY17:DZ17,L$411)+COUNTIF('12月'!ED17:EE17,L$411)+COUNTIF('12月'!EI17:EJ17,L$411)+COUNTIF('12月'!EN17:EO17,L$411)+COUNTIF('12月'!ES17:ET17,L$411)</f>
        <v>0</v>
      </c>
      <c r="M426" s="76">
        <f t="shared" si="137"/>
        <v>0</v>
      </c>
      <c r="N426" s="76">
        <f>COUNTIF('12月'!D17:E17,N$411)+COUNTIF('12月'!I17:J17,N$411)+COUNTIF('12月'!N17:O17,N$411)+COUNTIF('12月'!S17:T17,N$411)+COUNTIF('12月'!X17:Y17,N$411)+COUNTIF('12月'!AC17:AD17,N$411)+COUNTIF('12月'!AH17:AI17,N$411)+COUNTIF('12月'!AM17:AN17,N$411)+COUNTIF('12月'!AR17:AS17,N$411)+COUNTIF('12月'!AW17:AX17,N$411)+COUNTIF('12月'!BB17:BC17,N$411)+COUNTIF('12月'!BG17:BH17,N$411)+COUNTIF('12月'!BL17:BM17,N$411)+COUNTIF('12月'!BQ17:BR17,N$411)+COUNTIF('12月'!BV17:BW17,N$411)+COUNTIF('12月'!CA17:CB17,N$411)+COUNTIF('12月'!CF17:CG17,N$411)+COUNTIF('12月'!CK17:CL17,N$411)+COUNTIF('12月'!CP17:CQ17,N$411)+COUNTIF('12月'!CU17:CV17,N$411)+COUNTIF('12月'!CZ17:DA17,N$411)+COUNTIF('12月'!DE17:DF17,N$411)+COUNTIF('12月'!DJ17:DK17,N$411)+COUNTIF('12月'!DO17:DP17,N$411)+COUNTIF('12月'!DT17:DU17,N$411)+COUNTIF('12月'!DY17:DZ17,N$411)+COUNTIF('12月'!ED17:EE17,N$411)+COUNTIF('12月'!EI17:EJ17,N$411)+COUNTIF('12月'!EN17:EO17,N$411)+COUNTIF('12月'!ES17:ET17,N$411)+COUNTIF('12月'!D17:E17,"三軒茶屋－夜勤")+COUNTIF('12月'!I17:J17,"三軒茶屋－夜勤")+COUNTIF('12月'!N17:O17,"三軒茶屋－夜勤")+COUNTIF('12月'!S17:T17,"三軒茶屋－夜勤")+COUNTIF('12月'!X17:Y17,"三軒茶屋－夜勤")+COUNTIF('12月'!AC17:AD17,"三軒茶屋－夜勤")+COUNTIF('12月'!AH17:AI17,"三軒茶屋－夜勤")+COUNTIF('12月'!AM17:AN17,"三軒茶屋－夜勤")+COUNTIF('12月'!AR17:AS17,"三軒茶屋－夜勤")+COUNTIF('12月'!AW17:AX17,"三軒茶屋－夜勤")+COUNTIF('12月'!BB17:BC17,"三軒茶屋－夜勤")+COUNTIF('12月'!BG17:BH17,"三軒茶屋－夜勤")+COUNTIF('12月'!BL17:BM17,"三軒茶屋－夜勤")+COUNTIF('12月'!BQ17:BR17,"三軒茶屋－夜勤")+COUNTIF('12月'!BV17:BW17,"三軒茶屋－夜勤")+COUNTIF('12月'!CA17:CB17,"三軒茶屋－夜勤")+COUNTIF('12月'!CF17:CG17,"三軒茶屋－夜勤")+COUNTIF('12月'!CK17:CL17,"三軒茶屋－夜勤")+COUNTIF('12月'!CP17:CQ17,"三軒茶屋－夜勤")+COUNTIF('12月'!CU17:CV17,"三軒茶屋－夜勤")+COUNTIF('12月'!CZ17:DA17,"三軒茶屋－夜勤")+COUNTIF('12月'!DE17:DF17,"三軒茶屋－夜勤")+COUNTIF('12月'!DJ17:DK17,"三軒茶屋－夜勤")+COUNTIF('12月'!DO17:DP17,"三軒茶屋－夜勤")+COUNTIF('12月'!DT17:DU17,"三軒茶屋－夜勤")+COUNTIF('12月'!DY17:DZ17,"三軒茶屋－夜勤")+COUNTIF('12月'!ED17:EE17,"三軒茶屋－夜勤")+COUNTIF('12月'!EI17:EJ17,"三軒茶屋－夜勤")+COUNTIF('12月'!EN17:EO17,"三軒茶屋－夜勤")+COUNTIF('12月'!ES17:ET17,"三軒茶屋－夜勤")</f>
        <v>0</v>
      </c>
      <c r="O426" s="76">
        <f t="shared" si="138"/>
        <v>0</v>
      </c>
      <c r="P426" s="76">
        <f>COUNTIF('12月'!D17:E17,P$411)+COUNTIF('12月'!I17:J17,P$411)+COUNTIF('12月'!N17:O17,P$411)+COUNTIF('12月'!S17:T17,P$411)+COUNTIF('12月'!X17:Y17,P$411)+COUNTIF('12月'!AC17:AD17,P$411)+COUNTIF('12月'!AH17:AI17,P$411)+COUNTIF('12月'!AM17:AN17,P$411)+COUNTIF('12月'!AR17:AS17,P$411)+COUNTIF('12月'!AW17:AX17,P$411)+COUNTIF('12月'!BB17:BC17,P$411)+COUNTIF('12月'!BG17:BH17,P$411)+COUNTIF('12月'!BL17:BM17,P$411)+COUNTIF('12月'!BQ17:BR17,P$411)+COUNTIF('12月'!BV17:BW17,P$411)+COUNTIF('12月'!CA17:CB17,P$411)+COUNTIF('12月'!CF17:CG17,P$411)+COUNTIF('12月'!CK17:CL17,P$411)+COUNTIF('12月'!CP17:CQ17,P$411)+COUNTIF('12月'!CU17:CV17,P$411)+COUNTIF('12月'!CZ17:DA17,P$411)+COUNTIF('12月'!DE17:DF17,P$411)+COUNTIF('12月'!DJ17:DK17,P$411)+COUNTIF('12月'!DO17:DP17,P$411)+COUNTIF('12月'!DT17:DU17,P$411)+COUNTIF('12月'!DY17:DZ17,P$411)+COUNTIF('12月'!ED17:EE17,P$411)+COUNTIF('12月'!EI17:EJ17,P$411)+COUNTIF('12月'!EN17:EO17,P$411)+COUNTIF('12月'!ES17:ET17,P$411)+COUNTIF('12月'!D17:E17,"荻窪ー夜勤")+COUNTIF('12月'!I17:J17,"荻窪ー夜勤")+COUNTIF('12月'!N17:O17,"荻窪ー夜勤")+COUNTIF('12月'!S17:T17,"荻窪ー夜勤")+COUNTIF('12月'!X17:Y17,"荻窪ー夜勤")+COUNTIF('12月'!AC17:AD17,"荻窪ー夜勤")+COUNTIF('12月'!AH17:AI17,"荻窪ー夜勤")+COUNTIF('12月'!AM17:AN17,"荻窪ー夜勤")+COUNTIF('12月'!AR17:AS17,"荻窪ー夜勤")+COUNTIF('12月'!AW17:AX17,"荻窪ー夜勤")+COUNTIF('12月'!BB17:BC17,"荻窪ー夜勤")+COUNTIF('12月'!BG17:BH17,"荻窪ー夜勤")+COUNTIF('12月'!BL17:BM17,"荻窪ー夜勤")+COUNTIF('12月'!BQ17:BR17,"荻窪ー夜勤")+COUNTIF('12月'!BV17:BW17,"荻窪ー夜勤")+COUNTIF('12月'!CA17:CB17,"荻窪ー夜勤")+COUNTIF('12月'!CF17:CG17,"荻窪ー夜勤")+COUNTIF('12月'!CK17:CL17,"荻窪ー夜勤")+COUNTIF('12月'!CP17:CQ17,"荻窪ー夜勤")+COUNTIF('12月'!CU17:CV17,"荻窪ー夜勤")+COUNTIF('12月'!CZ17:DA17,"荻窪ー夜勤")+COUNTIF('12月'!DE17:DF17,"荻窪ー夜勤")+COUNTIF('12月'!DJ17:DK17,"荻窪ー夜勤")+COUNTIF('12月'!DO17:DP17,"荻窪ー夜勤")+COUNTIF('12月'!DT17:DU17,"荻窪ー夜勤")+COUNTIF('12月'!DY17:DZ17,"荻窪ー夜勤")+COUNTIF('12月'!ED17:EE17,"荻窪ー夜勤")+COUNTIF('12月'!EI17:EJ17,"荻窪ー夜勤")+COUNTIF('12月'!EN17:EO17,"荻窪ー夜勤")+COUNTIF('12月'!ES17:ET17,"荻窪ー夜勤")</f>
        <v>0</v>
      </c>
      <c r="Q426" s="76">
        <f t="shared" si="139"/>
        <v>0</v>
      </c>
      <c r="R426" s="76">
        <f>COUNTIF('12月'!D17:E17,R$411)+COUNTIF('12月'!I17:J17,R$411)+COUNTIF('12月'!N17:O17,R$411)+COUNTIF('12月'!S17:T17,R$411)+COUNTIF('12月'!X17:Y17,R$411)+COUNTIF('12月'!AC17:AD17,R$411)+COUNTIF('12月'!AH17:AI17,R$411)+COUNTIF('12月'!AM17:AN17,R$411)+COUNTIF('12月'!AR17:AS17,R$411)+COUNTIF('12月'!AW17:AX17,R$411)+COUNTIF('12月'!BB17:BC17,R$411)+COUNTIF('12月'!BG17:BH17,R$411)+COUNTIF('12月'!BL17:BM17,R$411)+COUNTIF('12月'!BQ17:BR17,R$411)+COUNTIF('12月'!BV17:BW17,R$411)+COUNTIF('12月'!CA17:CB17,R$411)+COUNTIF('12月'!CF17:CG17,R$411)+COUNTIF('12月'!CK17:CL17,R$411)+COUNTIF('12月'!CP17:CQ17,R$411)+COUNTIF('12月'!CU17:CV17,R$411)+COUNTIF('12月'!CZ17:DA17,R$411)+COUNTIF('12月'!DE17:DF17,R$411)+COUNTIF('12月'!DJ17:DK17,R$411)+COUNTIF('12月'!DO17:DP17,R$411)+COUNTIF('12月'!DT17:DU17,R$411)+COUNTIF('12月'!DY17:DZ17,R$411)+COUNTIF('12月'!ED17:EE17,R$411)+COUNTIF('12月'!EI17:EJ17,R$411)+COUNTIF('12月'!EN17:EO17,R$411)+COUNTIF('12月'!ES17:ET17,R$411)</f>
        <v>0</v>
      </c>
      <c r="S426" s="76">
        <f t="shared" si="140"/>
        <v>0</v>
      </c>
      <c r="T426" s="76">
        <f>COUNTIF('12月'!D17:E17,T$411)+COUNTIF('12月'!I17:J17,T$411)+COUNTIF('12月'!N17:O17,T$411)+COUNTIF('12月'!S17:T17,T$411)+COUNTIF('12月'!X17:Y17,T$411)+COUNTIF('12月'!AC17:AD17,T$411)+COUNTIF('12月'!AH17:AI17,T$411)+COUNTIF('12月'!AM17:AN17,T$411)+COUNTIF('12月'!AR17:AS17,T$411)+COUNTIF('12月'!AW17:AX17,T$411)+COUNTIF('12月'!BB17:BC17,T$411)+COUNTIF('12月'!BG17:BH17,T$411)+COUNTIF('12月'!BL17:BM17,T$411)+COUNTIF('12月'!BQ17:BR17,T$411)+COUNTIF('12月'!BV17:BW17,T$411)+COUNTIF('12月'!CA17:CB17,T$411)+COUNTIF('12月'!CF17:CG17,T$411)+COUNTIF('12月'!CK17:CL17,T$411)+COUNTIF('12月'!CP17:CQ17,T$411)+COUNTIF('12月'!CU17:CV17,T$411)+COUNTIF('12月'!CZ17:DA17,T$411)+COUNTIF('12月'!DE17:DF17,T$411)+COUNTIF('12月'!DJ17:DK17,T$411)+COUNTIF('12月'!DO17:DP17,T$411)+COUNTIF('12月'!DT17:DU17,T$411)+COUNTIF('12月'!DY17:DZ17,T$411)+COUNTIF('12月'!ED17:EE17,T$411)+COUNTIF('12月'!EI17:EJ17,T$411)+COUNTIF('12月'!EN17:EO17,T$411)+COUNTIF('12月'!ES17:ET17,T$411)</f>
        <v>0</v>
      </c>
      <c r="U426" s="76">
        <f t="shared" si="141"/>
        <v>0</v>
      </c>
      <c r="V426" s="76">
        <f>COUNTIF('12月'!D17:E17,V$411)+COUNTIF('12月'!I17:J17,V$411)+COUNTIF('12月'!N17:O17,V$411)+COUNTIF('12月'!S17:T17,V$411)+COUNTIF('12月'!X17:Y17,V$411)+COUNTIF('12月'!AC17:AD17,V$411)+COUNTIF('12月'!AH17:AI17,V$411)+COUNTIF('12月'!AM17:AN17,V$411)+COUNTIF('12月'!AR17:AS17,V$411)+COUNTIF('12月'!AW17:AX17,V$411)+COUNTIF('12月'!BB17:BC17,V$411)+COUNTIF('12月'!BG17:BH17,V$411)+COUNTIF('12月'!BL17:BM17,V$411)+COUNTIF('12月'!BQ17:BR17,V$411)+COUNTIF('12月'!BV17:BW17,V$411)+COUNTIF('12月'!CA17:CB17,V$411)+COUNTIF('12月'!CF17:CG17,V$411)+COUNTIF('12月'!CK17:CL17,V$411)+COUNTIF('12月'!CP17:CQ17,V$411)+COUNTIF('12月'!CU17:CV17,V$411)+COUNTIF('12月'!CZ17:DA17,V$411)+COUNTIF('12月'!DE17:DF17,V$411)+COUNTIF('12月'!DJ17:DK17,V$411)+COUNTIF('12月'!DO17:DP17,V$411)+COUNTIF('12月'!DT17:DU17,V$411)+COUNTIF('12月'!DY17:DZ17,V$411)+COUNTIF('12月'!ED17:EE17,V$411)+COUNTIF('12月'!EI17:EJ17,V$411)+COUNTIF('12月'!EN17:EO17,V$411)+COUNTIF('12月'!ES17:ET17,V$411)</f>
        <v>0</v>
      </c>
      <c r="W426" s="76">
        <f t="shared" si="142"/>
        <v>0</v>
      </c>
      <c r="X426" s="76">
        <f>COUNTIF('12月'!D17:E17,X$411)+COUNTIF('12月'!I17:J17,X$411)+COUNTIF('12月'!N17:O17,X$411)+COUNTIF('12月'!S17:T17,X$411)+COUNTIF('12月'!X17:Y17,X$411)+COUNTIF('12月'!AC17:AD17,X$411)+COUNTIF('12月'!AH17:AI17,X$411)+COUNTIF('12月'!AM17:AN17,X$411)+COUNTIF('12月'!AR17:AS17,X$411)+COUNTIF('12月'!AW17:AX17,X$411)+COUNTIF('12月'!BB17:BC17,X$411)+COUNTIF('12月'!BG17:BH17,X$411)+COUNTIF('12月'!BL17:BM17,X$411)+COUNTIF('12月'!BQ17:BR17,X$411)+COUNTIF('12月'!BV17:BW17,X$411)+COUNTIF('12月'!CA17:CB17,X$411)+COUNTIF('12月'!CF17:CG17,X$411)+COUNTIF('12月'!CK17:CL17,X$411)+COUNTIF('12月'!CP17:CQ17,X$411)+COUNTIF('12月'!CU17:CV17,X$411)+COUNTIF('12月'!CZ17:DA17,X$411)+COUNTIF('12月'!DE17:DF17,X$411)+COUNTIF('12月'!DJ17:DK17,X$411)+COUNTIF('12月'!DO17:DP17,X$411)+COUNTIF('12月'!DT17:DU17,X$411)+COUNTIF('12月'!DY17:DZ17,X$411)+COUNTIF('12月'!ED17:EE17,X$411)+COUNTIF('12月'!EI17:EJ17,X$411)+COUNTIF('12月'!EN17:EO17,X$411)+COUNTIF('12月'!ES17:ET17,X$411)</f>
        <v>0</v>
      </c>
      <c r="Y426" s="76">
        <f t="shared" si="143"/>
        <v>0</v>
      </c>
    </row>
    <row r="427" spans="1:25" ht="18" customHeight="1">
      <c r="A427" s="76">
        <v>15</v>
      </c>
      <c r="B427" s="76">
        <f>COUNTIF('12月'!D18:E18,B$411)+COUNTIF('12月'!I18:J18,B$411)+COUNTIF('12月'!N18:O18,B$411)+COUNTIF('12月'!S18:T18,B$411)+COUNTIF('12月'!X18:Y18,B$411)+COUNTIF('12月'!AC18:AD18,B$411)+COUNTIF('12月'!AH18:AI18,B$411)+COUNTIF('12月'!AM18:AN18,B$411)+COUNTIF('12月'!AR18:AS18,B$411)+COUNTIF('12月'!AW18:AX18,B$411)+COUNTIF('12月'!BB18:BC18,B$411)+COUNTIF('12月'!BG18:BH18,B$411)+COUNTIF('12月'!BL18:BM18,B$411)+COUNTIF('12月'!BQ18:BR18,B$411)+COUNTIF('12月'!BV18:BW18,B$411)+COUNTIF('12月'!CA18:CB18,B$411)+COUNTIF('12月'!CF18:CG18,B$411)+COUNTIF('12月'!CK18:CL18,B$411)+COUNTIF('12月'!CP18:CQ18,B$411)+COUNTIF('12月'!CU18:CV18,B$411)+COUNTIF('12月'!CZ18:DA18,B$411)+COUNTIF('12月'!DE18:DF18,B$411)+COUNTIF('12月'!DJ18:DK18,B$411)+COUNTIF('12月'!DO18:DP18,B$411)+COUNTIF('12月'!DT18:DU18,B$411)+COUNTIF('12月'!DY18:DZ18,B$411)+COUNTIF('12月'!ED18:EE18,B$411)+COUNTIF('12月'!EI18:EJ18,B$411)+COUNTIF('12月'!EN18:EO18,B$411)+COUNTIF('12月'!ES18:ET18,B$411)</f>
        <v>0</v>
      </c>
      <c r="C427" s="76">
        <f t="shared" si="132"/>
        <v>0</v>
      </c>
      <c r="D427" s="76">
        <f>COUNTIF('12月'!D18:E18,D$411)+COUNTIF('12月'!I18:J18,D$411)+COUNTIF('12月'!N18:O18,D$411)+COUNTIF('12月'!S18:T18,D$411)+COUNTIF('12月'!X18:Y18,D$411)+COUNTIF('12月'!AC18:AD18,D$411)+COUNTIF('12月'!AH18:AI18,D$411)+COUNTIF('12月'!AM18:AN18,D$411)+COUNTIF('12月'!AR18:AS18,D$411)+COUNTIF('12月'!AW18:AX18,D$411)+COUNTIF('12月'!BB18:BC18,D$411)+COUNTIF('12月'!BG18:BH18,D$411)+COUNTIF('12月'!BL18:BM18,D$411)+COUNTIF('12月'!BQ18:BR18,D$411)+COUNTIF('12月'!BV18:BW18,D$411)+COUNTIF('12月'!CA18:CB18,D$411)+COUNTIF('12月'!CF18:CG18,D$411)+COUNTIF('12月'!CK18:CL18,D$411)+COUNTIF('12月'!CP18:CQ18,D$411)+COUNTIF('12月'!CU18:CV18,D$411)+COUNTIF('12月'!CZ18:DA18,D$411)+COUNTIF('12月'!DE18:DF18,D$411)+COUNTIF('12月'!DJ18:DK18,D$411)+COUNTIF('12月'!DO18:DP18,D$411)+COUNTIF('12月'!DT18:DU18,D$411)+COUNTIF('12月'!DY18:DZ18,D$411)+COUNTIF('12月'!ED18:EE18,D$411)+COUNTIF('12月'!EI18:EJ18,D$411)+COUNTIF('12月'!EN18:EO18,D$411)+COUNTIF('12月'!ES18:ET18,D$411)</f>
        <v>0</v>
      </c>
      <c r="E427" s="76">
        <f t="shared" si="133"/>
        <v>0</v>
      </c>
      <c r="F427" s="76">
        <f>COUNTIF('12月'!D18:E18,F$411)+COUNTIF('12月'!I18:J18,F$411)+COUNTIF('12月'!N18:O18,F$411)+COUNTIF('12月'!S18:T18,F$411)+COUNTIF('12月'!X18:Y18,F$411)+COUNTIF('12月'!AC18:AD18,F$411)+COUNTIF('12月'!AH18:AI18,F$411)+COUNTIF('12月'!AM18:AN18,F$411)+COUNTIF('12月'!AR18:AS18,F$411)+COUNTIF('12月'!AW18:AX18,F$411)+COUNTIF('12月'!BB18:BC18,F$411)+COUNTIF('12月'!BG18:BH18,F$411)+COUNTIF('12月'!BL18:BM18,F$411)+COUNTIF('12月'!BQ18:BR18,F$411)+COUNTIF('12月'!BV18:BW18,F$411)+COUNTIF('12月'!CA18:CB18,F$411)+COUNTIF('12月'!CF18:CG18,F$411)+COUNTIF('12月'!CK18:CL18,F$411)+COUNTIF('12月'!CP18:CQ18,F$411)+COUNTIF('12月'!CU18:CV18,F$411)+COUNTIF('12月'!CZ18:DA18,F$411)+COUNTIF('12月'!DE18:DF18,F$411)+COUNTIF('12月'!DJ18:DK18,F$411)+COUNTIF('12月'!DO18:DP18,F$411)+COUNTIF('12月'!DT18:DU18,F$411)+COUNTIF('12月'!DY18:DZ18,F$411)+COUNTIF('12月'!ED18:EE18,F$411)+COUNTIF('12月'!EI18:EJ18,F$411)+COUNTIF('12月'!EN18:EO18,F$411)+COUNTIF('12月'!ES18:ET18,F$411)</f>
        <v>0</v>
      </c>
      <c r="G427" s="76">
        <f t="shared" si="134"/>
        <v>0</v>
      </c>
      <c r="H427" s="76">
        <f>COUNTIF('12月'!D18:E18,H$411)+COUNTIF('12月'!I18:J18,H$411)+COUNTIF('12月'!N18:O18,H$411)+COUNTIF('12月'!S18:T18,H$411)+COUNTIF('12月'!X18:Y18,H$411)+COUNTIF('12月'!AC18:AD18,H$411)+COUNTIF('12月'!AH18:AI18,H$411)+COUNTIF('12月'!AM18:AN18,H$411)+COUNTIF('12月'!AR18:AS18,H$411)+COUNTIF('12月'!AW18:AX18,H$411)+COUNTIF('12月'!BB18:BC18,H$411)+COUNTIF('12月'!BG18:BH18,H$411)+COUNTIF('12月'!BL18:BM18,H$411)+COUNTIF('12月'!BQ18:BR18,H$411)+COUNTIF('12月'!BV18:BW18,H$411)+COUNTIF('12月'!CA18:CB18,H$411)+COUNTIF('12月'!CF18:CG18,H$411)+COUNTIF('12月'!CK18:CL18,H$411)+COUNTIF('12月'!CP18:CQ18,H$411)+COUNTIF('12月'!CU18:CV18,H$411)+COUNTIF('12月'!CZ18:DA18,H$411)+COUNTIF('12月'!DE18:DF18,H$411)+COUNTIF('12月'!DJ18:DK18,H$411)+COUNTIF('12月'!DO18:DP18,H$411)+COUNTIF('12月'!DT18:DU18,H$411)+COUNTIF('12月'!DY18:DZ18,H$411)+COUNTIF('12月'!ED18:EE18,H$411)+COUNTIF('12月'!EI18:EJ18,H$411)+COUNTIF('12月'!EN18:EO18,H$411)+COUNTIF('12月'!ES18:ET18,H$411)+COUNTIF('12月'!D18:E18,"渋谷-夜勤")+COUNTIF('12月'!I18:J18,"渋谷-夜勤")+COUNTIF('12月'!N18:O18,"渋谷-夜勤")+COUNTIF('12月'!S18:T18,"渋谷-夜勤")+COUNTIF('12月'!X18:Y18,"渋谷-夜勤")+COUNTIF('12月'!AC18:AD18,"渋谷-夜勤")+COUNTIF('12月'!AH18:AI18,"渋谷-夜勤")+COUNTIF('12月'!AM18:AN18,"渋谷-夜勤")+COUNTIF('12月'!AR18:AS18,"渋谷-夜勤")+COUNTIF('12月'!AW18:AX18,"渋谷-夜勤")+COUNTIF('12月'!BB18:BC18,"渋谷-夜勤")+COUNTIF('12月'!BG18:BH18,"渋谷-夜勤")+COUNTIF('12月'!BL18:BM18,"渋谷-夜勤")+COUNTIF('12月'!BQ18:BR18,"渋谷-夜勤")+COUNTIF('12月'!BV18:BW18,"渋谷-夜勤")+COUNTIF('12月'!CA18:CB18,"渋谷-夜勤")+COUNTIF('12月'!CF18:CG18,"渋谷-夜勤")+COUNTIF('12月'!CK18:CL18,"渋谷-夜勤")+COUNTIF('12月'!CP18:CQ18,"渋谷-夜勤")+COUNTIF('12月'!CU18:CV18,"渋谷-夜勤")+COUNTIF('12月'!CZ18:DA18,"渋谷-夜勤")+COUNTIF('12月'!DE18:DF18,"渋谷-夜勤")+COUNTIF('12月'!DJ18:DK18,"渋谷-夜勤")+COUNTIF('12月'!DO18:DP18,"渋谷-夜勤")+COUNTIF('12月'!DT18:DU18,"渋谷-夜勤")+COUNTIF('12月'!DY18:DZ18,"渋谷-夜勤")+COUNTIF('12月'!ED18:EE18,"渋谷-夜勤")+COUNTIF('12月'!EI18:EJ18,"渋谷-夜勤")+COUNTIF('12月'!EN18:EO18,"渋谷-夜勤")+COUNTIF('12月'!ES18:ET18,"渋谷-夜勤")</f>
        <v>0</v>
      </c>
      <c r="I427" s="76">
        <f t="shared" si="135"/>
        <v>0</v>
      </c>
      <c r="J427" s="76">
        <f>COUNTIF('12月'!D18:E18,J$411)+COUNTIF('12月'!I18:J18,J$411)+COUNTIF('12月'!N18:O18,J$411)+COUNTIF('12月'!S18:T18,J$411)+COUNTIF('12月'!X18:Y18,J$411)+COUNTIF('12月'!AC18:AD18,J$411)+COUNTIF('12月'!AH18:AI18,J$411)+COUNTIF('12月'!AM18:AN18,J$411)+COUNTIF('12月'!AR18:AS18,J$411)+COUNTIF('12月'!AW18:AX18,J$411)+COUNTIF('12月'!BB18:BC18,J$411)+COUNTIF('12月'!BG18:BH18,J$411)+COUNTIF('12月'!BL18:BM18,J$411)+COUNTIF('12月'!BQ18:BR18,J$411)+COUNTIF('12月'!BV18:BW18,J$411)+COUNTIF('12月'!CA18:CB18,J$411)+COUNTIF('12月'!CF18:CG18,J$411)+COUNTIF('12月'!CK18:CL18,J$411)+COUNTIF('12月'!CP18:CQ18,J$411)+COUNTIF('12月'!CU18:CV18,J$411)+COUNTIF('12月'!CZ18:DA18,J$411)+COUNTIF('12月'!DE18:DF18,J$411)+COUNTIF('12月'!DJ18:DK18,J$411)+COUNTIF('12月'!DO18:DP18,J$411)+COUNTIF('12月'!DT18:DU18,J$411)+COUNTIF('12月'!DY18:DZ18,J$411)+COUNTIF('12月'!ED18:EE18,J$411)+COUNTIF('12月'!EI18:EJ18,J$411)+COUNTIF('12月'!EN18:EO18,J$411)+COUNTIF('12月'!ES18:ET18,J$411)+COUNTIF('12月'!D18:E18,"六本木-夜勤")+COUNTIF('12月'!I18:J18,"六本木-夜勤")+COUNTIF('12月'!N18:O18,"六本木-夜勤")+COUNTIF('12月'!S18:T18,"六本木-夜勤")+COUNTIF('12月'!X18:Y18,"六本木-夜勤")+COUNTIF('12月'!AC18:AD18,"六本木-夜勤")+COUNTIF('12月'!AH18:AI18,"六本木-夜勤")+COUNTIF('12月'!AM18:AN18,"六本木-夜勤")+COUNTIF('12月'!AR18:AS18,"六本木-夜勤")+COUNTIF('12月'!AW18:AX18,"六本木-夜勤")+COUNTIF('12月'!BB18:BC18,"六本木-夜勤")+COUNTIF('12月'!BG18:BH18,"六本木-夜勤")+COUNTIF('12月'!BL18:BM18,"六本木-夜勤")+COUNTIF('12月'!BQ18:BR18,"六本木-夜勤")+COUNTIF('12月'!BV18:BW18,"六本木-夜勤")+COUNTIF('12月'!CA18:CB18,"六本木-夜勤")+COUNTIF('12月'!CF18:CG18,"六本木-夜勤")+COUNTIF('12月'!CK18:CL18,"六本木-夜勤")+COUNTIF('12月'!CP18:CQ18,"六本木-夜勤")+COUNTIF('12月'!CU18:CV18,"六本木-夜勤")+COUNTIF('12月'!CZ18:DA18,"六本木-夜勤")+COUNTIF('12月'!DE18:DF18,"六本木-夜勤")+COUNTIF('12月'!DJ18:DK18,"六本木-夜勤")+COUNTIF('12月'!DO18:DP18,"六本木-夜勤")+COUNTIF('12月'!DT18:DU18,"六本木-夜勤")+COUNTIF('12月'!DY18:DZ18,"六本木-夜勤")+COUNTIF('12月'!ED18:EE18,"六本木-夜勤")+COUNTIF('12月'!EI18:EJ18,"六本木-夜勤")+COUNTIF('12月'!EN18:EO18,"六本木-夜勤")+COUNTIF('12月'!ES18:ET18,"六本木-夜勤")+COUNTIF('12月'!D18:E18,"六本木ー夜勤")+COUNTIF('12月'!I18:J18,"六本木ー夜勤")+COUNTIF('12月'!N18:O18,"六本木ー夜勤")+COUNTIF('12月'!S18:T18,"六本木ー夜勤")+COUNTIF('12月'!X18:Y18,"六本木ー夜勤")+COUNTIF('12月'!AC18:AD18,"六本木ー夜勤")+COUNTIF('12月'!AH18:AI18,"六本木ー夜勤")+COUNTIF('12月'!AM18:AN18,"六本木ー夜勤")+COUNTIF('12月'!AR18:AS18,"六本木ー夜勤")+COUNTIF('12月'!AW18:AX18,"六本木ー夜勤")+COUNTIF('12月'!BB18:BC18,"六本木ー夜勤")+COUNTIF('12月'!BG18:BH18,"六本木ー夜勤")+COUNTIF('12月'!BL18:BM18,"六本木ー夜勤")+COUNTIF('12月'!BQ18:BR18,"六本木ー夜勤")+COUNTIF('12月'!BV18:BW18,"六本木ー夜勤")+COUNTIF('12月'!CA18:CB18,"六本木ー夜勤")+COUNTIF('12月'!CF18:CG18,"六本木ー夜勤")+COUNTIF('12月'!CK18:CL18,"六本木ー夜勤")+COUNTIF('12月'!CP18:CQ18,"六本木ー夜勤")+COUNTIF('12月'!CU18:CV18,"六本木ー夜勤")+COUNTIF('12月'!CZ18:DA18,"六本木ー夜勤")+COUNTIF('12月'!DE18:DF18,"六本木ー夜勤")+COUNTIF('12月'!DJ18:DK18,"六本木ー夜勤")+COUNTIF('12月'!DO18:DP18,"六本木ー夜勤")+COUNTIF('12月'!DT18:DU18,"六本木ー夜勤")+COUNTIF('12月'!DY18:DZ18,"六本木ー夜勤")+COUNTIF('12月'!ED18:EE18,"六本木ー夜勤")+COUNTIF('12月'!EI18:EJ18,"六本木ー夜勤")+COUNTIF('12月'!EN18:EO18,"六本木ー夜勤")+COUNTIF('12月'!ES18:ET18,"六本木ー夜勤")</f>
        <v>0</v>
      </c>
      <c r="K427" s="76">
        <f t="shared" si="136"/>
        <v>0</v>
      </c>
      <c r="L427" s="76">
        <f>COUNTIF('12月'!D18:E18,L$411)+COUNTIF('12月'!I18:J18,L$411)+COUNTIF('12月'!N18:O18,L$411)+COUNTIF('12月'!S18:T18,L$411)+COUNTIF('12月'!X18:Y18,L$411)+COUNTIF('12月'!AC18:AD18,L$411)+COUNTIF('12月'!AH18:AI18,L$411)+COUNTIF('12月'!AM18:AN18,L$411)+COUNTIF('12月'!AR18:AS18,L$411)+COUNTIF('12月'!AW18:AX18,L$411)+COUNTIF('12月'!BB18:BC18,L$411)+COUNTIF('12月'!BG18:BH18,L$411)+COUNTIF('12月'!BL18:BM18,L$411)+COUNTIF('12月'!BQ18:BR18,L$411)+COUNTIF('12月'!BV18:BW18,L$411)+COUNTIF('12月'!CA18:CB18,L$411)+COUNTIF('12月'!CF18:CG18,L$411)+COUNTIF('12月'!CK18:CL18,L$411)+COUNTIF('12月'!CP18:CQ18,L$411)+COUNTIF('12月'!CU18:CV18,L$411)+COUNTIF('12月'!CZ18:DA18,L$411)+COUNTIF('12月'!DE18:DF18,L$411)+COUNTIF('12月'!DJ18:DK18,L$411)+COUNTIF('12月'!DO18:DP18,L$411)+COUNTIF('12月'!DT18:DU18,L$411)+COUNTIF('12月'!DY18:DZ18,L$411)+COUNTIF('12月'!ED18:EE18,L$411)+COUNTIF('12月'!EI18:EJ18,L$411)+COUNTIF('12月'!EN18:EO18,L$411)+COUNTIF('12月'!ES18:ET18,L$411)</f>
        <v>0</v>
      </c>
      <c r="M427" s="76">
        <f t="shared" si="137"/>
        <v>0</v>
      </c>
      <c r="N427" s="76">
        <f>COUNTIF('12月'!D18:E18,N$411)+COUNTIF('12月'!I18:J18,N$411)+COUNTIF('12月'!N18:O18,N$411)+COUNTIF('12月'!S18:T18,N$411)+COUNTIF('12月'!X18:Y18,N$411)+COUNTIF('12月'!AC18:AD18,N$411)+COUNTIF('12月'!AH18:AI18,N$411)+COUNTIF('12月'!AM18:AN18,N$411)+COUNTIF('12月'!AR18:AS18,N$411)+COUNTIF('12月'!AW18:AX18,N$411)+COUNTIF('12月'!BB18:BC18,N$411)+COUNTIF('12月'!BG18:BH18,N$411)+COUNTIF('12月'!BL18:BM18,N$411)+COUNTIF('12月'!BQ18:BR18,N$411)+COUNTIF('12月'!BV18:BW18,N$411)+COUNTIF('12月'!CA18:CB18,N$411)+COUNTIF('12月'!CF18:CG18,N$411)+COUNTIF('12月'!CK18:CL18,N$411)+COUNTIF('12月'!CP18:CQ18,N$411)+COUNTIF('12月'!CU18:CV18,N$411)+COUNTIF('12月'!CZ18:DA18,N$411)+COUNTIF('12月'!DE18:DF18,N$411)+COUNTIF('12月'!DJ18:DK18,N$411)+COUNTIF('12月'!DO18:DP18,N$411)+COUNTIF('12月'!DT18:DU18,N$411)+COUNTIF('12月'!DY18:DZ18,N$411)+COUNTIF('12月'!ED18:EE18,N$411)+COUNTIF('12月'!EI18:EJ18,N$411)+COUNTIF('12月'!EN18:EO18,N$411)+COUNTIF('12月'!ES18:ET18,N$411)+COUNTIF('12月'!D18:E18,"三軒茶屋－夜勤")+COUNTIF('12月'!I18:J18,"三軒茶屋－夜勤")+COUNTIF('12月'!N18:O18,"三軒茶屋－夜勤")+COUNTIF('12月'!S18:T18,"三軒茶屋－夜勤")+COUNTIF('12月'!X18:Y18,"三軒茶屋－夜勤")+COUNTIF('12月'!AC18:AD18,"三軒茶屋－夜勤")+COUNTIF('12月'!AH18:AI18,"三軒茶屋－夜勤")+COUNTIF('12月'!AM18:AN18,"三軒茶屋－夜勤")+COUNTIF('12月'!AR18:AS18,"三軒茶屋－夜勤")+COUNTIF('12月'!AW18:AX18,"三軒茶屋－夜勤")+COUNTIF('12月'!BB18:BC18,"三軒茶屋－夜勤")+COUNTIF('12月'!BG18:BH18,"三軒茶屋－夜勤")+COUNTIF('12月'!BL18:BM18,"三軒茶屋－夜勤")+COUNTIF('12月'!BQ18:BR18,"三軒茶屋－夜勤")+COUNTIF('12月'!BV18:BW18,"三軒茶屋－夜勤")+COUNTIF('12月'!CA18:CB18,"三軒茶屋－夜勤")+COUNTIF('12月'!CF18:CG18,"三軒茶屋－夜勤")+COUNTIF('12月'!CK18:CL18,"三軒茶屋－夜勤")+COUNTIF('12月'!CP18:CQ18,"三軒茶屋－夜勤")+COUNTIF('12月'!CU18:CV18,"三軒茶屋－夜勤")+COUNTIF('12月'!CZ18:DA18,"三軒茶屋－夜勤")+COUNTIF('12月'!DE18:DF18,"三軒茶屋－夜勤")+COUNTIF('12月'!DJ18:DK18,"三軒茶屋－夜勤")+COUNTIF('12月'!DO18:DP18,"三軒茶屋－夜勤")+COUNTIF('12月'!DT18:DU18,"三軒茶屋－夜勤")+COUNTIF('12月'!DY18:DZ18,"三軒茶屋－夜勤")+COUNTIF('12月'!ED18:EE18,"三軒茶屋－夜勤")+COUNTIF('12月'!EI18:EJ18,"三軒茶屋－夜勤")+COUNTIF('12月'!EN18:EO18,"三軒茶屋－夜勤")+COUNTIF('12月'!ES18:ET18,"三軒茶屋－夜勤")</f>
        <v>0</v>
      </c>
      <c r="O427" s="76">
        <f t="shared" si="138"/>
        <v>0</v>
      </c>
      <c r="P427" s="76">
        <f>COUNTIF('12月'!D18:E18,P$411)+COUNTIF('12月'!I18:J18,P$411)+COUNTIF('12月'!N18:O18,P$411)+COUNTIF('12月'!S18:T18,P$411)+COUNTIF('12月'!X18:Y18,P$411)+COUNTIF('12月'!AC18:AD18,P$411)+COUNTIF('12月'!AH18:AI18,P$411)+COUNTIF('12月'!AM18:AN18,P$411)+COUNTIF('12月'!AR18:AS18,P$411)+COUNTIF('12月'!AW18:AX18,P$411)+COUNTIF('12月'!BB18:BC18,P$411)+COUNTIF('12月'!BG18:BH18,P$411)+COUNTIF('12月'!BL18:BM18,P$411)+COUNTIF('12月'!BQ18:BR18,P$411)+COUNTIF('12月'!BV18:BW18,P$411)+COUNTIF('12月'!CA18:CB18,P$411)+COUNTIF('12月'!CF18:CG18,P$411)+COUNTIF('12月'!CK18:CL18,P$411)+COUNTIF('12月'!CP18:CQ18,P$411)+COUNTIF('12月'!CU18:CV18,P$411)+COUNTIF('12月'!CZ18:DA18,P$411)+COUNTIF('12月'!DE18:DF18,P$411)+COUNTIF('12月'!DJ18:DK18,P$411)+COUNTIF('12月'!DO18:DP18,P$411)+COUNTIF('12月'!DT18:DU18,P$411)+COUNTIF('12月'!DY18:DZ18,P$411)+COUNTIF('12月'!ED18:EE18,P$411)+COUNTIF('12月'!EI18:EJ18,P$411)+COUNTIF('12月'!EN18:EO18,P$411)+COUNTIF('12月'!ES18:ET18,P$411)+COUNTIF('12月'!D18:E18,"荻窪ー夜勤")+COUNTIF('12月'!I18:J18,"荻窪ー夜勤")+COUNTIF('12月'!N18:O18,"荻窪ー夜勤")+COUNTIF('12月'!S18:T18,"荻窪ー夜勤")+COUNTIF('12月'!X18:Y18,"荻窪ー夜勤")+COUNTIF('12月'!AC18:AD18,"荻窪ー夜勤")+COUNTIF('12月'!AH18:AI18,"荻窪ー夜勤")+COUNTIF('12月'!AM18:AN18,"荻窪ー夜勤")+COUNTIF('12月'!AR18:AS18,"荻窪ー夜勤")+COUNTIF('12月'!AW18:AX18,"荻窪ー夜勤")+COUNTIF('12月'!BB18:BC18,"荻窪ー夜勤")+COUNTIF('12月'!BG18:BH18,"荻窪ー夜勤")+COUNTIF('12月'!BL18:BM18,"荻窪ー夜勤")+COUNTIF('12月'!BQ18:BR18,"荻窪ー夜勤")+COUNTIF('12月'!BV18:BW18,"荻窪ー夜勤")+COUNTIF('12月'!CA18:CB18,"荻窪ー夜勤")+COUNTIF('12月'!CF18:CG18,"荻窪ー夜勤")+COUNTIF('12月'!CK18:CL18,"荻窪ー夜勤")+COUNTIF('12月'!CP18:CQ18,"荻窪ー夜勤")+COUNTIF('12月'!CU18:CV18,"荻窪ー夜勤")+COUNTIF('12月'!CZ18:DA18,"荻窪ー夜勤")+COUNTIF('12月'!DE18:DF18,"荻窪ー夜勤")+COUNTIF('12月'!DJ18:DK18,"荻窪ー夜勤")+COUNTIF('12月'!DO18:DP18,"荻窪ー夜勤")+COUNTIF('12月'!DT18:DU18,"荻窪ー夜勤")+COUNTIF('12月'!DY18:DZ18,"荻窪ー夜勤")+COUNTIF('12月'!ED18:EE18,"荻窪ー夜勤")+COUNTIF('12月'!EI18:EJ18,"荻窪ー夜勤")+COUNTIF('12月'!EN18:EO18,"荻窪ー夜勤")+COUNTIF('12月'!ES18:ET18,"荻窪ー夜勤")</f>
        <v>0</v>
      </c>
      <c r="Q427" s="76">
        <f t="shared" si="139"/>
        <v>0</v>
      </c>
      <c r="R427" s="76">
        <f>COUNTIF('12月'!D18:E18,R$411)+COUNTIF('12月'!I18:J18,R$411)+COUNTIF('12月'!N18:O18,R$411)+COUNTIF('12月'!S18:T18,R$411)+COUNTIF('12月'!X18:Y18,R$411)+COUNTIF('12月'!AC18:AD18,R$411)+COUNTIF('12月'!AH18:AI18,R$411)+COUNTIF('12月'!AM18:AN18,R$411)+COUNTIF('12月'!AR18:AS18,R$411)+COUNTIF('12月'!AW18:AX18,R$411)+COUNTIF('12月'!BB18:BC18,R$411)+COUNTIF('12月'!BG18:BH18,R$411)+COUNTIF('12月'!BL18:BM18,R$411)+COUNTIF('12月'!BQ18:BR18,R$411)+COUNTIF('12月'!BV18:BW18,R$411)+COUNTIF('12月'!CA18:CB18,R$411)+COUNTIF('12月'!CF18:CG18,R$411)+COUNTIF('12月'!CK18:CL18,R$411)+COUNTIF('12月'!CP18:CQ18,R$411)+COUNTIF('12月'!CU18:CV18,R$411)+COUNTIF('12月'!CZ18:DA18,R$411)+COUNTIF('12月'!DE18:DF18,R$411)+COUNTIF('12月'!DJ18:DK18,R$411)+COUNTIF('12月'!DO18:DP18,R$411)+COUNTIF('12月'!DT18:DU18,R$411)+COUNTIF('12月'!DY18:DZ18,R$411)+COUNTIF('12月'!ED18:EE18,R$411)+COUNTIF('12月'!EI18:EJ18,R$411)+COUNTIF('12月'!EN18:EO18,R$411)+COUNTIF('12月'!ES18:ET18,R$411)</f>
        <v>0</v>
      </c>
      <c r="S427" s="76">
        <f t="shared" si="140"/>
        <v>0</v>
      </c>
      <c r="T427" s="76">
        <f>COUNTIF('12月'!D18:E18,T$411)+COUNTIF('12月'!I18:J18,T$411)+COUNTIF('12月'!N18:O18,T$411)+COUNTIF('12月'!S18:T18,T$411)+COUNTIF('12月'!X18:Y18,T$411)+COUNTIF('12月'!AC18:AD18,T$411)+COUNTIF('12月'!AH18:AI18,T$411)+COUNTIF('12月'!AM18:AN18,T$411)+COUNTIF('12月'!AR18:AS18,T$411)+COUNTIF('12月'!AW18:AX18,T$411)+COUNTIF('12月'!BB18:BC18,T$411)+COUNTIF('12月'!BG18:BH18,T$411)+COUNTIF('12月'!BL18:BM18,T$411)+COUNTIF('12月'!BQ18:BR18,T$411)+COUNTIF('12月'!BV18:BW18,T$411)+COUNTIF('12月'!CA18:CB18,T$411)+COUNTIF('12月'!CF18:CG18,T$411)+COUNTIF('12月'!CK18:CL18,T$411)+COUNTIF('12月'!CP18:CQ18,T$411)+COUNTIF('12月'!CU18:CV18,T$411)+COUNTIF('12月'!CZ18:DA18,T$411)+COUNTIF('12月'!DE18:DF18,T$411)+COUNTIF('12月'!DJ18:DK18,T$411)+COUNTIF('12月'!DO18:DP18,T$411)+COUNTIF('12月'!DT18:DU18,T$411)+COUNTIF('12月'!DY18:DZ18,T$411)+COUNTIF('12月'!ED18:EE18,T$411)+COUNTIF('12月'!EI18:EJ18,T$411)+COUNTIF('12月'!EN18:EO18,T$411)+COUNTIF('12月'!ES18:ET18,T$411)</f>
        <v>0</v>
      </c>
      <c r="U427" s="76">
        <f t="shared" si="141"/>
        <v>0</v>
      </c>
      <c r="V427" s="76">
        <f>COUNTIF('12月'!D18:E18,V$411)+COUNTIF('12月'!I18:J18,V$411)+COUNTIF('12月'!N18:O18,V$411)+COUNTIF('12月'!S18:T18,V$411)+COUNTIF('12月'!X18:Y18,V$411)+COUNTIF('12月'!AC18:AD18,V$411)+COUNTIF('12月'!AH18:AI18,V$411)+COUNTIF('12月'!AM18:AN18,V$411)+COUNTIF('12月'!AR18:AS18,V$411)+COUNTIF('12月'!AW18:AX18,V$411)+COUNTIF('12月'!BB18:BC18,V$411)+COUNTIF('12月'!BG18:BH18,V$411)+COUNTIF('12月'!BL18:BM18,V$411)+COUNTIF('12月'!BQ18:BR18,V$411)+COUNTIF('12月'!BV18:BW18,V$411)+COUNTIF('12月'!CA18:CB18,V$411)+COUNTIF('12月'!CF18:CG18,V$411)+COUNTIF('12月'!CK18:CL18,V$411)+COUNTIF('12月'!CP18:CQ18,V$411)+COUNTIF('12月'!CU18:CV18,V$411)+COUNTIF('12月'!CZ18:DA18,V$411)+COUNTIF('12月'!DE18:DF18,V$411)+COUNTIF('12月'!DJ18:DK18,V$411)+COUNTIF('12月'!DO18:DP18,V$411)+COUNTIF('12月'!DT18:DU18,V$411)+COUNTIF('12月'!DY18:DZ18,V$411)+COUNTIF('12月'!ED18:EE18,V$411)+COUNTIF('12月'!EI18:EJ18,V$411)+COUNTIF('12月'!EN18:EO18,V$411)+COUNTIF('12月'!ES18:ET18,V$411)</f>
        <v>0</v>
      </c>
      <c r="W427" s="76">
        <f t="shared" si="142"/>
        <v>0</v>
      </c>
      <c r="X427" s="76">
        <f>COUNTIF('12月'!D18:E18,X$411)+COUNTIF('12月'!I18:J18,X$411)+COUNTIF('12月'!N18:O18,X$411)+COUNTIF('12月'!S18:T18,X$411)+COUNTIF('12月'!X18:Y18,X$411)+COUNTIF('12月'!AC18:AD18,X$411)+COUNTIF('12月'!AH18:AI18,X$411)+COUNTIF('12月'!AM18:AN18,X$411)+COUNTIF('12月'!AR18:AS18,X$411)+COUNTIF('12月'!AW18:AX18,X$411)+COUNTIF('12月'!BB18:BC18,X$411)+COUNTIF('12月'!BG18:BH18,X$411)+COUNTIF('12月'!BL18:BM18,X$411)+COUNTIF('12月'!BQ18:BR18,X$411)+COUNTIF('12月'!BV18:BW18,X$411)+COUNTIF('12月'!CA18:CB18,X$411)+COUNTIF('12月'!CF18:CG18,X$411)+COUNTIF('12月'!CK18:CL18,X$411)+COUNTIF('12月'!CP18:CQ18,X$411)+COUNTIF('12月'!CU18:CV18,X$411)+COUNTIF('12月'!CZ18:DA18,X$411)+COUNTIF('12月'!DE18:DF18,X$411)+COUNTIF('12月'!DJ18:DK18,X$411)+COUNTIF('12月'!DO18:DP18,X$411)+COUNTIF('12月'!DT18:DU18,X$411)+COUNTIF('12月'!DY18:DZ18,X$411)+COUNTIF('12月'!ED18:EE18,X$411)+COUNTIF('12月'!EI18:EJ18,X$411)+COUNTIF('12月'!EN18:EO18,X$411)+COUNTIF('12月'!ES18:ET18,X$411)</f>
        <v>0</v>
      </c>
      <c r="Y427" s="76">
        <f t="shared" si="143"/>
        <v>0</v>
      </c>
    </row>
    <row r="428" spans="1:25" ht="18" customHeight="1">
      <c r="A428" s="76">
        <v>16</v>
      </c>
      <c r="B428" s="76">
        <f>COUNTIF('12月'!D19:E19,B$411)+COUNTIF('12月'!I19:J19,B$411)+COUNTIF('12月'!N19:O19,B$411)+COUNTIF('12月'!S19:T19,B$411)+COUNTIF('12月'!X19:Y19,B$411)+COUNTIF('12月'!AC19:AD19,B$411)+COUNTIF('12月'!AH19:AI19,B$411)+COUNTIF('12月'!AM19:AN19,B$411)+COUNTIF('12月'!AR19:AS19,B$411)+COUNTIF('12月'!AW19:AX19,B$411)+COUNTIF('12月'!BB19:BC19,B$411)+COUNTIF('12月'!BG19:BH19,B$411)+COUNTIF('12月'!BL19:BM19,B$411)+COUNTIF('12月'!BQ19:BR19,B$411)+COUNTIF('12月'!BV19:BW19,B$411)+COUNTIF('12月'!CA19:CB19,B$411)+COUNTIF('12月'!CF19:CG19,B$411)+COUNTIF('12月'!CK19:CL19,B$411)+COUNTIF('12月'!CP19:CQ19,B$411)+COUNTIF('12月'!CU19:CV19,B$411)+COUNTIF('12月'!CZ19:DA19,B$411)+COUNTIF('12月'!DE19:DF19,B$411)+COUNTIF('12月'!DJ19:DK19,B$411)+COUNTIF('12月'!DO19:DP19,B$411)+COUNTIF('12月'!DT19:DU19,B$411)+COUNTIF('12月'!DY19:DZ19,B$411)+COUNTIF('12月'!ED19:EE19,B$411)+COUNTIF('12月'!EI19:EJ19,B$411)+COUNTIF('12月'!EN19:EO19,B$411)+COUNTIF('12月'!ES19:ET19,B$411)</f>
        <v>0</v>
      </c>
      <c r="C428" s="76">
        <f t="shared" si="132"/>
        <v>0</v>
      </c>
      <c r="D428" s="76">
        <f>COUNTIF('12月'!D19:E19,D$411)+COUNTIF('12月'!I19:J19,D$411)+COUNTIF('12月'!N19:O19,D$411)+COUNTIF('12月'!S19:T19,D$411)+COUNTIF('12月'!X19:Y19,D$411)+COUNTIF('12月'!AC19:AD19,D$411)+COUNTIF('12月'!AH19:AI19,D$411)+COUNTIF('12月'!AM19:AN19,D$411)+COUNTIF('12月'!AR19:AS19,D$411)+COUNTIF('12月'!AW19:AX19,D$411)+COUNTIF('12月'!BB19:BC19,D$411)+COUNTIF('12月'!BG19:BH19,D$411)+COUNTIF('12月'!BL19:BM19,D$411)+COUNTIF('12月'!BQ19:BR19,D$411)+COUNTIF('12月'!BV19:BW19,D$411)+COUNTIF('12月'!CA19:CB19,D$411)+COUNTIF('12月'!CF19:CG19,D$411)+COUNTIF('12月'!CK19:CL19,D$411)+COUNTIF('12月'!CP19:CQ19,D$411)+COUNTIF('12月'!CU19:CV19,D$411)+COUNTIF('12月'!CZ19:DA19,D$411)+COUNTIF('12月'!DE19:DF19,D$411)+COUNTIF('12月'!DJ19:DK19,D$411)+COUNTIF('12月'!DO19:DP19,D$411)+COUNTIF('12月'!DT19:DU19,D$411)+COUNTIF('12月'!DY19:DZ19,D$411)+COUNTIF('12月'!ED19:EE19,D$411)+COUNTIF('12月'!EI19:EJ19,D$411)+COUNTIF('12月'!EN19:EO19,D$411)+COUNTIF('12月'!ES19:ET19,D$411)</f>
        <v>0</v>
      </c>
      <c r="E428" s="76">
        <f t="shared" si="133"/>
        <v>0</v>
      </c>
      <c r="F428" s="76">
        <f>COUNTIF('12月'!D19:E19,F$411)+COUNTIF('12月'!I19:J19,F$411)+COUNTIF('12月'!N19:O19,F$411)+COUNTIF('12月'!S19:T19,F$411)+COUNTIF('12月'!X19:Y19,F$411)+COUNTIF('12月'!AC19:AD19,F$411)+COUNTIF('12月'!AH19:AI19,F$411)+COUNTIF('12月'!AM19:AN19,F$411)+COUNTIF('12月'!AR19:AS19,F$411)+COUNTIF('12月'!AW19:AX19,F$411)+COUNTIF('12月'!BB19:BC19,F$411)+COUNTIF('12月'!BG19:BH19,F$411)+COUNTIF('12月'!BL19:BM19,F$411)+COUNTIF('12月'!BQ19:BR19,F$411)+COUNTIF('12月'!BV19:BW19,F$411)+COUNTIF('12月'!CA19:CB19,F$411)+COUNTIF('12月'!CF19:CG19,F$411)+COUNTIF('12月'!CK19:CL19,F$411)+COUNTIF('12月'!CP19:CQ19,F$411)+COUNTIF('12月'!CU19:CV19,F$411)+COUNTIF('12月'!CZ19:DA19,F$411)+COUNTIF('12月'!DE19:DF19,F$411)+COUNTIF('12月'!DJ19:DK19,F$411)+COUNTIF('12月'!DO19:DP19,F$411)+COUNTIF('12月'!DT19:DU19,F$411)+COUNTIF('12月'!DY19:DZ19,F$411)+COUNTIF('12月'!ED19:EE19,F$411)+COUNTIF('12月'!EI19:EJ19,F$411)+COUNTIF('12月'!EN19:EO19,F$411)+COUNTIF('12月'!ES19:ET19,F$411)</f>
        <v>0</v>
      </c>
      <c r="G428" s="76">
        <f t="shared" si="134"/>
        <v>0</v>
      </c>
      <c r="H428" s="76">
        <f>COUNTIF('12月'!D19:E19,H$411)+COUNTIF('12月'!I19:J19,H$411)+COUNTIF('12月'!N19:O19,H$411)+COUNTIF('12月'!S19:T19,H$411)+COUNTIF('12月'!X19:Y19,H$411)+COUNTIF('12月'!AC19:AD19,H$411)+COUNTIF('12月'!AH19:AI19,H$411)+COUNTIF('12月'!AM19:AN19,H$411)+COUNTIF('12月'!AR19:AS19,H$411)+COUNTIF('12月'!AW19:AX19,H$411)+COUNTIF('12月'!BB19:BC19,H$411)+COUNTIF('12月'!BG19:BH19,H$411)+COUNTIF('12月'!BL19:BM19,H$411)+COUNTIF('12月'!BQ19:BR19,H$411)+COUNTIF('12月'!BV19:BW19,H$411)+COUNTIF('12月'!CA19:CB19,H$411)+COUNTIF('12月'!CF19:CG19,H$411)+COUNTIF('12月'!CK19:CL19,H$411)+COUNTIF('12月'!CP19:CQ19,H$411)+COUNTIF('12月'!CU19:CV19,H$411)+COUNTIF('12月'!CZ19:DA19,H$411)+COUNTIF('12月'!DE19:DF19,H$411)+COUNTIF('12月'!DJ19:DK19,H$411)+COUNTIF('12月'!DO19:DP19,H$411)+COUNTIF('12月'!DT19:DU19,H$411)+COUNTIF('12月'!DY19:DZ19,H$411)+COUNTIF('12月'!ED19:EE19,H$411)+COUNTIF('12月'!EI19:EJ19,H$411)+COUNTIF('12月'!EN19:EO19,H$411)+COUNTIF('12月'!ES19:ET19,H$411)+COUNTIF('12月'!D19:E19,"渋谷-夜勤")+COUNTIF('12月'!I19:J19,"渋谷-夜勤")+COUNTIF('12月'!N19:O19,"渋谷-夜勤")+COUNTIF('12月'!S19:T19,"渋谷-夜勤")+COUNTIF('12月'!X19:Y19,"渋谷-夜勤")+COUNTIF('12月'!AC19:AD19,"渋谷-夜勤")+COUNTIF('12月'!AH19:AI19,"渋谷-夜勤")+COUNTIF('12月'!AM19:AN19,"渋谷-夜勤")+COUNTIF('12月'!AR19:AS19,"渋谷-夜勤")+COUNTIF('12月'!AW19:AX19,"渋谷-夜勤")+COUNTIF('12月'!BB19:BC19,"渋谷-夜勤")+COUNTIF('12月'!BG19:BH19,"渋谷-夜勤")+COUNTIF('12月'!BL19:BM19,"渋谷-夜勤")+COUNTIF('12月'!BQ19:BR19,"渋谷-夜勤")+COUNTIF('12月'!BV19:BW19,"渋谷-夜勤")+COUNTIF('12月'!CA19:CB19,"渋谷-夜勤")+COUNTIF('12月'!CF19:CG19,"渋谷-夜勤")+COUNTIF('12月'!CK19:CL19,"渋谷-夜勤")+COUNTIF('12月'!CP19:CQ19,"渋谷-夜勤")+COUNTIF('12月'!CU19:CV19,"渋谷-夜勤")+COUNTIF('12月'!CZ19:DA19,"渋谷-夜勤")+COUNTIF('12月'!DE19:DF19,"渋谷-夜勤")+COUNTIF('12月'!DJ19:DK19,"渋谷-夜勤")+COUNTIF('12月'!DO19:DP19,"渋谷-夜勤")+COUNTIF('12月'!DT19:DU19,"渋谷-夜勤")+COUNTIF('12月'!DY19:DZ19,"渋谷-夜勤")+COUNTIF('12月'!ED19:EE19,"渋谷-夜勤")+COUNTIF('12月'!EI19:EJ19,"渋谷-夜勤")+COUNTIF('12月'!EN19:EO19,"渋谷-夜勤")+COUNTIF('12月'!ES19:ET19,"渋谷-夜勤")</f>
        <v>0</v>
      </c>
      <c r="I428" s="76">
        <f t="shared" si="135"/>
        <v>0</v>
      </c>
      <c r="J428" s="76">
        <f>COUNTIF('12月'!D19:E19,J$411)+COUNTIF('12月'!I19:J19,J$411)+COUNTIF('12月'!N19:O19,J$411)+COUNTIF('12月'!S19:T19,J$411)+COUNTIF('12月'!X19:Y19,J$411)+COUNTIF('12月'!AC19:AD19,J$411)+COUNTIF('12月'!AH19:AI19,J$411)+COUNTIF('12月'!AM19:AN19,J$411)+COUNTIF('12月'!AR19:AS19,J$411)+COUNTIF('12月'!AW19:AX19,J$411)+COUNTIF('12月'!BB19:BC19,J$411)+COUNTIF('12月'!BG19:BH19,J$411)+COUNTIF('12月'!BL19:BM19,J$411)+COUNTIF('12月'!BQ19:BR19,J$411)+COUNTIF('12月'!BV19:BW19,J$411)+COUNTIF('12月'!CA19:CB19,J$411)+COUNTIF('12月'!CF19:CG19,J$411)+COUNTIF('12月'!CK19:CL19,J$411)+COUNTIF('12月'!CP19:CQ19,J$411)+COUNTIF('12月'!CU19:CV19,J$411)+COUNTIF('12月'!CZ19:DA19,J$411)+COUNTIF('12月'!DE19:DF19,J$411)+COUNTIF('12月'!DJ19:DK19,J$411)+COUNTIF('12月'!DO19:DP19,J$411)+COUNTIF('12月'!DT19:DU19,J$411)+COUNTIF('12月'!DY19:DZ19,J$411)+COUNTIF('12月'!ED19:EE19,J$411)+COUNTIF('12月'!EI19:EJ19,J$411)+COUNTIF('12月'!EN19:EO19,J$411)+COUNTIF('12月'!ES19:ET19,J$411)+COUNTIF('12月'!D19:E19,"六本木-夜勤")+COUNTIF('12月'!I19:J19,"六本木-夜勤")+COUNTIF('12月'!N19:O19,"六本木-夜勤")+COUNTIF('12月'!S19:T19,"六本木-夜勤")+COUNTIF('12月'!X19:Y19,"六本木-夜勤")+COUNTIF('12月'!AC19:AD19,"六本木-夜勤")+COUNTIF('12月'!AH19:AI19,"六本木-夜勤")+COUNTIF('12月'!AM19:AN19,"六本木-夜勤")+COUNTIF('12月'!AR19:AS19,"六本木-夜勤")+COUNTIF('12月'!AW19:AX19,"六本木-夜勤")+COUNTIF('12月'!BB19:BC19,"六本木-夜勤")+COUNTIF('12月'!BG19:BH19,"六本木-夜勤")+COUNTIF('12月'!BL19:BM19,"六本木-夜勤")+COUNTIF('12月'!BQ19:BR19,"六本木-夜勤")+COUNTIF('12月'!BV19:BW19,"六本木-夜勤")+COUNTIF('12月'!CA19:CB19,"六本木-夜勤")+COUNTIF('12月'!CF19:CG19,"六本木-夜勤")+COUNTIF('12月'!CK19:CL19,"六本木-夜勤")+COUNTIF('12月'!CP19:CQ19,"六本木-夜勤")+COUNTIF('12月'!CU19:CV19,"六本木-夜勤")+COUNTIF('12月'!CZ19:DA19,"六本木-夜勤")+COUNTIF('12月'!DE19:DF19,"六本木-夜勤")+COUNTIF('12月'!DJ19:DK19,"六本木-夜勤")+COUNTIF('12月'!DO19:DP19,"六本木-夜勤")+COUNTIF('12月'!DT19:DU19,"六本木-夜勤")+COUNTIF('12月'!DY19:DZ19,"六本木-夜勤")+COUNTIF('12月'!ED19:EE19,"六本木-夜勤")+COUNTIF('12月'!EI19:EJ19,"六本木-夜勤")+COUNTIF('12月'!EN19:EO19,"六本木-夜勤")+COUNTIF('12月'!ES19:ET19,"六本木-夜勤")+COUNTIF('12月'!D19:E19,"六本木ー夜勤")+COUNTIF('12月'!I19:J19,"六本木ー夜勤")+COUNTIF('12月'!N19:O19,"六本木ー夜勤")+COUNTIF('12月'!S19:T19,"六本木ー夜勤")+COUNTIF('12月'!X19:Y19,"六本木ー夜勤")+COUNTIF('12月'!AC19:AD19,"六本木ー夜勤")+COUNTIF('12月'!AH19:AI19,"六本木ー夜勤")+COUNTIF('12月'!AM19:AN19,"六本木ー夜勤")+COUNTIF('12月'!AR19:AS19,"六本木ー夜勤")+COUNTIF('12月'!AW19:AX19,"六本木ー夜勤")+COUNTIF('12月'!BB19:BC19,"六本木ー夜勤")+COUNTIF('12月'!BG19:BH19,"六本木ー夜勤")+COUNTIF('12月'!BL19:BM19,"六本木ー夜勤")+COUNTIF('12月'!BQ19:BR19,"六本木ー夜勤")+COUNTIF('12月'!BV19:BW19,"六本木ー夜勤")+COUNTIF('12月'!CA19:CB19,"六本木ー夜勤")+COUNTIF('12月'!CF19:CG19,"六本木ー夜勤")+COUNTIF('12月'!CK19:CL19,"六本木ー夜勤")+COUNTIF('12月'!CP19:CQ19,"六本木ー夜勤")+COUNTIF('12月'!CU19:CV19,"六本木ー夜勤")+COUNTIF('12月'!CZ19:DA19,"六本木ー夜勤")+COUNTIF('12月'!DE19:DF19,"六本木ー夜勤")+COUNTIF('12月'!DJ19:DK19,"六本木ー夜勤")+COUNTIF('12月'!DO19:DP19,"六本木ー夜勤")+COUNTIF('12月'!DT19:DU19,"六本木ー夜勤")+COUNTIF('12月'!DY19:DZ19,"六本木ー夜勤")+COUNTIF('12月'!ED19:EE19,"六本木ー夜勤")+COUNTIF('12月'!EI19:EJ19,"六本木ー夜勤")+COUNTIF('12月'!EN19:EO19,"六本木ー夜勤")+COUNTIF('12月'!ES19:ET19,"六本木ー夜勤")</f>
        <v>0</v>
      </c>
      <c r="K428" s="76">
        <f t="shared" si="136"/>
        <v>0</v>
      </c>
      <c r="L428" s="76">
        <f>COUNTIF('12月'!D19:E19,L$411)+COUNTIF('12月'!I19:J19,L$411)+COUNTIF('12月'!N19:O19,L$411)+COUNTIF('12月'!S19:T19,L$411)+COUNTIF('12月'!X19:Y19,L$411)+COUNTIF('12月'!AC19:AD19,L$411)+COUNTIF('12月'!AH19:AI19,L$411)+COUNTIF('12月'!AM19:AN19,L$411)+COUNTIF('12月'!AR19:AS19,L$411)+COUNTIF('12月'!AW19:AX19,L$411)+COUNTIF('12月'!BB19:BC19,L$411)+COUNTIF('12月'!BG19:BH19,L$411)+COUNTIF('12月'!BL19:BM19,L$411)+COUNTIF('12月'!BQ19:BR19,L$411)+COUNTIF('12月'!BV19:BW19,L$411)+COUNTIF('12月'!CA19:CB19,L$411)+COUNTIF('12月'!CF19:CG19,L$411)+COUNTIF('12月'!CK19:CL19,L$411)+COUNTIF('12月'!CP19:CQ19,L$411)+COUNTIF('12月'!CU19:CV19,L$411)+COUNTIF('12月'!CZ19:DA19,L$411)+COUNTIF('12月'!DE19:DF19,L$411)+COUNTIF('12月'!DJ19:DK19,L$411)+COUNTIF('12月'!DO19:DP19,L$411)+COUNTIF('12月'!DT19:DU19,L$411)+COUNTIF('12月'!DY19:DZ19,L$411)+COUNTIF('12月'!ED19:EE19,L$411)+COUNTIF('12月'!EI19:EJ19,L$411)+COUNTIF('12月'!EN19:EO19,L$411)+COUNTIF('12月'!ES19:ET19,L$411)</f>
        <v>0</v>
      </c>
      <c r="M428" s="76">
        <f t="shared" si="137"/>
        <v>0</v>
      </c>
      <c r="N428" s="76">
        <f>COUNTIF('12月'!D19:E19,N$411)+COUNTIF('12月'!I19:J19,N$411)+COUNTIF('12月'!N19:O19,N$411)+COUNTIF('12月'!S19:T19,N$411)+COUNTIF('12月'!X19:Y19,N$411)+COUNTIF('12月'!AC19:AD19,N$411)+COUNTIF('12月'!AH19:AI19,N$411)+COUNTIF('12月'!AM19:AN19,N$411)+COUNTIF('12月'!AR19:AS19,N$411)+COUNTIF('12月'!AW19:AX19,N$411)+COUNTIF('12月'!BB19:BC19,N$411)+COUNTIF('12月'!BG19:BH19,N$411)+COUNTIF('12月'!BL19:BM19,N$411)+COUNTIF('12月'!BQ19:BR19,N$411)+COUNTIF('12月'!BV19:BW19,N$411)+COUNTIF('12月'!CA19:CB19,N$411)+COUNTIF('12月'!CF19:CG19,N$411)+COUNTIF('12月'!CK19:CL19,N$411)+COUNTIF('12月'!CP19:CQ19,N$411)+COUNTIF('12月'!CU19:CV19,N$411)+COUNTIF('12月'!CZ19:DA19,N$411)+COUNTIF('12月'!DE19:DF19,N$411)+COUNTIF('12月'!DJ19:DK19,N$411)+COUNTIF('12月'!DO19:DP19,N$411)+COUNTIF('12月'!DT19:DU19,N$411)+COUNTIF('12月'!DY19:DZ19,N$411)+COUNTIF('12月'!ED19:EE19,N$411)+COUNTIF('12月'!EI19:EJ19,N$411)+COUNTIF('12月'!EN19:EO19,N$411)+COUNTIF('12月'!ES19:ET19,N$411)+COUNTIF('12月'!D19:E19,"三軒茶屋－夜勤")+COUNTIF('12月'!I19:J19,"三軒茶屋－夜勤")+COUNTIF('12月'!N19:O19,"三軒茶屋－夜勤")+COUNTIF('12月'!S19:T19,"三軒茶屋－夜勤")+COUNTIF('12月'!X19:Y19,"三軒茶屋－夜勤")+COUNTIF('12月'!AC19:AD19,"三軒茶屋－夜勤")+COUNTIF('12月'!AH19:AI19,"三軒茶屋－夜勤")+COUNTIF('12月'!AM19:AN19,"三軒茶屋－夜勤")+COUNTIF('12月'!AR19:AS19,"三軒茶屋－夜勤")+COUNTIF('12月'!AW19:AX19,"三軒茶屋－夜勤")+COUNTIF('12月'!BB19:BC19,"三軒茶屋－夜勤")+COUNTIF('12月'!BG19:BH19,"三軒茶屋－夜勤")+COUNTIF('12月'!BL19:BM19,"三軒茶屋－夜勤")+COUNTIF('12月'!BQ19:BR19,"三軒茶屋－夜勤")+COUNTIF('12月'!BV19:BW19,"三軒茶屋－夜勤")+COUNTIF('12月'!CA19:CB19,"三軒茶屋－夜勤")+COUNTIF('12月'!CF19:CG19,"三軒茶屋－夜勤")+COUNTIF('12月'!CK19:CL19,"三軒茶屋－夜勤")+COUNTIF('12月'!CP19:CQ19,"三軒茶屋－夜勤")+COUNTIF('12月'!CU19:CV19,"三軒茶屋－夜勤")+COUNTIF('12月'!CZ19:DA19,"三軒茶屋－夜勤")+COUNTIF('12月'!DE19:DF19,"三軒茶屋－夜勤")+COUNTIF('12月'!DJ19:DK19,"三軒茶屋－夜勤")+COUNTIF('12月'!DO19:DP19,"三軒茶屋－夜勤")+COUNTIF('12月'!DT19:DU19,"三軒茶屋－夜勤")+COUNTIF('12月'!DY19:DZ19,"三軒茶屋－夜勤")+COUNTIF('12月'!ED19:EE19,"三軒茶屋－夜勤")+COUNTIF('12月'!EI19:EJ19,"三軒茶屋－夜勤")+COUNTIF('12月'!EN19:EO19,"三軒茶屋－夜勤")+COUNTIF('12月'!ES19:ET19,"三軒茶屋－夜勤")</f>
        <v>0</v>
      </c>
      <c r="O428" s="76">
        <f t="shared" si="138"/>
        <v>0</v>
      </c>
      <c r="P428" s="76">
        <f>COUNTIF('12月'!D19:E19,P$411)+COUNTIF('12月'!I19:J19,P$411)+COUNTIF('12月'!N19:O19,P$411)+COUNTIF('12月'!S19:T19,P$411)+COUNTIF('12月'!X19:Y19,P$411)+COUNTIF('12月'!AC19:AD19,P$411)+COUNTIF('12月'!AH19:AI19,P$411)+COUNTIF('12月'!AM19:AN19,P$411)+COUNTIF('12月'!AR19:AS19,P$411)+COUNTIF('12月'!AW19:AX19,P$411)+COUNTIF('12月'!BB19:BC19,P$411)+COUNTIF('12月'!BG19:BH19,P$411)+COUNTIF('12月'!BL19:BM19,P$411)+COUNTIF('12月'!BQ19:BR19,P$411)+COUNTIF('12月'!BV19:BW19,P$411)+COUNTIF('12月'!CA19:CB19,P$411)+COUNTIF('12月'!CF19:CG19,P$411)+COUNTIF('12月'!CK19:CL19,P$411)+COUNTIF('12月'!CP19:CQ19,P$411)+COUNTIF('12月'!CU19:CV19,P$411)+COUNTIF('12月'!CZ19:DA19,P$411)+COUNTIF('12月'!DE19:DF19,P$411)+COUNTIF('12月'!DJ19:DK19,P$411)+COUNTIF('12月'!DO19:DP19,P$411)+COUNTIF('12月'!DT19:DU19,P$411)+COUNTIF('12月'!DY19:DZ19,P$411)+COUNTIF('12月'!ED19:EE19,P$411)+COUNTIF('12月'!EI19:EJ19,P$411)+COUNTIF('12月'!EN19:EO19,P$411)+COUNTIF('12月'!ES19:ET19,P$411)+COUNTIF('12月'!D19:E19,"荻窪ー夜勤")+COUNTIF('12月'!I19:J19,"荻窪ー夜勤")+COUNTIF('12月'!N19:O19,"荻窪ー夜勤")+COUNTIF('12月'!S19:T19,"荻窪ー夜勤")+COUNTIF('12月'!X19:Y19,"荻窪ー夜勤")+COUNTIF('12月'!AC19:AD19,"荻窪ー夜勤")+COUNTIF('12月'!AH19:AI19,"荻窪ー夜勤")+COUNTIF('12月'!AM19:AN19,"荻窪ー夜勤")+COUNTIF('12月'!AR19:AS19,"荻窪ー夜勤")+COUNTIF('12月'!AW19:AX19,"荻窪ー夜勤")+COUNTIF('12月'!BB19:BC19,"荻窪ー夜勤")+COUNTIF('12月'!BG19:BH19,"荻窪ー夜勤")+COUNTIF('12月'!BL19:BM19,"荻窪ー夜勤")+COUNTIF('12月'!BQ19:BR19,"荻窪ー夜勤")+COUNTIF('12月'!BV19:BW19,"荻窪ー夜勤")+COUNTIF('12月'!CA19:CB19,"荻窪ー夜勤")+COUNTIF('12月'!CF19:CG19,"荻窪ー夜勤")+COUNTIF('12月'!CK19:CL19,"荻窪ー夜勤")+COUNTIF('12月'!CP19:CQ19,"荻窪ー夜勤")+COUNTIF('12月'!CU19:CV19,"荻窪ー夜勤")+COUNTIF('12月'!CZ19:DA19,"荻窪ー夜勤")+COUNTIF('12月'!DE19:DF19,"荻窪ー夜勤")+COUNTIF('12月'!DJ19:DK19,"荻窪ー夜勤")+COUNTIF('12月'!DO19:DP19,"荻窪ー夜勤")+COUNTIF('12月'!DT19:DU19,"荻窪ー夜勤")+COUNTIF('12月'!DY19:DZ19,"荻窪ー夜勤")+COUNTIF('12月'!ED19:EE19,"荻窪ー夜勤")+COUNTIF('12月'!EI19:EJ19,"荻窪ー夜勤")+COUNTIF('12月'!EN19:EO19,"荻窪ー夜勤")+COUNTIF('12月'!ES19:ET19,"荻窪ー夜勤")</f>
        <v>0</v>
      </c>
      <c r="Q428" s="76">
        <f t="shared" si="139"/>
        <v>0</v>
      </c>
      <c r="R428" s="76">
        <f>COUNTIF('12月'!D19:E19,R$411)+COUNTIF('12月'!I19:J19,R$411)+COUNTIF('12月'!N19:O19,R$411)+COUNTIF('12月'!S19:T19,R$411)+COUNTIF('12月'!X19:Y19,R$411)+COUNTIF('12月'!AC19:AD19,R$411)+COUNTIF('12月'!AH19:AI19,R$411)+COUNTIF('12月'!AM19:AN19,R$411)+COUNTIF('12月'!AR19:AS19,R$411)+COUNTIF('12月'!AW19:AX19,R$411)+COUNTIF('12月'!BB19:BC19,R$411)+COUNTIF('12月'!BG19:BH19,R$411)+COUNTIF('12月'!BL19:BM19,R$411)+COUNTIF('12月'!BQ19:BR19,R$411)+COUNTIF('12月'!BV19:BW19,R$411)+COUNTIF('12月'!CA19:CB19,R$411)+COUNTIF('12月'!CF19:CG19,R$411)+COUNTIF('12月'!CK19:CL19,R$411)+COUNTIF('12月'!CP19:CQ19,R$411)+COUNTIF('12月'!CU19:CV19,R$411)+COUNTIF('12月'!CZ19:DA19,R$411)+COUNTIF('12月'!DE19:DF19,R$411)+COUNTIF('12月'!DJ19:DK19,R$411)+COUNTIF('12月'!DO19:DP19,R$411)+COUNTIF('12月'!DT19:DU19,R$411)+COUNTIF('12月'!DY19:DZ19,R$411)+COUNTIF('12月'!ED19:EE19,R$411)+COUNTIF('12月'!EI19:EJ19,R$411)+COUNTIF('12月'!EN19:EO19,R$411)+COUNTIF('12月'!ES19:ET19,R$411)</f>
        <v>0</v>
      </c>
      <c r="S428" s="76">
        <f t="shared" si="140"/>
        <v>0</v>
      </c>
      <c r="T428" s="76">
        <f>COUNTIF('12月'!D19:E19,T$411)+COUNTIF('12月'!I19:J19,T$411)+COUNTIF('12月'!N19:O19,T$411)+COUNTIF('12月'!S19:T19,T$411)+COUNTIF('12月'!X19:Y19,T$411)+COUNTIF('12月'!AC19:AD19,T$411)+COUNTIF('12月'!AH19:AI19,T$411)+COUNTIF('12月'!AM19:AN19,T$411)+COUNTIF('12月'!AR19:AS19,T$411)+COUNTIF('12月'!AW19:AX19,T$411)+COUNTIF('12月'!BB19:BC19,T$411)+COUNTIF('12月'!BG19:BH19,T$411)+COUNTIF('12月'!BL19:BM19,T$411)+COUNTIF('12月'!BQ19:BR19,T$411)+COUNTIF('12月'!BV19:BW19,T$411)+COUNTIF('12月'!CA19:CB19,T$411)+COUNTIF('12月'!CF19:CG19,T$411)+COUNTIF('12月'!CK19:CL19,T$411)+COUNTIF('12月'!CP19:CQ19,T$411)+COUNTIF('12月'!CU19:CV19,T$411)+COUNTIF('12月'!CZ19:DA19,T$411)+COUNTIF('12月'!DE19:DF19,T$411)+COUNTIF('12月'!DJ19:DK19,T$411)+COUNTIF('12月'!DO19:DP19,T$411)+COUNTIF('12月'!DT19:DU19,T$411)+COUNTIF('12月'!DY19:DZ19,T$411)+COUNTIF('12月'!ED19:EE19,T$411)+COUNTIF('12月'!EI19:EJ19,T$411)+COUNTIF('12月'!EN19:EO19,T$411)+COUNTIF('12月'!ES19:ET19,T$411)</f>
        <v>0</v>
      </c>
      <c r="U428" s="76">
        <f t="shared" si="141"/>
        <v>0</v>
      </c>
      <c r="V428" s="76">
        <f>COUNTIF('12月'!D19:E19,V$411)+COUNTIF('12月'!I19:J19,V$411)+COUNTIF('12月'!N19:O19,V$411)+COUNTIF('12月'!S19:T19,V$411)+COUNTIF('12月'!X19:Y19,V$411)+COUNTIF('12月'!AC19:AD19,V$411)+COUNTIF('12月'!AH19:AI19,V$411)+COUNTIF('12月'!AM19:AN19,V$411)+COUNTIF('12月'!AR19:AS19,V$411)+COUNTIF('12月'!AW19:AX19,V$411)+COUNTIF('12月'!BB19:BC19,V$411)+COUNTIF('12月'!BG19:BH19,V$411)+COUNTIF('12月'!BL19:BM19,V$411)+COUNTIF('12月'!BQ19:BR19,V$411)+COUNTIF('12月'!BV19:BW19,V$411)+COUNTIF('12月'!CA19:CB19,V$411)+COUNTIF('12月'!CF19:CG19,V$411)+COUNTIF('12月'!CK19:CL19,V$411)+COUNTIF('12月'!CP19:CQ19,V$411)+COUNTIF('12月'!CU19:CV19,V$411)+COUNTIF('12月'!CZ19:DA19,V$411)+COUNTIF('12月'!DE19:DF19,V$411)+COUNTIF('12月'!DJ19:DK19,V$411)+COUNTIF('12月'!DO19:DP19,V$411)+COUNTIF('12月'!DT19:DU19,V$411)+COUNTIF('12月'!DY19:DZ19,V$411)+COUNTIF('12月'!ED19:EE19,V$411)+COUNTIF('12月'!EI19:EJ19,V$411)+COUNTIF('12月'!EN19:EO19,V$411)+COUNTIF('12月'!ES19:ET19,V$411)</f>
        <v>0</v>
      </c>
      <c r="W428" s="76">
        <f t="shared" si="142"/>
        <v>0</v>
      </c>
      <c r="X428" s="76">
        <f>COUNTIF('12月'!D19:E19,X$411)+COUNTIF('12月'!I19:J19,X$411)+COUNTIF('12月'!N19:O19,X$411)+COUNTIF('12月'!S19:T19,X$411)+COUNTIF('12月'!X19:Y19,X$411)+COUNTIF('12月'!AC19:AD19,X$411)+COUNTIF('12月'!AH19:AI19,X$411)+COUNTIF('12月'!AM19:AN19,X$411)+COUNTIF('12月'!AR19:AS19,X$411)+COUNTIF('12月'!AW19:AX19,X$411)+COUNTIF('12月'!BB19:BC19,X$411)+COUNTIF('12月'!BG19:BH19,X$411)+COUNTIF('12月'!BL19:BM19,X$411)+COUNTIF('12月'!BQ19:BR19,X$411)+COUNTIF('12月'!BV19:BW19,X$411)+COUNTIF('12月'!CA19:CB19,X$411)+COUNTIF('12月'!CF19:CG19,X$411)+COUNTIF('12月'!CK19:CL19,X$411)+COUNTIF('12月'!CP19:CQ19,X$411)+COUNTIF('12月'!CU19:CV19,X$411)+COUNTIF('12月'!CZ19:DA19,X$411)+COUNTIF('12月'!DE19:DF19,X$411)+COUNTIF('12月'!DJ19:DK19,X$411)+COUNTIF('12月'!DO19:DP19,X$411)+COUNTIF('12月'!DT19:DU19,X$411)+COUNTIF('12月'!DY19:DZ19,X$411)+COUNTIF('12月'!ED19:EE19,X$411)+COUNTIF('12月'!EI19:EJ19,X$411)+COUNTIF('12月'!EN19:EO19,X$411)+COUNTIF('12月'!ES19:ET19,X$411)</f>
        <v>0</v>
      </c>
      <c r="Y428" s="76">
        <f t="shared" si="143"/>
        <v>0</v>
      </c>
    </row>
    <row r="429" spans="1:25" ht="18" customHeight="1">
      <c r="A429" s="76">
        <v>17</v>
      </c>
      <c r="B429" s="76">
        <f>COUNTIF('12月'!D20:E20,B$411)+COUNTIF('12月'!I20:J20,B$411)+COUNTIF('12月'!N20:O20,B$411)+COUNTIF('12月'!S20:T20,B$411)+COUNTIF('12月'!X20:Y20,B$411)+COUNTIF('12月'!AC20:AD20,B$411)+COUNTIF('12月'!AH20:AI20,B$411)+COUNTIF('12月'!AM20:AN20,B$411)+COUNTIF('12月'!AR20:AS20,B$411)+COUNTIF('12月'!AW20:AX20,B$411)+COUNTIF('12月'!BB20:BC20,B$411)+COUNTIF('12月'!BG20:BH20,B$411)+COUNTIF('12月'!BL20:BM20,B$411)+COUNTIF('12月'!BQ20:BR20,B$411)+COUNTIF('12月'!BV20:BW20,B$411)+COUNTIF('12月'!CA20:CB20,B$411)+COUNTIF('12月'!CF20:CG20,B$411)+COUNTIF('12月'!CK20:CL20,B$411)+COUNTIF('12月'!CP20:CQ20,B$411)+COUNTIF('12月'!CU20:CV20,B$411)+COUNTIF('12月'!CZ20:DA20,B$411)+COUNTIF('12月'!DE20:DF20,B$411)+COUNTIF('12月'!DJ20:DK20,B$411)+COUNTIF('12月'!DO20:DP20,B$411)+COUNTIF('12月'!DT20:DU20,B$411)+COUNTIF('12月'!DY20:DZ20,B$411)+COUNTIF('12月'!ED20:EE20,B$411)+COUNTIF('12月'!EI20:EJ20,B$411)+COUNTIF('12月'!EN20:EO20,B$411)+COUNTIF('12月'!ES20:ET20,B$411)</f>
        <v>0</v>
      </c>
      <c r="C429" s="76">
        <f t="shared" si="132"/>
        <v>0</v>
      </c>
      <c r="D429" s="76">
        <f>COUNTIF('12月'!D20:E20,D$411)+COUNTIF('12月'!I20:J20,D$411)+COUNTIF('12月'!N20:O20,D$411)+COUNTIF('12月'!S20:T20,D$411)+COUNTIF('12月'!X20:Y20,D$411)+COUNTIF('12月'!AC20:AD20,D$411)+COUNTIF('12月'!AH20:AI20,D$411)+COUNTIF('12月'!AM20:AN20,D$411)+COUNTIF('12月'!AR20:AS20,D$411)+COUNTIF('12月'!AW20:AX20,D$411)+COUNTIF('12月'!BB20:BC20,D$411)+COUNTIF('12月'!BG20:BH20,D$411)+COUNTIF('12月'!BL20:BM20,D$411)+COUNTIF('12月'!BQ20:BR20,D$411)+COUNTIF('12月'!BV20:BW20,D$411)+COUNTIF('12月'!CA20:CB20,D$411)+COUNTIF('12月'!CF20:CG20,D$411)+COUNTIF('12月'!CK20:CL20,D$411)+COUNTIF('12月'!CP20:CQ20,D$411)+COUNTIF('12月'!CU20:CV20,D$411)+COUNTIF('12月'!CZ20:DA20,D$411)+COUNTIF('12月'!DE20:DF20,D$411)+COUNTIF('12月'!DJ20:DK20,D$411)+COUNTIF('12月'!DO20:DP20,D$411)+COUNTIF('12月'!DT20:DU20,D$411)+COUNTIF('12月'!DY20:DZ20,D$411)+COUNTIF('12月'!ED20:EE20,D$411)+COUNTIF('12月'!EI20:EJ20,D$411)+COUNTIF('12月'!EN20:EO20,D$411)+COUNTIF('12月'!ES20:ET20,D$411)</f>
        <v>0</v>
      </c>
      <c r="E429" s="76">
        <f t="shared" si="133"/>
        <v>0</v>
      </c>
      <c r="F429" s="76">
        <f>COUNTIF('12月'!D20:E20,F$411)+COUNTIF('12月'!I20:J20,F$411)+COUNTIF('12月'!N20:O20,F$411)+COUNTIF('12月'!S20:T20,F$411)+COUNTIF('12月'!X20:Y20,F$411)+COUNTIF('12月'!AC20:AD20,F$411)+COUNTIF('12月'!AH20:AI20,F$411)+COUNTIF('12月'!AM20:AN20,F$411)+COUNTIF('12月'!AR20:AS20,F$411)+COUNTIF('12月'!AW20:AX20,F$411)+COUNTIF('12月'!BB20:BC20,F$411)+COUNTIF('12月'!BG20:BH20,F$411)+COUNTIF('12月'!BL20:BM20,F$411)+COUNTIF('12月'!BQ20:BR20,F$411)+COUNTIF('12月'!BV20:BW20,F$411)+COUNTIF('12月'!CA20:CB20,F$411)+COUNTIF('12月'!CF20:CG20,F$411)+COUNTIF('12月'!CK20:CL20,F$411)+COUNTIF('12月'!CP20:CQ20,F$411)+COUNTIF('12月'!CU20:CV20,F$411)+COUNTIF('12月'!CZ20:DA20,F$411)+COUNTIF('12月'!DE20:DF20,F$411)+COUNTIF('12月'!DJ20:DK20,F$411)+COUNTIF('12月'!DO20:DP20,F$411)+COUNTIF('12月'!DT20:DU20,F$411)+COUNTIF('12月'!DY20:DZ20,F$411)+COUNTIF('12月'!ED20:EE20,F$411)+COUNTIF('12月'!EI20:EJ20,F$411)+COUNTIF('12月'!EN20:EO20,F$411)+COUNTIF('12月'!ES20:ET20,F$411)</f>
        <v>0</v>
      </c>
      <c r="G429" s="76">
        <f t="shared" si="134"/>
        <v>0</v>
      </c>
      <c r="H429" s="76">
        <f>COUNTIF('12月'!D20:E20,H$411)+COUNTIF('12月'!I20:J20,H$411)+COUNTIF('12月'!N20:O20,H$411)+COUNTIF('12月'!S20:T20,H$411)+COUNTIF('12月'!X20:Y20,H$411)+COUNTIF('12月'!AC20:AD20,H$411)+COUNTIF('12月'!AH20:AI20,H$411)+COUNTIF('12月'!AM20:AN20,H$411)+COUNTIF('12月'!AR20:AS20,H$411)+COUNTIF('12月'!AW20:AX20,H$411)+COUNTIF('12月'!BB20:BC20,H$411)+COUNTIF('12月'!BG20:BH20,H$411)+COUNTIF('12月'!BL20:BM20,H$411)+COUNTIF('12月'!BQ20:BR20,H$411)+COUNTIF('12月'!BV20:BW20,H$411)+COUNTIF('12月'!CA20:CB20,H$411)+COUNTIF('12月'!CF20:CG20,H$411)+COUNTIF('12月'!CK20:CL20,H$411)+COUNTIF('12月'!CP20:CQ20,H$411)+COUNTIF('12月'!CU20:CV20,H$411)+COUNTIF('12月'!CZ20:DA20,H$411)+COUNTIF('12月'!DE20:DF20,H$411)+COUNTIF('12月'!DJ20:DK20,H$411)+COUNTIF('12月'!DO20:DP20,H$411)+COUNTIF('12月'!DT20:DU20,H$411)+COUNTIF('12月'!DY20:DZ20,H$411)+COUNTIF('12月'!ED20:EE20,H$411)+COUNTIF('12月'!EI20:EJ20,H$411)+COUNTIF('12月'!EN20:EO20,H$411)+COUNTIF('12月'!ES20:ET20,H$411)+COUNTIF('12月'!D20:E20,"渋谷-夜勤")+COUNTIF('12月'!I20:J20,"渋谷-夜勤")+COUNTIF('12月'!N20:O20,"渋谷-夜勤")+COUNTIF('12月'!S20:T20,"渋谷-夜勤")+COUNTIF('12月'!X20:Y20,"渋谷-夜勤")+COUNTIF('12月'!AC20:AD20,"渋谷-夜勤")+COUNTIF('12月'!AH20:AI20,"渋谷-夜勤")+COUNTIF('12月'!AM20:AN20,"渋谷-夜勤")+COUNTIF('12月'!AR20:AS20,"渋谷-夜勤")+COUNTIF('12月'!AW20:AX20,"渋谷-夜勤")+COUNTIF('12月'!BB20:BC20,"渋谷-夜勤")+COUNTIF('12月'!BG20:BH20,"渋谷-夜勤")+COUNTIF('12月'!BL20:BM20,"渋谷-夜勤")+COUNTIF('12月'!BQ20:BR20,"渋谷-夜勤")+COUNTIF('12月'!BV20:BW20,"渋谷-夜勤")+COUNTIF('12月'!CA20:CB20,"渋谷-夜勤")+COUNTIF('12月'!CF20:CG20,"渋谷-夜勤")+COUNTIF('12月'!CK20:CL20,"渋谷-夜勤")+COUNTIF('12月'!CP20:CQ20,"渋谷-夜勤")+COUNTIF('12月'!CU20:CV20,"渋谷-夜勤")+COUNTIF('12月'!CZ20:DA20,"渋谷-夜勤")+COUNTIF('12月'!DE20:DF20,"渋谷-夜勤")+COUNTIF('12月'!DJ20:DK20,"渋谷-夜勤")+COUNTIF('12月'!DO20:DP20,"渋谷-夜勤")+COUNTIF('12月'!DT20:DU20,"渋谷-夜勤")+COUNTIF('12月'!DY20:DZ20,"渋谷-夜勤")+COUNTIF('12月'!ED20:EE20,"渋谷-夜勤")+COUNTIF('12月'!EI20:EJ20,"渋谷-夜勤")+COUNTIF('12月'!EN20:EO20,"渋谷-夜勤")+COUNTIF('12月'!ES20:ET20,"渋谷-夜勤")</f>
        <v>0</v>
      </c>
      <c r="I429" s="76">
        <f t="shared" si="135"/>
        <v>0</v>
      </c>
      <c r="J429" s="76">
        <f>COUNTIF('12月'!D20:E20,J$411)+COUNTIF('12月'!I20:J20,J$411)+COUNTIF('12月'!N20:O20,J$411)+COUNTIF('12月'!S20:T20,J$411)+COUNTIF('12月'!X20:Y20,J$411)+COUNTIF('12月'!AC20:AD20,J$411)+COUNTIF('12月'!AH20:AI20,J$411)+COUNTIF('12月'!AM20:AN20,J$411)+COUNTIF('12月'!AR20:AS20,J$411)+COUNTIF('12月'!AW20:AX20,J$411)+COUNTIF('12月'!BB20:BC20,J$411)+COUNTIF('12月'!BG20:BH20,J$411)+COUNTIF('12月'!BL20:BM20,J$411)+COUNTIF('12月'!BQ20:BR20,J$411)+COUNTIF('12月'!BV20:BW20,J$411)+COUNTIF('12月'!CA20:CB20,J$411)+COUNTIF('12月'!CF20:CG20,J$411)+COUNTIF('12月'!CK20:CL20,J$411)+COUNTIF('12月'!CP20:CQ20,J$411)+COUNTIF('12月'!CU20:CV20,J$411)+COUNTIF('12月'!CZ20:DA20,J$411)+COUNTIF('12月'!DE20:DF20,J$411)+COUNTIF('12月'!DJ20:DK20,J$411)+COUNTIF('12月'!DO20:DP20,J$411)+COUNTIF('12月'!DT20:DU20,J$411)+COUNTIF('12月'!DY20:DZ20,J$411)+COUNTIF('12月'!ED20:EE20,J$411)+COUNTIF('12月'!EI20:EJ20,J$411)+COUNTIF('12月'!EN20:EO20,J$411)+COUNTIF('12月'!ES20:ET20,J$411)+COUNTIF('12月'!D20:E20,"六本木-夜勤")+COUNTIF('12月'!I20:J20,"六本木-夜勤")+COUNTIF('12月'!N20:O20,"六本木-夜勤")+COUNTIF('12月'!S20:T20,"六本木-夜勤")+COUNTIF('12月'!X20:Y20,"六本木-夜勤")+COUNTIF('12月'!AC20:AD20,"六本木-夜勤")+COUNTIF('12月'!AH20:AI20,"六本木-夜勤")+COUNTIF('12月'!AM20:AN20,"六本木-夜勤")+COUNTIF('12月'!AR20:AS20,"六本木-夜勤")+COUNTIF('12月'!AW20:AX20,"六本木-夜勤")+COUNTIF('12月'!BB20:BC20,"六本木-夜勤")+COUNTIF('12月'!BG20:BH20,"六本木-夜勤")+COUNTIF('12月'!BL20:BM20,"六本木-夜勤")+COUNTIF('12月'!BQ20:BR20,"六本木-夜勤")+COUNTIF('12月'!BV20:BW20,"六本木-夜勤")+COUNTIF('12月'!CA20:CB20,"六本木-夜勤")+COUNTIF('12月'!CF20:CG20,"六本木-夜勤")+COUNTIF('12月'!CK20:CL20,"六本木-夜勤")+COUNTIF('12月'!CP20:CQ20,"六本木-夜勤")+COUNTIF('12月'!CU20:CV20,"六本木-夜勤")+COUNTIF('12月'!CZ20:DA20,"六本木-夜勤")+COUNTIF('12月'!DE20:DF20,"六本木-夜勤")+COUNTIF('12月'!DJ20:DK20,"六本木-夜勤")+COUNTIF('12月'!DO20:DP20,"六本木-夜勤")+COUNTIF('12月'!DT20:DU20,"六本木-夜勤")+COUNTIF('12月'!DY20:DZ20,"六本木-夜勤")+COUNTIF('12月'!ED20:EE20,"六本木-夜勤")+COUNTIF('12月'!EI20:EJ20,"六本木-夜勤")+COUNTIF('12月'!EN20:EO20,"六本木-夜勤")+COUNTIF('12月'!ES20:ET20,"六本木-夜勤")+COUNTIF('12月'!D20:E20,"六本木ー夜勤")+COUNTIF('12月'!I20:J20,"六本木ー夜勤")+COUNTIF('12月'!N20:O20,"六本木ー夜勤")+COUNTIF('12月'!S20:T20,"六本木ー夜勤")+COUNTIF('12月'!X20:Y20,"六本木ー夜勤")+COUNTIF('12月'!AC20:AD20,"六本木ー夜勤")+COUNTIF('12月'!AH20:AI20,"六本木ー夜勤")+COUNTIF('12月'!AM20:AN20,"六本木ー夜勤")+COUNTIF('12月'!AR20:AS20,"六本木ー夜勤")+COUNTIF('12月'!AW20:AX20,"六本木ー夜勤")+COUNTIF('12月'!BB20:BC20,"六本木ー夜勤")+COUNTIF('12月'!BG20:BH20,"六本木ー夜勤")+COUNTIF('12月'!BL20:BM20,"六本木ー夜勤")+COUNTIF('12月'!BQ20:BR20,"六本木ー夜勤")+COUNTIF('12月'!BV20:BW20,"六本木ー夜勤")+COUNTIF('12月'!CA20:CB20,"六本木ー夜勤")+COUNTIF('12月'!CF20:CG20,"六本木ー夜勤")+COUNTIF('12月'!CK20:CL20,"六本木ー夜勤")+COUNTIF('12月'!CP20:CQ20,"六本木ー夜勤")+COUNTIF('12月'!CU20:CV20,"六本木ー夜勤")+COUNTIF('12月'!CZ20:DA20,"六本木ー夜勤")+COUNTIF('12月'!DE20:DF20,"六本木ー夜勤")+COUNTIF('12月'!DJ20:DK20,"六本木ー夜勤")+COUNTIF('12月'!DO20:DP20,"六本木ー夜勤")+COUNTIF('12月'!DT20:DU20,"六本木ー夜勤")+COUNTIF('12月'!DY20:DZ20,"六本木ー夜勤")+COUNTIF('12月'!ED20:EE20,"六本木ー夜勤")+COUNTIF('12月'!EI20:EJ20,"六本木ー夜勤")+COUNTIF('12月'!EN20:EO20,"六本木ー夜勤")+COUNTIF('12月'!ES20:ET20,"六本木ー夜勤")</f>
        <v>0</v>
      </c>
      <c r="K429" s="76">
        <f t="shared" si="136"/>
        <v>0</v>
      </c>
      <c r="L429" s="76">
        <f>COUNTIF('12月'!D20:E20,L$411)+COUNTIF('12月'!I20:J20,L$411)+COUNTIF('12月'!N20:O20,L$411)+COUNTIF('12月'!S20:T20,L$411)+COUNTIF('12月'!X20:Y20,L$411)+COUNTIF('12月'!AC20:AD20,L$411)+COUNTIF('12月'!AH20:AI20,L$411)+COUNTIF('12月'!AM20:AN20,L$411)+COUNTIF('12月'!AR20:AS20,L$411)+COUNTIF('12月'!AW20:AX20,L$411)+COUNTIF('12月'!BB20:BC20,L$411)+COUNTIF('12月'!BG20:BH20,L$411)+COUNTIF('12月'!BL20:BM20,L$411)+COUNTIF('12月'!BQ20:BR20,L$411)+COUNTIF('12月'!BV20:BW20,L$411)+COUNTIF('12月'!CA20:CB20,L$411)+COUNTIF('12月'!CF20:CG20,L$411)+COUNTIF('12月'!CK20:CL20,L$411)+COUNTIF('12月'!CP20:CQ20,L$411)+COUNTIF('12月'!CU20:CV20,L$411)+COUNTIF('12月'!CZ20:DA20,L$411)+COUNTIF('12月'!DE20:DF20,L$411)+COUNTIF('12月'!DJ20:DK20,L$411)+COUNTIF('12月'!DO20:DP20,L$411)+COUNTIF('12月'!DT20:DU20,L$411)+COUNTIF('12月'!DY20:DZ20,L$411)+COUNTIF('12月'!ED20:EE20,L$411)+COUNTIF('12月'!EI20:EJ20,L$411)+COUNTIF('12月'!EN20:EO20,L$411)+COUNTIF('12月'!ES20:ET20,L$411)</f>
        <v>0</v>
      </c>
      <c r="M429" s="76">
        <f t="shared" si="137"/>
        <v>0</v>
      </c>
      <c r="N429" s="76">
        <f>COUNTIF('12月'!D20:E20,N$411)+COUNTIF('12月'!I20:J20,N$411)+COUNTIF('12月'!N20:O20,N$411)+COUNTIF('12月'!S20:T20,N$411)+COUNTIF('12月'!X20:Y20,N$411)+COUNTIF('12月'!AC20:AD20,N$411)+COUNTIF('12月'!AH20:AI20,N$411)+COUNTIF('12月'!AM20:AN20,N$411)+COUNTIF('12月'!AR20:AS20,N$411)+COUNTIF('12月'!AW20:AX20,N$411)+COUNTIF('12月'!BB20:BC20,N$411)+COUNTIF('12月'!BG20:BH20,N$411)+COUNTIF('12月'!BL20:BM20,N$411)+COUNTIF('12月'!BQ20:BR20,N$411)+COUNTIF('12月'!BV20:BW20,N$411)+COUNTIF('12月'!CA20:CB20,N$411)+COUNTIF('12月'!CF20:CG20,N$411)+COUNTIF('12月'!CK20:CL20,N$411)+COUNTIF('12月'!CP20:CQ20,N$411)+COUNTIF('12月'!CU20:CV20,N$411)+COUNTIF('12月'!CZ20:DA20,N$411)+COUNTIF('12月'!DE20:DF20,N$411)+COUNTIF('12月'!DJ20:DK20,N$411)+COUNTIF('12月'!DO20:DP20,N$411)+COUNTIF('12月'!DT20:DU20,N$411)+COUNTIF('12月'!DY20:DZ20,N$411)+COUNTIF('12月'!ED20:EE20,N$411)+COUNTIF('12月'!EI20:EJ20,N$411)+COUNTIF('12月'!EN20:EO20,N$411)+COUNTIF('12月'!ES20:ET20,N$411)+COUNTIF('12月'!D20:E20,"三軒茶屋－夜勤")+COUNTIF('12月'!I20:J20,"三軒茶屋－夜勤")+COUNTIF('12月'!N20:O20,"三軒茶屋－夜勤")+COUNTIF('12月'!S20:T20,"三軒茶屋－夜勤")+COUNTIF('12月'!X20:Y20,"三軒茶屋－夜勤")+COUNTIF('12月'!AC20:AD20,"三軒茶屋－夜勤")+COUNTIF('12月'!AH20:AI20,"三軒茶屋－夜勤")+COUNTIF('12月'!AM20:AN20,"三軒茶屋－夜勤")+COUNTIF('12月'!AR20:AS20,"三軒茶屋－夜勤")+COUNTIF('12月'!AW20:AX20,"三軒茶屋－夜勤")+COUNTIF('12月'!BB20:BC20,"三軒茶屋－夜勤")+COUNTIF('12月'!BG20:BH20,"三軒茶屋－夜勤")+COUNTIF('12月'!BL20:BM20,"三軒茶屋－夜勤")+COUNTIF('12月'!BQ20:BR20,"三軒茶屋－夜勤")+COUNTIF('12月'!BV20:BW20,"三軒茶屋－夜勤")+COUNTIF('12月'!CA20:CB20,"三軒茶屋－夜勤")+COUNTIF('12月'!CF20:CG20,"三軒茶屋－夜勤")+COUNTIF('12月'!CK20:CL20,"三軒茶屋－夜勤")+COUNTIF('12月'!CP20:CQ20,"三軒茶屋－夜勤")+COUNTIF('12月'!CU20:CV20,"三軒茶屋－夜勤")+COUNTIF('12月'!CZ20:DA20,"三軒茶屋－夜勤")+COUNTIF('12月'!DE20:DF20,"三軒茶屋－夜勤")+COUNTIF('12月'!DJ20:DK20,"三軒茶屋－夜勤")+COUNTIF('12月'!DO20:DP20,"三軒茶屋－夜勤")+COUNTIF('12月'!DT20:DU20,"三軒茶屋－夜勤")+COUNTIF('12月'!DY20:DZ20,"三軒茶屋－夜勤")+COUNTIF('12月'!ED20:EE20,"三軒茶屋－夜勤")+COUNTIF('12月'!EI20:EJ20,"三軒茶屋－夜勤")+COUNTIF('12月'!EN20:EO20,"三軒茶屋－夜勤")+COUNTIF('12月'!ES20:ET20,"三軒茶屋－夜勤")</f>
        <v>0</v>
      </c>
      <c r="O429" s="76">
        <f t="shared" si="138"/>
        <v>0</v>
      </c>
      <c r="P429" s="76">
        <f>COUNTIF('12月'!D20:E20,P$411)+COUNTIF('12月'!I20:J20,P$411)+COUNTIF('12月'!N20:O20,P$411)+COUNTIF('12月'!S20:T20,P$411)+COUNTIF('12月'!X20:Y20,P$411)+COUNTIF('12月'!AC20:AD20,P$411)+COUNTIF('12月'!AH20:AI20,P$411)+COUNTIF('12月'!AM20:AN20,P$411)+COUNTIF('12月'!AR20:AS20,P$411)+COUNTIF('12月'!AW20:AX20,P$411)+COUNTIF('12月'!BB20:BC20,P$411)+COUNTIF('12月'!BG20:BH20,P$411)+COUNTIF('12月'!BL20:BM20,P$411)+COUNTIF('12月'!BQ20:BR20,P$411)+COUNTIF('12月'!BV20:BW20,P$411)+COUNTIF('12月'!CA20:CB20,P$411)+COUNTIF('12月'!CF20:CG20,P$411)+COUNTIF('12月'!CK20:CL20,P$411)+COUNTIF('12月'!CP20:CQ20,P$411)+COUNTIF('12月'!CU20:CV20,P$411)+COUNTIF('12月'!CZ20:DA20,P$411)+COUNTIF('12月'!DE20:DF20,P$411)+COUNTIF('12月'!DJ20:DK20,P$411)+COUNTIF('12月'!DO20:DP20,P$411)+COUNTIF('12月'!DT20:DU20,P$411)+COUNTIF('12月'!DY20:DZ20,P$411)+COUNTIF('12月'!ED20:EE20,P$411)+COUNTIF('12月'!EI20:EJ20,P$411)+COUNTIF('12月'!EN20:EO20,P$411)+COUNTIF('12月'!ES20:ET20,P$411)+COUNTIF('12月'!D20:E20,"荻窪ー夜勤")+COUNTIF('12月'!I20:J20,"荻窪ー夜勤")+COUNTIF('12月'!N20:O20,"荻窪ー夜勤")+COUNTIF('12月'!S20:T20,"荻窪ー夜勤")+COUNTIF('12月'!X20:Y20,"荻窪ー夜勤")+COUNTIF('12月'!AC20:AD20,"荻窪ー夜勤")+COUNTIF('12月'!AH20:AI20,"荻窪ー夜勤")+COUNTIF('12月'!AM20:AN20,"荻窪ー夜勤")+COUNTIF('12月'!AR20:AS20,"荻窪ー夜勤")+COUNTIF('12月'!AW20:AX20,"荻窪ー夜勤")+COUNTIF('12月'!BB20:BC20,"荻窪ー夜勤")+COUNTIF('12月'!BG20:BH20,"荻窪ー夜勤")+COUNTIF('12月'!BL20:BM20,"荻窪ー夜勤")+COUNTIF('12月'!BQ20:BR20,"荻窪ー夜勤")+COUNTIF('12月'!BV20:BW20,"荻窪ー夜勤")+COUNTIF('12月'!CA20:CB20,"荻窪ー夜勤")+COUNTIF('12月'!CF20:CG20,"荻窪ー夜勤")+COUNTIF('12月'!CK20:CL20,"荻窪ー夜勤")+COUNTIF('12月'!CP20:CQ20,"荻窪ー夜勤")+COUNTIF('12月'!CU20:CV20,"荻窪ー夜勤")+COUNTIF('12月'!CZ20:DA20,"荻窪ー夜勤")+COUNTIF('12月'!DE20:DF20,"荻窪ー夜勤")+COUNTIF('12月'!DJ20:DK20,"荻窪ー夜勤")+COUNTIF('12月'!DO20:DP20,"荻窪ー夜勤")+COUNTIF('12月'!DT20:DU20,"荻窪ー夜勤")+COUNTIF('12月'!DY20:DZ20,"荻窪ー夜勤")+COUNTIF('12月'!ED20:EE20,"荻窪ー夜勤")+COUNTIF('12月'!EI20:EJ20,"荻窪ー夜勤")+COUNTIF('12月'!EN20:EO20,"荻窪ー夜勤")+COUNTIF('12月'!ES20:ET20,"荻窪ー夜勤")</f>
        <v>0</v>
      </c>
      <c r="Q429" s="76">
        <f t="shared" si="139"/>
        <v>0</v>
      </c>
      <c r="R429" s="76">
        <f>COUNTIF('12月'!D20:E20,R$411)+COUNTIF('12月'!I20:J20,R$411)+COUNTIF('12月'!N20:O20,R$411)+COUNTIF('12月'!S20:T20,R$411)+COUNTIF('12月'!X20:Y20,R$411)+COUNTIF('12月'!AC20:AD20,R$411)+COUNTIF('12月'!AH20:AI20,R$411)+COUNTIF('12月'!AM20:AN20,R$411)+COUNTIF('12月'!AR20:AS20,R$411)+COUNTIF('12月'!AW20:AX20,R$411)+COUNTIF('12月'!BB20:BC20,R$411)+COUNTIF('12月'!BG20:BH20,R$411)+COUNTIF('12月'!BL20:BM20,R$411)+COUNTIF('12月'!BQ20:BR20,R$411)+COUNTIF('12月'!BV20:BW20,R$411)+COUNTIF('12月'!CA20:CB20,R$411)+COUNTIF('12月'!CF20:CG20,R$411)+COUNTIF('12月'!CK20:CL20,R$411)+COUNTIF('12月'!CP20:CQ20,R$411)+COUNTIF('12月'!CU20:CV20,R$411)+COUNTIF('12月'!CZ20:DA20,R$411)+COUNTIF('12月'!DE20:DF20,R$411)+COUNTIF('12月'!DJ20:DK20,R$411)+COUNTIF('12月'!DO20:DP20,R$411)+COUNTIF('12月'!DT20:DU20,R$411)+COUNTIF('12月'!DY20:DZ20,R$411)+COUNTIF('12月'!ED20:EE20,R$411)+COUNTIF('12月'!EI20:EJ20,R$411)+COUNTIF('12月'!EN20:EO20,R$411)+COUNTIF('12月'!ES20:ET20,R$411)</f>
        <v>0</v>
      </c>
      <c r="S429" s="76">
        <f t="shared" si="140"/>
        <v>0</v>
      </c>
      <c r="T429" s="76">
        <f>COUNTIF('12月'!D20:E20,T$411)+COUNTIF('12月'!I20:J20,T$411)+COUNTIF('12月'!N20:O20,T$411)+COUNTIF('12月'!S20:T20,T$411)+COUNTIF('12月'!X20:Y20,T$411)+COUNTIF('12月'!AC20:AD20,T$411)+COUNTIF('12月'!AH20:AI20,T$411)+COUNTIF('12月'!AM20:AN20,T$411)+COUNTIF('12月'!AR20:AS20,T$411)+COUNTIF('12月'!AW20:AX20,T$411)+COUNTIF('12月'!BB20:BC20,T$411)+COUNTIF('12月'!BG20:BH20,T$411)+COUNTIF('12月'!BL20:BM20,T$411)+COUNTIF('12月'!BQ20:BR20,T$411)+COUNTIF('12月'!BV20:BW20,T$411)+COUNTIF('12月'!CA20:CB20,T$411)+COUNTIF('12月'!CF20:CG20,T$411)+COUNTIF('12月'!CK20:CL20,T$411)+COUNTIF('12月'!CP20:CQ20,T$411)+COUNTIF('12月'!CU20:CV20,T$411)+COUNTIF('12月'!CZ20:DA20,T$411)+COUNTIF('12月'!DE20:DF20,T$411)+COUNTIF('12月'!DJ20:DK20,T$411)+COUNTIF('12月'!DO20:DP20,T$411)+COUNTIF('12月'!DT20:DU20,T$411)+COUNTIF('12月'!DY20:DZ20,T$411)+COUNTIF('12月'!ED20:EE20,T$411)+COUNTIF('12月'!EI20:EJ20,T$411)+COUNTIF('12月'!EN20:EO20,T$411)+COUNTIF('12月'!ES20:ET20,T$411)</f>
        <v>0</v>
      </c>
      <c r="U429" s="76">
        <f t="shared" si="141"/>
        <v>0</v>
      </c>
      <c r="V429" s="76">
        <f>COUNTIF('12月'!D20:E20,V$411)+COUNTIF('12月'!I20:J20,V$411)+COUNTIF('12月'!N20:O20,V$411)+COUNTIF('12月'!S20:T20,V$411)+COUNTIF('12月'!X20:Y20,V$411)+COUNTIF('12月'!AC20:AD20,V$411)+COUNTIF('12月'!AH20:AI20,V$411)+COUNTIF('12月'!AM20:AN20,V$411)+COUNTIF('12月'!AR20:AS20,V$411)+COUNTIF('12月'!AW20:AX20,V$411)+COUNTIF('12月'!BB20:BC20,V$411)+COUNTIF('12月'!BG20:BH20,V$411)+COUNTIF('12月'!BL20:BM20,V$411)+COUNTIF('12月'!BQ20:BR20,V$411)+COUNTIF('12月'!BV20:BW20,V$411)+COUNTIF('12月'!CA20:CB20,V$411)+COUNTIF('12月'!CF20:CG20,V$411)+COUNTIF('12月'!CK20:CL20,V$411)+COUNTIF('12月'!CP20:CQ20,V$411)+COUNTIF('12月'!CU20:CV20,V$411)+COUNTIF('12月'!CZ20:DA20,V$411)+COUNTIF('12月'!DE20:DF20,V$411)+COUNTIF('12月'!DJ20:DK20,V$411)+COUNTIF('12月'!DO20:DP20,V$411)+COUNTIF('12月'!DT20:DU20,V$411)+COUNTIF('12月'!DY20:DZ20,V$411)+COUNTIF('12月'!ED20:EE20,V$411)+COUNTIF('12月'!EI20:EJ20,V$411)+COUNTIF('12月'!EN20:EO20,V$411)+COUNTIF('12月'!ES20:ET20,V$411)</f>
        <v>0</v>
      </c>
      <c r="W429" s="76">
        <f t="shared" si="142"/>
        <v>0</v>
      </c>
      <c r="X429" s="76">
        <f>COUNTIF('12月'!D20:E20,X$411)+COUNTIF('12月'!I20:J20,X$411)+COUNTIF('12月'!N20:O20,X$411)+COUNTIF('12月'!S20:T20,X$411)+COUNTIF('12月'!X20:Y20,X$411)+COUNTIF('12月'!AC20:AD20,X$411)+COUNTIF('12月'!AH20:AI20,X$411)+COUNTIF('12月'!AM20:AN20,X$411)+COUNTIF('12月'!AR20:AS20,X$411)+COUNTIF('12月'!AW20:AX20,X$411)+COUNTIF('12月'!BB20:BC20,X$411)+COUNTIF('12月'!BG20:BH20,X$411)+COUNTIF('12月'!BL20:BM20,X$411)+COUNTIF('12月'!BQ20:BR20,X$411)+COUNTIF('12月'!BV20:BW20,X$411)+COUNTIF('12月'!CA20:CB20,X$411)+COUNTIF('12月'!CF20:CG20,X$411)+COUNTIF('12月'!CK20:CL20,X$411)+COUNTIF('12月'!CP20:CQ20,X$411)+COUNTIF('12月'!CU20:CV20,X$411)+COUNTIF('12月'!CZ20:DA20,X$411)+COUNTIF('12月'!DE20:DF20,X$411)+COUNTIF('12月'!DJ20:DK20,X$411)+COUNTIF('12月'!DO20:DP20,X$411)+COUNTIF('12月'!DT20:DU20,X$411)+COUNTIF('12月'!DY20:DZ20,X$411)+COUNTIF('12月'!ED20:EE20,X$411)+COUNTIF('12月'!EI20:EJ20,X$411)+COUNTIF('12月'!EN20:EO20,X$411)+COUNTIF('12月'!ES20:ET20,X$411)</f>
        <v>0</v>
      </c>
      <c r="Y429" s="76">
        <f t="shared" si="143"/>
        <v>0</v>
      </c>
    </row>
    <row r="430" spans="1:25" ht="18" customHeight="1">
      <c r="A430" s="76">
        <v>18</v>
      </c>
      <c r="B430" s="76">
        <f>COUNTIF('12月'!D21:E21,B$411)+COUNTIF('12月'!I21:J21,B$411)+COUNTIF('12月'!N21:O21,B$411)+COUNTIF('12月'!S21:T21,B$411)+COUNTIF('12月'!X21:Y21,B$411)+COUNTIF('12月'!AC21:AD21,B$411)+COUNTIF('12月'!AH21:AI21,B$411)+COUNTIF('12月'!AM21:AN21,B$411)+COUNTIF('12月'!AR21:AS21,B$411)+COUNTIF('12月'!AW21:AX21,B$411)+COUNTIF('12月'!BB21:BC21,B$411)+COUNTIF('12月'!BG21:BH21,B$411)+COUNTIF('12月'!BL21:BM21,B$411)+COUNTIF('12月'!BQ21:BR21,B$411)+COUNTIF('12月'!BV21:BW21,B$411)+COUNTIF('12月'!CA21:CB21,B$411)+COUNTIF('12月'!CF21:CG21,B$411)+COUNTIF('12月'!CK21:CL21,B$411)+COUNTIF('12月'!CP21:CQ21,B$411)+COUNTIF('12月'!CU21:CV21,B$411)+COUNTIF('12月'!CZ21:DA21,B$411)+COUNTIF('12月'!DE21:DF21,B$411)+COUNTIF('12月'!DJ21:DK21,B$411)+COUNTIF('12月'!DO21:DP21,B$411)+COUNTIF('12月'!DT21:DU21,B$411)+COUNTIF('12月'!DY21:DZ21,B$411)+COUNTIF('12月'!ED21:EE21,B$411)+COUNTIF('12月'!EI21:EJ21,B$411)+COUNTIF('12月'!EN21:EO21,B$411)+COUNTIF('12月'!ES21:ET21,B$411)</f>
        <v>0</v>
      </c>
      <c r="C430" s="76">
        <f t="shared" si="132"/>
        <v>0</v>
      </c>
      <c r="D430" s="76">
        <f>COUNTIF('12月'!D21:E21,D$411)+COUNTIF('12月'!I21:J21,D$411)+COUNTIF('12月'!N21:O21,D$411)+COUNTIF('12月'!S21:T21,D$411)+COUNTIF('12月'!X21:Y21,D$411)+COUNTIF('12月'!AC21:AD21,D$411)+COUNTIF('12月'!AH21:AI21,D$411)+COUNTIF('12月'!AM21:AN21,D$411)+COUNTIF('12月'!AR21:AS21,D$411)+COUNTIF('12月'!AW21:AX21,D$411)+COUNTIF('12月'!BB21:BC21,D$411)+COUNTIF('12月'!BG21:BH21,D$411)+COUNTIF('12月'!BL21:BM21,D$411)+COUNTIF('12月'!BQ21:BR21,D$411)+COUNTIF('12月'!BV21:BW21,D$411)+COUNTIF('12月'!CA21:CB21,D$411)+COUNTIF('12月'!CF21:CG21,D$411)+COUNTIF('12月'!CK21:CL21,D$411)+COUNTIF('12月'!CP21:CQ21,D$411)+COUNTIF('12月'!CU21:CV21,D$411)+COUNTIF('12月'!CZ21:DA21,D$411)+COUNTIF('12月'!DE21:DF21,D$411)+COUNTIF('12月'!DJ21:DK21,D$411)+COUNTIF('12月'!DO21:DP21,D$411)+COUNTIF('12月'!DT21:DU21,D$411)+COUNTIF('12月'!DY21:DZ21,D$411)+COUNTIF('12月'!ED21:EE21,D$411)+COUNTIF('12月'!EI21:EJ21,D$411)+COUNTIF('12月'!EN21:EO21,D$411)+COUNTIF('12月'!ES21:ET21,D$411)</f>
        <v>0</v>
      </c>
      <c r="E430" s="76">
        <f t="shared" si="133"/>
        <v>0</v>
      </c>
      <c r="F430" s="76">
        <f>COUNTIF('12月'!D21:E21,F$411)+COUNTIF('12月'!I21:J21,F$411)+COUNTIF('12月'!N21:O21,F$411)+COUNTIF('12月'!S21:T21,F$411)+COUNTIF('12月'!X21:Y21,F$411)+COUNTIF('12月'!AC21:AD21,F$411)+COUNTIF('12月'!AH21:AI21,F$411)+COUNTIF('12月'!AM21:AN21,F$411)+COUNTIF('12月'!AR21:AS21,F$411)+COUNTIF('12月'!AW21:AX21,F$411)+COUNTIF('12月'!BB21:BC21,F$411)+COUNTIF('12月'!BG21:BH21,F$411)+COUNTIF('12月'!BL21:BM21,F$411)+COUNTIF('12月'!BQ21:BR21,F$411)+COUNTIF('12月'!BV21:BW21,F$411)+COUNTIF('12月'!CA21:CB21,F$411)+COUNTIF('12月'!CF21:CG21,F$411)+COUNTIF('12月'!CK21:CL21,F$411)+COUNTIF('12月'!CP21:CQ21,F$411)+COUNTIF('12月'!CU21:CV21,F$411)+COUNTIF('12月'!CZ21:DA21,F$411)+COUNTIF('12月'!DE21:DF21,F$411)+COUNTIF('12月'!DJ21:DK21,F$411)+COUNTIF('12月'!DO21:DP21,F$411)+COUNTIF('12月'!DT21:DU21,F$411)+COUNTIF('12月'!DY21:DZ21,F$411)+COUNTIF('12月'!ED21:EE21,F$411)+COUNTIF('12月'!EI21:EJ21,F$411)+COUNTIF('12月'!EN21:EO21,F$411)+COUNTIF('12月'!ES21:ET21,F$411)</f>
        <v>0</v>
      </c>
      <c r="G430" s="76">
        <f t="shared" si="134"/>
        <v>0</v>
      </c>
      <c r="H430" s="76">
        <f>COUNTIF('12月'!D21:E21,H$411)+COUNTIF('12月'!I21:J21,H$411)+COUNTIF('12月'!N21:O21,H$411)+COUNTIF('12月'!S21:T21,H$411)+COUNTIF('12月'!X21:Y21,H$411)+COUNTIF('12月'!AC21:AD21,H$411)+COUNTIF('12月'!AH21:AI21,H$411)+COUNTIF('12月'!AM21:AN21,H$411)+COUNTIF('12月'!AR21:AS21,H$411)+COUNTIF('12月'!AW21:AX21,H$411)+COUNTIF('12月'!BB21:BC21,H$411)+COUNTIF('12月'!BG21:BH21,H$411)+COUNTIF('12月'!BL21:BM21,H$411)+COUNTIF('12月'!BQ21:BR21,H$411)+COUNTIF('12月'!BV21:BW21,H$411)+COUNTIF('12月'!CA21:CB21,H$411)+COUNTIF('12月'!CF21:CG21,H$411)+COUNTIF('12月'!CK21:CL21,H$411)+COUNTIF('12月'!CP21:CQ21,H$411)+COUNTIF('12月'!CU21:CV21,H$411)+COUNTIF('12月'!CZ21:DA21,H$411)+COUNTIF('12月'!DE21:DF21,H$411)+COUNTIF('12月'!DJ21:DK21,H$411)+COUNTIF('12月'!DO21:DP21,H$411)+COUNTIF('12月'!DT21:DU21,H$411)+COUNTIF('12月'!DY21:DZ21,H$411)+COUNTIF('12月'!ED21:EE21,H$411)+COUNTIF('12月'!EI21:EJ21,H$411)+COUNTIF('12月'!EN21:EO21,H$411)+COUNTIF('12月'!ES21:ET21,H$411)+COUNTIF('12月'!D21:E21,"渋谷-夜勤")+COUNTIF('12月'!I21:J21,"渋谷-夜勤")+COUNTIF('12月'!N21:O21,"渋谷-夜勤")+COUNTIF('12月'!S21:T21,"渋谷-夜勤")+COUNTIF('12月'!X21:Y21,"渋谷-夜勤")+COUNTIF('12月'!AC21:AD21,"渋谷-夜勤")+COUNTIF('12月'!AH21:AI21,"渋谷-夜勤")+COUNTIF('12月'!AM21:AN21,"渋谷-夜勤")+COUNTIF('12月'!AR21:AS21,"渋谷-夜勤")+COUNTIF('12月'!AW21:AX21,"渋谷-夜勤")+COUNTIF('12月'!BB21:BC21,"渋谷-夜勤")+COUNTIF('12月'!BG21:BH21,"渋谷-夜勤")+COUNTIF('12月'!BL21:BM21,"渋谷-夜勤")+COUNTIF('12月'!BQ21:BR21,"渋谷-夜勤")+COUNTIF('12月'!BV21:BW21,"渋谷-夜勤")+COUNTIF('12月'!CA21:CB21,"渋谷-夜勤")+COUNTIF('12月'!CF21:CG21,"渋谷-夜勤")+COUNTIF('12月'!CK21:CL21,"渋谷-夜勤")+COUNTIF('12月'!CP21:CQ21,"渋谷-夜勤")+COUNTIF('12月'!CU21:CV21,"渋谷-夜勤")+COUNTIF('12月'!CZ21:DA21,"渋谷-夜勤")+COUNTIF('12月'!DE21:DF21,"渋谷-夜勤")+COUNTIF('12月'!DJ21:DK21,"渋谷-夜勤")+COUNTIF('12月'!DO21:DP21,"渋谷-夜勤")+COUNTIF('12月'!DT21:DU21,"渋谷-夜勤")+COUNTIF('12月'!DY21:DZ21,"渋谷-夜勤")+COUNTIF('12月'!ED21:EE21,"渋谷-夜勤")+COUNTIF('12月'!EI21:EJ21,"渋谷-夜勤")+COUNTIF('12月'!EN21:EO21,"渋谷-夜勤")+COUNTIF('12月'!ES21:ET21,"渋谷-夜勤")</f>
        <v>0</v>
      </c>
      <c r="I430" s="76">
        <f t="shared" si="135"/>
        <v>0</v>
      </c>
      <c r="J430" s="76">
        <f>COUNTIF('12月'!D21:E21,J$411)+COUNTIF('12月'!I21:J21,J$411)+COUNTIF('12月'!N21:O21,J$411)+COUNTIF('12月'!S21:T21,J$411)+COUNTIF('12月'!X21:Y21,J$411)+COUNTIF('12月'!AC21:AD21,J$411)+COUNTIF('12月'!AH21:AI21,J$411)+COUNTIF('12月'!AM21:AN21,J$411)+COUNTIF('12月'!AR21:AS21,J$411)+COUNTIF('12月'!AW21:AX21,J$411)+COUNTIF('12月'!BB21:BC21,J$411)+COUNTIF('12月'!BG21:BH21,J$411)+COUNTIF('12月'!BL21:BM21,J$411)+COUNTIF('12月'!BQ21:BR21,J$411)+COUNTIF('12月'!BV21:BW21,J$411)+COUNTIF('12月'!CA21:CB21,J$411)+COUNTIF('12月'!CF21:CG21,J$411)+COUNTIF('12月'!CK21:CL21,J$411)+COUNTIF('12月'!CP21:CQ21,J$411)+COUNTIF('12月'!CU21:CV21,J$411)+COUNTIF('12月'!CZ21:DA21,J$411)+COUNTIF('12月'!DE21:DF21,J$411)+COUNTIF('12月'!DJ21:DK21,J$411)+COUNTIF('12月'!DO21:DP21,J$411)+COUNTIF('12月'!DT21:DU21,J$411)+COUNTIF('12月'!DY21:DZ21,J$411)+COUNTIF('12月'!ED21:EE21,J$411)+COUNTIF('12月'!EI21:EJ21,J$411)+COUNTIF('12月'!EN21:EO21,J$411)+COUNTIF('12月'!ES21:ET21,J$411)+COUNTIF('12月'!D21:E21,"六本木-夜勤")+COUNTIF('12月'!I21:J21,"六本木-夜勤")+COUNTIF('12月'!N21:O21,"六本木-夜勤")+COUNTIF('12月'!S21:T21,"六本木-夜勤")+COUNTIF('12月'!X21:Y21,"六本木-夜勤")+COUNTIF('12月'!AC21:AD21,"六本木-夜勤")+COUNTIF('12月'!AH21:AI21,"六本木-夜勤")+COUNTIF('12月'!AM21:AN21,"六本木-夜勤")+COUNTIF('12月'!AR21:AS21,"六本木-夜勤")+COUNTIF('12月'!AW21:AX21,"六本木-夜勤")+COUNTIF('12月'!BB21:BC21,"六本木-夜勤")+COUNTIF('12月'!BG21:BH21,"六本木-夜勤")+COUNTIF('12月'!BL21:BM21,"六本木-夜勤")+COUNTIF('12月'!BQ21:BR21,"六本木-夜勤")+COUNTIF('12月'!BV21:BW21,"六本木-夜勤")+COUNTIF('12月'!CA21:CB21,"六本木-夜勤")+COUNTIF('12月'!CF21:CG21,"六本木-夜勤")+COUNTIF('12月'!CK21:CL21,"六本木-夜勤")+COUNTIF('12月'!CP21:CQ21,"六本木-夜勤")+COUNTIF('12月'!CU21:CV21,"六本木-夜勤")+COUNTIF('12月'!CZ21:DA21,"六本木-夜勤")+COUNTIF('12月'!DE21:DF21,"六本木-夜勤")+COUNTIF('12月'!DJ21:DK21,"六本木-夜勤")+COUNTIF('12月'!DO21:DP21,"六本木-夜勤")+COUNTIF('12月'!DT21:DU21,"六本木-夜勤")+COUNTIF('12月'!DY21:DZ21,"六本木-夜勤")+COUNTIF('12月'!ED21:EE21,"六本木-夜勤")+COUNTIF('12月'!EI21:EJ21,"六本木-夜勤")+COUNTIF('12月'!EN21:EO21,"六本木-夜勤")+COUNTIF('12月'!ES21:ET21,"六本木-夜勤")+COUNTIF('12月'!D21:E21,"六本木ー夜勤")+COUNTIF('12月'!I21:J21,"六本木ー夜勤")+COUNTIF('12月'!N21:O21,"六本木ー夜勤")+COUNTIF('12月'!S21:T21,"六本木ー夜勤")+COUNTIF('12月'!X21:Y21,"六本木ー夜勤")+COUNTIF('12月'!AC21:AD21,"六本木ー夜勤")+COUNTIF('12月'!AH21:AI21,"六本木ー夜勤")+COUNTIF('12月'!AM21:AN21,"六本木ー夜勤")+COUNTIF('12月'!AR21:AS21,"六本木ー夜勤")+COUNTIF('12月'!AW21:AX21,"六本木ー夜勤")+COUNTIF('12月'!BB21:BC21,"六本木ー夜勤")+COUNTIF('12月'!BG21:BH21,"六本木ー夜勤")+COUNTIF('12月'!BL21:BM21,"六本木ー夜勤")+COUNTIF('12月'!BQ21:BR21,"六本木ー夜勤")+COUNTIF('12月'!BV21:BW21,"六本木ー夜勤")+COUNTIF('12月'!CA21:CB21,"六本木ー夜勤")+COUNTIF('12月'!CF21:CG21,"六本木ー夜勤")+COUNTIF('12月'!CK21:CL21,"六本木ー夜勤")+COUNTIF('12月'!CP21:CQ21,"六本木ー夜勤")+COUNTIF('12月'!CU21:CV21,"六本木ー夜勤")+COUNTIF('12月'!CZ21:DA21,"六本木ー夜勤")+COUNTIF('12月'!DE21:DF21,"六本木ー夜勤")+COUNTIF('12月'!DJ21:DK21,"六本木ー夜勤")+COUNTIF('12月'!DO21:DP21,"六本木ー夜勤")+COUNTIF('12月'!DT21:DU21,"六本木ー夜勤")+COUNTIF('12月'!DY21:DZ21,"六本木ー夜勤")+COUNTIF('12月'!ED21:EE21,"六本木ー夜勤")+COUNTIF('12月'!EI21:EJ21,"六本木ー夜勤")+COUNTIF('12月'!EN21:EO21,"六本木ー夜勤")+COUNTIF('12月'!ES21:ET21,"六本木ー夜勤")</f>
        <v>0</v>
      </c>
      <c r="K430" s="76">
        <f t="shared" si="136"/>
        <v>0</v>
      </c>
      <c r="L430" s="76">
        <f>COUNTIF('12月'!D21:E21,L$411)+COUNTIF('12月'!I21:J21,L$411)+COUNTIF('12月'!N21:O21,L$411)+COUNTIF('12月'!S21:T21,L$411)+COUNTIF('12月'!X21:Y21,L$411)+COUNTIF('12月'!AC21:AD21,L$411)+COUNTIF('12月'!AH21:AI21,L$411)+COUNTIF('12月'!AM21:AN21,L$411)+COUNTIF('12月'!AR21:AS21,L$411)+COUNTIF('12月'!AW21:AX21,L$411)+COUNTIF('12月'!BB21:BC21,L$411)+COUNTIF('12月'!BG21:BH21,L$411)+COUNTIF('12月'!BL21:BM21,L$411)+COUNTIF('12月'!BQ21:BR21,L$411)+COUNTIF('12月'!BV21:BW21,L$411)+COUNTIF('12月'!CA21:CB21,L$411)+COUNTIF('12月'!CF21:CG21,L$411)+COUNTIF('12月'!CK21:CL21,L$411)+COUNTIF('12月'!CP21:CQ21,L$411)+COUNTIF('12月'!CU21:CV21,L$411)+COUNTIF('12月'!CZ21:DA21,L$411)+COUNTIF('12月'!DE21:DF21,L$411)+COUNTIF('12月'!DJ21:DK21,L$411)+COUNTIF('12月'!DO21:DP21,L$411)+COUNTIF('12月'!DT21:DU21,L$411)+COUNTIF('12月'!DY21:DZ21,L$411)+COUNTIF('12月'!ED21:EE21,L$411)+COUNTIF('12月'!EI21:EJ21,L$411)+COUNTIF('12月'!EN21:EO21,L$411)+COUNTIF('12月'!ES21:ET21,L$411)</f>
        <v>0</v>
      </c>
      <c r="M430" s="76">
        <f t="shared" si="137"/>
        <v>0</v>
      </c>
      <c r="N430" s="76">
        <f>COUNTIF('12月'!D21:E21,N$411)+COUNTIF('12月'!I21:J21,N$411)+COUNTIF('12月'!N21:O21,N$411)+COUNTIF('12月'!S21:T21,N$411)+COUNTIF('12月'!X21:Y21,N$411)+COUNTIF('12月'!AC21:AD21,N$411)+COUNTIF('12月'!AH21:AI21,N$411)+COUNTIF('12月'!AM21:AN21,N$411)+COUNTIF('12月'!AR21:AS21,N$411)+COUNTIF('12月'!AW21:AX21,N$411)+COUNTIF('12月'!BB21:BC21,N$411)+COUNTIF('12月'!BG21:BH21,N$411)+COUNTIF('12月'!BL21:BM21,N$411)+COUNTIF('12月'!BQ21:BR21,N$411)+COUNTIF('12月'!BV21:BW21,N$411)+COUNTIF('12月'!CA21:CB21,N$411)+COUNTIF('12月'!CF21:CG21,N$411)+COUNTIF('12月'!CK21:CL21,N$411)+COUNTIF('12月'!CP21:CQ21,N$411)+COUNTIF('12月'!CU21:CV21,N$411)+COUNTIF('12月'!CZ21:DA21,N$411)+COUNTIF('12月'!DE21:DF21,N$411)+COUNTIF('12月'!DJ21:DK21,N$411)+COUNTIF('12月'!DO21:DP21,N$411)+COUNTIF('12月'!DT21:DU21,N$411)+COUNTIF('12月'!DY21:DZ21,N$411)+COUNTIF('12月'!ED21:EE21,N$411)+COUNTIF('12月'!EI21:EJ21,N$411)+COUNTIF('12月'!EN21:EO21,N$411)+COUNTIF('12月'!ES21:ET21,N$411)+COUNTIF('12月'!D21:E21,"三軒茶屋－夜勤")+COUNTIF('12月'!I21:J21,"三軒茶屋－夜勤")+COUNTIF('12月'!N21:O21,"三軒茶屋－夜勤")+COUNTIF('12月'!S21:T21,"三軒茶屋－夜勤")+COUNTIF('12月'!X21:Y21,"三軒茶屋－夜勤")+COUNTIF('12月'!AC21:AD21,"三軒茶屋－夜勤")+COUNTIF('12月'!AH21:AI21,"三軒茶屋－夜勤")+COUNTIF('12月'!AM21:AN21,"三軒茶屋－夜勤")+COUNTIF('12月'!AR21:AS21,"三軒茶屋－夜勤")+COUNTIF('12月'!AW21:AX21,"三軒茶屋－夜勤")+COUNTIF('12月'!BB21:BC21,"三軒茶屋－夜勤")+COUNTIF('12月'!BG21:BH21,"三軒茶屋－夜勤")+COUNTIF('12月'!BL21:BM21,"三軒茶屋－夜勤")+COUNTIF('12月'!BQ21:BR21,"三軒茶屋－夜勤")+COUNTIF('12月'!BV21:BW21,"三軒茶屋－夜勤")+COUNTIF('12月'!CA21:CB21,"三軒茶屋－夜勤")+COUNTIF('12月'!CF21:CG21,"三軒茶屋－夜勤")+COUNTIF('12月'!CK21:CL21,"三軒茶屋－夜勤")+COUNTIF('12月'!CP21:CQ21,"三軒茶屋－夜勤")+COUNTIF('12月'!CU21:CV21,"三軒茶屋－夜勤")+COUNTIF('12月'!CZ21:DA21,"三軒茶屋－夜勤")+COUNTIF('12月'!DE21:DF21,"三軒茶屋－夜勤")+COUNTIF('12月'!DJ21:DK21,"三軒茶屋－夜勤")+COUNTIF('12月'!DO21:DP21,"三軒茶屋－夜勤")+COUNTIF('12月'!DT21:DU21,"三軒茶屋－夜勤")+COUNTIF('12月'!DY21:DZ21,"三軒茶屋－夜勤")+COUNTIF('12月'!ED21:EE21,"三軒茶屋－夜勤")+COUNTIF('12月'!EI21:EJ21,"三軒茶屋－夜勤")+COUNTIF('12月'!EN21:EO21,"三軒茶屋－夜勤")+COUNTIF('12月'!ES21:ET21,"三軒茶屋－夜勤")</f>
        <v>0</v>
      </c>
      <c r="O430" s="76">
        <f t="shared" si="138"/>
        <v>0</v>
      </c>
      <c r="P430" s="76">
        <f>COUNTIF('12月'!D21:E21,P$411)+COUNTIF('12月'!I21:J21,P$411)+COUNTIF('12月'!N21:O21,P$411)+COUNTIF('12月'!S21:T21,P$411)+COUNTIF('12月'!X21:Y21,P$411)+COUNTIF('12月'!AC21:AD21,P$411)+COUNTIF('12月'!AH21:AI21,P$411)+COUNTIF('12月'!AM21:AN21,P$411)+COUNTIF('12月'!AR21:AS21,P$411)+COUNTIF('12月'!AW21:AX21,P$411)+COUNTIF('12月'!BB21:BC21,P$411)+COUNTIF('12月'!BG21:BH21,P$411)+COUNTIF('12月'!BL21:BM21,P$411)+COUNTIF('12月'!BQ21:BR21,P$411)+COUNTIF('12月'!BV21:BW21,P$411)+COUNTIF('12月'!CA21:CB21,P$411)+COUNTIF('12月'!CF21:CG21,P$411)+COUNTIF('12月'!CK21:CL21,P$411)+COUNTIF('12月'!CP21:CQ21,P$411)+COUNTIF('12月'!CU21:CV21,P$411)+COUNTIF('12月'!CZ21:DA21,P$411)+COUNTIF('12月'!DE21:DF21,P$411)+COUNTIF('12月'!DJ21:DK21,P$411)+COUNTIF('12月'!DO21:DP21,P$411)+COUNTIF('12月'!DT21:DU21,P$411)+COUNTIF('12月'!DY21:DZ21,P$411)+COUNTIF('12月'!ED21:EE21,P$411)+COUNTIF('12月'!EI21:EJ21,P$411)+COUNTIF('12月'!EN21:EO21,P$411)+COUNTIF('12月'!ES21:ET21,P$411)+COUNTIF('12月'!D21:E21,"荻窪ー夜勤")+COUNTIF('12月'!I21:J21,"荻窪ー夜勤")+COUNTIF('12月'!N21:O21,"荻窪ー夜勤")+COUNTIF('12月'!S21:T21,"荻窪ー夜勤")+COUNTIF('12月'!X21:Y21,"荻窪ー夜勤")+COUNTIF('12月'!AC21:AD21,"荻窪ー夜勤")+COUNTIF('12月'!AH21:AI21,"荻窪ー夜勤")+COUNTIF('12月'!AM21:AN21,"荻窪ー夜勤")+COUNTIF('12月'!AR21:AS21,"荻窪ー夜勤")+COUNTIF('12月'!AW21:AX21,"荻窪ー夜勤")+COUNTIF('12月'!BB21:BC21,"荻窪ー夜勤")+COUNTIF('12月'!BG21:BH21,"荻窪ー夜勤")+COUNTIF('12月'!BL21:BM21,"荻窪ー夜勤")+COUNTIF('12月'!BQ21:BR21,"荻窪ー夜勤")+COUNTIF('12月'!BV21:BW21,"荻窪ー夜勤")+COUNTIF('12月'!CA21:CB21,"荻窪ー夜勤")+COUNTIF('12月'!CF21:CG21,"荻窪ー夜勤")+COUNTIF('12月'!CK21:CL21,"荻窪ー夜勤")+COUNTIF('12月'!CP21:CQ21,"荻窪ー夜勤")+COUNTIF('12月'!CU21:CV21,"荻窪ー夜勤")+COUNTIF('12月'!CZ21:DA21,"荻窪ー夜勤")+COUNTIF('12月'!DE21:DF21,"荻窪ー夜勤")+COUNTIF('12月'!DJ21:DK21,"荻窪ー夜勤")+COUNTIF('12月'!DO21:DP21,"荻窪ー夜勤")+COUNTIF('12月'!DT21:DU21,"荻窪ー夜勤")+COUNTIF('12月'!DY21:DZ21,"荻窪ー夜勤")+COUNTIF('12月'!ED21:EE21,"荻窪ー夜勤")+COUNTIF('12月'!EI21:EJ21,"荻窪ー夜勤")+COUNTIF('12月'!EN21:EO21,"荻窪ー夜勤")+COUNTIF('12月'!ES21:ET21,"荻窪ー夜勤")</f>
        <v>0</v>
      </c>
      <c r="Q430" s="76">
        <f t="shared" si="139"/>
        <v>0</v>
      </c>
      <c r="R430" s="76">
        <f>COUNTIF('12月'!D21:E21,R$411)+COUNTIF('12月'!I21:J21,R$411)+COUNTIF('12月'!N21:O21,R$411)+COUNTIF('12月'!S21:T21,R$411)+COUNTIF('12月'!X21:Y21,R$411)+COUNTIF('12月'!AC21:AD21,R$411)+COUNTIF('12月'!AH21:AI21,R$411)+COUNTIF('12月'!AM21:AN21,R$411)+COUNTIF('12月'!AR21:AS21,R$411)+COUNTIF('12月'!AW21:AX21,R$411)+COUNTIF('12月'!BB21:BC21,R$411)+COUNTIF('12月'!BG21:BH21,R$411)+COUNTIF('12月'!BL21:BM21,R$411)+COUNTIF('12月'!BQ21:BR21,R$411)+COUNTIF('12月'!BV21:BW21,R$411)+COUNTIF('12月'!CA21:CB21,R$411)+COUNTIF('12月'!CF21:CG21,R$411)+COUNTIF('12月'!CK21:CL21,R$411)+COUNTIF('12月'!CP21:CQ21,R$411)+COUNTIF('12月'!CU21:CV21,R$411)+COUNTIF('12月'!CZ21:DA21,R$411)+COUNTIF('12月'!DE21:DF21,R$411)+COUNTIF('12月'!DJ21:DK21,R$411)+COUNTIF('12月'!DO21:DP21,R$411)+COUNTIF('12月'!DT21:DU21,R$411)+COUNTIF('12月'!DY21:DZ21,R$411)+COUNTIF('12月'!ED21:EE21,R$411)+COUNTIF('12月'!EI21:EJ21,R$411)+COUNTIF('12月'!EN21:EO21,R$411)+COUNTIF('12月'!ES21:ET21,R$411)</f>
        <v>0</v>
      </c>
      <c r="S430" s="76">
        <f t="shared" si="140"/>
        <v>0</v>
      </c>
      <c r="T430" s="76">
        <f>COUNTIF('12月'!D21:E21,T$411)+COUNTIF('12月'!I21:J21,T$411)+COUNTIF('12月'!N21:O21,T$411)+COUNTIF('12月'!S21:T21,T$411)+COUNTIF('12月'!X21:Y21,T$411)+COUNTIF('12月'!AC21:AD21,T$411)+COUNTIF('12月'!AH21:AI21,T$411)+COUNTIF('12月'!AM21:AN21,T$411)+COUNTIF('12月'!AR21:AS21,T$411)+COUNTIF('12月'!AW21:AX21,T$411)+COUNTIF('12月'!BB21:BC21,T$411)+COUNTIF('12月'!BG21:BH21,T$411)+COUNTIF('12月'!BL21:BM21,T$411)+COUNTIF('12月'!BQ21:BR21,T$411)+COUNTIF('12月'!BV21:BW21,T$411)+COUNTIF('12月'!CA21:CB21,T$411)+COUNTIF('12月'!CF21:CG21,T$411)+COUNTIF('12月'!CK21:CL21,T$411)+COUNTIF('12月'!CP21:CQ21,T$411)+COUNTIF('12月'!CU21:CV21,T$411)+COUNTIF('12月'!CZ21:DA21,T$411)+COUNTIF('12月'!DE21:DF21,T$411)+COUNTIF('12月'!DJ21:DK21,T$411)+COUNTIF('12月'!DO21:DP21,T$411)+COUNTIF('12月'!DT21:DU21,T$411)+COUNTIF('12月'!DY21:DZ21,T$411)+COUNTIF('12月'!ED21:EE21,T$411)+COUNTIF('12月'!EI21:EJ21,T$411)+COUNTIF('12月'!EN21:EO21,T$411)+COUNTIF('12月'!ES21:ET21,T$411)</f>
        <v>0</v>
      </c>
      <c r="U430" s="76">
        <f t="shared" si="141"/>
        <v>0</v>
      </c>
      <c r="V430" s="76">
        <f>COUNTIF('12月'!D21:E21,V$411)+COUNTIF('12月'!I21:J21,V$411)+COUNTIF('12月'!N21:O21,V$411)+COUNTIF('12月'!S21:T21,V$411)+COUNTIF('12月'!X21:Y21,V$411)+COUNTIF('12月'!AC21:AD21,V$411)+COUNTIF('12月'!AH21:AI21,V$411)+COUNTIF('12月'!AM21:AN21,V$411)+COUNTIF('12月'!AR21:AS21,V$411)+COUNTIF('12月'!AW21:AX21,V$411)+COUNTIF('12月'!BB21:BC21,V$411)+COUNTIF('12月'!BG21:BH21,V$411)+COUNTIF('12月'!BL21:BM21,V$411)+COUNTIF('12月'!BQ21:BR21,V$411)+COUNTIF('12月'!BV21:BW21,V$411)+COUNTIF('12月'!CA21:CB21,V$411)+COUNTIF('12月'!CF21:CG21,V$411)+COUNTIF('12月'!CK21:CL21,V$411)+COUNTIF('12月'!CP21:CQ21,V$411)+COUNTIF('12月'!CU21:CV21,V$411)+COUNTIF('12月'!CZ21:DA21,V$411)+COUNTIF('12月'!DE21:DF21,V$411)+COUNTIF('12月'!DJ21:DK21,V$411)+COUNTIF('12月'!DO21:DP21,V$411)+COUNTIF('12月'!DT21:DU21,V$411)+COUNTIF('12月'!DY21:DZ21,V$411)+COUNTIF('12月'!ED21:EE21,V$411)+COUNTIF('12月'!EI21:EJ21,V$411)+COUNTIF('12月'!EN21:EO21,V$411)+COUNTIF('12月'!ES21:ET21,V$411)</f>
        <v>0</v>
      </c>
      <c r="W430" s="76">
        <f t="shared" si="142"/>
        <v>0</v>
      </c>
      <c r="X430" s="76">
        <f>COUNTIF('12月'!D21:E21,X$411)+COUNTIF('12月'!I21:J21,X$411)+COUNTIF('12月'!N21:O21,X$411)+COUNTIF('12月'!S21:T21,X$411)+COUNTIF('12月'!X21:Y21,X$411)+COUNTIF('12月'!AC21:AD21,X$411)+COUNTIF('12月'!AH21:AI21,X$411)+COUNTIF('12月'!AM21:AN21,X$411)+COUNTIF('12月'!AR21:AS21,X$411)+COUNTIF('12月'!AW21:AX21,X$411)+COUNTIF('12月'!BB21:BC21,X$411)+COUNTIF('12月'!BG21:BH21,X$411)+COUNTIF('12月'!BL21:BM21,X$411)+COUNTIF('12月'!BQ21:BR21,X$411)+COUNTIF('12月'!BV21:BW21,X$411)+COUNTIF('12月'!CA21:CB21,X$411)+COUNTIF('12月'!CF21:CG21,X$411)+COUNTIF('12月'!CK21:CL21,X$411)+COUNTIF('12月'!CP21:CQ21,X$411)+COUNTIF('12月'!CU21:CV21,X$411)+COUNTIF('12月'!CZ21:DA21,X$411)+COUNTIF('12月'!DE21:DF21,X$411)+COUNTIF('12月'!DJ21:DK21,X$411)+COUNTIF('12月'!DO21:DP21,X$411)+COUNTIF('12月'!DT21:DU21,X$411)+COUNTIF('12月'!DY21:DZ21,X$411)+COUNTIF('12月'!ED21:EE21,X$411)+COUNTIF('12月'!EI21:EJ21,X$411)+COUNTIF('12月'!EN21:EO21,X$411)+COUNTIF('12月'!ES21:ET21,X$411)</f>
        <v>0</v>
      </c>
      <c r="Y430" s="76">
        <f t="shared" si="143"/>
        <v>0</v>
      </c>
    </row>
    <row r="431" spans="1:25" ht="18" customHeight="1">
      <c r="A431" s="76">
        <v>19</v>
      </c>
      <c r="B431" s="76">
        <f>COUNTIF('12月'!D22:E22,B$411)+COUNTIF('12月'!I22:J22,B$411)+COUNTIF('12月'!N22:O22,B$411)+COUNTIF('12月'!S22:T22,B$411)+COUNTIF('12月'!X22:Y22,B$411)+COUNTIF('12月'!AC22:AD22,B$411)+COUNTIF('12月'!AH22:AI22,B$411)+COUNTIF('12月'!AM22:AN22,B$411)+COUNTIF('12月'!AR22:AS22,B$411)+COUNTIF('12月'!AW22:AX22,B$411)+COUNTIF('12月'!BB22:BC22,B$411)+COUNTIF('12月'!BG22:BH22,B$411)+COUNTIF('12月'!BL22:BM22,B$411)+COUNTIF('12月'!BQ22:BR22,B$411)+COUNTIF('12月'!BV22:BW22,B$411)+COUNTIF('12月'!CA22:CB22,B$411)+COUNTIF('12月'!CF22:CG22,B$411)+COUNTIF('12月'!CK22:CL22,B$411)+COUNTIF('12月'!CP22:CQ22,B$411)+COUNTIF('12月'!CU22:CV22,B$411)+COUNTIF('12月'!CZ22:DA22,B$411)+COUNTIF('12月'!DE22:DF22,B$411)+COUNTIF('12月'!DJ22:DK22,B$411)+COUNTIF('12月'!DO22:DP22,B$411)+COUNTIF('12月'!DT22:DU22,B$411)+COUNTIF('12月'!DY22:DZ22,B$411)+COUNTIF('12月'!ED22:EE22,B$411)+COUNTIF('12月'!EI22:EJ22,B$411)+COUNTIF('12月'!EN22:EO22,B$411)+COUNTIF('12月'!ES22:ET22,B$411)</f>
        <v>0</v>
      </c>
      <c r="C431" s="76">
        <f t="shared" si="132"/>
        <v>0</v>
      </c>
      <c r="D431" s="76">
        <f>COUNTIF('12月'!D22:E22,D$411)+COUNTIF('12月'!I22:J22,D$411)+COUNTIF('12月'!N22:O22,D$411)+COUNTIF('12月'!S22:T22,D$411)+COUNTIF('12月'!X22:Y22,D$411)+COUNTIF('12月'!AC22:AD22,D$411)+COUNTIF('12月'!AH22:AI22,D$411)+COUNTIF('12月'!AM22:AN22,D$411)+COUNTIF('12月'!AR22:AS22,D$411)+COUNTIF('12月'!AW22:AX22,D$411)+COUNTIF('12月'!BB22:BC22,D$411)+COUNTIF('12月'!BG22:BH22,D$411)+COUNTIF('12月'!BL22:BM22,D$411)+COUNTIF('12月'!BQ22:BR22,D$411)+COUNTIF('12月'!BV22:BW22,D$411)+COUNTIF('12月'!CA22:CB22,D$411)+COUNTIF('12月'!CF22:CG22,D$411)+COUNTIF('12月'!CK22:CL22,D$411)+COUNTIF('12月'!CP22:CQ22,D$411)+COUNTIF('12月'!CU22:CV22,D$411)+COUNTIF('12月'!CZ22:DA22,D$411)+COUNTIF('12月'!DE22:DF22,D$411)+COUNTIF('12月'!DJ22:DK22,D$411)+COUNTIF('12月'!DO22:DP22,D$411)+COUNTIF('12月'!DT22:DU22,D$411)+COUNTIF('12月'!DY22:DZ22,D$411)+COUNTIF('12月'!ED22:EE22,D$411)+COUNTIF('12月'!EI22:EJ22,D$411)+COUNTIF('12月'!EN22:EO22,D$411)+COUNTIF('12月'!ES22:ET22,D$411)</f>
        <v>0</v>
      </c>
      <c r="E431" s="76">
        <f t="shared" si="133"/>
        <v>0</v>
      </c>
      <c r="F431" s="76">
        <f>COUNTIF('12月'!D22:E22,F$411)+COUNTIF('12月'!I22:J22,F$411)+COUNTIF('12月'!N22:O22,F$411)+COUNTIF('12月'!S22:T22,F$411)+COUNTIF('12月'!X22:Y22,F$411)+COUNTIF('12月'!AC22:AD22,F$411)+COUNTIF('12月'!AH22:AI22,F$411)+COUNTIF('12月'!AM22:AN22,F$411)+COUNTIF('12月'!AR22:AS22,F$411)+COUNTIF('12月'!AW22:AX22,F$411)+COUNTIF('12月'!BB22:BC22,F$411)+COUNTIF('12月'!BG22:BH22,F$411)+COUNTIF('12月'!BL22:BM22,F$411)+COUNTIF('12月'!BQ22:BR22,F$411)+COUNTIF('12月'!BV22:BW22,F$411)+COUNTIF('12月'!CA22:CB22,F$411)+COUNTIF('12月'!CF22:CG22,F$411)+COUNTIF('12月'!CK22:CL22,F$411)+COUNTIF('12月'!CP22:CQ22,F$411)+COUNTIF('12月'!CU22:CV22,F$411)+COUNTIF('12月'!CZ22:DA22,F$411)+COUNTIF('12月'!DE22:DF22,F$411)+COUNTIF('12月'!DJ22:DK22,F$411)+COUNTIF('12月'!DO22:DP22,F$411)+COUNTIF('12月'!DT22:DU22,F$411)+COUNTIF('12月'!DY22:DZ22,F$411)+COUNTIF('12月'!ED22:EE22,F$411)+COUNTIF('12月'!EI22:EJ22,F$411)+COUNTIF('12月'!EN22:EO22,F$411)+COUNTIF('12月'!ES22:ET22,F$411)</f>
        <v>0</v>
      </c>
      <c r="G431" s="76">
        <f t="shared" si="134"/>
        <v>0</v>
      </c>
      <c r="H431" s="76">
        <f>COUNTIF('12月'!D22:E22,H$411)+COUNTIF('12月'!I22:J22,H$411)+COUNTIF('12月'!N22:O22,H$411)+COUNTIF('12月'!S22:T22,H$411)+COUNTIF('12月'!X22:Y22,H$411)+COUNTIF('12月'!AC22:AD22,H$411)+COUNTIF('12月'!AH22:AI22,H$411)+COUNTIF('12月'!AM22:AN22,H$411)+COUNTIF('12月'!AR22:AS22,H$411)+COUNTIF('12月'!AW22:AX22,H$411)+COUNTIF('12月'!BB22:BC22,H$411)+COUNTIF('12月'!BG22:BH22,H$411)+COUNTIF('12月'!BL22:BM22,H$411)+COUNTIF('12月'!BQ22:BR22,H$411)+COUNTIF('12月'!BV22:BW22,H$411)+COUNTIF('12月'!CA22:CB22,H$411)+COUNTIF('12月'!CF22:CG22,H$411)+COUNTIF('12月'!CK22:CL22,H$411)+COUNTIF('12月'!CP22:CQ22,H$411)+COUNTIF('12月'!CU22:CV22,H$411)+COUNTIF('12月'!CZ22:DA22,H$411)+COUNTIF('12月'!DE22:DF22,H$411)+COUNTIF('12月'!DJ22:DK22,H$411)+COUNTIF('12月'!DO22:DP22,H$411)+COUNTIF('12月'!DT22:DU22,H$411)+COUNTIF('12月'!DY22:DZ22,H$411)+COUNTIF('12月'!ED22:EE22,H$411)+COUNTIF('12月'!EI22:EJ22,H$411)+COUNTIF('12月'!EN22:EO22,H$411)+COUNTIF('12月'!ES22:ET22,H$411)+COUNTIF('12月'!D22:E22,"渋谷-夜勤")+COUNTIF('12月'!I22:J22,"渋谷-夜勤")+COUNTIF('12月'!N22:O22,"渋谷-夜勤")+COUNTIF('12月'!S22:T22,"渋谷-夜勤")+COUNTIF('12月'!X22:Y22,"渋谷-夜勤")+COUNTIF('12月'!AC22:AD22,"渋谷-夜勤")+COUNTIF('12月'!AH22:AI22,"渋谷-夜勤")+COUNTIF('12月'!AM22:AN22,"渋谷-夜勤")+COUNTIF('12月'!AR22:AS22,"渋谷-夜勤")+COUNTIF('12月'!AW22:AX22,"渋谷-夜勤")+COUNTIF('12月'!BB22:BC22,"渋谷-夜勤")+COUNTIF('12月'!BG22:BH22,"渋谷-夜勤")+COUNTIF('12月'!BL22:BM22,"渋谷-夜勤")+COUNTIF('12月'!BQ22:BR22,"渋谷-夜勤")+COUNTIF('12月'!BV22:BW22,"渋谷-夜勤")+COUNTIF('12月'!CA22:CB22,"渋谷-夜勤")+COUNTIF('12月'!CF22:CG22,"渋谷-夜勤")+COUNTIF('12月'!CK22:CL22,"渋谷-夜勤")+COUNTIF('12月'!CP22:CQ22,"渋谷-夜勤")+COUNTIF('12月'!CU22:CV22,"渋谷-夜勤")+COUNTIF('12月'!CZ22:DA22,"渋谷-夜勤")+COUNTIF('12月'!DE22:DF22,"渋谷-夜勤")+COUNTIF('12月'!DJ22:DK22,"渋谷-夜勤")+COUNTIF('12月'!DO22:DP22,"渋谷-夜勤")+COUNTIF('12月'!DT22:DU22,"渋谷-夜勤")+COUNTIF('12月'!DY22:DZ22,"渋谷-夜勤")+COUNTIF('12月'!ED22:EE22,"渋谷-夜勤")+COUNTIF('12月'!EI22:EJ22,"渋谷-夜勤")+COUNTIF('12月'!EN22:EO22,"渋谷-夜勤")+COUNTIF('12月'!ES22:ET22,"渋谷-夜勤")</f>
        <v>0</v>
      </c>
      <c r="I431" s="76">
        <f t="shared" si="135"/>
        <v>0</v>
      </c>
      <c r="J431" s="76">
        <f>COUNTIF('12月'!D22:E22,J$411)+COUNTIF('12月'!I22:J22,J$411)+COUNTIF('12月'!N22:O22,J$411)+COUNTIF('12月'!S22:T22,J$411)+COUNTIF('12月'!X22:Y22,J$411)+COUNTIF('12月'!AC22:AD22,J$411)+COUNTIF('12月'!AH22:AI22,J$411)+COUNTIF('12月'!AM22:AN22,J$411)+COUNTIF('12月'!AR22:AS22,J$411)+COUNTIF('12月'!AW22:AX22,J$411)+COUNTIF('12月'!BB22:BC22,J$411)+COUNTIF('12月'!BG22:BH22,J$411)+COUNTIF('12月'!BL22:BM22,J$411)+COUNTIF('12月'!BQ22:BR22,J$411)+COUNTIF('12月'!BV22:BW22,J$411)+COUNTIF('12月'!CA22:CB22,J$411)+COUNTIF('12月'!CF22:CG22,J$411)+COUNTIF('12月'!CK22:CL22,J$411)+COUNTIF('12月'!CP22:CQ22,J$411)+COUNTIF('12月'!CU22:CV22,J$411)+COUNTIF('12月'!CZ22:DA22,J$411)+COUNTIF('12月'!DE22:DF22,J$411)+COUNTIF('12月'!DJ22:DK22,J$411)+COUNTIF('12月'!DO22:DP22,J$411)+COUNTIF('12月'!DT22:DU22,J$411)+COUNTIF('12月'!DY22:DZ22,J$411)+COUNTIF('12月'!ED22:EE22,J$411)+COUNTIF('12月'!EI22:EJ22,J$411)+COUNTIF('12月'!EN22:EO22,J$411)+COUNTIF('12月'!ES22:ET22,J$411)+COUNTIF('12月'!D22:E22,"六本木-夜勤")+COUNTIF('12月'!I22:J22,"六本木-夜勤")+COUNTIF('12月'!N22:O22,"六本木-夜勤")+COUNTIF('12月'!S22:T22,"六本木-夜勤")+COUNTIF('12月'!X22:Y22,"六本木-夜勤")+COUNTIF('12月'!AC22:AD22,"六本木-夜勤")+COUNTIF('12月'!AH22:AI22,"六本木-夜勤")+COUNTIF('12月'!AM22:AN22,"六本木-夜勤")+COUNTIF('12月'!AR22:AS22,"六本木-夜勤")+COUNTIF('12月'!AW22:AX22,"六本木-夜勤")+COUNTIF('12月'!BB22:BC22,"六本木-夜勤")+COUNTIF('12月'!BG22:BH22,"六本木-夜勤")+COUNTIF('12月'!BL22:BM22,"六本木-夜勤")+COUNTIF('12月'!BQ22:BR22,"六本木-夜勤")+COUNTIF('12月'!BV22:BW22,"六本木-夜勤")+COUNTIF('12月'!CA22:CB22,"六本木-夜勤")+COUNTIF('12月'!CF22:CG22,"六本木-夜勤")+COUNTIF('12月'!CK22:CL22,"六本木-夜勤")+COUNTIF('12月'!CP22:CQ22,"六本木-夜勤")+COUNTIF('12月'!CU22:CV22,"六本木-夜勤")+COUNTIF('12月'!CZ22:DA22,"六本木-夜勤")+COUNTIF('12月'!DE22:DF22,"六本木-夜勤")+COUNTIF('12月'!DJ22:DK22,"六本木-夜勤")+COUNTIF('12月'!DO22:DP22,"六本木-夜勤")+COUNTIF('12月'!DT22:DU22,"六本木-夜勤")+COUNTIF('12月'!DY22:DZ22,"六本木-夜勤")+COUNTIF('12月'!ED22:EE22,"六本木-夜勤")+COUNTIF('12月'!EI22:EJ22,"六本木-夜勤")+COUNTIF('12月'!EN22:EO22,"六本木-夜勤")+COUNTIF('12月'!ES22:ET22,"六本木-夜勤")+COUNTIF('12月'!D22:E22,"六本木ー夜勤")+COUNTIF('12月'!I22:J22,"六本木ー夜勤")+COUNTIF('12月'!N22:O22,"六本木ー夜勤")+COUNTIF('12月'!S22:T22,"六本木ー夜勤")+COUNTIF('12月'!X22:Y22,"六本木ー夜勤")+COUNTIF('12月'!AC22:AD22,"六本木ー夜勤")+COUNTIF('12月'!AH22:AI22,"六本木ー夜勤")+COUNTIF('12月'!AM22:AN22,"六本木ー夜勤")+COUNTIF('12月'!AR22:AS22,"六本木ー夜勤")+COUNTIF('12月'!AW22:AX22,"六本木ー夜勤")+COUNTIF('12月'!BB22:BC22,"六本木ー夜勤")+COUNTIF('12月'!BG22:BH22,"六本木ー夜勤")+COUNTIF('12月'!BL22:BM22,"六本木ー夜勤")+COUNTIF('12月'!BQ22:BR22,"六本木ー夜勤")+COUNTIF('12月'!BV22:BW22,"六本木ー夜勤")+COUNTIF('12月'!CA22:CB22,"六本木ー夜勤")+COUNTIF('12月'!CF22:CG22,"六本木ー夜勤")+COUNTIF('12月'!CK22:CL22,"六本木ー夜勤")+COUNTIF('12月'!CP22:CQ22,"六本木ー夜勤")+COUNTIF('12月'!CU22:CV22,"六本木ー夜勤")+COUNTIF('12月'!CZ22:DA22,"六本木ー夜勤")+COUNTIF('12月'!DE22:DF22,"六本木ー夜勤")+COUNTIF('12月'!DJ22:DK22,"六本木ー夜勤")+COUNTIF('12月'!DO22:DP22,"六本木ー夜勤")+COUNTIF('12月'!DT22:DU22,"六本木ー夜勤")+COUNTIF('12月'!DY22:DZ22,"六本木ー夜勤")+COUNTIF('12月'!ED22:EE22,"六本木ー夜勤")+COUNTIF('12月'!EI22:EJ22,"六本木ー夜勤")+COUNTIF('12月'!EN22:EO22,"六本木ー夜勤")+COUNTIF('12月'!ES22:ET22,"六本木ー夜勤")</f>
        <v>0</v>
      </c>
      <c r="K431" s="76">
        <f t="shared" si="136"/>
        <v>0</v>
      </c>
      <c r="L431" s="76">
        <f>COUNTIF('12月'!D22:E22,L$411)+COUNTIF('12月'!I22:J22,L$411)+COUNTIF('12月'!N22:O22,L$411)+COUNTIF('12月'!S22:T22,L$411)+COUNTIF('12月'!X22:Y22,L$411)+COUNTIF('12月'!AC22:AD22,L$411)+COUNTIF('12月'!AH22:AI22,L$411)+COUNTIF('12月'!AM22:AN22,L$411)+COUNTIF('12月'!AR22:AS22,L$411)+COUNTIF('12月'!AW22:AX22,L$411)+COUNTIF('12月'!BB22:BC22,L$411)+COUNTIF('12月'!BG22:BH22,L$411)+COUNTIF('12月'!BL22:BM22,L$411)+COUNTIF('12月'!BQ22:BR22,L$411)+COUNTIF('12月'!BV22:BW22,L$411)+COUNTIF('12月'!CA22:CB22,L$411)+COUNTIF('12月'!CF22:CG22,L$411)+COUNTIF('12月'!CK22:CL22,L$411)+COUNTIF('12月'!CP22:CQ22,L$411)+COUNTIF('12月'!CU22:CV22,L$411)+COUNTIF('12月'!CZ22:DA22,L$411)+COUNTIF('12月'!DE22:DF22,L$411)+COUNTIF('12月'!DJ22:DK22,L$411)+COUNTIF('12月'!DO22:DP22,L$411)+COUNTIF('12月'!DT22:DU22,L$411)+COUNTIF('12月'!DY22:DZ22,L$411)+COUNTIF('12月'!ED22:EE22,L$411)+COUNTIF('12月'!EI22:EJ22,L$411)+COUNTIF('12月'!EN22:EO22,L$411)+COUNTIF('12月'!ES22:ET22,L$411)</f>
        <v>0</v>
      </c>
      <c r="M431" s="76">
        <f t="shared" si="137"/>
        <v>0</v>
      </c>
      <c r="N431" s="76">
        <f>COUNTIF('12月'!D22:E22,N$411)+COUNTIF('12月'!I22:J22,N$411)+COUNTIF('12月'!N22:O22,N$411)+COUNTIF('12月'!S22:T22,N$411)+COUNTIF('12月'!X22:Y22,N$411)+COUNTIF('12月'!AC22:AD22,N$411)+COUNTIF('12月'!AH22:AI22,N$411)+COUNTIF('12月'!AM22:AN22,N$411)+COUNTIF('12月'!AR22:AS22,N$411)+COUNTIF('12月'!AW22:AX22,N$411)+COUNTIF('12月'!BB22:BC22,N$411)+COUNTIF('12月'!BG22:BH22,N$411)+COUNTIF('12月'!BL22:BM22,N$411)+COUNTIF('12月'!BQ22:BR22,N$411)+COUNTIF('12月'!BV22:BW22,N$411)+COUNTIF('12月'!CA22:CB22,N$411)+COUNTIF('12月'!CF22:CG22,N$411)+COUNTIF('12月'!CK22:CL22,N$411)+COUNTIF('12月'!CP22:CQ22,N$411)+COUNTIF('12月'!CU22:CV22,N$411)+COUNTIF('12月'!CZ22:DA22,N$411)+COUNTIF('12月'!DE22:DF22,N$411)+COUNTIF('12月'!DJ22:DK22,N$411)+COUNTIF('12月'!DO22:DP22,N$411)+COUNTIF('12月'!DT22:DU22,N$411)+COUNTIF('12月'!DY22:DZ22,N$411)+COUNTIF('12月'!ED22:EE22,N$411)+COUNTIF('12月'!EI22:EJ22,N$411)+COUNTIF('12月'!EN22:EO22,N$411)+COUNTIF('12月'!ES22:ET22,N$411)+COUNTIF('12月'!D22:E22,"三軒茶屋－夜勤")+COUNTIF('12月'!I22:J22,"三軒茶屋－夜勤")+COUNTIF('12月'!N22:O22,"三軒茶屋－夜勤")+COUNTIF('12月'!S22:T22,"三軒茶屋－夜勤")+COUNTIF('12月'!X22:Y22,"三軒茶屋－夜勤")+COUNTIF('12月'!AC22:AD22,"三軒茶屋－夜勤")+COUNTIF('12月'!AH22:AI22,"三軒茶屋－夜勤")+COUNTIF('12月'!AM22:AN22,"三軒茶屋－夜勤")+COUNTIF('12月'!AR22:AS22,"三軒茶屋－夜勤")+COUNTIF('12月'!AW22:AX22,"三軒茶屋－夜勤")+COUNTIF('12月'!BB22:BC22,"三軒茶屋－夜勤")+COUNTIF('12月'!BG22:BH22,"三軒茶屋－夜勤")+COUNTIF('12月'!BL22:BM22,"三軒茶屋－夜勤")+COUNTIF('12月'!BQ22:BR22,"三軒茶屋－夜勤")+COUNTIF('12月'!BV22:BW22,"三軒茶屋－夜勤")+COUNTIF('12月'!CA22:CB22,"三軒茶屋－夜勤")+COUNTIF('12月'!CF22:CG22,"三軒茶屋－夜勤")+COUNTIF('12月'!CK22:CL22,"三軒茶屋－夜勤")+COUNTIF('12月'!CP22:CQ22,"三軒茶屋－夜勤")+COUNTIF('12月'!CU22:CV22,"三軒茶屋－夜勤")+COUNTIF('12月'!CZ22:DA22,"三軒茶屋－夜勤")+COUNTIF('12月'!DE22:DF22,"三軒茶屋－夜勤")+COUNTIF('12月'!DJ22:DK22,"三軒茶屋－夜勤")+COUNTIF('12月'!DO22:DP22,"三軒茶屋－夜勤")+COUNTIF('12月'!DT22:DU22,"三軒茶屋－夜勤")+COUNTIF('12月'!DY22:DZ22,"三軒茶屋－夜勤")+COUNTIF('12月'!ED22:EE22,"三軒茶屋－夜勤")+COUNTIF('12月'!EI22:EJ22,"三軒茶屋－夜勤")+COUNTIF('12月'!EN22:EO22,"三軒茶屋－夜勤")+COUNTIF('12月'!ES22:ET22,"三軒茶屋－夜勤")</f>
        <v>0</v>
      </c>
      <c r="O431" s="76">
        <f t="shared" si="138"/>
        <v>0</v>
      </c>
      <c r="P431" s="76">
        <f>COUNTIF('12月'!D22:E22,P$411)+COUNTIF('12月'!I22:J22,P$411)+COUNTIF('12月'!N22:O22,P$411)+COUNTIF('12月'!S22:T22,P$411)+COUNTIF('12月'!X22:Y22,P$411)+COUNTIF('12月'!AC22:AD22,P$411)+COUNTIF('12月'!AH22:AI22,P$411)+COUNTIF('12月'!AM22:AN22,P$411)+COUNTIF('12月'!AR22:AS22,P$411)+COUNTIF('12月'!AW22:AX22,P$411)+COUNTIF('12月'!BB22:BC22,P$411)+COUNTIF('12月'!BG22:BH22,P$411)+COUNTIF('12月'!BL22:BM22,P$411)+COUNTIF('12月'!BQ22:BR22,P$411)+COUNTIF('12月'!BV22:BW22,P$411)+COUNTIF('12月'!CA22:CB22,P$411)+COUNTIF('12月'!CF22:CG22,P$411)+COUNTIF('12月'!CK22:CL22,P$411)+COUNTIF('12月'!CP22:CQ22,P$411)+COUNTIF('12月'!CU22:CV22,P$411)+COUNTIF('12月'!CZ22:DA22,P$411)+COUNTIF('12月'!DE22:DF22,P$411)+COUNTIF('12月'!DJ22:DK22,P$411)+COUNTIF('12月'!DO22:DP22,P$411)+COUNTIF('12月'!DT22:DU22,P$411)+COUNTIF('12月'!DY22:DZ22,P$411)+COUNTIF('12月'!ED22:EE22,P$411)+COUNTIF('12月'!EI22:EJ22,P$411)+COUNTIF('12月'!EN22:EO22,P$411)+COUNTIF('12月'!ES22:ET22,P$411)+COUNTIF('12月'!D22:E22,"荻窪ー夜勤")+COUNTIF('12月'!I22:J22,"荻窪ー夜勤")+COUNTIF('12月'!N22:O22,"荻窪ー夜勤")+COUNTIF('12月'!S22:T22,"荻窪ー夜勤")+COUNTIF('12月'!X22:Y22,"荻窪ー夜勤")+COUNTIF('12月'!AC22:AD22,"荻窪ー夜勤")+COUNTIF('12月'!AH22:AI22,"荻窪ー夜勤")+COUNTIF('12月'!AM22:AN22,"荻窪ー夜勤")+COUNTIF('12月'!AR22:AS22,"荻窪ー夜勤")+COUNTIF('12月'!AW22:AX22,"荻窪ー夜勤")+COUNTIF('12月'!BB22:BC22,"荻窪ー夜勤")+COUNTIF('12月'!BG22:BH22,"荻窪ー夜勤")+COUNTIF('12月'!BL22:BM22,"荻窪ー夜勤")+COUNTIF('12月'!BQ22:BR22,"荻窪ー夜勤")+COUNTIF('12月'!BV22:BW22,"荻窪ー夜勤")+COUNTIF('12月'!CA22:CB22,"荻窪ー夜勤")+COUNTIF('12月'!CF22:CG22,"荻窪ー夜勤")+COUNTIF('12月'!CK22:CL22,"荻窪ー夜勤")+COUNTIF('12月'!CP22:CQ22,"荻窪ー夜勤")+COUNTIF('12月'!CU22:CV22,"荻窪ー夜勤")+COUNTIF('12月'!CZ22:DA22,"荻窪ー夜勤")+COUNTIF('12月'!DE22:DF22,"荻窪ー夜勤")+COUNTIF('12月'!DJ22:DK22,"荻窪ー夜勤")+COUNTIF('12月'!DO22:DP22,"荻窪ー夜勤")+COUNTIF('12月'!DT22:DU22,"荻窪ー夜勤")+COUNTIF('12月'!DY22:DZ22,"荻窪ー夜勤")+COUNTIF('12月'!ED22:EE22,"荻窪ー夜勤")+COUNTIF('12月'!EI22:EJ22,"荻窪ー夜勤")+COUNTIF('12月'!EN22:EO22,"荻窪ー夜勤")+COUNTIF('12月'!ES22:ET22,"荻窪ー夜勤")</f>
        <v>0</v>
      </c>
      <c r="Q431" s="76">
        <f t="shared" si="139"/>
        <v>0</v>
      </c>
      <c r="R431" s="76">
        <f>COUNTIF('12月'!D22:E22,R$411)+COUNTIF('12月'!I22:J22,R$411)+COUNTIF('12月'!N22:O22,R$411)+COUNTIF('12月'!S22:T22,R$411)+COUNTIF('12月'!X22:Y22,R$411)+COUNTIF('12月'!AC22:AD22,R$411)+COUNTIF('12月'!AH22:AI22,R$411)+COUNTIF('12月'!AM22:AN22,R$411)+COUNTIF('12月'!AR22:AS22,R$411)+COUNTIF('12月'!AW22:AX22,R$411)+COUNTIF('12月'!BB22:BC22,R$411)+COUNTIF('12月'!BG22:BH22,R$411)+COUNTIF('12月'!BL22:BM22,R$411)+COUNTIF('12月'!BQ22:BR22,R$411)+COUNTIF('12月'!BV22:BW22,R$411)+COUNTIF('12月'!CA22:CB22,R$411)+COUNTIF('12月'!CF22:CG22,R$411)+COUNTIF('12月'!CK22:CL22,R$411)+COUNTIF('12月'!CP22:CQ22,R$411)+COUNTIF('12月'!CU22:CV22,R$411)+COUNTIF('12月'!CZ22:DA22,R$411)+COUNTIF('12月'!DE22:DF22,R$411)+COUNTIF('12月'!DJ22:DK22,R$411)+COUNTIF('12月'!DO22:DP22,R$411)+COUNTIF('12月'!DT22:DU22,R$411)+COUNTIF('12月'!DY22:DZ22,R$411)+COUNTIF('12月'!ED22:EE22,R$411)+COUNTIF('12月'!EI22:EJ22,R$411)+COUNTIF('12月'!EN22:EO22,R$411)+COUNTIF('12月'!ES22:ET22,R$411)</f>
        <v>0</v>
      </c>
      <c r="S431" s="76">
        <f t="shared" si="140"/>
        <v>0</v>
      </c>
      <c r="T431" s="76">
        <f>COUNTIF('12月'!D22:E22,T$411)+COUNTIF('12月'!I22:J22,T$411)+COUNTIF('12月'!N22:O22,T$411)+COUNTIF('12月'!S22:T22,T$411)+COUNTIF('12月'!X22:Y22,T$411)+COUNTIF('12月'!AC22:AD22,T$411)+COUNTIF('12月'!AH22:AI22,T$411)+COUNTIF('12月'!AM22:AN22,T$411)+COUNTIF('12月'!AR22:AS22,T$411)+COUNTIF('12月'!AW22:AX22,T$411)+COUNTIF('12月'!BB22:BC22,T$411)+COUNTIF('12月'!BG22:BH22,T$411)+COUNTIF('12月'!BL22:BM22,T$411)+COUNTIF('12月'!BQ22:BR22,T$411)+COUNTIF('12月'!BV22:BW22,T$411)+COUNTIF('12月'!CA22:CB22,T$411)+COUNTIF('12月'!CF22:CG22,T$411)+COUNTIF('12月'!CK22:CL22,T$411)+COUNTIF('12月'!CP22:CQ22,T$411)+COUNTIF('12月'!CU22:CV22,T$411)+COUNTIF('12月'!CZ22:DA22,T$411)+COUNTIF('12月'!DE22:DF22,T$411)+COUNTIF('12月'!DJ22:DK22,T$411)+COUNTIF('12月'!DO22:DP22,T$411)+COUNTIF('12月'!DT22:DU22,T$411)+COUNTIF('12月'!DY22:DZ22,T$411)+COUNTIF('12月'!ED22:EE22,T$411)+COUNTIF('12月'!EI22:EJ22,T$411)+COUNTIF('12月'!EN22:EO22,T$411)+COUNTIF('12月'!ES22:ET22,T$411)</f>
        <v>0</v>
      </c>
      <c r="U431" s="76">
        <f t="shared" si="141"/>
        <v>0</v>
      </c>
      <c r="V431" s="76">
        <f>COUNTIF('12月'!D22:E22,V$411)+COUNTIF('12月'!I22:J22,V$411)+COUNTIF('12月'!N22:O22,V$411)+COUNTIF('12月'!S22:T22,V$411)+COUNTIF('12月'!X22:Y22,V$411)+COUNTIF('12月'!AC22:AD22,V$411)+COUNTIF('12月'!AH22:AI22,V$411)+COUNTIF('12月'!AM22:AN22,V$411)+COUNTIF('12月'!AR22:AS22,V$411)+COUNTIF('12月'!AW22:AX22,V$411)+COUNTIF('12月'!BB22:BC22,V$411)+COUNTIF('12月'!BG22:BH22,V$411)+COUNTIF('12月'!BL22:BM22,V$411)+COUNTIF('12月'!BQ22:BR22,V$411)+COUNTIF('12月'!BV22:BW22,V$411)+COUNTIF('12月'!CA22:CB22,V$411)+COUNTIF('12月'!CF22:CG22,V$411)+COUNTIF('12月'!CK22:CL22,V$411)+COUNTIF('12月'!CP22:CQ22,V$411)+COUNTIF('12月'!CU22:CV22,V$411)+COUNTIF('12月'!CZ22:DA22,V$411)+COUNTIF('12月'!DE22:DF22,V$411)+COUNTIF('12月'!DJ22:DK22,V$411)+COUNTIF('12月'!DO22:DP22,V$411)+COUNTIF('12月'!DT22:DU22,V$411)+COUNTIF('12月'!DY22:DZ22,V$411)+COUNTIF('12月'!ED22:EE22,V$411)+COUNTIF('12月'!EI22:EJ22,V$411)+COUNTIF('12月'!EN22:EO22,V$411)+COUNTIF('12月'!ES22:ET22,V$411)</f>
        <v>0</v>
      </c>
      <c r="W431" s="76">
        <f t="shared" si="142"/>
        <v>0</v>
      </c>
      <c r="X431" s="76">
        <f>COUNTIF('12月'!D22:E22,X$411)+COUNTIF('12月'!I22:J22,X$411)+COUNTIF('12月'!N22:O22,X$411)+COUNTIF('12月'!S22:T22,X$411)+COUNTIF('12月'!X22:Y22,X$411)+COUNTIF('12月'!AC22:AD22,X$411)+COUNTIF('12月'!AH22:AI22,X$411)+COUNTIF('12月'!AM22:AN22,X$411)+COUNTIF('12月'!AR22:AS22,X$411)+COUNTIF('12月'!AW22:AX22,X$411)+COUNTIF('12月'!BB22:BC22,X$411)+COUNTIF('12月'!BG22:BH22,X$411)+COUNTIF('12月'!BL22:BM22,X$411)+COUNTIF('12月'!BQ22:BR22,X$411)+COUNTIF('12月'!BV22:BW22,X$411)+COUNTIF('12月'!CA22:CB22,X$411)+COUNTIF('12月'!CF22:CG22,X$411)+COUNTIF('12月'!CK22:CL22,X$411)+COUNTIF('12月'!CP22:CQ22,X$411)+COUNTIF('12月'!CU22:CV22,X$411)+COUNTIF('12月'!CZ22:DA22,X$411)+COUNTIF('12月'!DE22:DF22,X$411)+COUNTIF('12月'!DJ22:DK22,X$411)+COUNTIF('12月'!DO22:DP22,X$411)+COUNTIF('12月'!DT22:DU22,X$411)+COUNTIF('12月'!DY22:DZ22,X$411)+COUNTIF('12月'!ED22:EE22,X$411)+COUNTIF('12月'!EI22:EJ22,X$411)+COUNTIF('12月'!EN22:EO22,X$411)+COUNTIF('12月'!ES22:ET22,X$411)</f>
        <v>0</v>
      </c>
      <c r="Y431" s="76">
        <f t="shared" si="143"/>
        <v>0</v>
      </c>
    </row>
    <row r="432" spans="1:25" ht="18" customHeight="1">
      <c r="A432" s="76">
        <v>20</v>
      </c>
      <c r="B432" s="76">
        <f>COUNTIF('12月'!D23:E23,B$411)+COUNTIF('12月'!I23:J23,B$411)+COUNTIF('12月'!N23:O23,B$411)+COUNTIF('12月'!S23:T23,B$411)+COUNTIF('12月'!X23:Y23,B$411)+COUNTIF('12月'!AC23:AD23,B$411)+COUNTIF('12月'!AH23:AI23,B$411)+COUNTIF('12月'!AM23:AN23,B$411)+COUNTIF('12月'!AR23:AS23,B$411)+COUNTIF('12月'!AW23:AX23,B$411)+COUNTIF('12月'!BB23:BC23,B$411)+COUNTIF('12月'!BG23:BH23,B$411)+COUNTIF('12月'!BL23:BM23,B$411)+COUNTIF('12月'!BQ23:BR23,B$411)+COUNTIF('12月'!BV23:BW23,B$411)+COUNTIF('12月'!CA23:CB23,B$411)+COUNTIF('12月'!CF23:CG23,B$411)+COUNTIF('12月'!CK23:CL23,B$411)+COUNTIF('12月'!CP23:CQ23,B$411)+COUNTIF('12月'!CU23:CV23,B$411)+COUNTIF('12月'!CZ23:DA23,B$411)+COUNTIF('12月'!DE23:DF23,B$411)+COUNTIF('12月'!DJ23:DK23,B$411)+COUNTIF('12月'!DO23:DP23,B$411)+COUNTIF('12月'!DT23:DU23,B$411)+COUNTIF('12月'!DY23:DZ23,B$411)+COUNTIF('12月'!ED23:EE23,B$411)+COUNTIF('12月'!EI23:EJ23,B$411)+COUNTIF('12月'!EN23:EO23,B$411)+COUNTIF('12月'!ES23:ET23,B$411)</f>
        <v>0</v>
      </c>
      <c r="C432" s="76">
        <f t="shared" si="132"/>
        <v>0</v>
      </c>
      <c r="D432" s="76">
        <f>COUNTIF('12月'!D23:E23,D$411)+COUNTIF('12月'!I23:J23,D$411)+COUNTIF('12月'!N23:O23,D$411)+COUNTIF('12月'!S23:T23,D$411)+COUNTIF('12月'!X23:Y23,D$411)+COUNTIF('12月'!AC23:AD23,D$411)+COUNTIF('12月'!AH23:AI23,D$411)+COUNTIF('12月'!AM23:AN23,D$411)+COUNTIF('12月'!AR23:AS23,D$411)+COUNTIF('12月'!AW23:AX23,D$411)+COUNTIF('12月'!BB23:BC23,D$411)+COUNTIF('12月'!BG23:BH23,D$411)+COUNTIF('12月'!BL23:BM23,D$411)+COUNTIF('12月'!BQ23:BR23,D$411)+COUNTIF('12月'!BV23:BW23,D$411)+COUNTIF('12月'!CA23:CB23,D$411)+COUNTIF('12月'!CF23:CG23,D$411)+COUNTIF('12月'!CK23:CL23,D$411)+COUNTIF('12月'!CP23:CQ23,D$411)+COUNTIF('12月'!CU23:CV23,D$411)+COUNTIF('12月'!CZ23:DA23,D$411)+COUNTIF('12月'!DE23:DF23,D$411)+COUNTIF('12月'!DJ23:DK23,D$411)+COUNTIF('12月'!DO23:DP23,D$411)+COUNTIF('12月'!DT23:DU23,D$411)+COUNTIF('12月'!DY23:DZ23,D$411)+COUNTIF('12月'!ED23:EE23,D$411)+COUNTIF('12月'!EI23:EJ23,D$411)+COUNTIF('12月'!EN23:EO23,D$411)+COUNTIF('12月'!ES23:ET23,D$411)</f>
        <v>0</v>
      </c>
      <c r="E432" s="76">
        <f t="shared" si="133"/>
        <v>0</v>
      </c>
      <c r="F432" s="76">
        <f>COUNTIF('12月'!D23:E23,F$411)+COUNTIF('12月'!I23:J23,F$411)+COUNTIF('12月'!N23:O23,F$411)+COUNTIF('12月'!S23:T23,F$411)+COUNTIF('12月'!X23:Y23,F$411)+COUNTIF('12月'!AC23:AD23,F$411)+COUNTIF('12月'!AH23:AI23,F$411)+COUNTIF('12月'!AM23:AN23,F$411)+COUNTIF('12月'!AR23:AS23,F$411)+COUNTIF('12月'!AW23:AX23,F$411)+COUNTIF('12月'!BB23:BC23,F$411)+COUNTIF('12月'!BG23:BH23,F$411)+COUNTIF('12月'!BL23:BM23,F$411)+COUNTIF('12月'!BQ23:BR23,F$411)+COUNTIF('12月'!BV23:BW23,F$411)+COUNTIF('12月'!CA23:CB23,F$411)+COUNTIF('12月'!CF23:CG23,F$411)+COUNTIF('12月'!CK23:CL23,F$411)+COUNTIF('12月'!CP23:CQ23,F$411)+COUNTIF('12月'!CU23:CV23,F$411)+COUNTIF('12月'!CZ23:DA23,F$411)+COUNTIF('12月'!DE23:DF23,F$411)+COUNTIF('12月'!DJ23:DK23,F$411)+COUNTIF('12月'!DO23:DP23,F$411)+COUNTIF('12月'!DT23:DU23,F$411)+COUNTIF('12月'!DY23:DZ23,F$411)+COUNTIF('12月'!ED23:EE23,F$411)+COUNTIF('12月'!EI23:EJ23,F$411)+COUNTIF('12月'!EN23:EO23,F$411)+COUNTIF('12月'!ES23:ET23,F$411)</f>
        <v>0</v>
      </c>
      <c r="G432" s="76">
        <f t="shared" si="134"/>
        <v>0</v>
      </c>
      <c r="H432" s="76">
        <f>COUNTIF('12月'!D23:E23,H$411)+COUNTIF('12月'!I23:J23,H$411)+COUNTIF('12月'!N23:O23,H$411)+COUNTIF('12月'!S23:T23,H$411)+COUNTIF('12月'!X23:Y23,H$411)+COUNTIF('12月'!AC23:AD23,H$411)+COUNTIF('12月'!AH23:AI23,H$411)+COUNTIF('12月'!AM23:AN23,H$411)+COUNTIF('12月'!AR23:AS23,H$411)+COUNTIF('12月'!AW23:AX23,H$411)+COUNTIF('12月'!BB23:BC23,H$411)+COUNTIF('12月'!BG23:BH23,H$411)+COUNTIF('12月'!BL23:BM23,H$411)+COUNTIF('12月'!BQ23:BR23,H$411)+COUNTIF('12月'!BV23:BW23,H$411)+COUNTIF('12月'!CA23:CB23,H$411)+COUNTIF('12月'!CF23:CG23,H$411)+COUNTIF('12月'!CK23:CL23,H$411)+COUNTIF('12月'!CP23:CQ23,H$411)+COUNTIF('12月'!CU23:CV23,H$411)+COUNTIF('12月'!CZ23:DA23,H$411)+COUNTIF('12月'!DE23:DF23,H$411)+COUNTIF('12月'!DJ23:DK23,H$411)+COUNTIF('12月'!DO23:DP23,H$411)+COUNTIF('12月'!DT23:DU23,H$411)+COUNTIF('12月'!DY23:DZ23,H$411)+COUNTIF('12月'!ED23:EE23,H$411)+COUNTIF('12月'!EI23:EJ23,H$411)+COUNTIF('12月'!EN23:EO23,H$411)+COUNTIF('12月'!ES23:ET23,H$411)+COUNTIF('12月'!D23:E23,"渋谷-夜勤")+COUNTIF('12月'!I23:J23,"渋谷-夜勤")+COUNTIF('12月'!N23:O23,"渋谷-夜勤")+COUNTIF('12月'!S23:T23,"渋谷-夜勤")+COUNTIF('12月'!X23:Y23,"渋谷-夜勤")+COUNTIF('12月'!AC23:AD23,"渋谷-夜勤")+COUNTIF('12月'!AH23:AI23,"渋谷-夜勤")+COUNTIF('12月'!AM23:AN23,"渋谷-夜勤")+COUNTIF('12月'!AR23:AS23,"渋谷-夜勤")+COUNTIF('12月'!AW23:AX23,"渋谷-夜勤")+COUNTIF('12月'!BB23:BC23,"渋谷-夜勤")+COUNTIF('12月'!BG23:BH23,"渋谷-夜勤")+COUNTIF('12月'!BL23:BM23,"渋谷-夜勤")+COUNTIF('12月'!BQ23:BR23,"渋谷-夜勤")+COUNTIF('12月'!BV23:BW23,"渋谷-夜勤")+COUNTIF('12月'!CA23:CB23,"渋谷-夜勤")+COUNTIF('12月'!CF23:CG23,"渋谷-夜勤")+COUNTIF('12月'!CK23:CL23,"渋谷-夜勤")+COUNTIF('12月'!CP23:CQ23,"渋谷-夜勤")+COUNTIF('12月'!CU23:CV23,"渋谷-夜勤")+COUNTIF('12月'!CZ23:DA23,"渋谷-夜勤")+COUNTIF('12月'!DE23:DF23,"渋谷-夜勤")+COUNTIF('12月'!DJ23:DK23,"渋谷-夜勤")+COUNTIF('12月'!DO23:DP23,"渋谷-夜勤")+COUNTIF('12月'!DT23:DU23,"渋谷-夜勤")+COUNTIF('12月'!DY23:DZ23,"渋谷-夜勤")+COUNTIF('12月'!ED23:EE23,"渋谷-夜勤")+COUNTIF('12月'!EI23:EJ23,"渋谷-夜勤")+COUNTIF('12月'!EN23:EO23,"渋谷-夜勤")+COUNTIF('12月'!ES23:ET23,"渋谷-夜勤")</f>
        <v>0</v>
      </c>
      <c r="I432" s="76">
        <f t="shared" si="135"/>
        <v>0</v>
      </c>
      <c r="J432" s="76">
        <f>COUNTIF('12月'!D23:E23,J$411)+COUNTIF('12月'!I23:J23,J$411)+COUNTIF('12月'!N23:O23,J$411)+COUNTIF('12月'!S23:T23,J$411)+COUNTIF('12月'!X23:Y23,J$411)+COUNTIF('12月'!AC23:AD23,J$411)+COUNTIF('12月'!AH23:AI23,J$411)+COUNTIF('12月'!AM23:AN23,J$411)+COUNTIF('12月'!AR23:AS23,J$411)+COUNTIF('12月'!AW23:AX23,J$411)+COUNTIF('12月'!BB23:BC23,J$411)+COUNTIF('12月'!BG23:BH23,J$411)+COUNTIF('12月'!BL23:BM23,J$411)+COUNTIF('12月'!BQ23:BR23,J$411)+COUNTIF('12月'!BV23:BW23,J$411)+COUNTIF('12月'!CA23:CB23,J$411)+COUNTIF('12月'!CF23:CG23,J$411)+COUNTIF('12月'!CK23:CL23,J$411)+COUNTIF('12月'!CP23:CQ23,J$411)+COUNTIF('12月'!CU23:CV23,J$411)+COUNTIF('12月'!CZ23:DA23,J$411)+COUNTIF('12月'!DE23:DF23,J$411)+COUNTIF('12月'!DJ23:DK23,J$411)+COUNTIF('12月'!DO23:DP23,J$411)+COUNTIF('12月'!DT23:DU23,J$411)+COUNTIF('12月'!DY23:DZ23,J$411)+COUNTIF('12月'!ED23:EE23,J$411)+COUNTIF('12月'!EI23:EJ23,J$411)+COUNTIF('12月'!EN23:EO23,J$411)+COUNTIF('12月'!ES23:ET23,J$411)+COUNTIF('12月'!D23:E23,"六本木-夜勤")+COUNTIF('12月'!I23:J23,"六本木-夜勤")+COUNTIF('12月'!N23:O23,"六本木-夜勤")+COUNTIF('12月'!S23:T23,"六本木-夜勤")+COUNTIF('12月'!X23:Y23,"六本木-夜勤")+COUNTIF('12月'!AC23:AD23,"六本木-夜勤")+COUNTIF('12月'!AH23:AI23,"六本木-夜勤")+COUNTIF('12月'!AM23:AN23,"六本木-夜勤")+COUNTIF('12月'!AR23:AS23,"六本木-夜勤")+COUNTIF('12月'!AW23:AX23,"六本木-夜勤")+COUNTIF('12月'!BB23:BC23,"六本木-夜勤")+COUNTIF('12月'!BG23:BH23,"六本木-夜勤")+COUNTIF('12月'!BL23:BM23,"六本木-夜勤")+COUNTIF('12月'!BQ23:BR23,"六本木-夜勤")+COUNTIF('12月'!BV23:BW23,"六本木-夜勤")+COUNTIF('12月'!CA23:CB23,"六本木-夜勤")+COUNTIF('12月'!CF23:CG23,"六本木-夜勤")+COUNTIF('12月'!CK23:CL23,"六本木-夜勤")+COUNTIF('12月'!CP23:CQ23,"六本木-夜勤")+COUNTIF('12月'!CU23:CV23,"六本木-夜勤")+COUNTIF('12月'!CZ23:DA23,"六本木-夜勤")+COUNTIF('12月'!DE23:DF23,"六本木-夜勤")+COUNTIF('12月'!DJ23:DK23,"六本木-夜勤")+COUNTIF('12月'!DO23:DP23,"六本木-夜勤")+COUNTIF('12月'!DT23:DU23,"六本木-夜勤")+COUNTIF('12月'!DY23:DZ23,"六本木-夜勤")+COUNTIF('12月'!ED23:EE23,"六本木-夜勤")+COUNTIF('12月'!EI23:EJ23,"六本木-夜勤")+COUNTIF('12月'!EN23:EO23,"六本木-夜勤")+COUNTIF('12月'!ES23:ET23,"六本木-夜勤")+COUNTIF('12月'!D23:E23,"六本木ー夜勤")+COUNTIF('12月'!I23:J23,"六本木ー夜勤")+COUNTIF('12月'!N23:O23,"六本木ー夜勤")+COUNTIF('12月'!S23:T23,"六本木ー夜勤")+COUNTIF('12月'!X23:Y23,"六本木ー夜勤")+COUNTIF('12月'!AC23:AD23,"六本木ー夜勤")+COUNTIF('12月'!AH23:AI23,"六本木ー夜勤")+COUNTIF('12月'!AM23:AN23,"六本木ー夜勤")+COUNTIF('12月'!AR23:AS23,"六本木ー夜勤")+COUNTIF('12月'!AW23:AX23,"六本木ー夜勤")+COUNTIF('12月'!BB23:BC23,"六本木ー夜勤")+COUNTIF('12月'!BG23:BH23,"六本木ー夜勤")+COUNTIF('12月'!BL23:BM23,"六本木ー夜勤")+COUNTIF('12月'!BQ23:BR23,"六本木ー夜勤")+COUNTIF('12月'!BV23:BW23,"六本木ー夜勤")+COUNTIF('12月'!CA23:CB23,"六本木ー夜勤")+COUNTIF('12月'!CF23:CG23,"六本木ー夜勤")+COUNTIF('12月'!CK23:CL23,"六本木ー夜勤")+COUNTIF('12月'!CP23:CQ23,"六本木ー夜勤")+COUNTIF('12月'!CU23:CV23,"六本木ー夜勤")+COUNTIF('12月'!CZ23:DA23,"六本木ー夜勤")+COUNTIF('12月'!DE23:DF23,"六本木ー夜勤")+COUNTIF('12月'!DJ23:DK23,"六本木ー夜勤")+COUNTIF('12月'!DO23:DP23,"六本木ー夜勤")+COUNTIF('12月'!DT23:DU23,"六本木ー夜勤")+COUNTIF('12月'!DY23:DZ23,"六本木ー夜勤")+COUNTIF('12月'!ED23:EE23,"六本木ー夜勤")+COUNTIF('12月'!EI23:EJ23,"六本木ー夜勤")+COUNTIF('12月'!EN23:EO23,"六本木ー夜勤")+COUNTIF('12月'!ES23:ET23,"六本木ー夜勤")</f>
        <v>0</v>
      </c>
      <c r="K432" s="76">
        <f t="shared" si="136"/>
        <v>0</v>
      </c>
      <c r="L432" s="76">
        <f>COUNTIF('12月'!D23:E23,L$411)+COUNTIF('12月'!I23:J23,L$411)+COUNTIF('12月'!N23:O23,L$411)+COUNTIF('12月'!S23:T23,L$411)+COUNTIF('12月'!X23:Y23,L$411)+COUNTIF('12月'!AC23:AD23,L$411)+COUNTIF('12月'!AH23:AI23,L$411)+COUNTIF('12月'!AM23:AN23,L$411)+COUNTIF('12月'!AR23:AS23,L$411)+COUNTIF('12月'!AW23:AX23,L$411)+COUNTIF('12月'!BB23:BC23,L$411)+COUNTIF('12月'!BG23:BH23,L$411)+COUNTIF('12月'!BL23:BM23,L$411)+COUNTIF('12月'!BQ23:BR23,L$411)+COUNTIF('12月'!BV23:BW23,L$411)+COUNTIF('12月'!CA23:CB23,L$411)+COUNTIF('12月'!CF23:CG23,L$411)+COUNTIF('12月'!CK23:CL23,L$411)+COUNTIF('12月'!CP23:CQ23,L$411)+COUNTIF('12月'!CU23:CV23,L$411)+COUNTIF('12月'!CZ23:DA23,L$411)+COUNTIF('12月'!DE23:DF23,L$411)+COUNTIF('12月'!DJ23:DK23,L$411)+COUNTIF('12月'!DO23:DP23,L$411)+COUNTIF('12月'!DT23:DU23,L$411)+COUNTIF('12月'!DY23:DZ23,L$411)+COUNTIF('12月'!ED23:EE23,L$411)+COUNTIF('12月'!EI23:EJ23,L$411)+COUNTIF('12月'!EN23:EO23,L$411)+COUNTIF('12月'!ES23:ET23,L$411)</f>
        <v>0</v>
      </c>
      <c r="M432" s="76">
        <f t="shared" si="137"/>
        <v>0</v>
      </c>
      <c r="N432" s="76">
        <f>COUNTIF('12月'!D23:E23,N$411)+COUNTIF('12月'!I23:J23,N$411)+COUNTIF('12月'!N23:O23,N$411)+COUNTIF('12月'!S23:T23,N$411)+COUNTIF('12月'!X23:Y23,N$411)+COUNTIF('12月'!AC23:AD23,N$411)+COUNTIF('12月'!AH23:AI23,N$411)+COUNTIF('12月'!AM23:AN23,N$411)+COUNTIF('12月'!AR23:AS23,N$411)+COUNTIF('12月'!AW23:AX23,N$411)+COUNTIF('12月'!BB23:BC23,N$411)+COUNTIF('12月'!BG23:BH23,N$411)+COUNTIF('12月'!BL23:BM23,N$411)+COUNTIF('12月'!BQ23:BR23,N$411)+COUNTIF('12月'!BV23:BW23,N$411)+COUNTIF('12月'!CA23:CB23,N$411)+COUNTIF('12月'!CF23:CG23,N$411)+COUNTIF('12月'!CK23:CL23,N$411)+COUNTIF('12月'!CP23:CQ23,N$411)+COUNTIF('12月'!CU23:CV23,N$411)+COUNTIF('12月'!CZ23:DA23,N$411)+COUNTIF('12月'!DE23:DF23,N$411)+COUNTIF('12月'!DJ23:DK23,N$411)+COUNTIF('12月'!DO23:DP23,N$411)+COUNTIF('12月'!DT23:DU23,N$411)+COUNTIF('12月'!DY23:DZ23,N$411)+COUNTIF('12月'!ED23:EE23,N$411)+COUNTIF('12月'!EI23:EJ23,N$411)+COUNTIF('12月'!EN23:EO23,N$411)+COUNTIF('12月'!ES23:ET23,N$411)+COUNTIF('12月'!D23:E23,"三軒茶屋－夜勤")+COUNTIF('12月'!I23:J23,"三軒茶屋－夜勤")+COUNTIF('12月'!N23:O23,"三軒茶屋－夜勤")+COUNTIF('12月'!S23:T23,"三軒茶屋－夜勤")+COUNTIF('12月'!X23:Y23,"三軒茶屋－夜勤")+COUNTIF('12月'!AC23:AD23,"三軒茶屋－夜勤")+COUNTIF('12月'!AH23:AI23,"三軒茶屋－夜勤")+COUNTIF('12月'!AM23:AN23,"三軒茶屋－夜勤")+COUNTIF('12月'!AR23:AS23,"三軒茶屋－夜勤")+COUNTIF('12月'!AW23:AX23,"三軒茶屋－夜勤")+COUNTIF('12月'!BB23:BC23,"三軒茶屋－夜勤")+COUNTIF('12月'!BG23:BH23,"三軒茶屋－夜勤")+COUNTIF('12月'!BL23:BM23,"三軒茶屋－夜勤")+COUNTIF('12月'!BQ23:BR23,"三軒茶屋－夜勤")+COUNTIF('12月'!BV23:BW23,"三軒茶屋－夜勤")+COUNTIF('12月'!CA23:CB23,"三軒茶屋－夜勤")+COUNTIF('12月'!CF23:CG23,"三軒茶屋－夜勤")+COUNTIF('12月'!CK23:CL23,"三軒茶屋－夜勤")+COUNTIF('12月'!CP23:CQ23,"三軒茶屋－夜勤")+COUNTIF('12月'!CU23:CV23,"三軒茶屋－夜勤")+COUNTIF('12月'!CZ23:DA23,"三軒茶屋－夜勤")+COUNTIF('12月'!DE23:DF23,"三軒茶屋－夜勤")+COUNTIF('12月'!DJ23:DK23,"三軒茶屋－夜勤")+COUNTIF('12月'!DO23:DP23,"三軒茶屋－夜勤")+COUNTIF('12月'!DT23:DU23,"三軒茶屋－夜勤")+COUNTIF('12月'!DY23:DZ23,"三軒茶屋－夜勤")+COUNTIF('12月'!ED23:EE23,"三軒茶屋－夜勤")+COUNTIF('12月'!EI23:EJ23,"三軒茶屋－夜勤")+COUNTIF('12月'!EN23:EO23,"三軒茶屋－夜勤")+COUNTIF('12月'!ES23:ET23,"三軒茶屋－夜勤")</f>
        <v>0</v>
      </c>
      <c r="O432" s="76">
        <f t="shared" si="138"/>
        <v>0</v>
      </c>
      <c r="P432" s="76">
        <f>COUNTIF('12月'!D23:E23,P$411)+COUNTIF('12月'!I23:J23,P$411)+COUNTIF('12月'!N23:O23,P$411)+COUNTIF('12月'!S23:T23,P$411)+COUNTIF('12月'!X23:Y23,P$411)+COUNTIF('12月'!AC23:AD23,P$411)+COUNTIF('12月'!AH23:AI23,P$411)+COUNTIF('12月'!AM23:AN23,P$411)+COUNTIF('12月'!AR23:AS23,P$411)+COUNTIF('12月'!AW23:AX23,P$411)+COUNTIF('12月'!BB23:BC23,P$411)+COUNTIF('12月'!BG23:BH23,P$411)+COUNTIF('12月'!BL23:BM23,P$411)+COUNTIF('12月'!BQ23:BR23,P$411)+COUNTIF('12月'!BV23:BW23,P$411)+COUNTIF('12月'!CA23:CB23,P$411)+COUNTIF('12月'!CF23:CG23,P$411)+COUNTIF('12月'!CK23:CL23,P$411)+COUNTIF('12月'!CP23:CQ23,P$411)+COUNTIF('12月'!CU23:CV23,P$411)+COUNTIF('12月'!CZ23:DA23,P$411)+COUNTIF('12月'!DE23:DF23,P$411)+COUNTIF('12月'!DJ23:DK23,P$411)+COUNTIF('12月'!DO23:DP23,P$411)+COUNTIF('12月'!DT23:DU23,P$411)+COUNTIF('12月'!DY23:DZ23,P$411)+COUNTIF('12月'!ED23:EE23,P$411)+COUNTIF('12月'!EI23:EJ23,P$411)+COUNTIF('12月'!EN23:EO23,P$411)+COUNTIF('12月'!ES23:ET23,P$411)+COUNTIF('12月'!D23:E23,"荻窪ー夜勤")+COUNTIF('12月'!I23:J23,"荻窪ー夜勤")+COUNTIF('12月'!N23:O23,"荻窪ー夜勤")+COUNTIF('12月'!S23:T23,"荻窪ー夜勤")+COUNTIF('12月'!X23:Y23,"荻窪ー夜勤")+COUNTIF('12月'!AC23:AD23,"荻窪ー夜勤")+COUNTIF('12月'!AH23:AI23,"荻窪ー夜勤")+COUNTIF('12月'!AM23:AN23,"荻窪ー夜勤")+COUNTIF('12月'!AR23:AS23,"荻窪ー夜勤")+COUNTIF('12月'!AW23:AX23,"荻窪ー夜勤")+COUNTIF('12月'!BB23:BC23,"荻窪ー夜勤")+COUNTIF('12月'!BG23:BH23,"荻窪ー夜勤")+COUNTIF('12月'!BL23:BM23,"荻窪ー夜勤")+COUNTIF('12月'!BQ23:BR23,"荻窪ー夜勤")+COUNTIF('12月'!BV23:BW23,"荻窪ー夜勤")+COUNTIF('12月'!CA23:CB23,"荻窪ー夜勤")+COUNTIF('12月'!CF23:CG23,"荻窪ー夜勤")+COUNTIF('12月'!CK23:CL23,"荻窪ー夜勤")+COUNTIF('12月'!CP23:CQ23,"荻窪ー夜勤")+COUNTIF('12月'!CU23:CV23,"荻窪ー夜勤")+COUNTIF('12月'!CZ23:DA23,"荻窪ー夜勤")+COUNTIF('12月'!DE23:DF23,"荻窪ー夜勤")+COUNTIF('12月'!DJ23:DK23,"荻窪ー夜勤")+COUNTIF('12月'!DO23:DP23,"荻窪ー夜勤")+COUNTIF('12月'!DT23:DU23,"荻窪ー夜勤")+COUNTIF('12月'!DY23:DZ23,"荻窪ー夜勤")+COUNTIF('12月'!ED23:EE23,"荻窪ー夜勤")+COUNTIF('12月'!EI23:EJ23,"荻窪ー夜勤")+COUNTIF('12月'!EN23:EO23,"荻窪ー夜勤")+COUNTIF('12月'!ES23:ET23,"荻窪ー夜勤")</f>
        <v>0</v>
      </c>
      <c r="Q432" s="76">
        <f t="shared" si="139"/>
        <v>0</v>
      </c>
      <c r="R432" s="76">
        <f>COUNTIF('12月'!D23:E23,R$411)+COUNTIF('12月'!I23:J23,R$411)+COUNTIF('12月'!N23:O23,R$411)+COUNTIF('12月'!S23:T23,R$411)+COUNTIF('12月'!X23:Y23,R$411)+COUNTIF('12月'!AC23:AD23,R$411)+COUNTIF('12月'!AH23:AI23,R$411)+COUNTIF('12月'!AM23:AN23,R$411)+COUNTIF('12月'!AR23:AS23,R$411)+COUNTIF('12月'!AW23:AX23,R$411)+COUNTIF('12月'!BB23:BC23,R$411)+COUNTIF('12月'!BG23:BH23,R$411)+COUNTIF('12月'!BL23:BM23,R$411)+COUNTIF('12月'!BQ23:BR23,R$411)+COUNTIF('12月'!BV23:BW23,R$411)+COUNTIF('12月'!CA23:CB23,R$411)+COUNTIF('12月'!CF23:CG23,R$411)+COUNTIF('12月'!CK23:CL23,R$411)+COUNTIF('12月'!CP23:CQ23,R$411)+COUNTIF('12月'!CU23:CV23,R$411)+COUNTIF('12月'!CZ23:DA23,R$411)+COUNTIF('12月'!DE23:DF23,R$411)+COUNTIF('12月'!DJ23:DK23,R$411)+COUNTIF('12月'!DO23:DP23,R$411)+COUNTIF('12月'!DT23:DU23,R$411)+COUNTIF('12月'!DY23:DZ23,R$411)+COUNTIF('12月'!ED23:EE23,R$411)+COUNTIF('12月'!EI23:EJ23,R$411)+COUNTIF('12月'!EN23:EO23,R$411)+COUNTIF('12月'!ES23:ET23,R$411)</f>
        <v>0</v>
      </c>
      <c r="S432" s="76">
        <f t="shared" si="140"/>
        <v>0</v>
      </c>
      <c r="T432" s="76">
        <f>COUNTIF('12月'!D23:E23,T$411)+COUNTIF('12月'!I23:J23,T$411)+COUNTIF('12月'!N23:O23,T$411)+COUNTIF('12月'!S23:T23,T$411)+COUNTIF('12月'!X23:Y23,T$411)+COUNTIF('12月'!AC23:AD23,T$411)+COUNTIF('12月'!AH23:AI23,T$411)+COUNTIF('12月'!AM23:AN23,T$411)+COUNTIF('12月'!AR23:AS23,T$411)+COUNTIF('12月'!AW23:AX23,T$411)+COUNTIF('12月'!BB23:BC23,T$411)+COUNTIF('12月'!BG23:BH23,T$411)+COUNTIF('12月'!BL23:BM23,T$411)+COUNTIF('12月'!BQ23:BR23,T$411)+COUNTIF('12月'!BV23:BW23,T$411)+COUNTIF('12月'!CA23:CB23,T$411)+COUNTIF('12月'!CF23:CG23,T$411)+COUNTIF('12月'!CK23:CL23,T$411)+COUNTIF('12月'!CP23:CQ23,T$411)+COUNTIF('12月'!CU23:CV23,T$411)+COUNTIF('12月'!CZ23:DA23,T$411)+COUNTIF('12月'!DE23:DF23,T$411)+COUNTIF('12月'!DJ23:DK23,T$411)+COUNTIF('12月'!DO23:DP23,T$411)+COUNTIF('12月'!DT23:DU23,T$411)+COUNTIF('12月'!DY23:DZ23,T$411)+COUNTIF('12月'!ED23:EE23,T$411)+COUNTIF('12月'!EI23:EJ23,T$411)+COUNTIF('12月'!EN23:EO23,T$411)+COUNTIF('12月'!ES23:ET23,T$411)</f>
        <v>0</v>
      </c>
      <c r="U432" s="76">
        <f t="shared" si="141"/>
        <v>0</v>
      </c>
      <c r="V432" s="76">
        <f>COUNTIF('12月'!D23:E23,V$411)+COUNTIF('12月'!I23:J23,V$411)+COUNTIF('12月'!N23:O23,V$411)+COUNTIF('12月'!S23:T23,V$411)+COUNTIF('12月'!X23:Y23,V$411)+COUNTIF('12月'!AC23:AD23,V$411)+COUNTIF('12月'!AH23:AI23,V$411)+COUNTIF('12月'!AM23:AN23,V$411)+COUNTIF('12月'!AR23:AS23,V$411)+COUNTIF('12月'!AW23:AX23,V$411)+COUNTIF('12月'!BB23:BC23,V$411)+COUNTIF('12月'!BG23:BH23,V$411)+COUNTIF('12月'!BL23:BM23,V$411)+COUNTIF('12月'!BQ23:BR23,V$411)+COUNTIF('12月'!BV23:BW23,V$411)+COUNTIF('12月'!CA23:CB23,V$411)+COUNTIF('12月'!CF23:CG23,V$411)+COUNTIF('12月'!CK23:CL23,V$411)+COUNTIF('12月'!CP23:CQ23,V$411)+COUNTIF('12月'!CU23:CV23,V$411)+COUNTIF('12月'!CZ23:DA23,V$411)+COUNTIF('12月'!DE23:DF23,V$411)+COUNTIF('12月'!DJ23:DK23,V$411)+COUNTIF('12月'!DO23:DP23,V$411)+COUNTIF('12月'!DT23:DU23,V$411)+COUNTIF('12月'!DY23:DZ23,V$411)+COUNTIF('12月'!ED23:EE23,V$411)+COUNTIF('12月'!EI23:EJ23,V$411)+COUNTIF('12月'!EN23:EO23,V$411)+COUNTIF('12月'!ES23:ET23,V$411)</f>
        <v>0</v>
      </c>
      <c r="W432" s="76">
        <f t="shared" si="142"/>
        <v>0</v>
      </c>
      <c r="X432" s="76">
        <f>COUNTIF('12月'!D23:E23,X$411)+COUNTIF('12月'!I23:J23,X$411)+COUNTIF('12月'!N23:O23,X$411)+COUNTIF('12月'!S23:T23,X$411)+COUNTIF('12月'!X23:Y23,X$411)+COUNTIF('12月'!AC23:AD23,X$411)+COUNTIF('12月'!AH23:AI23,X$411)+COUNTIF('12月'!AM23:AN23,X$411)+COUNTIF('12月'!AR23:AS23,X$411)+COUNTIF('12月'!AW23:AX23,X$411)+COUNTIF('12月'!BB23:BC23,X$411)+COUNTIF('12月'!BG23:BH23,X$411)+COUNTIF('12月'!BL23:BM23,X$411)+COUNTIF('12月'!BQ23:BR23,X$411)+COUNTIF('12月'!BV23:BW23,X$411)+COUNTIF('12月'!CA23:CB23,X$411)+COUNTIF('12月'!CF23:CG23,X$411)+COUNTIF('12月'!CK23:CL23,X$411)+COUNTIF('12月'!CP23:CQ23,X$411)+COUNTIF('12月'!CU23:CV23,X$411)+COUNTIF('12月'!CZ23:DA23,X$411)+COUNTIF('12月'!DE23:DF23,X$411)+COUNTIF('12月'!DJ23:DK23,X$411)+COUNTIF('12月'!DO23:DP23,X$411)+COUNTIF('12月'!DT23:DU23,X$411)+COUNTIF('12月'!DY23:DZ23,X$411)+COUNTIF('12月'!ED23:EE23,X$411)+COUNTIF('12月'!EI23:EJ23,X$411)+COUNTIF('12月'!EN23:EO23,X$411)+COUNTIF('12月'!ES23:ET23,X$411)</f>
        <v>0</v>
      </c>
      <c r="Y432" s="76">
        <f t="shared" si="143"/>
        <v>0</v>
      </c>
    </row>
    <row r="433" spans="1:25" ht="18" customHeight="1">
      <c r="A433" s="76">
        <v>21</v>
      </c>
      <c r="B433" s="76">
        <f>COUNTIF('12月'!D24:E24,B$411)+COUNTIF('12月'!I24:J24,B$411)+COUNTIF('12月'!N24:O24,B$411)+COUNTIF('12月'!S24:T24,B$411)+COUNTIF('12月'!X24:Y24,B$411)+COUNTIF('12月'!AC24:AD24,B$411)+COUNTIF('12月'!AH24:AI24,B$411)+COUNTIF('12月'!AM24:AN24,B$411)+COUNTIF('12月'!AR24:AS24,B$411)+COUNTIF('12月'!AW24:AX24,B$411)+COUNTIF('12月'!BB24:BC24,B$411)+COUNTIF('12月'!BG24:BH24,B$411)+COUNTIF('12月'!BL24:BM24,B$411)+COUNTIF('12月'!BQ24:BR24,B$411)+COUNTIF('12月'!BV24:BW24,B$411)+COUNTIF('12月'!CA24:CB24,B$411)+COUNTIF('12月'!CF24:CG24,B$411)+COUNTIF('12月'!CK24:CL24,B$411)+COUNTIF('12月'!CP24:CQ24,B$411)+COUNTIF('12月'!CU24:CV24,B$411)+COUNTIF('12月'!CZ24:DA24,B$411)+COUNTIF('12月'!DE24:DF24,B$411)+COUNTIF('12月'!DJ24:DK24,B$411)+COUNTIF('12月'!DO24:DP24,B$411)+COUNTIF('12月'!DT24:DU24,B$411)+COUNTIF('12月'!DY24:DZ24,B$411)+COUNTIF('12月'!ED24:EE24,B$411)+COUNTIF('12月'!EI24:EJ24,B$411)+COUNTIF('12月'!EN24:EO24,B$411)+COUNTIF('12月'!ES24:ET24,B$411)</f>
        <v>0</v>
      </c>
      <c r="C433" s="76">
        <f t="shared" si="132"/>
        <v>0</v>
      </c>
      <c r="D433" s="76">
        <f>COUNTIF('12月'!D24:E24,D$411)+COUNTIF('12月'!I24:J24,D$411)+COUNTIF('12月'!N24:O24,D$411)+COUNTIF('12月'!S24:T24,D$411)+COUNTIF('12月'!X24:Y24,D$411)+COUNTIF('12月'!AC24:AD24,D$411)+COUNTIF('12月'!AH24:AI24,D$411)+COUNTIF('12月'!AM24:AN24,D$411)+COUNTIF('12月'!AR24:AS24,D$411)+COUNTIF('12月'!AW24:AX24,D$411)+COUNTIF('12月'!BB24:BC24,D$411)+COUNTIF('12月'!BG24:BH24,D$411)+COUNTIF('12月'!BL24:BM24,D$411)+COUNTIF('12月'!BQ24:BR24,D$411)+COUNTIF('12月'!BV24:BW24,D$411)+COUNTIF('12月'!CA24:CB24,D$411)+COUNTIF('12月'!CF24:CG24,D$411)+COUNTIF('12月'!CK24:CL24,D$411)+COUNTIF('12月'!CP24:CQ24,D$411)+COUNTIF('12月'!CU24:CV24,D$411)+COUNTIF('12月'!CZ24:DA24,D$411)+COUNTIF('12月'!DE24:DF24,D$411)+COUNTIF('12月'!DJ24:DK24,D$411)+COUNTIF('12月'!DO24:DP24,D$411)+COUNTIF('12月'!DT24:DU24,D$411)+COUNTIF('12月'!DY24:DZ24,D$411)+COUNTIF('12月'!ED24:EE24,D$411)+COUNTIF('12月'!EI24:EJ24,D$411)+COUNTIF('12月'!EN24:EO24,D$411)+COUNTIF('12月'!ES24:ET24,D$411)</f>
        <v>0</v>
      </c>
      <c r="E433" s="76">
        <f t="shared" si="133"/>
        <v>0</v>
      </c>
      <c r="F433" s="76">
        <f>COUNTIF('12月'!D24:E24,F$411)+COUNTIF('12月'!I24:J24,F$411)+COUNTIF('12月'!N24:O24,F$411)+COUNTIF('12月'!S24:T24,F$411)+COUNTIF('12月'!X24:Y24,F$411)+COUNTIF('12月'!AC24:AD24,F$411)+COUNTIF('12月'!AH24:AI24,F$411)+COUNTIF('12月'!AM24:AN24,F$411)+COUNTIF('12月'!AR24:AS24,F$411)+COUNTIF('12月'!AW24:AX24,F$411)+COUNTIF('12月'!BB24:BC24,F$411)+COUNTIF('12月'!BG24:BH24,F$411)+COUNTIF('12月'!BL24:BM24,F$411)+COUNTIF('12月'!BQ24:BR24,F$411)+COUNTIF('12月'!BV24:BW24,F$411)+COUNTIF('12月'!CA24:CB24,F$411)+COUNTIF('12月'!CF24:CG24,F$411)+COUNTIF('12月'!CK24:CL24,F$411)+COUNTIF('12月'!CP24:CQ24,F$411)+COUNTIF('12月'!CU24:CV24,F$411)+COUNTIF('12月'!CZ24:DA24,F$411)+COUNTIF('12月'!DE24:DF24,F$411)+COUNTIF('12月'!DJ24:DK24,F$411)+COUNTIF('12月'!DO24:DP24,F$411)+COUNTIF('12月'!DT24:DU24,F$411)+COUNTIF('12月'!DY24:DZ24,F$411)+COUNTIF('12月'!ED24:EE24,F$411)+COUNTIF('12月'!EI24:EJ24,F$411)+COUNTIF('12月'!EN24:EO24,F$411)+COUNTIF('12月'!ES24:ET24,F$411)</f>
        <v>0</v>
      </c>
      <c r="G433" s="76">
        <f t="shared" si="134"/>
        <v>0</v>
      </c>
      <c r="H433" s="76">
        <f>COUNTIF('12月'!D24:E24,H$411)+COUNTIF('12月'!I24:J24,H$411)+COUNTIF('12月'!N24:O24,H$411)+COUNTIF('12月'!S24:T24,H$411)+COUNTIF('12月'!X24:Y24,H$411)+COUNTIF('12月'!AC24:AD24,H$411)+COUNTIF('12月'!AH24:AI24,H$411)+COUNTIF('12月'!AM24:AN24,H$411)+COUNTIF('12月'!AR24:AS24,H$411)+COUNTIF('12月'!AW24:AX24,H$411)+COUNTIF('12月'!BB24:BC24,H$411)+COUNTIF('12月'!BG24:BH24,H$411)+COUNTIF('12月'!BL24:BM24,H$411)+COUNTIF('12月'!BQ24:BR24,H$411)+COUNTIF('12月'!BV24:BW24,H$411)+COUNTIF('12月'!CA24:CB24,H$411)+COUNTIF('12月'!CF24:CG24,H$411)+COUNTIF('12月'!CK24:CL24,H$411)+COUNTIF('12月'!CP24:CQ24,H$411)+COUNTIF('12月'!CU24:CV24,H$411)+COUNTIF('12月'!CZ24:DA24,H$411)+COUNTIF('12月'!DE24:DF24,H$411)+COUNTIF('12月'!DJ24:DK24,H$411)+COUNTIF('12月'!DO24:DP24,H$411)+COUNTIF('12月'!DT24:DU24,H$411)+COUNTIF('12月'!DY24:DZ24,H$411)+COUNTIF('12月'!ED24:EE24,H$411)+COUNTIF('12月'!EI24:EJ24,H$411)+COUNTIF('12月'!EN24:EO24,H$411)+COUNTIF('12月'!ES24:ET24,H$411)+COUNTIF('12月'!D24:E24,"渋谷-夜勤")+COUNTIF('12月'!I24:J24,"渋谷-夜勤")+COUNTIF('12月'!N24:O24,"渋谷-夜勤")+COUNTIF('12月'!S24:T24,"渋谷-夜勤")+COUNTIF('12月'!X24:Y24,"渋谷-夜勤")+COUNTIF('12月'!AC24:AD24,"渋谷-夜勤")+COUNTIF('12月'!AH24:AI24,"渋谷-夜勤")+COUNTIF('12月'!AM24:AN24,"渋谷-夜勤")+COUNTIF('12月'!AR24:AS24,"渋谷-夜勤")+COUNTIF('12月'!AW24:AX24,"渋谷-夜勤")+COUNTIF('12月'!BB24:BC24,"渋谷-夜勤")+COUNTIF('12月'!BG24:BH24,"渋谷-夜勤")+COUNTIF('12月'!BL24:BM24,"渋谷-夜勤")+COUNTIF('12月'!BQ24:BR24,"渋谷-夜勤")+COUNTIF('12月'!BV24:BW24,"渋谷-夜勤")+COUNTIF('12月'!CA24:CB24,"渋谷-夜勤")+COUNTIF('12月'!CF24:CG24,"渋谷-夜勤")+COUNTIF('12月'!CK24:CL24,"渋谷-夜勤")+COUNTIF('12月'!CP24:CQ24,"渋谷-夜勤")+COUNTIF('12月'!CU24:CV24,"渋谷-夜勤")+COUNTIF('12月'!CZ24:DA24,"渋谷-夜勤")+COUNTIF('12月'!DE24:DF24,"渋谷-夜勤")+COUNTIF('12月'!DJ24:DK24,"渋谷-夜勤")+COUNTIF('12月'!DO24:DP24,"渋谷-夜勤")+COUNTIF('12月'!DT24:DU24,"渋谷-夜勤")+COUNTIF('12月'!DY24:DZ24,"渋谷-夜勤")+COUNTIF('12月'!ED24:EE24,"渋谷-夜勤")+COUNTIF('12月'!EI24:EJ24,"渋谷-夜勤")+COUNTIF('12月'!EN24:EO24,"渋谷-夜勤")+COUNTIF('12月'!ES24:ET24,"渋谷-夜勤")</f>
        <v>0</v>
      </c>
      <c r="I433" s="76">
        <f t="shared" si="135"/>
        <v>0</v>
      </c>
      <c r="J433" s="76">
        <f>COUNTIF('12月'!D24:E24,J$411)+COUNTIF('12月'!I24:J24,J$411)+COUNTIF('12月'!N24:O24,J$411)+COUNTIF('12月'!S24:T24,J$411)+COUNTIF('12月'!X24:Y24,J$411)+COUNTIF('12月'!AC24:AD24,J$411)+COUNTIF('12月'!AH24:AI24,J$411)+COUNTIF('12月'!AM24:AN24,J$411)+COUNTIF('12月'!AR24:AS24,J$411)+COUNTIF('12月'!AW24:AX24,J$411)+COUNTIF('12月'!BB24:BC24,J$411)+COUNTIF('12月'!BG24:BH24,J$411)+COUNTIF('12月'!BL24:BM24,J$411)+COUNTIF('12月'!BQ24:BR24,J$411)+COUNTIF('12月'!BV24:BW24,J$411)+COUNTIF('12月'!CA24:CB24,J$411)+COUNTIF('12月'!CF24:CG24,J$411)+COUNTIF('12月'!CK24:CL24,J$411)+COUNTIF('12月'!CP24:CQ24,J$411)+COUNTIF('12月'!CU24:CV24,J$411)+COUNTIF('12月'!CZ24:DA24,J$411)+COUNTIF('12月'!DE24:DF24,J$411)+COUNTIF('12月'!DJ24:DK24,J$411)+COUNTIF('12月'!DO24:DP24,J$411)+COUNTIF('12月'!DT24:DU24,J$411)+COUNTIF('12月'!DY24:DZ24,J$411)+COUNTIF('12月'!ED24:EE24,J$411)+COUNTIF('12月'!EI24:EJ24,J$411)+COUNTIF('12月'!EN24:EO24,J$411)+COUNTIF('12月'!ES24:ET24,J$411)+COUNTIF('12月'!D24:E24,"六本木-夜勤")+COUNTIF('12月'!I24:J24,"六本木-夜勤")+COUNTIF('12月'!N24:O24,"六本木-夜勤")+COUNTIF('12月'!S24:T24,"六本木-夜勤")+COUNTIF('12月'!X24:Y24,"六本木-夜勤")+COUNTIF('12月'!AC24:AD24,"六本木-夜勤")+COUNTIF('12月'!AH24:AI24,"六本木-夜勤")+COUNTIF('12月'!AM24:AN24,"六本木-夜勤")+COUNTIF('12月'!AR24:AS24,"六本木-夜勤")+COUNTIF('12月'!AW24:AX24,"六本木-夜勤")+COUNTIF('12月'!BB24:BC24,"六本木-夜勤")+COUNTIF('12月'!BG24:BH24,"六本木-夜勤")+COUNTIF('12月'!BL24:BM24,"六本木-夜勤")+COUNTIF('12月'!BQ24:BR24,"六本木-夜勤")+COUNTIF('12月'!BV24:BW24,"六本木-夜勤")+COUNTIF('12月'!CA24:CB24,"六本木-夜勤")+COUNTIF('12月'!CF24:CG24,"六本木-夜勤")+COUNTIF('12月'!CK24:CL24,"六本木-夜勤")+COUNTIF('12月'!CP24:CQ24,"六本木-夜勤")+COUNTIF('12月'!CU24:CV24,"六本木-夜勤")+COUNTIF('12月'!CZ24:DA24,"六本木-夜勤")+COUNTIF('12月'!DE24:DF24,"六本木-夜勤")+COUNTIF('12月'!DJ24:DK24,"六本木-夜勤")+COUNTIF('12月'!DO24:DP24,"六本木-夜勤")+COUNTIF('12月'!DT24:DU24,"六本木-夜勤")+COUNTIF('12月'!DY24:DZ24,"六本木-夜勤")+COUNTIF('12月'!ED24:EE24,"六本木-夜勤")+COUNTIF('12月'!EI24:EJ24,"六本木-夜勤")+COUNTIF('12月'!EN24:EO24,"六本木-夜勤")+COUNTIF('12月'!ES24:ET24,"六本木-夜勤")+COUNTIF('12月'!D24:E24,"六本木ー夜勤")+COUNTIF('12月'!I24:J24,"六本木ー夜勤")+COUNTIF('12月'!N24:O24,"六本木ー夜勤")+COUNTIF('12月'!S24:T24,"六本木ー夜勤")+COUNTIF('12月'!X24:Y24,"六本木ー夜勤")+COUNTIF('12月'!AC24:AD24,"六本木ー夜勤")+COUNTIF('12月'!AH24:AI24,"六本木ー夜勤")+COUNTIF('12月'!AM24:AN24,"六本木ー夜勤")+COUNTIF('12月'!AR24:AS24,"六本木ー夜勤")+COUNTIF('12月'!AW24:AX24,"六本木ー夜勤")+COUNTIF('12月'!BB24:BC24,"六本木ー夜勤")+COUNTIF('12月'!BG24:BH24,"六本木ー夜勤")+COUNTIF('12月'!BL24:BM24,"六本木ー夜勤")+COUNTIF('12月'!BQ24:BR24,"六本木ー夜勤")+COUNTIF('12月'!BV24:BW24,"六本木ー夜勤")+COUNTIF('12月'!CA24:CB24,"六本木ー夜勤")+COUNTIF('12月'!CF24:CG24,"六本木ー夜勤")+COUNTIF('12月'!CK24:CL24,"六本木ー夜勤")+COUNTIF('12月'!CP24:CQ24,"六本木ー夜勤")+COUNTIF('12月'!CU24:CV24,"六本木ー夜勤")+COUNTIF('12月'!CZ24:DA24,"六本木ー夜勤")+COUNTIF('12月'!DE24:DF24,"六本木ー夜勤")+COUNTIF('12月'!DJ24:DK24,"六本木ー夜勤")+COUNTIF('12月'!DO24:DP24,"六本木ー夜勤")+COUNTIF('12月'!DT24:DU24,"六本木ー夜勤")+COUNTIF('12月'!DY24:DZ24,"六本木ー夜勤")+COUNTIF('12月'!ED24:EE24,"六本木ー夜勤")+COUNTIF('12月'!EI24:EJ24,"六本木ー夜勤")+COUNTIF('12月'!EN24:EO24,"六本木ー夜勤")+COUNTIF('12月'!ES24:ET24,"六本木ー夜勤")</f>
        <v>0</v>
      </c>
      <c r="K433" s="76">
        <f t="shared" si="136"/>
        <v>0</v>
      </c>
      <c r="L433" s="76">
        <f>COUNTIF('12月'!D24:E24,L$411)+COUNTIF('12月'!I24:J24,L$411)+COUNTIF('12月'!N24:O24,L$411)+COUNTIF('12月'!S24:T24,L$411)+COUNTIF('12月'!X24:Y24,L$411)+COUNTIF('12月'!AC24:AD24,L$411)+COUNTIF('12月'!AH24:AI24,L$411)+COUNTIF('12月'!AM24:AN24,L$411)+COUNTIF('12月'!AR24:AS24,L$411)+COUNTIF('12月'!AW24:AX24,L$411)+COUNTIF('12月'!BB24:BC24,L$411)+COUNTIF('12月'!BG24:BH24,L$411)+COUNTIF('12月'!BL24:BM24,L$411)+COUNTIF('12月'!BQ24:BR24,L$411)+COUNTIF('12月'!BV24:BW24,L$411)+COUNTIF('12月'!CA24:CB24,L$411)+COUNTIF('12月'!CF24:CG24,L$411)+COUNTIF('12月'!CK24:CL24,L$411)+COUNTIF('12月'!CP24:CQ24,L$411)+COUNTIF('12月'!CU24:CV24,L$411)+COUNTIF('12月'!CZ24:DA24,L$411)+COUNTIF('12月'!DE24:DF24,L$411)+COUNTIF('12月'!DJ24:DK24,L$411)+COUNTIF('12月'!DO24:DP24,L$411)+COUNTIF('12月'!DT24:DU24,L$411)+COUNTIF('12月'!DY24:DZ24,L$411)+COUNTIF('12月'!ED24:EE24,L$411)+COUNTIF('12月'!EI24:EJ24,L$411)+COUNTIF('12月'!EN24:EO24,L$411)+COUNTIF('12月'!ES24:ET24,L$411)</f>
        <v>0</v>
      </c>
      <c r="M433" s="76">
        <f t="shared" si="137"/>
        <v>0</v>
      </c>
      <c r="N433" s="76">
        <f>COUNTIF('12月'!D24:E24,N$411)+COUNTIF('12月'!I24:J24,N$411)+COUNTIF('12月'!N24:O24,N$411)+COUNTIF('12月'!S24:T24,N$411)+COUNTIF('12月'!X24:Y24,N$411)+COUNTIF('12月'!AC24:AD24,N$411)+COUNTIF('12月'!AH24:AI24,N$411)+COUNTIF('12月'!AM24:AN24,N$411)+COUNTIF('12月'!AR24:AS24,N$411)+COUNTIF('12月'!AW24:AX24,N$411)+COUNTIF('12月'!BB24:BC24,N$411)+COUNTIF('12月'!BG24:BH24,N$411)+COUNTIF('12月'!BL24:BM24,N$411)+COUNTIF('12月'!BQ24:BR24,N$411)+COUNTIF('12月'!BV24:BW24,N$411)+COUNTIF('12月'!CA24:CB24,N$411)+COUNTIF('12月'!CF24:CG24,N$411)+COUNTIF('12月'!CK24:CL24,N$411)+COUNTIF('12月'!CP24:CQ24,N$411)+COUNTIF('12月'!CU24:CV24,N$411)+COUNTIF('12月'!CZ24:DA24,N$411)+COUNTIF('12月'!DE24:DF24,N$411)+COUNTIF('12月'!DJ24:DK24,N$411)+COUNTIF('12月'!DO24:DP24,N$411)+COUNTIF('12月'!DT24:DU24,N$411)+COUNTIF('12月'!DY24:DZ24,N$411)+COUNTIF('12月'!ED24:EE24,N$411)+COUNTIF('12月'!EI24:EJ24,N$411)+COUNTIF('12月'!EN24:EO24,N$411)+COUNTIF('12月'!ES24:ET24,N$411)+COUNTIF('12月'!D24:E24,"三軒茶屋－夜勤")+COUNTIF('12月'!I24:J24,"三軒茶屋－夜勤")+COUNTIF('12月'!N24:O24,"三軒茶屋－夜勤")+COUNTIF('12月'!S24:T24,"三軒茶屋－夜勤")+COUNTIF('12月'!X24:Y24,"三軒茶屋－夜勤")+COUNTIF('12月'!AC24:AD24,"三軒茶屋－夜勤")+COUNTIF('12月'!AH24:AI24,"三軒茶屋－夜勤")+COUNTIF('12月'!AM24:AN24,"三軒茶屋－夜勤")+COUNTIF('12月'!AR24:AS24,"三軒茶屋－夜勤")+COUNTIF('12月'!AW24:AX24,"三軒茶屋－夜勤")+COUNTIF('12月'!BB24:BC24,"三軒茶屋－夜勤")+COUNTIF('12月'!BG24:BH24,"三軒茶屋－夜勤")+COUNTIF('12月'!BL24:BM24,"三軒茶屋－夜勤")+COUNTIF('12月'!BQ24:BR24,"三軒茶屋－夜勤")+COUNTIF('12月'!BV24:BW24,"三軒茶屋－夜勤")+COUNTIF('12月'!CA24:CB24,"三軒茶屋－夜勤")+COUNTIF('12月'!CF24:CG24,"三軒茶屋－夜勤")+COUNTIF('12月'!CK24:CL24,"三軒茶屋－夜勤")+COUNTIF('12月'!CP24:CQ24,"三軒茶屋－夜勤")+COUNTIF('12月'!CU24:CV24,"三軒茶屋－夜勤")+COUNTIF('12月'!CZ24:DA24,"三軒茶屋－夜勤")+COUNTIF('12月'!DE24:DF24,"三軒茶屋－夜勤")+COUNTIF('12月'!DJ24:DK24,"三軒茶屋－夜勤")+COUNTIF('12月'!DO24:DP24,"三軒茶屋－夜勤")+COUNTIF('12月'!DT24:DU24,"三軒茶屋－夜勤")+COUNTIF('12月'!DY24:DZ24,"三軒茶屋－夜勤")+COUNTIF('12月'!ED24:EE24,"三軒茶屋－夜勤")+COUNTIF('12月'!EI24:EJ24,"三軒茶屋－夜勤")+COUNTIF('12月'!EN24:EO24,"三軒茶屋－夜勤")+COUNTIF('12月'!ES24:ET24,"三軒茶屋－夜勤")</f>
        <v>0</v>
      </c>
      <c r="O433" s="76">
        <f t="shared" si="138"/>
        <v>0</v>
      </c>
      <c r="P433" s="76">
        <f>COUNTIF('12月'!D24:E24,P$411)+COUNTIF('12月'!I24:J24,P$411)+COUNTIF('12月'!N24:O24,P$411)+COUNTIF('12月'!S24:T24,P$411)+COUNTIF('12月'!X24:Y24,P$411)+COUNTIF('12月'!AC24:AD24,P$411)+COUNTIF('12月'!AH24:AI24,P$411)+COUNTIF('12月'!AM24:AN24,P$411)+COUNTIF('12月'!AR24:AS24,P$411)+COUNTIF('12月'!AW24:AX24,P$411)+COUNTIF('12月'!BB24:BC24,P$411)+COUNTIF('12月'!BG24:BH24,P$411)+COUNTIF('12月'!BL24:BM24,P$411)+COUNTIF('12月'!BQ24:BR24,P$411)+COUNTIF('12月'!BV24:BW24,P$411)+COUNTIF('12月'!CA24:CB24,P$411)+COUNTIF('12月'!CF24:CG24,P$411)+COUNTIF('12月'!CK24:CL24,P$411)+COUNTIF('12月'!CP24:CQ24,P$411)+COUNTIF('12月'!CU24:CV24,P$411)+COUNTIF('12月'!CZ24:DA24,P$411)+COUNTIF('12月'!DE24:DF24,P$411)+COUNTIF('12月'!DJ24:DK24,P$411)+COUNTIF('12月'!DO24:DP24,P$411)+COUNTIF('12月'!DT24:DU24,P$411)+COUNTIF('12月'!DY24:DZ24,P$411)+COUNTIF('12月'!ED24:EE24,P$411)+COUNTIF('12月'!EI24:EJ24,P$411)+COUNTIF('12月'!EN24:EO24,P$411)+COUNTIF('12月'!ES24:ET24,P$411)+COUNTIF('12月'!D24:E24,"荻窪ー夜勤")+COUNTIF('12月'!I24:J24,"荻窪ー夜勤")+COUNTIF('12月'!N24:O24,"荻窪ー夜勤")+COUNTIF('12月'!S24:T24,"荻窪ー夜勤")+COUNTIF('12月'!X24:Y24,"荻窪ー夜勤")+COUNTIF('12月'!AC24:AD24,"荻窪ー夜勤")+COUNTIF('12月'!AH24:AI24,"荻窪ー夜勤")+COUNTIF('12月'!AM24:AN24,"荻窪ー夜勤")+COUNTIF('12月'!AR24:AS24,"荻窪ー夜勤")+COUNTIF('12月'!AW24:AX24,"荻窪ー夜勤")+COUNTIF('12月'!BB24:BC24,"荻窪ー夜勤")+COUNTIF('12月'!BG24:BH24,"荻窪ー夜勤")+COUNTIF('12月'!BL24:BM24,"荻窪ー夜勤")+COUNTIF('12月'!BQ24:BR24,"荻窪ー夜勤")+COUNTIF('12月'!BV24:BW24,"荻窪ー夜勤")+COUNTIF('12月'!CA24:CB24,"荻窪ー夜勤")+COUNTIF('12月'!CF24:CG24,"荻窪ー夜勤")+COUNTIF('12月'!CK24:CL24,"荻窪ー夜勤")+COUNTIF('12月'!CP24:CQ24,"荻窪ー夜勤")+COUNTIF('12月'!CU24:CV24,"荻窪ー夜勤")+COUNTIF('12月'!CZ24:DA24,"荻窪ー夜勤")+COUNTIF('12月'!DE24:DF24,"荻窪ー夜勤")+COUNTIF('12月'!DJ24:DK24,"荻窪ー夜勤")+COUNTIF('12月'!DO24:DP24,"荻窪ー夜勤")+COUNTIF('12月'!DT24:DU24,"荻窪ー夜勤")+COUNTIF('12月'!DY24:DZ24,"荻窪ー夜勤")+COUNTIF('12月'!ED24:EE24,"荻窪ー夜勤")+COUNTIF('12月'!EI24:EJ24,"荻窪ー夜勤")+COUNTIF('12月'!EN24:EO24,"荻窪ー夜勤")+COUNTIF('12月'!ES24:ET24,"荻窪ー夜勤")</f>
        <v>0</v>
      </c>
      <c r="Q433" s="76">
        <f t="shared" si="139"/>
        <v>0</v>
      </c>
      <c r="R433" s="76">
        <f>COUNTIF('12月'!D24:E24,R$411)+COUNTIF('12月'!I24:J24,R$411)+COUNTIF('12月'!N24:O24,R$411)+COUNTIF('12月'!S24:T24,R$411)+COUNTIF('12月'!X24:Y24,R$411)+COUNTIF('12月'!AC24:AD24,R$411)+COUNTIF('12月'!AH24:AI24,R$411)+COUNTIF('12月'!AM24:AN24,R$411)+COUNTIF('12月'!AR24:AS24,R$411)+COUNTIF('12月'!AW24:AX24,R$411)+COUNTIF('12月'!BB24:BC24,R$411)+COUNTIF('12月'!BG24:BH24,R$411)+COUNTIF('12月'!BL24:BM24,R$411)+COUNTIF('12月'!BQ24:BR24,R$411)+COUNTIF('12月'!BV24:BW24,R$411)+COUNTIF('12月'!CA24:CB24,R$411)+COUNTIF('12月'!CF24:CG24,R$411)+COUNTIF('12月'!CK24:CL24,R$411)+COUNTIF('12月'!CP24:CQ24,R$411)+COUNTIF('12月'!CU24:CV24,R$411)+COUNTIF('12月'!CZ24:DA24,R$411)+COUNTIF('12月'!DE24:DF24,R$411)+COUNTIF('12月'!DJ24:DK24,R$411)+COUNTIF('12月'!DO24:DP24,R$411)+COUNTIF('12月'!DT24:DU24,R$411)+COUNTIF('12月'!DY24:DZ24,R$411)+COUNTIF('12月'!ED24:EE24,R$411)+COUNTIF('12月'!EI24:EJ24,R$411)+COUNTIF('12月'!EN24:EO24,R$411)+COUNTIF('12月'!ES24:ET24,R$411)</f>
        <v>0</v>
      </c>
      <c r="S433" s="76">
        <f t="shared" si="140"/>
        <v>0</v>
      </c>
      <c r="T433" s="76">
        <f>COUNTIF('12月'!D24:E24,T$411)+COUNTIF('12月'!I24:J24,T$411)+COUNTIF('12月'!N24:O24,T$411)+COUNTIF('12月'!S24:T24,T$411)+COUNTIF('12月'!X24:Y24,T$411)+COUNTIF('12月'!AC24:AD24,T$411)+COUNTIF('12月'!AH24:AI24,T$411)+COUNTIF('12月'!AM24:AN24,T$411)+COUNTIF('12月'!AR24:AS24,T$411)+COUNTIF('12月'!AW24:AX24,T$411)+COUNTIF('12月'!BB24:BC24,T$411)+COUNTIF('12月'!BG24:BH24,T$411)+COUNTIF('12月'!BL24:BM24,T$411)+COUNTIF('12月'!BQ24:BR24,T$411)+COUNTIF('12月'!BV24:BW24,T$411)+COUNTIF('12月'!CA24:CB24,T$411)+COUNTIF('12月'!CF24:CG24,T$411)+COUNTIF('12月'!CK24:CL24,T$411)+COUNTIF('12月'!CP24:CQ24,T$411)+COUNTIF('12月'!CU24:CV24,T$411)+COUNTIF('12月'!CZ24:DA24,T$411)+COUNTIF('12月'!DE24:DF24,T$411)+COUNTIF('12月'!DJ24:DK24,T$411)+COUNTIF('12月'!DO24:DP24,T$411)+COUNTIF('12月'!DT24:DU24,T$411)+COUNTIF('12月'!DY24:DZ24,T$411)+COUNTIF('12月'!ED24:EE24,T$411)+COUNTIF('12月'!EI24:EJ24,T$411)+COUNTIF('12月'!EN24:EO24,T$411)+COUNTIF('12月'!ES24:ET24,T$411)</f>
        <v>0</v>
      </c>
      <c r="U433" s="76">
        <f t="shared" si="141"/>
        <v>0</v>
      </c>
      <c r="V433" s="76">
        <f>COUNTIF('12月'!D24:E24,V$411)+COUNTIF('12月'!I24:J24,V$411)+COUNTIF('12月'!N24:O24,V$411)+COUNTIF('12月'!S24:T24,V$411)+COUNTIF('12月'!X24:Y24,V$411)+COUNTIF('12月'!AC24:AD24,V$411)+COUNTIF('12月'!AH24:AI24,V$411)+COUNTIF('12月'!AM24:AN24,V$411)+COUNTIF('12月'!AR24:AS24,V$411)+COUNTIF('12月'!AW24:AX24,V$411)+COUNTIF('12月'!BB24:BC24,V$411)+COUNTIF('12月'!BG24:BH24,V$411)+COUNTIF('12月'!BL24:BM24,V$411)+COUNTIF('12月'!BQ24:BR24,V$411)+COUNTIF('12月'!BV24:BW24,V$411)+COUNTIF('12月'!CA24:CB24,V$411)+COUNTIF('12月'!CF24:CG24,V$411)+COUNTIF('12月'!CK24:CL24,V$411)+COUNTIF('12月'!CP24:CQ24,V$411)+COUNTIF('12月'!CU24:CV24,V$411)+COUNTIF('12月'!CZ24:DA24,V$411)+COUNTIF('12月'!DE24:DF24,V$411)+COUNTIF('12月'!DJ24:DK24,V$411)+COUNTIF('12月'!DO24:DP24,V$411)+COUNTIF('12月'!DT24:DU24,V$411)+COUNTIF('12月'!DY24:DZ24,V$411)+COUNTIF('12月'!ED24:EE24,V$411)+COUNTIF('12月'!EI24:EJ24,V$411)+COUNTIF('12月'!EN24:EO24,V$411)+COUNTIF('12月'!ES24:ET24,V$411)</f>
        <v>0</v>
      </c>
      <c r="W433" s="76">
        <f t="shared" si="142"/>
        <v>0</v>
      </c>
      <c r="X433" s="76">
        <f>COUNTIF('12月'!D24:E24,X$411)+COUNTIF('12月'!I24:J24,X$411)+COUNTIF('12月'!N24:O24,X$411)+COUNTIF('12月'!S24:T24,X$411)+COUNTIF('12月'!X24:Y24,X$411)+COUNTIF('12月'!AC24:AD24,X$411)+COUNTIF('12月'!AH24:AI24,X$411)+COUNTIF('12月'!AM24:AN24,X$411)+COUNTIF('12月'!AR24:AS24,X$411)+COUNTIF('12月'!AW24:AX24,X$411)+COUNTIF('12月'!BB24:BC24,X$411)+COUNTIF('12月'!BG24:BH24,X$411)+COUNTIF('12月'!BL24:BM24,X$411)+COUNTIF('12月'!BQ24:BR24,X$411)+COUNTIF('12月'!BV24:BW24,X$411)+COUNTIF('12月'!CA24:CB24,X$411)+COUNTIF('12月'!CF24:CG24,X$411)+COUNTIF('12月'!CK24:CL24,X$411)+COUNTIF('12月'!CP24:CQ24,X$411)+COUNTIF('12月'!CU24:CV24,X$411)+COUNTIF('12月'!CZ24:DA24,X$411)+COUNTIF('12月'!DE24:DF24,X$411)+COUNTIF('12月'!DJ24:DK24,X$411)+COUNTIF('12月'!DO24:DP24,X$411)+COUNTIF('12月'!DT24:DU24,X$411)+COUNTIF('12月'!DY24:DZ24,X$411)+COUNTIF('12月'!ED24:EE24,X$411)+COUNTIF('12月'!EI24:EJ24,X$411)+COUNTIF('12月'!EN24:EO24,X$411)+COUNTIF('12月'!ES24:ET24,X$411)</f>
        <v>0</v>
      </c>
      <c r="Y433" s="76">
        <f t="shared" si="143"/>
        <v>0</v>
      </c>
    </row>
    <row r="434" spans="1:25" ht="18" customHeight="1">
      <c r="A434" s="76">
        <v>22</v>
      </c>
      <c r="B434" s="76">
        <f>COUNTIF('12月'!D25:E25,B$411)+COUNTIF('12月'!I25:J25,B$411)+COUNTIF('12月'!N25:O25,B$411)+COUNTIF('12月'!S25:T25,B$411)+COUNTIF('12月'!X25:Y25,B$411)+COUNTIF('12月'!AC25:AD25,B$411)+COUNTIF('12月'!AH25:AI25,B$411)+COUNTIF('12月'!AM25:AN25,B$411)+COUNTIF('12月'!AR25:AS25,B$411)+COUNTIF('12月'!AW25:AX25,B$411)+COUNTIF('12月'!BB25:BC25,B$411)+COUNTIF('12月'!BG25:BH25,B$411)+COUNTIF('12月'!BL25:BM25,B$411)+COUNTIF('12月'!BQ25:BR25,B$411)+COUNTIF('12月'!BV25:BW25,B$411)+COUNTIF('12月'!CA25:CB25,B$411)+COUNTIF('12月'!CF25:CG25,B$411)+COUNTIF('12月'!CK25:CL25,B$411)+COUNTIF('12月'!CP25:CQ25,B$411)+COUNTIF('12月'!CU25:CV25,B$411)+COUNTIF('12月'!CZ25:DA25,B$411)+COUNTIF('12月'!DE25:DF25,B$411)+COUNTIF('12月'!DJ25:DK25,B$411)+COUNTIF('12月'!DO25:DP25,B$411)+COUNTIF('12月'!DT25:DU25,B$411)+COUNTIF('12月'!DY25:DZ25,B$411)+COUNTIF('12月'!ED25:EE25,B$411)+COUNTIF('12月'!EI25:EJ25,B$411)+COUNTIF('12月'!EN25:EO25,B$411)+COUNTIF('12月'!ES25:ET25,B$411)</f>
        <v>0</v>
      </c>
      <c r="C434" s="76">
        <f t="shared" si="132"/>
        <v>0</v>
      </c>
      <c r="D434" s="76">
        <f>COUNTIF('12月'!D25:E25,D$411)+COUNTIF('12月'!I25:J25,D$411)+COUNTIF('12月'!N25:O25,D$411)+COUNTIF('12月'!S25:T25,D$411)+COUNTIF('12月'!X25:Y25,D$411)+COUNTIF('12月'!AC25:AD25,D$411)+COUNTIF('12月'!AH25:AI25,D$411)+COUNTIF('12月'!AM25:AN25,D$411)+COUNTIF('12月'!AR25:AS25,D$411)+COUNTIF('12月'!AW25:AX25,D$411)+COUNTIF('12月'!BB25:BC25,D$411)+COUNTIF('12月'!BG25:BH25,D$411)+COUNTIF('12月'!BL25:BM25,D$411)+COUNTIF('12月'!BQ25:BR25,D$411)+COUNTIF('12月'!BV25:BW25,D$411)+COUNTIF('12月'!CA25:CB25,D$411)+COUNTIF('12月'!CF25:CG25,D$411)+COUNTIF('12月'!CK25:CL25,D$411)+COUNTIF('12月'!CP25:CQ25,D$411)+COUNTIF('12月'!CU25:CV25,D$411)+COUNTIF('12月'!CZ25:DA25,D$411)+COUNTIF('12月'!DE25:DF25,D$411)+COUNTIF('12月'!DJ25:DK25,D$411)+COUNTIF('12月'!DO25:DP25,D$411)+COUNTIF('12月'!DT25:DU25,D$411)+COUNTIF('12月'!DY25:DZ25,D$411)+COUNTIF('12月'!ED25:EE25,D$411)+COUNTIF('12月'!EI25:EJ25,D$411)+COUNTIF('12月'!EN25:EO25,D$411)+COUNTIF('12月'!ES25:ET25,D$411)</f>
        <v>0</v>
      </c>
      <c r="E434" s="76">
        <f t="shared" si="133"/>
        <v>0</v>
      </c>
      <c r="F434" s="76">
        <f>COUNTIF('12月'!D25:E25,F$411)+COUNTIF('12月'!I25:J25,F$411)+COUNTIF('12月'!N25:O25,F$411)+COUNTIF('12月'!S25:T25,F$411)+COUNTIF('12月'!X25:Y25,F$411)+COUNTIF('12月'!AC25:AD25,F$411)+COUNTIF('12月'!AH25:AI25,F$411)+COUNTIF('12月'!AM25:AN25,F$411)+COUNTIF('12月'!AR25:AS25,F$411)+COUNTIF('12月'!AW25:AX25,F$411)+COUNTIF('12月'!BB25:BC25,F$411)+COUNTIF('12月'!BG25:BH25,F$411)+COUNTIF('12月'!BL25:BM25,F$411)+COUNTIF('12月'!BQ25:BR25,F$411)+COUNTIF('12月'!BV25:BW25,F$411)+COUNTIF('12月'!CA25:CB25,F$411)+COUNTIF('12月'!CF25:CG25,F$411)+COUNTIF('12月'!CK25:CL25,F$411)+COUNTIF('12月'!CP25:CQ25,F$411)+COUNTIF('12月'!CU25:CV25,F$411)+COUNTIF('12月'!CZ25:DA25,F$411)+COUNTIF('12月'!DE25:DF25,F$411)+COUNTIF('12月'!DJ25:DK25,F$411)+COUNTIF('12月'!DO25:DP25,F$411)+COUNTIF('12月'!DT25:DU25,F$411)+COUNTIF('12月'!DY25:DZ25,F$411)+COUNTIF('12月'!ED25:EE25,F$411)+COUNTIF('12月'!EI25:EJ25,F$411)+COUNTIF('12月'!EN25:EO25,F$411)+COUNTIF('12月'!ES25:ET25,F$411)</f>
        <v>0</v>
      </c>
      <c r="G434" s="76">
        <f t="shared" si="134"/>
        <v>0</v>
      </c>
      <c r="H434" s="76">
        <f>COUNTIF('12月'!D25:E25,H$411)+COUNTIF('12月'!I25:J25,H$411)+COUNTIF('12月'!N25:O25,H$411)+COUNTIF('12月'!S25:T25,H$411)+COUNTIF('12月'!X25:Y25,H$411)+COUNTIF('12月'!AC25:AD25,H$411)+COUNTIF('12月'!AH25:AI25,H$411)+COUNTIF('12月'!AM25:AN25,H$411)+COUNTIF('12月'!AR25:AS25,H$411)+COUNTIF('12月'!AW25:AX25,H$411)+COUNTIF('12月'!BB25:BC25,H$411)+COUNTIF('12月'!BG25:BH25,H$411)+COUNTIF('12月'!BL25:BM25,H$411)+COUNTIF('12月'!BQ25:BR25,H$411)+COUNTIF('12月'!BV25:BW25,H$411)+COUNTIF('12月'!CA25:CB25,H$411)+COUNTIF('12月'!CF25:CG25,H$411)+COUNTIF('12月'!CK25:CL25,H$411)+COUNTIF('12月'!CP25:CQ25,H$411)+COUNTIF('12月'!CU25:CV25,H$411)+COUNTIF('12月'!CZ25:DA25,H$411)+COUNTIF('12月'!DE25:DF25,H$411)+COUNTIF('12月'!DJ25:DK25,H$411)+COUNTIF('12月'!DO25:DP25,H$411)+COUNTIF('12月'!DT25:DU25,H$411)+COUNTIF('12月'!DY25:DZ25,H$411)+COUNTIF('12月'!ED25:EE25,H$411)+COUNTIF('12月'!EI25:EJ25,H$411)+COUNTIF('12月'!EN25:EO25,H$411)+COUNTIF('12月'!ES25:ET25,H$411)+COUNTIF('12月'!D25:E25,"渋谷-夜勤")+COUNTIF('12月'!I25:J25,"渋谷-夜勤")+COUNTIF('12月'!N25:O25,"渋谷-夜勤")+COUNTIF('12月'!S25:T25,"渋谷-夜勤")+COUNTIF('12月'!X25:Y25,"渋谷-夜勤")+COUNTIF('12月'!AC25:AD25,"渋谷-夜勤")+COUNTIF('12月'!AH25:AI25,"渋谷-夜勤")+COUNTIF('12月'!AM25:AN25,"渋谷-夜勤")+COUNTIF('12月'!AR25:AS25,"渋谷-夜勤")+COUNTIF('12月'!AW25:AX25,"渋谷-夜勤")+COUNTIF('12月'!BB25:BC25,"渋谷-夜勤")+COUNTIF('12月'!BG25:BH25,"渋谷-夜勤")+COUNTIF('12月'!BL25:BM25,"渋谷-夜勤")+COUNTIF('12月'!BQ25:BR25,"渋谷-夜勤")+COUNTIF('12月'!BV25:BW25,"渋谷-夜勤")+COUNTIF('12月'!CA25:CB25,"渋谷-夜勤")+COUNTIF('12月'!CF25:CG25,"渋谷-夜勤")+COUNTIF('12月'!CK25:CL25,"渋谷-夜勤")+COUNTIF('12月'!CP25:CQ25,"渋谷-夜勤")+COUNTIF('12月'!CU25:CV25,"渋谷-夜勤")+COUNTIF('12月'!CZ25:DA25,"渋谷-夜勤")+COUNTIF('12月'!DE25:DF25,"渋谷-夜勤")+COUNTIF('12月'!DJ25:DK25,"渋谷-夜勤")+COUNTIF('12月'!DO25:DP25,"渋谷-夜勤")+COUNTIF('12月'!DT25:DU25,"渋谷-夜勤")+COUNTIF('12月'!DY25:DZ25,"渋谷-夜勤")+COUNTIF('12月'!ED25:EE25,"渋谷-夜勤")+COUNTIF('12月'!EI25:EJ25,"渋谷-夜勤")+COUNTIF('12月'!EN25:EO25,"渋谷-夜勤")+COUNTIF('12月'!ES25:ET25,"渋谷-夜勤")</f>
        <v>0</v>
      </c>
      <c r="I434" s="76">
        <f t="shared" si="135"/>
        <v>0</v>
      </c>
      <c r="J434" s="76">
        <f>COUNTIF('12月'!D25:E25,J$411)+COUNTIF('12月'!I25:J25,J$411)+COUNTIF('12月'!N25:O25,J$411)+COUNTIF('12月'!S25:T25,J$411)+COUNTIF('12月'!X25:Y25,J$411)+COUNTIF('12月'!AC25:AD25,J$411)+COUNTIF('12月'!AH25:AI25,J$411)+COUNTIF('12月'!AM25:AN25,J$411)+COUNTIF('12月'!AR25:AS25,J$411)+COUNTIF('12月'!AW25:AX25,J$411)+COUNTIF('12月'!BB25:BC25,J$411)+COUNTIF('12月'!BG25:BH25,J$411)+COUNTIF('12月'!BL25:BM25,J$411)+COUNTIF('12月'!BQ25:BR25,J$411)+COUNTIF('12月'!BV25:BW25,J$411)+COUNTIF('12月'!CA25:CB25,J$411)+COUNTIF('12月'!CF25:CG25,J$411)+COUNTIF('12月'!CK25:CL25,J$411)+COUNTIF('12月'!CP25:CQ25,J$411)+COUNTIF('12月'!CU25:CV25,J$411)+COUNTIF('12月'!CZ25:DA25,J$411)+COUNTIF('12月'!DE25:DF25,J$411)+COUNTIF('12月'!DJ25:DK25,J$411)+COUNTIF('12月'!DO25:DP25,J$411)+COUNTIF('12月'!DT25:DU25,J$411)+COUNTIF('12月'!DY25:DZ25,J$411)+COUNTIF('12月'!ED25:EE25,J$411)+COUNTIF('12月'!EI25:EJ25,J$411)+COUNTIF('12月'!EN25:EO25,J$411)+COUNTIF('12月'!ES25:ET25,J$411)+COUNTIF('12月'!D25:E25,"六本木-夜勤")+COUNTIF('12月'!I25:J25,"六本木-夜勤")+COUNTIF('12月'!N25:O25,"六本木-夜勤")+COUNTIF('12月'!S25:T25,"六本木-夜勤")+COUNTIF('12月'!X25:Y25,"六本木-夜勤")+COUNTIF('12月'!AC25:AD25,"六本木-夜勤")+COUNTIF('12月'!AH25:AI25,"六本木-夜勤")+COUNTIF('12月'!AM25:AN25,"六本木-夜勤")+COUNTIF('12月'!AR25:AS25,"六本木-夜勤")+COUNTIF('12月'!AW25:AX25,"六本木-夜勤")+COUNTIF('12月'!BB25:BC25,"六本木-夜勤")+COUNTIF('12月'!BG25:BH25,"六本木-夜勤")+COUNTIF('12月'!BL25:BM25,"六本木-夜勤")+COUNTIF('12月'!BQ25:BR25,"六本木-夜勤")+COUNTIF('12月'!BV25:BW25,"六本木-夜勤")+COUNTIF('12月'!CA25:CB25,"六本木-夜勤")+COUNTIF('12月'!CF25:CG25,"六本木-夜勤")+COUNTIF('12月'!CK25:CL25,"六本木-夜勤")+COUNTIF('12月'!CP25:CQ25,"六本木-夜勤")+COUNTIF('12月'!CU25:CV25,"六本木-夜勤")+COUNTIF('12月'!CZ25:DA25,"六本木-夜勤")+COUNTIF('12月'!DE25:DF25,"六本木-夜勤")+COUNTIF('12月'!DJ25:DK25,"六本木-夜勤")+COUNTIF('12月'!DO25:DP25,"六本木-夜勤")+COUNTIF('12月'!DT25:DU25,"六本木-夜勤")+COUNTIF('12月'!DY25:DZ25,"六本木-夜勤")+COUNTIF('12月'!ED25:EE25,"六本木-夜勤")+COUNTIF('12月'!EI25:EJ25,"六本木-夜勤")+COUNTIF('12月'!EN25:EO25,"六本木-夜勤")+COUNTIF('12月'!ES25:ET25,"六本木-夜勤")+COUNTIF('12月'!D25:E25,"六本木ー夜勤")+COUNTIF('12月'!I25:J25,"六本木ー夜勤")+COUNTIF('12月'!N25:O25,"六本木ー夜勤")+COUNTIF('12月'!S25:T25,"六本木ー夜勤")+COUNTIF('12月'!X25:Y25,"六本木ー夜勤")+COUNTIF('12月'!AC25:AD25,"六本木ー夜勤")+COUNTIF('12月'!AH25:AI25,"六本木ー夜勤")+COUNTIF('12月'!AM25:AN25,"六本木ー夜勤")+COUNTIF('12月'!AR25:AS25,"六本木ー夜勤")+COUNTIF('12月'!AW25:AX25,"六本木ー夜勤")+COUNTIF('12月'!BB25:BC25,"六本木ー夜勤")+COUNTIF('12月'!BG25:BH25,"六本木ー夜勤")+COUNTIF('12月'!BL25:BM25,"六本木ー夜勤")+COUNTIF('12月'!BQ25:BR25,"六本木ー夜勤")+COUNTIF('12月'!BV25:BW25,"六本木ー夜勤")+COUNTIF('12月'!CA25:CB25,"六本木ー夜勤")+COUNTIF('12月'!CF25:CG25,"六本木ー夜勤")+COUNTIF('12月'!CK25:CL25,"六本木ー夜勤")+COUNTIF('12月'!CP25:CQ25,"六本木ー夜勤")+COUNTIF('12月'!CU25:CV25,"六本木ー夜勤")+COUNTIF('12月'!CZ25:DA25,"六本木ー夜勤")+COUNTIF('12月'!DE25:DF25,"六本木ー夜勤")+COUNTIF('12月'!DJ25:DK25,"六本木ー夜勤")+COUNTIF('12月'!DO25:DP25,"六本木ー夜勤")+COUNTIF('12月'!DT25:DU25,"六本木ー夜勤")+COUNTIF('12月'!DY25:DZ25,"六本木ー夜勤")+COUNTIF('12月'!ED25:EE25,"六本木ー夜勤")+COUNTIF('12月'!EI25:EJ25,"六本木ー夜勤")+COUNTIF('12月'!EN25:EO25,"六本木ー夜勤")+COUNTIF('12月'!ES25:ET25,"六本木ー夜勤")</f>
        <v>0</v>
      </c>
      <c r="K434" s="76">
        <f t="shared" si="136"/>
        <v>0</v>
      </c>
      <c r="L434" s="76">
        <f>COUNTIF('12月'!D25:E25,L$411)+COUNTIF('12月'!I25:J25,L$411)+COUNTIF('12月'!N25:O25,L$411)+COUNTIF('12月'!S25:T25,L$411)+COUNTIF('12月'!X25:Y25,L$411)+COUNTIF('12月'!AC25:AD25,L$411)+COUNTIF('12月'!AH25:AI25,L$411)+COUNTIF('12月'!AM25:AN25,L$411)+COUNTIF('12月'!AR25:AS25,L$411)+COUNTIF('12月'!AW25:AX25,L$411)+COUNTIF('12月'!BB25:BC25,L$411)+COUNTIF('12月'!BG25:BH25,L$411)+COUNTIF('12月'!BL25:BM25,L$411)+COUNTIF('12月'!BQ25:BR25,L$411)+COUNTIF('12月'!BV25:BW25,L$411)+COUNTIF('12月'!CA25:CB25,L$411)+COUNTIF('12月'!CF25:CG25,L$411)+COUNTIF('12月'!CK25:CL25,L$411)+COUNTIF('12月'!CP25:CQ25,L$411)+COUNTIF('12月'!CU25:CV25,L$411)+COUNTIF('12月'!CZ25:DA25,L$411)+COUNTIF('12月'!DE25:DF25,L$411)+COUNTIF('12月'!DJ25:DK25,L$411)+COUNTIF('12月'!DO25:DP25,L$411)+COUNTIF('12月'!DT25:DU25,L$411)+COUNTIF('12月'!DY25:DZ25,L$411)+COUNTIF('12月'!ED25:EE25,L$411)+COUNTIF('12月'!EI25:EJ25,L$411)+COUNTIF('12月'!EN25:EO25,L$411)+COUNTIF('12月'!ES25:ET25,L$411)</f>
        <v>0</v>
      </c>
      <c r="M434" s="76">
        <f t="shared" si="137"/>
        <v>0</v>
      </c>
      <c r="N434" s="76">
        <f>COUNTIF('12月'!D25:E25,N$411)+COUNTIF('12月'!I25:J25,N$411)+COUNTIF('12月'!N25:O25,N$411)+COUNTIF('12月'!S25:T25,N$411)+COUNTIF('12月'!X25:Y25,N$411)+COUNTIF('12月'!AC25:AD25,N$411)+COUNTIF('12月'!AH25:AI25,N$411)+COUNTIF('12月'!AM25:AN25,N$411)+COUNTIF('12月'!AR25:AS25,N$411)+COUNTIF('12月'!AW25:AX25,N$411)+COUNTIF('12月'!BB25:BC25,N$411)+COUNTIF('12月'!BG25:BH25,N$411)+COUNTIF('12月'!BL25:BM25,N$411)+COUNTIF('12月'!BQ25:BR25,N$411)+COUNTIF('12月'!BV25:BW25,N$411)+COUNTIF('12月'!CA25:CB25,N$411)+COUNTIF('12月'!CF25:CG25,N$411)+COUNTIF('12月'!CK25:CL25,N$411)+COUNTIF('12月'!CP25:CQ25,N$411)+COUNTIF('12月'!CU25:CV25,N$411)+COUNTIF('12月'!CZ25:DA25,N$411)+COUNTIF('12月'!DE25:DF25,N$411)+COUNTIF('12月'!DJ25:DK25,N$411)+COUNTIF('12月'!DO25:DP25,N$411)+COUNTIF('12月'!DT25:DU25,N$411)+COUNTIF('12月'!DY25:DZ25,N$411)+COUNTIF('12月'!ED25:EE25,N$411)+COUNTIF('12月'!EI25:EJ25,N$411)+COUNTIF('12月'!EN25:EO25,N$411)+COUNTIF('12月'!ES25:ET25,N$411)+COUNTIF('12月'!D25:E25,"三軒茶屋－夜勤")+COUNTIF('12月'!I25:J25,"三軒茶屋－夜勤")+COUNTIF('12月'!N25:O25,"三軒茶屋－夜勤")+COUNTIF('12月'!S25:T25,"三軒茶屋－夜勤")+COUNTIF('12月'!X25:Y25,"三軒茶屋－夜勤")+COUNTIF('12月'!AC25:AD25,"三軒茶屋－夜勤")+COUNTIF('12月'!AH25:AI25,"三軒茶屋－夜勤")+COUNTIF('12月'!AM25:AN25,"三軒茶屋－夜勤")+COUNTIF('12月'!AR25:AS25,"三軒茶屋－夜勤")+COUNTIF('12月'!AW25:AX25,"三軒茶屋－夜勤")+COUNTIF('12月'!BB25:BC25,"三軒茶屋－夜勤")+COUNTIF('12月'!BG25:BH25,"三軒茶屋－夜勤")+COUNTIF('12月'!BL25:BM25,"三軒茶屋－夜勤")+COUNTIF('12月'!BQ25:BR25,"三軒茶屋－夜勤")+COUNTIF('12月'!BV25:BW25,"三軒茶屋－夜勤")+COUNTIF('12月'!CA25:CB25,"三軒茶屋－夜勤")+COUNTIF('12月'!CF25:CG25,"三軒茶屋－夜勤")+COUNTIF('12月'!CK25:CL25,"三軒茶屋－夜勤")+COUNTIF('12月'!CP25:CQ25,"三軒茶屋－夜勤")+COUNTIF('12月'!CU25:CV25,"三軒茶屋－夜勤")+COUNTIF('12月'!CZ25:DA25,"三軒茶屋－夜勤")+COUNTIF('12月'!DE25:DF25,"三軒茶屋－夜勤")+COUNTIF('12月'!DJ25:DK25,"三軒茶屋－夜勤")+COUNTIF('12月'!DO25:DP25,"三軒茶屋－夜勤")+COUNTIF('12月'!DT25:DU25,"三軒茶屋－夜勤")+COUNTIF('12月'!DY25:DZ25,"三軒茶屋－夜勤")+COUNTIF('12月'!ED25:EE25,"三軒茶屋－夜勤")+COUNTIF('12月'!EI25:EJ25,"三軒茶屋－夜勤")+COUNTIF('12月'!EN25:EO25,"三軒茶屋－夜勤")+COUNTIF('12月'!ES25:ET25,"三軒茶屋－夜勤")</f>
        <v>0</v>
      </c>
      <c r="O434" s="76">
        <f t="shared" si="138"/>
        <v>0</v>
      </c>
      <c r="P434" s="76">
        <f>COUNTIF('12月'!D25:E25,P$411)+COUNTIF('12月'!I25:J25,P$411)+COUNTIF('12月'!N25:O25,P$411)+COUNTIF('12月'!S25:T25,P$411)+COUNTIF('12月'!X25:Y25,P$411)+COUNTIF('12月'!AC25:AD25,P$411)+COUNTIF('12月'!AH25:AI25,P$411)+COUNTIF('12月'!AM25:AN25,P$411)+COUNTIF('12月'!AR25:AS25,P$411)+COUNTIF('12月'!AW25:AX25,P$411)+COUNTIF('12月'!BB25:BC25,P$411)+COUNTIF('12月'!BG25:BH25,P$411)+COUNTIF('12月'!BL25:BM25,P$411)+COUNTIF('12月'!BQ25:BR25,P$411)+COUNTIF('12月'!BV25:BW25,P$411)+COUNTIF('12月'!CA25:CB25,P$411)+COUNTIF('12月'!CF25:CG25,P$411)+COUNTIF('12月'!CK25:CL25,P$411)+COUNTIF('12月'!CP25:CQ25,P$411)+COUNTIF('12月'!CU25:CV25,P$411)+COUNTIF('12月'!CZ25:DA25,P$411)+COUNTIF('12月'!DE25:DF25,P$411)+COUNTIF('12月'!DJ25:DK25,P$411)+COUNTIF('12月'!DO25:DP25,P$411)+COUNTIF('12月'!DT25:DU25,P$411)+COUNTIF('12月'!DY25:DZ25,P$411)+COUNTIF('12月'!ED25:EE25,P$411)+COUNTIF('12月'!EI25:EJ25,P$411)+COUNTIF('12月'!EN25:EO25,P$411)+COUNTIF('12月'!ES25:ET25,P$411)+COUNTIF('12月'!D25:E25,"荻窪ー夜勤")+COUNTIF('12月'!I25:J25,"荻窪ー夜勤")+COUNTIF('12月'!N25:O25,"荻窪ー夜勤")+COUNTIF('12月'!S25:T25,"荻窪ー夜勤")+COUNTIF('12月'!X25:Y25,"荻窪ー夜勤")+COUNTIF('12月'!AC25:AD25,"荻窪ー夜勤")+COUNTIF('12月'!AH25:AI25,"荻窪ー夜勤")+COUNTIF('12月'!AM25:AN25,"荻窪ー夜勤")+COUNTIF('12月'!AR25:AS25,"荻窪ー夜勤")+COUNTIF('12月'!AW25:AX25,"荻窪ー夜勤")+COUNTIF('12月'!BB25:BC25,"荻窪ー夜勤")+COUNTIF('12月'!BG25:BH25,"荻窪ー夜勤")+COUNTIF('12月'!BL25:BM25,"荻窪ー夜勤")+COUNTIF('12月'!BQ25:BR25,"荻窪ー夜勤")+COUNTIF('12月'!BV25:BW25,"荻窪ー夜勤")+COUNTIF('12月'!CA25:CB25,"荻窪ー夜勤")+COUNTIF('12月'!CF25:CG25,"荻窪ー夜勤")+COUNTIF('12月'!CK25:CL25,"荻窪ー夜勤")+COUNTIF('12月'!CP25:CQ25,"荻窪ー夜勤")+COUNTIF('12月'!CU25:CV25,"荻窪ー夜勤")+COUNTIF('12月'!CZ25:DA25,"荻窪ー夜勤")+COUNTIF('12月'!DE25:DF25,"荻窪ー夜勤")+COUNTIF('12月'!DJ25:DK25,"荻窪ー夜勤")+COUNTIF('12月'!DO25:DP25,"荻窪ー夜勤")+COUNTIF('12月'!DT25:DU25,"荻窪ー夜勤")+COUNTIF('12月'!DY25:DZ25,"荻窪ー夜勤")+COUNTIF('12月'!ED25:EE25,"荻窪ー夜勤")+COUNTIF('12月'!EI25:EJ25,"荻窪ー夜勤")+COUNTIF('12月'!EN25:EO25,"荻窪ー夜勤")+COUNTIF('12月'!ES25:ET25,"荻窪ー夜勤")</f>
        <v>0</v>
      </c>
      <c r="Q434" s="76">
        <f t="shared" si="139"/>
        <v>0</v>
      </c>
      <c r="R434" s="76">
        <f>COUNTIF('12月'!D25:E25,R$411)+COUNTIF('12月'!I25:J25,R$411)+COUNTIF('12月'!N25:O25,R$411)+COUNTIF('12月'!S25:T25,R$411)+COUNTIF('12月'!X25:Y25,R$411)+COUNTIF('12月'!AC25:AD25,R$411)+COUNTIF('12月'!AH25:AI25,R$411)+COUNTIF('12月'!AM25:AN25,R$411)+COUNTIF('12月'!AR25:AS25,R$411)+COUNTIF('12月'!AW25:AX25,R$411)+COUNTIF('12月'!BB25:BC25,R$411)+COUNTIF('12月'!BG25:BH25,R$411)+COUNTIF('12月'!BL25:BM25,R$411)+COUNTIF('12月'!BQ25:BR25,R$411)+COUNTIF('12月'!BV25:BW25,R$411)+COUNTIF('12月'!CA25:CB25,R$411)+COUNTIF('12月'!CF25:CG25,R$411)+COUNTIF('12月'!CK25:CL25,R$411)+COUNTIF('12月'!CP25:CQ25,R$411)+COUNTIF('12月'!CU25:CV25,R$411)+COUNTIF('12月'!CZ25:DA25,R$411)+COUNTIF('12月'!DE25:DF25,R$411)+COUNTIF('12月'!DJ25:DK25,R$411)+COUNTIF('12月'!DO25:DP25,R$411)+COUNTIF('12月'!DT25:DU25,R$411)+COUNTIF('12月'!DY25:DZ25,R$411)+COUNTIF('12月'!ED25:EE25,R$411)+COUNTIF('12月'!EI25:EJ25,R$411)+COUNTIF('12月'!EN25:EO25,R$411)+COUNTIF('12月'!ES25:ET25,R$411)</f>
        <v>0</v>
      </c>
      <c r="S434" s="76">
        <f t="shared" si="140"/>
        <v>0</v>
      </c>
      <c r="T434" s="76">
        <f>COUNTIF('12月'!D25:E25,T$411)+COUNTIF('12月'!I25:J25,T$411)+COUNTIF('12月'!N25:O25,T$411)+COUNTIF('12月'!S25:T25,T$411)+COUNTIF('12月'!X25:Y25,T$411)+COUNTIF('12月'!AC25:AD25,T$411)+COUNTIF('12月'!AH25:AI25,T$411)+COUNTIF('12月'!AM25:AN25,T$411)+COUNTIF('12月'!AR25:AS25,T$411)+COUNTIF('12月'!AW25:AX25,T$411)+COUNTIF('12月'!BB25:BC25,T$411)+COUNTIF('12月'!BG25:BH25,T$411)+COUNTIF('12月'!BL25:BM25,T$411)+COUNTIF('12月'!BQ25:BR25,T$411)+COUNTIF('12月'!BV25:BW25,T$411)+COUNTIF('12月'!CA25:CB25,T$411)+COUNTIF('12月'!CF25:CG25,T$411)+COUNTIF('12月'!CK25:CL25,T$411)+COUNTIF('12月'!CP25:CQ25,T$411)+COUNTIF('12月'!CU25:CV25,T$411)+COUNTIF('12月'!CZ25:DA25,T$411)+COUNTIF('12月'!DE25:DF25,T$411)+COUNTIF('12月'!DJ25:DK25,T$411)+COUNTIF('12月'!DO25:DP25,T$411)+COUNTIF('12月'!DT25:DU25,T$411)+COUNTIF('12月'!DY25:DZ25,T$411)+COUNTIF('12月'!ED25:EE25,T$411)+COUNTIF('12月'!EI25:EJ25,T$411)+COUNTIF('12月'!EN25:EO25,T$411)+COUNTIF('12月'!ES25:ET25,T$411)</f>
        <v>0</v>
      </c>
      <c r="U434" s="76">
        <f t="shared" si="141"/>
        <v>0</v>
      </c>
      <c r="V434" s="76">
        <f>COUNTIF('12月'!D25:E25,V$411)+COUNTIF('12月'!I25:J25,V$411)+COUNTIF('12月'!N25:O25,V$411)+COUNTIF('12月'!S25:T25,V$411)+COUNTIF('12月'!X25:Y25,V$411)+COUNTIF('12月'!AC25:AD25,V$411)+COUNTIF('12月'!AH25:AI25,V$411)+COUNTIF('12月'!AM25:AN25,V$411)+COUNTIF('12月'!AR25:AS25,V$411)+COUNTIF('12月'!AW25:AX25,V$411)+COUNTIF('12月'!BB25:BC25,V$411)+COUNTIF('12月'!BG25:BH25,V$411)+COUNTIF('12月'!BL25:BM25,V$411)+COUNTIF('12月'!BQ25:BR25,V$411)+COUNTIF('12月'!BV25:BW25,V$411)+COUNTIF('12月'!CA25:CB25,V$411)+COUNTIF('12月'!CF25:CG25,V$411)+COUNTIF('12月'!CK25:CL25,V$411)+COUNTIF('12月'!CP25:CQ25,V$411)+COUNTIF('12月'!CU25:CV25,V$411)+COUNTIF('12月'!CZ25:DA25,V$411)+COUNTIF('12月'!DE25:DF25,V$411)+COUNTIF('12月'!DJ25:DK25,V$411)+COUNTIF('12月'!DO25:DP25,V$411)+COUNTIF('12月'!DT25:DU25,V$411)+COUNTIF('12月'!DY25:DZ25,V$411)+COUNTIF('12月'!ED25:EE25,V$411)+COUNTIF('12月'!EI25:EJ25,V$411)+COUNTIF('12月'!EN25:EO25,V$411)+COUNTIF('12月'!ES25:ET25,V$411)</f>
        <v>0</v>
      </c>
      <c r="W434" s="76">
        <f t="shared" si="142"/>
        <v>0</v>
      </c>
      <c r="X434" s="76">
        <f>COUNTIF('12月'!D25:E25,X$411)+COUNTIF('12月'!I25:J25,X$411)+COUNTIF('12月'!N25:O25,X$411)+COUNTIF('12月'!S25:T25,X$411)+COUNTIF('12月'!X25:Y25,X$411)+COUNTIF('12月'!AC25:AD25,X$411)+COUNTIF('12月'!AH25:AI25,X$411)+COUNTIF('12月'!AM25:AN25,X$411)+COUNTIF('12月'!AR25:AS25,X$411)+COUNTIF('12月'!AW25:AX25,X$411)+COUNTIF('12月'!BB25:BC25,X$411)+COUNTIF('12月'!BG25:BH25,X$411)+COUNTIF('12月'!BL25:BM25,X$411)+COUNTIF('12月'!BQ25:BR25,X$411)+COUNTIF('12月'!BV25:BW25,X$411)+COUNTIF('12月'!CA25:CB25,X$411)+COUNTIF('12月'!CF25:CG25,X$411)+COUNTIF('12月'!CK25:CL25,X$411)+COUNTIF('12月'!CP25:CQ25,X$411)+COUNTIF('12月'!CU25:CV25,X$411)+COUNTIF('12月'!CZ25:DA25,X$411)+COUNTIF('12月'!DE25:DF25,X$411)+COUNTIF('12月'!DJ25:DK25,X$411)+COUNTIF('12月'!DO25:DP25,X$411)+COUNTIF('12月'!DT25:DU25,X$411)+COUNTIF('12月'!DY25:DZ25,X$411)+COUNTIF('12月'!ED25:EE25,X$411)+COUNTIF('12月'!EI25:EJ25,X$411)+COUNTIF('12月'!EN25:EO25,X$411)+COUNTIF('12月'!ES25:ET25,X$411)</f>
        <v>0</v>
      </c>
      <c r="Y434" s="76">
        <f t="shared" si="143"/>
        <v>0</v>
      </c>
    </row>
    <row r="435" spans="1:25" ht="18" customHeight="1">
      <c r="A435" s="76">
        <v>23</v>
      </c>
      <c r="B435" s="76">
        <f>COUNTIF('12月'!D26:E26,B$411)+COUNTIF('12月'!I26:J26,B$411)+COUNTIF('12月'!N26:O26,B$411)+COUNTIF('12月'!S26:T26,B$411)+COUNTIF('12月'!X26:Y26,B$411)+COUNTIF('12月'!AC26:AD26,B$411)+COUNTIF('12月'!AH26:AI26,B$411)+COUNTIF('12月'!AM26:AN26,B$411)+COUNTIF('12月'!AR26:AS26,B$411)+COUNTIF('12月'!AW26:AX26,B$411)+COUNTIF('12月'!BB26:BC26,B$411)+COUNTIF('12月'!BG26:BH26,B$411)+COUNTIF('12月'!BL26:BM26,B$411)+COUNTIF('12月'!BQ26:BR26,B$411)+COUNTIF('12月'!BV26:BW26,B$411)+COUNTIF('12月'!CA26:CB26,B$411)+COUNTIF('12月'!CF26:CG26,B$411)+COUNTIF('12月'!CK26:CL26,B$411)+COUNTIF('12月'!CP26:CQ26,B$411)+COUNTIF('12月'!CU26:CV26,B$411)+COUNTIF('12月'!CZ26:DA26,B$411)+COUNTIF('12月'!DE26:DF26,B$411)+COUNTIF('12月'!DJ26:DK26,B$411)+COUNTIF('12月'!DO26:DP26,B$411)+COUNTIF('12月'!DT26:DU26,B$411)+COUNTIF('12月'!DY26:DZ26,B$411)+COUNTIF('12月'!ED26:EE26,B$411)+COUNTIF('12月'!EI26:EJ26,B$411)+COUNTIF('12月'!EN26:EO26,B$411)+COUNTIF('12月'!ES26:ET26,B$411)</f>
        <v>0</v>
      </c>
      <c r="C435" s="76">
        <f t="shared" si="132"/>
        <v>0</v>
      </c>
      <c r="D435" s="76">
        <f>COUNTIF('12月'!D26:E26,D$411)+COUNTIF('12月'!I26:J26,D$411)+COUNTIF('12月'!N26:O26,D$411)+COUNTIF('12月'!S26:T26,D$411)+COUNTIF('12月'!X26:Y26,D$411)+COUNTIF('12月'!AC26:AD26,D$411)+COUNTIF('12月'!AH26:AI26,D$411)+COUNTIF('12月'!AM26:AN26,D$411)+COUNTIF('12月'!AR26:AS26,D$411)+COUNTIF('12月'!AW26:AX26,D$411)+COUNTIF('12月'!BB26:BC26,D$411)+COUNTIF('12月'!BG26:BH26,D$411)+COUNTIF('12月'!BL26:BM26,D$411)+COUNTIF('12月'!BQ26:BR26,D$411)+COUNTIF('12月'!BV26:BW26,D$411)+COUNTIF('12月'!CA26:CB26,D$411)+COUNTIF('12月'!CF26:CG26,D$411)+COUNTIF('12月'!CK26:CL26,D$411)+COUNTIF('12月'!CP26:CQ26,D$411)+COUNTIF('12月'!CU26:CV26,D$411)+COUNTIF('12月'!CZ26:DA26,D$411)+COUNTIF('12月'!DE26:DF26,D$411)+COUNTIF('12月'!DJ26:DK26,D$411)+COUNTIF('12月'!DO26:DP26,D$411)+COUNTIF('12月'!DT26:DU26,D$411)+COUNTIF('12月'!DY26:DZ26,D$411)+COUNTIF('12月'!ED26:EE26,D$411)+COUNTIF('12月'!EI26:EJ26,D$411)+COUNTIF('12月'!EN26:EO26,D$411)+COUNTIF('12月'!ES26:ET26,D$411)</f>
        <v>0</v>
      </c>
      <c r="E435" s="76">
        <f t="shared" si="133"/>
        <v>0</v>
      </c>
      <c r="F435" s="76">
        <f>COUNTIF('12月'!D26:E26,F$411)+COUNTIF('12月'!I26:J26,F$411)+COUNTIF('12月'!N26:O26,F$411)+COUNTIF('12月'!S26:T26,F$411)+COUNTIF('12月'!X26:Y26,F$411)+COUNTIF('12月'!AC26:AD26,F$411)+COUNTIF('12月'!AH26:AI26,F$411)+COUNTIF('12月'!AM26:AN26,F$411)+COUNTIF('12月'!AR26:AS26,F$411)+COUNTIF('12月'!AW26:AX26,F$411)+COUNTIF('12月'!BB26:BC26,F$411)+COUNTIF('12月'!BG26:BH26,F$411)+COUNTIF('12月'!BL26:BM26,F$411)+COUNTIF('12月'!BQ26:BR26,F$411)+COUNTIF('12月'!BV26:BW26,F$411)+COUNTIF('12月'!CA26:CB26,F$411)+COUNTIF('12月'!CF26:CG26,F$411)+COUNTIF('12月'!CK26:CL26,F$411)+COUNTIF('12月'!CP26:CQ26,F$411)+COUNTIF('12月'!CU26:CV26,F$411)+COUNTIF('12月'!CZ26:DA26,F$411)+COUNTIF('12月'!DE26:DF26,F$411)+COUNTIF('12月'!DJ26:DK26,F$411)+COUNTIF('12月'!DO26:DP26,F$411)+COUNTIF('12月'!DT26:DU26,F$411)+COUNTIF('12月'!DY26:DZ26,F$411)+COUNTIF('12月'!ED26:EE26,F$411)+COUNTIF('12月'!EI26:EJ26,F$411)+COUNTIF('12月'!EN26:EO26,F$411)+COUNTIF('12月'!ES26:ET26,F$411)</f>
        <v>0</v>
      </c>
      <c r="G435" s="76">
        <f t="shared" si="134"/>
        <v>0</v>
      </c>
      <c r="H435" s="76">
        <f>COUNTIF('12月'!D26:E26,H$411)+COUNTIF('12月'!I26:J26,H$411)+COUNTIF('12月'!N26:O26,H$411)+COUNTIF('12月'!S26:T26,H$411)+COUNTIF('12月'!X26:Y26,H$411)+COUNTIF('12月'!AC26:AD26,H$411)+COUNTIF('12月'!AH26:AI26,H$411)+COUNTIF('12月'!AM26:AN26,H$411)+COUNTIF('12月'!AR26:AS26,H$411)+COUNTIF('12月'!AW26:AX26,H$411)+COUNTIF('12月'!BB26:BC26,H$411)+COUNTIF('12月'!BG26:BH26,H$411)+COUNTIF('12月'!BL26:BM26,H$411)+COUNTIF('12月'!BQ26:BR26,H$411)+COUNTIF('12月'!BV26:BW26,H$411)+COUNTIF('12月'!CA26:CB26,H$411)+COUNTIF('12月'!CF26:CG26,H$411)+COUNTIF('12月'!CK26:CL26,H$411)+COUNTIF('12月'!CP26:CQ26,H$411)+COUNTIF('12月'!CU26:CV26,H$411)+COUNTIF('12月'!CZ26:DA26,H$411)+COUNTIF('12月'!DE26:DF26,H$411)+COUNTIF('12月'!DJ26:DK26,H$411)+COUNTIF('12月'!DO26:DP26,H$411)+COUNTIF('12月'!DT26:DU26,H$411)+COUNTIF('12月'!DY26:DZ26,H$411)+COUNTIF('12月'!ED26:EE26,H$411)+COUNTIF('12月'!EI26:EJ26,H$411)+COUNTIF('12月'!EN26:EO26,H$411)+COUNTIF('12月'!ES26:ET26,H$411)+COUNTIF('12月'!D26:E26,"渋谷-夜勤")+COUNTIF('12月'!I26:J26,"渋谷-夜勤")+COUNTIF('12月'!N26:O26,"渋谷-夜勤")+COUNTIF('12月'!S26:T26,"渋谷-夜勤")+COUNTIF('12月'!X26:Y26,"渋谷-夜勤")+COUNTIF('12月'!AC26:AD26,"渋谷-夜勤")+COUNTIF('12月'!AH26:AI26,"渋谷-夜勤")+COUNTIF('12月'!AM26:AN26,"渋谷-夜勤")+COUNTIF('12月'!AR26:AS26,"渋谷-夜勤")+COUNTIF('12月'!AW26:AX26,"渋谷-夜勤")+COUNTIF('12月'!BB26:BC26,"渋谷-夜勤")+COUNTIF('12月'!BG26:BH26,"渋谷-夜勤")+COUNTIF('12月'!BL26:BM26,"渋谷-夜勤")+COUNTIF('12月'!BQ26:BR26,"渋谷-夜勤")+COUNTIF('12月'!BV26:BW26,"渋谷-夜勤")+COUNTIF('12月'!CA26:CB26,"渋谷-夜勤")+COUNTIF('12月'!CF26:CG26,"渋谷-夜勤")+COUNTIF('12月'!CK26:CL26,"渋谷-夜勤")+COUNTIF('12月'!CP26:CQ26,"渋谷-夜勤")+COUNTIF('12月'!CU26:CV26,"渋谷-夜勤")+COUNTIF('12月'!CZ26:DA26,"渋谷-夜勤")+COUNTIF('12月'!DE26:DF26,"渋谷-夜勤")+COUNTIF('12月'!DJ26:DK26,"渋谷-夜勤")+COUNTIF('12月'!DO26:DP26,"渋谷-夜勤")+COUNTIF('12月'!DT26:DU26,"渋谷-夜勤")+COUNTIF('12月'!DY26:DZ26,"渋谷-夜勤")+COUNTIF('12月'!ED26:EE26,"渋谷-夜勤")+COUNTIF('12月'!EI26:EJ26,"渋谷-夜勤")+COUNTIF('12月'!EN26:EO26,"渋谷-夜勤")+COUNTIF('12月'!ES26:ET26,"渋谷-夜勤")</f>
        <v>0</v>
      </c>
      <c r="I435" s="76">
        <f t="shared" si="135"/>
        <v>0</v>
      </c>
      <c r="J435" s="76">
        <f>COUNTIF('12月'!D26:E26,J$411)+COUNTIF('12月'!I26:J26,J$411)+COUNTIF('12月'!N26:O26,J$411)+COUNTIF('12月'!S26:T26,J$411)+COUNTIF('12月'!X26:Y26,J$411)+COUNTIF('12月'!AC26:AD26,J$411)+COUNTIF('12月'!AH26:AI26,J$411)+COUNTIF('12月'!AM26:AN26,J$411)+COUNTIF('12月'!AR26:AS26,J$411)+COUNTIF('12月'!AW26:AX26,J$411)+COUNTIF('12月'!BB26:BC26,J$411)+COUNTIF('12月'!BG26:BH26,J$411)+COUNTIF('12月'!BL26:BM26,J$411)+COUNTIF('12月'!BQ26:BR26,J$411)+COUNTIF('12月'!BV26:BW26,J$411)+COUNTIF('12月'!CA26:CB26,J$411)+COUNTIF('12月'!CF26:CG26,J$411)+COUNTIF('12月'!CK26:CL26,J$411)+COUNTIF('12月'!CP26:CQ26,J$411)+COUNTIF('12月'!CU26:CV26,J$411)+COUNTIF('12月'!CZ26:DA26,J$411)+COUNTIF('12月'!DE26:DF26,J$411)+COUNTIF('12月'!DJ26:DK26,J$411)+COUNTIF('12月'!DO26:DP26,J$411)+COUNTIF('12月'!DT26:DU26,J$411)+COUNTIF('12月'!DY26:DZ26,J$411)+COUNTIF('12月'!ED26:EE26,J$411)+COUNTIF('12月'!EI26:EJ26,J$411)+COUNTIF('12月'!EN26:EO26,J$411)+COUNTIF('12月'!ES26:ET26,J$411)+COUNTIF('12月'!D26:E26,"六本木-夜勤")+COUNTIF('12月'!I26:J26,"六本木-夜勤")+COUNTIF('12月'!N26:O26,"六本木-夜勤")+COUNTIF('12月'!S26:T26,"六本木-夜勤")+COUNTIF('12月'!X26:Y26,"六本木-夜勤")+COUNTIF('12月'!AC26:AD26,"六本木-夜勤")+COUNTIF('12月'!AH26:AI26,"六本木-夜勤")+COUNTIF('12月'!AM26:AN26,"六本木-夜勤")+COUNTIF('12月'!AR26:AS26,"六本木-夜勤")+COUNTIF('12月'!AW26:AX26,"六本木-夜勤")+COUNTIF('12月'!BB26:BC26,"六本木-夜勤")+COUNTIF('12月'!BG26:BH26,"六本木-夜勤")+COUNTIF('12月'!BL26:BM26,"六本木-夜勤")+COUNTIF('12月'!BQ26:BR26,"六本木-夜勤")+COUNTIF('12月'!BV26:BW26,"六本木-夜勤")+COUNTIF('12月'!CA26:CB26,"六本木-夜勤")+COUNTIF('12月'!CF26:CG26,"六本木-夜勤")+COUNTIF('12月'!CK26:CL26,"六本木-夜勤")+COUNTIF('12月'!CP26:CQ26,"六本木-夜勤")+COUNTIF('12月'!CU26:CV26,"六本木-夜勤")+COUNTIF('12月'!CZ26:DA26,"六本木-夜勤")+COUNTIF('12月'!DE26:DF26,"六本木-夜勤")+COUNTIF('12月'!DJ26:DK26,"六本木-夜勤")+COUNTIF('12月'!DO26:DP26,"六本木-夜勤")+COUNTIF('12月'!DT26:DU26,"六本木-夜勤")+COUNTIF('12月'!DY26:DZ26,"六本木-夜勤")+COUNTIF('12月'!ED26:EE26,"六本木-夜勤")+COUNTIF('12月'!EI26:EJ26,"六本木-夜勤")+COUNTIF('12月'!EN26:EO26,"六本木-夜勤")+COUNTIF('12月'!ES26:ET26,"六本木-夜勤")+COUNTIF('12月'!D26:E26,"六本木ー夜勤")+COUNTIF('12月'!I26:J26,"六本木ー夜勤")+COUNTIF('12月'!N26:O26,"六本木ー夜勤")+COUNTIF('12月'!S26:T26,"六本木ー夜勤")+COUNTIF('12月'!X26:Y26,"六本木ー夜勤")+COUNTIF('12月'!AC26:AD26,"六本木ー夜勤")+COUNTIF('12月'!AH26:AI26,"六本木ー夜勤")+COUNTIF('12月'!AM26:AN26,"六本木ー夜勤")+COUNTIF('12月'!AR26:AS26,"六本木ー夜勤")+COUNTIF('12月'!AW26:AX26,"六本木ー夜勤")+COUNTIF('12月'!BB26:BC26,"六本木ー夜勤")+COUNTIF('12月'!BG26:BH26,"六本木ー夜勤")+COUNTIF('12月'!BL26:BM26,"六本木ー夜勤")+COUNTIF('12月'!BQ26:BR26,"六本木ー夜勤")+COUNTIF('12月'!BV26:BW26,"六本木ー夜勤")+COUNTIF('12月'!CA26:CB26,"六本木ー夜勤")+COUNTIF('12月'!CF26:CG26,"六本木ー夜勤")+COUNTIF('12月'!CK26:CL26,"六本木ー夜勤")+COUNTIF('12月'!CP26:CQ26,"六本木ー夜勤")+COUNTIF('12月'!CU26:CV26,"六本木ー夜勤")+COUNTIF('12月'!CZ26:DA26,"六本木ー夜勤")+COUNTIF('12月'!DE26:DF26,"六本木ー夜勤")+COUNTIF('12月'!DJ26:DK26,"六本木ー夜勤")+COUNTIF('12月'!DO26:DP26,"六本木ー夜勤")+COUNTIF('12月'!DT26:DU26,"六本木ー夜勤")+COUNTIF('12月'!DY26:DZ26,"六本木ー夜勤")+COUNTIF('12月'!ED26:EE26,"六本木ー夜勤")+COUNTIF('12月'!EI26:EJ26,"六本木ー夜勤")+COUNTIF('12月'!EN26:EO26,"六本木ー夜勤")+COUNTIF('12月'!ES26:ET26,"六本木ー夜勤")</f>
        <v>0</v>
      </c>
      <c r="K435" s="76">
        <f t="shared" si="136"/>
        <v>0</v>
      </c>
      <c r="L435" s="76">
        <f>COUNTIF('12月'!D26:E26,L$411)+COUNTIF('12月'!I26:J26,L$411)+COUNTIF('12月'!N26:O26,L$411)+COUNTIF('12月'!S26:T26,L$411)+COUNTIF('12月'!X26:Y26,L$411)+COUNTIF('12月'!AC26:AD26,L$411)+COUNTIF('12月'!AH26:AI26,L$411)+COUNTIF('12月'!AM26:AN26,L$411)+COUNTIF('12月'!AR26:AS26,L$411)+COUNTIF('12月'!AW26:AX26,L$411)+COUNTIF('12月'!BB26:BC26,L$411)+COUNTIF('12月'!BG26:BH26,L$411)+COUNTIF('12月'!BL26:BM26,L$411)+COUNTIF('12月'!BQ26:BR26,L$411)+COUNTIF('12月'!BV26:BW26,L$411)+COUNTIF('12月'!CA26:CB26,L$411)+COUNTIF('12月'!CF26:CG26,L$411)+COUNTIF('12月'!CK26:CL26,L$411)+COUNTIF('12月'!CP26:CQ26,L$411)+COUNTIF('12月'!CU26:CV26,L$411)+COUNTIF('12月'!CZ26:DA26,L$411)+COUNTIF('12月'!DE26:DF26,L$411)+COUNTIF('12月'!DJ26:DK26,L$411)+COUNTIF('12月'!DO26:DP26,L$411)+COUNTIF('12月'!DT26:DU26,L$411)+COUNTIF('12月'!DY26:DZ26,L$411)+COUNTIF('12月'!ED26:EE26,L$411)+COUNTIF('12月'!EI26:EJ26,L$411)+COUNTIF('12月'!EN26:EO26,L$411)+COUNTIF('12月'!ES26:ET26,L$411)</f>
        <v>0</v>
      </c>
      <c r="M435" s="76">
        <f t="shared" si="137"/>
        <v>0</v>
      </c>
      <c r="N435" s="76">
        <f>COUNTIF('12月'!D26:E26,N$411)+COUNTIF('12月'!I26:J26,N$411)+COUNTIF('12月'!N26:O26,N$411)+COUNTIF('12月'!S26:T26,N$411)+COUNTIF('12月'!X26:Y26,N$411)+COUNTIF('12月'!AC26:AD26,N$411)+COUNTIF('12月'!AH26:AI26,N$411)+COUNTIF('12月'!AM26:AN26,N$411)+COUNTIF('12月'!AR26:AS26,N$411)+COUNTIF('12月'!AW26:AX26,N$411)+COUNTIF('12月'!BB26:BC26,N$411)+COUNTIF('12月'!BG26:BH26,N$411)+COUNTIF('12月'!BL26:BM26,N$411)+COUNTIF('12月'!BQ26:BR26,N$411)+COUNTIF('12月'!BV26:BW26,N$411)+COUNTIF('12月'!CA26:CB26,N$411)+COUNTIF('12月'!CF26:CG26,N$411)+COUNTIF('12月'!CK26:CL26,N$411)+COUNTIF('12月'!CP26:CQ26,N$411)+COUNTIF('12月'!CU26:CV26,N$411)+COUNTIF('12月'!CZ26:DA26,N$411)+COUNTIF('12月'!DE26:DF26,N$411)+COUNTIF('12月'!DJ26:DK26,N$411)+COUNTIF('12月'!DO26:DP26,N$411)+COUNTIF('12月'!DT26:DU26,N$411)+COUNTIF('12月'!DY26:DZ26,N$411)+COUNTIF('12月'!ED26:EE26,N$411)+COUNTIF('12月'!EI26:EJ26,N$411)+COUNTIF('12月'!EN26:EO26,N$411)+COUNTIF('12月'!ES26:ET26,N$411)+COUNTIF('12月'!D26:E26,"三軒茶屋－夜勤")+COUNTIF('12月'!I26:J26,"三軒茶屋－夜勤")+COUNTIF('12月'!N26:O26,"三軒茶屋－夜勤")+COUNTIF('12月'!S26:T26,"三軒茶屋－夜勤")+COUNTIF('12月'!X26:Y26,"三軒茶屋－夜勤")+COUNTIF('12月'!AC26:AD26,"三軒茶屋－夜勤")+COUNTIF('12月'!AH26:AI26,"三軒茶屋－夜勤")+COUNTIF('12月'!AM26:AN26,"三軒茶屋－夜勤")+COUNTIF('12月'!AR26:AS26,"三軒茶屋－夜勤")+COUNTIF('12月'!AW26:AX26,"三軒茶屋－夜勤")+COUNTIF('12月'!BB26:BC26,"三軒茶屋－夜勤")+COUNTIF('12月'!BG26:BH26,"三軒茶屋－夜勤")+COUNTIF('12月'!BL26:BM26,"三軒茶屋－夜勤")+COUNTIF('12月'!BQ26:BR26,"三軒茶屋－夜勤")+COUNTIF('12月'!BV26:BW26,"三軒茶屋－夜勤")+COUNTIF('12月'!CA26:CB26,"三軒茶屋－夜勤")+COUNTIF('12月'!CF26:CG26,"三軒茶屋－夜勤")+COUNTIF('12月'!CK26:CL26,"三軒茶屋－夜勤")+COUNTIF('12月'!CP26:CQ26,"三軒茶屋－夜勤")+COUNTIF('12月'!CU26:CV26,"三軒茶屋－夜勤")+COUNTIF('12月'!CZ26:DA26,"三軒茶屋－夜勤")+COUNTIF('12月'!DE26:DF26,"三軒茶屋－夜勤")+COUNTIF('12月'!DJ26:DK26,"三軒茶屋－夜勤")+COUNTIF('12月'!DO26:DP26,"三軒茶屋－夜勤")+COUNTIF('12月'!DT26:DU26,"三軒茶屋－夜勤")+COUNTIF('12月'!DY26:DZ26,"三軒茶屋－夜勤")+COUNTIF('12月'!ED26:EE26,"三軒茶屋－夜勤")+COUNTIF('12月'!EI26:EJ26,"三軒茶屋－夜勤")+COUNTIF('12月'!EN26:EO26,"三軒茶屋－夜勤")+COUNTIF('12月'!ES26:ET26,"三軒茶屋－夜勤")</f>
        <v>0</v>
      </c>
      <c r="O435" s="76">
        <f t="shared" si="138"/>
        <v>0</v>
      </c>
      <c r="P435" s="76">
        <f>COUNTIF('12月'!D26:E26,P$411)+COUNTIF('12月'!I26:J26,P$411)+COUNTIF('12月'!N26:O26,P$411)+COUNTIF('12月'!S26:T26,P$411)+COUNTIF('12月'!X26:Y26,P$411)+COUNTIF('12月'!AC26:AD26,P$411)+COUNTIF('12月'!AH26:AI26,P$411)+COUNTIF('12月'!AM26:AN26,P$411)+COUNTIF('12月'!AR26:AS26,P$411)+COUNTIF('12月'!AW26:AX26,P$411)+COUNTIF('12月'!BB26:BC26,P$411)+COUNTIF('12月'!BG26:BH26,P$411)+COUNTIF('12月'!BL26:BM26,P$411)+COUNTIF('12月'!BQ26:BR26,P$411)+COUNTIF('12月'!BV26:BW26,P$411)+COUNTIF('12月'!CA26:CB26,P$411)+COUNTIF('12月'!CF26:CG26,P$411)+COUNTIF('12月'!CK26:CL26,P$411)+COUNTIF('12月'!CP26:CQ26,P$411)+COUNTIF('12月'!CU26:CV26,P$411)+COUNTIF('12月'!CZ26:DA26,P$411)+COUNTIF('12月'!DE26:DF26,P$411)+COUNTIF('12月'!DJ26:DK26,P$411)+COUNTIF('12月'!DO26:DP26,P$411)+COUNTIF('12月'!DT26:DU26,P$411)+COUNTIF('12月'!DY26:DZ26,P$411)+COUNTIF('12月'!ED26:EE26,P$411)+COUNTIF('12月'!EI26:EJ26,P$411)+COUNTIF('12月'!EN26:EO26,P$411)+COUNTIF('12月'!ES26:ET26,P$411)+COUNTIF('12月'!D26:E26,"荻窪ー夜勤")+COUNTIF('12月'!I26:J26,"荻窪ー夜勤")+COUNTIF('12月'!N26:O26,"荻窪ー夜勤")+COUNTIF('12月'!S26:T26,"荻窪ー夜勤")+COUNTIF('12月'!X26:Y26,"荻窪ー夜勤")+COUNTIF('12月'!AC26:AD26,"荻窪ー夜勤")+COUNTIF('12月'!AH26:AI26,"荻窪ー夜勤")+COUNTIF('12月'!AM26:AN26,"荻窪ー夜勤")+COUNTIF('12月'!AR26:AS26,"荻窪ー夜勤")+COUNTIF('12月'!AW26:AX26,"荻窪ー夜勤")+COUNTIF('12月'!BB26:BC26,"荻窪ー夜勤")+COUNTIF('12月'!BG26:BH26,"荻窪ー夜勤")+COUNTIF('12月'!BL26:BM26,"荻窪ー夜勤")+COUNTIF('12月'!BQ26:BR26,"荻窪ー夜勤")+COUNTIF('12月'!BV26:BW26,"荻窪ー夜勤")+COUNTIF('12月'!CA26:CB26,"荻窪ー夜勤")+COUNTIF('12月'!CF26:CG26,"荻窪ー夜勤")+COUNTIF('12月'!CK26:CL26,"荻窪ー夜勤")+COUNTIF('12月'!CP26:CQ26,"荻窪ー夜勤")+COUNTIF('12月'!CU26:CV26,"荻窪ー夜勤")+COUNTIF('12月'!CZ26:DA26,"荻窪ー夜勤")+COUNTIF('12月'!DE26:DF26,"荻窪ー夜勤")+COUNTIF('12月'!DJ26:DK26,"荻窪ー夜勤")+COUNTIF('12月'!DO26:DP26,"荻窪ー夜勤")+COUNTIF('12月'!DT26:DU26,"荻窪ー夜勤")+COUNTIF('12月'!DY26:DZ26,"荻窪ー夜勤")+COUNTIF('12月'!ED26:EE26,"荻窪ー夜勤")+COUNTIF('12月'!EI26:EJ26,"荻窪ー夜勤")+COUNTIF('12月'!EN26:EO26,"荻窪ー夜勤")+COUNTIF('12月'!ES26:ET26,"荻窪ー夜勤")</f>
        <v>0</v>
      </c>
      <c r="Q435" s="76">
        <f t="shared" si="139"/>
        <v>0</v>
      </c>
      <c r="R435" s="76">
        <f>COUNTIF('12月'!D26:E26,R$411)+COUNTIF('12月'!I26:J26,R$411)+COUNTIF('12月'!N26:O26,R$411)+COUNTIF('12月'!S26:T26,R$411)+COUNTIF('12月'!X26:Y26,R$411)+COUNTIF('12月'!AC26:AD26,R$411)+COUNTIF('12月'!AH26:AI26,R$411)+COUNTIF('12月'!AM26:AN26,R$411)+COUNTIF('12月'!AR26:AS26,R$411)+COUNTIF('12月'!AW26:AX26,R$411)+COUNTIF('12月'!BB26:BC26,R$411)+COUNTIF('12月'!BG26:BH26,R$411)+COUNTIF('12月'!BL26:BM26,R$411)+COUNTIF('12月'!BQ26:BR26,R$411)+COUNTIF('12月'!BV26:BW26,R$411)+COUNTIF('12月'!CA26:CB26,R$411)+COUNTIF('12月'!CF26:CG26,R$411)+COUNTIF('12月'!CK26:CL26,R$411)+COUNTIF('12月'!CP26:CQ26,R$411)+COUNTIF('12月'!CU26:CV26,R$411)+COUNTIF('12月'!CZ26:DA26,R$411)+COUNTIF('12月'!DE26:DF26,R$411)+COUNTIF('12月'!DJ26:DK26,R$411)+COUNTIF('12月'!DO26:DP26,R$411)+COUNTIF('12月'!DT26:DU26,R$411)+COUNTIF('12月'!DY26:DZ26,R$411)+COUNTIF('12月'!ED26:EE26,R$411)+COUNTIF('12月'!EI26:EJ26,R$411)+COUNTIF('12月'!EN26:EO26,R$411)+COUNTIF('12月'!ES26:ET26,R$411)</f>
        <v>0</v>
      </c>
      <c r="S435" s="76">
        <f t="shared" si="140"/>
        <v>0</v>
      </c>
      <c r="T435" s="76">
        <f>COUNTIF('12月'!D26:E26,T$411)+COUNTIF('12月'!I26:J26,T$411)+COUNTIF('12月'!N26:O26,T$411)+COUNTIF('12月'!S26:T26,T$411)+COUNTIF('12月'!X26:Y26,T$411)+COUNTIF('12月'!AC26:AD26,T$411)+COUNTIF('12月'!AH26:AI26,T$411)+COUNTIF('12月'!AM26:AN26,T$411)+COUNTIF('12月'!AR26:AS26,T$411)+COUNTIF('12月'!AW26:AX26,T$411)+COUNTIF('12月'!BB26:BC26,T$411)+COUNTIF('12月'!BG26:BH26,T$411)+COUNTIF('12月'!BL26:BM26,T$411)+COUNTIF('12月'!BQ26:BR26,T$411)+COUNTIF('12月'!BV26:BW26,T$411)+COUNTIF('12月'!CA26:CB26,T$411)+COUNTIF('12月'!CF26:CG26,T$411)+COUNTIF('12月'!CK26:CL26,T$411)+COUNTIF('12月'!CP26:CQ26,T$411)+COUNTIF('12月'!CU26:CV26,T$411)+COUNTIF('12月'!CZ26:DA26,T$411)+COUNTIF('12月'!DE26:DF26,T$411)+COUNTIF('12月'!DJ26:DK26,T$411)+COUNTIF('12月'!DO26:DP26,T$411)+COUNTIF('12月'!DT26:DU26,T$411)+COUNTIF('12月'!DY26:DZ26,T$411)+COUNTIF('12月'!ED26:EE26,T$411)+COUNTIF('12月'!EI26:EJ26,T$411)+COUNTIF('12月'!EN26:EO26,T$411)+COUNTIF('12月'!ES26:ET26,T$411)</f>
        <v>0</v>
      </c>
      <c r="U435" s="76">
        <f t="shared" si="141"/>
        <v>0</v>
      </c>
      <c r="V435" s="76">
        <f>COUNTIF('12月'!D26:E26,V$411)+COUNTIF('12月'!I26:J26,V$411)+COUNTIF('12月'!N26:O26,V$411)+COUNTIF('12月'!S26:T26,V$411)+COUNTIF('12月'!X26:Y26,V$411)+COUNTIF('12月'!AC26:AD26,V$411)+COUNTIF('12月'!AH26:AI26,V$411)+COUNTIF('12月'!AM26:AN26,V$411)+COUNTIF('12月'!AR26:AS26,V$411)+COUNTIF('12月'!AW26:AX26,V$411)+COUNTIF('12月'!BB26:BC26,V$411)+COUNTIF('12月'!BG26:BH26,V$411)+COUNTIF('12月'!BL26:BM26,V$411)+COUNTIF('12月'!BQ26:BR26,V$411)+COUNTIF('12月'!BV26:BW26,V$411)+COUNTIF('12月'!CA26:CB26,V$411)+COUNTIF('12月'!CF26:CG26,V$411)+COUNTIF('12月'!CK26:CL26,V$411)+COUNTIF('12月'!CP26:CQ26,V$411)+COUNTIF('12月'!CU26:CV26,V$411)+COUNTIF('12月'!CZ26:DA26,V$411)+COUNTIF('12月'!DE26:DF26,V$411)+COUNTIF('12月'!DJ26:DK26,V$411)+COUNTIF('12月'!DO26:DP26,V$411)+COUNTIF('12月'!DT26:DU26,V$411)+COUNTIF('12月'!DY26:DZ26,V$411)+COUNTIF('12月'!ED26:EE26,V$411)+COUNTIF('12月'!EI26:EJ26,V$411)+COUNTIF('12月'!EN26:EO26,V$411)+COUNTIF('12月'!ES26:ET26,V$411)</f>
        <v>0</v>
      </c>
      <c r="W435" s="76">
        <f t="shared" si="142"/>
        <v>0</v>
      </c>
      <c r="X435" s="76">
        <f>COUNTIF('12月'!D26:E26,X$411)+COUNTIF('12月'!I26:J26,X$411)+COUNTIF('12月'!N26:O26,X$411)+COUNTIF('12月'!S26:T26,X$411)+COUNTIF('12月'!X26:Y26,X$411)+COUNTIF('12月'!AC26:AD26,X$411)+COUNTIF('12月'!AH26:AI26,X$411)+COUNTIF('12月'!AM26:AN26,X$411)+COUNTIF('12月'!AR26:AS26,X$411)+COUNTIF('12月'!AW26:AX26,X$411)+COUNTIF('12月'!BB26:BC26,X$411)+COUNTIF('12月'!BG26:BH26,X$411)+COUNTIF('12月'!BL26:BM26,X$411)+COUNTIF('12月'!BQ26:BR26,X$411)+COUNTIF('12月'!BV26:BW26,X$411)+COUNTIF('12月'!CA26:CB26,X$411)+COUNTIF('12月'!CF26:CG26,X$411)+COUNTIF('12月'!CK26:CL26,X$411)+COUNTIF('12月'!CP26:CQ26,X$411)+COUNTIF('12月'!CU26:CV26,X$411)+COUNTIF('12月'!CZ26:DA26,X$411)+COUNTIF('12月'!DE26:DF26,X$411)+COUNTIF('12月'!DJ26:DK26,X$411)+COUNTIF('12月'!DO26:DP26,X$411)+COUNTIF('12月'!DT26:DU26,X$411)+COUNTIF('12月'!DY26:DZ26,X$411)+COUNTIF('12月'!ED26:EE26,X$411)+COUNTIF('12月'!EI26:EJ26,X$411)+COUNTIF('12月'!EN26:EO26,X$411)+COUNTIF('12月'!ES26:ET26,X$411)</f>
        <v>0</v>
      </c>
      <c r="Y435" s="76">
        <f t="shared" si="143"/>
        <v>0</v>
      </c>
    </row>
    <row r="436" spans="1:25" ht="18" customHeight="1">
      <c r="A436" s="76">
        <v>24</v>
      </c>
      <c r="B436" s="76">
        <f>COUNTIF('12月'!D27:E27,B$411)+COUNTIF('12月'!I27:J27,B$411)+COUNTIF('12月'!N27:O27,B$411)+COUNTIF('12月'!S27:T27,B$411)+COUNTIF('12月'!X27:Y27,B$411)+COUNTIF('12月'!AC27:AD27,B$411)+COUNTIF('12月'!AH27:AI27,B$411)+COUNTIF('12月'!AM27:AN27,B$411)+COUNTIF('12月'!AR27:AS27,B$411)+COUNTIF('12月'!AW27:AX27,B$411)+COUNTIF('12月'!BB27:BC27,B$411)+COUNTIF('12月'!BG27:BH27,B$411)+COUNTIF('12月'!BL27:BM27,B$411)+COUNTIF('12月'!BQ27:BR27,B$411)+COUNTIF('12月'!BV27:BW27,B$411)+COUNTIF('12月'!CA27:CB27,B$411)+COUNTIF('12月'!CF27:CG27,B$411)+COUNTIF('12月'!CK27:CL27,B$411)+COUNTIF('12月'!CP27:CQ27,B$411)+COUNTIF('12月'!CU27:CV27,B$411)+COUNTIF('12月'!CZ27:DA27,B$411)+COUNTIF('12月'!DE27:DF27,B$411)+COUNTIF('12月'!DJ27:DK27,B$411)+COUNTIF('12月'!DO27:DP27,B$411)+COUNTIF('12月'!DT27:DU27,B$411)+COUNTIF('12月'!DY27:DZ27,B$411)+COUNTIF('12月'!ED27:EE27,B$411)+COUNTIF('12月'!EI27:EJ27,B$411)+COUNTIF('12月'!EN27:EO27,B$411)+COUNTIF('12月'!ES27:ET27,B$411)</f>
        <v>0</v>
      </c>
      <c r="C436" s="76">
        <f t="shared" si="132"/>
        <v>0</v>
      </c>
      <c r="D436" s="76">
        <f>COUNTIF('12月'!D27:E27,D$411)+COUNTIF('12月'!I27:J27,D$411)+COUNTIF('12月'!N27:O27,D$411)+COUNTIF('12月'!S27:T27,D$411)+COUNTIF('12月'!X27:Y27,D$411)+COUNTIF('12月'!AC27:AD27,D$411)+COUNTIF('12月'!AH27:AI27,D$411)+COUNTIF('12月'!AM27:AN27,D$411)+COUNTIF('12月'!AR27:AS27,D$411)+COUNTIF('12月'!AW27:AX27,D$411)+COUNTIF('12月'!BB27:BC27,D$411)+COUNTIF('12月'!BG27:BH27,D$411)+COUNTIF('12月'!BL27:BM27,D$411)+COUNTIF('12月'!BQ27:BR27,D$411)+COUNTIF('12月'!BV27:BW27,D$411)+COUNTIF('12月'!CA27:CB27,D$411)+COUNTIF('12月'!CF27:CG27,D$411)+COUNTIF('12月'!CK27:CL27,D$411)+COUNTIF('12月'!CP27:CQ27,D$411)+COUNTIF('12月'!CU27:CV27,D$411)+COUNTIF('12月'!CZ27:DA27,D$411)+COUNTIF('12月'!DE27:DF27,D$411)+COUNTIF('12月'!DJ27:DK27,D$411)+COUNTIF('12月'!DO27:DP27,D$411)+COUNTIF('12月'!DT27:DU27,D$411)+COUNTIF('12月'!DY27:DZ27,D$411)+COUNTIF('12月'!ED27:EE27,D$411)+COUNTIF('12月'!EI27:EJ27,D$411)+COUNTIF('12月'!EN27:EO27,D$411)+COUNTIF('12月'!ES27:ET27,D$411)</f>
        <v>0</v>
      </c>
      <c r="E436" s="76">
        <f t="shared" si="133"/>
        <v>0</v>
      </c>
      <c r="F436" s="76">
        <f>COUNTIF('12月'!D27:E27,F$411)+COUNTIF('12月'!I27:J27,F$411)+COUNTIF('12月'!N27:O27,F$411)+COUNTIF('12月'!S27:T27,F$411)+COUNTIF('12月'!X27:Y27,F$411)+COUNTIF('12月'!AC27:AD27,F$411)+COUNTIF('12月'!AH27:AI27,F$411)+COUNTIF('12月'!AM27:AN27,F$411)+COUNTIF('12月'!AR27:AS27,F$411)+COUNTIF('12月'!AW27:AX27,F$411)+COUNTIF('12月'!BB27:BC27,F$411)+COUNTIF('12月'!BG27:BH27,F$411)+COUNTIF('12月'!BL27:BM27,F$411)+COUNTIF('12月'!BQ27:BR27,F$411)+COUNTIF('12月'!BV27:BW27,F$411)+COUNTIF('12月'!CA27:CB27,F$411)+COUNTIF('12月'!CF27:CG27,F$411)+COUNTIF('12月'!CK27:CL27,F$411)+COUNTIF('12月'!CP27:CQ27,F$411)+COUNTIF('12月'!CU27:CV27,F$411)+COUNTIF('12月'!CZ27:DA27,F$411)+COUNTIF('12月'!DE27:DF27,F$411)+COUNTIF('12月'!DJ27:DK27,F$411)+COUNTIF('12月'!DO27:DP27,F$411)+COUNTIF('12月'!DT27:DU27,F$411)+COUNTIF('12月'!DY27:DZ27,F$411)+COUNTIF('12月'!ED27:EE27,F$411)+COUNTIF('12月'!EI27:EJ27,F$411)+COUNTIF('12月'!EN27:EO27,F$411)+COUNTIF('12月'!ES27:ET27,F$411)</f>
        <v>0</v>
      </c>
      <c r="G436" s="76">
        <f t="shared" si="134"/>
        <v>0</v>
      </c>
      <c r="H436" s="76">
        <f>COUNTIF('12月'!D27:E27,H$411)+COUNTIF('12月'!I27:J27,H$411)+COUNTIF('12月'!N27:O27,H$411)+COUNTIF('12月'!S27:T27,H$411)+COUNTIF('12月'!X27:Y27,H$411)+COUNTIF('12月'!AC27:AD27,H$411)+COUNTIF('12月'!AH27:AI27,H$411)+COUNTIF('12月'!AM27:AN27,H$411)+COUNTIF('12月'!AR27:AS27,H$411)+COUNTIF('12月'!AW27:AX27,H$411)+COUNTIF('12月'!BB27:BC27,H$411)+COUNTIF('12月'!BG27:BH27,H$411)+COUNTIF('12月'!BL27:BM27,H$411)+COUNTIF('12月'!BQ27:BR27,H$411)+COUNTIF('12月'!BV27:BW27,H$411)+COUNTIF('12月'!CA27:CB27,H$411)+COUNTIF('12月'!CF27:CG27,H$411)+COUNTIF('12月'!CK27:CL27,H$411)+COUNTIF('12月'!CP27:CQ27,H$411)+COUNTIF('12月'!CU27:CV27,H$411)+COUNTIF('12月'!CZ27:DA27,H$411)+COUNTIF('12月'!DE27:DF27,H$411)+COUNTIF('12月'!DJ27:DK27,H$411)+COUNTIF('12月'!DO27:DP27,H$411)+COUNTIF('12月'!DT27:DU27,H$411)+COUNTIF('12月'!DY27:DZ27,H$411)+COUNTIF('12月'!ED27:EE27,H$411)+COUNTIF('12月'!EI27:EJ27,H$411)+COUNTIF('12月'!EN27:EO27,H$411)+COUNTIF('12月'!ES27:ET27,H$411)+COUNTIF('12月'!D27:E27,"渋谷-夜勤")+COUNTIF('12月'!I27:J27,"渋谷-夜勤")+COUNTIF('12月'!N27:O27,"渋谷-夜勤")+COUNTIF('12月'!S27:T27,"渋谷-夜勤")+COUNTIF('12月'!X27:Y27,"渋谷-夜勤")+COUNTIF('12月'!AC27:AD27,"渋谷-夜勤")+COUNTIF('12月'!AH27:AI27,"渋谷-夜勤")+COUNTIF('12月'!AM27:AN27,"渋谷-夜勤")+COUNTIF('12月'!AR27:AS27,"渋谷-夜勤")+COUNTIF('12月'!AW27:AX27,"渋谷-夜勤")+COUNTIF('12月'!BB27:BC27,"渋谷-夜勤")+COUNTIF('12月'!BG27:BH27,"渋谷-夜勤")+COUNTIF('12月'!BL27:BM27,"渋谷-夜勤")+COUNTIF('12月'!BQ27:BR27,"渋谷-夜勤")+COUNTIF('12月'!BV27:BW27,"渋谷-夜勤")+COUNTIF('12月'!CA27:CB27,"渋谷-夜勤")+COUNTIF('12月'!CF27:CG27,"渋谷-夜勤")+COUNTIF('12月'!CK27:CL27,"渋谷-夜勤")+COUNTIF('12月'!CP27:CQ27,"渋谷-夜勤")+COUNTIF('12月'!CU27:CV27,"渋谷-夜勤")+COUNTIF('12月'!CZ27:DA27,"渋谷-夜勤")+COUNTIF('12月'!DE27:DF27,"渋谷-夜勤")+COUNTIF('12月'!DJ27:DK27,"渋谷-夜勤")+COUNTIF('12月'!DO27:DP27,"渋谷-夜勤")+COUNTIF('12月'!DT27:DU27,"渋谷-夜勤")+COUNTIF('12月'!DY27:DZ27,"渋谷-夜勤")+COUNTIF('12月'!ED27:EE27,"渋谷-夜勤")+COUNTIF('12月'!EI27:EJ27,"渋谷-夜勤")+COUNTIF('12月'!EN27:EO27,"渋谷-夜勤")+COUNTIF('12月'!ES27:ET27,"渋谷-夜勤")</f>
        <v>0</v>
      </c>
      <c r="I436" s="76">
        <f t="shared" si="135"/>
        <v>0</v>
      </c>
      <c r="J436" s="76">
        <f>COUNTIF('12月'!D27:E27,J$411)+COUNTIF('12月'!I27:J27,J$411)+COUNTIF('12月'!N27:O27,J$411)+COUNTIF('12月'!S27:T27,J$411)+COUNTIF('12月'!X27:Y27,J$411)+COUNTIF('12月'!AC27:AD27,J$411)+COUNTIF('12月'!AH27:AI27,J$411)+COUNTIF('12月'!AM27:AN27,J$411)+COUNTIF('12月'!AR27:AS27,J$411)+COUNTIF('12月'!AW27:AX27,J$411)+COUNTIF('12月'!BB27:BC27,J$411)+COUNTIF('12月'!BG27:BH27,J$411)+COUNTIF('12月'!BL27:BM27,J$411)+COUNTIF('12月'!BQ27:BR27,J$411)+COUNTIF('12月'!BV27:BW27,J$411)+COUNTIF('12月'!CA27:CB27,J$411)+COUNTIF('12月'!CF27:CG27,J$411)+COUNTIF('12月'!CK27:CL27,J$411)+COUNTIF('12月'!CP27:CQ27,J$411)+COUNTIF('12月'!CU27:CV27,J$411)+COUNTIF('12月'!CZ27:DA27,J$411)+COUNTIF('12月'!DE27:DF27,J$411)+COUNTIF('12月'!DJ27:DK27,J$411)+COUNTIF('12月'!DO27:DP27,J$411)+COUNTIF('12月'!DT27:DU27,J$411)+COUNTIF('12月'!DY27:DZ27,J$411)+COUNTIF('12月'!ED27:EE27,J$411)+COUNTIF('12月'!EI27:EJ27,J$411)+COUNTIF('12月'!EN27:EO27,J$411)+COUNTIF('12月'!ES27:ET27,J$411)+COUNTIF('12月'!D27:E27,"六本木-夜勤")+COUNTIF('12月'!I27:J27,"六本木-夜勤")+COUNTIF('12月'!N27:O27,"六本木-夜勤")+COUNTIF('12月'!S27:T27,"六本木-夜勤")+COUNTIF('12月'!X27:Y27,"六本木-夜勤")+COUNTIF('12月'!AC27:AD27,"六本木-夜勤")+COUNTIF('12月'!AH27:AI27,"六本木-夜勤")+COUNTIF('12月'!AM27:AN27,"六本木-夜勤")+COUNTIF('12月'!AR27:AS27,"六本木-夜勤")+COUNTIF('12月'!AW27:AX27,"六本木-夜勤")+COUNTIF('12月'!BB27:BC27,"六本木-夜勤")+COUNTIF('12月'!BG27:BH27,"六本木-夜勤")+COUNTIF('12月'!BL27:BM27,"六本木-夜勤")+COUNTIF('12月'!BQ27:BR27,"六本木-夜勤")+COUNTIF('12月'!BV27:BW27,"六本木-夜勤")+COUNTIF('12月'!CA27:CB27,"六本木-夜勤")+COUNTIF('12月'!CF27:CG27,"六本木-夜勤")+COUNTIF('12月'!CK27:CL27,"六本木-夜勤")+COUNTIF('12月'!CP27:CQ27,"六本木-夜勤")+COUNTIF('12月'!CU27:CV27,"六本木-夜勤")+COUNTIF('12月'!CZ27:DA27,"六本木-夜勤")+COUNTIF('12月'!DE27:DF27,"六本木-夜勤")+COUNTIF('12月'!DJ27:DK27,"六本木-夜勤")+COUNTIF('12月'!DO27:DP27,"六本木-夜勤")+COUNTIF('12月'!DT27:DU27,"六本木-夜勤")+COUNTIF('12月'!DY27:DZ27,"六本木-夜勤")+COUNTIF('12月'!ED27:EE27,"六本木-夜勤")+COUNTIF('12月'!EI27:EJ27,"六本木-夜勤")+COUNTIF('12月'!EN27:EO27,"六本木-夜勤")+COUNTIF('12月'!ES27:ET27,"六本木-夜勤")+COUNTIF('12月'!D27:E27,"六本木ー夜勤")+COUNTIF('12月'!I27:J27,"六本木ー夜勤")+COUNTIF('12月'!N27:O27,"六本木ー夜勤")+COUNTIF('12月'!S27:T27,"六本木ー夜勤")+COUNTIF('12月'!X27:Y27,"六本木ー夜勤")+COUNTIF('12月'!AC27:AD27,"六本木ー夜勤")+COUNTIF('12月'!AH27:AI27,"六本木ー夜勤")+COUNTIF('12月'!AM27:AN27,"六本木ー夜勤")+COUNTIF('12月'!AR27:AS27,"六本木ー夜勤")+COUNTIF('12月'!AW27:AX27,"六本木ー夜勤")+COUNTIF('12月'!BB27:BC27,"六本木ー夜勤")+COUNTIF('12月'!BG27:BH27,"六本木ー夜勤")+COUNTIF('12月'!BL27:BM27,"六本木ー夜勤")+COUNTIF('12月'!BQ27:BR27,"六本木ー夜勤")+COUNTIF('12月'!BV27:BW27,"六本木ー夜勤")+COUNTIF('12月'!CA27:CB27,"六本木ー夜勤")+COUNTIF('12月'!CF27:CG27,"六本木ー夜勤")+COUNTIF('12月'!CK27:CL27,"六本木ー夜勤")+COUNTIF('12月'!CP27:CQ27,"六本木ー夜勤")+COUNTIF('12月'!CU27:CV27,"六本木ー夜勤")+COUNTIF('12月'!CZ27:DA27,"六本木ー夜勤")+COUNTIF('12月'!DE27:DF27,"六本木ー夜勤")+COUNTIF('12月'!DJ27:DK27,"六本木ー夜勤")+COUNTIF('12月'!DO27:DP27,"六本木ー夜勤")+COUNTIF('12月'!DT27:DU27,"六本木ー夜勤")+COUNTIF('12月'!DY27:DZ27,"六本木ー夜勤")+COUNTIF('12月'!ED27:EE27,"六本木ー夜勤")+COUNTIF('12月'!EI27:EJ27,"六本木ー夜勤")+COUNTIF('12月'!EN27:EO27,"六本木ー夜勤")+COUNTIF('12月'!ES27:ET27,"六本木ー夜勤")</f>
        <v>0</v>
      </c>
      <c r="K436" s="76">
        <f t="shared" si="136"/>
        <v>0</v>
      </c>
      <c r="L436" s="76">
        <f>COUNTIF('12月'!D27:E27,L$411)+COUNTIF('12月'!I27:J27,L$411)+COUNTIF('12月'!N27:O27,L$411)+COUNTIF('12月'!S27:T27,L$411)+COUNTIF('12月'!X27:Y27,L$411)+COUNTIF('12月'!AC27:AD27,L$411)+COUNTIF('12月'!AH27:AI27,L$411)+COUNTIF('12月'!AM27:AN27,L$411)+COUNTIF('12月'!AR27:AS27,L$411)+COUNTIF('12月'!AW27:AX27,L$411)+COUNTIF('12月'!BB27:BC27,L$411)+COUNTIF('12月'!BG27:BH27,L$411)+COUNTIF('12月'!BL27:BM27,L$411)+COUNTIF('12月'!BQ27:BR27,L$411)+COUNTIF('12月'!BV27:BW27,L$411)+COUNTIF('12月'!CA27:CB27,L$411)+COUNTIF('12月'!CF27:CG27,L$411)+COUNTIF('12月'!CK27:CL27,L$411)+COUNTIF('12月'!CP27:CQ27,L$411)+COUNTIF('12月'!CU27:CV27,L$411)+COUNTIF('12月'!CZ27:DA27,L$411)+COUNTIF('12月'!DE27:DF27,L$411)+COUNTIF('12月'!DJ27:DK27,L$411)+COUNTIF('12月'!DO27:DP27,L$411)+COUNTIF('12月'!DT27:DU27,L$411)+COUNTIF('12月'!DY27:DZ27,L$411)+COUNTIF('12月'!ED27:EE27,L$411)+COUNTIF('12月'!EI27:EJ27,L$411)+COUNTIF('12月'!EN27:EO27,L$411)+COUNTIF('12月'!ES27:ET27,L$411)</f>
        <v>0</v>
      </c>
      <c r="M436" s="76">
        <f t="shared" si="137"/>
        <v>0</v>
      </c>
      <c r="N436" s="76">
        <f>COUNTIF('12月'!D27:E27,N$411)+COUNTIF('12月'!I27:J27,N$411)+COUNTIF('12月'!N27:O27,N$411)+COUNTIF('12月'!S27:T27,N$411)+COUNTIF('12月'!X27:Y27,N$411)+COUNTIF('12月'!AC27:AD27,N$411)+COUNTIF('12月'!AH27:AI27,N$411)+COUNTIF('12月'!AM27:AN27,N$411)+COUNTIF('12月'!AR27:AS27,N$411)+COUNTIF('12月'!AW27:AX27,N$411)+COUNTIF('12月'!BB27:BC27,N$411)+COUNTIF('12月'!BG27:BH27,N$411)+COUNTIF('12月'!BL27:BM27,N$411)+COUNTIF('12月'!BQ27:BR27,N$411)+COUNTIF('12月'!BV27:BW27,N$411)+COUNTIF('12月'!CA27:CB27,N$411)+COUNTIF('12月'!CF27:CG27,N$411)+COUNTIF('12月'!CK27:CL27,N$411)+COUNTIF('12月'!CP27:CQ27,N$411)+COUNTIF('12月'!CU27:CV27,N$411)+COUNTIF('12月'!CZ27:DA27,N$411)+COUNTIF('12月'!DE27:DF27,N$411)+COUNTIF('12月'!DJ27:DK27,N$411)+COUNTIF('12月'!DO27:DP27,N$411)+COUNTIF('12月'!DT27:DU27,N$411)+COUNTIF('12月'!DY27:DZ27,N$411)+COUNTIF('12月'!ED27:EE27,N$411)+COUNTIF('12月'!EI27:EJ27,N$411)+COUNTIF('12月'!EN27:EO27,N$411)+COUNTIF('12月'!ES27:ET27,N$411)+COUNTIF('12月'!D27:E27,"三軒茶屋－夜勤")+COUNTIF('12月'!I27:J27,"三軒茶屋－夜勤")+COUNTIF('12月'!N27:O27,"三軒茶屋－夜勤")+COUNTIF('12月'!S27:T27,"三軒茶屋－夜勤")+COUNTIF('12月'!X27:Y27,"三軒茶屋－夜勤")+COUNTIF('12月'!AC27:AD27,"三軒茶屋－夜勤")+COUNTIF('12月'!AH27:AI27,"三軒茶屋－夜勤")+COUNTIF('12月'!AM27:AN27,"三軒茶屋－夜勤")+COUNTIF('12月'!AR27:AS27,"三軒茶屋－夜勤")+COUNTIF('12月'!AW27:AX27,"三軒茶屋－夜勤")+COUNTIF('12月'!BB27:BC27,"三軒茶屋－夜勤")+COUNTIF('12月'!BG27:BH27,"三軒茶屋－夜勤")+COUNTIF('12月'!BL27:BM27,"三軒茶屋－夜勤")+COUNTIF('12月'!BQ27:BR27,"三軒茶屋－夜勤")+COUNTIF('12月'!BV27:BW27,"三軒茶屋－夜勤")+COUNTIF('12月'!CA27:CB27,"三軒茶屋－夜勤")+COUNTIF('12月'!CF27:CG27,"三軒茶屋－夜勤")+COUNTIF('12月'!CK27:CL27,"三軒茶屋－夜勤")+COUNTIF('12月'!CP27:CQ27,"三軒茶屋－夜勤")+COUNTIF('12月'!CU27:CV27,"三軒茶屋－夜勤")+COUNTIF('12月'!CZ27:DA27,"三軒茶屋－夜勤")+COUNTIF('12月'!DE27:DF27,"三軒茶屋－夜勤")+COUNTIF('12月'!DJ27:DK27,"三軒茶屋－夜勤")+COUNTIF('12月'!DO27:DP27,"三軒茶屋－夜勤")+COUNTIF('12月'!DT27:DU27,"三軒茶屋－夜勤")+COUNTIF('12月'!DY27:DZ27,"三軒茶屋－夜勤")+COUNTIF('12月'!ED27:EE27,"三軒茶屋－夜勤")+COUNTIF('12月'!EI27:EJ27,"三軒茶屋－夜勤")+COUNTIF('12月'!EN27:EO27,"三軒茶屋－夜勤")+COUNTIF('12月'!ES27:ET27,"三軒茶屋－夜勤")</f>
        <v>0</v>
      </c>
      <c r="O436" s="76">
        <f t="shared" si="138"/>
        <v>0</v>
      </c>
      <c r="P436" s="76">
        <f>COUNTIF('12月'!D27:E27,P$411)+COUNTIF('12月'!I27:J27,P$411)+COUNTIF('12月'!N27:O27,P$411)+COUNTIF('12月'!S27:T27,P$411)+COUNTIF('12月'!X27:Y27,P$411)+COUNTIF('12月'!AC27:AD27,P$411)+COUNTIF('12月'!AH27:AI27,P$411)+COUNTIF('12月'!AM27:AN27,P$411)+COUNTIF('12月'!AR27:AS27,P$411)+COUNTIF('12月'!AW27:AX27,P$411)+COUNTIF('12月'!BB27:BC27,P$411)+COUNTIF('12月'!BG27:BH27,P$411)+COUNTIF('12月'!BL27:BM27,P$411)+COUNTIF('12月'!BQ27:BR27,P$411)+COUNTIF('12月'!BV27:BW27,P$411)+COUNTIF('12月'!CA27:CB27,P$411)+COUNTIF('12月'!CF27:CG27,P$411)+COUNTIF('12月'!CK27:CL27,P$411)+COUNTIF('12月'!CP27:CQ27,P$411)+COUNTIF('12月'!CU27:CV27,P$411)+COUNTIF('12月'!CZ27:DA27,P$411)+COUNTIF('12月'!DE27:DF27,P$411)+COUNTIF('12月'!DJ27:DK27,P$411)+COUNTIF('12月'!DO27:DP27,P$411)+COUNTIF('12月'!DT27:DU27,P$411)+COUNTIF('12月'!DY27:DZ27,P$411)+COUNTIF('12月'!ED27:EE27,P$411)+COUNTIF('12月'!EI27:EJ27,P$411)+COUNTIF('12月'!EN27:EO27,P$411)+COUNTIF('12月'!ES27:ET27,P$411)+COUNTIF('12月'!D27:E27,"荻窪ー夜勤")+COUNTIF('12月'!I27:J27,"荻窪ー夜勤")+COUNTIF('12月'!N27:O27,"荻窪ー夜勤")+COUNTIF('12月'!S27:T27,"荻窪ー夜勤")+COUNTIF('12月'!X27:Y27,"荻窪ー夜勤")+COUNTIF('12月'!AC27:AD27,"荻窪ー夜勤")+COUNTIF('12月'!AH27:AI27,"荻窪ー夜勤")+COUNTIF('12月'!AM27:AN27,"荻窪ー夜勤")+COUNTIF('12月'!AR27:AS27,"荻窪ー夜勤")+COUNTIF('12月'!AW27:AX27,"荻窪ー夜勤")+COUNTIF('12月'!BB27:BC27,"荻窪ー夜勤")+COUNTIF('12月'!BG27:BH27,"荻窪ー夜勤")+COUNTIF('12月'!BL27:BM27,"荻窪ー夜勤")+COUNTIF('12月'!BQ27:BR27,"荻窪ー夜勤")+COUNTIF('12月'!BV27:BW27,"荻窪ー夜勤")+COUNTIF('12月'!CA27:CB27,"荻窪ー夜勤")+COUNTIF('12月'!CF27:CG27,"荻窪ー夜勤")+COUNTIF('12月'!CK27:CL27,"荻窪ー夜勤")+COUNTIF('12月'!CP27:CQ27,"荻窪ー夜勤")+COUNTIF('12月'!CU27:CV27,"荻窪ー夜勤")+COUNTIF('12月'!CZ27:DA27,"荻窪ー夜勤")+COUNTIF('12月'!DE27:DF27,"荻窪ー夜勤")+COUNTIF('12月'!DJ27:DK27,"荻窪ー夜勤")+COUNTIF('12月'!DO27:DP27,"荻窪ー夜勤")+COUNTIF('12月'!DT27:DU27,"荻窪ー夜勤")+COUNTIF('12月'!DY27:DZ27,"荻窪ー夜勤")+COUNTIF('12月'!ED27:EE27,"荻窪ー夜勤")+COUNTIF('12月'!EI27:EJ27,"荻窪ー夜勤")+COUNTIF('12月'!EN27:EO27,"荻窪ー夜勤")+COUNTIF('12月'!ES27:ET27,"荻窪ー夜勤")</f>
        <v>0</v>
      </c>
      <c r="Q436" s="76">
        <f t="shared" si="139"/>
        <v>0</v>
      </c>
      <c r="R436" s="76">
        <f>COUNTIF('12月'!D27:E27,R$411)+COUNTIF('12月'!I27:J27,R$411)+COUNTIF('12月'!N27:O27,R$411)+COUNTIF('12月'!S27:T27,R$411)+COUNTIF('12月'!X27:Y27,R$411)+COUNTIF('12月'!AC27:AD27,R$411)+COUNTIF('12月'!AH27:AI27,R$411)+COUNTIF('12月'!AM27:AN27,R$411)+COUNTIF('12月'!AR27:AS27,R$411)+COUNTIF('12月'!AW27:AX27,R$411)+COUNTIF('12月'!BB27:BC27,R$411)+COUNTIF('12月'!BG27:BH27,R$411)+COUNTIF('12月'!BL27:BM27,R$411)+COUNTIF('12月'!BQ27:BR27,R$411)+COUNTIF('12月'!BV27:BW27,R$411)+COUNTIF('12月'!CA27:CB27,R$411)+COUNTIF('12月'!CF27:CG27,R$411)+COUNTIF('12月'!CK27:CL27,R$411)+COUNTIF('12月'!CP27:CQ27,R$411)+COUNTIF('12月'!CU27:CV27,R$411)+COUNTIF('12月'!CZ27:DA27,R$411)+COUNTIF('12月'!DE27:DF27,R$411)+COUNTIF('12月'!DJ27:DK27,R$411)+COUNTIF('12月'!DO27:DP27,R$411)+COUNTIF('12月'!DT27:DU27,R$411)+COUNTIF('12月'!DY27:DZ27,R$411)+COUNTIF('12月'!ED27:EE27,R$411)+COUNTIF('12月'!EI27:EJ27,R$411)+COUNTIF('12月'!EN27:EO27,R$411)+COUNTIF('12月'!ES27:ET27,R$411)</f>
        <v>0</v>
      </c>
      <c r="S436" s="76">
        <f t="shared" si="140"/>
        <v>0</v>
      </c>
      <c r="T436" s="76">
        <f>COUNTIF('12月'!D27:E27,T$411)+COUNTIF('12月'!I27:J27,T$411)+COUNTIF('12月'!N27:O27,T$411)+COUNTIF('12月'!S27:T27,T$411)+COUNTIF('12月'!X27:Y27,T$411)+COUNTIF('12月'!AC27:AD27,T$411)+COUNTIF('12月'!AH27:AI27,T$411)+COUNTIF('12月'!AM27:AN27,T$411)+COUNTIF('12月'!AR27:AS27,T$411)+COUNTIF('12月'!AW27:AX27,T$411)+COUNTIF('12月'!BB27:BC27,T$411)+COUNTIF('12月'!BG27:BH27,T$411)+COUNTIF('12月'!BL27:BM27,T$411)+COUNTIF('12月'!BQ27:BR27,T$411)+COUNTIF('12月'!BV27:BW27,T$411)+COUNTIF('12月'!CA27:CB27,T$411)+COUNTIF('12月'!CF27:CG27,T$411)+COUNTIF('12月'!CK27:CL27,T$411)+COUNTIF('12月'!CP27:CQ27,T$411)+COUNTIF('12月'!CU27:CV27,T$411)+COUNTIF('12月'!CZ27:DA27,T$411)+COUNTIF('12月'!DE27:DF27,T$411)+COUNTIF('12月'!DJ27:DK27,T$411)+COUNTIF('12月'!DO27:DP27,T$411)+COUNTIF('12月'!DT27:DU27,T$411)+COUNTIF('12月'!DY27:DZ27,T$411)+COUNTIF('12月'!ED27:EE27,T$411)+COUNTIF('12月'!EI27:EJ27,T$411)+COUNTIF('12月'!EN27:EO27,T$411)+COUNTIF('12月'!ES27:ET27,T$411)</f>
        <v>0</v>
      </c>
      <c r="U436" s="76">
        <f t="shared" si="141"/>
        <v>0</v>
      </c>
      <c r="V436" s="76">
        <f>COUNTIF('12月'!D27:E27,V$411)+COUNTIF('12月'!I27:J27,V$411)+COUNTIF('12月'!N27:O27,V$411)+COUNTIF('12月'!S27:T27,V$411)+COUNTIF('12月'!X27:Y27,V$411)+COUNTIF('12月'!AC27:AD27,V$411)+COUNTIF('12月'!AH27:AI27,V$411)+COUNTIF('12月'!AM27:AN27,V$411)+COUNTIF('12月'!AR27:AS27,V$411)+COUNTIF('12月'!AW27:AX27,V$411)+COUNTIF('12月'!BB27:BC27,V$411)+COUNTIF('12月'!BG27:BH27,V$411)+COUNTIF('12月'!BL27:BM27,V$411)+COUNTIF('12月'!BQ27:BR27,V$411)+COUNTIF('12月'!BV27:BW27,V$411)+COUNTIF('12月'!CA27:CB27,V$411)+COUNTIF('12月'!CF27:CG27,V$411)+COUNTIF('12月'!CK27:CL27,V$411)+COUNTIF('12月'!CP27:CQ27,V$411)+COUNTIF('12月'!CU27:CV27,V$411)+COUNTIF('12月'!CZ27:DA27,V$411)+COUNTIF('12月'!DE27:DF27,V$411)+COUNTIF('12月'!DJ27:DK27,V$411)+COUNTIF('12月'!DO27:DP27,V$411)+COUNTIF('12月'!DT27:DU27,V$411)+COUNTIF('12月'!DY27:DZ27,V$411)+COUNTIF('12月'!ED27:EE27,V$411)+COUNTIF('12月'!EI27:EJ27,V$411)+COUNTIF('12月'!EN27:EO27,V$411)+COUNTIF('12月'!ES27:ET27,V$411)</f>
        <v>0</v>
      </c>
      <c r="W436" s="76">
        <f t="shared" si="142"/>
        <v>0</v>
      </c>
      <c r="X436" s="76">
        <f>COUNTIF('12月'!D27:E27,X$411)+COUNTIF('12月'!I27:J27,X$411)+COUNTIF('12月'!N27:O27,X$411)+COUNTIF('12月'!S27:T27,X$411)+COUNTIF('12月'!X27:Y27,X$411)+COUNTIF('12月'!AC27:AD27,X$411)+COUNTIF('12月'!AH27:AI27,X$411)+COUNTIF('12月'!AM27:AN27,X$411)+COUNTIF('12月'!AR27:AS27,X$411)+COUNTIF('12月'!AW27:AX27,X$411)+COUNTIF('12月'!BB27:BC27,X$411)+COUNTIF('12月'!BG27:BH27,X$411)+COUNTIF('12月'!BL27:BM27,X$411)+COUNTIF('12月'!BQ27:BR27,X$411)+COUNTIF('12月'!BV27:BW27,X$411)+COUNTIF('12月'!CA27:CB27,X$411)+COUNTIF('12月'!CF27:CG27,X$411)+COUNTIF('12月'!CK27:CL27,X$411)+COUNTIF('12月'!CP27:CQ27,X$411)+COUNTIF('12月'!CU27:CV27,X$411)+COUNTIF('12月'!CZ27:DA27,X$411)+COUNTIF('12月'!DE27:DF27,X$411)+COUNTIF('12月'!DJ27:DK27,X$411)+COUNTIF('12月'!DO27:DP27,X$411)+COUNTIF('12月'!DT27:DU27,X$411)+COUNTIF('12月'!DY27:DZ27,X$411)+COUNTIF('12月'!ED27:EE27,X$411)+COUNTIF('12月'!EI27:EJ27,X$411)+COUNTIF('12月'!EN27:EO27,X$411)+COUNTIF('12月'!ES27:ET27,X$411)</f>
        <v>0</v>
      </c>
      <c r="Y436" s="76">
        <f t="shared" si="143"/>
        <v>0</v>
      </c>
    </row>
    <row r="437" spans="1:25" ht="18" customHeight="1">
      <c r="A437" s="76">
        <v>25</v>
      </c>
      <c r="B437" s="76">
        <f>COUNTIF('12月'!D28:E28,B$411)+COUNTIF('12月'!I28:J28,B$411)+COUNTIF('12月'!N28:O28,B$411)+COUNTIF('12月'!S28:T28,B$411)+COUNTIF('12月'!X28:Y28,B$411)+COUNTIF('12月'!AC28:AD28,B$411)+COUNTIF('12月'!AH28:AI28,B$411)+COUNTIF('12月'!AM28:AN28,B$411)+COUNTIF('12月'!AR28:AS28,B$411)+COUNTIF('12月'!AW28:AX28,B$411)+COUNTIF('12月'!BB28:BC28,B$411)+COUNTIF('12月'!BG28:BH28,B$411)+COUNTIF('12月'!BL28:BM28,B$411)+COUNTIF('12月'!BQ28:BR28,B$411)+COUNTIF('12月'!BV28:BW28,B$411)+COUNTIF('12月'!CA28:CB28,B$411)+COUNTIF('12月'!CF28:CG28,B$411)+COUNTIF('12月'!CK28:CL28,B$411)+COUNTIF('12月'!CP28:CQ28,B$411)+COUNTIF('12月'!CU28:CV28,B$411)+COUNTIF('12月'!CZ28:DA28,B$411)+COUNTIF('12月'!DE28:DF28,B$411)+COUNTIF('12月'!DJ28:DK28,B$411)+COUNTIF('12月'!DO28:DP28,B$411)+COUNTIF('12月'!DT28:DU28,B$411)+COUNTIF('12月'!DY28:DZ28,B$411)+COUNTIF('12月'!ED28:EE28,B$411)+COUNTIF('12月'!EI28:EJ28,B$411)+COUNTIF('12月'!EN28:EO28,B$411)+COUNTIF('12月'!ES28:ET28,B$411)</f>
        <v>0</v>
      </c>
      <c r="C437" s="76">
        <f t="shared" si="132"/>
        <v>0</v>
      </c>
      <c r="D437" s="76">
        <f>COUNTIF('12月'!D28:E28,D$411)+COUNTIF('12月'!I28:J28,D$411)+COUNTIF('12月'!N28:O28,D$411)+COUNTIF('12月'!S28:T28,D$411)+COUNTIF('12月'!X28:Y28,D$411)+COUNTIF('12月'!AC28:AD28,D$411)+COUNTIF('12月'!AH28:AI28,D$411)+COUNTIF('12月'!AM28:AN28,D$411)+COUNTIF('12月'!AR28:AS28,D$411)+COUNTIF('12月'!AW28:AX28,D$411)+COUNTIF('12月'!BB28:BC28,D$411)+COUNTIF('12月'!BG28:BH28,D$411)+COUNTIF('12月'!BL28:BM28,D$411)+COUNTIF('12月'!BQ28:BR28,D$411)+COUNTIF('12月'!BV28:BW28,D$411)+COUNTIF('12月'!CA28:CB28,D$411)+COUNTIF('12月'!CF28:CG28,D$411)+COUNTIF('12月'!CK28:CL28,D$411)+COUNTIF('12月'!CP28:CQ28,D$411)+COUNTIF('12月'!CU28:CV28,D$411)+COUNTIF('12月'!CZ28:DA28,D$411)+COUNTIF('12月'!DE28:DF28,D$411)+COUNTIF('12月'!DJ28:DK28,D$411)+COUNTIF('12月'!DO28:DP28,D$411)+COUNTIF('12月'!DT28:DU28,D$411)+COUNTIF('12月'!DY28:DZ28,D$411)+COUNTIF('12月'!ED28:EE28,D$411)+COUNTIF('12月'!EI28:EJ28,D$411)+COUNTIF('12月'!EN28:EO28,D$411)+COUNTIF('12月'!ES28:ET28,D$411)</f>
        <v>0</v>
      </c>
      <c r="E437" s="76">
        <f t="shared" si="133"/>
        <v>0</v>
      </c>
      <c r="F437" s="76">
        <f>COUNTIF('12月'!D28:E28,F$411)+COUNTIF('12月'!I28:J28,F$411)+COUNTIF('12月'!N28:O28,F$411)+COUNTIF('12月'!S28:T28,F$411)+COUNTIF('12月'!X28:Y28,F$411)+COUNTIF('12月'!AC28:AD28,F$411)+COUNTIF('12月'!AH28:AI28,F$411)+COUNTIF('12月'!AM28:AN28,F$411)+COUNTIF('12月'!AR28:AS28,F$411)+COUNTIF('12月'!AW28:AX28,F$411)+COUNTIF('12月'!BB28:BC28,F$411)+COUNTIF('12月'!BG28:BH28,F$411)+COUNTIF('12月'!BL28:BM28,F$411)+COUNTIF('12月'!BQ28:BR28,F$411)+COUNTIF('12月'!BV28:BW28,F$411)+COUNTIF('12月'!CA28:CB28,F$411)+COUNTIF('12月'!CF28:CG28,F$411)+COUNTIF('12月'!CK28:CL28,F$411)+COUNTIF('12月'!CP28:CQ28,F$411)+COUNTIF('12月'!CU28:CV28,F$411)+COUNTIF('12月'!CZ28:DA28,F$411)+COUNTIF('12月'!DE28:DF28,F$411)+COUNTIF('12月'!DJ28:DK28,F$411)+COUNTIF('12月'!DO28:DP28,F$411)+COUNTIF('12月'!DT28:DU28,F$411)+COUNTIF('12月'!DY28:DZ28,F$411)+COUNTIF('12月'!ED28:EE28,F$411)+COUNTIF('12月'!EI28:EJ28,F$411)+COUNTIF('12月'!EN28:EO28,F$411)+COUNTIF('12月'!ES28:ET28,F$411)</f>
        <v>0</v>
      </c>
      <c r="G437" s="76">
        <f t="shared" si="134"/>
        <v>0</v>
      </c>
      <c r="H437" s="76">
        <f>COUNTIF('12月'!D28:E28,H$411)+COUNTIF('12月'!I28:J28,H$411)+COUNTIF('12月'!N28:O28,H$411)+COUNTIF('12月'!S28:T28,H$411)+COUNTIF('12月'!X28:Y28,H$411)+COUNTIF('12月'!AC28:AD28,H$411)+COUNTIF('12月'!AH28:AI28,H$411)+COUNTIF('12月'!AM28:AN28,H$411)+COUNTIF('12月'!AR28:AS28,H$411)+COUNTIF('12月'!AW28:AX28,H$411)+COUNTIF('12月'!BB28:BC28,H$411)+COUNTIF('12月'!BG28:BH28,H$411)+COUNTIF('12月'!BL28:BM28,H$411)+COUNTIF('12月'!BQ28:BR28,H$411)+COUNTIF('12月'!BV28:BW28,H$411)+COUNTIF('12月'!CA28:CB28,H$411)+COUNTIF('12月'!CF28:CG28,H$411)+COUNTIF('12月'!CK28:CL28,H$411)+COUNTIF('12月'!CP28:CQ28,H$411)+COUNTIF('12月'!CU28:CV28,H$411)+COUNTIF('12月'!CZ28:DA28,H$411)+COUNTIF('12月'!DE28:DF28,H$411)+COUNTIF('12月'!DJ28:DK28,H$411)+COUNTIF('12月'!DO28:DP28,H$411)+COUNTIF('12月'!DT28:DU28,H$411)+COUNTIF('12月'!DY28:DZ28,H$411)+COUNTIF('12月'!ED28:EE28,H$411)+COUNTIF('12月'!EI28:EJ28,H$411)+COUNTIF('12月'!EN28:EO28,H$411)+COUNTIF('12月'!ES28:ET28,H$411)+COUNTIF('12月'!D28:E28,"渋谷-夜勤")+COUNTIF('12月'!I28:J28,"渋谷-夜勤")+COUNTIF('12月'!N28:O28,"渋谷-夜勤")+COUNTIF('12月'!S28:T28,"渋谷-夜勤")+COUNTIF('12月'!X28:Y28,"渋谷-夜勤")+COUNTIF('12月'!AC28:AD28,"渋谷-夜勤")+COUNTIF('12月'!AH28:AI28,"渋谷-夜勤")+COUNTIF('12月'!AM28:AN28,"渋谷-夜勤")+COUNTIF('12月'!AR28:AS28,"渋谷-夜勤")+COUNTIF('12月'!AW28:AX28,"渋谷-夜勤")+COUNTIF('12月'!BB28:BC28,"渋谷-夜勤")+COUNTIF('12月'!BG28:BH28,"渋谷-夜勤")+COUNTIF('12月'!BL28:BM28,"渋谷-夜勤")+COUNTIF('12月'!BQ28:BR28,"渋谷-夜勤")+COUNTIF('12月'!BV28:BW28,"渋谷-夜勤")+COUNTIF('12月'!CA28:CB28,"渋谷-夜勤")+COUNTIF('12月'!CF28:CG28,"渋谷-夜勤")+COUNTIF('12月'!CK28:CL28,"渋谷-夜勤")+COUNTIF('12月'!CP28:CQ28,"渋谷-夜勤")+COUNTIF('12月'!CU28:CV28,"渋谷-夜勤")+COUNTIF('12月'!CZ28:DA28,"渋谷-夜勤")+COUNTIF('12月'!DE28:DF28,"渋谷-夜勤")+COUNTIF('12月'!DJ28:DK28,"渋谷-夜勤")+COUNTIF('12月'!DO28:DP28,"渋谷-夜勤")+COUNTIF('12月'!DT28:DU28,"渋谷-夜勤")+COUNTIF('12月'!DY28:DZ28,"渋谷-夜勤")+COUNTIF('12月'!ED28:EE28,"渋谷-夜勤")+COUNTIF('12月'!EI28:EJ28,"渋谷-夜勤")+COUNTIF('12月'!EN28:EO28,"渋谷-夜勤")+COUNTIF('12月'!ES28:ET28,"渋谷-夜勤")</f>
        <v>0</v>
      </c>
      <c r="I437" s="76">
        <f t="shared" si="135"/>
        <v>0</v>
      </c>
      <c r="J437" s="76">
        <f>COUNTIF('12月'!D28:E28,J$411)+COUNTIF('12月'!I28:J28,J$411)+COUNTIF('12月'!N28:O28,J$411)+COUNTIF('12月'!S28:T28,J$411)+COUNTIF('12月'!X28:Y28,J$411)+COUNTIF('12月'!AC28:AD28,J$411)+COUNTIF('12月'!AH28:AI28,J$411)+COUNTIF('12月'!AM28:AN28,J$411)+COUNTIF('12月'!AR28:AS28,J$411)+COUNTIF('12月'!AW28:AX28,J$411)+COUNTIF('12月'!BB28:BC28,J$411)+COUNTIF('12月'!BG28:BH28,J$411)+COUNTIF('12月'!BL28:BM28,J$411)+COUNTIF('12月'!BQ28:BR28,J$411)+COUNTIF('12月'!BV28:BW28,J$411)+COUNTIF('12月'!CA28:CB28,J$411)+COUNTIF('12月'!CF28:CG28,J$411)+COUNTIF('12月'!CK28:CL28,J$411)+COUNTIF('12月'!CP28:CQ28,J$411)+COUNTIF('12月'!CU28:CV28,J$411)+COUNTIF('12月'!CZ28:DA28,J$411)+COUNTIF('12月'!DE28:DF28,J$411)+COUNTIF('12月'!DJ28:DK28,J$411)+COUNTIF('12月'!DO28:DP28,J$411)+COUNTIF('12月'!DT28:DU28,J$411)+COUNTIF('12月'!DY28:DZ28,J$411)+COUNTIF('12月'!ED28:EE28,J$411)+COUNTIF('12月'!EI28:EJ28,J$411)+COUNTIF('12月'!EN28:EO28,J$411)+COUNTIF('12月'!ES28:ET28,J$411)+COUNTIF('12月'!D28:E28,"六本木-夜勤")+COUNTIF('12月'!I28:J28,"六本木-夜勤")+COUNTIF('12月'!N28:O28,"六本木-夜勤")+COUNTIF('12月'!S28:T28,"六本木-夜勤")+COUNTIF('12月'!X28:Y28,"六本木-夜勤")+COUNTIF('12月'!AC28:AD28,"六本木-夜勤")+COUNTIF('12月'!AH28:AI28,"六本木-夜勤")+COUNTIF('12月'!AM28:AN28,"六本木-夜勤")+COUNTIF('12月'!AR28:AS28,"六本木-夜勤")+COUNTIF('12月'!AW28:AX28,"六本木-夜勤")+COUNTIF('12月'!BB28:BC28,"六本木-夜勤")+COUNTIF('12月'!BG28:BH28,"六本木-夜勤")+COUNTIF('12月'!BL28:BM28,"六本木-夜勤")+COUNTIF('12月'!BQ28:BR28,"六本木-夜勤")+COUNTIF('12月'!BV28:BW28,"六本木-夜勤")+COUNTIF('12月'!CA28:CB28,"六本木-夜勤")+COUNTIF('12月'!CF28:CG28,"六本木-夜勤")+COUNTIF('12月'!CK28:CL28,"六本木-夜勤")+COUNTIF('12月'!CP28:CQ28,"六本木-夜勤")+COUNTIF('12月'!CU28:CV28,"六本木-夜勤")+COUNTIF('12月'!CZ28:DA28,"六本木-夜勤")+COUNTIF('12月'!DE28:DF28,"六本木-夜勤")+COUNTIF('12月'!DJ28:DK28,"六本木-夜勤")+COUNTIF('12月'!DO28:DP28,"六本木-夜勤")+COUNTIF('12月'!DT28:DU28,"六本木-夜勤")+COUNTIF('12月'!DY28:DZ28,"六本木-夜勤")+COUNTIF('12月'!ED28:EE28,"六本木-夜勤")+COUNTIF('12月'!EI28:EJ28,"六本木-夜勤")+COUNTIF('12月'!EN28:EO28,"六本木-夜勤")+COUNTIF('12月'!ES28:ET28,"六本木-夜勤")+COUNTIF('12月'!D28:E28,"六本木ー夜勤")+COUNTIF('12月'!I28:J28,"六本木ー夜勤")+COUNTIF('12月'!N28:O28,"六本木ー夜勤")+COUNTIF('12月'!S28:T28,"六本木ー夜勤")+COUNTIF('12月'!X28:Y28,"六本木ー夜勤")+COUNTIF('12月'!AC28:AD28,"六本木ー夜勤")+COUNTIF('12月'!AH28:AI28,"六本木ー夜勤")+COUNTIF('12月'!AM28:AN28,"六本木ー夜勤")+COUNTIF('12月'!AR28:AS28,"六本木ー夜勤")+COUNTIF('12月'!AW28:AX28,"六本木ー夜勤")+COUNTIF('12月'!BB28:BC28,"六本木ー夜勤")+COUNTIF('12月'!BG28:BH28,"六本木ー夜勤")+COUNTIF('12月'!BL28:BM28,"六本木ー夜勤")+COUNTIF('12月'!BQ28:BR28,"六本木ー夜勤")+COUNTIF('12月'!BV28:BW28,"六本木ー夜勤")+COUNTIF('12月'!CA28:CB28,"六本木ー夜勤")+COUNTIF('12月'!CF28:CG28,"六本木ー夜勤")+COUNTIF('12月'!CK28:CL28,"六本木ー夜勤")+COUNTIF('12月'!CP28:CQ28,"六本木ー夜勤")+COUNTIF('12月'!CU28:CV28,"六本木ー夜勤")+COUNTIF('12月'!CZ28:DA28,"六本木ー夜勤")+COUNTIF('12月'!DE28:DF28,"六本木ー夜勤")+COUNTIF('12月'!DJ28:DK28,"六本木ー夜勤")+COUNTIF('12月'!DO28:DP28,"六本木ー夜勤")+COUNTIF('12月'!DT28:DU28,"六本木ー夜勤")+COUNTIF('12月'!DY28:DZ28,"六本木ー夜勤")+COUNTIF('12月'!ED28:EE28,"六本木ー夜勤")+COUNTIF('12月'!EI28:EJ28,"六本木ー夜勤")+COUNTIF('12月'!EN28:EO28,"六本木ー夜勤")+COUNTIF('12月'!ES28:ET28,"六本木ー夜勤")</f>
        <v>0</v>
      </c>
      <c r="K437" s="76">
        <f t="shared" si="136"/>
        <v>0</v>
      </c>
      <c r="L437" s="76">
        <f>COUNTIF('12月'!D28:E28,L$411)+COUNTIF('12月'!I28:J28,L$411)+COUNTIF('12月'!N28:O28,L$411)+COUNTIF('12月'!S28:T28,L$411)+COUNTIF('12月'!X28:Y28,L$411)+COUNTIF('12月'!AC28:AD28,L$411)+COUNTIF('12月'!AH28:AI28,L$411)+COUNTIF('12月'!AM28:AN28,L$411)+COUNTIF('12月'!AR28:AS28,L$411)+COUNTIF('12月'!AW28:AX28,L$411)+COUNTIF('12月'!BB28:BC28,L$411)+COUNTIF('12月'!BG28:BH28,L$411)+COUNTIF('12月'!BL28:BM28,L$411)+COUNTIF('12月'!BQ28:BR28,L$411)+COUNTIF('12月'!BV28:BW28,L$411)+COUNTIF('12月'!CA28:CB28,L$411)+COUNTIF('12月'!CF28:CG28,L$411)+COUNTIF('12月'!CK28:CL28,L$411)+COUNTIF('12月'!CP28:CQ28,L$411)+COUNTIF('12月'!CU28:CV28,L$411)+COUNTIF('12月'!CZ28:DA28,L$411)+COUNTIF('12月'!DE28:DF28,L$411)+COUNTIF('12月'!DJ28:DK28,L$411)+COUNTIF('12月'!DO28:DP28,L$411)+COUNTIF('12月'!DT28:DU28,L$411)+COUNTIF('12月'!DY28:DZ28,L$411)+COUNTIF('12月'!ED28:EE28,L$411)+COUNTIF('12月'!EI28:EJ28,L$411)+COUNTIF('12月'!EN28:EO28,L$411)+COUNTIF('12月'!ES28:ET28,L$411)</f>
        <v>0</v>
      </c>
      <c r="M437" s="76">
        <f t="shared" si="137"/>
        <v>0</v>
      </c>
      <c r="N437" s="76">
        <f>COUNTIF('12月'!D28:E28,N$411)+COUNTIF('12月'!I28:J28,N$411)+COUNTIF('12月'!N28:O28,N$411)+COUNTIF('12月'!S28:T28,N$411)+COUNTIF('12月'!X28:Y28,N$411)+COUNTIF('12月'!AC28:AD28,N$411)+COUNTIF('12月'!AH28:AI28,N$411)+COUNTIF('12月'!AM28:AN28,N$411)+COUNTIF('12月'!AR28:AS28,N$411)+COUNTIF('12月'!AW28:AX28,N$411)+COUNTIF('12月'!BB28:BC28,N$411)+COUNTIF('12月'!BG28:BH28,N$411)+COUNTIF('12月'!BL28:BM28,N$411)+COUNTIF('12月'!BQ28:BR28,N$411)+COUNTIF('12月'!BV28:BW28,N$411)+COUNTIF('12月'!CA28:CB28,N$411)+COUNTIF('12月'!CF28:CG28,N$411)+COUNTIF('12月'!CK28:CL28,N$411)+COUNTIF('12月'!CP28:CQ28,N$411)+COUNTIF('12月'!CU28:CV28,N$411)+COUNTIF('12月'!CZ28:DA28,N$411)+COUNTIF('12月'!DE28:DF28,N$411)+COUNTIF('12月'!DJ28:DK28,N$411)+COUNTIF('12月'!DO28:DP28,N$411)+COUNTIF('12月'!DT28:DU28,N$411)+COUNTIF('12月'!DY28:DZ28,N$411)+COUNTIF('12月'!ED28:EE28,N$411)+COUNTIF('12月'!EI28:EJ28,N$411)+COUNTIF('12月'!EN28:EO28,N$411)+COUNTIF('12月'!ES28:ET28,N$411)+COUNTIF('12月'!D28:E28,"三軒茶屋－夜勤")+COUNTIF('12月'!I28:J28,"三軒茶屋－夜勤")+COUNTIF('12月'!N28:O28,"三軒茶屋－夜勤")+COUNTIF('12月'!S28:T28,"三軒茶屋－夜勤")+COUNTIF('12月'!X28:Y28,"三軒茶屋－夜勤")+COUNTIF('12月'!AC28:AD28,"三軒茶屋－夜勤")+COUNTIF('12月'!AH28:AI28,"三軒茶屋－夜勤")+COUNTIF('12月'!AM28:AN28,"三軒茶屋－夜勤")+COUNTIF('12月'!AR28:AS28,"三軒茶屋－夜勤")+COUNTIF('12月'!AW28:AX28,"三軒茶屋－夜勤")+COUNTIF('12月'!BB28:BC28,"三軒茶屋－夜勤")+COUNTIF('12月'!BG28:BH28,"三軒茶屋－夜勤")+COUNTIF('12月'!BL28:BM28,"三軒茶屋－夜勤")+COUNTIF('12月'!BQ28:BR28,"三軒茶屋－夜勤")+COUNTIF('12月'!BV28:BW28,"三軒茶屋－夜勤")+COUNTIF('12月'!CA28:CB28,"三軒茶屋－夜勤")+COUNTIF('12月'!CF28:CG28,"三軒茶屋－夜勤")+COUNTIF('12月'!CK28:CL28,"三軒茶屋－夜勤")+COUNTIF('12月'!CP28:CQ28,"三軒茶屋－夜勤")+COUNTIF('12月'!CU28:CV28,"三軒茶屋－夜勤")+COUNTIF('12月'!CZ28:DA28,"三軒茶屋－夜勤")+COUNTIF('12月'!DE28:DF28,"三軒茶屋－夜勤")+COUNTIF('12月'!DJ28:DK28,"三軒茶屋－夜勤")+COUNTIF('12月'!DO28:DP28,"三軒茶屋－夜勤")+COUNTIF('12月'!DT28:DU28,"三軒茶屋－夜勤")+COUNTIF('12月'!DY28:DZ28,"三軒茶屋－夜勤")+COUNTIF('12月'!ED28:EE28,"三軒茶屋－夜勤")+COUNTIF('12月'!EI28:EJ28,"三軒茶屋－夜勤")+COUNTIF('12月'!EN28:EO28,"三軒茶屋－夜勤")+COUNTIF('12月'!ES28:ET28,"三軒茶屋－夜勤")</f>
        <v>0</v>
      </c>
      <c r="O437" s="76">
        <f t="shared" si="138"/>
        <v>0</v>
      </c>
      <c r="P437" s="76">
        <f>COUNTIF('12月'!D28:E28,P$411)+COUNTIF('12月'!I28:J28,P$411)+COUNTIF('12月'!N28:O28,P$411)+COUNTIF('12月'!S28:T28,P$411)+COUNTIF('12月'!X28:Y28,P$411)+COUNTIF('12月'!AC28:AD28,P$411)+COUNTIF('12月'!AH28:AI28,P$411)+COUNTIF('12月'!AM28:AN28,P$411)+COUNTIF('12月'!AR28:AS28,P$411)+COUNTIF('12月'!AW28:AX28,P$411)+COUNTIF('12月'!BB28:BC28,P$411)+COUNTIF('12月'!BG28:BH28,P$411)+COUNTIF('12月'!BL28:BM28,P$411)+COUNTIF('12月'!BQ28:BR28,P$411)+COUNTIF('12月'!BV28:BW28,P$411)+COUNTIF('12月'!CA28:CB28,P$411)+COUNTIF('12月'!CF28:CG28,P$411)+COUNTIF('12月'!CK28:CL28,P$411)+COUNTIF('12月'!CP28:CQ28,P$411)+COUNTIF('12月'!CU28:CV28,P$411)+COUNTIF('12月'!CZ28:DA28,P$411)+COUNTIF('12月'!DE28:DF28,P$411)+COUNTIF('12月'!DJ28:DK28,P$411)+COUNTIF('12月'!DO28:DP28,P$411)+COUNTIF('12月'!DT28:DU28,P$411)+COUNTIF('12月'!DY28:DZ28,P$411)+COUNTIF('12月'!ED28:EE28,P$411)+COUNTIF('12月'!EI28:EJ28,P$411)+COUNTIF('12月'!EN28:EO28,P$411)+COUNTIF('12月'!ES28:ET28,P$411)+COUNTIF('12月'!D28:E28,"荻窪ー夜勤")+COUNTIF('12月'!I28:J28,"荻窪ー夜勤")+COUNTIF('12月'!N28:O28,"荻窪ー夜勤")+COUNTIF('12月'!S28:T28,"荻窪ー夜勤")+COUNTIF('12月'!X28:Y28,"荻窪ー夜勤")+COUNTIF('12月'!AC28:AD28,"荻窪ー夜勤")+COUNTIF('12月'!AH28:AI28,"荻窪ー夜勤")+COUNTIF('12月'!AM28:AN28,"荻窪ー夜勤")+COUNTIF('12月'!AR28:AS28,"荻窪ー夜勤")+COUNTIF('12月'!AW28:AX28,"荻窪ー夜勤")+COUNTIF('12月'!BB28:BC28,"荻窪ー夜勤")+COUNTIF('12月'!BG28:BH28,"荻窪ー夜勤")+COUNTIF('12月'!BL28:BM28,"荻窪ー夜勤")+COUNTIF('12月'!BQ28:BR28,"荻窪ー夜勤")+COUNTIF('12月'!BV28:BW28,"荻窪ー夜勤")+COUNTIF('12月'!CA28:CB28,"荻窪ー夜勤")+COUNTIF('12月'!CF28:CG28,"荻窪ー夜勤")+COUNTIF('12月'!CK28:CL28,"荻窪ー夜勤")+COUNTIF('12月'!CP28:CQ28,"荻窪ー夜勤")+COUNTIF('12月'!CU28:CV28,"荻窪ー夜勤")+COUNTIF('12月'!CZ28:DA28,"荻窪ー夜勤")+COUNTIF('12月'!DE28:DF28,"荻窪ー夜勤")+COUNTIF('12月'!DJ28:DK28,"荻窪ー夜勤")+COUNTIF('12月'!DO28:DP28,"荻窪ー夜勤")+COUNTIF('12月'!DT28:DU28,"荻窪ー夜勤")+COUNTIF('12月'!DY28:DZ28,"荻窪ー夜勤")+COUNTIF('12月'!ED28:EE28,"荻窪ー夜勤")+COUNTIF('12月'!EI28:EJ28,"荻窪ー夜勤")+COUNTIF('12月'!EN28:EO28,"荻窪ー夜勤")+COUNTIF('12月'!ES28:ET28,"荻窪ー夜勤")</f>
        <v>0</v>
      </c>
      <c r="Q437" s="76">
        <f t="shared" si="139"/>
        <v>0</v>
      </c>
      <c r="R437" s="76">
        <f>COUNTIF('12月'!D28:E28,R$411)+COUNTIF('12月'!I28:J28,R$411)+COUNTIF('12月'!N28:O28,R$411)+COUNTIF('12月'!S28:T28,R$411)+COUNTIF('12月'!X28:Y28,R$411)+COUNTIF('12月'!AC28:AD28,R$411)+COUNTIF('12月'!AH28:AI28,R$411)+COUNTIF('12月'!AM28:AN28,R$411)+COUNTIF('12月'!AR28:AS28,R$411)+COUNTIF('12月'!AW28:AX28,R$411)+COUNTIF('12月'!BB28:BC28,R$411)+COUNTIF('12月'!BG28:BH28,R$411)+COUNTIF('12月'!BL28:BM28,R$411)+COUNTIF('12月'!BQ28:BR28,R$411)+COUNTIF('12月'!BV28:BW28,R$411)+COUNTIF('12月'!CA28:CB28,R$411)+COUNTIF('12月'!CF28:CG28,R$411)+COUNTIF('12月'!CK28:CL28,R$411)+COUNTIF('12月'!CP28:CQ28,R$411)+COUNTIF('12月'!CU28:CV28,R$411)+COUNTIF('12月'!CZ28:DA28,R$411)+COUNTIF('12月'!DE28:DF28,R$411)+COUNTIF('12月'!DJ28:DK28,R$411)+COUNTIF('12月'!DO28:DP28,R$411)+COUNTIF('12月'!DT28:DU28,R$411)+COUNTIF('12月'!DY28:DZ28,R$411)+COUNTIF('12月'!ED28:EE28,R$411)+COUNTIF('12月'!EI28:EJ28,R$411)+COUNTIF('12月'!EN28:EO28,R$411)+COUNTIF('12月'!ES28:ET28,R$411)</f>
        <v>0</v>
      </c>
      <c r="S437" s="76">
        <f t="shared" si="140"/>
        <v>0</v>
      </c>
      <c r="T437" s="76">
        <f>COUNTIF('12月'!D28:E28,T$411)+COUNTIF('12月'!I28:J28,T$411)+COUNTIF('12月'!N28:O28,T$411)+COUNTIF('12月'!S28:T28,T$411)+COUNTIF('12月'!X28:Y28,T$411)+COUNTIF('12月'!AC28:AD28,T$411)+COUNTIF('12月'!AH28:AI28,T$411)+COUNTIF('12月'!AM28:AN28,T$411)+COUNTIF('12月'!AR28:AS28,T$411)+COUNTIF('12月'!AW28:AX28,T$411)+COUNTIF('12月'!BB28:BC28,T$411)+COUNTIF('12月'!BG28:BH28,T$411)+COUNTIF('12月'!BL28:BM28,T$411)+COUNTIF('12月'!BQ28:BR28,T$411)+COUNTIF('12月'!BV28:BW28,T$411)+COUNTIF('12月'!CA28:CB28,T$411)+COUNTIF('12月'!CF28:CG28,T$411)+COUNTIF('12月'!CK28:CL28,T$411)+COUNTIF('12月'!CP28:CQ28,T$411)+COUNTIF('12月'!CU28:CV28,T$411)+COUNTIF('12月'!CZ28:DA28,T$411)+COUNTIF('12月'!DE28:DF28,T$411)+COUNTIF('12月'!DJ28:DK28,T$411)+COUNTIF('12月'!DO28:DP28,T$411)+COUNTIF('12月'!DT28:DU28,T$411)+COUNTIF('12月'!DY28:DZ28,T$411)+COUNTIF('12月'!ED28:EE28,T$411)+COUNTIF('12月'!EI28:EJ28,T$411)+COUNTIF('12月'!EN28:EO28,T$411)+COUNTIF('12月'!ES28:ET28,T$411)</f>
        <v>0</v>
      </c>
      <c r="U437" s="76">
        <f t="shared" si="141"/>
        <v>0</v>
      </c>
      <c r="V437" s="76">
        <f>COUNTIF('12月'!D28:E28,V$411)+COUNTIF('12月'!I28:J28,V$411)+COUNTIF('12月'!N28:O28,V$411)+COUNTIF('12月'!S28:T28,V$411)+COUNTIF('12月'!X28:Y28,V$411)+COUNTIF('12月'!AC28:AD28,V$411)+COUNTIF('12月'!AH28:AI28,V$411)+COUNTIF('12月'!AM28:AN28,V$411)+COUNTIF('12月'!AR28:AS28,V$411)+COUNTIF('12月'!AW28:AX28,V$411)+COUNTIF('12月'!BB28:BC28,V$411)+COUNTIF('12月'!BG28:BH28,V$411)+COUNTIF('12月'!BL28:BM28,V$411)+COUNTIF('12月'!BQ28:BR28,V$411)+COUNTIF('12月'!BV28:BW28,V$411)+COUNTIF('12月'!CA28:CB28,V$411)+COUNTIF('12月'!CF28:CG28,V$411)+COUNTIF('12月'!CK28:CL28,V$411)+COUNTIF('12月'!CP28:CQ28,V$411)+COUNTIF('12月'!CU28:CV28,V$411)+COUNTIF('12月'!CZ28:DA28,V$411)+COUNTIF('12月'!DE28:DF28,V$411)+COUNTIF('12月'!DJ28:DK28,V$411)+COUNTIF('12月'!DO28:DP28,V$411)+COUNTIF('12月'!DT28:DU28,V$411)+COUNTIF('12月'!DY28:DZ28,V$411)+COUNTIF('12月'!ED28:EE28,V$411)+COUNTIF('12月'!EI28:EJ28,V$411)+COUNTIF('12月'!EN28:EO28,V$411)+COUNTIF('12月'!ES28:ET28,V$411)</f>
        <v>0</v>
      </c>
      <c r="W437" s="76">
        <f t="shared" si="142"/>
        <v>0</v>
      </c>
      <c r="X437" s="76">
        <f>COUNTIF('12月'!D28:E28,X$411)+COUNTIF('12月'!I28:J28,X$411)+COUNTIF('12月'!N28:O28,X$411)+COUNTIF('12月'!S28:T28,X$411)+COUNTIF('12月'!X28:Y28,X$411)+COUNTIF('12月'!AC28:AD28,X$411)+COUNTIF('12月'!AH28:AI28,X$411)+COUNTIF('12月'!AM28:AN28,X$411)+COUNTIF('12月'!AR28:AS28,X$411)+COUNTIF('12月'!AW28:AX28,X$411)+COUNTIF('12月'!BB28:BC28,X$411)+COUNTIF('12月'!BG28:BH28,X$411)+COUNTIF('12月'!BL28:BM28,X$411)+COUNTIF('12月'!BQ28:BR28,X$411)+COUNTIF('12月'!BV28:BW28,X$411)+COUNTIF('12月'!CA28:CB28,X$411)+COUNTIF('12月'!CF28:CG28,X$411)+COUNTIF('12月'!CK28:CL28,X$411)+COUNTIF('12月'!CP28:CQ28,X$411)+COUNTIF('12月'!CU28:CV28,X$411)+COUNTIF('12月'!CZ28:DA28,X$411)+COUNTIF('12月'!DE28:DF28,X$411)+COUNTIF('12月'!DJ28:DK28,X$411)+COUNTIF('12月'!DO28:DP28,X$411)+COUNTIF('12月'!DT28:DU28,X$411)+COUNTIF('12月'!DY28:DZ28,X$411)+COUNTIF('12月'!ED28:EE28,X$411)+COUNTIF('12月'!EI28:EJ28,X$411)+COUNTIF('12月'!EN28:EO28,X$411)+COUNTIF('12月'!ES28:ET28,X$411)</f>
        <v>0</v>
      </c>
      <c r="Y437" s="76">
        <f t="shared" si="143"/>
        <v>0</v>
      </c>
    </row>
    <row r="438" spans="1:25" ht="18" customHeight="1">
      <c r="A438" s="76">
        <v>26</v>
      </c>
      <c r="B438" s="76">
        <f>COUNTIF('12月'!D29:E29,B$411)+COUNTIF('12月'!I29:J29,B$411)+COUNTIF('12月'!N29:O29,B$411)+COUNTIF('12月'!S29:T29,B$411)+COUNTIF('12月'!X29:Y29,B$411)+COUNTIF('12月'!AC29:AD29,B$411)+COUNTIF('12月'!AH29:AI29,B$411)+COUNTIF('12月'!AM29:AN29,B$411)+COUNTIF('12月'!AR29:AS29,B$411)+COUNTIF('12月'!AW29:AX29,B$411)+COUNTIF('12月'!BB29:BC29,B$411)+COUNTIF('12月'!BG29:BH29,B$411)+COUNTIF('12月'!BL29:BM29,B$411)+COUNTIF('12月'!BQ29:BR29,B$411)+COUNTIF('12月'!BV29:BW29,B$411)+COUNTIF('12月'!CA29:CB29,B$411)+COUNTIF('12月'!CF29:CG29,B$411)+COUNTIF('12月'!CK29:CL29,B$411)+COUNTIF('12月'!CP29:CQ29,B$411)+COUNTIF('12月'!CU29:CV29,B$411)+COUNTIF('12月'!CZ29:DA29,B$411)+COUNTIF('12月'!DE29:DF29,B$411)+COUNTIF('12月'!DJ29:DK29,B$411)+COUNTIF('12月'!DO29:DP29,B$411)+COUNTIF('12月'!DT29:DU29,B$411)+COUNTIF('12月'!DY29:DZ29,B$411)+COUNTIF('12月'!ED29:EE29,B$411)+COUNTIF('12月'!EI29:EJ29,B$411)+COUNTIF('12月'!EN29:EO29,B$411)+COUNTIF('12月'!ES29:ET29,B$411)</f>
        <v>0</v>
      </c>
      <c r="C438" s="76">
        <f t="shared" si="132"/>
        <v>0</v>
      </c>
      <c r="D438" s="76">
        <f>COUNTIF('12月'!D29:E29,D$411)+COUNTIF('12月'!I29:J29,D$411)+COUNTIF('12月'!N29:O29,D$411)+COUNTIF('12月'!S29:T29,D$411)+COUNTIF('12月'!X29:Y29,D$411)+COUNTIF('12月'!AC29:AD29,D$411)+COUNTIF('12月'!AH29:AI29,D$411)+COUNTIF('12月'!AM29:AN29,D$411)+COUNTIF('12月'!AR29:AS29,D$411)+COUNTIF('12月'!AW29:AX29,D$411)+COUNTIF('12月'!BB29:BC29,D$411)+COUNTIF('12月'!BG29:BH29,D$411)+COUNTIF('12月'!BL29:BM29,D$411)+COUNTIF('12月'!BQ29:BR29,D$411)+COUNTIF('12月'!BV29:BW29,D$411)+COUNTIF('12月'!CA29:CB29,D$411)+COUNTIF('12月'!CF29:CG29,D$411)+COUNTIF('12月'!CK29:CL29,D$411)+COUNTIF('12月'!CP29:CQ29,D$411)+COUNTIF('12月'!CU29:CV29,D$411)+COUNTIF('12月'!CZ29:DA29,D$411)+COUNTIF('12月'!DE29:DF29,D$411)+COUNTIF('12月'!DJ29:DK29,D$411)+COUNTIF('12月'!DO29:DP29,D$411)+COUNTIF('12月'!DT29:DU29,D$411)+COUNTIF('12月'!DY29:DZ29,D$411)+COUNTIF('12月'!ED29:EE29,D$411)+COUNTIF('12月'!EI29:EJ29,D$411)+COUNTIF('12月'!EN29:EO29,D$411)+COUNTIF('12月'!ES29:ET29,D$411)</f>
        <v>0</v>
      </c>
      <c r="E438" s="76">
        <f t="shared" si="133"/>
        <v>0</v>
      </c>
      <c r="F438" s="76">
        <f>COUNTIF('12月'!D29:E29,F$411)+COUNTIF('12月'!I29:J29,F$411)+COUNTIF('12月'!N29:O29,F$411)+COUNTIF('12月'!S29:T29,F$411)+COUNTIF('12月'!X29:Y29,F$411)+COUNTIF('12月'!AC29:AD29,F$411)+COUNTIF('12月'!AH29:AI29,F$411)+COUNTIF('12月'!AM29:AN29,F$411)+COUNTIF('12月'!AR29:AS29,F$411)+COUNTIF('12月'!AW29:AX29,F$411)+COUNTIF('12月'!BB29:BC29,F$411)+COUNTIF('12月'!BG29:BH29,F$411)+COUNTIF('12月'!BL29:BM29,F$411)+COUNTIF('12月'!BQ29:BR29,F$411)+COUNTIF('12月'!BV29:BW29,F$411)+COUNTIF('12月'!CA29:CB29,F$411)+COUNTIF('12月'!CF29:CG29,F$411)+COUNTIF('12月'!CK29:CL29,F$411)+COUNTIF('12月'!CP29:CQ29,F$411)+COUNTIF('12月'!CU29:CV29,F$411)+COUNTIF('12月'!CZ29:DA29,F$411)+COUNTIF('12月'!DE29:DF29,F$411)+COUNTIF('12月'!DJ29:DK29,F$411)+COUNTIF('12月'!DO29:DP29,F$411)+COUNTIF('12月'!DT29:DU29,F$411)+COUNTIF('12月'!DY29:DZ29,F$411)+COUNTIF('12月'!ED29:EE29,F$411)+COUNTIF('12月'!EI29:EJ29,F$411)+COUNTIF('12月'!EN29:EO29,F$411)+COUNTIF('12月'!ES29:ET29,F$411)</f>
        <v>0</v>
      </c>
      <c r="G438" s="76">
        <f t="shared" si="134"/>
        <v>0</v>
      </c>
      <c r="H438" s="76">
        <f>COUNTIF('12月'!D29:E29,H$411)+COUNTIF('12月'!I29:J29,H$411)+COUNTIF('12月'!N29:O29,H$411)+COUNTIF('12月'!S29:T29,H$411)+COUNTIF('12月'!X29:Y29,H$411)+COUNTIF('12月'!AC29:AD29,H$411)+COUNTIF('12月'!AH29:AI29,H$411)+COUNTIF('12月'!AM29:AN29,H$411)+COUNTIF('12月'!AR29:AS29,H$411)+COUNTIF('12月'!AW29:AX29,H$411)+COUNTIF('12月'!BB29:BC29,H$411)+COUNTIF('12月'!BG29:BH29,H$411)+COUNTIF('12月'!BL29:BM29,H$411)+COUNTIF('12月'!BQ29:BR29,H$411)+COUNTIF('12月'!BV29:BW29,H$411)+COUNTIF('12月'!CA29:CB29,H$411)+COUNTIF('12月'!CF29:CG29,H$411)+COUNTIF('12月'!CK29:CL29,H$411)+COUNTIF('12月'!CP29:CQ29,H$411)+COUNTIF('12月'!CU29:CV29,H$411)+COUNTIF('12月'!CZ29:DA29,H$411)+COUNTIF('12月'!DE29:DF29,H$411)+COUNTIF('12月'!DJ29:DK29,H$411)+COUNTIF('12月'!DO29:DP29,H$411)+COUNTIF('12月'!DT29:DU29,H$411)+COUNTIF('12月'!DY29:DZ29,H$411)+COUNTIF('12月'!ED29:EE29,H$411)+COUNTIF('12月'!EI29:EJ29,H$411)+COUNTIF('12月'!EN29:EO29,H$411)+COUNTIF('12月'!ES29:ET29,H$411)+COUNTIF('12月'!D29:E29,"渋谷-夜勤")+COUNTIF('12月'!I29:J29,"渋谷-夜勤")+COUNTIF('12月'!N29:O29,"渋谷-夜勤")+COUNTIF('12月'!S29:T29,"渋谷-夜勤")+COUNTIF('12月'!X29:Y29,"渋谷-夜勤")+COUNTIF('12月'!AC29:AD29,"渋谷-夜勤")+COUNTIF('12月'!AH29:AI29,"渋谷-夜勤")+COUNTIF('12月'!AM29:AN29,"渋谷-夜勤")+COUNTIF('12月'!AR29:AS29,"渋谷-夜勤")+COUNTIF('12月'!AW29:AX29,"渋谷-夜勤")+COUNTIF('12月'!BB29:BC29,"渋谷-夜勤")+COUNTIF('12月'!BG29:BH29,"渋谷-夜勤")+COUNTIF('12月'!BL29:BM29,"渋谷-夜勤")+COUNTIF('12月'!BQ29:BR29,"渋谷-夜勤")+COUNTIF('12月'!BV29:BW29,"渋谷-夜勤")+COUNTIF('12月'!CA29:CB29,"渋谷-夜勤")+COUNTIF('12月'!CF29:CG29,"渋谷-夜勤")+COUNTIF('12月'!CK29:CL29,"渋谷-夜勤")+COUNTIF('12月'!CP29:CQ29,"渋谷-夜勤")+COUNTIF('12月'!CU29:CV29,"渋谷-夜勤")+COUNTIF('12月'!CZ29:DA29,"渋谷-夜勤")+COUNTIF('12月'!DE29:DF29,"渋谷-夜勤")+COUNTIF('12月'!DJ29:DK29,"渋谷-夜勤")+COUNTIF('12月'!DO29:DP29,"渋谷-夜勤")+COUNTIF('12月'!DT29:DU29,"渋谷-夜勤")+COUNTIF('12月'!DY29:DZ29,"渋谷-夜勤")+COUNTIF('12月'!ED29:EE29,"渋谷-夜勤")+COUNTIF('12月'!EI29:EJ29,"渋谷-夜勤")+COUNTIF('12月'!EN29:EO29,"渋谷-夜勤")+COUNTIF('12月'!ES29:ET29,"渋谷-夜勤")</f>
        <v>0</v>
      </c>
      <c r="I438" s="76">
        <f t="shared" si="135"/>
        <v>0</v>
      </c>
      <c r="J438" s="76">
        <f>COUNTIF('12月'!D29:E29,J$411)+COUNTIF('12月'!I29:J29,J$411)+COUNTIF('12月'!N29:O29,J$411)+COUNTIF('12月'!S29:T29,J$411)+COUNTIF('12月'!X29:Y29,J$411)+COUNTIF('12月'!AC29:AD29,J$411)+COUNTIF('12月'!AH29:AI29,J$411)+COUNTIF('12月'!AM29:AN29,J$411)+COUNTIF('12月'!AR29:AS29,J$411)+COUNTIF('12月'!AW29:AX29,J$411)+COUNTIF('12月'!BB29:BC29,J$411)+COUNTIF('12月'!BG29:BH29,J$411)+COUNTIF('12月'!BL29:BM29,J$411)+COUNTIF('12月'!BQ29:BR29,J$411)+COUNTIF('12月'!BV29:BW29,J$411)+COUNTIF('12月'!CA29:CB29,J$411)+COUNTIF('12月'!CF29:CG29,J$411)+COUNTIF('12月'!CK29:CL29,J$411)+COUNTIF('12月'!CP29:CQ29,J$411)+COUNTIF('12月'!CU29:CV29,J$411)+COUNTIF('12月'!CZ29:DA29,J$411)+COUNTIF('12月'!DE29:DF29,J$411)+COUNTIF('12月'!DJ29:DK29,J$411)+COUNTIF('12月'!DO29:DP29,J$411)+COUNTIF('12月'!DT29:DU29,J$411)+COUNTIF('12月'!DY29:DZ29,J$411)+COUNTIF('12月'!ED29:EE29,J$411)+COUNTIF('12月'!EI29:EJ29,J$411)+COUNTIF('12月'!EN29:EO29,J$411)+COUNTIF('12月'!ES29:ET29,J$411)+COUNTIF('12月'!D29:E29,"六本木-夜勤")+COUNTIF('12月'!I29:J29,"六本木-夜勤")+COUNTIF('12月'!N29:O29,"六本木-夜勤")+COUNTIF('12月'!S29:T29,"六本木-夜勤")+COUNTIF('12月'!X29:Y29,"六本木-夜勤")+COUNTIF('12月'!AC29:AD29,"六本木-夜勤")+COUNTIF('12月'!AH29:AI29,"六本木-夜勤")+COUNTIF('12月'!AM29:AN29,"六本木-夜勤")+COUNTIF('12月'!AR29:AS29,"六本木-夜勤")+COUNTIF('12月'!AW29:AX29,"六本木-夜勤")+COUNTIF('12月'!BB29:BC29,"六本木-夜勤")+COUNTIF('12月'!BG29:BH29,"六本木-夜勤")+COUNTIF('12月'!BL29:BM29,"六本木-夜勤")+COUNTIF('12月'!BQ29:BR29,"六本木-夜勤")+COUNTIF('12月'!BV29:BW29,"六本木-夜勤")+COUNTIF('12月'!CA29:CB29,"六本木-夜勤")+COUNTIF('12月'!CF29:CG29,"六本木-夜勤")+COUNTIF('12月'!CK29:CL29,"六本木-夜勤")+COUNTIF('12月'!CP29:CQ29,"六本木-夜勤")+COUNTIF('12月'!CU29:CV29,"六本木-夜勤")+COUNTIF('12月'!CZ29:DA29,"六本木-夜勤")+COUNTIF('12月'!DE29:DF29,"六本木-夜勤")+COUNTIF('12月'!DJ29:DK29,"六本木-夜勤")+COUNTIF('12月'!DO29:DP29,"六本木-夜勤")+COUNTIF('12月'!DT29:DU29,"六本木-夜勤")+COUNTIF('12月'!DY29:DZ29,"六本木-夜勤")+COUNTIF('12月'!ED29:EE29,"六本木-夜勤")+COUNTIF('12月'!EI29:EJ29,"六本木-夜勤")+COUNTIF('12月'!EN29:EO29,"六本木-夜勤")+COUNTIF('12月'!ES29:ET29,"六本木-夜勤")+COUNTIF('12月'!D29:E29,"六本木ー夜勤")+COUNTIF('12月'!I29:J29,"六本木ー夜勤")+COUNTIF('12月'!N29:O29,"六本木ー夜勤")+COUNTIF('12月'!S29:T29,"六本木ー夜勤")+COUNTIF('12月'!X29:Y29,"六本木ー夜勤")+COUNTIF('12月'!AC29:AD29,"六本木ー夜勤")+COUNTIF('12月'!AH29:AI29,"六本木ー夜勤")+COUNTIF('12月'!AM29:AN29,"六本木ー夜勤")+COUNTIF('12月'!AR29:AS29,"六本木ー夜勤")+COUNTIF('12月'!AW29:AX29,"六本木ー夜勤")+COUNTIF('12月'!BB29:BC29,"六本木ー夜勤")+COUNTIF('12月'!BG29:BH29,"六本木ー夜勤")+COUNTIF('12月'!BL29:BM29,"六本木ー夜勤")+COUNTIF('12月'!BQ29:BR29,"六本木ー夜勤")+COUNTIF('12月'!BV29:BW29,"六本木ー夜勤")+COUNTIF('12月'!CA29:CB29,"六本木ー夜勤")+COUNTIF('12月'!CF29:CG29,"六本木ー夜勤")+COUNTIF('12月'!CK29:CL29,"六本木ー夜勤")+COUNTIF('12月'!CP29:CQ29,"六本木ー夜勤")+COUNTIF('12月'!CU29:CV29,"六本木ー夜勤")+COUNTIF('12月'!CZ29:DA29,"六本木ー夜勤")+COUNTIF('12月'!DE29:DF29,"六本木ー夜勤")+COUNTIF('12月'!DJ29:DK29,"六本木ー夜勤")+COUNTIF('12月'!DO29:DP29,"六本木ー夜勤")+COUNTIF('12月'!DT29:DU29,"六本木ー夜勤")+COUNTIF('12月'!DY29:DZ29,"六本木ー夜勤")+COUNTIF('12月'!ED29:EE29,"六本木ー夜勤")+COUNTIF('12月'!EI29:EJ29,"六本木ー夜勤")+COUNTIF('12月'!EN29:EO29,"六本木ー夜勤")+COUNTIF('12月'!ES29:ET29,"六本木ー夜勤")</f>
        <v>0</v>
      </c>
      <c r="K438" s="76">
        <f t="shared" si="136"/>
        <v>0</v>
      </c>
      <c r="L438" s="76">
        <f>COUNTIF('12月'!D29:E29,L$411)+COUNTIF('12月'!I29:J29,L$411)+COUNTIF('12月'!N29:O29,L$411)+COUNTIF('12月'!S29:T29,L$411)+COUNTIF('12月'!X29:Y29,L$411)+COUNTIF('12月'!AC29:AD29,L$411)+COUNTIF('12月'!AH29:AI29,L$411)+COUNTIF('12月'!AM29:AN29,L$411)+COUNTIF('12月'!AR29:AS29,L$411)+COUNTIF('12月'!AW29:AX29,L$411)+COUNTIF('12月'!BB29:BC29,L$411)+COUNTIF('12月'!BG29:BH29,L$411)+COUNTIF('12月'!BL29:BM29,L$411)+COUNTIF('12月'!BQ29:BR29,L$411)+COUNTIF('12月'!BV29:BW29,L$411)+COUNTIF('12月'!CA29:CB29,L$411)+COUNTIF('12月'!CF29:CG29,L$411)+COUNTIF('12月'!CK29:CL29,L$411)+COUNTIF('12月'!CP29:CQ29,L$411)+COUNTIF('12月'!CU29:CV29,L$411)+COUNTIF('12月'!CZ29:DA29,L$411)+COUNTIF('12月'!DE29:DF29,L$411)+COUNTIF('12月'!DJ29:DK29,L$411)+COUNTIF('12月'!DO29:DP29,L$411)+COUNTIF('12月'!DT29:DU29,L$411)+COUNTIF('12月'!DY29:DZ29,L$411)+COUNTIF('12月'!ED29:EE29,L$411)+COUNTIF('12月'!EI29:EJ29,L$411)+COUNTIF('12月'!EN29:EO29,L$411)+COUNTIF('12月'!ES29:ET29,L$411)</f>
        <v>0</v>
      </c>
      <c r="M438" s="76">
        <f t="shared" si="137"/>
        <v>0</v>
      </c>
      <c r="N438" s="76">
        <f>COUNTIF('12月'!D29:E29,N$411)+COUNTIF('12月'!I29:J29,N$411)+COUNTIF('12月'!N29:O29,N$411)+COUNTIF('12月'!S29:T29,N$411)+COUNTIF('12月'!X29:Y29,N$411)+COUNTIF('12月'!AC29:AD29,N$411)+COUNTIF('12月'!AH29:AI29,N$411)+COUNTIF('12月'!AM29:AN29,N$411)+COUNTIF('12月'!AR29:AS29,N$411)+COUNTIF('12月'!AW29:AX29,N$411)+COUNTIF('12月'!BB29:BC29,N$411)+COUNTIF('12月'!BG29:BH29,N$411)+COUNTIF('12月'!BL29:BM29,N$411)+COUNTIF('12月'!BQ29:BR29,N$411)+COUNTIF('12月'!BV29:BW29,N$411)+COUNTIF('12月'!CA29:CB29,N$411)+COUNTIF('12月'!CF29:CG29,N$411)+COUNTIF('12月'!CK29:CL29,N$411)+COUNTIF('12月'!CP29:CQ29,N$411)+COUNTIF('12月'!CU29:CV29,N$411)+COUNTIF('12月'!CZ29:DA29,N$411)+COUNTIF('12月'!DE29:DF29,N$411)+COUNTIF('12月'!DJ29:DK29,N$411)+COUNTIF('12月'!DO29:DP29,N$411)+COUNTIF('12月'!DT29:DU29,N$411)+COUNTIF('12月'!DY29:DZ29,N$411)+COUNTIF('12月'!ED29:EE29,N$411)+COUNTIF('12月'!EI29:EJ29,N$411)+COUNTIF('12月'!EN29:EO29,N$411)+COUNTIF('12月'!ES29:ET29,N$411)+COUNTIF('12月'!D29:E29,"三軒茶屋－夜勤")+COUNTIF('12月'!I29:J29,"三軒茶屋－夜勤")+COUNTIF('12月'!N29:O29,"三軒茶屋－夜勤")+COUNTIF('12月'!S29:T29,"三軒茶屋－夜勤")+COUNTIF('12月'!X29:Y29,"三軒茶屋－夜勤")+COUNTIF('12月'!AC29:AD29,"三軒茶屋－夜勤")+COUNTIF('12月'!AH29:AI29,"三軒茶屋－夜勤")+COUNTIF('12月'!AM29:AN29,"三軒茶屋－夜勤")+COUNTIF('12月'!AR29:AS29,"三軒茶屋－夜勤")+COUNTIF('12月'!AW29:AX29,"三軒茶屋－夜勤")+COUNTIF('12月'!BB29:BC29,"三軒茶屋－夜勤")+COUNTIF('12月'!BG29:BH29,"三軒茶屋－夜勤")+COUNTIF('12月'!BL29:BM29,"三軒茶屋－夜勤")+COUNTIF('12月'!BQ29:BR29,"三軒茶屋－夜勤")+COUNTIF('12月'!BV29:BW29,"三軒茶屋－夜勤")+COUNTIF('12月'!CA29:CB29,"三軒茶屋－夜勤")+COUNTIF('12月'!CF29:CG29,"三軒茶屋－夜勤")+COUNTIF('12月'!CK29:CL29,"三軒茶屋－夜勤")+COUNTIF('12月'!CP29:CQ29,"三軒茶屋－夜勤")+COUNTIF('12月'!CU29:CV29,"三軒茶屋－夜勤")+COUNTIF('12月'!CZ29:DA29,"三軒茶屋－夜勤")+COUNTIF('12月'!DE29:DF29,"三軒茶屋－夜勤")+COUNTIF('12月'!DJ29:DK29,"三軒茶屋－夜勤")+COUNTIF('12月'!DO29:DP29,"三軒茶屋－夜勤")+COUNTIF('12月'!DT29:DU29,"三軒茶屋－夜勤")+COUNTIF('12月'!DY29:DZ29,"三軒茶屋－夜勤")+COUNTIF('12月'!ED29:EE29,"三軒茶屋－夜勤")+COUNTIF('12月'!EI29:EJ29,"三軒茶屋－夜勤")+COUNTIF('12月'!EN29:EO29,"三軒茶屋－夜勤")+COUNTIF('12月'!ES29:ET29,"三軒茶屋－夜勤")</f>
        <v>0</v>
      </c>
      <c r="O438" s="76">
        <f t="shared" si="138"/>
        <v>0</v>
      </c>
      <c r="P438" s="76">
        <f>COUNTIF('12月'!D29:E29,P$411)+COUNTIF('12月'!I29:J29,P$411)+COUNTIF('12月'!N29:O29,P$411)+COUNTIF('12月'!S29:T29,P$411)+COUNTIF('12月'!X29:Y29,P$411)+COUNTIF('12月'!AC29:AD29,P$411)+COUNTIF('12月'!AH29:AI29,P$411)+COUNTIF('12月'!AM29:AN29,P$411)+COUNTIF('12月'!AR29:AS29,P$411)+COUNTIF('12月'!AW29:AX29,P$411)+COUNTIF('12月'!BB29:BC29,P$411)+COUNTIF('12月'!BG29:BH29,P$411)+COUNTIF('12月'!BL29:BM29,P$411)+COUNTIF('12月'!BQ29:BR29,P$411)+COUNTIF('12月'!BV29:BW29,P$411)+COUNTIF('12月'!CA29:CB29,P$411)+COUNTIF('12月'!CF29:CG29,P$411)+COUNTIF('12月'!CK29:CL29,P$411)+COUNTIF('12月'!CP29:CQ29,P$411)+COUNTIF('12月'!CU29:CV29,P$411)+COUNTIF('12月'!CZ29:DA29,P$411)+COUNTIF('12月'!DE29:DF29,P$411)+COUNTIF('12月'!DJ29:DK29,P$411)+COUNTIF('12月'!DO29:DP29,P$411)+COUNTIF('12月'!DT29:DU29,P$411)+COUNTIF('12月'!DY29:DZ29,P$411)+COUNTIF('12月'!ED29:EE29,P$411)+COUNTIF('12月'!EI29:EJ29,P$411)+COUNTIF('12月'!EN29:EO29,P$411)+COUNTIF('12月'!ES29:ET29,P$411)+COUNTIF('12月'!D29:E29,"荻窪ー夜勤")+COUNTIF('12月'!I29:J29,"荻窪ー夜勤")+COUNTIF('12月'!N29:O29,"荻窪ー夜勤")+COUNTIF('12月'!S29:T29,"荻窪ー夜勤")+COUNTIF('12月'!X29:Y29,"荻窪ー夜勤")+COUNTIF('12月'!AC29:AD29,"荻窪ー夜勤")+COUNTIF('12月'!AH29:AI29,"荻窪ー夜勤")+COUNTIF('12月'!AM29:AN29,"荻窪ー夜勤")+COUNTIF('12月'!AR29:AS29,"荻窪ー夜勤")+COUNTIF('12月'!AW29:AX29,"荻窪ー夜勤")+COUNTIF('12月'!BB29:BC29,"荻窪ー夜勤")+COUNTIF('12月'!BG29:BH29,"荻窪ー夜勤")+COUNTIF('12月'!BL29:BM29,"荻窪ー夜勤")+COUNTIF('12月'!BQ29:BR29,"荻窪ー夜勤")+COUNTIF('12月'!BV29:BW29,"荻窪ー夜勤")+COUNTIF('12月'!CA29:CB29,"荻窪ー夜勤")+COUNTIF('12月'!CF29:CG29,"荻窪ー夜勤")+COUNTIF('12月'!CK29:CL29,"荻窪ー夜勤")+COUNTIF('12月'!CP29:CQ29,"荻窪ー夜勤")+COUNTIF('12月'!CU29:CV29,"荻窪ー夜勤")+COUNTIF('12月'!CZ29:DA29,"荻窪ー夜勤")+COUNTIF('12月'!DE29:DF29,"荻窪ー夜勤")+COUNTIF('12月'!DJ29:DK29,"荻窪ー夜勤")+COUNTIF('12月'!DO29:DP29,"荻窪ー夜勤")+COUNTIF('12月'!DT29:DU29,"荻窪ー夜勤")+COUNTIF('12月'!DY29:DZ29,"荻窪ー夜勤")+COUNTIF('12月'!ED29:EE29,"荻窪ー夜勤")+COUNTIF('12月'!EI29:EJ29,"荻窪ー夜勤")+COUNTIF('12月'!EN29:EO29,"荻窪ー夜勤")+COUNTIF('12月'!ES29:ET29,"荻窪ー夜勤")</f>
        <v>0</v>
      </c>
      <c r="Q438" s="76">
        <f t="shared" si="139"/>
        <v>0</v>
      </c>
      <c r="R438" s="76">
        <f>COUNTIF('12月'!D29:E29,R$411)+COUNTIF('12月'!I29:J29,R$411)+COUNTIF('12月'!N29:O29,R$411)+COUNTIF('12月'!S29:T29,R$411)+COUNTIF('12月'!X29:Y29,R$411)+COUNTIF('12月'!AC29:AD29,R$411)+COUNTIF('12月'!AH29:AI29,R$411)+COUNTIF('12月'!AM29:AN29,R$411)+COUNTIF('12月'!AR29:AS29,R$411)+COUNTIF('12月'!AW29:AX29,R$411)+COUNTIF('12月'!BB29:BC29,R$411)+COUNTIF('12月'!BG29:BH29,R$411)+COUNTIF('12月'!BL29:BM29,R$411)+COUNTIF('12月'!BQ29:BR29,R$411)+COUNTIF('12月'!BV29:BW29,R$411)+COUNTIF('12月'!CA29:CB29,R$411)+COUNTIF('12月'!CF29:CG29,R$411)+COUNTIF('12月'!CK29:CL29,R$411)+COUNTIF('12月'!CP29:CQ29,R$411)+COUNTIF('12月'!CU29:CV29,R$411)+COUNTIF('12月'!CZ29:DA29,R$411)+COUNTIF('12月'!DE29:DF29,R$411)+COUNTIF('12月'!DJ29:DK29,R$411)+COUNTIF('12月'!DO29:DP29,R$411)+COUNTIF('12月'!DT29:DU29,R$411)+COUNTIF('12月'!DY29:DZ29,R$411)+COUNTIF('12月'!ED29:EE29,R$411)+COUNTIF('12月'!EI29:EJ29,R$411)+COUNTIF('12月'!EN29:EO29,R$411)+COUNTIF('12月'!ES29:ET29,R$411)</f>
        <v>0</v>
      </c>
      <c r="S438" s="76">
        <f t="shared" si="140"/>
        <v>0</v>
      </c>
      <c r="T438" s="76">
        <f>COUNTIF('12月'!D29:E29,T$411)+COUNTIF('12月'!I29:J29,T$411)+COUNTIF('12月'!N29:O29,T$411)+COUNTIF('12月'!S29:T29,T$411)+COUNTIF('12月'!X29:Y29,T$411)+COUNTIF('12月'!AC29:AD29,T$411)+COUNTIF('12月'!AH29:AI29,T$411)+COUNTIF('12月'!AM29:AN29,T$411)+COUNTIF('12月'!AR29:AS29,T$411)+COUNTIF('12月'!AW29:AX29,T$411)+COUNTIF('12月'!BB29:BC29,T$411)+COUNTIF('12月'!BG29:BH29,T$411)+COUNTIF('12月'!BL29:BM29,T$411)+COUNTIF('12月'!BQ29:BR29,T$411)+COUNTIF('12月'!BV29:BW29,T$411)+COUNTIF('12月'!CA29:CB29,T$411)+COUNTIF('12月'!CF29:CG29,T$411)+COUNTIF('12月'!CK29:CL29,T$411)+COUNTIF('12月'!CP29:CQ29,T$411)+COUNTIF('12月'!CU29:CV29,T$411)+COUNTIF('12月'!CZ29:DA29,T$411)+COUNTIF('12月'!DE29:DF29,T$411)+COUNTIF('12月'!DJ29:DK29,T$411)+COUNTIF('12月'!DO29:DP29,T$411)+COUNTIF('12月'!DT29:DU29,T$411)+COUNTIF('12月'!DY29:DZ29,T$411)+COUNTIF('12月'!ED29:EE29,T$411)+COUNTIF('12月'!EI29:EJ29,T$411)+COUNTIF('12月'!EN29:EO29,T$411)+COUNTIF('12月'!ES29:ET29,T$411)</f>
        <v>0</v>
      </c>
      <c r="U438" s="76">
        <f t="shared" si="141"/>
        <v>0</v>
      </c>
      <c r="V438" s="76">
        <f>COUNTIF('12月'!D29:E29,V$411)+COUNTIF('12月'!I29:J29,V$411)+COUNTIF('12月'!N29:O29,V$411)+COUNTIF('12月'!S29:T29,V$411)+COUNTIF('12月'!X29:Y29,V$411)+COUNTIF('12月'!AC29:AD29,V$411)+COUNTIF('12月'!AH29:AI29,V$411)+COUNTIF('12月'!AM29:AN29,V$411)+COUNTIF('12月'!AR29:AS29,V$411)+COUNTIF('12月'!AW29:AX29,V$411)+COUNTIF('12月'!BB29:BC29,V$411)+COUNTIF('12月'!BG29:BH29,V$411)+COUNTIF('12月'!BL29:BM29,V$411)+COUNTIF('12月'!BQ29:BR29,V$411)+COUNTIF('12月'!BV29:BW29,V$411)+COUNTIF('12月'!CA29:CB29,V$411)+COUNTIF('12月'!CF29:CG29,V$411)+COUNTIF('12月'!CK29:CL29,V$411)+COUNTIF('12月'!CP29:CQ29,V$411)+COUNTIF('12月'!CU29:CV29,V$411)+COUNTIF('12月'!CZ29:DA29,V$411)+COUNTIF('12月'!DE29:DF29,V$411)+COUNTIF('12月'!DJ29:DK29,V$411)+COUNTIF('12月'!DO29:DP29,V$411)+COUNTIF('12月'!DT29:DU29,V$411)+COUNTIF('12月'!DY29:DZ29,V$411)+COUNTIF('12月'!ED29:EE29,V$411)+COUNTIF('12月'!EI29:EJ29,V$411)+COUNTIF('12月'!EN29:EO29,V$411)+COUNTIF('12月'!ES29:ET29,V$411)</f>
        <v>0</v>
      </c>
      <c r="W438" s="76">
        <f t="shared" si="142"/>
        <v>0</v>
      </c>
      <c r="X438" s="76">
        <f>COUNTIF('12月'!D29:E29,X$411)+COUNTIF('12月'!I29:J29,X$411)+COUNTIF('12月'!N29:O29,X$411)+COUNTIF('12月'!S29:T29,X$411)+COUNTIF('12月'!X29:Y29,X$411)+COUNTIF('12月'!AC29:AD29,X$411)+COUNTIF('12月'!AH29:AI29,X$411)+COUNTIF('12月'!AM29:AN29,X$411)+COUNTIF('12月'!AR29:AS29,X$411)+COUNTIF('12月'!AW29:AX29,X$411)+COUNTIF('12月'!BB29:BC29,X$411)+COUNTIF('12月'!BG29:BH29,X$411)+COUNTIF('12月'!BL29:BM29,X$411)+COUNTIF('12月'!BQ29:BR29,X$411)+COUNTIF('12月'!BV29:BW29,X$411)+COUNTIF('12月'!CA29:CB29,X$411)+COUNTIF('12月'!CF29:CG29,X$411)+COUNTIF('12月'!CK29:CL29,X$411)+COUNTIF('12月'!CP29:CQ29,X$411)+COUNTIF('12月'!CU29:CV29,X$411)+COUNTIF('12月'!CZ29:DA29,X$411)+COUNTIF('12月'!DE29:DF29,X$411)+COUNTIF('12月'!DJ29:DK29,X$411)+COUNTIF('12月'!DO29:DP29,X$411)+COUNTIF('12月'!DT29:DU29,X$411)+COUNTIF('12月'!DY29:DZ29,X$411)+COUNTIF('12月'!ED29:EE29,X$411)+COUNTIF('12月'!EI29:EJ29,X$411)+COUNTIF('12月'!EN29:EO29,X$411)+COUNTIF('12月'!ES29:ET29,X$411)</f>
        <v>0</v>
      </c>
      <c r="Y438" s="76">
        <f t="shared" si="143"/>
        <v>0</v>
      </c>
    </row>
    <row r="439" spans="1:25" ht="18" customHeight="1">
      <c r="A439" s="76">
        <v>27</v>
      </c>
      <c r="B439" s="76">
        <f>COUNTIF('12月'!D30:E30,B$411)+COUNTIF('12月'!I30:J30,B$411)+COUNTIF('12月'!N30:O30,B$411)+COUNTIF('12月'!S30:T30,B$411)+COUNTIF('12月'!X30:Y30,B$411)+COUNTIF('12月'!AC30:AD30,B$411)+COUNTIF('12月'!AH30:AI30,B$411)+COUNTIF('12月'!AM30:AN30,B$411)+COUNTIF('12月'!AR30:AS30,B$411)+COUNTIF('12月'!AW30:AX30,B$411)+COUNTIF('12月'!BB30:BC30,B$411)+COUNTIF('12月'!BG30:BH30,B$411)+COUNTIF('12月'!BL30:BM30,B$411)+COUNTIF('12月'!BQ30:BR30,B$411)+COUNTIF('12月'!BV30:BW30,B$411)+COUNTIF('12月'!CA30:CB30,B$411)+COUNTIF('12月'!CF30:CG30,B$411)+COUNTIF('12月'!CK30:CL30,B$411)+COUNTIF('12月'!CP30:CQ30,B$411)+COUNTIF('12月'!CU30:CV30,B$411)+COUNTIF('12月'!CZ30:DA30,B$411)+COUNTIF('12月'!DE30:DF30,B$411)+COUNTIF('12月'!DJ30:DK30,B$411)+COUNTIF('12月'!DO30:DP30,B$411)+COUNTIF('12月'!DT30:DU30,B$411)+COUNTIF('12月'!DY30:DZ30,B$411)+COUNTIF('12月'!ED30:EE30,B$411)+COUNTIF('12月'!EI30:EJ30,B$411)+COUNTIF('12月'!EN30:EO30,B$411)+COUNTIF('12月'!ES30:ET30,B$411)</f>
        <v>0</v>
      </c>
      <c r="C439" s="76">
        <f t="shared" si="132"/>
        <v>0</v>
      </c>
      <c r="D439" s="76">
        <f>COUNTIF('12月'!D30:E30,D$411)+COUNTIF('12月'!I30:J30,D$411)+COUNTIF('12月'!N30:O30,D$411)+COUNTIF('12月'!S30:T30,D$411)+COUNTIF('12月'!X30:Y30,D$411)+COUNTIF('12月'!AC30:AD30,D$411)+COUNTIF('12月'!AH30:AI30,D$411)+COUNTIF('12月'!AM30:AN30,D$411)+COUNTIF('12月'!AR30:AS30,D$411)+COUNTIF('12月'!AW30:AX30,D$411)+COUNTIF('12月'!BB30:BC30,D$411)+COUNTIF('12月'!BG30:BH30,D$411)+COUNTIF('12月'!BL30:BM30,D$411)+COUNTIF('12月'!BQ30:BR30,D$411)+COUNTIF('12月'!BV30:BW30,D$411)+COUNTIF('12月'!CA30:CB30,D$411)+COUNTIF('12月'!CF30:CG30,D$411)+COUNTIF('12月'!CK30:CL30,D$411)+COUNTIF('12月'!CP30:CQ30,D$411)+COUNTIF('12月'!CU30:CV30,D$411)+COUNTIF('12月'!CZ30:DA30,D$411)+COUNTIF('12月'!DE30:DF30,D$411)+COUNTIF('12月'!DJ30:DK30,D$411)+COUNTIF('12月'!DO30:DP30,D$411)+COUNTIF('12月'!DT30:DU30,D$411)+COUNTIF('12月'!DY30:DZ30,D$411)+COUNTIF('12月'!ED30:EE30,D$411)+COUNTIF('12月'!EI30:EJ30,D$411)+COUNTIF('12月'!EN30:EO30,D$411)+COUNTIF('12月'!ES30:ET30,D$411)</f>
        <v>0</v>
      </c>
      <c r="E439" s="76">
        <f t="shared" si="133"/>
        <v>0</v>
      </c>
      <c r="F439" s="76">
        <f>COUNTIF('12月'!D30:E30,F$411)+COUNTIF('12月'!I30:J30,F$411)+COUNTIF('12月'!N30:O30,F$411)+COUNTIF('12月'!S30:T30,F$411)+COUNTIF('12月'!X30:Y30,F$411)+COUNTIF('12月'!AC30:AD30,F$411)+COUNTIF('12月'!AH30:AI30,F$411)+COUNTIF('12月'!AM30:AN30,F$411)+COUNTIF('12月'!AR30:AS30,F$411)+COUNTIF('12月'!AW30:AX30,F$411)+COUNTIF('12月'!BB30:BC30,F$411)+COUNTIF('12月'!BG30:BH30,F$411)+COUNTIF('12月'!BL30:BM30,F$411)+COUNTIF('12月'!BQ30:BR30,F$411)+COUNTIF('12月'!BV30:BW30,F$411)+COUNTIF('12月'!CA30:CB30,F$411)+COUNTIF('12月'!CF30:CG30,F$411)+COUNTIF('12月'!CK30:CL30,F$411)+COUNTIF('12月'!CP30:CQ30,F$411)+COUNTIF('12月'!CU30:CV30,F$411)+COUNTIF('12月'!CZ30:DA30,F$411)+COUNTIF('12月'!DE30:DF30,F$411)+COUNTIF('12月'!DJ30:DK30,F$411)+COUNTIF('12月'!DO30:DP30,F$411)+COUNTIF('12月'!DT30:DU30,F$411)+COUNTIF('12月'!DY30:DZ30,F$411)+COUNTIF('12月'!ED30:EE30,F$411)+COUNTIF('12月'!EI30:EJ30,F$411)+COUNTIF('12月'!EN30:EO30,F$411)+COUNTIF('12月'!ES30:ET30,F$411)</f>
        <v>0</v>
      </c>
      <c r="G439" s="76">
        <f t="shared" si="134"/>
        <v>0</v>
      </c>
      <c r="H439" s="76">
        <f>COUNTIF('12月'!D30:E30,H$411)+COUNTIF('12月'!I30:J30,H$411)+COUNTIF('12月'!N30:O30,H$411)+COUNTIF('12月'!S30:T30,H$411)+COUNTIF('12月'!X30:Y30,H$411)+COUNTIF('12月'!AC30:AD30,H$411)+COUNTIF('12月'!AH30:AI30,H$411)+COUNTIF('12月'!AM30:AN30,H$411)+COUNTIF('12月'!AR30:AS30,H$411)+COUNTIF('12月'!AW30:AX30,H$411)+COUNTIF('12月'!BB30:BC30,H$411)+COUNTIF('12月'!BG30:BH30,H$411)+COUNTIF('12月'!BL30:BM30,H$411)+COUNTIF('12月'!BQ30:BR30,H$411)+COUNTIF('12月'!BV30:BW30,H$411)+COUNTIF('12月'!CA30:CB30,H$411)+COUNTIF('12月'!CF30:CG30,H$411)+COUNTIF('12月'!CK30:CL30,H$411)+COUNTIF('12月'!CP30:CQ30,H$411)+COUNTIF('12月'!CU30:CV30,H$411)+COUNTIF('12月'!CZ30:DA30,H$411)+COUNTIF('12月'!DE30:DF30,H$411)+COUNTIF('12月'!DJ30:DK30,H$411)+COUNTIF('12月'!DO30:DP30,H$411)+COUNTIF('12月'!DT30:DU30,H$411)+COUNTIF('12月'!DY30:DZ30,H$411)+COUNTIF('12月'!ED30:EE30,H$411)+COUNTIF('12月'!EI30:EJ30,H$411)+COUNTIF('12月'!EN30:EO30,H$411)+COUNTIF('12月'!ES30:ET30,H$411)+COUNTIF('12月'!D30:E30,"渋谷-夜勤")+COUNTIF('12月'!I30:J30,"渋谷-夜勤")+COUNTIF('12月'!N30:O30,"渋谷-夜勤")+COUNTIF('12月'!S30:T30,"渋谷-夜勤")+COUNTIF('12月'!X30:Y30,"渋谷-夜勤")+COUNTIF('12月'!AC30:AD30,"渋谷-夜勤")+COUNTIF('12月'!AH30:AI30,"渋谷-夜勤")+COUNTIF('12月'!AM30:AN30,"渋谷-夜勤")+COUNTIF('12月'!AR30:AS30,"渋谷-夜勤")+COUNTIF('12月'!AW30:AX30,"渋谷-夜勤")+COUNTIF('12月'!BB30:BC30,"渋谷-夜勤")+COUNTIF('12月'!BG30:BH30,"渋谷-夜勤")+COUNTIF('12月'!BL30:BM30,"渋谷-夜勤")+COUNTIF('12月'!BQ30:BR30,"渋谷-夜勤")+COUNTIF('12月'!BV30:BW30,"渋谷-夜勤")+COUNTIF('12月'!CA30:CB30,"渋谷-夜勤")+COUNTIF('12月'!CF30:CG30,"渋谷-夜勤")+COUNTIF('12月'!CK30:CL30,"渋谷-夜勤")+COUNTIF('12月'!CP30:CQ30,"渋谷-夜勤")+COUNTIF('12月'!CU30:CV30,"渋谷-夜勤")+COUNTIF('12月'!CZ30:DA30,"渋谷-夜勤")+COUNTIF('12月'!DE30:DF30,"渋谷-夜勤")+COUNTIF('12月'!DJ30:DK30,"渋谷-夜勤")+COUNTIF('12月'!DO30:DP30,"渋谷-夜勤")+COUNTIF('12月'!DT30:DU30,"渋谷-夜勤")+COUNTIF('12月'!DY30:DZ30,"渋谷-夜勤")+COUNTIF('12月'!ED30:EE30,"渋谷-夜勤")+COUNTIF('12月'!EI30:EJ30,"渋谷-夜勤")+COUNTIF('12月'!EN30:EO30,"渋谷-夜勤")+COUNTIF('12月'!ES30:ET30,"渋谷-夜勤")</f>
        <v>0</v>
      </c>
      <c r="I439" s="76">
        <f t="shared" si="135"/>
        <v>0</v>
      </c>
      <c r="J439" s="76">
        <f>COUNTIF('12月'!D30:E30,J$411)+COUNTIF('12月'!I30:J30,J$411)+COUNTIF('12月'!N30:O30,J$411)+COUNTIF('12月'!S30:T30,J$411)+COUNTIF('12月'!X30:Y30,J$411)+COUNTIF('12月'!AC30:AD30,J$411)+COUNTIF('12月'!AH30:AI30,J$411)+COUNTIF('12月'!AM30:AN30,J$411)+COUNTIF('12月'!AR30:AS30,J$411)+COUNTIF('12月'!AW30:AX30,J$411)+COUNTIF('12月'!BB30:BC30,J$411)+COUNTIF('12月'!BG30:BH30,J$411)+COUNTIF('12月'!BL30:BM30,J$411)+COUNTIF('12月'!BQ30:BR30,J$411)+COUNTIF('12月'!BV30:BW30,J$411)+COUNTIF('12月'!CA30:CB30,J$411)+COUNTIF('12月'!CF30:CG30,J$411)+COUNTIF('12月'!CK30:CL30,J$411)+COUNTIF('12月'!CP30:CQ30,J$411)+COUNTIF('12月'!CU30:CV30,J$411)+COUNTIF('12月'!CZ30:DA30,J$411)+COUNTIF('12月'!DE30:DF30,J$411)+COUNTIF('12月'!DJ30:DK30,J$411)+COUNTIF('12月'!DO30:DP30,J$411)+COUNTIF('12月'!DT30:DU30,J$411)+COUNTIF('12月'!DY30:DZ30,J$411)+COUNTIF('12月'!ED30:EE30,J$411)+COUNTIF('12月'!EI30:EJ30,J$411)+COUNTIF('12月'!EN30:EO30,J$411)+COUNTIF('12月'!ES30:ET30,J$411)+COUNTIF('12月'!D30:E30,"六本木-夜勤")+COUNTIF('12月'!I30:J30,"六本木-夜勤")+COUNTIF('12月'!N30:O30,"六本木-夜勤")+COUNTIF('12月'!S30:T30,"六本木-夜勤")+COUNTIF('12月'!X30:Y30,"六本木-夜勤")+COUNTIF('12月'!AC30:AD30,"六本木-夜勤")+COUNTIF('12月'!AH30:AI30,"六本木-夜勤")+COUNTIF('12月'!AM30:AN30,"六本木-夜勤")+COUNTIF('12月'!AR30:AS30,"六本木-夜勤")+COUNTIF('12月'!AW30:AX30,"六本木-夜勤")+COUNTIF('12月'!BB30:BC30,"六本木-夜勤")+COUNTIF('12月'!BG30:BH30,"六本木-夜勤")+COUNTIF('12月'!BL30:BM30,"六本木-夜勤")+COUNTIF('12月'!BQ30:BR30,"六本木-夜勤")+COUNTIF('12月'!BV30:BW30,"六本木-夜勤")+COUNTIF('12月'!CA30:CB30,"六本木-夜勤")+COUNTIF('12月'!CF30:CG30,"六本木-夜勤")+COUNTIF('12月'!CK30:CL30,"六本木-夜勤")+COUNTIF('12月'!CP30:CQ30,"六本木-夜勤")+COUNTIF('12月'!CU30:CV30,"六本木-夜勤")+COUNTIF('12月'!CZ30:DA30,"六本木-夜勤")+COUNTIF('12月'!DE30:DF30,"六本木-夜勤")+COUNTIF('12月'!DJ30:DK30,"六本木-夜勤")+COUNTIF('12月'!DO30:DP30,"六本木-夜勤")+COUNTIF('12月'!DT30:DU30,"六本木-夜勤")+COUNTIF('12月'!DY30:DZ30,"六本木-夜勤")+COUNTIF('12月'!ED30:EE30,"六本木-夜勤")+COUNTIF('12月'!EI30:EJ30,"六本木-夜勤")+COUNTIF('12月'!EN30:EO30,"六本木-夜勤")+COUNTIF('12月'!ES30:ET30,"六本木-夜勤")+COUNTIF('12月'!D30:E30,"六本木ー夜勤")+COUNTIF('12月'!I30:J30,"六本木ー夜勤")+COUNTIF('12月'!N30:O30,"六本木ー夜勤")+COUNTIF('12月'!S30:T30,"六本木ー夜勤")+COUNTIF('12月'!X30:Y30,"六本木ー夜勤")+COUNTIF('12月'!AC30:AD30,"六本木ー夜勤")+COUNTIF('12月'!AH30:AI30,"六本木ー夜勤")+COUNTIF('12月'!AM30:AN30,"六本木ー夜勤")+COUNTIF('12月'!AR30:AS30,"六本木ー夜勤")+COUNTIF('12月'!AW30:AX30,"六本木ー夜勤")+COUNTIF('12月'!BB30:BC30,"六本木ー夜勤")+COUNTIF('12月'!BG30:BH30,"六本木ー夜勤")+COUNTIF('12月'!BL30:BM30,"六本木ー夜勤")+COUNTIF('12月'!BQ30:BR30,"六本木ー夜勤")+COUNTIF('12月'!BV30:BW30,"六本木ー夜勤")+COUNTIF('12月'!CA30:CB30,"六本木ー夜勤")+COUNTIF('12月'!CF30:CG30,"六本木ー夜勤")+COUNTIF('12月'!CK30:CL30,"六本木ー夜勤")+COUNTIF('12月'!CP30:CQ30,"六本木ー夜勤")+COUNTIF('12月'!CU30:CV30,"六本木ー夜勤")+COUNTIF('12月'!CZ30:DA30,"六本木ー夜勤")+COUNTIF('12月'!DE30:DF30,"六本木ー夜勤")+COUNTIF('12月'!DJ30:DK30,"六本木ー夜勤")+COUNTIF('12月'!DO30:DP30,"六本木ー夜勤")+COUNTIF('12月'!DT30:DU30,"六本木ー夜勤")+COUNTIF('12月'!DY30:DZ30,"六本木ー夜勤")+COUNTIF('12月'!ED30:EE30,"六本木ー夜勤")+COUNTIF('12月'!EI30:EJ30,"六本木ー夜勤")+COUNTIF('12月'!EN30:EO30,"六本木ー夜勤")+COUNTIF('12月'!ES30:ET30,"六本木ー夜勤")</f>
        <v>0</v>
      </c>
      <c r="K439" s="76">
        <f t="shared" si="136"/>
        <v>0</v>
      </c>
      <c r="L439" s="76">
        <f>COUNTIF('12月'!D30:E30,L$411)+COUNTIF('12月'!I30:J30,L$411)+COUNTIF('12月'!N30:O30,L$411)+COUNTIF('12月'!S30:T30,L$411)+COUNTIF('12月'!X30:Y30,L$411)+COUNTIF('12月'!AC30:AD30,L$411)+COUNTIF('12月'!AH30:AI30,L$411)+COUNTIF('12月'!AM30:AN30,L$411)+COUNTIF('12月'!AR30:AS30,L$411)+COUNTIF('12月'!AW30:AX30,L$411)+COUNTIF('12月'!BB30:BC30,L$411)+COUNTIF('12月'!BG30:BH30,L$411)+COUNTIF('12月'!BL30:BM30,L$411)+COUNTIF('12月'!BQ30:BR30,L$411)+COUNTIF('12月'!BV30:BW30,L$411)+COUNTIF('12月'!CA30:CB30,L$411)+COUNTIF('12月'!CF30:CG30,L$411)+COUNTIF('12月'!CK30:CL30,L$411)+COUNTIF('12月'!CP30:CQ30,L$411)+COUNTIF('12月'!CU30:CV30,L$411)+COUNTIF('12月'!CZ30:DA30,L$411)+COUNTIF('12月'!DE30:DF30,L$411)+COUNTIF('12月'!DJ30:DK30,L$411)+COUNTIF('12月'!DO30:DP30,L$411)+COUNTIF('12月'!DT30:DU30,L$411)+COUNTIF('12月'!DY30:DZ30,L$411)+COUNTIF('12月'!ED30:EE30,L$411)+COUNTIF('12月'!EI30:EJ30,L$411)+COUNTIF('12月'!EN30:EO30,L$411)+COUNTIF('12月'!ES30:ET30,L$411)</f>
        <v>0</v>
      </c>
      <c r="M439" s="76">
        <f t="shared" si="137"/>
        <v>0</v>
      </c>
      <c r="N439" s="76">
        <f>COUNTIF('12月'!D30:E30,N$411)+COUNTIF('12月'!I30:J30,N$411)+COUNTIF('12月'!N30:O30,N$411)+COUNTIF('12月'!S30:T30,N$411)+COUNTIF('12月'!X30:Y30,N$411)+COUNTIF('12月'!AC30:AD30,N$411)+COUNTIF('12月'!AH30:AI30,N$411)+COUNTIF('12月'!AM30:AN30,N$411)+COUNTIF('12月'!AR30:AS30,N$411)+COUNTIF('12月'!AW30:AX30,N$411)+COUNTIF('12月'!BB30:BC30,N$411)+COUNTIF('12月'!BG30:BH30,N$411)+COUNTIF('12月'!BL30:BM30,N$411)+COUNTIF('12月'!BQ30:BR30,N$411)+COUNTIF('12月'!BV30:BW30,N$411)+COUNTIF('12月'!CA30:CB30,N$411)+COUNTIF('12月'!CF30:CG30,N$411)+COUNTIF('12月'!CK30:CL30,N$411)+COUNTIF('12月'!CP30:CQ30,N$411)+COUNTIF('12月'!CU30:CV30,N$411)+COUNTIF('12月'!CZ30:DA30,N$411)+COUNTIF('12月'!DE30:DF30,N$411)+COUNTIF('12月'!DJ30:DK30,N$411)+COUNTIF('12月'!DO30:DP30,N$411)+COUNTIF('12月'!DT30:DU30,N$411)+COUNTIF('12月'!DY30:DZ30,N$411)+COUNTIF('12月'!ED30:EE30,N$411)+COUNTIF('12月'!EI30:EJ30,N$411)+COUNTIF('12月'!EN30:EO30,N$411)+COUNTIF('12月'!ES30:ET30,N$411)+COUNTIF('12月'!D30:E30,"三軒茶屋－夜勤")+COUNTIF('12月'!I30:J30,"三軒茶屋－夜勤")+COUNTIF('12月'!N30:O30,"三軒茶屋－夜勤")+COUNTIF('12月'!S30:T30,"三軒茶屋－夜勤")+COUNTIF('12月'!X30:Y30,"三軒茶屋－夜勤")+COUNTIF('12月'!AC30:AD30,"三軒茶屋－夜勤")+COUNTIF('12月'!AH30:AI30,"三軒茶屋－夜勤")+COUNTIF('12月'!AM30:AN30,"三軒茶屋－夜勤")+COUNTIF('12月'!AR30:AS30,"三軒茶屋－夜勤")+COUNTIF('12月'!AW30:AX30,"三軒茶屋－夜勤")+COUNTIF('12月'!BB30:BC30,"三軒茶屋－夜勤")+COUNTIF('12月'!BG30:BH30,"三軒茶屋－夜勤")+COUNTIF('12月'!BL30:BM30,"三軒茶屋－夜勤")+COUNTIF('12月'!BQ30:BR30,"三軒茶屋－夜勤")+COUNTIF('12月'!BV30:BW30,"三軒茶屋－夜勤")+COUNTIF('12月'!CA30:CB30,"三軒茶屋－夜勤")+COUNTIF('12月'!CF30:CG30,"三軒茶屋－夜勤")+COUNTIF('12月'!CK30:CL30,"三軒茶屋－夜勤")+COUNTIF('12月'!CP30:CQ30,"三軒茶屋－夜勤")+COUNTIF('12月'!CU30:CV30,"三軒茶屋－夜勤")+COUNTIF('12月'!CZ30:DA30,"三軒茶屋－夜勤")+COUNTIF('12月'!DE30:DF30,"三軒茶屋－夜勤")+COUNTIF('12月'!DJ30:DK30,"三軒茶屋－夜勤")+COUNTIF('12月'!DO30:DP30,"三軒茶屋－夜勤")+COUNTIF('12月'!DT30:DU30,"三軒茶屋－夜勤")+COUNTIF('12月'!DY30:DZ30,"三軒茶屋－夜勤")+COUNTIF('12月'!ED30:EE30,"三軒茶屋－夜勤")+COUNTIF('12月'!EI30:EJ30,"三軒茶屋－夜勤")+COUNTIF('12月'!EN30:EO30,"三軒茶屋－夜勤")+COUNTIF('12月'!ES30:ET30,"三軒茶屋－夜勤")</f>
        <v>0</v>
      </c>
      <c r="O439" s="76">
        <f t="shared" si="138"/>
        <v>0</v>
      </c>
      <c r="P439" s="76">
        <f>COUNTIF('12月'!D30:E30,P$411)+COUNTIF('12月'!I30:J30,P$411)+COUNTIF('12月'!N30:O30,P$411)+COUNTIF('12月'!S30:T30,P$411)+COUNTIF('12月'!X30:Y30,P$411)+COUNTIF('12月'!AC30:AD30,P$411)+COUNTIF('12月'!AH30:AI30,P$411)+COUNTIF('12月'!AM30:AN30,P$411)+COUNTIF('12月'!AR30:AS30,P$411)+COUNTIF('12月'!AW30:AX30,P$411)+COUNTIF('12月'!BB30:BC30,P$411)+COUNTIF('12月'!BG30:BH30,P$411)+COUNTIF('12月'!BL30:BM30,P$411)+COUNTIF('12月'!BQ30:BR30,P$411)+COUNTIF('12月'!BV30:BW30,P$411)+COUNTIF('12月'!CA30:CB30,P$411)+COUNTIF('12月'!CF30:CG30,P$411)+COUNTIF('12月'!CK30:CL30,P$411)+COUNTIF('12月'!CP30:CQ30,P$411)+COUNTIF('12月'!CU30:CV30,P$411)+COUNTIF('12月'!CZ30:DA30,P$411)+COUNTIF('12月'!DE30:DF30,P$411)+COUNTIF('12月'!DJ30:DK30,P$411)+COUNTIF('12月'!DO30:DP30,P$411)+COUNTIF('12月'!DT30:DU30,P$411)+COUNTIF('12月'!DY30:DZ30,P$411)+COUNTIF('12月'!ED30:EE30,P$411)+COUNTIF('12月'!EI30:EJ30,P$411)+COUNTIF('12月'!EN30:EO30,P$411)+COUNTIF('12月'!ES30:ET30,P$411)+COUNTIF('12月'!D30:E30,"荻窪ー夜勤")+COUNTIF('12月'!I30:J30,"荻窪ー夜勤")+COUNTIF('12月'!N30:O30,"荻窪ー夜勤")+COUNTIF('12月'!S30:T30,"荻窪ー夜勤")+COUNTIF('12月'!X30:Y30,"荻窪ー夜勤")+COUNTIF('12月'!AC30:AD30,"荻窪ー夜勤")+COUNTIF('12月'!AH30:AI30,"荻窪ー夜勤")+COUNTIF('12月'!AM30:AN30,"荻窪ー夜勤")+COUNTIF('12月'!AR30:AS30,"荻窪ー夜勤")+COUNTIF('12月'!AW30:AX30,"荻窪ー夜勤")+COUNTIF('12月'!BB30:BC30,"荻窪ー夜勤")+COUNTIF('12月'!BG30:BH30,"荻窪ー夜勤")+COUNTIF('12月'!BL30:BM30,"荻窪ー夜勤")+COUNTIF('12月'!BQ30:BR30,"荻窪ー夜勤")+COUNTIF('12月'!BV30:BW30,"荻窪ー夜勤")+COUNTIF('12月'!CA30:CB30,"荻窪ー夜勤")+COUNTIF('12月'!CF30:CG30,"荻窪ー夜勤")+COUNTIF('12月'!CK30:CL30,"荻窪ー夜勤")+COUNTIF('12月'!CP30:CQ30,"荻窪ー夜勤")+COUNTIF('12月'!CU30:CV30,"荻窪ー夜勤")+COUNTIF('12月'!CZ30:DA30,"荻窪ー夜勤")+COUNTIF('12月'!DE30:DF30,"荻窪ー夜勤")+COUNTIF('12月'!DJ30:DK30,"荻窪ー夜勤")+COUNTIF('12月'!DO30:DP30,"荻窪ー夜勤")+COUNTIF('12月'!DT30:DU30,"荻窪ー夜勤")+COUNTIF('12月'!DY30:DZ30,"荻窪ー夜勤")+COUNTIF('12月'!ED30:EE30,"荻窪ー夜勤")+COUNTIF('12月'!EI30:EJ30,"荻窪ー夜勤")+COUNTIF('12月'!EN30:EO30,"荻窪ー夜勤")+COUNTIF('12月'!ES30:ET30,"荻窪ー夜勤")</f>
        <v>0</v>
      </c>
      <c r="Q439" s="76">
        <f t="shared" si="139"/>
        <v>0</v>
      </c>
      <c r="R439" s="76">
        <f>COUNTIF('12月'!D30:E30,R$411)+COUNTIF('12月'!I30:J30,R$411)+COUNTIF('12月'!N30:O30,R$411)+COUNTIF('12月'!S30:T30,R$411)+COUNTIF('12月'!X30:Y30,R$411)+COUNTIF('12月'!AC30:AD30,R$411)+COUNTIF('12月'!AH30:AI30,R$411)+COUNTIF('12月'!AM30:AN30,R$411)+COUNTIF('12月'!AR30:AS30,R$411)+COUNTIF('12月'!AW30:AX30,R$411)+COUNTIF('12月'!BB30:BC30,R$411)+COUNTIF('12月'!BG30:BH30,R$411)+COUNTIF('12月'!BL30:BM30,R$411)+COUNTIF('12月'!BQ30:BR30,R$411)+COUNTIF('12月'!BV30:BW30,R$411)+COUNTIF('12月'!CA30:CB30,R$411)+COUNTIF('12月'!CF30:CG30,R$411)+COUNTIF('12月'!CK30:CL30,R$411)+COUNTIF('12月'!CP30:CQ30,R$411)+COUNTIF('12月'!CU30:CV30,R$411)+COUNTIF('12月'!CZ30:DA30,R$411)+COUNTIF('12月'!DE30:DF30,R$411)+COUNTIF('12月'!DJ30:DK30,R$411)+COUNTIF('12月'!DO30:DP30,R$411)+COUNTIF('12月'!DT30:DU30,R$411)+COUNTIF('12月'!DY30:DZ30,R$411)+COUNTIF('12月'!ED30:EE30,R$411)+COUNTIF('12月'!EI30:EJ30,R$411)+COUNTIF('12月'!EN30:EO30,R$411)+COUNTIF('12月'!ES30:ET30,R$411)</f>
        <v>0</v>
      </c>
      <c r="S439" s="76">
        <f t="shared" si="140"/>
        <v>0</v>
      </c>
      <c r="T439" s="76">
        <f>COUNTIF('12月'!D30:E30,T$411)+COUNTIF('12月'!I30:J30,T$411)+COUNTIF('12月'!N30:O30,T$411)+COUNTIF('12月'!S30:T30,T$411)+COUNTIF('12月'!X30:Y30,T$411)+COUNTIF('12月'!AC30:AD30,T$411)+COUNTIF('12月'!AH30:AI30,T$411)+COUNTIF('12月'!AM30:AN30,T$411)+COUNTIF('12月'!AR30:AS30,T$411)+COUNTIF('12月'!AW30:AX30,T$411)+COUNTIF('12月'!BB30:BC30,T$411)+COUNTIF('12月'!BG30:BH30,T$411)+COUNTIF('12月'!BL30:BM30,T$411)+COUNTIF('12月'!BQ30:BR30,T$411)+COUNTIF('12月'!BV30:BW30,T$411)+COUNTIF('12月'!CA30:CB30,T$411)+COUNTIF('12月'!CF30:CG30,T$411)+COUNTIF('12月'!CK30:CL30,T$411)+COUNTIF('12月'!CP30:CQ30,T$411)+COUNTIF('12月'!CU30:CV30,T$411)+COUNTIF('12月'!CZ30:DA30,T$411)+COUNTIF('12月'!DE30:DF30,T$411)+COUNTIF('12月'!DJ30:DK30,T$411)+COUNTIF('12月'!DO30:DP30,T$411)+COUNTIF('12月'!DT30:DU30,T$411)+COUNTIF('12月'!DY30:DZ30,T$411)+COUNTIF('12月'!ED30:EE30,T$411)+COUNTIF('12月'!EI30:EJ30,T$411)+COUNTIF('12月'!EN30:EO30,T$411)+COUNTIF('12月'!ES30:ET30,T$411)</f>
        <v>0</v>
      </c>
      <c r="U439" s="76">
        <f t="shared" si="141"/>
        <v>0</v>
      </c>
      <c r="V439" s="76">
        <f>COUNTIF('12月'!D30:E30,V$411)+COUNTIF('12月'!I30:J30,V$411)+COUNTIF('12月'!N30:O30,V$411)+COUNTIF('12月'!S30:T30,V$411)+COUNTIF('12月'!X30:Y30,V$411)+COUNTIF('12月'!AC30:AD30,V$411)+COUNTIF('12月'!AH30:AI30,V$411)+COUNTIF('12月'!AM30:AN30,V$411)+COUNTIF('12月'!AR30:AS30,V$411)+COUNTIF('12月'!AW30:AX30,V$411)+COUNTIF('12月'!BB30:BC30,V$411)+COUNTIF('12月'!BG30:BH30,V$411)+COUNTIF('12月'!BL30:BM30,V$411)+COUNTIF('12月'!BQ30:BR30,V$411)+COUNTIF('12月'!BV30:BW30,V$411)+COUNTIF('12月'!CA30:CB30,V$411)+COUNTIF('12月'!CF30:CG30,V$411)+COUNTIF('12月'!CK30:CL30,V$411)+COUNTIF('12月'!CP30:CQ30,V$411)+COUNTIF('12月'!CU30:CV30,V$411)+COUNTIF('12月'!CZ30:DA30,V$411)+COUNTIF('12月'!DE30:DF30,V$411)+COUNTIF('12月'!DJ30:DK30,V$411)+COUNTIF('12月'!DO30:DP30,V$411)+COUNTIF('12月'!DT30:DU30,V$411)+COUNTIF('12月'!DY30:DZ30,V$411)+COUNTIF('12月'!ED30:EE30,V$411)+COUNTIF('12月'!EI30:EJ30,V$411)+COUNTIF('12月'!EN30:EO30,V$411)+COUNTIF('12月'!ES30:ET30,V$411)</f>
        <v>0</v>
      </c>
      <c r="W439" s="76">
        <f t="shared" si="142"/>
        <v>0</v>
      </c>
      <c r="X439" s="76">
        <f>COUNTIF('12月'!D30:E30,X$411)+COUNTIF('12月'!I30:J30,X$411)+COUNTIF('12月'!N30:O30,X$411)+COUNTIF('12月'!S30:T30,X$411)+COUNTIF('12月'!X30:Y30,X$411)+COUNTIF('12月'!AC30:AD30,X$411)+COUNTIF('12月'!AH30:AI30,X$411)+COUNTIF('12月'!AM30:AN30,X$411)+COUNTIF('12月'!AR30:AS30,X$411)+COUNTIF('12月'!AW30:AX30,X$411)+COUNTIF('12月'!BB30:BC30,X$411)+COUNTIF('12月'!BG30:BH30,X$411)+COUNTIF('12月'!BL30:BM30,X$411)+COUNTIF('12月'!BQ30:BR30,X$411)+COUNTIF('12月'!BV30:BW30,X$411)+COUNTIF('12月'!CA30:CB30,X$411)+COUNTIF('12月'!CF30:CG30,X$411)+COUNTIF('12月'!CK30:CL30,X$411)+COUNTIF('12月'!CP30:CQ30,X$411)+COUNTIF('12月'!CU30:CV30,X$411)+COUNTIF('12月'!CZ30:DA30,X$411)+COUNTIF('12月'!DE30:DF30,X$411)+COUNTIF('12月'!DJ30:DK30,X$411)+COUNTIF('12月'!DO30:DP30,X$411)+COUNTIF('12月'!DT30:DU30,X$411)+COUNTIF('12月'!DY30:DZ30,X$411)+COUNTIF('12月'!ED30:EE30,X$411)+COUNTIF('12月'!EI30:EJ30,X$411)+COUNTIF('12月'!EN30:EO30,X$411)+COUNTIF('12月'!ES30:ET30,X$411)</f>
        <v>0</v>
      </c>
      <c r="Y439" s="76">
        <f t="shared" si="143"/>
        <v>0</v>
      </c>
    </row>
    <row r="440" spans="1:25" ht="18" customHeight="1">
      <c r="A440" s="76">
        <v>28</v>
      </c>
      <c r="B440" s="76">
        <f>COUNTIF('12月'!D31:E31,B$411)+COUNTIF('12月'!I31:J31,B$411)+COUNTIF('12月'!N31:O31,B$411)+COUNTIF('12月'!S31:T31,B$411)+COUNTIF('12月'!X31:Y31,B$411)+COUNTIF('12月'!AC31:AD31,B$411)+COUNTIF('12月'!AH31:AI31,B$411)+COUNTIF('12月'!AM31:AN31,B$411)+COUNTIF('12月'!AR31:AS31,B$411)+COUNTIF('12月'!AW31:AX31,B$411)+COUNTIF('12月'!BB31:BC31,B$411)+COUNTIF('12月'!BG31:BH31,B$411)+COUNTIF('12月'!BL31:BM31,B$411)+COUNTIF('12月'!BQ31:BR31,B$411)+COUNTIF('12月'!BV31:BW31,B$411)+COUNTIF('12月'!CA31:CB31,B$411)+COUNTIF('12月'!CF31:CG31,B$411)+COUNTIF('12月'!CK31:CL31,B$411)+COUNTIF('12月'!CP31:CQ31,B$411)+COUNTIF('12月'!CU31:CV31,B$411)+COUNTIF('12月'!CZ31:DA31,B$411)+COUNTIF('12月'!DE31:DF31,B$411)+COUNTIF('12月'!DJ31:DK31,B$411)+COUNTIF('12月'!DO31:DP31,B$411)+COUNTIF('12月'!DT31:DU31,B$411)+COUNTIF('12月'!DY31:DZ31,B$411)+COUNTIF('12月'!ED31:EE31,B$411)+COUNTIF('12月'!EI31:EJ31,B$411)+COUNTIF('12月'!EN31:EO31,B$411)+COUNTIF('12月'!ES31:ET31,B$411)</f>
        <v>0</v>
      </c>
      <c r="C440" s="76">
        <f t="shared" si="132"/>
        <v>0</v>
      </c>
      <c r="D440" s="76">
        <f>COUNTIF('12月'!D31:E31,D$411)+COUNTIF('12月'!I31:J31,D$411)+COUNTIF('12月'!N31:O31,D$411)+COUNTIF('12月'!S31:T31,D$411)+COUNTIF('12月'!X31:Y31,D$411)+COUNTIF('12月'!AC31:AD31,D$411)+COUNTIF('12月'!AH31:AI31,D$411)+COUNTIF('12月'!AM31:AN31,D$411)+COUNTIF('12月'!AR31:AS31,D$411)+COUNTIF('12月'!AW31:AX31,D$411)+COUNTIF('12月'!BB31:BC31,D$411)+COUNTIF('12月'!BG31:BH31,D$411)+COUNTIF('12月'!BL31:BM31,D$411)+COUNTIF('12月'!BQ31:BR31,D$411)+COUNTIF('12月'!BV31:BW31,D$411)+COUNTIF('12月'!CA31:CB31,D$411)+COUNTIF('12月'!CF31:CG31,D$411)+COUNTIF('12月'!CK31:CL31,D$411)+COUNTIF('12月'!CP31:CQ31,D$411)+COUNTIF('12月'!CU31:CV31,D$411)+COUNTIF('12月'!CZ31:DA31,D$411)+COUNTIF('12月'!DE31:DF31,D$411)+COUNTIF('12月'!DJ31:DK31,D$411)+COUNTIF('12月'!DO31:DP31,D$411)+COUNTIF('12月'!DT31:DU31,D$411)+COUNTIF('12月'!DY31:DZ31,D$411)+COUNTIF('12月'!ED31:EE31,D$411)+COUNTIF('12月'!EI31:EJ31,D$411)+COUNTIF('12月'!EN31:EO31,D$411)+COUNTIF('12月'!ES31:ET31,D$411)</f>
        <v>0</v>
      </c>
      <c r="E440" s="76">
        <f t="shared" si="133"/>
        <v>0</v>
      </c>
      <c r="F440" s="76">
        <f>COUNTIF('12月'!D31:E31,F$411)+COUNTIF('12月'!I31:J31,F$411)+COUNTIF('12月'!N31:O31,F$411)+COUNTIF('12月'!S31:T31,F$411)+COUNTIF('12月'!X31:Y31,F$411)+COUNTIF('12月'!AC31:AD31,F$411)+COUNTIF('12月'!AH31:AI31,F$411)+COUNTIF('12月'!AM31:AN31,F$411)+COUNTIF('12月'!AR31:AS31,F$411)+COUNTIF('12月'!AW31:AX31,F$411)+COUNTIF('12月'!BB31:BC31,F$411)+COUNTIF('12月'!BG31:BH31,F$411)+COUNTIF('12月'!BL31:BM31,F$411)+COUNTIF('12月'!BQ31:BR31,F$411)+COUNTIF('12月'!BV31:BW31,F$411)+COUNTIF('12月'!CA31:CB31,F$411)+COUNTIF('12月'!CF31:CG31,F$411)+COUNTIF('12月'!CK31:CL31,F$411)+COUNTIF('12月'!CP31:CQ31,F$411)+COUNTIF('12月'!CU31:CV31,F$411)+COUNTIF('12月'!CZ31:DA31,F$411)+COUNTIF('12月'!DE31:DF31,F$411)+COUNTIF('12月'!DJ31:DK31,F$411)+COUNTIF('12月'!DO31:DP31,F$411)+COUNTIF('12月'!DT31:DU31,F$411)+COUNTIF('12月'!DY31:DZ31,F$411)+COUNTIF('12月'!ED31:EE31,F$411)+COUNTIF('12月'!EI31:EJ31,F$411)+COUNTIF('12月'!EN31:EO31,F$411)+COUNTIF('12月'!ES31:ET31,F$411)</f>
        <v>0</v>
      </c>
      <c r="G440" s="76">
        <f t="shared" si="134"/>
        <v>0</v>
      </c>
      <c r="H440" s="76">
        <f>COUNTIF('12月'!D31:E31,H$411)+COUNTIF('12月'!I31:J31,H$411)+COUNTIF('12月'!N31:O31,H$411)+COUNTIF('12月'!S31:T31,H$411)+COUNTIF('12月'!X31:Y31,H$411)+COUNTIF('12月'!AC31:AD31,H$411)+COUNTIF('12月'!AH31:AI31,H$411)+COUNTIF('12月'!AM31:AN31,H$411)+COUNTIF('12月'!AR31:AS31,H$411)+COUNTIF('12月'!AW31:AX31,H$411)+COUNTIF('12月'!BB31:BC31,H$411)+COUNTIF('12月'!BG31:BH31,H$411)+COUNTIF('12月'!BL31:BM31,H$411)+COUNTIF('12月'!BQ31:BR31,H$411)+COUNTIF('12月'!BV31:BW31,H$411)+COUNTIF('12月'!CA31:CB31,H$411)+COUNTIF('12月'!CF31:CG31,H$411)+COUNTIF('12月'!CK31:CL31,H$411)+COUNTIF('12月'!CP31:CQ31,H$411)+COUNTIF('12月'!CU31:CV31,H$411)+COUNTIF('12月'!CZ31:DA31,H$411)+COUNTIF('12月'!DE31:DF31,H$411)+COUNTIF('12月'!DJ31:DK31,H$411)+COUNTIF('12月'!DO31:DP31,H$411)+COUNTIF('12月'!DT31:DU31,H$411)+COUNTIF('12月'!DY31:DZ31,H$411)+COUNTIF('12月'!ED31:EE31,H$411)+COUNTIF('12月'!EI31:EJ31,H$411)+COUNTIF('12月'!EN31:EO31,H$411)+COUNTIF('12月'!ES31:ET31,H$411)+COUNTIF('12月'!D31:E31,"渋谷-夜勤")+COUNTIF('12月'!I31:J31,"渋谷-夜勤")+COUNTIF('12月'!N31:O31,"渋谷-夜勤")+COUNTIF('12月'!S31:T31,"渋谷-夜勤")+COUNTIF('12月'!X31:Y31,"渋谷-夜勤")+COUNTIF('12月'!AC31:AD31,"渋谷-夜勤")+COUNTIF('12月'!AH31:AI31,"渋谷-夜勤")+COUNTIF('12月'!AM31:AN31,"渋谷-夜勤")+COUNTIF('12月'!AR31:AS31,"渋谷-夜勤")+COUNTIF('12月'!AW31:AX31,"渋谷-夜勤")+COUNTIF('12月'!BB31:BC31,"渋谷-夜勤")+COUNTIF('12月'!BG31:BH31,"渋谷-夜勤")+COUNTIF('12月'!BL31:BM31,"渋谷-夜勤")+COUNTIF('12月'!BQ31:BR31,"渋谷-夜勤")+COUNTIF('12月'!BV31:BW31,"渋谷-夜勤")+COUNTIF('12月'!CA31:CB31,"渋谷-夜勤")+COUNTIF('12月'!CF31:CG31,"渋谷-夜勤")+COUNTIF('12月'!CK31:CL31,"渋谷-夜勤")+COUNTIF('12月'!CP31:CQ31,"渋谷-夜勤")+COUNTIF('12月'!CU31:CV31,"渋谷-夜勤")+COUNTIF('12月'!CZ31:DA31,"渋谷-夜勤")+COUNTIF('12月'!DE31:DF31,"渋谷-夜勤")+COUNTIF('12月'!DJ31:DK31,"渋谷-夜勤")+COUNTIF('12月'!DO31:DP31,"渋谷-夜勤")+COUNTIF('12月'!DT31:DU31,"渋谷-夜勤")+COUNTIF('12月'!DY31:DZ31,"渋谷-夜勤")+COUNTIF('12月'!ED31:EE31,"渋谷-夜勤")+COUNTIF('12月'!EI31:EJ31,"渋谷-夜勤")+COUNTIF('12月'!EN31:EO31,"渋谷-夜勤")+COUNTIF('12月'!ES31:ET31,"渋谷-夜勤")</f>
        <v>0</v>
      </c>
      <c r="I440" s="76">
        <f t="shared" si="135"/>
        <v>0</v>
      </c>
      <c r="J440" s="76">
        <f>COUNTIF('12月'!D31:E31,J$411)+COUNTIF('12月'!I31:J31,J$411)+COUNTIF('12月'!N31:O31,J$411)+COUNTIF('12月'!S31:T31,J$411)+COUNTIF('12月'!X31:Y31,J$411)+COUNTIF('12月'!AC31:AD31,J$411)+COUNTIF('12月'!AH31:AI31,J$411)+COUNTIF('12月'!AM31:AN31,J$411)+COUNTIF('12月'!AR31:AS31,J$411)+COUNTIF('12月'!AW31:AX31,J$411)+COUNTIF('12月'!BB31:BC31,J$411)+COUNTIF('12月'!BG31:BH31,J$411)+COUNTIF('12月'!BL31:BM31,J$411)+COUNTIF('12月'!BQ31:BR31,J$411)+COUNTIF('12月'!BV31:BW31,J$411)+COUNTIF('12月'!CA31:CB31,J$411)+COUNTIF('12月'!CF31:CG31,J$411)+COUNTIF('12月'!CK31:CL31,J$411)+COUNTIF('12月'!CP31:CQ31,J$411)+COUNTIF('12月'!CU31:CV31,J$411)+COUNTIF('12月'!CZ31:DA31,J$411)+COUNTIF('12月'!DE31:DF31,J$411)+COUNTIF('12月'!DJ31:DK31,J$411)+COUNTIF('12月'!DO31:DP31,J$411)+COUNTIF('12月'!DT31:DU31,J$411)+COUNTIF('12月'!DY31:DZ31,J$411)+COUNTIF('12月'!ED31:EE31,J$411)+COUNTIF('12月'!EI31:EJ31,J$411)+COUNTIF('12月'!EN31:EO31,J$411)+COUNTIF('12月'!ES31:ET31,J$411)+COUNTIF('12月'!D31:E31,"六本木-夜勤")+COUNTIF('12月'!I31:J31,"六本木-夜勤")+COUNTIF('12月'!N31:O31,"六本木-夜勤")+COUNTIF('12月'!S31:T31,"六本木-夜勤")+COUNTIF('12月'!X31:Y31,"六本木-夜勤")+COUNTIF('12月'!AC31:AD31,"六本木-夜勤")+COUNTIF('12月'!AH31:AI31,"六本木-夜勤")+COUNTIF('12月'!AM31:AN31,"六本木-夜勤")+COUNTIF('12月'!AR31:AS31,"六本木-夜勤")+COUNTIF('12月'!AW31:AX31,"六本木-夜勤")+COUNTIF('12月'!BB31:BC31,"六本木-夜勤")+COUNTIF('12月'!BG31:BH31,"六本木-夜勤")+COUNTIF('12月'!BL31:BM31,"六本木-夜勤")+COUNTIF('12月'!BQ31:BR31,"六本木-夜勤")+COUNTIF('12月'!BV31:BW31,"六本木-夜勤")+COUNTIF('12月'!CA31:CB31,"六本木-夜勤")+COUNTIF('12月'!CF31:CG31,"六本木-夜勤")+COUNTIF('12月'!CK31:CL31,"六本木-夜勤")+COUNTIF('12月'!CP31:CQ31,"六本木-夜勤")+COUNTIF('12月'!CU31:CV31,"六本木-夜勤")+COUNTIF('12月'!CZ31:DA31,"六本木-夜勤")+COUNTIF('12月'!DE31:DF31,"六本木-夜勤")+COUNTIF('12月'!DJ31:DK31,"六本木-夜勤")+COUNTIF('12月'!DO31:DP31,"六本木-夜勤")+COUNTIF('12月'!DT31:DU31,"六本木-夜勤")+COUNTIF('12月'!DY31:DZ31,"六本木-夜勤")+COUNTIF('12月'!ED31:EE31,"六本木-夜勤")+COUNTIF('12月'!EI31:EJ31,"六本木-夜勤")+COUNTIF('12月'!EN31:EO31,"六本木-夜勤")+COUNTIF('12月'!ES31:ET31,"六本木-夜勤")+COUNTIF('12月'!D31:E31,"六本木ー夜勤")+COUNTIF('12月'!I31:J31,"六本木ー夜勤")+COUNTIF('12月'!N31:O31,"六本木ー夜勤")+COUNTIF('12月'!S31:T31,"六本木ー夜勤")+COUNTIF('12月'!X31:Y31,"六本木ー夜勤")+COUNTIF('12月'!AC31:AD31,"六本木ー夜勤")+COUNTIF('12月'!AH31:AI31,"六本木ー夜勤")+COUNTIF('12月'!AM31:AN31,"六本木ー夜勤")+COUNTIF('12月'!AR31:AS31,"六本木ー夜勤")+COUNTIF('12月'!AW31:AX31,"六本木ー夜勤")+COUNTIF('12月'!BB31:BC31,"六本木ー夜勤")+COUNTIF('12月'!BG31:BH31,"六本木ー夜勤")+COUNTIF('12月'!BL31:BM31,"六本木ー夜勤")+COUNTIF('12月'!BQ31:BR31,"六本木ー夜勤")+COUNTIF('12月'!BV31:BW31,"六本木ー夜勤")+COUNTIF('12月'!CA31:CB31,"六本木ー夜勤")+COUNTIF('12月'!CF31:CG31,"六本木ー夜勤")+COUNTIF('12月'!CK31:CL31,"六本木ー夜勤")+COUNTIF('12月'!CP31:CQ31,"六本木ー夜勤")+COUNTIF('12月'!CU31:CV31,"六本木ー夜勤")+COUNTIF('12月'!CZ31:DA31,"六本木ー夜勤")+COUNTIF('12月'!DE31:DF31,"六本木ー夜勤")+COUNTIF('12月'!DJ31:DK31,"六本木ー夜勤")+COUNTIF('12月'!DO31:DP31,"六本木ー夜勤")+COUNTIF('12月'!DT31:DU31,"六本木ー夜勤")+COUNTIF('12月'!DY31:DZ31,"六本木ー夜勤")+COUNTIF('12月'!ED31:EE31,"六本木ー夜勤")+COUNTIF('12月'!EI31:EJ31,"六本木ー夜勤")+COUNTIF('12月'!EN31:EO31,"六本木ー夜勤")+COUNTIF('12月'!ES31:ET31,"六本木ー夜勤")</f>
        <v>0</v>
      </c>
      <c r="K440" s="76">
        <f t="shared" si="136"/>
        <v>0</v>
      </c>
      <c r="L440" s="76">
        <f>COUNTIF('12月'!D31:E31,L$411)+COUNTIF('12月'!I31:J31,L$411)+COUNTIF('12月'!N31:O31,L$411)+COUNTIF('12月'!S31:T31,L$411)+COUNTIF('12月'!X31:Y31,L$411)+COUNTIF('12月'!AC31:AD31,L$411)+COUNTIF('12月'!AH31:AI31,L$411)+COUNTIF('12月'!AM31:AN31,L$411)+COUNTIF('12月'!AR31:AS31,L$411)+COUNTIF('12月'!AW31:AX31,L$411)+COUNTIF('12月'!BB31:BC31,L$411)+COUNTIF('12月'!BG31:BH31,L$411)+COUNTIF('12月'!BL31:BM31,L$411)+COUNTIF('12月'!BQ31:BR31,L$411)+COUNTIF('12月'!BV31:BW31,L$411)+COUNTIF('12月'!CA31:CB31,L$411)+COUNTIF('12月'!CF31:CG31,L$411)+COUNTIF('12月'!CK31:CL31,L$411)+COUNTIF('12月'!CP31:CQ31,L$411)+COUNTIF('12月'!CU31:CV31,L$411)+COUNTIF('12月'!CZ31:DA31,L$411)+COUNTIF('12月'!DE31:DF31,L$411)+COUNTIF('12月'!DJ31:DK31,L$411)+COUNTIF('12月'!DO31:DP31,L$411)+COUNTIF('12月'!DT31:DU31,L$411)+COUNTIF('12月'!DY31:DZ31,L$411)+COUNTIF('12月'!ED31:EE31,L$411)+COUNTIF('12月'!EI31:EJ31,L$411)+COUNTIF('12月'!EN31:EO31,L$411)+COUNTIF('12月'!ES31:ET31,L$411)</f>
        <v>0</v>
      </c>
      <c r="M440" s="76">
        <f t="shared" si="137"/>
        <v>0</v>
      </c>
      <c r="N440" s="76">
        <f>COUNTIF('12月'!D31:E31,N$411)+COUNTIF('12月'!I31:J31,N$411)+COUNTIF('12月'!N31:O31,N$411)+COUNTIF('12月'!S31:T31,N$411)+COUNTIF('12月'!X31:Y31,N$411)+COUNTIF('12月'!AC31:AD31,N$411)+COUNTIF('12月'!AH31:AI31,N$411)+COUNTIF('12月'!AM31:AN31,N$411)+COUNTIF('12月'!AR31:AS31,N$411)+COUNTIF('12月'!AW31:AX31,N$411)+COUNTIF('12月'!BB31:BC31,N$411)+COUNTIF('12月'!BG31:BH31,N$411)+COUNTIF('12月'!BL31:BM31,N$411)+COUNTIF('12月'!BQ31:BR31,N$411)+COUNTIF('12月'!BV31:BW31,N$411)+COUNTIF('12月'!CA31:CB31,N$411)+COUNTIF('12月'!CF31:CG31,N$411)+COUNTIF('12月'!CK31:CL31,N$411)+COUNTIF('12月'!CP31:CQ31,N$411)+COUNTIF('12月'!CU31:CV31,N$411)+COUNTIF('12月'!CZ31:DA31,N$411)+COUNTIF('12月'!DE31:DF31,N$411)+COUNTIF('12月'!DJ31:DK31,N$411)+COUNTIF('12月'!DO31:DP31,N$411)+COUNTIF('12月'!DT31:DU31,N$411)+COUNTIF('12月'!DY31:DZ31,N$411)+COUNTIF('12月'!ED31:EE31,N$411)+COUNTIF('12月'!EI31:EJ31,N$411)+COUNTIF('12月'!EN31:EO31,N$411)+COUNTIF('12月'!ES31:ET31,N$411)+COUNTIF('12月'!D31:E31,"三軒茶屋－夜勤")+COUNTIF('12月'!I31:J31,"三軒茶屋－夜勤")+COUNTIF('12月'!N31:O31,"三軒茶屋－夜勤")+COUNTIF('12月'!S31:T31,"三軒茶屋－夜勤")+COUNTIF('12月'!X31:Y31,"三軒茶屋－夜勤")+COUNTIF('12月'!AC31:AD31,"三軒茶屋－夜勤")+COUNTIF('12月'!AH31:AI31,"三軒茶屋－夜勤")+COUNTIF('12月'!AM31:AN31,"三軒茶屋－夜勤")+COUNTIF('12月'!AR31:AS31,"三軒茶屋－夜勤")+COUNTIF('12月'!AW31:AX31,"三軒茶屋－夜勤")+COUNTIF('12月'!BB31:BC31,"三軒茶屋－夜勤")+COUNTIF('12月'!BG31:BH31,"三軒茶屋－夜勤")+COUNTIF('12月'!BL31:BM31,"三軒茶屋－夜勤")+COUNTIF('12月'!BQ31:BR31,"三軒茶屋－夜勤")+COUNTIF('12月'!BV31:BW31,"三軒茶屋－夜勤")+COUNTIF('12月'!CA31:CB31,"三軒茶屋－夜勤")+COUNTIF('12月'!CF31:CG31,"三軒茶屋－夜勤")+COUNTIF('12月'!CK31:CL31,"三軒茶屋－夜勤")+COUNTIF('12月'!CP31:CQ31,"三軒茶屋－夜勤")+COUNTIF('12月'!CU31:CV31,"三軒茶屋－夜勤")+COUNTIF('12月'!CZ31:DA31,"三軒茶屋－夜勤")+COUNTIF('12月'!DE31:DF31,"三軒茶屋－夜勤")+COUNTIF('12月'!DJ31:DK31,"三軒茶屋－夜勤")+COUNTIF('12月'!DO31:DP31,"三軒茶屋－夜勤")+COUNTIF('12月'!DT31:DU31,"三軒茶屋－夜勤")+COUNTIF('12月'!DY31:DZ31,"三軒茶屋－夜勤")+COUNTIF('12月'!ED31:EE31,"三軒茶屋－夜勤")+COUNTIF('12月'!EI31:EJ31,"三軒茶屋－夜勤")+COUNTIF('12月'!EN31:EO31,"三軒茶屋－夜勤")+COUNTIF('12月'!ES31:ET31,"三軒茶屋－夜勤")</f>
        <v>0</v>
      </c>
      <c r="O440" s="76">
        <f t="shared" si="138"/>
        <v>0</v>
      </c>
      <c r="P440" s="76">
        <f>COUNTIF('12月'!D31:E31,P$411)+COUNTIF('12月'!I31:J31,P$411)+COUNTIF('12月'!N31:O31,P$411)+COUNTIF('12月'!S31:T31,P$411)+COUNTIF('12月'!X31:Y31,P$411)+COUNTIF('12月'!AC31:AD31,P$411)+COUNTIF('12月'!AH31:AI31,P$411)+COUNTIF('12月'!AM31:AN31,P$411)+COUNTIF('12月'!AR31:AS31,P$411)+COUNTIF('12月'!AW31:AX31,P$411)+COUNTIF('12月'!BB31:BC31,P$411)+COUNTIF('12月'!BG31:BH31,P$411)+COUNTIF('12月'!BL31:BM31,P$411)+COUNTIF('12月'!BQ31:BR31,P$411)+COUNTIF('12月'!BV31:BW31,P$411)+COUNTIF('12月'!CA31:CB31,P$411)+COUNTIF('12月'!CF31:CG31,P$411)+COUNTIF('12月'!CK31:CL31,P$411)+COUNTIF('12月'!CP31:CQ31,P$411)+COUNTIF('12月'!CU31:CV31,P$411)+COUNTIF('12月'!CZ31:DA31,P$411)+COUNTIF('12月'!DE31:DF31,P$411)+COUNTIF('12月'!DJ31:DK31,P$411)+COUNTIF('12月'!DO31:DP31,P$411)+COUNTIF('12月'!DT31:DU31,P$411)+COUNTIF('12月'!DY31:DZ31,P$411)+COUNTIF('12月'!ED31:EE31,P$411)+COUNTIF('12月'!EI31:EJ31,P$411)+COUNTIF('12月'!EN31:EO31,P$411)+COUNTIF('12月'!ES31:ET31,P$411)+COUNTIF('12月'!D31:E31,"荻窪ー夜勤")+COUNTIF('12月'!I31:J31,"荻窪ー夜勤")+COUNTIF('12月'!N31:O31,"荻窪ー夜勤")+COUNTIF('12月'!S31:T31,"荻窪ー夜勤")+COUNTIF('12月'!X31:Y31,"荻窪ー夜勤")+COUNTIF('12月'!AC31:AD31,"荻窪ー夜勤")+COUNTIF('12月'!AH31:AI31,"荻窪ー夜勤")+COUNTIF('12月'!AM31:AN31,"荻窪ー夜勤")+COUNTIF('12月'!AR31:AS31,"荻窪ー夜勤")+COUNTIF('12月'!AW31:AX31,"荻窪ー夜勤")+COUNTIF('12月'!BB31:BC31,"荻窪ー夜勤")+COUNTIF('12月'!BG31:BH31,"荻窪ー夜勤")+COUNTIF('12月'!BL31:BM31,"荻窪ー夜勤")+COUNTIF('12月'!BQ31:BR31,"荻窪ー夜勤")+COUNTIF('12月'!BV31:BW31,"荻窪ー夜勤")+COUNTIF('12月'!CA31:CB31,"荻窪ー夜勤")+COUNTIF('12月'!CF31:CG31,"荻窪ー夜勤")+COUNTIF('12月'!CK31:CL31,"荻窪ー夜勤")+COUNTIF('12月'!CP31:CQ31,"荻窪ー夜勤")+COUNTIF('12月'!CU31:CV31,"荻窪ー夜勤")+COUNTIF('12月'!CZ31:DA31,"荻窪ー夜勤")+COUNTIF('12月'!DE31:DF31,"荻窪ー夜勤")+COUNTIF('12月'!DJ31:DK31,"荻窪ー夜勤")+COUNTIF('12月'!DO31:DP31,"荻窪ー夜勤")+COUNTIF('12月'!DT31:DU31,"荻窪ー夜勤")+COUNTIF('12月'!DY31:DZ31,"荻窪ー夜勤")+COUNTIF('12月'!ED31:EE31,"荻窪ー夜勤")+COUNTIF('12月'!EI31:EJ31,"荻窪ー夜勤")+COUNTIF('12月'!EN31:EO31,"荻窪ー夜勤")+COUNTIF('12月'!ES31:ET31,"荻窪ー夜勤")</f>
        <v>0</v>
      </c>
      <c r="Q440" s="76">
        <f t="shared" si="139"/>
        <v>0</v>
      </c>
      <c r="R440" s="76">
        <f>COUNTIF('12月'!D31:E31,R$411)+COUNTIF('12月'!I31:J31,R$411)+COUNTIF('12月'!N31:O31,R$411)+COUNTIF('12月'!S31:T31,R$411)+COUNTIF('12月'!X31:Y31,R$411)+COUNTIF('12月'!AC31:AD31,R$411)+COUNTIF('12月'!AH31:AI31,R$411)+COUNTIF('12月'!AM31:AN31,R$411)+COUNTIF('12月'!AR31:AS31,R$411)+COUNTIF('12月'!AW31:AX31,R$411)+COUNTIF('12月'!BB31:BC31,R$411)+COUNTIF('12月'!BG31:BH31,R$411)+COUNTIF('12月'!BL31:BM31,R$411)+COUNTIF('12月'!BQ31:BR31,R$411)+COUNTIF('12月'!BV31:BW31,R$411)+COUNTIF('12月'!CA31:CB31,R$411)+COUNTIF('12月'!CF31:CG31,R$411)+COUNTIF('12月'!CK31:CL31,R$411)+COUNTIF('12月'!CP31:CQ31,R$411)+COUNTIF('12月'!CU31:CV31,R$411)+COUNTIF('12月'!CZ31:DA31,R$411)+COUNTIF('12月'!DE31:DF31,R$411)+COUNTIF('12月'!DJ31:DK31,R$411)+COUNTIF('12月'!DO31:DP31,R$411)+COUNTIF('12月'!DT31:DU31,R$411)+COUNTIF('12月'!DY31:DZ31,R$411)+COUNTIF('12月'!ED31:EE31,R$411)+COUNTIF('12月'!EI31:EJ31,R$411)+COUNTIF('12月'!EN31:EO31,R$411)+COUNTIF('12月'!ES31:ET31,R$411)</f>
        <v>0</v>
      </c>
      <c r="S440" s="76">
        <f t="shared" si="140"/>
        <v>0</v>
      </c>
      <c r="T440" s="76">
        <f>COUNTIF('12月'!D31:E31,T$411)+COUNTIF('12月'!I31:J31,T$411)+COUNTIF('12月'!N31:O31,T$411)+COUNTIF('12月'!S31:T31,T$411)+COUNTIF('12月'!X31:Y31,T$411)+COUNTIF('12月'!AC31:AD31,T$411)+COUNTIF('12月'!AH31:AI31,T$411)+COUNTIF('12月'!AM31:AN31,T$411)+COUNTIF('12月'!AR31:AS31,T$411)+COUNTIF('12月'!AW31:AX31,T$411)+COUNTIF('12月'!BB31:BC31,T$411)+COUNTIF('12月'!BG31:BH31,T$411)+COUNTIF('12月'!BL31:BM31,T$411)+COUNTIF('12月'!BQ31:BR31,T$411)+COUNTIF('12月'!BV31:BW31,T$411)+COUNTIF('12月'!CA31:CB31,T$411)+COUNTIF('12月'!CF31:CG31,T$411)+COUNTIF('12月'!CK31:CL31,T$411)+COUNTIF('12月'!CP31:CQ31,T$411)+COUNTIF('12月'!CU31:CV31,T$411)+COUNTIF('12月'!CZ31:DA31,T$411)+COUNTIF('12月'!DE31:DF31,T$411)+COUNTIF('12月'!DJ31:DK31,T$411)+COUNTIF('12月'!DO31:DP31,T$411)+COUNTIF('12月'!DT31:DU31,T$411)+COUNTIF('12月'!DY31:DZ31,T$411)+COUNTIF('12月'!ED31:EE31,T$411)+COUNTIF('12月'!EI31:EJ31,T$411)+COUNTIF('12月'!EN31:EO31,T$411)+COUNTIF('12月'!ES31:ET31,T$411)</f>
        <v>0</v>
      </c>
      <c r="U440" s="76">
        <f t="shared" si="141"/>
        <v>0</v>
      </c>
      <c r="V440" s="76">
        <f>COUNTIF('12月'!D31:E31,V$411)+COUNTIF('12月'!I31:J31,V$411)+COUNTIF('12月'!N31:O31,V$411)+COUNTIF('12月'!S31:T31,V$411)+COUNTIF('12月'!X31:Y31,V$411)+COUNTIF('12月'!AC31:AD31,V$411)+COUNTIF('12月'!AH31:AI31,V$411)+COUNTIF('12月'!AM31:AN31,V$411)+COUNTIF('12月'!AR31:AS31,V$411)+COUNTIF('12月'!AW31:AX31,V$411)+COUNTIF('12月'!BB31:BC31,V$411)+COUNTIF('12月'!BG31:BH31,V$411)+COUNTIF('12月'!BL31:BM31,V$411)+COUNTIF('12月'!BQ31:BR31,V$411)+COUNTIF('12月'!BV31:BW31,V$411)+COUNTIF('12月'!CA31:CB31,V$411)+COUNTIF('12月'!CF31:CG31,V$411)+COUNTIF('12月'!CK31:CL31,V$411)+COUNTIF('12月'!CP31:CQ31,V$411)+COUNTIF('12月'!CU31:CV31,V$411)+COUNTIF('12月'!CZ31:DA31,V$411)+COUNTIF('12月'!DE31:DF31,V$411)+COUNTIF('12月'!DJ31:DK31,V$411)+COUNTIF('12月'!DO31:DP31,V$411)+COUNTIF('12月'!DT31:DU31,V$411)+COUNTIF('12月'!DY31:DZ31,V$411)+COUNTIF('12月'!ED31:EE31,V$411)+COUNTIF('12月'!EI31:EJ31,V$411)+COUNTIF('12月'!EN31:EO31,V$411)+COUNTIF('12月'!ES31:ET31,V$411)</f>
        <v>0</v>
      </c>
      <c r="W440" s="76">
        <f t="shared" si="142"/>
        <v>0</v>
      </c>
      <c r="X440" s="76">
        <f>COUNTIF('12月'!D31:E31,X$411)+COUNTIF('12月'!I31:J31,X$411)+COUNTIF('12月'!N31:O31,X$411)+COUNTIF('12月'!S31:T31,X$411)+COUNTIF('12月'!X31:Y31,X$411)+COUNTIF('12月'!AC31:AD31,X$411)+COUNTIF('12月'!AH31:AI31,X$411)+COUNTIF('12月'!AM31:AN31,X$411)+COUNTIF('12月'!AR31:AS31,X$411)+COUNTIF('12月'!AW31:AX31,X$411)+COUNTIF('12月'!BB31:BC31,X$411)+COUNTIF('12月'!BG31:BH31,X$411)+COUNTIF('12月'!BL31:BM31,X$411)+COUNTIF('12月'!BQ31:BR31,X$411)+COUNTIF('12月'!BV31:BW31,X$411)+COUNTIF('12月'!CA31:CB31,X$411)+COUNTIF('12月'!CF31:CG31,X$411)+COUNTIF('12月'!CK31:CL31,X$411)+COUNTIF('12月'!CP31:CQ31,X$411)+COUNTIF('12月'!CU31:CV31,X$411)+COUNTIF('12月'!CZ31:DA31,X$411)+COUNTIF('12月'!DE31:DF31,X$411)+COUNTIF('12月'!DJ31:DK31,X$411)+COUNTIF('12月'!DO31:DP31,X$411)+COUNTIF('12月'!DT31:DU31,X$411)+COUNTIF('12月'!DY31:DZ31,X$411)+COUNTIF('12月'!ED31:EE31,X$411)+COUNTIF('12月'!EI31:EJ31,X$411)+COUNTIF('12月'!EN31:EO31,X$411)+COUNTIF('12月'!ES31:ET31,X$411)</f>
        <v>0</v>
      </c>
      <c r="Y440" s="76">
        <f t="shared" si="143"/>
        <v>0</v>
      </c>
    </row>
    <row r="441" spans="1:25" ht="18" customHeight="1">
      <c r="A441" s="76">
        <v>29</v>
      </c>
      <c r="B441" s="76">
        <f>COUNTIF('12月'!D32:E32,B$411)+COUNTIF('12月'!I32:J32,B$411)+COUNTIF('12月'!N32:O32,B$411)+COUNTIF('12月'!S32:T32,B$411)+COUNTIF('12月'!X32:Y32,B$411)+COUNTIF('12月'!AC32:AD32,B$411)+COUNTIF('12月'!AH32:AI32,B$411)+COUNTIF('12月'!AM32:AN32,B$411)+COUNTIF('12月'!AR32:AS32,B$411)+COUNTIF('12月'!AW32:AX32,B$411)+COUNTIF('12月'!BB32:BC32,B$411)+COUNTIF('12月'!BG32:BH32,B$411)+COUNTIF('12月'!BL32:BM32,B$411)+COUNTIF('12月'!BQ32:BR32,B$411)+COUNTIF('12月'!BV32:BW32,B$411)+COUNTIF('12月'!CA32:CB32,B$411)+COUNTIF('12月'!CF32:CG32,B$411)+COUNTIF('12月'!CK32:CL32,B$411)+COUNTIF('12月'!CP32:CQ32,B$411)+COUNTIF('12月'!CU32:CV32,B$411)+COUNTIF('12月'!CZ32:DA32,B$411)+COUNTIF('12月'!DE32:DF32,B$411)+COUNTIF('12月'!DJ32:DK32,B$411)+COUNTIF('12月'!DO32:DP32,B$411)+COUNTIF('12月'!DT32:DU32,B$411)+COUNTIF('12月'!DY32:DZ32,B$411)+COUNTIF('12月'!ED32:EE32,B$411)+COUNTIF('12月'!EI32:EJ32,B$411)+COUNTIF('12月'!EN32:EO32,B$411)+COUNTIF('12月'!ES32:ET32,B$411)</f>
        <v>0</v>
      </c>
      <c r="C441" s="76">
        <f t="shared" si="132"/>
        <v>0</v>
      </c>
      <c r="D441" s="76">
        <f>COUNTIF('12月'!D32:E32,D$411)+COUNTIF('12月'!I32:J32,D$411)+COUNTIF('12月'!N32:O32,D$411)+COUNTIF('12月'!S32:T32,D$411)+COUNTIF('12月'!X32:Y32,D$411)+COUNTIF('12月'!AC32:AD32,D$411)+COUNTIF('12月'!AH32:AI32,D$411)+COUNTIF('12月'!AM32:AN32,D$411)+COUNTIF('12月'!AR32:AS32,D$411)+COUNTIF('12月'!AW32:AX32,D$411)+COUNTIF('12月'!BB32:BC32,D$411)+COUNTIF('12月'!BG32:BH32,D$411)+COUNTIF('12月'!BL32:BM32,D$411)+COUNTIF('12月'!BQ32:BR32,D$411)+COUNTIF('12月'!BV32:BW32,D$411)+COUNTIF('12月'!CA32:CB32,D$411)+COUNTIF('12月'!CF32:CG32,D$411)+COUNTIF('12月'!CK32:CL32,D$411)+COUNTIF('12月'!CP32:CQ32,D$411)+COUNTIF('12月'!CU32:CV32,D$411)+COUNTIF('12月'!CZ32:DA32,D$411)+COUNTIF('12月'!DE32:DF32,D$411)+COUNTIF('12月'!DJ32:DK32,D$411)+COUNTIF('12月'!DO32:DP32,D$411)+COUNTIF('12月'!DT32:DU32,D$411)+COUNTIF('12月'!DY32:DZ32,D$411)+COUNTIF('12月'!ED32:EE32,D$411)+COUNTIF('12月'!EI32:EJ32,D$411)+COUNTIF('12月'!EN32:EO32,D$411)+COUNTIF('12月'!ES32:ET32,D$411)</f>
        <v>0</v>
      </c>
      <c r="E441" s="76">
        <f t="shared" si="133"/>
        <v>0</v>
      </c>
      <c r="F441" s="76">
        <f>COUNTIF('12月'!D32:E32,F$411)+COUNTIF('12月'!I32:J32,F$411)+COUNTIF('12月'!N32:O32,F$411)+COUNTIF('12月'!S32:T32,F$411)+COUNTIF('12月'!X32:Y32,F$411)+COUNTIF('12月'!AC32:AD32,F$411)+COUNTIF('12月'!AH32:AI32,F$411)+COUNTIF('12月'!AM32:AN32,F$411)+COUNTIF('12月'!AR32:AS32,F$411)+COUNTIF('12月'!AW32:AX32,F$411)+COUNTIF('12月'!BB32:BC32,F$411)+COUNTIF('12月'!BG32:BH32,F$411)+COUNTIF('12月'!BL32:BM32,F$411)+COUNTIF('12月'!BQ32:BR32,F$411)+COUNTIF('12月'!BV32:BW32,F$411)+COUNTIF('12月'!CA32:CB32,F$411)+COUNTIF('12月'!CF32:CG32,F$411)+COUNTIF('12月'!CK32:CL32,F$411)+COUNTIF('12月'!CP32:CQ32,F$411)+COUNTIF('12月'!CU32:CV32,F$411)+COUNTIF('12月'!CZ32:DA32,F$411)+COUNTIF('12月'!DE32:DF32,F$411)+COUNTIF('12月'!DJ32:DK32,F$411)+COUNTIF('12月'!DO32:DP32,F$411)+COUNTIF('12月'!DT32:DU32,F$411)+COUNTIF('12月'!DY32:DZ32,F$411)+COUNTIF('12月'!ED32:EE32,F$411)+COUNTIF('12月'!EI32:EJ32,F$411)+COUNTIF('12月'!EN32:EO32,F$411)+COUNTIF('12月'!ES32:ET32,F$411)</f>
        <v>0</v>
      </c>
      <c r="G441" s="76">
        <f t="shared" si="134"/>
        <v>0</v>
      </c>
      <c r="H441" s="76">
        <f>COUNTIF('12月'!D32:E32,H$411)+COUNTIF('12月'!I32:J32,H$411)+COUNTIF('12月'!N32:O32,H$411)+COUNTIF('12月'!S32:T32,H$411)+COUNTIF('12月'!X32:Y32,H$411)+COUNTIF('12月'!AC32:AD32,H$411)+COUNTIF('12月'!AH32:AI32,H$411)+COUNTIF('12月'!AM32:AN32,H$411)+COUNTIF('12月'!AR32:AS32,H$411)+COUNTIF('12月'!AW32:AX32,H$411)+COUNTIF('12月'!BB32:BC32,H$411)+COUNTIF('12月'!BG32:BH32,H$411)+COUNTIF('12月'!BL32:BM32,H$411)+COUNTIF('12月'!BQ32:BR32,H$411)+COUNTIF('12月'!BV32:BW32,H$411)+COUNTIF('12月'!CA32:CB32,H$411)+COUNTIF('12月'!CF32:CG32,H$411)+COUNTIF('12月'!CK32:CL32,H$411)+COUNTIF('12月'!CP32:CQ32,H$411)+COUNTIF('12月'!CU32:CV32,H$411)+COUNTIF('12月'!CZ32:DA32,H$411)+COUNTIF('12月'!DE32:DF32,H$411)+COUNTIF('12月'!DJ32:DK32,H$411)+COUNTIF('12月'!DO32:DP32,H$411)+COUNTIF('12月'!DT32:DU32,H$411)+COUNTIF('12月'!DY32:DZ32,H$411)+COUNTIF('12月'!ED32:EE32,H$411)+COUNTIF('12月'!EI32:EJ32,H$411)+COUNTIF('12月'!EN32:EO32,H$411)+COUNTIF('12月'!ES32:ET32,H$411)+COUNTIF('12月'!D32:E32,"渋谷-夜勤")+COUNTIF('12月'!I32:J32,"渋谷-夜勤")+COUNTIF('12月'!N32:O32,"渋谷-夜勤")+COUNTIF('12月'!S32:T32,"渋谷-夜勤")+COUNTIF('12月'!X32:Y32,"渋谷-夜勤")+COUNTIF('12月'!AC32:AD32,"渋谷-夜勤")+COUNTIF('12月'!AH32:AI32,"渋谷-夜勤")+COUNTIF('12月'!AM32:AN32,"渋谷-夜勤")+COUNTIF('12月'!AR32:AS32,"渋谷-夜勤")+COUNTIF('12月'!AW32:AX32,"渋谷-夜勤")+COUNTIF('12月'!BB32:BC32,"渋谷-夜勤")+COUNTIF('12月'!BG32:BH32,"渋谷-夜勤")+COUNTIF('12月'!BL32:BM32,"渋谷-夜勤")+COUNTIF('12月'!BQ32:BR32,"渋谷-夜勤")+COUNTIF('12月'!BV32:BW32,"渋谷-夜勤")+COUNTIF('12月'!CA32:CB32,"渋谷-夜勤")+COUNTIF('12月'!CF32:CG32,"渋谷-夜勤")+COUNTIF('12月'!CK32:CL32,"渋谷-夜勤")+COUNTIF('12月'!CP32:CQ32,"渋谷-夜勤")+COUNTIF('12月'!CU32:CV32,"渋谷-夜勤")+COUNTIF('12月'!CZ32:DA32,"渋谷-夜勤")+COUNTIF('12月'!DE32:DF32,"渋谷-夜勤")+COUNTIF('12月'!DJ32:DK32,"渋谷-夜勤")+COUNTIF('12月'!DO32:DP32,"渋谷-夜勤")+COUNTIF('12月'!DT32:DU32,"渋谷-夜勤")+COUNTIF('12月'!DY32:DZ32,"渋谷-夜勤")+COUNTIF('12月'!ED32:EE32,"渋谷-夜勤")+COUNTIF('12月'!EI32:EJ32,"渋谷-夜勤")+COUNTIF('12月'!EN32:EO32,"渋谷-夜勤")+COUNTIF('12月'!ES32:ET32,"渋谷-夜勤")</f>
        <v>0</v>
      </c>
      <c r="I441" s="76">
        <f t="shared" si="135"/>
        <v>0</v>
      </c>
      <c r="J441" s="76">
        <f>COUNTIF('12月'!D32:E32,J$411)+COUNTIF('12月'!I32:J32,J$411)+COUNTIF('12月'!N32:O32,J$411)+COUNTIF('12月'!S32:T32,J$411)+COUNTIF('12月'!X32:Y32,J$411)+COUNTIF('12月'!AC32:AD32,J$411)+COUNTIF('12月'!AH32:AI32,J$411)+COUNTIF('12月'!AM32:AN32,J$411)+COUNTIF('12月'!AR32:AS32,J$411)+COUNTIF('12月'!AW32:AX32,J$411)+COUNTIF('12月'!BB32:BC32,J$411)+COUNTIF('12月'!BG32:BH32,J$411)+COUNTIF('12月'!BL32:BM32,J$411)+COUNTIF('12月'!BQ32:BR32,J$411)+COUNTIF('12月'!BV32:BW32,J$411)+COUNTIF('12月'!CA32:CB32,J$411)+COUNTIF('12月'!CF32:CG32,J$411)+COUNTIF('12月'!CK32:CL32,J$411)+COUNTIF('12月'!CP32:CQ32,J$411)+COUNTIF('12月'!CU32:CV32,J$411)+COUNTIF('12月'!CZ32:DA32,J$411)+COUNTIF('12月'!DE32:DF32,J$411)+COUNTIF('12月'!DJ32:DK32,J$411)+COUNTIF('12月'!DO32:DP32,J$411)+COUNTIF('12月'!DT32:DU32,J$411)+COUNTIF('12月'!DY32:DZ32,J$411)+COUNTIF('12月'!ED32:EE32,J$411)+COUNTIF('12月'!EI32:EJ32,J$411)+COUNTIF('12月'!EN32:EO32,J$411)+COUNTIF('12月'!ES32:ET32,J$411)+COUNTIF('12月'!D32:E32,"六本木-夜勤")+COUNTIF('12月'!I32:J32,"六本木-夜勤")+COUNTIF('12月'!N32:O32,"六本木-夜勤")+COUNTIF('12月'!S32:T32,"六本木-夜勤")+COUNTIF('12月'!X32:Y32,"六本木-夜勤")+COUNTIF('12月'!AC32:AD32,"六本木-夜勤")+COUNTIF('12月'!AH32:AI32,"六本木-夜勤")+COUNTIF('12月'!AM32:AN32,"六本木-夜勤")+COUNTIF('12月'!AR32:AS32,"六本木-夜勤")+COUNTIF('12月'!AW32:AX32,"六本木-夜勤")+COUNTIF('12月'!BB32:BC32,"六本木-夜勤")+COUNTIF('12月'!BG32:BH32,"六本木-夜勤")+COUNTIF('12月'!BL32:BM32,"六本木-夜勤")+COUNTIF('12月'!BQ32:BR32,"六本木-夜勤")+COUNTIF('12月'!BV32:BW32,"六本木-夜勤")+COUNTIF('12月'!CA32:CB32,"六本木-夜勤")+COUNTIF('12月'!CF32:CG32,"六本木-夜勤")+COUNTIF('12月'!CK32:CL32,"六本木-夜勤")+COUNTIF('12月'!CP32:CQ32,"六本木-夜勤")+COUNTIF('12月'!CU32:CV32,"六本木-夜勤")+COUNTIF('12月'!CZ32:DA32,"六本木-夜勤")+COUNTIF('12月'!DE32:DF32,"六本木-夜勤")+COUNTIF('12月'!DJ32:DK32,"六本木-夜勤")+COUNTIF('12月'!DO32:DP32,"六本木-夜勤")+COUNTIF('12月'!DT32:DU32,"六本木-夜勤")+COUNTIF('12月'!DY32:DZ32,"六本木-夜勤")+COUNTIF('12月'!ED32:EE32,"六本木-夜勤")+COUNTIF('12月'!EI32:EJ32,"六本木-夜勤")+COUNTIF('12月'!EN32:EO32,"六本木-夜勤")+COUNTIF('12月'!ES32:ET32,"六本木-夜勤")+COUNTIF('12月'!D32:E32,"六本木ー夜勤")+COUNTIF('12月'!I32:J32,"六本木ー夜勤")+COUNTIF('12月'!N32:O32,"六本木ー夜勤")+COUNTIF('12月'!S32:T32,"六本木ー夜勤")+COUNTIF('12月'!X32:Y32,"六本木ー夜勤")+COUNTIF('12月'!AC32:AD32,"六本木ー夜勤")+COUNTIF('12月'!AH32:AI32,"六本木ー夜勤")+COUNTIF('12月'!AM32:AN32,"六本木ー夜勤")+COUNTIF('12月'!AR32:AS32,"六本木ー夜勤")+COUNTIF('12月'!AW32:AX32,"六本木ー夜勤")+COUNTIF('12月'!BB32:BC32,"六本木ー夜勤")+COUNTIF('12月'!BG32:BH32,"六本木ー夜勤")+COUNTIF('12月'!BL32:BM32,"六本木ー夜勤")+COUNTIF('12月'!BQ32:BR32,"六本木ー夜勤")+COUNTIF('12月'!BV32:BW32,"六本木ー夜勤")+COUNTIF('12月'!CA32:CB32,"六本木ー夜勤")+COUNTIF('12月'!CF32:CG32,"六本木ー夜勤")+COUNTIF('12月'!CK32:CL32,"六本木ー夜勤")+COUNTIF('12月'!CP32:CQ32,"六本木ー夜勤")+COUNTIF('12月'!CU32:CV32,"六本木ー夜勤")+COUNTIF('12月'!CZ32:DA32,"六本木ー夜勤")+COUNTIF('12月'!DE32:DF32,"六本木ー夜勤")+COUNTIF('12月'!DJ32:DK32,"六本木ー夜勤")+COUNTIF('12月'!DO32:DP32,"六本木ー夜勤")+COUNTIF('12月'!DT32:DU32,"六本木ー夜勤")+COUNTIF('12月'!DY32:DZ32,"六本木ー夜勤")+COUNTIF('12月'!ED32:EE32,"六本木ー夜勤")+COUNTIF('12月'!EI32:EJ32,"六本木ー夜勤")+COUNTIF('12月'!EN32:EO32,"六本木ー夜勤")+COUNTIF('12月'!ES32:ET32,"六本木ー夜勤")</f>
        <v>0</v>
      </c>
      <c r="K441" s="76">
        <f t="shared" si="136"/>
        <v>0</v>
      </c>
      <c r="L441" s="76">
        <f>COUNTIF('12月'!D32:E32,L$411)+COUNTIF('12月'!I32:J32,L$411)+COUNTIF('12月'!N32:O32,L$411)+COUNTIF('12月'!S32:T32,L$411)+COUNTIF('12月'!X32:Y32,L$411)+COUNTIF('12月'!AC32:AD32,L$411)+COUNTIF('12月'!AH32:AI32,L$411)+COUNTIF('12月'!AM32:AN32,L$411)+COUNTIF('12月'!AR32:AS32,L$411)+COUNTIF('12月'!AW32:AX32,L$411)+COUNTIF('12月'!BB32:BC32,L$411)+COUNTIF('12月'!BG32:BH32,L$411)+COUNTIF('12月'!BL32:BM32,L$411)+COUNTIF('12月'!BQ32:BR32,L$411)+COUNTIF('12月'!BV32:BW32,L$411)+COUNTIF('12月'!CA32:CB32,L$411)+COUNTIF('12月'!CF32:CG32,L$411)+COUNTIF('12月'!CK32:CL32,L$411)+COUNTIF('12月'!CP32:CQ32,L$411)+COUNTIF('12月'!CU32:CV32,L$411)+COUNTIF('12月'!CZ32:DA32,L$411)+COUNTIF('12月'!DE32:DF32,L$411)+COUNTIF('12月'!DJ32:DK32,L$411)+COUNTIF('12月'!DO32:DP32,L$411)+COUNTIF('12月'!DT32:DU32,L$411)+COUNTIF('12月'!DY32:DZ32,L$411)+COUNTIF('12月'!ED32:EE32,L$411)+COUNTIF('12月'!EI32:EJ32,L$411)+COUNTIF('12月'!EN32:EO32,L$411)+COUNTIF('12月'!ES32:ET32,L$411)</f>
        <v>0</v>
      </c>
      <c r="M441" s="76">
        <f t="shared" si="137"/>
        <v>0</v>
      </c>
      <c r="N441" s="76">
        <f>COUNTIF('12月'!D32:E32,N$411)+COUNTIF('12月'!I32:J32,N$411)+COUNTIF('12月'!N32:O32,N$411)+COUNTIF('12月'!S32:T32,N$411)+COUNTIF('12月'!X32:Y32,N$411)+COUNTIF('12月'!AC32:AD32,N$411)+COUNTIF('12月'!AH32:AI32,N$411)+COUNTIF('12月'!AM32:AN32,N$411)+COUNTIF('12月'!AR32:AS32,N$411)+COUNTIF('12月'!AW32:AX32,N$411)+COUNTIF('12月'!BB32:BC32,N$411)+COUNTIF('12月'!BG32:BH32,N$411)+COUNTIF('12月'!BL32:BM32,N$411)+COUNTIF('12月'!BQ32:BR32,N$411)+COUNTIF('12月'!BV32:BW32,N$411)+COUNTIF('12月'!CA32:CB32,N$411)+COUNTIF('12月'!CF32:CG32,N$411)+COUNTIF('12月'!CK32:CL32,N$411)+COUNTIF('12月'!CP32:CQ32,N$411)+COUNTIF('12月'!CU32:CV32,N$411)+COUNTIF('12月'!CZ32:DA32,N$411)+COUNTIF('12月'!DE32:DF32,N$411)+COUNTIF('12月'!DJ32:DK32,N$411)+COUNTIF('12月'!DO32:DP32,N$411)+COUNTIF('12月'!DT32:DU32,N$411)+COUNTIF('12月'!DY32:DZ32,N$411)+COUNTIF('12月'!ED32:EE32,N$411)+COUNTIF('12月'!EI32:EJ32,N$411)+COUNTIF('12月'!EN32:EO32,N$411)+COUNTIF('12月'!ES32:ET32,N$411)+COUNTIF('12月'!D32:E32,"三軒茶屋－夜勤")+COUNTIF('12月'!I32:J32,"三軒茶屋－夜勤")+COUNTIF('12月'!N32:O32,"三軒茶屋－夜勤")+COUNTIF('12月'!S32:T32,"三軒茶屋－夜勤")+COUNTIF('12月'!X32:Y32,"三軒茶屋－夜勤")+COUNTIF('12月'!AC32:AD32,"三軒茶屋－夜勤")+COUNTIF('12月'!AH32:AI32,"三軒茶屋－夜勤")+COUNTIF('12月'!AM32:AN32,"三軒茶屋－夜勤")+COUNTIF('12月'!AR32:AS32,"三軒茶屋－夜勤")+COUNTIF('12月'!AW32:AX32,"三軒茶屋－夜勤")+COUNTIF('12月'!BB32:BC32,"三軒茶屋－夜勤")+COUNTIF('12月'!BG32:BH32,"三軒茶屋－夜勤")+COUNTIF('12月'!BL32:BM32,"三軒茶屋－夜勤")+COUNTIF('12月'!BQ32:BR32,"三軒茶屋－夜勤")+COUNTIF('12月'!BV32:BW32,"三軒茶屋－夜勤")+COUNTIF('12月'!CA32:CB32,"三軒茶屋－夜勤")+COUNTIF('12月'!CF32:CG32,"三軒茶屋－夜勤")+COUNTIF('12月'!CK32:CL32,"三軒茶屋－夜勤")+COUNTIF('12月'!CP32:CQ32,"三軒茶屋－夜勤")+COUNTIF('12月'!CU32:CV32,"三軒茶屋－夜勤")+COUNTIF('12月'!CZ32:DA32,"三軒茶屋－夜勤")+COUNTIF('12月'!DE32:DF32,"三軒茶屋－夜勤")+COUNTIF('12月'!DJ32:DK32,"三軒茶屋－夜勤")+COUNTIF('12月'!DO32:DP32,"三軒茶屋－夜勤")+COUNTIF('12月'!DT32:DU32,"三軒茶屋－夜勤")+COUNTIF('12月'!DY32:DZ32,"三軒茶屋－夜勤")+COUNTIF('12月'!ED32:EE32,"三軒茶屋－夜勤")+COUNTIF('12月'!EI32:EJ32,"三軒茶屋－夜勤")+COUNTIF('12月'!EN32:EO32,"三軒茶屋－夜勤")+COUNTIF('12月'!ES32:ET32,"三軒茶屋－夜勤")</f>
        <v>0</v>
      </c>
      <c r="O441" s="76">
        <f t="shared" si="138"/>
        <v>0</v>
      </c>
      <c r="P441" s="76">
        <f>COUNTIF('12月'!D32:E32,P$411)+COUNTIF('12月'!I32:J32,P$411)+COUNTIF('12月'!N32:O32,P$411)+COUNTIF('12月'!S32:T32,P$411)+COUNTIF('12月'!X32:Y32,P$411)+COUNTIF('12月'!AC32:AD32,P$411)+COUNTIF('12月'!AH32:AI32,P$411)+COUNTIF('12月'!AM32:AN32,P$411)+COUNTIF('12月'!AR32:AS32,P$411)+COUNTIF('12月'!AW32:AX32,P$411)+COUNTIF('12月'!BB32:BC32,P$411)+COUNTIF('12月'!BG32:BH32,P$411)+COUNTIF('12月'!BL32:BM32,P$411)+COUNTIF('12月'!BQ32:BR32,P$411)+COUNTIF('12月'!BV32:BW32,P$411)+COUNTIF('12月'!CA32:CB32,P$411)+COUNTIF('12月'!CF32:CG32,P$411)+COUNTIF('12月'!CK32:CL32,P$411)+COUNTIF('12月'!CP32:CQ32,P$411)+COUNTIF('12月'!CU32:CV32,P$411)+COUNTIF('12月'!CZ32:DA32,P$411)+COUNTIF('12月'!DE32:DF32,P$411)+COUNTIF('12月'!DJ32:DK32,P$411)+COUNTIF('12月'!DO32:DP32,P$411)+COUNTIF('12月'!DT32:DU32,P$411)+COUNTIF('12月'!DY32:DZ32,P$411)+COUNTIF('12月'!ED32:EE32,P$411)+COUNTIF('12月'!EI32:EJ32,P$411)+COUNTIF('12月'!EN32:EO32,P$411)+COUNTIF('12月'!ES32:ET32,P$411)+COUNTIF('12月'!D32:E32,"荻窪ー夜勤")+COUNTIF('12月'!I32:J32,"荻窪ー夜勤")+COUNTIF('12月'!N32:O32,"荻窪ー夜勤")+COUNTIF('12月'!S32:T32,"荻窪ー夜勤")+COUNTIF('12月'!X32:Y32,"荻窪ー夜勤")+COUNTIF('12月'!AC32:AD32,"荻窪ー夜勤")+COUNTIF('12月'!AH32:AI32,"荻窪ー夜勤")+COUNTIF('12月'!AM32:AN32,"荻窪ー夜勤")+COUNTIF('12月'!AR32:AS32,"荻窪ー夜勤")+COUNTIF('12月'!AW32:AX32,"荻窪ー夜勤")+COUNTIF('12月'!BB32:BC32,"荻窪ー夜勤")+COUNTIF('12月'!BG32:BH32,"荻窪ー夜勤")+COUNTIF('12月'!BL32:BM32,"荻窪ー夜勤")+COUNTIF('12月'!BQ32:BR32,"荻窪ー夜勤")+COUNTIF('12月'!BV32:BW32,"荻窪ー夜勤")+COUNTIF('12月'!CA32:CB32,"荻窪ー夜勤")+COUNTIF('12月'!CF32:CG32,"荻窪ー夜勤")+COUNTIF('12月'!CK32:CL32,"荻窪ー夜勤")+COUNTIF('12月'!CP32:CQ32,"荻窪ー夜勤")+COUNTIF('12月'!CU32:CV32,"荻窪ー夜勤")+COUNTIF('12月'!CZ32:DA32,"荻窪ー夜勤")+COUNTIF('12月'!DE32:DF32,"荻窪ー夜勤")+COUNTIF('12月'!DJ32:DK32,"荻窪ー夜勤")+COUNTIF('12月'!DO32:DP32,"荻窪ー夜勤")+COUNTIF('12月'!DT32:DU32,"荻窪ー夜勤")+COUNTIF('12月'!DY32:DZ32,"荻窪ー夜勤")+COUNTIF('12月'!ED32:EE32,"荻窪ー夜勤")+COUNTIF('12月'!EI32:EJ32,"荻窪ー夜勤")+COUNTIF('12月'!EN32:EO32,"荻窪ー夜勤")+COUNTIF('12月'!ES32:ET32,"荻窪ー夜勤")</f>
        <v>0</v>
      </c>
      <c r="Q441" s="76">
        <f t="shared" si="139"/>
        <v>0</v>
      </c>
      <c r="R441" s="76">
        <f>COUNTIF('12月'!D32:E32,R$411)+COUNTIF('12月'!I32:J32,R$411)+COUNTIF('12月'!N32:O32,R$411)+COUNTIF('12月'!S32:T32,R$411)+COUNTIF('12月'!X32:Y32,R$411)+COUNTIF('12月'!AC32:AD32,R$411)+COUNTIF('12月'!AH32:AI32,R$411)+COUNTIF('12月'!AM32:AN32,R$411)+COUNTIF('12月'!AR32:AS32,R$411)+COUNTIF('12月'!AW32:AX32,R$411)+COUNTIF('12月'!BB32:BC32,R$411)+COUNTIF('12月'!BG32:BH32,R$411)+COUNTIF('12月'!BL32:BM32,R$411)+COUNTIF('12月'!BQ32:BR32,R$411)+COUNTIF('12月'!BV32:BW32,R$411)+COUNTIF('12月'!CA32:CB32,R$411)+COUNTIF('12月'!CF32:CG32,R$411)+COUNTIF('12月'!CK32:CL32,R$411)+COUNTIF('12月'!CP32:CQ32,R$411)+COUNTIF('12月'!CU32:CV32,R$411)+COUNTIF('12月'!CZ32:DA32,R$411)+COUNTIF('12月'!DE32:DF32,R$411)+COUNTIF('12月'!DJ32:DK32,R$411)+COUNTIF('12月'!DO32:DP32,R$411)+COUNTIF('12月'!DT32:DU32,R$411)+COUNTIF('12月'!DY32:DZ32,R$411)+COUNTIF('12月'!ED32:EE32,R$411)+COUNTIF('12月'!EI32:EJ32,R$411)+COUNTIF('12月'!EN32:EO32,R$411)+COUNTIF('12月'!ES32:ET32,R$411)</f>
        <v>0</v>
      </c>
      <c r="S441" s="76">
        <f t="shared" si="140"/>
        <v>0</v>
      </c>
      <c r="T441" s="76">
        <f>COUNTIF('12月'!D32:E32,T$411)+COUNTIF('12月'!I32:J32,T$411)+COUNTIF('12月'!N32:O32,T$411)+COUNTIF('12月'!S32:T32,T$411)+COUNTIF('12月'!X32:Y32,T$411)+COUNTIF('12月'!AC32:AD32,T$411)+COUNTIF('12月'!AH32:AI32,T$411)+COUNTIF('12月'!AM32:AN32,T$411)+COUNTIF('12月'!AR32:AS32,T$411)+COUNTIF('12月'!AW32:AX32,T$411)+COUNTIF('12月'!BB32:BC32,T$411)+COUNTIF('12月'!BG32:BH32,T$411)+COUNTIF('12月'!BL32:BM32,T$411)+COUNTIF('12月'!BQ32:BR32,T$411)+COUNTIF('12月'!BV32:BW32,T$411)+COUNTIF('12月'!CA32:CB32,T$411)+COUNTIF('12月'!CF32:CG32,T$411)+COUNTIF('12月'!CK32:CL32,T$411)+COUNTIF('12月'!CP32:CQ32,T$411)+COUNTIF('12月'!CU32:CV32,T$411)+COUNTIF('12月'!CZ32:DA32,T$411)+COUNTIF('12月'!DE32:DF32,T$411)+COUNTIF('12月'!DJ32:DK32,T$411)+COUNTIF('12月'!DO32:DP32,T$411)+COUNTIF('12月'!DT32:DU32,T$411)+COUNTIF('12月'!DY32:DZ32,T$411)+COUNTIF('12月'!ED32:EE32,T$411)+COUNTIF('12月'!EI32:EJ32,T$411)+COUNTIF('12月'!EN32:EO32,T$411)+COUNTIF('12月'!ES32:ET32,T$411)</f>
        <v>0</v>
      </c>
      <c r="U441" s="76">
        <f t="shared" si="141"/>
        <v>0</v>
      </c>
      <c r="V441" s="76">
        <f>COUNTIF('12月'!D32:E32,V$411)+COUNTIF('12月'!I32:J32,V$411)+COUNTIF('12月'!N32:O32,V$411)+COUNTIF('12月'!S32:T32,V$411)+COUNTIF('12月'!X32:Y32,V$411)+COUNTIF('12月'!AC32:AD32,V$411)+COUNTIF('12月'!AH32:AI32,V$411)+COUNTIF('12月'!AM32:AN32,V$411)+COUNTIF('12月'!AR32:AS32,V$411)+COUNTIF('12月'!AW32:AX32,V$411)+COUNTIF('12月'!BB32:BC32,V$411)+COUNTIF('12月'!BG32:BH32,V$411)+COUNTIF('12月'!BL32:BM32,V$411)+COUNTIF('12月'!BQ32:BR32,V$411)+COUNTIF('12月'!BV32:BW32,V$411)+COUNTIF('12月'!CA32:CB32,V$411)+COUNTIF('12月'!CF32:CG32,V$411)+COUNTIF('12月'!CK32:CL32,V$411)+COUNTIF('12月'!CP32:CQ32,V$411)+COUNTIF('12月'!CU32:CV32,V$411)+COUNTIF('12月'!CZ32:DA32,V$411)+COUNTIF('12月'!DE32:DF32,V$411)+COUNTIF('12月'!DJ32:DK32,V$411)+COUNTIF('12月'!DO32:DP32,V$411)+COUNTIF('12月'!DT32:DU32,V$411)+COUNTIF('12月'!DY32:DZ32,V$411)+COUNTIF('12月'!ED32:EE32,V$411)+COUNTIF('12月'!EI32:EJ32,V$411)+COUNTIF('12月'!EN32:EO32,V$411)+COUNTIF('12月'!ES32:ET32,V$411)</f>
        <v>0</v>
      </c>
      <c r="W441" s="76">
        <f t="shared" si="142"/>
        <v>0</v>
      </c>
      <c r="X441" s="76">
        <f>COUNTIF('12月'!D32:E32,X$411)+COUNTIF('12月'!I32:J32,X$411)+COUNTIF('12月'!N32:O32,X$411)+COUNTIF('12月'!S32:T32,X$411)+COUNTIF('12月'!X32:Y32,X$411)+COUNTIF('12月'!AC32:AD32,X$411)+COUNTIF('12月'!AH32:AI32,X$411)+COUNTIF('12月'!AM32:AN32,X$411)+COUNTIF('12月'!AR32:AS32,X$411)+COUNTIF('12月'!AW32:AX32,X$411)+COUNTIF('12月'!BB32:BC32,X$411)+COUNTIF('12月'!BG32:BH32,X$411)+COUNTIF('12月'!BL32:BM32,X$411)+COUNTIF('12月'!BQ32:BR32,X$411)+COUNTIF('12月'!BV32:BW32,X$411)+COUNTIF('12月'!CA32:CB32,X$411)+COUNTIF('12月'!CF32:CG32,X$411)+COUNTIF('12月'!CK32:CL32,X$411)+COUNTIF('12月'!CP32:CQ32,X$411)+COUNTIF('12月'!CU32:CV32,X$411)+COUNTIF('12月'!CZ32:DA32,X$411)+COUNTIF('12月'!DE32:DF32,X$411)+COUNTIF('12月'!DJ32:DK32,X$411)+COUNTIF('12月'!DO32:DP32,X$411)+COUNTIF('12月'!DT32:DU32,X$411)+COUNTIF('12月'!DY32:DZ32,X$411)+COUNTIF('12月'!ED32:EE32,X$411)+COUNTIF('12月'!EI32:EJ32,X$411)+COUNTIF('12月'!EN32:EO32,X$411)+COUNTIF('12月'!ES32:ET32,X$411)</f>
        <v>0</v>
      </c>
      <c r="Y441" s="76">
        <f t="shared" si="143"/>
        <v>0</v>
      </c>
    </row>
    <row r="442" spans="1:25" ht="18" customHeight="1">
      <c r="A442" s="76">
        <v>30</v>
      </c>
      <c r="B442" s="76">
        <f>COUNTIF('12月'!D33:E33,B$411)+COUNTIF('12月'!I33:J33,B$411)+COUNTIF('12月'!N33:O33,B$411)+COUNTIF('12月'!S33:T33,B$411)+COUNTIF('12月'!X33:Y33,B$411)+COUNTIF('12月'!AC33:AD33,B$411)+COUNTIF('12月'!AH33:AI33,B$411)+COUNTIF('12月'!AM33:AN33,B$411)+COUNTIF('12月'!AR33:AS33,B$411)+COUNTIF('12月'!AW33:AX33,B$411)+COUNTIF('12月'!BB33:BC33,B$411)+COUNTIF('12月'!BG33:BH33,B$411)+COUNTIF('12月'!BL33:BM33,B$411)+COUNTIF('12月'!BQ33:BR33,B$411)+COUNTIF('12月'!BV33:BW33,B$411)+COUNTIF('12月'!CA33:CB33,B$411)+COUNTIF('12月'!CF33:CG33,B$411)+COUNTIF('12月'!CK33:CL33,B$411)+COUNTIF('12月'!CP33:CQ33,B$411)+COUNTIF('12月'!CU33:CV33,B$411)+COUNTIF('12月'!CZ33:DA33,B$411)+COUNTIF('12月'!DE33:DF33,B$411)+COUNTIF('12月'!DJ33:DK33,B$411)+COUNTIF('12月'!DO33:DP33,B$411)+COUNTIF('12月'!DT33:DU33,B$411)+COUNTIF('12月'!DY33:DZ33,B$411)+COUNTIF('12月'!ED33:EE33,B$411)+COUNTIF('12月'!EI33:EJ33,B$411)+COUNTIF('12月'!EN33:EO33,B$411)+COUNTIF('12月'!ES33:ET33,B$411)</f>
        <v>0</v>
      </c>
      <c r="C442" s="76">
        <f t="shared" si="132"/>
        <v>0</v>
      </c>
      <c r="D442" s="76">
        <f>COUNTIF('12月'!D33:E33,D$411)+COUNTIF('12月'!I33:J33,D$411)+COUNTIF('12月'!N33:O33,D$411)+COUNTIF('12月'!S33:T33,D$411)+COUNTIF('12月'!X33:Y33,D$411)+COUNTIF('12月'!AC33:AD33,D$411)+COUNTIF('12月'!AH33:AI33,D$411)+COUNTIF('12月'!AM33:AN33,D$411)+COUNTIF('12月'!AR33:AS33,D$411)+COUNTIF('12月'!AW33:AX33,D$411)+COUNTIF('12月'!BB33:BC33,D$411)+COUNTIF('12月'!BG33:BH33,D$411)+COUNTIF('12月'!BL33:BM33,D$411)+COUNTIF('12月'!BQ33:BR33,D$411)+COUNTIF('12月'!BV33:BW33,D$411)+COUNTIF('12月'!CA33:CB33,D$411)+COUNTIF('12月'!CF33:CG33,D$411)+COUNTIF('12月'!CK33:CL33,D$411)+COUNTIF('12月'!CP33:CQ33,D$411)+COUNTIF('12月'!CU33:CV33,D$411)+COUNTIF('12月'!CZ33:DA33,D$411)+COUNTIF('12月'!DE33:DF33,D$411)+COUNTIF('12月'!DJ33:DK33,D$411)+COUNTIF('12月'!DO33:DP33,D$411)+COUNTIF('12月'!DT33:DU33,D$411)+COUNTIF('12月'!DY33:DZ33,D$411)+COUNTIF('12月'!ED33:EE33,D$411)+COUNTIF('12月'!EI33:EJ33,D$411)+COUNTIF('12月'!EN33:EO33,D$411)+COUNTIF('12月'!ES33:ET33,D$411)</f>
        <v>0</v>
      </c>
      <c r="E442" s="76">
        <f t="shared" si="133"/>
        <v>0</v>
      </c>
      <c r="F442" s="76">
        <f>COUNTIF('12月'!D33:E33,F$411)+COUNTIF('12月'!I33:J33,F$411)+COUNTIF('12月'!N33:O33,F$411)+COUNTIF('12月'!S33:T33,F$411)+COUNTIF('12月'!X33:Y33,F$411)+COUNTIF('12月'!AC33:AD33,F$411)+COUNTIF('12月'!AH33:AI33,F$411)+COUNTIF('12月'!AM33:AN33,F$411)+COUNTIF('12月'!AR33:AS33,F$411)+COUNTIF('12月'!AW33:AX33,F$411)+COUNTIF('12月'!BB33:BC33,F$411)+COUNTIF('12月'!BG33:BH33,F$411)+COUNTIF('12月'!BL33:BM33,F$411)+COUNTIF('12月'!BQ33:BR33,F$411)+COUNTIF('12月'!BV33:BW33,F$411)+COUNTIF('12月'!CA33:CB33,F$411)+COUNTIF('12月'!CF33:CG33,F$411)+COUNTIF('12月'!CK33:CL33,F$411)+COUNTIF('12月'!CP33:CQ33,F$411)+COUNTIF('12月'!CU33:CV33,F$411)+COUNTIF('12月'!CZ33:DA33,F$411)+COUNTIF('12月'!DE33:DF33,F$411)+COUNTIF('12月'!DJ33:DK33,F$411)+COUNTIF('12月'!DO33:DP33,F$411)+COUNTIF('12月'!DT33:DU33,F$411)+COUNTIF('12月'!DY33:DZ33,F$411)+COUNTIF('12月'!ED33:EE33,F$411)+COUNTIF('12月'!EI33:EJ33,F$411)+COUNTIF('12月'!EN33:EO33,F$411)+COUNTIF('12月'!ES33:ET33,F$411)</f>
        <v>0</v>
      </c>
      <c r="G442" s="76">
        <f t="shared" si="134"/>
        <v>0</v>
      </c>
      <c r="H442" s="76">
        <f>COUNTIF('12月'!D33:E33,H$411)+COUNTIF('12月'!I33:J33,H$411)+COUNTIF('12月'!N33:O33,H$411)+COUNTIF('12月'!S33:T33,H$411)+COUNTIF('12月'!X33:Y33,H$411)+COUNTIF('12月'!AC33:AD33,H$411)+COUNTIF('12月'!AH33:AI33,H$411)+COUNTIF('12月'!AM33:AN33,H$411)+COUNTIF('12月'!AR33:AS33,H$411)+COUNTIF('12月'!AW33:AX33,H$411)+COUNTIF('12月'!BB33:BC33,H$411)+COUNTIF('12月'!BG33:BH33,H$411)+COUNTIF('12月'!BL33:BM33,H$411)+COUNTIF('12月'!BQ33:BR33,H$411)+COUNTIF('12月'!BV33:BW33,H$411)+COUNTIF('12月'!CA33:CB33,H$411)+COUNTIF('12月'!CF33:CG33,H$411)+COUNTIF('12月'!CK33:CL33,H$411)+COUNTIF('12月'!CP33:CQ33,H$411)+COUNTIF('12月'!CU33:CV33,H$411)+COUNTIF('12月'!CZ33:DA33,H$411)+COUNTIF('12月'!DE33:DF33,H$411)+COUNTIF('12月'!DJ33:DK33,H$411)+COUNTIF('12月'!DO33:DP33,H$411)+COUNTIF('12月'!DT33:DU33,H$411)+COUNTIF('12月'!DY33:DZ33,H$411)+COUNTIF('12月'!ED33:EE33,H$411)+COUNTIF('12月'!EI33:EJ33,H$411)+COUNTIF('12月'!EN33:EO33,H$411)+COUNTIF('12月'!ES33:ET33,H$411)+COUNTIF('12月'!D33:E33,"渋谷-夜勤")+COUNTIF('12月'!I33:J33,"渋谷-夜勤")+COUNTIF('12月'!N33:O33,"渋谷-夜勤")+COUNTIF('12月'!S33:T33,"渋谷-夜勤")+COUNTIF('12月'!X33:Y33,"渋谷-夜勤")+COUNTIF('12月'!AC33:AD33,"渋谷-夜勤")+COUNTIF('12月'!AH33:AI33,"渋谷-夜勤")+COUNTIF('12月'!AM33:AN33,"渋谷-夜勤")+COUNTIF('12月'!AR33:AS33,"渋谷-夜勤")+COUNTIF('12月'!AW33:AX33,"渋谷-夜勤")+COUNTIF('12月'!BB33:BC33,"渋谷-夜勤")+COUNTIF('12月'!BG33:BH33,"渋谷-夜勤")+COUNTIF('12月'!BL33:BM33,"渋谷-夜勤")+COUNTIF('12月'!BQ33:BR33,"渋谷-夜勤")+COUNTIF('12月'!BV33:BW33,"渋谷-夜勤")+COUNTIF('12月'!CA33:CB33,"渋谷-夜勤")+COUNTIF('12月'!CF33:CG33,"渋谷-夜勤")+COUNTIF('12月'!CK33:CL33,"渋谷-夜勤")+COUNTIF('12月'!CP33:CQ33,"渋谷-夜勤")+COUNTIF('12月'!CU33:CV33,"渋谷-夜勤")+COUNTIF('12月'!CZ33:DA33,"渋谷-夜勤")+COUNTIF('12月'!DE33:DF33,"渋谷-夜勤")+COUNTIF('12月'!DJ33:DK33,"渋谷-夜勤")+COUNTIF('12月'!DO33:DP33,"渋谷-夜勤")+COUNTIF('12月'!DT33:DU33,"渋谷-夜勤")+COUNTIF('12月'!DY33:DZ33,"渋谷-夜勤")+COUNTIF('12月'!ED33:EE33,"渋谷-夜勤")+COUNTIF('12月'!EI33:EJ33,"渋谷-夜勤")+COUNTIF('12月'!EN33:EO33,"渋谷-夜勤")+COUNTIF('12月'!ES33:ET33,"渋谷-夜勤")</f>
        <v>0</v>
      </c>
      <c r="I442" s="76">
        <f t="shared" si="135"/>
        <v>0</v>
      </c>
      <c r="J442" s="76">
        <f>COUNTIF('12月'!D33:E33,J$411)+COUNTIF('12月'!I33:J33,J$411)+COUNTIF('12月'!N33:O33,J$411)+COUNTIF('12月'!S33:T33,J$411)+COUNTIF('12月'!X33:Y33,J$411)+COUNTIF('12月'!AC33:AD33,J$411)+COUNTIF('12月'!AH33:AI33,J$411)+COUNTIF('12月'!AM33:AN33,J$411)+COUNTIF('12月'!AR33:AS33,J$411)+COUNTIF('12月'!AW33:AX33,J$411)+COUNTIF('12月'!BB33:BC33,J$411)+COUNTIF('12月'!BG33:BH33,J$411)+COUNTIF('12月'!BL33:BM33,J$411)+COUNTIF('12月'!BQ33:BR33,J$411)+COUNTIF('12月'!BV33:BW33,J$411)+COUNTIF('12月'!CA33:CB33,J$411)+COUNTIF('12月'!CF33:CG33,J$411)+COUNTIF('12月'!CK33:CL33,J$411)+COUNTIF('12月'!CP33:CQ33,J$411)+COUNTIF('12月'!CU33:CV33,J$411)+COUNTIF('12月'!CZ33:DA33,J$411)+COUNTIF('12月'!DE33:DF33,J$411)+COUNTIF('12月'!DJ33:DK33,J$411)+COUNTIF('12月'!DO33:DP33,J$411)+COUNTIF('12月'!DT33:DU33,J$411)+COUNTIF('12月'!DY33:DZ33,J$411)+COUNTIF('12月'!ED33:EE33,J$411)+COUNTIF('12月'!EI33:EJ33,J$411)+COUNTIF('12月'!EN33:EO33,J$411)+COUNTIF('12月'!ES33:ET33,J$411)+COUNTIF('12月'!D33:E33,"六本木-夜勤")+COUNTIF('12月'!I33:J33,"六本木-夜勤")+COUNTIF('12月'!N33:O33,"六本木-夜勤")+COUNTIF('12月'!S33:T33,"六本木-夜勤")+COUNTIF('12月'!X33:Y33,"六本木-夜勤")+COUNTIF('12月'!AC33:AD33,"六本木-夜勤")+COUNTIF('12月'!AH33:AI33,"六本木-夜勤")+COUNTIF('12月'!AM33:AN33,"六本木-夜勤")+COUNTIF('12月'!AR33:AS33,"六本木-夜勤")+COUNTIF('12月'!AW33:AX33,"六本木-夜勤")+COUNTIF('12月'!BB33:BC33,"六本木-夜勤")+COUNTIF('12月'!BG33:BH33,"六本木-夜勤")+COUNTIF('12月'!BL33:BM33,"六本木-夜勤")+COUNTIF('12月'!BQ33:BR33,"六本木-夜勤")+COUNTIF('12月'!BV33:BW33,"六本木-夜勤")+COUNTIF('12月'!CA33:CB33,"六本木-夜勤")+COUNTIF('12月'!CF33:CG33,"六本木-夜勤")+COUNTIF('12月'!CK33:CL33,"六本木-夜勤")+COUNTIF('12月'!CP33:CQ33,"六本木-夜勤")+COUNTIF('12月'!CU33:CV33,"六本木-夜勤")+COUNTIF('12月'!CZ33:DA33,"六本木-夜勤")+COUNTIF('12月'!DE33:DF33,"六本木-夜勤")+COUNTIF('12月'!DJ33:DK33,"六本木-夜勤")+COUNTIF('12月'!DO33:DP33,"六本木-夜勤")+COUNTIF('12月'!DT33:DU33,"六本木-夜勤")+COUNTIF('12月'!DY33:DZ33,"六本木-夜勤")+COUNTIF('12月'!ED33:EE33,"六本木-夜勤")+COUNTIF('12月'!EI33:EJ33,"六本木-夜勤")+COUNTIF('12月'!EN33:EO33,"六本木-夜勤")+COUNTIF('12月'!ES33:ET33,"六本木-夜勤")+COUNTIF('12月'!D33:E33,"六本木ー夜勤")+COUNTIF('12月'!I33:J33,"六本木ー夜勤")+COUNTIF('12月'!N33:O33,"六本木ー夜勤")+COUNTIF('12月'!S33:T33,"六本木ー夜勤")+COUNTIF('12月'!X33:Y33,"六本木ー夜勤")+COUNTIF('12月'!AC33:AD33,"六本木ー夜勤")+COUNTIF('12月'!AH33:AI33,"六本木ー夜勤")+COUNTIF('12月'!AM33:AN33,"六本木ー夜勤")+COUNTIF('12月'!AR33:AS33,"六本木ー夜勤")+COUNTIF('12月'!AW33:AX33,"六本木ー夜勤")+COUNTIF('12月'!BB33:BC33,"六本木ー夜勤")+COUNTIF('12月'!BG33:BH33,"六本木ー夜勤")+COUNTIF('12月'!BL33:BM33,"六本木ー夜勤")+COUNTIF('12月'!BQ33:BR33,"六本木ー夜勤")+COUNTIF('12月'!BV33:BW33,"六本木ー夜勤")+COUNTIF('12月'!CA33:CB33,"六本木ー夜勤")+COUNTIF('12月'!CF33:CG33,"六本木ー夜勤")+COUNTIF('12月'!CK33:CL33,"六本木ー夜勤")+COUNTIF('12月'!CP33:CQ33,"六本木ー夜勤")+COUNTIF('12月'!CU33:CV33,"六本木ー夜勤")+COUNTIF('12月'!CZ33:DA33,"六本木ー夜勤")+COUNTIF('12月'!DE33:DF33,"六本木ー夜勤")+COUNTIF('12月'!DJ33:DK33,"六本木ー夜勤")+COUNTIF('12月'!DO33:DP33,"六本木ー夜勤")+COUNTIF('12月'!DT33:DU33,"六本木ー夜勤")+COUNTIF('12月'!DY33:DZ33,"六本木ー夜勤")+COUNTIF('12月'!ED33:EE33,"六本木ー夜勤")+COUNTIF('12月'!EI33:EJ33,"六本木ー夜勤")+COUNTIF('12月'!EN33:EO33,"六本木ー夜勤")+COUNTIF('12月'!ES33:ET33,"六本木ー夜勤")</f>
        <v>0</v>
      </c>
      <c r="K442" s="76">
        <f t="shared" si="136"/>
        <v>0</v>
      </c>
      <c r="L442" s="76">
        <f>COUNTIF('12月'!D33:E33,L$411)+COUNTIF('12月'!I33:J33,L$411)+COUNTIF('12月'!N33:O33,L$411)+COUNTIF('12月'!S33:T33,L$411)+COUNTIF('12月'!X33:Y33,L$411)+COUNTIF('12月'!AC33:AD33,L$411)+COUNTIF('12月'!AH33:AI33,L$411)+COUNTIF('12月'!AM33:AN33,L$411)+COUNTIF('12月'!AR33:AS33,L$411)+COUNTIF('12月'!AW33:AX33,L$411)+COUNTIF('12月'!BB33:BC33,L$411)+COUNTIF('12月'!BG33:BH33,L$411)+COUNTIF('12月'!BL33:BM33,L$411)+COUNTIF('12月'!BQ33:BR33,L$411)+COUNTIF('12月'!BV33:BW33,L$411)+COUNTIF('12月'!CA33:CB33,L$411)+COUNTIF('12月'!CF33:CG33,L$411)+COUNTIF('12月'!CK33:CL33,L$411)+COUNTIF('12月'!CP33:CQ33,L$411)+COUNTIF('12月'!CU33:CV33,L$411)+COUNTIF('12月'!CZ33:DA33,L$411)+COUNTIF('12月'!DE33:DF33,L$411)+COUNTIF('12月'!DJ33:DK33,L$411)+COUNTIF('12月'!DO33:DP33,L$411)+COUNTIF('12月'!DT33:DU33,L$411)+COUNTIF('12月'!DY33:DZ33,L$411)+COUNTIF('12月'!ED33:EE33,L$411)+COUNTIF('12月'!EI33:EJ33,L$411)+COUNTIF('12月'!EN33:EO33,L$411)+COUNTIF('12月'!ES33:ET33,L$411)</f>
        <v>0</v>
      </c>
      <c r="M442" s="76">
        <f t="shared" si="137"/>
        <v>0</v>
      </c>
      <c r="N442" s="76">
        <f>COUNTIF('12月'!D33:E33,N$411)+COUNTIF('12月'!I33:J33,N$411)+COUNTIF('12月'!N33:O33,N$411)+COUNTIF('12月'!S33:T33,N$411)+COUNTIF('12月'!X33:Y33,N$411)+COUNTIF('12月'!AC33:AD33,N$411)+COUNTIF('12月'!AH33:AI33,N$411)+COUNTIF('12月'!AM33:AN33,N$411)+COUNTIF('12月'!AR33:AS33,N$411)+COUNTIF('12月'!AW33:AX33,N$411)+COUNTIF('12月'!BB33:BC33,N$411)+COUNTIF('12月'!BG33:BH33,N$411)+COUNTIF('12月'!BL33:BM33,N$411)+COUNTIF('12月'!BQ33:BR33,N$411)+COUNTIF('12月'!BV33:BW33,N$411)+COUNTIF('12月'!CA33:CB33,N$411)+COUNTIF('12月'!CF33:CG33,N$411)+COUNTIF('12月'!CK33:CL33,N$411)+COUNTIF('12月'!CP33:CQ33,N$411)+COUNTIF('12月'!CU33:CV33,N$411)+COUNTIF('12月'!CZ33:DA33,N$411)+COUNTIF('12月'!DE33:DF33,N$411)+COUNTIF('12月'!DJ33:DK33,N$411)+COUNTIF('12月'!DO33:DP33,N$411)+COUNTIF('12月'!DT33:DU33,N$411)+COUNTIF('12月'!DY33:DZ33,N$411)+COUNTIF('12月'!ED33:EE33,N$411)+COUNTIF('12月'!EI33:EJ33,N$411)+COUNTIF('12月'!EN33:EO33,N$411)+COUNTIF('12月'!ES33:ET33,N$411)+COUNTIF('12月'!D33:E33,"三軒茶屋－夜勤")+COUNTIF('12月'!I33:J33,"三軒茶屋－夜勤")+COUNTIF('12月'!N33:O33,"三軒茶屋－夜勤")+COUNTIF('12月'!S33:T33,"三軒茶屋－夜勤")+COUNTIF('12月'!X33:Y33,"三軒茶屋－夜勤")+COUNTIF('12月'!AC33:AD33,"三軒茶屋－夜勤")+COUNTIF('12月'!AH33:AI33,"三軒茶屋－夜勤")+COUNTIF('12月'!AM33:AN33,"三軒茶屋－夜勤")+COUNTIF('12月'!AR33:AS33,"三軒茶屋－夜勤")+COUNTIF('12月'!AW33:AX33,"三軒茶屋－夜勤")+COUNTIF('12月'!BB33:BC33,"三軒茶屋－夜勤")+COUNTIF('12月'!BG33:BH33,"三軒茶屋－夜勤")+COUNTIF('12月'!BL33:BM33,"三軒茶屋－夜勤")+COUNTIF('12月'!BQ33:BR33,"三軒茶屋－夜勤")+COUNTIF('12月'!BV33:BW33,"三軒茶屋－夜勤")+COUNTIF('12月'!CA33:CB33,"三軒茶屋－夜勤")+COUNTIF('12月'!CF33:CG33,"三軒茶屋－夜勤")+COUNTIF('12月'!CK33:CL33,"三軒茶屋－夜勤")+COUNTIF('12月'!CP33:CQ33,"三軒茶屋－夜勤")+COUNTIF('12月'!CU33:CV33,"三軒茶屋－夜勤")+COUNTIF('12月'!CZ33:DA33,"三軒茶屋－夜勤")+COUNTIF('12月'!DE33:DF33,"三軒茶屋－夜勤")+COUNTIF('12月'!DJ33:DK33,"三軒茶屋－夜勤")+COUNTIF('12月'!DO33:DP33,"三軒茶屋－夜勤")+COUNTIF('12月'!DT33:DU33,"三軒茶屋－夜勤")+COUNTIF('12月'!DY33:DZ33,"三軒茶屋－夜勤")+COUNTIF('12月'!ED33:EE33,"三軒茶屋－夜勤")+COUNTIF('12月'!EI33:EJ33,"三軒茶屋－夜勤")+COUNTIF('12月'!EN33:EO33,"三軒茶屋－夜勤")+COUNTIF('12月'!ES33:ET33,"三軒茶屋－夜勤")</f>
        <v>0</v>
      </c>
      <c r="O442" s="76">
        <f t="shared" si="138"/>
        <v>0</v>
      </c>
      <c r="P442" s="76">
        <f>COUNTIF('12月'!D33:E33,P$411)+COUNTIF('12月'!I33:J33,P$411)+COUNTIF('12月'!N33:O33,P$411)+COUNTIF('12月'!S33:T33,P$411)+COUNTIF('12月'!X33:Y33,P$411)+COUNTIF('12月'!AC33:AD33,P$411)+COUNTIF('12月'!AH33:AI33,P$411)+COUNTIF('12月'!AM33:AN33,P$411)+COUNTIF('12月'!AR33:AS33,P$411)+COUNTIF('12月'!AW33:AX33,P$411)+COUNTIF('12月'!BB33:BC33,P$411)+COUNTIF('12月'!BG33:BH33,P$411)+COUNTIF('12月'!BL33:BM33,P$411)+COUNTIF('12月'!BQ33:BR33,P$411)+COUNTIF('12月'!BV33:BW33,P$411)+COUNTIF('12月'!CA33:CB33,P$411)+COUNTIF('12月'!CF33:CG33,P$411)+COUNTIF('12月'!CK33:CL33,P$411)+COUNTIF('12月'!CP33:CQ33,P$411)+COUNTIF('12月'!CU33:CV33,P$411)+COUNTIF('12月'!CZ33:DA33,P$411)+COUNTIF('12月'!DE33:DF33,P$411)+COUNTIF('12月'!DJ33:DK33,P$411)+COUNTIF('12月'!DO33:DP33,P$411)+COUNTIF('12月'!DT33:DU33,P$411)+COUNTIF('12月'!DY33:DZ33,P$411)+COUNTIF('12月'!ED33:EE33,P$411)+COUNTIF('12月'!EI33:EJ33,P$411)+COUNTIF('12月'!EN33:EO33,P$411)+COUNTIF('12月'!ES33:ET33,P$411)+COUNTIF('12月'!D33:E33,"荻窪ー夜勤")+COUNTIF('12月'!I33:J33,"荻窪ー夜勤")+COUNTIF('12月'!N33:O33,"荻窪ー夜勤")+COUNTIF('12月'!S33:T33,"荻窪ー夜勤")+COUNTIF('12月'!X33:Y33,"荻窪ー夜勤")+COUNTIF('12月'!AC33:AD33,"荻窪ー夜勤")+COUNTIF('12月'!AH33:AI33,"荻窪ー夜勤")+COUNTIF('12月'!AM33:AN33,"荻窪ー夜勤")+COUNTIF('12月'!AR33:AS33,"荻窪ー夜勤")+COUNTIF('12月'!AW33:AX33,"荻窪ー夜勤")+COUNTIF('12月'!BB33:BC33,"荻窪ー夜勤")+COUNTIF('12月'!BG33:BH33,"荻窪ー夜勤")+COUNTIF('12月'!BL33:BM33,"荻窪ー夜勤")+COUNTIF('12月'!BQ33:BR33,"荻窪ー夜勤")+COUNTIF('12月'!BV33:BW33,"荻窪ー夜勤")+COUNTIF('12月'!CA33:CB33,"荻窪ー夜勤")+COUNTIF('12月'!CF33:CG33,"荻窪ー夜勤")+COUNTIF('12月'!CK33:CL33,"荻窪ー夜勤")+COUNTIF('12月'!CP33:CQ33,"荻窪ー夜勤")+COUNTIF('12月'!CU33:CV33,"荻窪ー夜勤")+COUNTIF('12月'!CZ33:DA33,"荻窪ー夜勤")+COUNTIF('12月'!DE33:DF33,"荻窪ー夜勤")+COUNTIF('12月'!DJ33:DK33,"荻窪ー夜勤")+COUNTIF('12月'!DO33:DP33,"荻窪ー夜勤")+COUNTIF('12月'!DT33:DU33,"荻窪ー夜勤")+COUNTIF('12月'!DY33:DZ33,"荻窪ー夜勤")+COUNTIF('12月'!ED33:EE33,"荻窪ー夜勤")+COUNTIF('12月'!EI33:EJ33,"荻窪ー夜勤")+COUNTIF('12月'!EN33:EO33,"荻窪ー夜勤")+COUNTIF('12月'!ES33:ET33,"荻窪ー夜勤")</f>
        <v>0</v>
      </c>
      <c r="Q442" s="76">
        <f t="shared" si="139"/>
        <v>0</v>
      </c>
      <c r="R442" s="76">
        <f>COUNTIF('12月'!D33:E33,R$411)+COUNTIF('12月'!I33:J33,R$411)+COUNTIF('12月'!N33:O33,R$411)+COUNTIF('12月'!S33:T33,R$411)+COUNTIF('12月'!X33:Y33,R$411)+COUNTIF('12月'!AC33:AD33,R$411)+COUNTIF('12月'!AH33:AI33,R$411)+COUNTIF('12月'!AM33:AN33,R$411)+COUNTIF('12月'!AR33:AS33,R$411)+COUNTIF('12月'!AW33:AX33,R$411)+COUNTIF('12月'!BB33:BC33,R$411)+COUNTIF('12月'!BG33:BH33,R$411)+COUNTIF('12月'!BL33:BM33,R$411)+COUNTIF('12月'!BQ33:BR33,R$411)+COUNTIF('12月'!BV33:BW33,R$411)+COUNTIF('12月'!CA33:CB33,R$411)+COUNTIF('12月'!CF33:CG33,R$411)+COUNTIF('12月'!CK33:CL33,R$411)+COUNTIF('12月'!CP33:CQ33,R$411)+COUNTIF('12月'!CU33:CV33,R$411)+COUNTIF('12月'!CZ33:DA33,R$411)+COUNTIF('12月'!DE33:DF33,R$411)+COUNTIF('12月'!DJ33:DK33,R$411)+COUNTIF('12月'!DO33:DP33,R$411)+COUNTIF('12月'!DT33:DU33,R$411)+COUNTIF('12月'!DY33:DZ33,R$411)+COUNTIF('12月'!ED33:EE33,R$411)+COUNTIF('12月'!EI33:EJ33,R$411)+COUNTIF('12月'!EN33:EO33,R$411)+COUNTIF('12月'!ES33:ET33,R$411)</f>
        <v>0</v>
      </c>
      <c r="S442" s="76">
        <f t="shared" si="140"/>
        <v>0</v>
      </c>
      <c r="T442" s="76">
        <f>COUNTIF('12月'!D33:E33,T$411)+COUNTIF('12月'!I33:J33,T$411)+COUNTIF('12月'!N33:O33,T$411)+COUNTIF('12月'!S33:T33,T$411)+COUNTIF('12月'!X33:Y33,T$411)+COUNTIF('12月'!AC33:AD33,T$411)+COUNTIF('12月'!AH33:AI33,T$411)+COUNTIF('12月'!AM33:AN33,T$411)+COUNTIF('12月'!AR33:AS33,T$411)+COUNTIF('12月'!AW33:AX33,T$411)+COUNTIF('12月'!BB33:BC33,T$411)+COUNTIF('12月'!BG33:BH33,T$411)+COUNTIF('12月'!BL33:BM33,T$411)+COUNTIF('12月'!BQ33:BR33,T$411)+COUNTIF('12月'!BV33:BW33,T$411)+COUNTIF('12月'!CA33:CB33,T$411)+COUNTIF('12月'!CF33:CG33,T$411)+COUNTIF('12月'!CK33:CL33,T$411)+COUNTIF('12月'!CP33:CQ33,T$411)+COUNTIF('12月'!CU33:CV33,T$411)+COUNTIF('12月'!CZ33:DA33,T$411)+COUNTIF('12月'!DE33:DF33,T$411)+COUNTIF('12月'!DJ33:DK33,T$411)+COUNTIF('12月'!DO33:DP33,T$411)+COUNTIF('12月'!DT33:DU33,T$411)+COUNTIF('12月'!DY33:DZ33,T$411)+COUNTIF('12月'!ED33:EE33,T$411)+COUNTIF('12月'!EI33:EJ33,T$411)+COUNTIF('12月'!EN33:EO33,T$411)+COUNTIF('12月'!ES33:ET33,T$411)</f>
        <v>0</v>
      </c>
      <c r="U442" s="76">
        <f t="shared" si="141"/>
        <v>0</v>
      </c>
      <c r="V442" s="76">
        <f>COUNTIF('12月'!D33:E33,V$411)+COUNTIF('12月'!I33:J33,V$411)+COUNTIF('12月'!N33:O33,V$411)+COUNTIF('12月'!S33:T33,V$411)+COUNTIF('12月'!X33:Y33,V$411)+COUNTIF('12月'!AC33:AD33,V$411)+COUNTIF('12月'!AH33:AI33,V$411)+COUNTIF('12月'!AM33:AN33,V$411)+COUNTIF('12月'!AR33:AS33,V$411)+COUNTIF('12月'!AW33:AX33,V$411)+COUNTIF('12月'!BB33:BC33,V$411)+COUNTIF('12月'!BG33:BH33,V$411)+COUNTIF('12月'!BL33:BM33,V$411)+COUNTIF('12月'!BQ33:BR33,V$411)+COUNTIF('12月'!BV33:BW33,V$411)+COUNTIF('12月'!CA33:CB33,V$411)+COUNTIF('12月'!CF33:CG33,V$411)+COUNTIF('12月'!CK33:CL33,V$411)+COUNTIF('12月'!CP33:CQ33,V$411)+COUNTIF('12月'!CU33:CV33,V$411)+COUNTIF('12月'!CZ33:DA33,V$411)+COUNTIF('12月'!DE33:DF33,V$411)+COUNTIF('12月'!DJ33:DK33,V$411)+COUNTIF('12月'!DO33:DP33,V$411)+COUNTIF('12月'!DT33:DU33,V$411)+COUNTIF('12月'!DY33:DZ33,V$411)+COUNTIF('12月'!ED33:EE33,V$411)+COUNTIF('12月'!EI33:EJ33,V$411)+COUNTIF('12月'!EN33:EO33,V$411)+COUNTIF('12月'!ES33:ET33,V$411)</f>
        <v>0</v>
      </c>
      <c r="W442" s="76">
        <f t="shared" si="142"/>
        <v>0</v>
      </c>
      <c r="X442" s="76">
        <f>COUNTIF('12月'!D33:E33,X$411)+COUNTIF('12月'!I33:J33,X$411)+COUNTIF('12月'!N33:O33,X$411)+COUNTIF('12月'!S33:T33,X$411)+COUNTIF('12月'!X33:Y33,X$411)+COUNTIF('12月'!AC33:AD33,X$411)+COUNTIF('12月'!AH33:AI33,X$411)+COUNTIF('12月'!AM33:AN33,X$411)+COUNTIF('12月'!AR33:AS33,X$411)+COUNTIF('12月'!AW33:AX33,X$411)+COUNTIF('12月'!BB33:BC33,X$411)+COUNTIF('12月'!BG33:BH33,X$411)+COUNTIF('12月'!BL33:BM33,X$411)+COUNTIF('12月'!BQ33:BR33,X$411)+COUNTIF('12月'!BV33:BW33,X$411)+COUNTIF('12月'!CA33:CB33,X$411)+COUNTIF('12月'!CF33:CG33,X$411)+COUNTIF('12月'!CK33:CL33,X$411)+COUNTIF('12月'!CP33:CQ33,X$411)+COUNTIF('12月'!CU33:CV33,X$411)+COUNTIF('12月'!CZ33:DA33,X$411)+COUNTIF('12月'!DE33:DF33,X$411)+COUNTIF('12月'!DJ33:DK33,X$411)+COUNTIF('12月'!DO33:DP33,X$411)+COUNTIF('12月'!DT33:DU33,X$411)+COUNTIF('12月'!DY33:DZ33,X$411)+COUNTIF('12月'!ED33:EE33,X$411)+COUNTIF('12月'!EI33:EJ33,X$411)+COUNTIF('12月'!EN33:EO33,X$411)+COUNTIF('12月'!ES33:ET33,X$411)</f>
        <v>0</v>
      </c>
      <c r="Y442" s="76">
        <f t="shared" si="143"/>
        <v>0</v>
      </c>
    </row>
    <row r="443" spans="1:25" ht="18" customHeight="1">
      <c r="A443" s="76">
        <v>31</v>
      </c>
      <c r="B443" s="76">
        <f>COUNTIF('12月'!D34:E34,B$411)+COUNTIF('12月'!I34:J34,B$411)+COUNTIF('12月'!N34:O34,B$411)+COUNTIF('12月'!S34:T34,B$411)+COUNTIF('12月'!X34:Y34,B$411)+COUNTIF('12月'!AC34:AD34,B$411)+COUNTIF('12月'!AH34:AI34,B$411)+COUNTIF('12月'!AM34:AN34,B$411)+COUNTIF('12月'!AR34:AS34,B$411)+COUNTIF('12月'!AW34:AX34,B$411)+COUNTIF('12月'!BB34:BC34,B$411)+COUNTIF('12月'!BG34:BH34,B$411)+COUNTIF('12月'!BL34:BM34,B$411)+COUNTIF('12月'!BQ34:BR34,B$411)+COUNTIF('12月'!BV34:BW34,B$411)+COUNTIF('12月'!CA34:CB34,B$411)+COUNTIF('12月'!CF34:CG34,B$411)+COUNTIF('12月'!CK34:CL34,B$411)+COUNTIF('12月'!CP34:CQ34,B$411)+COUNTIF('12月'!CU34:CV34,B$411)+COUNTIF('12月'!CZ34:DA34,B$411)+COUNTIF('12月'!DE34:DF34,B$411)+COUNTIF('12月'!DJ34:DK34,B$411)+COUNTIF('12月'!DO34:DP34,B$411)+COUNTIF('12月'!DT34:DU34,B$411)+COUNTIF('12月'!DY34:DZ34,B$411)+COUNTIF('12月'!ED34:EE34,B$411)+COUNTIF('12月'!EI34:EJ34,B$411)+COUNTIF('12月'!EN34:EO34,B$411)+COUNTIF('12月'!ES34:ET34,B$411)</f>
        <v>0</v>
      </c>
      <c r="C443" s="76">
        <f t="shared" si="132"/>
        <v>0</v>
      </c>
      <c r="D443" s="76">
        <f>COUNTIF('12月'!D34:E34,D$411)+COUNTIF('12月'!I34:J34,D$411)+COUNTIF('12月'!N34:O34,D$411)+COUNTIF('12月'!S34:T34,D$411)+COUNTIF('12月'!X34:Y34,D$411)+COUNTIF('12月'!AC34:AD34,D$411)+COUNTIF('12月'!AH34:AI34,D$411)+COUNTIF('12月'!AM34:AN34,D$411)+COUNTIF('12月'!AR34:AS34,D$411)+COUNTIF('12月'!AW34:AX34,D$411)+COUNTIF('12月'!BB34:BC34,D$411)+COUNTIF('12月'!BG34:BH34,D$411)+COUNTIF('12月'!BL34:BM34,D$411)+COUNTIF('12月'!BQ34:BR34,D$411)+COUNTIF('12月'!BV34:BW34,D$411)+COUNTIF('12月'!CA34:CB34,D$411)+COUNTIF('12月'!CF34:CG34,D$411)+COUNTIF('12月'!CK34:CL34,D$411)+COUNTIF('12月'!CP34:CQ34,D$411)+COUNTIF('12月'!CU34:CV34,D$411)+COUNTIF('12月'!CZ34:DA34,D$411)+COUNTIF('12月'!DE34:DF34,D$411)+COUNTIF('12月'!DJ34:DK34,D$411)+COUNTIF('12月'!DO34:DP34,D$411)+COUNTIF('12月'!DT34:DU34,D$411)+COUNTIF('12月'!DY34:DZ34,D$411)+COUNTIF('12月'!ED34:EE34,D$411)+COUNTIF('12月'!EI34:EJ34,D$411)+COUNTIF('12月'!EN34:EO34,D$411)+COUNTIF('12月'!ES34:ET34,D$411)</f>
        <v>0</v>
      </c>
      <c r="E443" s="76">
        <f t="shared" si="133"/>
        <v>0</v>
      </c>
      <c r="F443" s="76">
        <f>COUNTIF('12月'!D34:E34,F$411)+COUNTIF('12月'!I34:J34,F$411)+COUNTIF('12月'!N34:O34,F$411)+COUNTIF('12月'!S34:T34,F$411)+COUNTIF('12月'!X34:Y34,F$411)+COUNTIF('12月'!AC34:AD34,F$411)+COUNTIF('12月'!AH34:AI34,F$411)+COUNTIF('12月'!AM34:AN34,F$411)+COUNTIF('12月'!AR34:AS34,F$411)+COUNTIF('12月'!AW34:AX34,F$411)+COUNTIF('12月'!BB34:BC34,F$411)+COUNTIF('12月'!BG34:BH34,F$411)+COUNTIF('12月'!BL34:BM34,F$411)+COUNTIF('12月'!BQ34:BR34,F$411)+COUNTIF('12月'!BV34:BW34,F$411)+COUNTIF('12月'!CA34:CB34,F$411)+COUNTIF('12月'!CF34:CG34,F$411)+COUNTIF('12月'!CK34:CL34,F$411)+COUNTIF('12月'!CP34:CQ34,F$411)+COUNTIF('12月'!CU34:CV34,F$411)+COUNTIF('12月'!CZ34:DA34,F$411)+COUNTIF('12月'!DE34:DF34,F$411)+COUNTIF('12月'!DJ34:DK34,F$411)+COUNTIF('12月'!DO34:DP34,F$411)+COUNTIF('12月'!DT34:DU34,F$411)+COUNTIF('12月'!DY34:DZ34,F$411)+COUNTIF('12月'!ED34:EE34,F$411)+COUNTIF('12月'!EI34:EJ34,F$411)+COUNTIF('12月'!EN34:EO34,F$411)+COUNTIF('12月'!ES34:ET34,F$411)</f>
        <v>0</v>
      </c>
      <c r="G443" s="76">
        <f t="shared" si="134"/>
        <v>0</v>
      </c>
      <c r="H443" s="76">
        <f>COUNTIF('12月'!D34:E34,H$411)+COUNTIF('12月'!I34:J34,H$411)+COUNTIF('12月'!N34:O34,H$411)+COUNTIF('12月'!S34:T34,H$411)+COUNTIF('12月'!X34:Y34,H$411)+COUNTIF('12月'!AC34:AD34,H$411)+COUNTIF('12月'!AH34:AI34,H$411)+COUNTIF('12月'!AM34:AN34,H$411)+COUNTIF('12月'!AR34:AS34,H$411)+COUNTIF('12月'!AW34:AX34,H$411)+COUNTIF('12月'!BB34:BC34,H$411)+COUNTIF('12月'!BG34:BH34,H$411)+COUNTIF('12月'!BL34:BM34,H$411)+COUNTIF('12月'!BQ34:BR34,H$411)+COUNTIF('12月'!BV34:BW34,H$411)+COUNTIF('12月'!CA34:CB34,H$411)+COUNTIF('12月'!CF34:CG34,H$411)+COUNTIF('12月'!CK34:CL34,H$411)+COUNTIF('12月'!CP34:CQ34,H$411)+COUNTIF('12月'!CU34:CV34,H$411)+COUNTIF('12月'!CZ34:DA34,H$411)+COUNTIF('12月'!DE34:DF34,H$411)+COUNTIF('12月'!DJ34:DK34,H$411)+COUNTIF('12月'!DO34:DP34,H$411)+COUNTIF('12月'!DT34:DU34,H$411)+COUNTIF('12月'!DY34:DZ34,H$411)+COUNTIF('12月'!ED34:EE34,H$411)+COUNTIF('12月'!EI34:EJ34,H$411)+COUNTIF('12月'!EN34:EO34,H$411)+COUNTIF('12月'!ES34:ET34,H$411)+COUNTIF('12月'!D34:E34,"渋谷-夜勤")+COUNTIF('12月'!I34:J34,"渋谷-夜勤")+COUNTIF('12月'!N34:O34,"渋谷-夜勤")+COUNTIF('12月'!S34:T34,"渋谷-夜勤")+COUNTIF('12月'!X34:Y34,"渋谷-夜勤")+COUNTIF('12月'!AC34:AD34,"渋谷-夜勤")+COUNTIF('12月'!AH34:AI34,"渋谷-夜勤")+COUNTIF('12月'!AM34:AN34,"渋谷-夜勤")+COUNTIF('12月'!AR34:AS34,"渋谷-夜勤")+COUNTIF('12月'!AW34:AX34,"渋谷-夜勤")+COUNTIF('12月'!BB34:BC34,"渋谷-夜勤")+COUNTIF('12月'!BG34:BH34,"渋谷-夜勤")+COUNTIF('12月'!BL34:BM34,"渋谷-夜勤")+COUNTIF('12月'!BQ34:BR34,"渋谷-夜勤")+COUNTIF('12月'!BV34:BW34,"渋谷-夜勤")+COUNTIF('12月'!CA34:CB34,"渋谷-夜勤")+COUNTIF('12月'!CF34:CG34,"渋谷-夜勤")+COUNTIF('12月'!CK34:CL34,"渋谷-夜勤")+COUNTIF('12月'!CP34:CQ34,"渋谷-夜勤")+COUNTIF('12月'!CU34:CV34,"渋谷-夜勤")+COUNTIF('12月'!CZ34:DA34,"渋谷-夜勤")+COUNTIF('12月'!DE34:DF34,"渋谷-夜勤")+COUNTIF('12月'!DJ34:DK34,"渋谷-夜勤")+COUNTIF('12月'!DO34:DP34,"渋谷-夜勤")+COUNTIF('12月'!DT34:DU34,"渋谷-夜勤")+COUNTIF('12月'!DY34:DZ34,"渋谷-夜勤")+COUNTIF('12月'!ED34:EE34,"渋谷-夜勤")+COUNTIF('12月'!EI34:EJ34,"渋谷-夜勤")+COUNTIF('12月'!EN34:EO34,"渋谷-夜勤")+COUNTIF('12月'!ES34:ET34,"渋谷-夜勤")</f>
        <v>0</v>
      </c>
      <c r="I443" s="76">
        <f t="shared" si="135"/>
        <v>0</v>
      </c>
      <c r="J443" s="76">
        <f>COUNTIF('12月'!D34:E34,J$411)+COUNTIF('12月'!I34:J34,J$411)+COUNTIF('12月'!N34:O34,J$411)+COUNTIF('12月'!S34:T34,J$411)+COUNTIF('12月'!X34:Y34,J$411)+COUNTIF('12月'!AC34:AD34,J$411)+COUNTIF('12月'!AH34:AI34,J$411)+COUNTIF('12月'!AM34:AN34,J$411)+COUNTIF('12月'!AR34:AS34,J$411)+COUNTIF('12月'!AW34:AX34,J$411)+COUNTIF('12月'!BB34:BC34,J$411)+COUNTIF('12月'!BG34:BH34,J$411)+COUNTIF('12月'!BL34:BM34,J$411)+COUNTIF('12月'!BQ34:BR34,J$411)+COUNTIF('12月'!BV34:BW34,J$411)+COUNTIF('12月'!CA34:CB34,J$411)+COUNTIF('12月'!CF34:CG34,J$411)+COUNTIF('12月'!CK34:CL34,J$411)+COUNTIF('12月'!CP34:CQ34,J$411)+COUNTIF('12月'!CU34:CV34,J$411)+COUNTIF('12月'!CZ34:DA34,J$411)+COUNTIF('12月'!DE34:DF34,J$411)+COUNTIF('12月'!DJ34:DK34,J$411)+COUNTIF('12月'!DO34:DP34,J$411)+COUNTIF('12月'!DT34:DU34,J$411)+COUNTIF('12月'!DY34:DZ34,J$411)+COUNTIF('12月'!ED34:EE34,J$411)+COUNTIF('12月'!EI34:EJ34,J$411)+COUNTIF('12月'!EN34:EO34,J$411)+COUNTIF('12月'!ES34:ET34,J$411)+COUNTIF('12月'!D34:E34,"六本木-夜勤")+COUNTIF('12月'!I34:J34,"六本木-夜勤")+COUNTIF('12月'!N34:O34,"六本木-夜勤")+COUNTIF('12月'!S34:T34,"六本木-夜勤")+COUNTIF('12月'!X34:Y34,"六本木-夜勤")+COUNTIF('12月'!AC34:AD34,"六本木-夜勤")+COUNTIF('12月'!AH34:AI34,"六本木-夜勤")+COUNTIF('12月'!AM34:AN34,"六本木-夜勤")+COUNTIF('12月'!AR34:AS34,"六本木-夜勤")+COUNTIF('12月'!AW34:AX34,"六本木-夜勤")+COUNTIF('12月'!BB34:BC34,"六本木-夜勤")+COUNTIF('12月'!BG34:BH34,"六本木-夜勤")+COUNTIF('12月'!BL34:BM34,"六本木-夜勤")+COUNTIF('12月'!BQ34:BR34,"六本木-夜勤")+COUNTIF('12月'!BV34:BW34,"六本木-夜勤")+COUNTIF('12月'!CA34:CB34,"六本木-夜勤")+COUNTIF('12月'!CF34:CG34,"六本木-夜勤")+COUNTIF('12月'!CK34:CL34,"六本木-夜勤")+COUNTIF('12月'!CP34:CQ34,"六本木-夜勤")+COUNTIF('12月'!CU34:CV34,"六本木-夜勤")+COUNTIF('12月'!CZ34:DA34,"六本木-夜勤")+COUNTIF('12月'!DE34:DF34,"六本木-夜勤")+COUNTIF('12月'!DJ34:DK34,"六本木-夜勤")+COUNTIF('12月'!DO34:DP34,"六本木-夜勤")+COUNTIF('12月'!DT34:DU34,"六本木-夜勤")+COUNTIF('12月'!DY34:DZ34,"六本木-夜勤")+COUNTIF('12月'!ED34:EE34,"六本木-夜勤")+COUNTIF('12月'!EI34:EJ34,"六本木-夜勤")+COUNTIF('12月'!EN34:EO34,"六本木-夜勤")+COUNTIF('12月'!ES34:ET34,"六本木-夜勤")+COUNTIF('12月'!D34:E34,"六本木ー夜勤")+COUNTIF('12月'!I34:J34,"六本木ー夜勤")+COUNTIF('12月'!N34:O34,"六本木ー夜勤")+COUNTIF('12月'!S34:T34,"六本木ー夜勤")+COUNTIF('12月'!X34:Y34,"六本木ー夜勤")+COUNTIF('12月'!AC34:AD34,"六本木ー夜勤")+COUNTIF('12月'!AH34:AI34,"六本木ー夜勤")+COUNTIF('12月'!AM34:AN34,"六本木ー夜勤")+COUNTIF('12月'!AR34:AS34,"六本木ー夜勤")+COUNTIF('12月'!AW34:AX34,"六本木ー夜勤")+COUNTIF('12月'!BB34:BC34,"六本木ー夜勤")+COUNTIF('12月'!BG34:BH34,"六本木ー夜勤")+COUNTIF('12月'!BL34:BM34,"六本木ー夜勤")+COUNTIF('12月'!BQ34:BR34,"六本木ー夜勤")+COUNTIF('12月'!BV34:BW34,"六本木ー夜勤")+COUNTIF('12月'!CA34:CB34,"六本木ー夜勤")+COUNTIF('12月'!CF34:CG34,"六本木ー夜勤")+COUNTIF('12月'!CK34:CL34,"六本木ー夜勤")+COUNTIF('12月'!CP34:CQ34,"六本木ー夜勤")+COUNTIF('12月'!CU34:CV34,"六本木ー夜勤")+COUNTIF('12月'!CZ34:DA34,"六本木ー夜勤")+COUNTIF('12月'!DE34:DF34,"六本木ー夜勤")+COUNTIF('12月'!DJ34:DK34,"六本木ー夜勤")+COUNTIF('12月'!DO34:DP34,"六本木ー夜勤")+COUNTIF('12月'!DT34:DU34,"六本木ー夜勤")+COUNTIF('12月'!DY34:DZ34,"六本木ー夜勤")+COUNTIF('12月'!ED34:EE34,"六本木ー夜勤")+COUNTIF('12月'!EI34:EJ34,"六本木ー夜勤")+COUNTIF('12月'!EN34:EO34,"六本木ー夜勤")+COUNTIF('12月'!ES34:ET34,"六本木ー夜勤")</f>
        <v>0</v>
      </c>
      <c r="K443" s="76">
        <f t="shared" si="136"/>
        <v>0</v>
      </c>
      <c r="L443" s="76">
        <f>COUNTIF('12月'!D34:E34,L$411)+COUNTIF('12月'!I34:J34,L$411)+COUNTIF('12月'!N34:O34,L$411)+COUNTIF('12月'!S34:T34,L$411)+COUNTIF('12月'!X34:Y34,L$411)+COUNTIF('12月'!AC34:AD34,L$411)+COUNTIF('12月'!AH34:AI34,L$411)+COUNTIF('12月'!AM34:AN34,L$411)+COUNTIF('12月'!AR34:AS34,L$411)+COUNTIF('12月'!AW34:AX34,L$411)+COUNTIF('12月'!BB34:BC34,L$411)+COUNTIF('12月'!BG34:BH34,L$411)+COUNTIF('12月'!BL34:BM34,L$411)+COUNTIF('12月'!BQ34:BR34,L$411)+COUNTIF('12月'!BV34:BW34,L$411)+COUNTIF('12月'!CA34:CB34,L$411)+COUNTIF('12月'!CF34:CG34,L$411)+COUNTIF('12月'!CK34:CL34,L$411)+COUNTIF('12月'!CP34:CQ34,L$411)+COUNTIF('12月'!CU34:CV34,L$411)+COUNTIF('12月'!CZ34:DA34,L$411)+COUNTIF('12月'!DE34:DF34,L$411)+COUNTIF('12月'!DJ34:DK34,L$411)+COUNTIF('12月'!DO34:DP34,L$411)+COUNTIF('12月'!DT34:DU34,L$411)+COUNTIF('12月'!DY34:DZ34,L$411)+COUNTIF('12月'!ED34:EE34,L$411)+COUNTIF('12月'!EI34:EJ34,L$411)+COUNTIF('12月'!EN34:EO34,L$411)+COUNTIF('12月'!ES34:ET34,L$411)</f>
        <v>0</v>
      </c>
      <c r="M443" s="76">
        <f t="shared" si="137"/>
        <v>0</v>
      </c>
      <c r="N443" s="76">
        <f>COUNTIF('12月'!D34:E34,N$411)+COUNTIF('12月'!I34:J34,N$411)+COUNTIF('12月'!N34:O34,N$411)+COUNTIF('12月'!S34:T34,N$411)+COUNTIF('12月'!X34:Y34,N$411)+COUNTIF('12月'!AC34:AD34,N$411)+COUNTIF('12月'!AH34:AI34,N$411)+COUNTIF('12月'!AM34:AN34,N$411)+COUNTIF('12月'!AR34:AS34,N$411)+COUNTIF('12月'!AW34:AX34,N$411)+COUNTIF('12月'!BB34:BC34,N$411)+COUNTIF('12月'!BG34:BH34,N$411)+COUNTIF('12月'!BL34:BM34,N$411)+COUNTIF('12月'!BQ34:BR34,N$411)+COUNTIF('12月'!BV34:BW34,N$411)+COUNTIF('12月'!CA34:CB34,N$411)+COUNTIF('12月'!CF34:CG34,N$411)+COUNTIF('12月'!CK34:CL34,N$411)+COUNTIF('12月'!CP34:CQ34,N$411)+COUNTIF('12月'!CU34:CV34,N$411)+COUNTIF('12月'!CZ34:DA34,N$411)+COUNTIF('12月'!DE34:DF34,N$411)+COUNTIF('12月'!DJ34:DK34,N$411)+COUNTIF('12月'!DO34:DP34,N$411)+COUNTIF('12月'!DT34:DU34,N$411)+COUNTIF('12月'!DY34:DZ34,N$411)+COUNTIF('12月'!ED34:EE34,N$411)+COUNTIF('12月'!EI34:EJ34,N$411)+COUNTIF('12月'!EN34:EO34,N$411)+COUNTIF('12月'!ES34:ET34,N$411)+COUNTIF('12月'!D34:E34,"三軒茶屋－夜勤")+COUNTIF('12月'!I34:J34,"三軒茶屋－夜勤")+COUNTIF('12月'!N34:O34,"三軒茶屋－夜勤")+COUNTIF('12月'!S34:T34,"三軒茶屋－夜勤")+COUNTIF('12月'!X34:Y34,"三軒茶屋－夜勤")+COUNTIF('12月'!AC34:AD34,"三軒茶屋－夜勤")+COUNTIF('12月'!AH34:AI34,"三軒茶屋－夜勤")+COUNTIF('12月'!AM34:AN34,"三軒茶屋－夜勤")+COUNTIF('12月'!AR34:AS34,"三軒茶屋－夜勤")+COUNTIF('12月'!AW34:AX34,"三軒茶屋－夜勤")+COUNTIF('12月'!BB34:BC34,"三軒茶屋－夜勤")+COUNTIF('12月'!BG34:BH34,"三軒茶屋－夜勤")+COUNTIF('12月'!BL34:BM34,"三軒茶屋－夜勤")+COUNTIF('12月'!BQ34:BR34,"三軒茶屋－夜勤")+COUNTIF('12月'!BV34:BW34,"三軒茶屋－夜勤")+COUNTIF('12月'!CA34:CB34,"三軒茶屋－夜勤")+COUNTIF('12月'!CF34:CG34,"三軒茶屋－夜勤")+COUNTIF('12月'!CK34:CL34,"三軒茶屋－夜勤")+COUNTIF('12月'!CP34:CQ34,"三軒茶屋－夜勤")+COUNTIF('12月'!CU34:CV34,"三軒茶屋－夜勤")+COUNTIF('12月'!CZ34:DA34,"三軒茶屋－夜勤")+COUNTIF('12月'!DE34:DF34,"三軒茶屋－夜勤")+COUNTIF('12月'!DJ34:DK34,"三軒茶屋－夜勤")+COUNTIF('12月'!DO34:DP34,"三軒茶屋－夜勤")+COUNTIF('12月'!DT34:DU34,"三軒茶屋－夜勤")+COUNTIF('12月'!DY34:DZ34,"三軒茶屋－夜勤")+COUNTIF('12月'!ED34:EE34,"三軒茶屋－夜勤")+COUNTIF('12月'!EI34:EJ34,"三軒茶屋－夜勤")+COUNTIF('12月'!EN34:EO34,"三軒茶屋－夜勤")+COUNTIF('12月'!ES34:ET34,"三軒茶屋－夜勤")</f>
        <v>0</v>
      </c>
      <c r="O443" s="76">
        <f t="shared" si="138"/>
        <v>0</v>
      </c>
      <c r="P443" s="76">
        <f>COUNTIF('12月'!D34:E34,P$411)+COUNTIF('12月'!I34:J34,P$411)+COUNTIF('12月'!N34:O34,P$411)+COUNTIF('12月'!S34:T34,P$411)+COUNTIF('12月'!X34:Y34,P$411)+COUNTIF('12月'!AC34:AD34,P$411)+COUNTIF('12月'!AH34:AI34,P$411)+COUNTIF('12月'!AM34:AN34,P$411)+COUNTIF('12月'!AR34:AS34,P$411)+COUNTIF('12月'!AW34:AX34,P$411)+COUNTIF('12月'!BB34:BC34,P$411)+COUNTIF('12月'!BG34:BH34,P$411)+COUNTIF('12月'!BL34:BM34,P$411)+COUNTIF('12月'!BQ34:BR34,P$411)+COUNTIF('12月'!BV34:BW34,P$411)+COUNTIF('12月'!CA34:CB34,P$411)+COUNTIF('12月'!CF34:CG34,P$411)+COUNTIF('12月'!CK34:CL34,P$411)+COUNTIF('12月'!CP34:CQ34,P$411)+COUNTIF('12月'!CU34:CV34,P$411)+COUNTIF('12月'!CZ34:DA34,P$411)+COUNTIF('12月'!DE34:DF34,P$411)+COUNTIF('12月'!DJ34:DK34,P$411)+COUNTIF('12月'!DO34:DP34,P$411)+COUNTIF('12月'!DT34:DU34,P$411)+COUNTIF('12月'!DY34:DZ34,P$411)+COUNTIF('12月'!ED34:EE34,P$411)+COUNTIF('12月'!EI34:EJ34,P$411)+COUNTIF('12月'!EN34:EO34,P$411)+COUNTIF('12月'!ES34:ET34,P$411)+COUNTIF('12月'!D34:E34,"荻窪ー夜勤")+COUNTIF('12月'!I34:J34,"荻窪ー夜勤")+COUNTIF('12月'!N34:O34,"荻窪ー夜勤")+COUNTIF('12月'!S34:T34,"荻窪ー夜勤")+COUNTIF('12月'!X34:Y34,"荻窪ー夜勤")+COUNTIF('12月'!AC34:AD34,"荻窪ー夜勤")+COUNTIF('12月'!AH34:AI34,"荻窪ー夜勤")+COUNTIF('12月'!AM34:AN34,"荻窪ー夜勤")+COUNTIF('12月'!AR34:AS34,"荻窪ー夜勤")+COUNTIF('12月'!AW34:AX34,"荻窪ー夜勤")+COUNTIF('12月'!BB34:BC34,"荻窪ー夜勤")+COUNTIF('12月'!BG34:BH34,"荻窪ー夜勤")+COUNTIF('12月'!BL34:BM34,"荻窪ー夜勤")+COUNTIF('12月'!BQ34:BR34,"荻窪ー夜勤")+COUNTIF('12月'!BV34:BW34,"荻窪ー夜勤")+COUNTIF('12月'!CA34:CB34,"荻窪ー夜勤")+COUNTIF('12月'!CF34:CG34,"荻窪ー夜勤")+COUNTIF('12月'!CK34:CL34,"荻窪ー夜勤")+COUNTIF('12月'!CP34:CQ34,"荻窪ー夜勤")+COUNTIF('12月'!CU34:CV34,"荻窪ー夜勤")+COUNTIF('12月'!CZ34:DA34,"荻窪ー夜勤")+COUNTIF('12月'!DE34:DF34,"荻窪ー夜勤")+COUNTIF('12月'!DJ34:DK34,"荻窪ー夜勤")+COUNTIF('12月'!DO34:DP34,"荻窪ー夜勤")+COUNTIF('12月'!DT34:DU34,"荻窪ー夜勤")+COUNTIF('12月'!DY34:DZ34,"荻窪ー夜勤")+COUNTIF('12月'!ED34:EE34,"荻窪ー夜勤")+COUNTIF('12月'!EI34:EJ34,"荻窪ー夜勤")+COUNTIF('12月'!EN34:EO34,"荻窪ー夜勤")+COUNTIF('12月'!ES34:ET34,"荻窪ー夜勤")</f>
        <v>0</v>
      </c>
      <c r="Q443" s="76">
        <f t="shared" si="139"/>
        <v>0</v>
      </c>
      <c r="R443" s="76">
        <f>COUNTIF('12月'!D34:E34,R$411)+COUNTIF('12月'!I34:J34,R$411)+COUNTIF('12月'!N34:O34,R$411)+COUNTIF('12月'!S34:T34,R$411)+COUNTIF('12月'!X34:Y34,R$411)+COUNTIF('12月'!AC34:AD34,R$411)+COUNTIF('12月'!AH34:AI34,R$411)+COUNTIF('12月'!AM34:AN34,R$411)+COUNTIF('12月'!AR34:AS34,R$411)+COUNTIF('12月'!AW34:AX34,R$411)+COUNTIF('12月'!BB34:BC34,R$411)+COUNTIF('12月'!BG34:BH34,R$411)+COUNTIF('12月'!BL34:BM34,R$411)+COUNTIF('12月'!BQ34:BR34,R$411)+COUNTIF('12月'!BV34:BW34,R$411)+COUNTIF('12月'!CA34:CB34,R$411)+COUNTIF('12月'!CF34:CG34,R$411)+COUNTIF('12月'!CK34:CL34,R$411)+COUNTIF('12月'!CP34:CQ34,R$411)+COUNTIF('12月'!CU34:CV34,R$411)+COUNTIF('12月'!CZ34:DA34,R$411)+COUNTIF('12月'!DE34:DF34,R$411)+COUNTIF('12月'!DJ34:DK34,R$411)+COUNTIF('12月'!DO34:DP34,R$411)+COUNTIF('12月'!DT34:DU34,R$411)+COUNTIF('12月'!DY34:DZ34,R$411)+COUNTIF('12月'!ED34:EE34,R$411)+COUNTIF('12月'!EI34:EJ34,R$411)+COUNTIF('12月'!EN34:EO34,R$411)+COUNTIF('12月'!ES34:ET34,R$411)</f>
        <v>0</v>
      </c>
      <c r="S443" s="76">
        <f t="shared" si="140"/>
        <v>0</v>
      </c>
      <c r="T443" s="76">
        <f>COUNTIF('12月'!D34:E34,T$411)+COUNTIF('12月'!I34:J34,T$411)+COUNTIF('12月'!N34:O34,T$411)+COUNTIF('12月'!S34:T34,T$411)+COUNTIF('12月'!X34:Y34,T$411)+COUNTIF('12月'!AC34:AD34,T$411)+COUNTIF('12月'!AH34:AI34,T$411)+COUNTIF('12月'!AM34:AN34,T$411)+COUNTIF('12月'!AR34:AS34,T$411)+COUNTIF('12月'!AW34:AX34,T$411)+COUNTIF('12月'!BB34:BC34,T$411)+COUNTIF('12月'!BG34:BH34,T$411)+COUNTIF('12月'!BL34:BM34,T$411)+COUNTIF('12月'!BQ34:BR34,T$411)+COUNTIF('12月'!BV34:BW34,T$411)+COUNTIF('12月'!CA34:CB34,T$411)+COUNTIF('12月'!CF34:CG34,T$411)+COUNTIF('12月'!CK34:CL34,T$411)+COUNTIF('12月'!CP34:CQ34,T$411)+COUNTIF('12月'!CU34:CV34,T$411)+COUNTIF('12月'!CZ34:DA34,T$411)+COUNTIF('12月'!DE34:DF34,T$411)+COUNTIF('12月'!DJ34:DK34,T$411)+COUNTIF('12月'!DO34:DP34,T$411)+COUNTIF('12月'!DT34:DU34,T$411)+COUNTIF('12月'!DY34:DZ34,T$411)+COUNTIF('12月'!ED34:EE34,T$411)+COUNTIF('12月'!EI34:EJ34,T$411)+COUNTIF('12月'!EN34:EO34,T$411)+COUNTIF('12月'!ES34:ET34,T$411)</f>
        <v>0</v>
      </c>
      <c r="U443" s="76">
        <f t="shared" si="141"/>
        <v>0</v>
      </c>
      <c r="V443" s="76">
        <f>COUNTIF('12月'!D34:E34,V$411)+COUNTIF('12月'!I34:J34,V$411)+COUNTIF('12月'!N34:O34,V$411)+COUNTIF('12月'!S34:T34,V$411)+COUNTIF('12月'!X34:Y34,V$411)+COUNTIF('12月'!AC34:AD34,V$411)+COUNTIF('12月'!AH34:AI34,V$411)+COUNTIF('12月'!AM34:AN34,V$411)+COUNTIF('12月'!AR34:AS34,V$411)+COUNTIF('12月'!AW34:AX34,V$411)+COUNTIF('12月'!BB34:BC34,V$411)+COUNTIF('12月'!BG34:BH34,V$411)+COUNTIF('12月'!BL34:BM34,V$411)+COUNTIF('12月'!BQ34:BR34,V$411)+COUNTIF('12月'!BV34:BW34,V$411)+COUNTIF('12月'!CA34:CB34,V$411)+COUNTIF('12月'!CF34:CG34,V$411)+COUNTIF('12月'!CK34:CL34,V$411)+COUNTIF('12月'!CP34:CQ34,V$411)+COUNTIF('12月'!CU34:CV34,V$411)+COUNTIF('12月'!CZ34:DA34,V$411)+COUNTIF('12月'!DE34:DF34,V$411)+COUNTIF('12月'!DJ34:DK34,V$411)+COUNTIF('12月'!DO34:DP34,V$411)+COUNTIF('12月'!DT34:DU34,V$411)+COUNTIF('12月'!DY34:DZ34,V$411)+COUNTIF('12月'!ED34:EE34,V$411)+COUNTIF('12月'!EI34:EJ34,V$411)+COUNTIF('12月'!EN34:EO34,V$411)+COUNTIF('12月'!ES34:ET34,V$411)</f>
        <v>0</v>
      </c>
      <c r="W443" s="76">
        <f t="shared" si="142"/>
        <v>0</v>
      </c>
      <c r="X443" s="76">
        <f>COUNTIF('12月'!D34:E34,X$411)+COUNTIF('12月'!I34:J34,X$411)+COUNTIF('12月'!N34:O34,X$411)+COUNTIF('12月'!S34:T34,X$411)+COUNTIF('12月'!X34:Y34,X$411)+COUNTIF('12月'!AC34:AD34,X$411)+COUNTIF('12月'!AH34:AI34,X$411)+COUNTIF('12月'!AM34:AN34,X$411)+COUNTIF('12月'!AR34:AS34,X$411)+COUNTIF('12月'!AW34:AX34,X$411)+COUNTIF('12月'!BB34:BC34,X$411)+COUNTIF('12月'!BG34:BH34,X$411)+COUNTIF('12月'!BL34:BM34,X$411)+COUNTIF('12月'!BQ34:BR34,X$411)+COUNTIF('12月'!BV34:BW34,X$411)+COUNTIF('12月'!CA34:CB34,X$411)+COUNTIF('12月'!CF34:CG34,X$411)+COUNTIF('12月'!CK34:CL34,X$411)+COUNTIF('12月'!CP34:CQ34,X$411)+COUNTIF('12月'!CU34:CV34,X$411)+COUNTIF('12月'!CZ34:DA34,X$411)+COUNTIF('12月'!DE34:DF34,X$411)+COUNTIF('12月'!DJ34:DK34,X$411)+COUNTIF('12月'!DO34:DP34,X$411)+COUNTIF('12月'!DT34:DU34,X$411)+COUNTIF('12月'!DY34:DZ34,X$411)+COUNTIF('12月'!ED34:EE34,X$411)+COUNTIF('12月'!EI34:EJ34,X$411)+COUNTIF('12月'!EN34:EO34,X$411)+COUNTIF('12月'!ES34:ET34,X$411)</f>
        <v>0</v>
      </c>
      <c r="Y443" s="76">
        <f t="shared" si="143"/>
        <v>0</v>
      </c>
    </row>
    <row r="444" spans="1:25" ht="21.95" customHeight="1">
      <c r="A444" s="65" t="s">
        <v>116</v>
      </c>
      <c r="B444" s="65">
        <f>SUM(B413:B443)</f>
        <v>0</v>
      </c>
      <c r="C444" s="65"/>
      <c r="D444" s="65">
        <f>SUM(D413:D443)</f>
        <v>0</v>
      </c>
      <c r="E444" s="65"/>
      <c r="F444" s="65">
        <f>SUM(F413:F443)</f>
        <v>0</v>
      </c>
      <c r="G444" s="65"/>
      <c r="H444" s="65">
        <f>SUM(H413:H443)</f>
        <v>0</v>
      </c>
      <c r="I444" s="65"/>
      <c r="J444" s="65">
        <f>SUM(J413:J443)</f>
        <v>0</v>
      </c>
      <c r="K444" s="65"/>
      <c r="L444" s="65">
        <f>SUM(L413:L443)</f>
        <v>0</v>
      </c>
      <c r="M444" s="65"/>
      <c r="N444" s="65">
        <f>SUM(N413:N443)</f>
        <v>0</v>
      </c>
      <c r="O444" s="65"/>
      <c r="P444" s="65">
        <f>SUM(P413:P443)</f>
        <v>0</v>
      </c>
      <c r="Q444" s="65"/>
      <c r="R444" s="65">
        <f>SUM(R413:R443)</f>
        <v>0</v>
      </c>
      <c r="S444" s="65"/>
      <c r="T444" s="65">
        <f>SUM(T413:T443)</f>
        <v>0</v>
      </c>
      <c r="U444" s="65"/>
      <c r="V444" s="65">
        <f>SUM(V413:V443)</f>
        <v>0</v>
      </c>
      <c r="W444" s="65"/>
      <c r="X444" s="65">
        <f>SUM(X413:X443)</f>
        <v>0</v>
      </c>
      <c r="Y444" s="65"/>
    </row>
    <row r="445" spans="1:25" ht="21.95" customHeight="1">
      <c r="A445" s="65" t="s">
        <v>117</v>
      </c>
      <c r="B445" s="65">
        <f>SUM('12月'!H4:H34)+SUM('12月'!M4:M34)+SUM('12月'!R4:R34)+SUM('12月'!W4:W34)+SUM('12月'!AB4:AB34)+SUM('12月'!AG4:AG34)+SUM('12月'!AL4:AL34)+SUM('12月'!AQ4:AQ34)+SUM('12月'!AV4:AV34)+SUM('12月'!BA4:BA34)+SUM('12月'!BF4:BF34)+SUM('12月'!BK4:BK34)+SUM('12月'!BP4:BP34)+SUM('12月'!BU4:BU34)+SUM('12月'!BZ4:BZ34)+SUM('12月'!CE4:CE34)+SUM('12月'!CJ4:CJ34)+SUM('12月'!CO4:CO34)+SUM('12月'!CT4:CT34)+SUM('12月'!CY4:CY34)+SUM('12月'!DD4:DD34)+SUM('12月'!DI4:DI34)+SUM('12月'!DN4:DN34)+SUM('12月'!DS4:DS34)+SUM('12月'!DX4:DX34)+SUM('12月'!EC4:EC34)+SUM('12月'!EH4:EH34)+SUM('12月'!EM4:EM34)+SUM('12月'!ER4:ER34)+SUM('12月'!EW4:EW34)</f>
        <v>0</v>
      </c>
      <c r="C445" s="127" t="s">
        <v>118</v>
      </c>
      <c r="D445" s="127"/>
      <c r="E445" s="127"/>
      <c r="F445" s="127"/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</row>
    <row r="446" spans="1:25" ht="9.9499999999999993" customHeight="1"/>
  </sheetData>
  <mergeCells count="169">
    <mergeCell ref="A1:Y1"/>
    <mergeCell ref="A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C38:Y38"/>
    <mergeCell ref="A40:Y40"/>
    <mergeCell ref="B41:C41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C75:Y75"/>
    <mergeCell ref="A77:Y77"/>
    <mergeCell ref="B78:C78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V78:W78"/>
    <mergeCell ref="X78:Y78"/>
    <mergeCell ref="C112:Y112"/>
    <mergeCell ref="A114:Y114"/>
    <mergeCell ref="B115:C115"/>
    <mergeCell ref="D115:E115"/>
    <mergeCell ref="F115:G115"/>
    <mergeCell ref="H115:I115"/>
    <mergeCell ref="J115:K115"/>
    <mergeCell ref="L115:M115"/>
    <mergeCell ref="N115:O115"/>
    <mergeCell ref="P115:Q115"/>
    <mergeCell ref="R115:S115"/>
    <mergeCell ref="T115:U115"/>
    <mergeCell ref="V115:W115"/>
    <mergeCell ref="X115:Y115"/>
    <mergeCell ref="C149:Y149"/>
    <mergeCell ref="A151:Y151"/>
    <mergeCell ref="B152:C152"/>
    <mergeCell ref="D152:E152"/>
    <mergeCell ref="F152:G152"/>
    <mergeCell ref="H152:I152"/>
    <mergeCell ref="J152:K152"/>
    <mergeCell ref="L152:M152"/>
    <mergeCell ref="N152:O152"/>
    <mergeCell ref="P152:Q152"/>
    <mergeCell ref="R152:S152"/>
    <mergeCell ref="T152:U152"/>
    <mergeCell ref="V152:W152"/>
    <mergeCell ref="X152:Y152"/>
    <mergeCell ref="C186:Y186"/>
    <mergeCell ref="A188:Y188"/>
    <mergeCell ref="B189:C189"/>
    <mergeCell ref="D189:E189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V189:W189"/>
    <mergeCell ref="X189:Y189"/>
    <mergeCell ref="C223:Y223"/>
    <mergeCell ref="A225:Y225"/>
    <mergeCell ref="B226:C226"/>
    <mergeCell ref="D226:E226"/>
    <mergeCell ref="F226:G226"/>
    <mergeCell ref="H226:I226"/>
    <mergeCell ref="J226:K226"/>
    <mergeCell ref="L226:M226"/>
    <mergeCell ref="N226:O226"/>
    <mergeCell ref="P226:Q226"/>
    <mergeCell ref="R226:S226"/>
    <mergeCell ref="T226:U226"/>
    <mergeCell ref="V226:W226"/>
    <mergeCell ref="X226:Y226"/>
    <mergeCell ref="C260:Y260"/>
    <mergeCell ref="A262:Y262"/>
    <mergeCell ref="B263:C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T263:U263"/>
    <mergeCell ref="V263:W263"/>
    <mergeCell ref="X263:Y263"/>
    <mergeCell ref="C297:Y297"/>
    <mergeCell ref="A299:Y299"/>
    <mergeCell ref="B300:C300"/>
    <mergeCell ref="D300:E300"/>
    <mergeCell ref="F300:G300"/>
    <mergeCell ref="H300:I300"/>
    <mergeCell ref="J300:K300"/>
    <mergeCell ref="L300:M300"/>
    <mergeCell ref="N300:O300"/>
    <mergeCell ref="P300:Q300"/>
    <mergeCell ref="R300:S300"/>
    <mergeCell ref="T300:U300"/>
    <mergeCell ref="V300:W300"/>
    <mergeCell ref="X300:Y300"/>
    <mergeCell ref="C334:Y334"/>
    <mergeCell ref="A336:Y336"/>
    <mergeCell ref="B337:C337"/>
    <mergeCell ref="D337:E337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V337:W337"/>
    <mergeCell ref="X337:Y337"/>
    <mergeCell ref="C371:Y371"/>
    <mergeCell ref="A373:Y373"/>
    <mergeCell ref="B374:C374"/>
    <mergeCell ref="D374:E374"/>
    <mergeCell ref="F374:G374"/>
    <mergeCell ref="H374:I374"/>
    <mergeCell ref="J374:K374"/>
    <mergeCell ref="L374:M374"/>
    <mergeCell ref="N374:O374"/>
    <mergeCell ref="P374:Q374"/>
    <mergeCell ref="R374:S374"/>
    <mergeCell ref="T374:U374"/>
    <mergeCell ref="V374:W374"/>
    <mergeCell ref="X374:Y374"/>
    <mergeCell ref="C445:Y445"/>
    <mergeCell ref="C408:Y408"/>
    <mergeCell ref="A410:Y410"/>
    <mergeCell ref="B411:C411"/>
    <mergeCell ref="D411:E411"/>
    <mergeCell ref="F411:G411"/>
    <mergeCell ref="H411:I411"/>
    <mergeCell ref="J411:K411"/>
    <mergeCell ref="L411:M411"/>
    <mergeCell ref="N411:O411"/>
    <mergeCell ref="P411:Q411"/>
    <mergeCell ref="R411:S411"/>
    <mergeCell ref="T411:U411"/>
    <mergeCell ref="V411:W411"/>
    <mergeCell ref="X411:Y411"/>
  </mergeCells>
  <phoneticPr fontId="43"/>
  <pageMargins left="0.4" right="0.4" top="0.5" bottom="0.5" header="0.3" footer="0.3"/>
  <pageSetup paperSize="9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43"/>
  <sheetViews>
    <sheetView zoomScaleNormal="100" workbookViewId="0">
      <selection activeCell="H11" sqref="H11:H12"/>
    </sheetView>
  </sheetViews>
  <sheetFormatPr defaultColWidth="8.7109375" defaultRowHeight="15"/>
  <cols>
    <col min="1" max="1" width="2" customWidth="1"/>
    <col min="2" max="2" width="8" customWidth="1"/>
    <col min="3" max="3" width="25" customWidth="1"/>
    <col min="4" max="4" width="30" customWidth="1"/>
  </cols>
  <sheetData>
    <row r="2" spans="2:4" ht="21" customHeight="1">
      <c r="B2" s="105" t="s">
        <v>59</v>
      </c>
      <c r="C2" s="105"/>
      <c r="D2" s="105"/>
    </row>
    <row r="3" spans="2:4" ht="16.5" customHeight="1">
      <c r="B3" s="13" t="s">
        <v>54</v>
      </c>
      <c r="C3" s="14" t="s">
        <v>60</v>
      </c>
      <c r="D3" s="14" t="s">
        <v>57</v>
      </c>
    </row>
    <row r="4" spans="2:4" ht="15" customHeight="1">
      <c r="B4" s="15">
        <v>1</v>
      </c>
      <c r="C4" s="90" t="s">
        <v>129</v>
      </c>
      <c r="D4" s="17"/>
    </row>
    <row r="5" spans="2:4" ht="15" customHeight="1">
      <c r="B5" s="18">
        <v>2</v>
      </c>
      <c r="C5" s="89" t="s">
        <v>130</v>
      </c>
      <c r="D5" s="20"/>
    </row>
    <row r="6" spans="2:4" ht="15" customHeight="1">
      <c r="B6" s="15">
        <v>3</v>
      </c>
      <c r="C6" s="90" t="s">
        <v>131</v>
      </c>
      <c r="D6" s="17"/>
    </row>
    <row r="7" spans="2:4" ht="15" customHeight="1">
      <c r="B7" s="18">
        <v>4</v>
      </c>
      <c r="C7" s="89" t="s">
        <v>132</v>
      </c>
      <c r="D7" s="20"/>
    </row>
    <row r="8" spans="2:4" ht="15" customHeight="1">
      <c r="B8" s="15">
        <v>5</v>
      </c>
      <c r="C8" s="16"/>
      <c r="D8" s="17"/>
    </row>
    <row r="9" spans="2:4" ht="15" customHeight="1">
      <c r="B9" s="18">
        <v>6</v>
      </c>
      <c r="C9" s="19" t="s">
        <v>119</v>
      </c>
      <c r="D9" s="20"/>
    </row>
    <row r="10" spans="2:4" ht="15" customHeight="1">
      <c r="B10" s="15">
        <v>7</v>
      </c>
      <c r="C10" s="88" t="s">
        <v>120</v>
      </c>
      <c r="D10" s="17"/>
    </row>
    <row r="11" spans="2:4" ht="15" customHeight="1">
      <c r="B11" s="18">
        <v>8</v>
      </c>
      <c r="C11" s="19"/>
      <c r="D11" s="20"/>
    </row>
    <row r="12" spans="2:4" ht="15" customHeight="1">
      <c r="B12" s="15">
        <v>9</v>
      </c>
      <c r="C12" s="16"/>
      <c r="D12" s="17"/>
    </row>
    <row r="13" spans="2:4" ht="15" customHeight="1">
      <c r="B13" s="18">
        <v>10</v>
      </c>
      <c r="C13" s="89"/>
      <c r="D13" s="20"/>
    </row>
    <row r="14" spans="2:4" ht="15" customHeight="1">
      <c r="B14" s="15">
        <v>11</v>
      </c>
      <c r="C14" s="88"/>
      <c r="D14" s="17"/>
    </row>
    <row r="15" spans="2:4" ht="15" customHeight="1">
      <c r="B15" s="18">
        <v>12</v>
      </c>
      <c r="C15" s="19"/>
      <c r="D15" s="20"/>
    </row>
    <row r="16" spans="2:4" ht="15" customHeight="1">
      <c r="B16" s="15">
        <v>13</v>
      </c>
      <c r="C16" s="16"/>
      <c r="D16" s="17"/>
    </row>
    <row r="17" spans="2:4" ht="15" customHeight="1">
      <c r="B17" s="18">
        <v>14</v>
      </c>
      <c r="C17" s="19"/>
      <c r="D17" s="20"/>
    </row>
    <row r="18" spans="2:4" ht="15" customHeight="1">
      <c r="B18" s="15">
        <v>15</v>
      </c>
      <c r="C18" s="16"/>
      <c r="D18" s="17"/>
    </row>
    <row r="19" spans="2:4" ht="15" customHeight="1">
      <c r="B19" s="18">
        <v>16</v>
      </c>
      <c r="C19" s="19"/>
      <c r="D19" s="20"/>
    </row>
    <row r="20" spans="2:4" ht="15" customHeight="1">
      <c r="B20" s="15">
        <v>17</v>
      </c>
      <c r="C20" s="83"/>
      <c r="D20" s="17"/>
    </row>
    <row r="21" spans="2:4" ht="15" customHeight="1">
      <c r="B21" s="18">
        <v>18</v>
      </c>
      <c r="C21" s="84"/>
      <c r="D21" s="20"/>
    </row>
    <row r="22" spans="2:4" ht="15" customHeight="1">
      <c r="B22" s="15">
        <v>19</v>
      </c>
      <c r="C22" s="83"/>
      <c r="D22" s="17"/>
    </row>
    <row r="23" spans="2:4" ht="15" customHeight="1">
      <c r="B23" s="18">
        <v>20</v>
      </c>
      <c r="C23" s="84"/>
      <c r="D23" s="20"/>
    </row>
    <row r="24" spans="2:4" ht="15" customHeight="1">
      <c r="B24" s="15">
        <v>21</v>
      </c>
      <c r="C24" s="83"/>
      <c r="D24" s="17"/>
    </row>
    <row r="25" spans="2:4" ht="15" customHeight="1">
      <c r="B25" s="18">
        <v>22</v>
      </c>
      <c r="C25" s="84"/>
      <c r="D25" s="20"/>
    </row>
    <row r="26" spans="2:4" ht="15" customHeight="1">
      <c r="B26" s="15">
        <v>23</v>
      </c>
      <c r="C26" s="17"/>
      <c r="D26" s="17"/>
    </row>
    <row r="27" spans="2:4" ht="15" customHeight="1">
      <c r="B27" s="18">
        <v>24</v>
      </c>
      <c r="C27" s="20"/>
      <c r="D27" s="20"/>
    </row>
    <row r="28" spans="2:4" ht="15" customHeight="1">
      <c r="B28" s="15">
        <v>25</v>
      </c>
      <c r="C28" s="17"/>
      <c r="D28" s="17"/>
    </row>
    <row r="29" spans="2:4" ht="15" customHeight="1">
      <c r="B29" s="18">
        <v>26</v>
      </c>
      <c r="C29" s="20"/>
      <c r="D29" s="20"/>
    </row>
    <row r="30" spans="2:4" ht="15" customHeight="1">
      <c r="B30" s="15">
        <v>27</v>
      </c>
      <c r="C30" s="17"/>
      <c r="D30" s="17"/>
    </row>
    <row r="31" spans="2:4" ht="15" customHeight="1">
      <c r="B31" s="18">
        <v>28</v>
      </c>
      <c r="C31" s="20"/>
      <c r="D31" s="20"/>
    </row>
    <row r="32" spans="2:4" ht="15" customHeight="1">
      <c r="B32" s="15">
        <v>29</v>
      </c>
      <c r="C32" s="17"/>
      <c r="D32" s="17"/>
    </row>
    <row r="33" spans="2:4" ht="15" customHeight="1">
      <c r="B33" s="18">
        <v>30</v>
      </c>
      <c r="C33" s="20"/>
      <c r="D33" s="20"/>
    </row>
    <row r="34" spans="2:4" ht="15" customHeight="1">
      <c r="B34" s="15">
        <v>31</v>
      </c>
      <c r="C34" s="17"/>
      <c r="D34" s="17"/>
    </row>
    <row r="35" spans="2:4" ht="15" customHeight="1">
      <c r="B35" s="18">
        <v>32</v>
      </c>
      <c r="C35" s="20"/>
      <c r="D35" s="20"/>
    </row>
    <row r="36" spans="2:4" ht="15" customHeight="1">
      <c r="B36" s="15">
        <v>33</v>
      </c>
      <c r="C36" s="17"/>
      <c r="D36" s="17"/>
    </row>
    <row r="37" spans="2:4" ht="15" customHeight="1">
      <c r="B37" s="18">
        <v>34</v>
      </c>
      <c r="C37" s="20"/>
      <c r="D37" s="20"/>
    </row>
    <row r="38" spans="2:4" ht="15" customHeight="1">
      <c r="B38" s="15">
        <v>35</v>
      </c>
      <c r="C38" s="17"/>
      <c r="D38" s="17"/>
    </row>
    <row r="39" spans="2:4" ht="15" customHeight="1">
      <c r="B39" s="18">
        <v>36</v>
      </c>
      <c r="C39" s="20"/>
      <c r="D39" s="20"/>
    </row>
    <row r="40" spans="2:4" ht="15" customHeight="1">
      <c r="B40" s="15">
        <v>37</v>
      </c>
      <c r="C40" s="17"/>
      <c r="D40" s="17"/>
    </row>
    <row r="41" spans="2:4" ht="15" customHeight="1">
      <c r="B41" s="18">
        <v>38</v>
      </c>
      <c r="C41" s="20"/>
      <c r="D41" s="20"/>
    </row>
    <row r="42" spans="2:4" ht="15" customHeight="1">
      <c r="B42" s="15">
        <v>39</v>
      </c>
      <c r="C42" s="17"/>
      <c r="D42" s="17"/>
    </row>
    <row r="43" spans="2:4" ht="15" customHeight="1">
      <c r="B43" s="18">
        <v>40</v>
      </c>
      <c r="C43" s="20"/>
      <c r="D43" s="20"/>
    </row>
  </sheetData>
  <mergeCells count="1">
    <mergeCell ref="B2:D2"/>
  </mergeCells>
  <phoneticPr fontId="43"/>
  <pageMargins left="0.75" right="0.75" top="1" bottom="1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W40"/>
  <sheetViews>
    <sheetView zoomScaleNormal="100" workbookViewId="0">
      <pane xSplit="3" ySplit="3" topLeftCell="D22" activePane="bottomRight" state="frozen"/>
      <selection pane="topRight" activeCell="D1" sqref="D1"/>
      <selection pane="bottomLeft" activeCell="A4" sqref="A4"/>
      <selection pane="bottomRight" activeCell="BG24" sqref="BG24:BG34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1月分　出面表　"</f>
        <v xml:space="preserve"> 2026年 1月分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IFERROR(IF(従業員マスタ!$C$4="","",対象年度&amp;"年1月　"&amp;従業員マスタ!$C$4),"")</f>
        <v>2026年1月　建設　太郎</v>
      </c>
      <c r="E2" s="92"/>
      <c r="F2" s="92"/>
      <c r="G2" s="92"/>
      <c r="H2" s="92"/>
      <c r="I2" s="92" t="str">
        <f>IFERROR(IF(従業員マスタ!$C$5="","",対象年度&amp;"年1月　"&amp;従業員マスタ!$C$5),"")</f>
        <v>2026年1月　配管　次郎</v>
      </c>
      <c r="J2" s="92"/>
      <c r="K2" s="92"/>
      <c r="L2" s="92"/>
      <c r="M2" s="92"/>
      <c r="N2" s="92" t="str">
        <f>IFERROR(IF(従業員マスタ!$C$6="","",対象年度&amp;"年1月　"&amp;従業員マスタ!$C$6),"")</f>
        <v>2026年1月　設備　一郎</v>
      </c>
      <c r="O2" s="92"/>
      <c r="P2" s="92"/>
      <c r="Q2" s="92"/>
      <c r="R2" s="92"/>
      <c r="S2" s="92" t="str">
        <f>IFERROR(IF(従業員マスタ!$C$7="","",対象年度&amp;"年1月　"&amp;従業員マスタ!$C$7),"")</f>
        <v>2026年1月　土木　三郎</v>
      </c>
      <c r="T2" s="92"/>
      <c r="U2" s="92"/>
      <c r="V2" s="92"/>
      <c r="W2" s="92"/>
      <c r="X2" s="92" t="str">
        <f>IFERROR(IF(従業員マスタ!$C$8="","",対象年度&amp;"年1月　"&amp;従業員マスタ!$C$8),"")</f>
        <v>2026年1月　塗装　史郎</v>
      </c>
      <c r="Y2" s="92"/>
      <c r="Z2" s="92"/>
      <c r="AA2" s="92"/>
      <c r="AB2" s="92"/>
      <c r="AC2" s="92" t="str">
        <f>IFERROR(IF(従業員マスタ!$C$9="","",対象年度&amp;"年1月　"&amp;従業員マスタ!$C$9),"")</f>
        <v>2026年1月　電工　五郎</v>
      </c>
      <c r="AD2" s="92"/>
      <c r="AE2" s="92"/>
      <c r="AF2" s="92"/>
      <c r="AG2" s="92"/>
      <c r="AH2" s="92" t="str">
        <f>IFERROR(IF(従業員マスタ!$C$10="","",対象年度&amp;"年1月　"&amp;従業員マスタ!$C$10),"")</f>
        <v>2026年1月　現場　花子</v>
      </c>
      <c r="AI2" s="92"/>
      <c r="AJ2" s="92"/>
      <c r="AK2" s="92"/>
      <c r="AL2" s="92"/>
      <c r="AM2" s="92" t="str">
        <f>IFERROR(IF(従業員マスタ!$C$11="","",対象年度&amp;"年1月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IFERROR(IF(従業員マスタ!$C$12="","",対象年度&amp;"年1月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IFERROR(IF(従業員マスタ!$C$13="","",対象年度&amp;"年1月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IFERROR(IF(従業員マスタ!$C$14="","",対象年度&amp;"年1月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IFERROR(IF(従業員マスタ!$C$15="","",対象年度&amp;"年1月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IFERROR(IF(従業員マスタ!$C$16="","",対象年度&amp;"年1月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IFERROR(IF(従業員マスタ!$C$17="","",対象年度&amp;"年1月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IFERROR(IF(従業員マスタ!$C$18="","",対象年度&amp;"年1月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IFERROR(IF(従業員マスタ!$C$19="","",対象年度&amp;"年1月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IFERROR(IF(従業員マスタ!$C$20="","",対象年度&amp;"年1月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IFERROR(IF(従業員マスタ!$C$21="","",対象年度&amp;"年1月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IFERROR(IF(従業員マスタ!$C$22="","",対象年度&amp;"年1月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IFERROR(IF(従業員マスタ!$C$23="","",対象年度&amp;"年1月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IFERROR(IF(従業員マスタ!$C$24="","",対象年度&amp;"年1月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IFERROR(IF(従業員マスタ!$C$25="","",対象年度&amp;"年1月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IFERROR(IF(従業員マスタ!$C$26="","",対象年度&amp;"年1月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IFERROR(IF(従業員マスタ!$C$27="","",対象年度&amp;"年1月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IFERROR(IF(従業員マスタ!$C$28="","",対象年度&amp;"年1月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IFERROR(IF(従業員マスタ!$C$29="","",対象年度&amp;"年1月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IFERROR(IF(従業員マスタ!$C$30="","",対象年度&amp;"年1月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IFERROR(IF(従業員マスタ!$C$31="","",対象年度&amp;"年1月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IFERROR(IF(従業員マスタ!$C$32="","",対象年度&amp;"年1月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IFERROR(IF(従業員マスタ!$C$33="","",対象年度&amp;"年1月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IF(DAY(DATE(対象年度,1,1))&lt;&gt;1,"",1)</f>
        <v>1</v>
      </c>
      <c r="B4" s="26" t="str">
        <f>IF(DAY(DATE(対象年度,1,1))&lt;&gt;1,"",CHOOSE(WEEKDAY(DATE(対象年度,1,1),2),"月","火","水","木","金","土","日"))</f>
        <v>木</v>
      </c>
      <c r="C4" s="26" t="str">
        <f>IF(DAY(DATE(対象年度,1,1))&lt;&gt;1,"",IF(ISNUMBER(MATCH(DATE(対象年度,1,1),祝日リスト,0)),"祝",""))</f>
        <v>祝</v>
      </c>
      <c r="D4" s="27"/>
      <c r="E4" s="28"/>
      <c r="F4" s="29" t="str">
        <f t="shared" ref="F4:F34" si="0">IF(D4="","",IF(ISNUMBER(SEARCH("夜勤",D4)),"",IF(A4="","","○")))</f>
        <v/>
      </c>
      <c r="G4" s="30" t="str">
        <f t="shared" ref="G4:G34" si="1">IF(A4="","",IF(OR(AND(E4&lt;&gt;"",NOT(OR(E4="有給",E4="休業"))),ISNUMBER(SEARCH("夜勤",D4))),"○",""))</f>
        <v/>
      </c>
      <c r="H4" s="31"/>
      <c r="I4" s="27"/>
      <c r="J4" s="28"/>
      <c r="K4" s="29" t="str">
        <f t="shared" ref="K4:K34" si="2">IF(I4="","",IF(ISNUMBER(SEARCH("夜勤",I4)),"",IF(A4="","","○")))</f>
        <v/>
      </c>
      <c r="L4" s="30" t="str">
        <f t="shared" ref="L4:L34" si="3">IF(A4="","",IF(OR(AND(J4&lt;&gt;"",NOT(OR(J4="有給",J4="休業"))),ISNUMBER(SEARCH("夜勤",I4))),"○",""))</f>
        <v/>
      </c>
      <c r="M4" s="31"/>
      <c r="N4" s="27"/>
      <c r="O4" s="28"/>
      <c r="P4" s="29" t="str">
        <f t="shared" ref="P4:P34" si="4">IF(N4="","",IF(ISNUMBER(SEARCH("夜勤",N4)),"",IF(A4="","","○")))</f>
        <v/>
      </c>
      <c r="Q4" s="30" t="str">
        <f t="shared" ref="Q4:Q34" si="5">IF(A4="","",IF(OR(AND(O4&lt;&gt;"",NOT(OR(O4="有給",O4="休業"))),ISNUMBER(SEARCH("夜勤",N4))),"○",""))</f>
        <v/>
      </c>
      <c r="R4" s="31"/>
      <c r="S4" s="27"/>
      <c r="T4" s="28"/>
      <c r="U4" s="29" t="str">
        <f t="shared" ref="U4:U34" si="6">IF(S4="","",IF(ISNUMBER(SEARCH("夜勤",S4)),"",IF(A4="","","○")))</f>
        <v/>
      </c>
      <c r="V4" s="30" t="str">
        <f t="shared" ref="V4:V34" si="7">IF(A4="","",IF(OR(AND(T4&lt;&gt;"",NOT(OR(T4="有給",T4="休業"))),ISNUMBER(SEARCH("夜勤",S4))),"○",""))</f>
        <v/>
      </c>
      <c r="W4" s="31"/>
      <c r="X4" s="27"/>
      <c r="Y4" s="28"/>
      <c r="Z4" s="29" t="str">
        <f t="shared" ref="Z4:Z34" si="8">IF(X4="","",IF(ISNUMBER(SEARCH("夜勤",X4)),"",IF(A4="","","○")))</f>
        <v/>
      </c>
      <c r="AA4" s="30" t="str">
        <f t="shared" ref="AA4:AA34" si="9">IF(A4="","",IF(OR(AND(Y4&lt;&gt;"",NOT(OR(Y4="有給",Y4="休業"))),ISNUMBER(SEARCH("夜勤",X4))),"○",""))</f>
        <v/>
      </c>
      <c r="AB4" s="31"/>
      <c r="AC4" s="27"/>
      <c r="AD4" s="28"/>
      <c r="AE4" s="29" t="str">
        <f t="shared" ref="AE4:AE34" si="10">IF(AC4="","",IF(ISNUMBER(SEARCH("夜勤",AC4)),"",IF(A4="","","○")))</f>
        <v/>
      </c>
      <c r="AF4" s="30" t="str">
        <f t="shared" ref="AF4:AF34" si="11">IF(A4="","",IF(OR(AND(AD4&lt;&gt;"",NOT(OR(AD4="有給",AD4="休業"))),ISNUMBER(SEARCH("夜勤",AC4))),"○",""))</f>
        <v/>
      </c>
      <c r="AG4" s="31"/>
      <c r="AH4" s="27"/>
      <c r="AI4" s="28"/>
      <c r="AJ4" s="29" t="str">
        <f t="shared" ref="AJ4:AJ34" si="12">IF(AH4="","",IF(ISNUMBER(SEARCH("夜勤",AH4)),"",IF(A4="","","○")))</f>
        <v/>
      </c>
      <c r="AK4" s="30" t="str">
        <f t="shared" ref="AK4:AK34" si="13">IF(A4="","",IF(OR(AND(AI4&lt;&gt;"",NOT(OR(AI4="有給",AI4="休業"))),ISNUMBER(SEARCH("夜勤",AH4))),"○",""))</f>
        <v/>
      </c>
      <c r="AL4" s="31"/>
      <c r="AM4" s="27"/>
      <c r="AN4" s="28"/>
      <c r="AO4" s="29" t="str">
        <f t="shared" ref="AO4:AO34" si="14">IF(AM4="","",IF(ISNUMBER(SEARCH("夜勤",AM4)),"",IF(A4="","","○")))</f>
        <v/>
      </c>
      <c r="AP4" s="30" t="str">
        <f t="shared" ref="AP4:AP34" si="15">IF(A4="","",IF(OR(AND(AN4&lt;&gt;"",NOT(OR(AN4="有給",AN4="休業"))),ISNUMBER(SEARCH("夜勤",AM4))),"○",""))</f>
        <v/>
      </c>
      <c r="AQ4" s="31"/>
      <c r="AR4" s="27"/>
      <c r="AS4" s="28"/>
      <c r="AT4" s="29" t="str">
        <f t="shared" ref="AT4:AT34" si="16">IF(AR4="","",IF(ISNUMBER(SEARCH("夜勤",AR4)),"",IF(A4="","","○")))</f>
        <v/>
      </c>
      <c r="AU4" s="30" t="str">
        <f t="shared" ref="AU4:AU34" si="17">IF(A4="","",IF(OR(AND(AS4&lt;&gt;"",NOT(OR(AS4="有給",AS4="休業"))),ISNUMBER(SEARCH("夜勤",AR4))),"○",""))</f>
        <v/>
      </c>
      <c r="AV4" s="31"/>
      <c r="AW4" s="27"/>
      <c r="AX4" s="28"/>
      <c r="AY4" s="29" t="str">
        <f t="shared" ref="AY4:AY34" si="18">IF(AW4="","",IF(ISNUMBER(SEARCH("夜勤",AW4)),"",IF(A4="","","○")))</f>
        <v/>
      </c>
      <c r="AZ4" s="30" t="str">
        <f t="shared" ref="AZ4:AZ34" si="19">IF(A4="","",IF(OR(AND(AX4&lt;&gt;"",NOT(OR(AX4="有給",AX4="休業"))),ISNUMBER(SEARCH("夜勤",AW4))),"○",""))</f>
        <v/>
      </c>
      <c r="BA4" s="31"/>
      <c r="BB4" s="27"/>
      <c r="BC4" s="28"/>
      <c r="BD4" s="29" t="str">
        <f t="shared" ref="BD4:BD34" si="20">IF(BB4="","",IF(ISNUMBER(SEARCH("夜勤",BB4)),"",IF(A4="","","○")))</f>
        <v/>
      </c>
      <c r="BE4" s="30" t="str">
        <f t="shared" ref="BE4:BE34" si="21">IF(A4="","",IF(OR(AND(BC4&lt;&gt;"",NOT(OR(BC4="有給",BC4="休業"))),ISNUMBER(SEARCH("夜勤",BB4))),"○",""))</f>
        <v/>
      </c>
      <c r="BF4" s="31"/>
      <c r="BG4" s="27"/>
      <c r="BH4" s="28"/>
      <c r="BI4" s="29" t="str">
        <f t="shared" ref="BI4:BI34" si="22">IF(BG4="","",IF(ISNUMBER(SEARCH("夜勤",BG4)),"",IF(A4="","","○")))</f>
        <v/>
      </c>
      <c r="BJ4" s="30" t="str">
        <f t="shared" ref="BJ4:BJ34" si="2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24">IF(BL4="","",IF(ISNUMBER(SEARCH("夜勤",BL4)),"",IF(A4="","","○")))</f>
        <v/>
      </c>
      <c r="BO4" s="30" t="str">
        <f t="shared" ref="BO4:BO34" si="2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26">IF(BQ4="","",IF(ISNUMBER(SEARCH("夜勤",BQ4)),"",IF(A4="","","○")))</f>
        <v/>
      </c>
      <c r="BT4" s="30" t="str">
        <f t="shared" ref="BT4:BT34" si="2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28">IF(BV4="","",IF(ISNUMBER(SEARCH("夜勤",BV4)),"",IF(A4="","","○")))</f>
        <v/>
      </c>
      <c r="BY4" s="30" t="str">
        <f t="shared" ref="BY4:BY34" si="2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30">IF(CA4="","",IF(ISNUMBER(SEARCH("夜勤",CA4)),"",IF(A4="","","○")))</f>
        <v/>
      </c>
      <c r="CD4" s="30" t="str">
        <f t="shared" ref="CD4:CD34" si="3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32">IF(CF4="","",IF(ISNUMBER(SEARCH("夜勤",CF4)),"",IF(A4="","","○")))</f>
        <v/>
      </c>
      <c r="CI4" s="30" t="str">
        <f t="shared" ref="CI4:CI34" si="3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34">IF(CK4="","",IF(ISNUMBER(SEARCH("夜勤",CK4)),"",IF(A4="","","○")))</f>
        <v/>
      </c>
      <c r="CN4" s="30" t="str">
        <f t="shared" ref="CN4:CN34" si="3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36">IF(CP4="","",IF(ISNUMBER(SEARCH("夜勤",CP4)),"",IF(A4="","","○")))</f>
        <v/>
      </c>
      <c r="CS4" s="30" t="str">
        <f t="shared" ref="CS4:CS34" si="3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38">IF(CU4="","",IF(ISNUMBER(SEARCH("夜勤",CU4)),"",IF(A4="","","○")))</f>
        <v/>
      </c>
      <c r="CX4" s="30" t="str">
        <f t="shared" ref="CX4:CX34" si="3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40">IF(CZ4="","",IF(ISNUMBER(SEARCH("夜勤",CZ4)),"",IF(A4="","","○")))</f>
        <v/>
      </c>
      <c r="DC4" s="30" t="str">
        <f t="shared" ref="DC4:DC34" si="4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42">IF(DE4="","",IF(ISNUMBER(SEARCH("夜勤",DE4)),"",IF(A4="","","○")))</f>
        <v/>
      </c>
      <c r="DH4" s="30" t="str">
        <f t="shared" ref="DH4:DH34" si="4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44">IF(DJ4="","",IF(ISNUMBER(SEARCH("夜勤",DJ4)),"",IF(A4="","","○")))</f>
        <v/>
      </c>
      <c r="DM4" s="30" t="str">
        <f t="shared" ref="DM4:DM34" si="4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46">IF(DO4="","",IF(ISNUMBER(SEARCH("夜勤",DO4)),"",IF(A4="","","○")))</f>
        <v/>
      </c>
      <c r="DR4" s="30" t="str">
        <f t="shared" ref="DR4:DR34" si="4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48">IF(DT4="","",IF(ISNUMBER(SEARCH("夜勤",DT4)),"",IF(A4="","","○")))</f>
        <v/>
      </c>
      <c r="DW4" s="30" t="str">
        <f t="shared" ref="DW4:DW34" si="4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50">IF(DY4="","",IF(ISNUMBER(SEARCH("夜勤",DY4)),"",IF(A4="","","○")))</f>
        <v/>
      </c>
      <c r="EB4" s="30" t="str">
        <f t="shared" ref="EB4:EB34" si="5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52">IF(ED4="","",IF(ISNUMBER(SEARCH("夜勤",ED4)),"",IF(A4="","","○")))</f>
        <v/>
      </c>
      <c r="EG4" s="30" t="str">
        <f t="shared" ref="EG4:EG34" si="5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54">IF(EI4="","",IF(ISNUMBER(SEARCH("夜勤",EI4)),"",IF(A4="","","○")))</f>
        <v/>
      </c>
      <c r="EL4" s="30" t="str">
        <f t="shared" ref="EL4:EL34" si="5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56">IF(EN4="","",IF(ISNUMBER(SEARCH("夜勤",EN4)),"",IF(A4="","","○")))</f>
        <v/>
      </c>
      <c r="EQ4" s="30" t="str">
        <f t="shared" ref="EQ4:EQ34" si="5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58">IF(ES4="","",IF(ISNUMBER(SEARCH("夜勤",ES4)),"",IF(A4="","","○")))</f>
        <v/>
      </c>
      <c r="EV4" s="30" t="str">
        <f t="shared" ref="EV4:EV34" si="5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IF(DAY(DATE(対象年度,1,2))&lt;&gt;2,"",2)</f>
        <v>2</v>
      </c>
      <c r="B5" s="32" t="str">
        <f>IF(DAY(DATE(対象年度,1,2))&lt;&gt;2,"",CHOOSE(WEEKDAY(DATE(対象年度,1,2),2),"月","火","水","木","金","土","日"))</f>
        <v>金</v>
      </c>
      <c r="C5" s="32" t="str">
        <f>IF(DAY(DATE(対象年度,1,2))&lt;&gt;2,"",IF(ISNUMBER(MATCH(DATE(対象年度,1,2),祝日リスト,0)),"祝",""))</f>
        <v/>
      </c>
      <c r="D5" s="33"/>
      <c r="E5" s="34"/>
      <c r="F5" s="35" t="str">
        <f t="shared" si="0"/>
        <v/>
      </c>
      <c r="G5" s="36" t="str">
        <f t="shared" si="1"/>
        <v/>
      </c>
      <c r="H5" s="37"/>
      <c r="I5" s="33"/>
      <c r="J5" s="34"/>
      <c r="K5" s="35" t="str">
        <f t="shared" si="2"/>
        <v/>
      </c>
      <c r="L5" s="36" t="str">
        <f t="shared" si="3"/>
        <v/>
      </c>
      <c r="M5" s="37"/>
      <c r="N5" s="33"/>
      <c r="O5" s="34"/>
      <c r="P5" s="35" t="str">
        <f t="shared" si="4"/>
        <v/>
      </c>
      <c r="Q5" s="36" t="str">
        <f t="shared" si="5"/>
        <v/>
      </c>
      <c r="R5" s="37"/>
      <c r="S5" s="33"/>
      <c r="T5" s="34"/>
      <c r="U5" s="35" t="str">
        <f t="shared" si="6"/>
        <v/>
      </c>
      <c r="V5" s="36" t="str">
        <f t="shared" si="7"/>
        <v/>
      </c>
      <c r="W5" s="37"/>
      <c r="X5" s="33"/>
      <c r="Y5" s="34"/>
      <c r="Z5" s="35" t="str">
        <f t="shared" si="8"/>
        <v/>
      </c>
      <c r="AA5" s="36" t="str">
        <f t="shared" si="9"/>
        <v/>
      </c>
      <c r="AB5" s="37"/>
      <c r="AC5" s="33"/>
      <c r="AD5" s="34"/>
      <c r="AE5" s="35" t="str">
        <f t="shared" si="10"/>
        <v/>
      </c>
      <c r="AF5" s="36" t="str">
        <f t="shared" si="11"/>
        <v/>
      </c>
      <c r="AG5" s="37"/>
      <c r="AH5" s="33"/>
      <c r="AI5" s="34"/>
      <c r="AJ5" s="35" t="str">
        <f t="shared" si="12"/>
        <v/>
      </c>
      <c r="AK5" s="36" t="str">
        <f t="shared" si="13"/>
        <v/>
      </c>
      <c r="AL5" s="37"/>
      <c r="AM5" s="33"/>
      <c r="AN5" s="34"/>
      <c r="AO5" s="35" t="str">
        <f t="shared" si="14"/>
        <v/>
      </c>
      <c r="AP5" s="36" t="str">
        <f t="shared" si="15"/>
        <v/>
      </c>
      <c r="AQ5" s="37"/>
      <c r="AR5" s="33"/>
      <c r="AS5" s="34"/>
      <c r="AT5" s="35" t="str">
        <f t="shared" si="16"/>
        <v/>
      </c>
      <c r="AU5" s="36" t="str">
        <f t="shared" si="17"/>
        <v/>
      </c>
      <c r="AV5" s="37"/>
      <c r="AW5" s="33"/>
      <c r="AX5" s="34"/>
      <c r="AY5" s="35" t="str">
        <f t="shared" si="18"/>
        <v/>
      </c>
      <c r="AZ5" s="36" t="str">
        <f t="shared" si="19"/>
        <v/>
      </c>
      <c r="BA5" s="37"/>
      <c r="BB5" s="33"/>
      <c r="BC5" s="34"/>
      <c r="BD5" s="35" t="str">
        <f t="shared" si="20"/>
        <v/>
      </c>
      <c r="BE5" s="36" t="str">
        <f t="shared" si="21"/>
        <v/>
      </c>
      <c r="BF5" s="37"/>
      <c r="BG5" s="33"/>
      <c r="BH5" s="34"/>
      <c r="BI5" s="35" t="str">
        <f t="shared" si="22"/>
        <v/>
      </c>
      <c r="BJ5" s="36" t="str">
        <f t="shared" si="23"/>
        <v/>
      </c>
      <c r="BK5" s="37"/>
      <c r="BL5" s="33"/>
      <c r="BM5" s="34"/>
      <c r="BN5" s="35" t="str">
        <f t="shared" si="24"/>
        <v/>
      </c>
      <c r="BO5" s="36" t="str">
        <f t="shared" si="25"/>
        <v/>
      </c>
      <c r="BP5" s="37"/>
      <c r="BQ5" s="33"/>
      <c r="BR5" s="34"/>
      <c r="BS5" s="35" t="str">
        <f t="shared" si="26"/>
        <v/>
      </c>
      <c r="BT5" s="36" t="str">
        <f t="shared" si="27"/>
        <v/>
      </c>
      <c r="BU5" s="37"/>
      <c r="BV5" s="33"/>
      <c r="BW5" s="34"/>
      <c r="BX5" s="35" t="str">
        <f t="shared" si="28"/>
        <v/>
      </c>
      <c r="BY5" s="36" t="str">
        <f t="shared" si="29"/>
        <v/>
      </c>
      <c r="BZ5" s="37"/>
      <c r="CA5" s="33"/>
      <c r="CB5" s="34"/>
      <c r="CC5" s="35" t="str">
        <f t="shared" si="30"/>
        <v/>
      </c>
      <c r="CD5" s="36" t="str">
        <f t="shared" si="31"/>
        <v/>
      </c>
      <c r="CE5" s="37"/>
      <c r="CF5" s="33"/>
      <c r="CG5" s="34"/>
      <c r="CH5" s="35" t="str">
        <f t="shared" si="32"/>
        <v/>
      </c>
      <c r="CI5" s="36" t="str">
        <f t="shared" si="33"/>
        <v/>
      </c>
      <c r="CJ5" s="37"/>
      <c r="CK5" s="33"/>
      <c r="CL5" s="34"/>
      <c r="CM5" s="35" t="str">
        <f t="shared" si="34"/>
        <v/>
      </c>
      <c r="CN5" s="36" t="str">
        <f t="shared" si="35"/>
        <v/>
      </c>
      <c r="CO5" s="37"/>
      <c r="CP5" s="33"/>
      <c r="CQ5" s="34"/>
      <c r="CR5" s="35" t="str">
        <f t="shared" si="36"/>
        <v/>
      </c>
      <c r="CS5" s="36" t="str">
        <f t="shared" si="37"/>
        <v/>
      </c>
      <c r="CT5" s="37"/>
      <c r="CU5" s="33"/>
      <c r="CV5" s="34"/>
      <c r="CW5" s="35" t="str">
        <f t="shared" si="38"/>
        <v/>
      </c>
      <c r="CX5" s="36" t="str">
        <f t="shared" si="39"/>
        <v/>
      </c>
      <c r="CY5" s="37"/>
      <c r="CZ5" s="33"/>
      <c r="DA5" s="34"/>
      <c r="DB5" s="35" t="str">
        <f t="shared" si="40"/>
        <v/>
      </c>
      <c r="DC5" s="36" t="str">
        <f t="shared" si="41"/>
        <v/>
      </c>
      <c r="DD5" s="37"/>
      <c r="DE5" s="33"/>
      <c r="DF5" s="34"/>
      <c r="DG5" s="35" t="str">
        <f t="shared" si="42"/>
        <v/>
      </c>
      <c r="DH5" s="36" t="str">
        <f t="shared" si="43"/>
        <v/>
      </c>
      <c r="DI5" s="37"/>
      <c r="DJ5" s="33"/>
      <c r="DK5" s="34"/>
      <c r="DL5" s="35" t="str">
        <f t="shared" si="44"/>
        <v/>
      </c>
      <c r="DM5" s="36" t="str">
        <f t="shared" si="45"/>
        <v/>
      </c>
      <c r="DN5" s="37"/>
      <c r="DO5" s="33"/>
      <c r="DP5" s="34"/>
      <c r="DQ5" s="35" t="str">
        <f t="shared" si="46"/>
        <v/>
      </c>
      <c r="DR5" s="36" t="str">
        <f t="shared" si="47"/>
        <v/>
      </c>
      <c r="DS5" s="37"/>
      <c r="DT5" s="33"/>
      <c r="DU5" s="34"/>
      <c r="DV5" s="35" t="str">
        <f t="shared" si="48"/>
        <v/>
      </c>
      <c r="DW5" s="36" t="str">
        <f t="shared" si="49"/>
        <v/>
      </c>
      <c r="DX5" s="37"/>
      <c r="DY5" s="33"/>
      <c r="DZ5" s="34"/>
      <c r="EA5" s="35" t="str">
        <f t="shared" si="50"/>
        <v/>
      </c>
      <c r="EB5" s="36" t="str">
        <f t="shared" si="51"/>
        <v/>
      </c>
      <c r="EC5" s="37"/>
      <c r="ED5" s="33"/>
      <c r="EE5" s="34"/>
      <c r="EF5" s="35" t="str">
        <f t="shared" si="52"/>
        <v/>
      </c>
      <c r="EG5" s="36" t="str">
        <f t="shared" si="53"/>
        <v/>
      </c>
      <c r="EH5" s="37"/>
      <c r="EI5" s="33"/>
      <c r="EJ5" s="34"/>
      <c r="EK5" s="35" t="str">
        <f t="shared" si="54"/>
        <v/>
      </c>
      <c r="EL5" s="36" t="str">
        <f t="shared" si="55"/>
        <v/>
      </c>
      <c r="EM5" s="37"/>
      <c r="EN5" s="33"/>
      <c r="EO5" s="34"/>
      <c r="EP5" s="35" t="str">
        <f t="shared" si="56"/>
        <v/>
      </c>
      <c r="EQ5" s="36" t="str">
        <f t="shared" si="57"/>
        <v/>
      </c>
      <c r="ER5" s="37"/>
      <c r="ES5" s="33"/>
      <c r="ET5" s="34"/>
      <c r="EU5" s="35" t="str">
        <f t="shared" si="58"/>
        <v/>
      </c>
      <c r="EV5" s="36" t="str">
        <f t="shared" si="59"/>
        <v/>
      </c>
      <c r="EW5" s="37"/>
    </row>
    <row r="6" spans="1:153" ht="19.5" customHeight="1">
      <c r="A6" s="32">
        <f>IF(DAY(DATE(対象年度,1,3))&lt;&gt;3,"",3)</f>
        <v>3</v>
      </c>
      <c r="B6" s="32" t="str">
        <f>IF(DAY(DATE(対象年度,1,3))&lt;&gt;3,"",CHOOSE(WEEKDAY(DATE(対象年度,1,3),2),"月","火","水","木","金","土","日"))</f>
        <v>土</v>
      </c>
      <c r="C6" s="32" t="str">
        <f>IF(DAY(DATE(対象年度,1,3))&lt;&gt;3,"",IF(ISNUMBER(MATCH(DATE(対象年度,1,3),祝日リスト,0)),"祝",""))</f>
        <v/>
      </c>
      <c r="D6" s="33"/>
      <c r="E6" s="34"/>
      <c r="F6" s="35" t="str">
        <f t="shared" si="0"/>
        <v/>
      </c>
      <c r="G6" s="36" t="str">
        <f t="shared" si="1"/>
        <v/>
      </c>
      <c r="H6" s="37"/>
      <c r="I6" s="33"/>
      <c r="J6" s="34"/>
      <c r="K6" s="35" t="str">
        <f t="shared" si="2"/>
        <v/>
      </c>
      <c r="L6" s="36" t="str">
        <f t="shared" si="3"/>
        <v/>
      </c>
      <c r="M6" s="37"/>
      <c r="N6" s="33"/>
      <c r="O6" s="34"/>
      <c r="P6" s="35" t="str">
        <f t="shared" si="4"/>
        <v/>
      </c>
      <c r="Q6" s="36" t="str">
        <f t="shared" si="5"/>
        <v/>
      </c>
      <c r="R6" s="37"/>
      <c r="S6" s="33"/>
      <c r="T6" s="34"/>
      <c r="U6" s="35" t="str">
        <f t="shared" si="6"/>
        <v/>
      </c>
      <c r="V6" s="36" t="str">
        <f t="shared" si="7"/>
        <v/>
      </c>
      <c r="W6" s="37"/>
      <c r="X6" s="33"/>
      <c r="Y6" s="34"/>
      <c r="Z6" s="35" t="str">
        <f t="shared" si="8"/>
        <v/>
      </c>
      <c r="AA6" s="36" t="str">
        <f t="shared" si="9"/>
        <v/>
      </c>
      <c r="AB6" s="37"/>
      <c r="AC6" s="33"/>
      <c r="AD6" s="34"/>
      <c r="AE6" s="35" t="str">
        <f t="shared" si="10"/>
        <v/>
      </c>
      <c r="AF6" s="36" t="str">
        <f t="shared" si="11"/>
        <v/>
      </c>
      <c r="AG6" s="37"/>
      <c r="AH6" s="33"/>
      <c r="AI6" s="34"/>
      <c r="AJ6" s="35" t="str">
        <f t="shared" si="12"/>
        <v/>
      </c>
      <c r="AK6" s="36" t="str">
        <f t="shared" si="13"/>
        <v/>
      </c>
      <c r="AL6" s="37"/>
      <c r="AM6" s="33"/>
      <c r="AN6" s="34"/>
      <c r="AO6" s="35" t="str">
        <f t="shared" si="14"/>
        <v/>
      </c>
      <c r="AP6" s="36" t="str">
        <f t="shared" si="15"/>
        <v/>
      </c>
      <c r="AQ6" s="37"/>
      <c r="AR6" s="33"/>
      <c r="AS6" s="34"/>
      <c r="AT6" s="35" t="str">
        <f t="shared" si="16"/>
        <v/>
      </c>
      <c r="AU6" s="36" t="str">
        <f t="shared" si="17"/>
        <v/>
      </c>
      <c r="AV6" s="37"/>
      <c r="AW6" s="33"/>
      <c r="AX6" s="34"/>
      <c r="AY6" s="35" t="str">
        <f t="shared" si="18"/>
        <v/>
      </c>
      <c r="AZ6" s="36" t="str">
        <f t="shared" si="19"/>
        <v/>
      </c>
      <c r="BA6" s="37"/>
      <c r="BB6" s="33"/>
      <c r="BC6" s="34"/>
      <c r="BD6" s="35" t="str">
        <f t="shared" si="20"/>
        <v/>
      </c>
      <c r="BE6" s="36" t="str">
        <f t="shared" si="21"/>
        <v/>
      </c>
      <c r="BF6" s="37"/>
      <c r="BG6" s="33"/>
      <c r="BH6" s="34"/>
      <c r="BI6" s="35" t="str">
        <f t="shared" si="22"/>
        <v/>
      </c>
      <c r="BJ6" s="36" t="str">
        <f t="shared" si="23"/>
        <v/>
      </c>
      <c r="BK6" s="37"/>
      <c r="BL6" s="33"/>
      <c r="BM6" s="34"/>
      <c r="BN6" s="35" t="str">
        <f t="shared" si="24"/>
        <v/>
      </c>
      <c r="BO6" s="36" t="str">
        <f t="shared" si="25"/>
        <v/>
      </c>
      <c r="BP6" s="37"/>
      <c r="BQ6" s="33"/>
      <c r="BR6" s="34"/>
      <c r="BS6" s="35" t="str">
        <f t="shared" si="26"/>
        <v/>
      </c>
      <c r="BT6" s="36" t="str">
        <f t="shared" si="27"/>
        <v/>
      </c>
      <c r="BU6" s="37"/>
      <c r="BV6" s="33"/>
      <c r="BW6" s="34"/>
      <c r="BX6" s="35" t="str">
        <f t="shared" si="28"/>
        <v/>
      </c>
      <c r="BY6" s="36" t="str">
        <f t="shared" si="29"/>
        <v/>
      </c>
      <c r="BZ6" s="37"/>
      <c r="CA6" s="33"/>
      <c r="CB6" s="34"/>
      <c r="CC6" s="35" t="str">
        <f t="shared" si="30"/>
        <v/>
      </c>
      <c r="CD6" s="36" t="str">
        <f t="shared" si="31"/>
        <v/>
      </c>
      <c r="CE6" s="37"/>
      <c r="CF6" s="33"/>
      <c r="CG6" s="34"/>
      <c r="CH6" s="35" t="str">
        <f t="shared" si="32"/>
        <v/>
      </c>
      <c r="CI6" s="36" t="str">
        <f t="shared" si="33"/>
        <v/>
      </c>
      <c r="CJ6" s="37"/>
      <c r="CK6" s="33"/>
      <c r="CL6" s="34"/>
      <c r="CM6" s="35" t="str">
        <f t="shared" si="34"/>
        <v/>
      </c>
      <c r="CN6" s="36" t="str">
        <f t="shared" si="35"/>
        <v/>
      </c>
      <c r="CO6" s="37"/>
      <c r="CP6" s="33"/>
      <c r="CQ6" s="34"/>
      <c r="CR6" s="35" t="str">
        <f t="shared" si="36"/>
        <v/>
      </c>
      <c r="CS6" s="36" t="str">
        <f t="shared" si="37"/>
        <v/>
      </c>
      <c r="CT6" s="37"/>
      <c r="CU6" s="33"/>
      <c r="CV6" s="34"/>
      <c r="CW6" s="35" t="str">
        <f t="shared" si="38"/>
        <v/>
      </c>
      <c r="CX6" s="36" t="str">
        <f t="shared" si="39"/>
        <v/>
      </c>
      <c r="CY6" s="37"/>
      <c r="CZ6" s="33"/>
      <c r="DA6" s="34"/>
      <c r="DB6" s="35" t="str">
        <f t="shared" si="40"/>
        <v/>
      </c>
      <c r="DC6" s="36" t="str">
        <f t="shared" si="41"/>
        <v/>
      </c>
      <c r="DD6" s="37"/>
      <c r="DE6" s="33"/>
      <c r="DF6" s="34"/>
      <c r="DG6" s="35" t="str">
        <f t="shared" si="42"/>
        <v/>
      </c>
      <c r="DH6" s="36" t="str">
        <f t="shared" si="43"/>
        <v/>
      </c>
      <c r="DI6" s="37"/>
      <c r="DJ6" s="33"/>
      <c r="DK6" s="34"/>
      <c r="DL6" s="35" t="str">
        <f t="shared" si="44"/>
        <v/>
      </c>
      <c r="DM6" s="36" t="str">
        <f t="shared" si="45"/>
        <v/>
      </c>
      <c r="DN6" s="37"/>
      <c r="DO6" s="33"/>
      <c r="DP6" s="34"/>
      <c r="DQ6" s="35" t="str">
        <f t="shared" si="46"/>
        <v/>
      </c>
      <c r="DR6" s="36" t="str">
        <f t="shared" si="47"/>
        <v/>
      </c>
      <c r="DS6" s="37"/>
      <c r="DT6" s="33"/>
      <c r="DU6" s="34"/>
      <c r="DV6" s="35" t="str">
        <f t="shared" si="48"/>
        <v/>
      </c>
      <c r="DW6" s="36" t="str">
        <f t="shared" si="49"/>
        <v/>
      </c>
      <c r="DX6" s="37"/>
      <c r="DY6" s="33"/>
      <c r="DZ6" s="34"/>
      <c r="EA6" s="35" t="str">
        <f t="shared" si="50"/>
        <v/>
      </c>
      <c r="EB6" s="36" t="str">
        <f t="shared" si="51"/>
        <v/>
      </c>
      <c r="EC6" s="37"/>
      <c r="ED6" s="33"/>
      <c r="EE6" s="34"/>
      <c r="EF6" s="35" t="str">
        <f t="shared" si="52"/>
        <v/>
      </c>
      <c r="EG6" s="36" t="str">
        <f t="shared" si="53"/>
        <v/>
      </c>
      <c r="EH6" s="37"/>
      <c r="EI6" s="33"/>
      <c r="EJ6" s="34"/>
      <c r="EK6" s="35" t="str">
        <f t="shared" si="54"/>
        <v/>
      </c>
      <c r="EL6" s="36" t="str">
        <f t="shared" si="55"/>
        <v/>
      </c>
      <c r="EM6" s="37"/>
      <c r="EN6" s="33"/>
      <c r="EO6" s="34"/>
      <c r="EP6" s="35" t="str">
        <f t="shared" si="56"/>
        <v/>
      </c>
      <c r="EQ6" s="36" t="str">
        <f t="shared" si="57"/>
        <v/>
      </c>
      <c r="ER6" s="37"/>
      <c r="ES6" s="33"/>
      <c r="ET6" s="34"/>
      <c r="EU6" s="35" t="str">
        <f t="shared" si="58"/>
        <v/>
      </c>
      <c r="EV6" s="36" t="str">
        <f t="shared" si="59"/>
        <v/>
      </c>
      <c r="EW6" s="37"/>
    </row>
    <row r="7" spans="1:153" ht="19.5" customHeight="1">
      <c r="A7" s="32">
        <f>IF(DAY(DATE(対象年度,1,4))&lt;&gt;4,"",4)</f>
        <v>4</v>
      </c>
      <c r="B7" s="32" t="str">
        <f>IF(DAY(DATE(対象年度,1,4))&lt;&gt;4,"",CHOOSE(WEEKDAY(DATE(対象年度,1,4),2),"月","火","水","木","金","土","日"))</f>
        <v>日</v>
      </c>
      <c r="C7" s="32" t="str">
        <f>IF(DAY(DATE(対象年度,1,4))&lt;&gt;4,"",IF(ISNUMBER(MATCH(DATE(対象年度,1,4),祝日リスト,0)),"祝",""))</f>
        <v/>
      </c>
      <c r="D7" s="33"/>
      <c r="E7" s="34"/>
      <c r="F7" s="35" t="str">
        <f t="shared" si="0"/>
        <v/>
      </c>
      <c r="G7" s="36" t="str">
        <f t="shared" si="1"/>
        <v/>
      </c>
      <c r="H7" s="37"/>
      <c r="I7" s="33"/>
      <c r="J7" s="34"/>
      <c r="K7" s="35" t="str">
        <f t="shared" si="2"/>
        <v/>
      </c>
      <c r="L7" s="36" t="str">
        <f t="shared" si="3"/>
        <v/>
      </c>
      <c r="M7" s="37"/>
      <c r="N7" s="33"/>
      <c r="O7" s="34"/>
      <c r="P7" s="35" t="str">
        <f t="shared" si="4"/>
        <v/>
      </c>
      <c r="Q7" s="36" t="str">
        <f t="shared" si="5"/>
        <v/>
      </c>
      <c r="R7" s="37"/>
      <c r="S7" s="33"/>
      <c r="T7" s="34"/>
      <c r="U7" s="35" t="str">
        <f t="shared" si="6"/>
        <v/>
      </c>
      <c r="V7" s="36" t="str">
        <f t="shared" si="7"/>
        <v/>
      </c>
      <c r="W7" s="37"/>
      <c r="X7" s="33"/>
      <c r="Y7" s="34"/>
      <c r="Z7" s="35" t="str">
        <f t="shared" si="8"/>
        <v/>
      </c>
      <c r="AA7" s="36" t="str">
        <f t="shared" si="9"/>
        <v/>
      </c>
      <c r="AB7" s="37"/>
      <c r="AC7" s="33"/>
      <c r="AD7" s="34"/>
      <c r="AE7" s="35" t="str">
        <f t="shared" si="10"/>
        <v/>
      </c>
      <c r="AF7" s="36" t="str">
        <f t="shared" si="11"/>
        <v/>
      </c>
      <c r="AG7" s="37"/>
      <c r="AH7" s="33"/>
      <c r="AI7" s="34"/>
      <c r="AJ7" s="35" t="str">
        <f t="shared" si="12"/>
        <v/>
      </c>
      <c r="AK7" s="36" t="str">
        <f t="shared" si="13"/>
        <v/>
      </c>
      <c r="AL7" s="37"/>
      <c r="AM7" s="33"/>
      <c r="AN7" s="34"/>
      <c r="AO7" s="35" t="str">
        <f t="shared" si="14"/>
        <v/>
      </c>
      <c r="AP7" s="36" t="str">
        <f t="shared" si="15"/>
        <v/>
      </c>
      <c r="AQ7" s="37"/>
      <c r="AR7" s="33"/>
      <c r="AS7" s="34"/>
      <c r="AT7" s="35" t="str">
        <f t="shared" si="16"/>
        <v/>
      </c>
      <c r="AU7" s="36" t="str">
        <f t="shared" si="17"/>
        <v/>
      </c>
      <c r="AV7" s="37"/>
      <c r="AW7" s="33"/>
      <c r="AX7" s="34"/>
      <c r="AY7" s="35" t="str">
        <f t="shared" si="18"/>
        <v/>
      </c>
      <c r="AZ7" s="36" t="str">
        <f t="shared" si="19"/>
        <v/>
      </c>
      <c r="BA7" s="37"/>
      <c r="BB7" s="33"/>
      <c r="BC7" s="34"/>
      <c r="BD7" s="35" t="str">
        <f t="shared" si="20"/>
        <v/>
      </c>
      <c r="BE7" s="36" t="str">
        <f t="shared" si="21"/>
        <v/>
      </c>
      <c r="BF7" s="37"/>
      <c r="BG7" s="33"/>
      <c r="BH7" s="34"/>
      <c r="BI7" s="35" t="str">
        <f t="shared" si="22"/>
        <v/>
      </c>
      <c r="BJ7" s="36" t="str">
        <f t="shared" si="23"/>
        <v/>
      </c>
      <c r="BK7" s="37"/>
      <c r="BL7" s="33"/>
      <c r="BM7" s="34"/>
      <c r="BN7" s="35" t="str">
        <f t="shared" si="24"/>
        <v/>
      </c>
      <c r="BO7" s="36" t="str">
        <f t="shared" si="25"/>
        <v/>
      </c>
      <c r="BP7" s="37"/>
      <c r="BQ7" s="33"/>
      <c r="BR7" s="34"/>
      <c r="BS7" s="35" t="str">
        <f t="shared" si="26"/>
        <v/>
      </c>
      <c r="BT7" s="36" t="str">
        <f t="shared" si="27"/>
        <v/>
      </c>
      <c r="BU7" s="37"/>
      <c r="BV7" s="33"/>
      <c r="BW7" s="34"/>
      <c r="BX7" s="35" t="str">
        <f t="shared" si="28"/>
        <v/>
      </c>
      <c r="BY7" s="36" t="str">
        <f t="shared" si="29"/>
        <v/>
      </c>
      <c r="BZ7" s="37"/>
      <c r="CA7" s="33"/>
      <c r="CB7" s="34"/>
      <c r="CC7" s="35" t="str">
        <f t="shared" si="30"/>
        <v/>
      </c>
      <c r="CD7" s="36" t="str">
        <f t="shared" si="31"/>
        <v/>
      </c>
      <c r="CE7" s="37"/>
      <c r="CF7" s="33"/>
      <c r="CG7" s="34"/>
      <c r="CH7" s="35" t="str">
        <f t="shared" si="32"/>
        <v/>
      </c>
      <c r="CI7" s="36" t="str">
        <f t="shared" si="33"/>
        <v/>
      </c>
      <c r="CJ7" s="37"/>
      <c r="CK7" s="33"/>
      <c r="CL7" s="34"/>
      <c r="CM7" s="35" t="str">
        <f t="shared" si="34"/>
        <v/>
      </c>
      <c r="CN7" s="36" t="str">
        <f t="shared" si="35"/>
        <v/>
      </c>
      <c r="CO7" s="37"/>
      <c r="CP7" s="33"/>
      <c r="CQ7" s="34"/>
      <c r="CR7" s="35" t="str">
        <f t="shared" si="36"/>
        <v/>
      </c>
      <c r="CS7" s="36" t="str">
        <f t="shared" si="37"/>
        <v/>
      </c>
      <c r="CT7" s="37"/>
      <c r="CU7" s="33"/>
      <c r="CV7" s="34"/>
      <c r="CW7" s="35" t="str">
        <f t="shared" si="38"/>
        <v/>
      </c>
      <c r="CX7" s="36" t="str">
        <f t="shared" si="39"/>
        <v/>
      </c>
      <c r="CY7" s="37"/>
      <c r="CZ7" s="33"/>
      <c r="DA7" s="34"/>
      <c r="DB7" s="35" t="str">
        <f t="shared" si="40"/>
        <v/>
      </c>
      <c r="DC7" s="36" t="str">
        <f t="shared" si="41"/>
        <v/>
      </c>
      <c r="DD7" s="37"/>
      <c r="DE7" s="33"/>
      <c r="DF7" s="34"/>
      <c r="DG7" s="35" t="str">
        <f t="shared" si="42"/>
        <v/>
      </c>
      <c r="DH7" s="36" t="str">
        <f t="shared" si="43"/>
        <v/>
      </c>
      <c r="DI7" s="37"/>
      <c r="DJ7" s="33"/>
      <c r="DK7" s="34"/>
      <c r="DL7" s="35" t="str">
        <f t="shared" si="44"/>
        <v/>
      </c>
      <c r="DM7" s="36" t="str">
        <f t="shared" si="45"/>
        <v/>
      </c>
      <c r="DN7" s="37"/>
      <c r="DO7" s="33"/>
      <c r="DP7" s="34"/>
      <c r="DQ7" s="35" t="str">
        <f t="shared" si="46"/>
        <v/>
      </c>
      <c r="DR7" s="36" t="str">
        <f t="shared" si="47"/>
        <v/>
      </c>
      <c r="DS7" s="37"/>
      <c r="DT7" s="33"/>
      <c r="DU7" s="34"/>
      <c r="DV7" s="35" t="str">
        <f t="shared" si="48"/>
        <v/>
      </c>
      <c r="DW7" s="36" t="str">
        <f t="shared" si="49"/>
        <v/>
      </c>
      <c r="DX7" s="37"/>
      <c r="DY7" s="33"/>
      <c r="DZ7" s="34"/>
      <c r="EA7" s="35" t="str">
        <f t="shared" si="50"/>
        <v/>
      </c>
      <c r="EB7" s="36" t="str">
        <f t="shared" si="51"/>
        <v/>
      </c>
      <c r="EC7" s="37"/>
      <c r="ED7" s="33"/>
      <c r="EE7" s="34"/>
      <c r="EF7" s="35" t="str">
        <f t="shared" si="52"/>
        <v/>
      </c>
      <c r="EG7" s="36" t="str">
        <f t="shared" si="53"/>
        <v/>
      </c>
      <c r="EH7" s="37"/>
      <c r="EI7" s="33"/>
      <c r="EJ7" s="34"/>
      <c r="EK7" s="35" t="str">
        <f t="shared" si="54"/>
        <v/>
      </c>
      <c r="EL7" s="36" t="str">
        <f t="shared" si="55"/>
        <v/>
      </c>
      <c r="EM7" s="37"/>
      <c r="EN7" s="33"/>
      <c r="EO7" s="34"/>
      <c r="EP7" s="35" t="str">
        <f t="shared" si="56"/>
        <v/>
      </c>
      <c r="EQ7" s="36" t="str">
        <f t="shared" si="57"/>
        <v/>
      </c>
      <c r="ER7" s="37"/>
      <c r="ES7" s="33"/>
      <c r="ET7" s="34"/>
      <c r="EU7" s="35" t="str">
        <f t="shared" si="58"/>
        <v/>
      </c>
      <c r="EV7" s="36" t="str">
        <f t="shared" si="59"/>
        <v/>
      </c>
      <c r="EW7" s="37"/>
    </row>
    <row r="8" spans="1:153" ht="19.5" customHeight="1">
      <c r="A8" s="32">
        <f>IF(DAY(DATE(対象年度,1,5))&lt;&gt;5,"",5)</f>
        <v>5</v>
      </c>
      <c r="B8" s="32" t="str">
        <f>IF(DAY(DATE(対象年度,1,5))&lt;&gt;5,"",CHOOSE(WEEKDAY(DATE(対象年度,1,5),2),"月","火","水","木","金","土","日"))</f>
        <v>月</v>
      </c>
      <c r="C8" s="32" t="str">
        <f>IF(DAY(DATE(対象年度,1,5))&lt;&gt;5,"",IF(ISNUMBER(MATCH(DATE(対象年度,1,5),祝日リスト,0)),"祝",""))</f>
        <v/>
      </c>
      <c r="D8" s="33"/>
      <c r="E8" s="34"/>
      <c r="F8" s="35" t="str">
        <f t="shared" si="0"/>
        <v/>
      </c>
      <c r="G8" s="36" t="str">
        <f t="shared" si="1"/>
        <v/>
      </c>
      <c r="H8" s="37"/>
      <c r="I8" s="33"/>
      <c r="J8" s="34"/>
      <c r="K8" s="35" t="str">
        <f t="shared" si="2"/>
        <v/>
      </c>
      <c r="L8" s="36" t="str">
        <f t="shared" si="3"/>
        <v/>
      </c>
      <c r="M8" s="37"/>
      <c r="N8" s="33"/>
      <c r="O8" s="34"/>
      <c r="P8" s="35" t="str">
        <f t="shared" si="4"/>
        <v/>
      </c>
      <c r="Q8" s="36" t="str">
        <f t="shared" si="5"/>
        <v/>
      </c>
      <c r="R8" s="37"/>
      <c r="S8" s="33"/>
      <c r="T8" s="34"/>
      <c r="U8" s="35" t="str">
        <f t="shared" si="6"/>
        <v/>
      </c>
      <c r="V8" s="36" t="str">
        <f t="shared" si="7"/>
        <v/>
      </c>
      <c r="W8" s="37"/>
      <c r="X8" s="33"/>
      <c r="Y8" s="34"/>
      <c r="Z8" s="35" t="str">
        <f t="shared" si="8"/>
        <v/>
      </c>
      <c r="AA8" s="36" t="str">
        <f t="shared" si="9"/>
        <v/>
      </c>
      <c r="AB8" s="37"/>
      <c r="AC8" s="33"/>
      <c r="AD8" s="34"/>
      <c r="AE8" s="35" t="str">
        <f t="shared" si="10"/>
        <v/>
      </c>
      <c r="AF8" s="36" t="str">
        <f t="shared" si="11"/>
        <v/>
      </c>
      <c r="AG8" s="37"/>
      <c r="AH8" s="33"/>
      <c r="AI8" s="34"/>
      <c r="AJ8" s="35" t="str">
        <f t="shared" si="12"/>
        <v/>
      </c>
      <c r="AK8" s="36" t="str">
        <f t="shared" si="13"/>
        <v/>
      </c>
      <c r="AL8" s="37"/>
      <c r="AM8" s="33"/>
      <c r="AN8" s="34"/>
      <c r="AO8" s="35" t="str">
        <f t="shared" si="14"/>
        <v/>
      </c>
      <c r="AP8" s="36" t="str">
        <f t="shared" si="15"/>
        <v/>
      </c>
      <c r="AQ8" s="37"/>
      <c r="AR8" s="33"/>
      <c r="AS8" s="34"/>
      <c r="AT8" s="35" t="str">
        <f t="shared" si="16"/>
        <v/>
      </c>
      <c r="AU8" s="36" t="str">
        <f t="shared" si="17"/>
        <v/>
      </c>
      <c r="AV8" s="37"/>
      <c r="AW8" s="33"/>
      <c r="AX8" s="34"/>
      <c r="AY8" s="35" t="str">
        <f t="shared" si="18"/>
        <v/>
      </c>
      <c r="AZ8" s="36" t="str">
        <f t="shared" si="19"/>
        <v/>
      </c>
      <c r="BA8" s="37"/>
      <c r="BB8" s="33"/>
      <c r="BC8" s="34"/>
      <c r="BD8" s="35" t="str">
        <f t="shared" si="20"/>
        <v/>
      </c>
      <c r="BE8" s="36" t="str">
        <f t="shared" si="21"/>
        <v/>
      </c>
      <c r="BF8" s="37"/>
      <c r="BG8" s="33"/>
      <c r="BH8" s="34"/>
      <c r="BI8" s="35" t="str">
        <f t="shared" si="22"/>
        <v/>
      </c>
      <c r="BJ8" s="36" t="str">
        <f t="shared" si="23"/>
        <v/>
      </c>
      <c r="BK8" s="37"/>
      <c r="BL8" s="33"/>
      <c r="BM8" s="34"/>
      <c r="BN8" s="35" t="str">
        <f t="shared" si="24"/>
        <v/>
      </c>
      <c r="BO8" s="36" t="str">
        <f t="shared" si="25"/>
        <v/>
      </c>
      <c r="BP8" s="37"/>
      <c r="BQ8" s="33"/>
      <c r="BR8" s="34"/>
      <c r="BS8" s="35" t="str">
        <f t="shared" si="26"/>
        <v/>
      </c>
      <c r="BT8" s="36" t="str">
        <f t="shared" si="27"/>
        <v/>
      </c>
      <c r="BU8" s="37"/>
      <c r="BV8" s="33"/>
      <c r="BW8" s="34"/>
      <c r="BX8" s="35" t="str">
        <f t="shared" si="28"/>
        <v/>
      </c>
      <c r="BY8" s="36" t="str">
        <f t="shared" si="29"/>
        <v/>
      </c>
      <c r="BZ8" s="37"/>
      <c r="CA8" s="33"/>
      <c r="CB8" s="34"/>
      <c r="CC8" s="35" t="str">
        <f t="shared" si="30"/>
        <v/>
      </c>
      <c r="CD8" s="36" t="str">
        <f t="shared" si="31"/>
        <v/>
      </c>
      <c r="CE8" s="37"/>
      <c r="CF8" s="33"/>
      <c r="CG8" s="34"/>
      <c r="CH8" s="35" t="str">
        <f t="shared" si="32"/>
        <v/>
      </c>
      <c r="CI8" s="36" t="str">
        <f t="shared" si="33"/>
        <v/>
      </c>
      <c r="CJ8" s="37"/>
      <c r="CK8" s="33"/>
      <c r="CL8" s="34"/>
      <c r="CM8" s="35" t="str">
        <f t="shared" si="34"/>
        <v/>
      </c>
      <c r="CN8" s="36" t="str">
        <f t="shared" si="35"/>
        <v/>
      </c>
      <c r="CO8" s="37"/>
      <c r="CP8" s="33"/>
      <c r="CQ8" s="34"/>
      <c r="CR8" s="35" t="str">
        <f t="shared" si="36"/>
        <v/>
      </c>
      <c r="CS8" s="36" t="str">
        <f t="shared" si="37"/>
        <v/>
      </c>
      <c r="CT8" s="37"/>
      <c r="CU8" s="33"/>
      <c r="CV8" s="34"/>
      <c r="CW8" s="35" t="str">
        <f t="shared" si="38"/>
        <v/>
      </c>
      <c r="CX8" s="36" t="str">
        <f t="shared" si="39"/>
        <v/>
      </c>
      <c r="CY8" s="37"/>
      <c r="CZ8" s="33"/>
      <c r="DA8" s="34"/>
      <c r="DB8" s="35" t="str">
        <f t="shared" si="40"/>
        <v/>
      </c>
      <c r="DC8" s="36" t="str">
        <f t="shared" si="41"/>
        <v/>
      </c>
      <c r="DD8" s="37"/>
      <c r="DE8" s="33"/>
      <c r="DF8" s="34"/>
      <c r="DG8" s="35" t="str">
        <f t="shared" si="42"/>
        <v/>
      </c>
      <c r="DH8" s="36" t="str">
        <f t="shared" si="43"/>
        <v/>
      </c>
      <c r="DI8" s="37"/>
      <c r="DJ8" s="33"/>
      <c r="DK8" s="34"/>
      <c r="DL8" s="35" t="str">
        <f t="shared" si="44"/>
        <v/>
      </c>
      <c r="DM8" s="36" t="str">
        <f t="shared" si="45"/>
        <v/>
      </c>
      <c r="DN8" s="37"/>
      <c r="DO8" s="33"/>
      <c r="DP8" s="34"/>
      <c r="DQ8" s="35" t="str">
        <f t="shared" si="46"/>
        <v/>
      </c>
      <c r="DR8" s="36" t="str">
        <f t="shared" si="47"/>
        <v/>
      </c>
      <c r="DS8" s="37"/>
      <c r="DT8" s="33"/>
      <c r="DU8" s="34"/>
      <c r="DV8" s="35" t="str">
        <f t="shared" si="48"/>
        <v/>
      </c>
      <c r="DW8" s="36" t="str">
        <f t="shared" si="49"/>
        <v/>
      </c>
      <c r="DX8" s="37"/>
      <c r="DY8" s="33"/>
      <c r="DZ8" s="34"/>
      <c r="EA8" s="35" t="str">
        <f t="shared" si="50"/>
        <v/>
      </c>
      <c r="EB8" s="36" t="str">
        <f t="shared" si="51"/>
        <v/>
      </c>
      <c r="EC8" s="37"/>
      <c r="ED8" s="33"/>
      <c r="EE8" s="34"/>
      <c r="EF8" s="35" t="str">
        <f t="shared" si="52"/>
        <v/>
      </c>
      <c r="EG8" s="36" t="str">
        <f t="shared" si="53"/>
        <v/>
      </c>
      <c r="EH8" s="37"/>
      <c r="EI8" s="33"/>
      <c r="EJ8" s="34"/>
      <c r="EK8" s="35" t="str">
        <f t="shared" si="54"/>
        <v/>
      </c>
      <c r="EL8" s="36" t="str">
        <f t="shared" si="55"/>
        <v/>
      </c>
      <c r="EM8" s="37"/>
      <c r="EN8" s="33"/>
      <c r="EO8" s="34"/>
      <c r="EP8" s="35" t="str">
        <f t="shared" si="56"/>
        <v/>
      </c>
      <c r="EQ8" s="36" t="str">
        <f t="shared" si="57"/>
        <v/>
      </c>
      <c r="ER8" s="37"/>
      <c r="ES8" s="33"/>
      <c r="ET8" s="34"/>
      <c r="EU8" s="35" t="str">
        <f t="shared" si="58"/>
        <v/>
      </c>
      <c r="EV8" s="36" t="str">
        <f t="shared" si="59"/>
        <v/>
      </c>
      <c r="EW8" s="37"/>
    </row>
    <row r="9" spans="1:153" ht="19.5" customHeight="1">
      <c r="A9" s="32">
        <f>IF(DAY(DATE(対象年度,1,6))&lt;&gt;6,"",6)</f>
        <v>6</v>
      </c>
      <c r="B9" s="32" t="str">
        <f>IF(DAY(DATE(対象年度,1,6))&lt;&gt;6,"",CHOOSE(WEEKDAY(DATE(対象年度,1,6),2),"月","火","水","木","金","土","日"))</f>
        <v>火</v>
      </c>
      <c r="C9" s="32" t="str">
        <f>IF(DAY(DATE(対象年度,1,6))&lt;&gt;6,"",IF(ISNUMBER(MATCH(DATE(対象年度,1,6),祝日リスト,0)),"祝",""))</f>
        <v/>
      </c>
      <c r="D9" s="33"/>
      <c r="E9" s="34"/>
      <c r="F9" s="35" t="str">
        <f t="shared" si="0"/>
        <v/>
      </c>
      <c r="G9" s="36" t="str">
        <f t="shared" si="1"/>
        <v/>
      </c>
      <c r="H9" s="37"/>
      <c r="I9" s="33"/>
      <c r="J9" s="34"/>
      <c r="K9" s="35" t="str">
        <f t="shared" si="2"/>
        <v/>
      </c>
      <c r="L9" s="36" t="str">
        <f t="shared" si="3"/>
        <v/>
      </c>
      <c r="M9" s="37"/>
      <c r="N9" s="33"/>
      <c r="O9" s="34"/>
      <c r="P9" s="35" t="str">
        <f t="shared" si="4"/>
        <v/>
      </c>
      <c r="Q9" s="36" t="str">
        <f t="shared" si="5"/>
        <v/>
      </c>
      <c r="R9" s="37"/>
      <c r="S9" s="33"/>
      <c r="T9" s="34"/>
      <c r="U9" s="35" t="str">
        <f t="shared" si="6"/>
        <v/>
      </c>
      <c r="V9" s="36" t="str">
        <f t="shared" si="7"/>
        <v/>
      </c>
      <c r="W9" s="37"/>
      <c r="X9" s="33"/>
      <c r="Y9" s="34"/>
      <c r="Z9" s="35" t="str">
        <f t="shared" si="8"/>
        <v/>
      </c>
      <c r="AA9" s="36" t="str">
        <f t="shared" si="9"/>
        <v/>
      </c>
      <c r="AB9" s="37"/>
      <c r="AC9" s="33"/>
      <c r="AD9" s="34"/>
      <c r="AE9" s="35" t="str">
        <f t="shared" si="10"/>
        <v/>
      </c>
      <c r="AF9" s="36" t="str">
        <f t="shared" si="11"/>
        <v/>
      </c>
      <c r="AG9" s="37"/>
      <c r="AH9" s="33"/>
      <c r="AI9" s="34"/>
      <c r="AJ9" s="35" t="str">
        <f t="shared" si="12"/>
        <v/>
      </c>
      <c r="AK9" s="36" t="str">
        <f t="shared" si="13"/>
        <v/>
      </c>
      <c r="AL9" s="37"/>
      <c r="AM9" s="33"/>
      <c r="AN9" s="34"/>
      <c r="AO9" s="35" t="str">
        <f t="shared" si="14"/>
        <v/>
      </c>
      <c r="AP9" s="36" t="str">
        <f t="shared" si="15"/>
        <v/>
      </c>
      <c r="AQ9" s="37"/>
      <c r="AR9" s="33"/>
      <c r="AS9" s="34"/>
      <c r="AT9" s="35" t="str">
        <f t="shared" si="16"/>
        <v/>
      </c>
      <c r="AU9" s="36" t="str">
        <f t="shared" si="17"/>
        <v/>
      </c>
      <c r="AV9" s="37"/>
      <c r="AW9" s="33"/>
      <c r="AX9" s="34"/>
      <c r="AY9" s="35" t="str">
        <f t="shared" si="18"/>
        <v/>
      </c>
      <c r="AZ9" s="36" t="str">
        <f t="shared" si="19"/>
        <v/>
      </c>
      <c r="BA9" s="37"/>
      <c r="BB9" s="33"/>
      <c r="BC9" s="34"/>
      <c r="BD9" s="35" t="str">
        <f t="shared" si="20"/>
        <v/>
      </c>
      <c r="BE9" s="36" t="str">
        <f t="shared" si="21"/>
        <v/>
      </c>
      <c r="BF9" s="37"/>
      <c r="BG9" s="33"/>
      <c r="BH9" s="34"/>
      <c r="BI9" s="35" t="str">
        <f t="shared" si="22"/>
        <v/>
      </c>
      <c r="BJ9" s="36" t="str">
        <f t="shared" si="23"/>
        <v/>
      </c>
      <c r="BK9" s="37"/>
      <c r="BL9" s="33"/>
      <c r="BM9" s="34"/>
      <c r="BN9" s="35" t="str">
        <f t="shared" si="24"/>
        <v/>
      </c>
      <c r="BO9" s="36" t="str">
        <f t="shared" si="25"/>
        <v/>
      </c>
      <c r="BP9" s="37"/>
      <c r="BQ9" s="33"/>
      <c r="BR9" s="34"/>
      <c r="BS9" s="35" t="str">
        <f t="shared" si="26"/>
        <v/>
      </c>
      <c r="BT9" s="36" t="str">
        <f t="shared" si="27"/>
        <v/>
      </c>
      <c r="BU9" s="37"/>
      <c r="BV9" s="33"/>
      <c r="BW9" s="34"/>
      <c r="BX9" s="35" t="str">
        <f t="shared" si="28"/>
        <v/>
      </c>
      <c r="BY9" s="36" t="str">
        <f t="shared" si="29"/>
        <v/>
      </c>
      <c r="BZ9" s="37"/>
      <c r="CA9" s="33"/>
      <c r="CB9" s="34"/>
      <c r="CC9" s="35" t="str">
        <f t="shared" si="30"/>
        <v/>
      </c>
      <c r="CD9" s="36" t="str">
        <f t="shared" si="31"/>
        <v/>
      </c>
      <c r="CE9" s="37"/>
      <c r="CF9" s="33"/>
      <c r="CG9" s="34"/>
      <c r="CH9" s="35" t="str">
        <f t="shared" si="32"/>
        <v/>
      </c>
      <c r="CI9" s="36" t="str">
        <f t="shared" si="33"/>
        <v/>
      </c>
      <c r="CJ9" s="37"/>
      <c r="CK9" s="33"/>
      <c r="CL9" s="34"/>
      <c r="CM9" s="35" t="str">
        <f t="shared" si="34"/>
        <v/>
      </c>
      <c r="CN9" s="36" t="str">
        <f t="shared" si="35"/>
        <v/>
      </c>
      <c r="CO9" s="37"/>
      <c r="CP9" s="33"/>
      <c r="CQ9" s="34"/>
      <c r="CR9" s="35" t="str">
        <f t="shared" si="36"/>
        <v/>
      </c>
      <c r="CS9" s="36" t="str">
        <f t="shared" si="37"/>
        <v/>
      </c>
      <c r="CT9" s="37"/>
      <c r="CU9" s="33"/>
      <c r="CV9" s="34"/>
      <c r="CW9" s="35" t="str">
        <f t="shared" si="38"/>
        <v/>
      </c>
      <c r="CX9" s="36" t="str">
        <f t="shared" si="39"/>
        <v/>
      </c>
      <c r="CY9" s="37"/>
      <c r="CZ9" s="33"/>
      <c r="DA9" s="34"/>
      <c r="DB9" s="35" t="str">
        <f t="shared" si="40"/>
        <v/>
      </c>
      <c r="DC9" s="36" t="str">
        <f t="shared" si="41"/>
        <v/>
      </c>
      <c r="DD9" s="37"/>
      <c r="DE9" s="33"/>
      <c r="DF9" s="34"/>
      <c r="DG9" s="35" t="str">
        <f t="shared" si="42"/>
        <v/>
      </c>
      <c r="DH9" s="36" t="str">
        <f t="shared" si="43"/>
        <v/>
      </c>
      <c r="DI9" s="37"/>
      <c r="DJ9" s="33"/>
      <c r="DK9" s="34"/>
      <c r="DL9" s="35" t="str">
        <f t="shared" si="44"/>
        <v/>
      </c>
      <c r="DM9" s="36" t="str">
        <f t="shared" si="45"/>
        <v/>
      </c>
      <c r="DN9" s="37"/>
      <c r="DO9" s="33"/>
      <c r="DP9" s="34"/>
      <c r="DQ9" s="35" t="str">
        <f t="shared" si="46"/>
        <v/>
      </c>
      <c r="DR9" s="36" t="str">
        <f t="shared" si="47"/>
        <v/>
      </c>
      <c r="DS9" s="37"/>
      <c r="DT9" s="33"/>
      <c r="DU9" s="34"/>
      <c r="DV9" s="35" t="str">
        <f t="shared" si="48"/>
        <v/>
      </c>
      <c r="DW9" s="36" t="str">
        <f t="shared" si="49"/>
        <v/>
      </c>
      <c r="DX9" s="37"/>
      <c r="DY9" s="33"/>
      <c r="DZ9" s="34"/>
      <c r="EA9" s="35" t="str">
        <f t="shared" si="50"/>
        <v/>
      </c>
      <c r="EB9" s="36" t="str">
        <f t="shared" si="51"/>
        <v/>
      </c>
      <c r="EC9" s="37"/>
      <c r="ED9" s="33"/>
      <c r="EE9" s="34"/>
      <c r="EF9" s="35" t="str">
        <f t="shared" si="52"/>
        <v/>
      </c>
      <c r="EG9" s="36" t="str">
        <f t="shared" si="53"/>
        <v/>
      </c>
      <c r="EH9" s="37"/>
      <c r="EI9" s="33"/>
      <c r="EJ9" s="34"/>
      <c r="EK9" s="35" t="str">
        <f t="shared" si="54"/>
        <v/>
      </c>
      <c r="EL9" s="36" t="str">
        <f t="shared" si="55"/>
        <v/>
      </c>
      <c r="EM9" s="37"/>
      <c r="EN9" s="33"/>
      <c r="EO9" s="34"/>
      <c r="EP9" s="35" t="str">
        <f t="shared" si="56"/>
        <v/>
      </c>
      <c r="EQ9" s="36" t="str">
        <f t="shared" si="57"/>
        <v/>
      </c>
      <c r="ER9" s="37"/>
      <c r="ES9" s="33"/>
      <c r="ET9" s="34"/>
      <c r="EU9" s="35" t="str">
        <f t="shared" si="58"/>
        <v/>
      </c>
      <c r="EV9" s="36" t="str">
        <f t="shared" si="59"/>
        <v/>
      </c>
      <c r="EW9" s="37"/>
    </row>
    <row r="10" spans="1:153" ht="19.5" customHeight="1">
      <c r="A10" s="32">
        <f>IF(DAY(DATE(対象年度,1,7))&lt;&gt;7,"",7)</f>
        <v>7</v>
      </c>
      <c r="B10" s="32" t="str">
        <f>IF(DAY(DATE(対象年度,1,7))&lt;&gt;7,"",CHOOSE(WEEKDAY(DATE(対象年度,1,7),2),"月","火","水","木","金","土","日"))</f>
        <v>水</v>
      </c>
      <c r="C10" s="32" t="str">
        <f>IF(DAY(DATE(対象年度,1,7))&lt;&gt;7,"",IF(ISNUMBER(MATCH(DATE(対象年度,1,7),祝日リスト,0)),"祝",""))</f>
        <v/>
      </c>
      <c r="D10" s="33"/>
      <c r="E10" s="34"/>
      <c r="F10" s="35" t="str">
        <f t="shared" si="0"/>
        <v/>
      </c>
      <c r="G10" s="36" t="str">
        <f t="shared" si="1"/>
        <v/>
      </c>
      <c r="H10" s="37"/>
      <c r="I10" s="33"/>
      <c r="J10" s="34"/>
      <c r="K10" s="35" t="str">
        <f t="shared" si="2"/>
        <v/>
      </c>
      <c r="L10" s="36" t="str">
        <f t="shared" si="3"/>
        <v/>
      </c>
      <c r="M10" s="37"/>
      <c r="N10" s="33"/>
      <c r="O10" s="34"/>
      <c r="P10" s="35" t="str">
        <f t="shared" si="4"/>
        <v/>
      </c>
      <c r="Q10" s="36" t="str">
        <f t="shared" si="5"/>
        <v/>
      </c>
      <c r="R10" s="37"/>
      <c r="S10" s="33"/>
      <c r="T10" s="34"/>
      <c r="U10" s="35" t="str">
        <f t="shared" si="6"/>
        <v/>
      </c>
      <c r="V10" s="36" t="str">
        <f t="shared" si="7"/>
        <v/>
      </c>
      <c r="W10" s="37"/>
      <c r="X10" s="33"/>
      <c r="Y10" s="34"/>
      <c r="Z10" s="35" t="str">
        <f t="shared" si="8"/>
        <v/>
      </c>
      <c r="AA10" s="36" t="str">
        <f t="shared" si="9"/>
        <v/>
      </c>
      <c r="AB10" s="37"/>
      <c r="AC10" s="33"/>
      <c r="AD10" s="34"/>
      <c r="AE10" s="35" t="str">
        <f t="shared" si="10"/>
        <v/>
      </c>
      <c r="AF10" s="36" t="str">
        <f t="shared" si="11"/>
        <v/>
      </c>
      <c r="AG10" s="37"/>
      <c r="AH10" s="33"/>
      <c r="AI10" s="34"/>
      <c r="AJ10" s="35" t="str">
        <f t="shared" si="12"/>
        <v/>
      </c>
      <c r="AK10" s="36" t="str">
        <f t="shared" si="13"/>
        <v/>
      </c>
      <c r="AL10" s="37"/>
      <c r="AM10" s="33"/>
      <c r="AN10" s="34"/>
      <c r="AO10" s="35" t="str">
        <f t="shared" si="14"/>
        <v/>
      </c>
      <c r="AP10" s="36" t="str">
        <f t="shared" si="15"/>
        <v/>
      </c>
      <c r="AQ10" s="37"/>
      <c r="AR10" s="33"/>
      <c r="AS10" s="34"/>
      <c r="AT10" s="35" t="str">
        <f t="shared" si="16"/>
        <v/>
      </c>
      <c r="AU10" s="36" t="str">
        <f t="shared" si="17"/>
        <v/>
      </c>
      <c r="AV10" s="37"/>
      <c r="AW10" s="33"/>
      <c r="AX10" s="34"/>
      <c r="AY10" s="35" t="str">
        <f t="shared" si="18"/>
        <v/>
      </c>
      <c r="AZ10" s="36" t="str">
        <f t="shared" si="19"/>
        <v/>
      </c>
      <c r="BA10" s="37"/>
      <c r="BB10" s="33"/>
      <c r="BC10" s="34"/>
      <c r="BD10" s="35" t="str">
        <f t="shared" si="20"/>
        <v/>
      </c>
      <c r="BE10" s="36" t="str">
        <f t="shared" si="21"/>
        <v/>
      </c>
      <c r="BF10" s="37"/>
      <c r="BG10" s="33"/>
      <c r="BH10" s="34"/>
      <c r="BI10" s="35" t="str">
        <f t="shared" si="22"/>
        <v/>
      </c>
      <c r="BJ10" s="36" t="str">
        <f t="shared" si="23"/>
        <v/>
      </c>
      <c r="BK10" s="37"/>
      <c r="BL10" s="33"/>
      <c r="BM10" s="34"/>
      <c r="BN10" s="35" t="str">
        <f t="shared" si="24"/>
        <v/>
      </c>
      <c r="BO10" s="36" t="str">
        <f t="shared" si="25"/>
        <v/>
      </c>
      <c r="BP10" s="37"/>
      <c r="BQ10" s="33"/>
      <c r="BR10" s="34"/>
      <c r="BS10" s="35" t="str">
        <f t="shared" si="26"/>
        <v/>
      </c>
      <c r="BT10" s="36" t="str">
        <f t="shared" si="27"/>
        <v/>
      </c>
      <c r="BU10" s="37"/>
      <c r="BV10" s="33"/>
      <c r="BW10" s="34"/>
      <c r="BX10" s="35" t="str">
        <f t="shared" si="28"/>
        <v/>
      </c>
      <c r="BY10" s="36" t="str">
        <f t="shared" si="29"/>
        <v/>
      </c>
      <c r="BZ10" s="37"/>
      <c r="CA10" s="33"/>
      <c r="CB10" s="34"/>
      <c r="CC10" s="35" t="str">
        <f t="shared" si="30"/>
        <v/>
      </c>
      <c r="CD10" s="36" t="str">
        <f t="shared" si="31"/>
        <v/>
      </c>
      <c r="CE10" s="37"/>
      <c r="CF10" s="33"/>
      <c r="CG10" s="34"/>
      <c r="CH10" s="35" t="str">
        <f t="shared" si="32"/>
        <v/>
      </c>
      <c r="CI10" s="36" t="str">
        <f t="shared" si="33"/>
        <v/>
      </c>
      <c r="CJ10" s="37"/>
      <c r="CK10" s="33"/>
      <c r="CL10" s="34"/>
      <c r="CM10" s="35" t="str">
        <f t="shared" si="34"/>
        <v/>
      </c>
      <c r="CN10" s="36" t="str">
        <f t="shared" si="35"/>
        <v/>
      </c>
      <c r="CO10" s="37"/>
      <c r="CP10" s="33"/>
      <c r="CQ10" s="34"/>
      <c r="CR10" s="35" t="str">
        <f t="shared" si="36"/>
        <v/>
      </c>
      <c r="CS10" s="36" t="str">
        <f t="shared" si="37"/>
        <v/>
      </c>
      <c r="CT10" s="37"/>
      <c r="CU10" s="33"/>
      <c r="CV10" s="34"/>
      <c r="CW10" s="35" t="str">
        <f t="shared" si="38"/>
        <v/>
      </c>
      <c r="CX10" s="36" t="str">
        <f t="shared" si="39"/>
        <v/>
      </c>
      <c r="CY10" s="37"/>
      <c r="CZ10" s="33"/>
      <c r="DA10" s="34"/>
      <c r="DB10" s="35" t="str">
        <f t="shared" si="40"/>
        <v/>
      </c>
      <c r="DC10" s="36" t="str">
        <f t="shared" si="41"/>
        <v/>
      </c>
      <c r="DD10" s="37"/>
      <c r="DE10" s="33"/>
      <c r="DF10" s="34"/>
      <c r="DG10" s="35" t="str">
        <f t="shared" si="42"/>
        <v/>
      </c>
      <c r="DH10" s="36" t="str">
        <f t="shared" si="43"/>
        <v/>
      </c>
      <c r="DI10" s="37"/>
      <c r="DJ10" s="33"/>
      <c r="DK10" s="34"/>
      <c r="DL10" s="35" t="str">
        <f t="shared" si="44"/>
        <v/>
      </c>
      <c r="DM10" s="36" t="str">
        <f t="shared" si="45"/>
        <v/>
      </c>
      <c r="DN10" s="37"/>
      <c r="DO10" s="33"/>
      <c r="DP10" s="34"/>
      <c r="DQ10" s="35" t="str">
        <f t="shared" si="46"/>
        <v/>
      </c>
      <c r="DR10" s="36" t="str">
        <f t="shared" si="47"/>
        <v/>
      </c>
      <c r="DS10" s="37"/>
      <c r="DT10" s="33"/>
      <c r="DU10" s="34"/>
      <c r="DV10" s="35" t="str">
        <f t="shared" si="48"/>
        <v/>
      </c>
      <c r="DW10" s="36" t="str">
        <f t="shared" si="49"/>
        <v/>
      </c>
      <c r="DX10" s="37"/>
      <c r="DY10" s="33"/>
      <c r="DZ10" s="34"/>
      <c r="EA10" s="35" t="str">
        <f t="shared" si="50"/>
        <v/>
      </c>
      <c r="EB10" s="36" t="str">
        <f t="shared" si="51"/>
        <v/>
      </c>
      <c r="EC10" s="37"/>
      <c r="ED10" s="33"/>
      <c r="EE10" s="34"/>
      <c r="EF10" s="35" t="str">
        <f t="shared" si="52"/>
        <v/>
      </c>
      <c r="EG10" s="36" t="str">
        <f t="shared" si="53"/>
        <v/>
      </c>
      <c r="EH10" s="37"/>
      <c r="EI10" s="33"/>
      <c r="EJ10" s="34"/>
      <c r="EK10" s="35" t="str">
        <f t="shared" si="54"/>
        <v/>
      </c>
      <c r="EL10" s="36" t="str">
        <f t="shared" si="55"/>
        <v/>
      </c>
      <c r="EM10" s="37"/>
      <c r="EN10" s="33"/>
      <c r="EO10" s="34"/>
      <c r="EP10" s="35" t="str">
        <f t="shared" si="56"/>
        <v/>
      </c>
      <c r="EQ10" s="36" t="str">
        <f t="shared" si="57"/>
        <v/>
      </c>
      <c r="ER10" s="37"/>
      <c r="ES10" s="33"/>
      <c r="ET10" s="34"/>
      <c r="EU10" s="35" t="str">
        <f t="shared" si="58"/>
        <v/>
      </c>
      <c r="EV10" s="36" t="str">
        <f t="shared" si="59"/>
        <v/>
      </c>
      <c r="EW10" s="37"/>
    </row>
    <row r="11" spans="1:153" ht="19.5" customHeight="1">
      <c r="A11" s="32">
        <f>IF(DAY(DATE(対象年度,1,8))&lt;&gt;8,"",8)</f>
        <v>8</v>
      </c>
      <c r="B11" s="32" t="str">
        <f>IF(DAY(DATE(対象年度,1,8))&lt;&gt;8,"",CHOOSE(WEEKDAY(DATE(対象年度,1,8),2),"月","火","水","木","金","土","日"))</f>
        <v>木</v>
      </c>
      <c r="C11" s="32" t="str">
        <f>IF(DAY(DATE(対象年度,1,8))&lt;&gt;8,"",IF(ISNUMBER(MATCH(DATE(対象年度,1,8),祝日リスト,0)),"祝",""))</f>
        <v/>
      </c>
      <c r="D11" s="33"/>
      <c r="E11" s="34"/>
      <c r="F11" s="35" t="str">
        <f t="shared" si="0"/>
        <v/>
      </c>
      <c r="G11" s="36" t="str">
        <f t="shared" si="1"/>
        <v/>
      </c>
      <c r="H11" s="37"/>
      <c r="I11" s="33"/>
      <c r="J11" s="34"/>
      <c r="K11" s="35" t="str">
        <f t="shared" si="2"/>
        <v/>
      </c>
      <c r="L11" s="36" t="str">
        <f t="shared" si="3"/>
        <v/>
      </c>
      <c r="M11" s="37"/>
      <c r="N11" s="33"/>
      <c r="O11" s="34"/>
      <c r="P11" s="35" t="str">
        <f t="shared" si="4"/>
        <v/>
      </c>
      <c r="Q11" s="36" t="str">
        <f t="shared" si="5"/>
        <v/>
      </c>
      <c r="R11" s="37"/>
      <c r="S11" s="33"/>
      <c r="T11" s="34"/>
      <c r="U11" s="35" t="str">
        <f t="shared" si="6"/>
        <v/>
      </c>
      <c r="V11" s="36" t="str">
        <f t="shared" si="7"/>
        <v/>
      </c>
      <c r="W11" s="37"/>
      <c r="X11" s="33"/>
      <c r="Y11" s="34"/>
      <c r="Z11" s="35" t="str">
        <f t="shared" si="8"/>
        <v/>
      </c>
      <c r="AA11" s="36" t="str">
        <f t="shared" si="9"/>
        <v/>
      </c>
      <c r="AB11" s="37"/>
      <c r="AC11" s="33"/>
      <c r="AD11" s="34"/>
      <c r="AE11" s="35" t="str">
        <f t="shared" si="10"/>
        <v/>
      </c>
      <c r="AF11" s="36" t="str">
        <f t="shared" si="11"/>
        <v/>
      </c>
      <c r="AG11" s="37"/>
      <c r="AH11" s="33"/>
      <c r="AI11" s="34"/>
      <c r="AJ11" s="35" t="str">
        <f t="shared" si="12"/>
        <v/>
      </c>
      <c r="AK11" s="36" t="str">
        <f t="shared" si="13"/>
        <v/>
      </c>
      <c r="AL11" s="37"/>
      <c r="AM11" s="33"/>
      <c r="AN11" s="34"/>
      <c r="AO11" s="35" t="str">
        <f t="shared" si="14"/>
        <v/>
      </c>
      <c r="AP11" s="36" t="str">
        <f t="shared" si="15"/>
        <v/>
      </c>
      <c r="AQ11" s="37"/>
      <c r="AR11" s="33"/>
      <c r="AS11" s="34"/>
      <c r="AT11" s="35" t="str">
        <f t="shared" si="16"/>
        <v/>
      </c>
      <c r="AU11" s="36" t="str">
        <f t="shared" si="17"/>
        <v/>
      </c>
      <c r="AV11" s="37"/>
      <c r="AW11" s="33"/>
      <c r="AX11" s="34"/>
      <c r="AY11" s="35" t="str">
        <f t="shared" si="18"/>
        <v/>
      </c>
      <c r="AZ11" s="36" t="str">
        <f t="shared" si="19"/>
        <v/>
      </c>
      <c r="BA11" s="37"/>
      <c r="BB11" s="33"/>
      <c r="BC11" s="34"/>
      <c r="BD11" s="35" t="str">
        <f t="shared" si="20"/>
        <v/>
      </c>
      <c r="BE11" s="36" t="str">
        <f t="shared" si="21"/>
        <v/>
      </c>
      <c r="BF11" s="37"/>
      <c r="BG11" s="33"/>
      <c r="BH11" s="34"/>
      <c r="BI11" s="35" t="str">
        <f t="shared" si="22"/>
        <v/>
      </c>
      <c r="BJ11" s="36" t="str">
        <f t="shared" si="23"/>
        <v/>
      </c>
      <c r="BK11" s="37"/>
      <c r="BL11" s="33"/>
      <c r="BM11" s="34"/>
      <c r="BN11" s="35" t="str">
        <f t="shared" si="24"/>
        <v/>
      </c>
      <c r="BO11" s="36" t="str">
        <f t="shared" si="25"/>
        <v/>
      </c>
      <c r="BP11" s="37"/>
      <c r="BQ11" s="33"/>
      <c r="BR11" s="34"/>
      <c r="BS11" s="35" t="str">
        <f t="shared" si="26"/>
        <v/>
      </c>
      <c r="BT11" s="36" t="str">
        <f t="shared" si="27"/>
        <v/>
      </c>
      <c r="BU11" s="37"/>
      <c r="BV11" s="33"/>
      <c r="BW11" s="34"/>
      <c r="BX11" s="35" t="str">
        <f t="shared" si="28"/>
        <v/>
      </c>
      <c r="BY11" s="36" t="str">
        <f t="shared" si="29"/>
        <v/>
      </c>
      <c r="BZ11" s="37"/>
      <c r="CA11" s="33"/>
      <c r="CB11" s="34"/>
      <c r="CC11" s="35" t="str">
        <f t="shared" si="30"/>
        <v/>
      </c>
      <c r="CD11" s="36" t="str">
        <f t="shared" si="31"/>
        <v/>
      </c>
      <c r="CE11" s="37"/>
      <c r="CF11" s="33"/>
      <c r="CG11" s="34"/>
      <c r="CH11" s="35" t="str">
        <f t="shared" si="32"/>
        <v/>
      </c>
      <c r="CI11" s="36" t="str">
        <f t="shared" si="33"/>
        <v/>
      </c>
      <c r="CJ11" s="37"/>
      <c r="CK11" s="33"/>
      <c r="CL11" s="34"/>
      <c r="CM11" s="35" t="str">
        <f t="shared" si="34"/>
        <v/>
      </c>
      <c r="CN11" s="36" t="str">
        <f t="shared" si="35"/>
        <v/>
      </c>
      <c r="CO11" s="37"/>
      <c r="CP11" s="33"/>
      <c r="CQ11" s="34"/>
      <c r="CR11" s="35" t="str">
        <f t="shared" si="36"/>
        <v/>
      </c>
      <c r="CS11" s="36" t="str">
        <f t="shared" si="37"/>
        <v/>
      </c>
      <c r="CT11" s="37"/>
      <c r="CU11" s="33"/>
      <c r="CV11" s="34"/>
      <c r="CW11" s="35" t="str">
        <f t="shared" si="38"/>
        <v/>
      </c>
      <c r="CX11" s="36" t="str">
        <f t="shared" si="39"/>
        <v/>
      </c>
      <c r="CY11" s="37"/>
      <c r="CZ11" s="33"/>
      <c r="DA11" s="34"/>
      <c r="DB11" s="35" t="str">
        <f t="shared" si="40"/>
        <v/>
      </c>
      <c r="DC11" s="36" t="str">
        <f t="shared" si="41"/>
        <v/>
      </c>
      <c r="DD11" s="37"/>
      <c r="DE11" s="33"/>
      <c r="DF11" s="34"/>
      <c r="DG11" s="35" t="str">
        <f t="shared" si="42"/>
        <v/>
      </c>
      <c r="DH11" s="36" t="str">
        <f t="shared" si="43"/>
        <v/>
      </c>
      <c r="DI11" s="37"/>
      <c r="DJ11" s="33"/>
      <c r="DK11" s="34"/>
      <c r="DL11" s="35" t="str">
        <f t="shared" si="44"/>
        <v/>
      </c>
      <c r="DM11" s="36" t="str">
        <f t="shared" si="45"/>
        <v/>
      </c>
      <c r="DN11" s="37"/>
      <c r="DO11" s="33"/>
      <c r="DP11" s="34"/>
      <c r="DQ11" s="35" t="str">
        <f t="shared" si="46"/>
        <v/>
      </c>
      <c r="DR11" s="36" t="str">
        <f t="shared" si="47"/>
        <v/>
      </c>
      <c r="DS11" s="37"/>
      <c r="DT11" s="33"/>
      <c r="DU11" s="34"/>
      <c r="DV11" s="35" t="str">
        <f t="shared" si="48"/>
        <v/>
      </c>
      <c r="DW11" s="36" t="str">
        <f t="shared" si="49"/>
        <v/>
      </c>
      <c r="DX11" s="37"/>
      <c r="DY11" s="33"/>
      <c r="DZ11" s="34"/>
      <c r="EA11" s="35" t="str">
        <f t="shared" si="50"/>
        <v/>
      </c>
      <c r="EB11" s="36" t="str">
        <f t="shared" si="51"/>
        <v/>
      </c>
      <c r="EC11" s="37"/>
      <c r="ED11" s="33"/>
      <c r="EE11" s="34"/>
      <c r="EF11" s="35" t="str">
        <f t="shared" si="52"/>
        <v/>
      </c>
      <c r="EG11" s="36" t="str">
        <f t="shared" si="53"/>
        <v/>
      </c>
      <c r="EH11" s="37"/>
      <c r="EI11" s="33"/>
      <c r="EJ11" s="34"/>
      <c r="EK11" s="35" t="str">
        <f t="shared" si="54"/>
        <v/>
      </c>
      <c r="EL11" s="36" t="str">
        <f t="shared" si="55"/>
        <v/>
      </c>
      <c r="EM11" s="37"/>
      <c r="EN11" s="33"/>
      <c r="EO11" s="34"/>
      <c r="EP11" s="35" t="str">
        <f t="shared" si="56"/>
        <v/>
      </c>
      <c r="EQ11" s="36" t="str">
        <f t="shared" si="57"/>
        <v/>
      </c>
      <c r="ER11" s="37"/>
      <c r="ES11" s="33"/>
      <c r="ET11" s="34"/>
      <c r="EU11" s="35" t="str">
        <f t="shared" si="58"/>
        <v/>
      </c>
      <c r="EV11" s="36" t="str">
        <f t="shared" si="59"/>
        <v/>
      </c>
      <c r="EW11" s="37"/>
    </row>
    <row r="12" spans="1:153" ht="19.5" customHeight="1">
      <c r="A12" s="32">
        <f>IF(DAY(DATE(対象年度,1,9))&lt;&gt;9,"",9)</f>
        <v>9</v>
      </c>
      <c r="B12" s="32" t="str">
        <f>IF(DAY(DATE(対象年度,1,9))&lt;&gt;9,"",CHOOSE(WEEKDAY(DATE(対象年度,1,9),2),"月","火","水","木","金","土","日"))</f>
        <v>金</v>
      </c>
      <c r="C12" s="32" t="str">
        <f>IF(DAY(DATE(対象年度,1,9))&lt;&gt;9,"",IF(ISNUMBER(MATCH(DATE(対象年度,1,9),祝日リスト,0)),"祝",""))</f>
        <v/>
      </c>
      <c r="D12" s="33"/>
      <c r="E12" s="34"/>
      <c r="F12" s="35" t="str">
        <f t="shared" si="0"/>
        <v/>
      </c>
      <c r="G12" s="36" t="str">
        <f t="shared" si="1"/>
        <v/>
      </c>
      <c r="H12" s="37"/>
      <c r="I12" s="33"/>
      <c r="J12" s="34"/>
      <c r="K12" s="35" t="str">
        <f t="shared" si="2"/>
        <v/>
      </c>
      <c r="L12" s="36" t="str">
        <f t="shared" si="3"/>
        <v/>
      </c>
      <c r="M12" s="37"/>
      <c r="N12" s="33"/>
      <c r="O12" s="34"/>
      <c r="P12" s="35" t="str">
        <f t="shared" si="4"/>
        <v/>
      </c>
      <c r="Q12" s="36" t="str">
        <f t="shared" si="5"/>
        <v/>
      </c>
      <c r="R12" s="37"/>
      <c r="S12" s="33"/>
      <c r="T12" s="34"/>
      <c r="U12" s="35" t="str">
        <f t="shared" si="6"/>
        <v/>
      </c>
      <c r="V12" s="36" t="str">
        <f t="shared" si="7"/>
        <v/>
      </c>
      <c r="W12" s="37"/>
      <c r="X12" s="33"/>
      <c r="Y12" s="34"/>
      <c r="Z12" s="35" t="str">
        <f t="shared" si="8"/>
        <v/>
      </c>
      <c r="AA12" s="36" t="str">
        <f t="shared" si="9"/>
        <v/>
      </c>
      <c r="AB12" s="37"/>
      <c r="AC12" s="33"/>
      <c r="AD12" s="34"/>
      <c r="AE12" s="35" t="str">
        <f t="shared" si="10"/>
        <v/>
      </c>
      <c r="AF12" s="36" t="str">
        <f t="shared" si="11"/>
        <v/>
      </c>
      <c r="AG12" s="37"/>
      <c r="AH12" s="33"/>
      <c r="AI12" s="34"/>
      <c r="AJ12" s="35" t="str">
        <f t="shared" si="12"/>
        <v/>
      </c>
      <c r="AK12" s="36" t="str">
        <f t="shared" si="13"/>
        <v/>
      </c>
      <c r="AL12" s="37"/>
      <c r="AM12" s="33"/>
      <c r="AN12" s="34"/>
      <c r="AO12" s="35" t="str">
        <f t="shared" si="14"/>
        <v/>
      </c>
      <c r="AP12" s="36" t="str">
        <f t="shared" si="15"/>
        <v/>
      </c>
      <c r="AQ12" s="37"/>
      <c r="AR12" s="33"/>
      <c r="AS12" s="34"/>
      <c r="AT12" s="35" t="str">
        <f t="shared" si="16"/>
        <v/>
      </c>
      <c r="AU12" s="36" t="str">
        <f t="shared" si="17"/>
        <v/>
      </c>
      <c r="AV12" s="37"/>
      <c r="AW12" s="33"/>
      <c r="AX12" s="34"/>
      <c r="AY12" s="35" t="str">
        <f t="shared" si="18"/>
        <v/>
      </c>
      <c r="AZ12" s="36" t="str">
        <f t="shared" si="19"/>
        <v/>
      </c>
      <c r="BA12" s="37"/>
      <c r="BB12" s="33"/>
      <c r="BC12" s="34"/>
      <c r="BD12" s="35" t="str">
        <f t="shared" si="20"/>
        <v/>
      </c>
      <c r="BE12" s="36" t="str">
        <f t="shared" si="21"/>
        <v/>
      </c>
      <c r="BF12" s="37"/>
      <c r="BG12" s="33"/>
      <c r="BH12" s="34"/>
      <c r="BI12" s="35" t="str">
        <f t="shared" si="22"/>
        <v/>
      </c>
      <c r="BJ12" s="36" t="str">
        <f t="shared" si="23"/>
        <v/>
      </c>
      <c r="BK12" s="37"/>
      <c r="BL12" s="33"/>
      <c r="BM12" s="34"/>
      <c r="BN12" s="35" t="str">
        <f t="shared" si="24"/>
        <v/>
      </c>
      <c r="BO12" s="36" t="str">
        <f t="shared" si="25"/>
        <v/>
      </c>
      <c r="BP12" s="37"/>
      <c r="BQ12" s="33"/>
      <c r="BR12" s="34"/>
      <c r="BS12" s="35" t="str">
        <f t="shared" si="26"/>
        <v/>
      </c>
      <c r="BT12" s="36" t="str">
        <f t="shared" si="27"/>
        <v/>
      </c>
      <c r="BU12" s="37"/>
      <c r="BV12" s="33"/>
      <c r="BW12" s="34"/>
      <c r="BX12" s="35" t="str">
        <f t="shared" si="28"/>
        <v/>
      </c>
      <c r="BY12" s="36" t="str">
        <f t="shared" si="29"/>
        <v/>
      </c>
      <c r="BZ12" s="37"/>
      <c r="CA12" s="33"/>
      <c r="CB12" s="34"/>
      <c r="CC12" s="35" t="str">
        <f t="shared" si="30"/>
        <v/>
      </c>
      <c r="CD12" s="36" t="str">
        <f t="shared" si="31"/>
        <v/>
      </c>
      <c r="CE12" s="37"/>
      <c r="CF12" s="33"/>
      <c r="CG12" s="34"/>
      <c r="CH12" s="35" t="str">
        <f t="shared" si="32"/>
        <v/>
      </c>
      <c r="CI12" s="36" t="str">
        <f t="shared" si="33"/>
        <v/>
      </c>
      <c r="CJ12" s="37"/>
      <c r="CK12" s="33"/>
      <c r="CL12" s="34"/>
      <c r="CM12" s="35" t="str">
        <f t="shared" si="34"/>
        <v/>
      </c>
      <c r="CN12" s="36" t="str">
        <f t="shared" si="35"/>
        <v/>
      </c>
      <c r="CO12" s="37"/>
      <c r="CP12" s="33"/>
      <c r="CQ12" s="34"/>
      <c r="CR12" s="35" t="str">
        <f t="shared" si="36"/>
        <v/>
      </c>
      <c r="CS12" s="36" t="str">
        <f t="shared" si="37"/>
        <v/>
      </c>
      <c r="CT12" s="37"/>
      <c r="CU12" s="33"/>
      <c r="CV12" s="34"/>
      <c r="CW12" s="35" t="str">
        <f t="shared" si="38"/>
        <v/>
      </c>
      <c r="CX12" s="36" t="str">
        <f t="shared" si="39"/>
        <v/>
      </c>
      <c r="CY12" s="37"/>
      <c r="CZ12" s="33"/>
      <c r="DA12" s="34"/>
      <c r="DB12" s="35" t="str">
        <f t="shared" si="40"/>
        <v/>
      </c>
      <c r="DC12" s="36" t="str">
        <f t="shared" si="41"/>
        <v/>
      </c>
      <c r="DD12" s="37"/>
      <c r="DE12" s="33"/>
      <c r="DF12" s="34"/>
      <c r="DG12" s="35" t="str">
        <f t="shared" si="42"/>
        <v/>
      </c>
      <c r="DH12" s="36" t="str">
        <f t="shared" si="43"/>
        <v/>
      </c>
      <c r="DI12" s="37"/>
      <c r="DJ12" s="33"/>
      <c r="DK12" s="34"/>
      <c r="DL12" s="35" t="str">
        <f t="shared" si="44"/>
        <v/>
      </c>
      <c r="DM12" s="36" t="str">
        <f t="shared" si="45"/>
        <v/>
      </c>
      <c r="DN12" s="37"/>
      <c r="DO12" s="33"/>
      <c r="DP12" s="34"/>
      <c r="DQ12" s="35" t="str">
        <f t="shared" si="46"/>
        <v/>
      </c>
      <c r="DR12" s="36" t="str">
        <f t="shared" si="47"/>
        <v/>
      </c>
      <c r="DS12" s="37"/>
      <c r="DT12" s="33"/>
      <c r="DU12" s="34"/>
      <c r="DV12" s="35" t="str">
        <f t="shared" si="48"/>
        <v/>
      </c>
      <c r="DW12" s="36" t="str">
        <f t="shared" si="49"/>
        <v/>
      </c>
      <c r="DX12" s="37"/>
      <c r="DY12" s="33"/>
      <c r="DZ12" s="34"/>
      <c r="EA12" s="35" t="str">
        <f t="shared" si="50"/>
        <v/>
      </c>
      <c r="EB12" s="36" t="str">
        <f t="shared" si="51"/>
        <v/>
      </c>
      <c r="EC12" s="37"/>
      <c r="ED12" s="33"/>
      <c r="EE12" s="34"/>
      <c r="EF12" s="35" t="str">
        <f t="shared" si="52"/>
        <v/>
      </c>
      <c r="EG12" s="36" t="str">
        <f t="shared" si="53"/>
        <v/>
      </c>
      <c r="EH12" s="37"/>
      <c r="EI12" s="33"/>
      <c r="EJ12" s="34"/>
      <c r="EK12" s="35" t="str">
        <f t="shared" si="54"/>
        <v/>
      </c>
      <c r="EL12" s="36" t="str">
        <f t="shared" si="55"/>
        <v/>
      </c>
      <c r="EM12" s="37"/>
      <c r="EN12" s="33"/>
      <c r="EO12" s="34"/>
      <c r="EP12" s="35" t="str">
        <f t="shared" si="56"/>
        <v/>
      </c>
      <c r="EQ12" s="36" t="str">
        <f t="shared" si="57"/>
        <v/>
      </c>
      <c r="ER12" s="37"/>
      <c r="ES12" s="33"/>
      <c r="ET12" s="34"/>
      <c r="EU12" s="35" t="str">
        <f t="shared" si="58"/>
        <v/>
      </c>
      <c r="EV12" s="36" t="str">
        <f t="shared" si="59"/>
        <v/>
      </c>
      <c r="EW12" s="37"/>
    </row>
    <row r="13" spans="1:153" ht="19.5" customHeight="1">
      <c r="A13" s="32">
        <f>IF(DAY(DATE(対象年度,1,10))&lt;&gt;10,"",10)</f>
        <v>10</v>
      </c>
      <c r="B13" s="32" t="str">
        <f>IF(DAY(DATE(対象年度,1,10))&lt;&gt;10,"",CHOOSE(WEEKDAY(DATE(対象年度,1,10),2),"月","火","水","木","金","土","日"))</f>
        <v>土</v>
      </c>
      <c r="C13" s="32" t="str">
        <f>IF(DAY(DATE(対象年度,1,10))&lt;&gt;10,"",IF(ISNUMBER(MATCH(DATE(対象年度,1,10),祝日リスト,0)),"祝",""))</f>
        <v/>
      </c>
      <c r="D13" s="33"/>
      <c r="E13" s="34"/>
      <c r="F13" s="35" t="str">
        <f t="shared" si="0"/>
        <v/>
      </c>
      <c r="G13" s="36" t="str">
        <f t="shared" si="1"/>
        <v/>
      </c>
      <c r="H13" s="37"/>
      <c r="I13" s="33"/>
      <c r="J13" s="34"/>
      <c r="K13" s="35" t="str">
        <f t="shared" si="2"/>
        <v/>
      </c>
      <c r="L13" s="36" t="str">
        <f t="shared" si="3"/>
        <v/>
      </c>
      <c r="M13" s="37"/>
      <c r="N13" s="33"/>
      <c r="O13" s="34"/>
      <c r="P13" s="35" t="str">
        <f t="shared" si="4"/>
        <v/>
      </c>
      <c r="Q13" s="36" t="str">
        <f t="shared" si="5"/>
        <v/>
      </c>
      <c r="R13" s="37"/>
      <c r="S13" s="33"/>
      <c r="T13" s="34"/>
      <c r="U13" s="35" t="str">
        <f t="shared" si="6"/>
        <v/>
      </c>
      <c r="V13" s="36" t="str">
        <f t="shared" si="7"/>
        <v/>
      </c>
      <c r="W13" s="37"/>
      <c r="X13" s="33"/>
      <c r="Y13" s="34"/>
      <c r="Z13" s="35" t="str">
        <f t="shared" si="8"/>
        <v/>
      </c>
      <c r="AA13" s="36" t="str">
        <f t="shared" si="9"/>
        <v/>
      </c>
      <c r="AB13" s="37"/>
      <c r="AC13" s="33"/>
      <c r="AD13" s="34"/>
      <c r="AE13" s="35" t="str">
        <f t="shared" si="10"/>
        <v/>
      </c>
      <c r="AF13" s="36" t="str">
        <f t="shared" si="11"/>
        <v/>
      </c>
      <c r="AG13" s="37"/>
      <c r="AH13" s="33"/>
      <c r="AI13" s="34"/>
      <c r="AJ13" s="35" t="str">
        <f t="shared" si="12"/>
        <v/>
      </c>
      <c r="AK13" s="36" t="str">
        <f t="shared" si="13"/>
        <v/>
      </c>
      <c r="AL13" s="37"/>
      <c r="AM13" s="33"/>
      <c r="AN13" s="34"/>
      <c r="AO13" s="35" t="str">
        <f t="shared" si="14"/>
        <v/>
      </c>
      <c r="AP13" s="36" t="str">
        <f t="shared" si="15"/>
        <v/>
      </c>
      <c r="AQ13" s="37"/>
      <c r="AR13" s="33"/>
      <c r="AS13" s="34"/>
      <c r="AT13" s="35" t="str">
        <f t="shared" si="16"/>
        <v/>
      </c>
      <c r="AU13" s="36" t="str">
        <f t="shared" si="17"/>
        <v/>
      </c>
      <c r="AV13" s="37"/>
      <c r="AW13" s="33"/>
      <c r="AX13" s="34"/>
      <c r="AY13" s="35" t="str">
        <f t="shared" si="18"/>
        <v/>
      </c>
      <c r="AZ13" s="36" t="str">
        <f t="shared" si="19"/>
        <v/>
      </c>
      <c r="BA13" s="37"/>
      <c r="BB13" s="33"/>
      <c r="BC13" s="34"/>
      <c r="BD13" s="35" t="str">
        <f t="shared" si="20"/>
        <v/>
      </c>
      <c r="BE13" s="36" t="str">
        <f t="shared" si="21"/>
        <v/>
      </c>
      <c r="BF13" s="37"/>
      <c r="BG13" s="33"/>
      <c r="BH13" s="34"/>
      <c r="BI13" s="35" t="str">
        <f t="shared" si="22"/>
        <v/>
      </c>
      <c r="BJ13" s="36" t="str">
        <f t="shared" si="23"/>
        <v/>
      </c>
      <c r="BK13" s="37"/>
      <c r="BL13" s="33"/>
      <c r="BM13" s="34"/>
      <c r="BN13" s="35" t="str">
        <f t="shared" si="24"/>
        <v/>
      </c>
      <c r="BO13" s="36" t="str">
        <f t="shared" si="25"/>
        <v/>
      </c>
      <c r="BP13" s="37"/>
      <c r="BQ13" s="33"/>
      <c r="BR13" s="34"/>
      <c r="BS13" s="35" t="str">
        <f t="shared" si="26"/>
        <v/>
      </c>
      <c r="BT13" s="36" t="str">
        <f t="shared" si="27"/>
        <v/>
      </c>
      <c r="BU13" s="37"/>
      <c r="BV13" s="33"/>
      <c r="BW13" s="34"/>
      <c r="BX13" s="35" t="str">
        <f t="shared" si="28"/>
        <v/>
      </c>
      <c r="BY13" s="36" t="str">
        <f t="shared" si="29"/>
        <v/>
      </c>
      <c r="BZ13" s="37"/>
      <c r="CA13" s="33"/>
      <c r="CB13" s="34"/>
      <c r="CC13" s="35" t="str">
        <f t="shared" si="30"/>
        <v/>
      </c>
      <c r="CD13" s="36" t="str">
        <f t="shared" si="31"/>
        <v/>
      </c>
      <c r="CE13" s="37"/>
      <c r="CF13" s="33"/>
      <c r="CG13" s="34"/>
      <c r="CH13" s="35" t="str">
        <f t="shared" si="32"/>
        <v/>
      </c>
      <c r="CI13" s="36" t="str">
        <f t="shared" si="33"/>
        <v/>
      </c>
      <c r="CJ13" s="37"/>
      <c r="CK13" s="33"/>
      <c r="CL13" s="34"/>
      <c r="CM13" s="35" t="str">
        <f t="shared" si="34"/>
        <v/>
      </c>
      <c r="CN13" s="36" t="str">
        <f t="shared" si="35"/>
        <v/>
      </c>
      <c r="CO13" s="37"/>
      <c r="CP13" s="33"/>
      <c r="CQ13" s="34"/>
      <c r="CR13" s="35" t="str">
        <f t="shared" si="36"/>
        <v/>
      </c>
      <c r="CS13" s="36" t="str">
        <f t="shared" si="37"/>
        <v/>
      </c>
      <c r="CT13" s="37"/>
      <c r="CU13" s="33"/>
      <c r="CV13" s="34"/>
      <c r="CW13" s="35" t="str">
        <f t="shared" si="38"/>
        <v/>
      </c>
      <c r="CX13" s="36" t="str">
        <f t="shared" si="39"/>
        <v/>
      </c>
      <c r="CY13" s="37"/>
      <c r="CZ13" s="33"/>
      <c r="DA13" s="34"/>
      <c r="DB13" s="35" t="str">
        <f t="shared" si="40"/>
        <v/>
      </c>
      <c r="DC13" s="36" t="str">
        <f t="shared" si="41"/>
        <v/>
      </c>
      <c r="DD13" s="37"/>
      <c r="DE13" s="33"/>
      <c r="DF13" s="34"/>
      <c r="DG13" s="35" t="str">
        <f t="shared" si="42"/>
        <v/>
      </c>
      <c r="DH13" s="36" t="str">
        <f t="shared" si="43"/>
        <v/>
      </c>
      <c r="DI13" s="37"/>
      <c r="DJ13" s="33"/>
      <c r="DK13" s="34"/>
      <c r="DL13" s="35" t="str">
        <f t="shared" si="44"/>
        <v/>
      </c>
      <c r="DM13" s="36" t="str">
        <f t="shared" si="45"/>
        <v/>
      </c>
      <c r="DN13" s="37"/>
      <c r="DO13" s="33"/>
      <c r="DP13" s="34"/>
      <c r="DQ13" s="35" t="str">
        <f t="shared" si="46"/>
        <v/>
      </c>
      <c r="DR13" s="36" t="str">
        <f t="shared" si="47"/>
        <v/>
      </c>
      <c r="DS13" s="37"/>
      <c r="DT13" s="33"/>
      <c r="DU13" s="34"/>
      <c r="DV13" s="35" t="str">
        <f t="shared" si="48"/>
        <v/>
      </c>
      <c r="DW13" s="36" t="str">
        <f t="shared" si="49"/>
        <v/>
      </c>
      <c r="DX13" s="37"/>
      <c r="DY13" s="33"/>
      <c r="DZ13" s="34"/>
      <c r="EA13" s="35" t="str">
        <f t="shared" si="50"/>
        <v/>
      </c>
      <c r="EB13" s="36" t="str">
        <f t="shared" si="51"/>
        <v/>
      </c>
      <c r="EC13" s="37"/>
      <c r="ED13" s="33"/>
      <c r="EE13" s="34"/>
      <c r="EF13" s="35" t="str">
        <f t="shared" si="52"/>
        <v/>
      </c>
      <c r="EG13" s="36" t="str">
        <f t="shared" si="53"/>
        <v/>
      </c>
      <c r="EH13" s="37"/>
      <c r="EI13" s="33"/>
      <c r="EJ13" s="34"/>
      <c r="EK13" s="35" t="str">
        <f t="shared" si="54"/>
        <v/>
      </c>
      <c r="EL13" s="36" t="str">
        <f t="shared" si="55"/>
        <v/>
      </c>
      <c r="EM13" s="37"/>
      <c r="EN13" s="33"/>
      <c r="EO13" s="34"/>
      <c r="EP13" s="35" t="str">
        <f t="shared" si="56"/>
        <v/>
      </c>
      <c r="EQ13" s="36" t="str">
        <f t="shared" si="57"/>
        <v/>
      </c>
      <c r="ER13" s="37"/>
      <c r="ES13" s="33"/>
      <c r="ET13" s="34"/>
      <c r="EU13" s="35" t="str">
        <f t="shared" si="58"/>
        <v/>
      </c>
      <c r="EV13" s="36" t="str">
        <f t="shared" si="59"/>
        <v/>
      </c>
      <c r="EW13" s="37"/>
    </row>
    <row r="14" spans="1:153" ht="19.5" customHeight="1">
      <c r="A14" s="32">
        <f>IF(DAY(DATE(対象年度,1,11))&lt;&gt;11,"",11)</f>
        <v>11</v>
      </c>
      <c r="B14" s="32" t="str">
        <f>IF(DAY(DATE(対象年度,1,11))&lt;&gt;11,"",CHOOSE(WEEKDAY(DATE(対象年度,1,11),2),"月","火","水","木","金","土","日"))</f>
        <v>日</v>
      </c>
      <c r="C14" s="32" t="str">
        <f>IF(DAY(DATE(対象年度,1,11))&lt;&gt;11,"",IF(ISNUMBER(MATCH(DATE(対象年度,1,11),祝日リスト,0)),"祝",""))</f>
        <v/>
      </c>
      <c r="D14" s="33"/>
      <c r="E14" s="34"/>
      <c r="F14" s="35" t="str">
        <f t="shared" si="0"/>
        <v/>
      </c>
      <c r="G14" s="36" t="str">
        <f t="shared" si="1"/>
        <v/>
      </c>
      <c r="H14" s="37"/>
      <c r="I14" s="33"/>
      <c r="J14" s="34"/>
      <c r="K14" s="35" t="str">
        <f t="shared" si="2"/>
        <v/>
      </c>
      <c r="L14" s="36" t="str">
        <f t="shared" si="3"/>
        <v/>
      </c>
      <c r="M14" s="37"/>
      <c r="N14" s="33"/>
      <c r="O14" s="34"/>
      <c r="P14" s="35" t="str">
        <f t="shared" si="4"/>
        <v/>
      </c>
      <c r="Q14" s="36" t="str">
        <f t="shared" si="5"/>
        <v/>
      </c>
      <c r="R14" s="37"/>
      <c r="S14" s="33"/>
      <c r="T14" s="34"/>
      <c r="U14" s="35" t="str">
        <f t="shared" si="6"/>
        <v/>
      </c>
      <c r="V14" s="36" t="str">
        <f t="shared" si="7"/>
        <v/>
      </c>
      <c r="W14" s="37"/>
      <c r="X14" s="33"/>
      <c r="Y14" s="34"/>
      <c r="Z14" s="35" t="str">
        <f t="shared" si="8"/>
        <v/>
      </c>
      <c r="AA14" s="36" t="str">
        <f t="shared" si="9"/>
        <v/>
      </c>
      <c r="AB14" s="37"/>
      <c r="AC14" s="33"/>
      <c r="AD14" s="34"/>
      <c r="AE14" s="35" t="str">
        <f t="shared" si="10"/>
        <v/>
      </c>
      <c r="AF14" s="36" t="str">
        <f t="shared" si="11"/>
        <v/>
      </c>
      <c r="AG14" s="37"/>
      <c r="AH14" s="33"/>
      <c r="AI14" s="34"/>
      <c r="AJ14" s="35" t="str">
        <f t="shared" si="12"/>
        <v/>
      </c>
      <c r="AK14" s="36" t="str">
        <f t="shared" si="13"/>
        <v/>
      </c>
      <c r="AL14" s="37"/>
      <c r="AM14" s="33"/>
      <c r="AN14" s="34"/>
      <c r="AO14" s="35" t="str">
        <f t="shared" si="14"/>
        <v/>
      </c>
      <c r="AP14" s="36" t="str">
        <f t="shared" si="15"/>
        <v/>
      </c>
      <c r="AQ14" s="37"/>
      <c r="AR14" s="33"/>
      <c r="AS14" s="34"/>
      <c r="AT14" s="35" t="str">
        <f t="shared" si="16"/>
        <v/>
      </c>
      <c r="AU14" s="36" t="str">
        <f t="shared" si="17"/>
        <v/>
      </c>
      <c r="AV14" s="37"/>
      <c r="AW14" s="33"/>
      <c r="AX14" s="34"/>
      <c r="AY14" s="35" t="str">
        <f t="shared" si="18"/>
        <v/>
      </c>
      <c r="AZ14" s="36" t="str">
        <f t="shared" si="19"/>
        <v/>
      </c>
      <c r="BA14" s="37"/>
      <c r="BB14" s="33"/>
      <c r="BC14" s="34"/>
      <c r="BD14" s="35" t="str">
        <f t="shared" si="20"/>
        <v/>
      </c>
      <c r="BE14" s="36" t="str">
        <f t="shared" si="21"/>
        <v/>
      </c>
      <c r="BF14" s="37"/>
      <c r="BG14" s="33"/>
      <c r="BH14" s="34"/>
      <c r="BI14" s="35" t="str">
        <f t="shared" si="22"/>
        <v/>
      </c>
      <c r="BJ14" s="36" t="str">
        <f t="shared" si="23"/>
        <v/>
      </c>
      <c r="BK14" s="37"/>
      <c r="BL14" s="33"/>
      <c r="BM14" s="34"/>
      <c r="BN14" s="35" t="str">
        <f t="shared" si="24"/>
        <v/>
      </c>
      <c r="BO14" s="36" t="str">
        <f t="shared" si="25"/>
        <v/>
      </c>
      <c r="BP14" s="37"/>
      <c r="BQ14" s="33"/>
      <c r="BR14" s="34"/>
      <c r="BS14" s="35" t="str">
        <f t="shared" si="26"/>
        <v/>
      </c>
      <c r="BT14" s="36" t="str">
        <f t="shared" si="27"/>
        <v/>
      </c>
      <c r="BU14" s="37"/>
      <c r="BV14" s="33"/>
      <c r="BW14" s="34"/>
      <c r="BX14" s="35" t="str">
        <f t="shared" si="28"/>
        <v/>
      </c>
      <c r="BY14" s="36" t="str">
        <f t="shared" si="29"/>
        <v/>
      </c>
      <c r="BZ14" s="37"/>
      <c r="CA14" s="33"/>
      <c r="CB14" s="34"/>
      <c r="CC14" s="35" t="str">
        <f t="shared" si="30"/>
        <v/>
      </c>
      <c r="CD14" s="36" t="str">
        <f t="shared" si="31"/>
        <v/>
      </c>
      <c r="CE14" s="37"/>
      <c r="CF14" s="33"/>
      <c r="CG14" s="34"/>
      <c r="CH14" s="35" t="str">
        <f t="shared" si="32"/>
        <v/>
      </c>
      <c r="CI14" s="36" t="str">
        <f t="shared" si="33"/>
        <v/>
      </c>
      <c r="CJ14" s="37"/>
      <c r="CK14" s="33"/>
      <c r="CL14" s="34"/>
      <c r="CM14" s="35" t="str">
        <f t="shared" si="34"/>
        <v/>
      </c>
      <c r="CN14" s="36" t="str">
        <f t="shared" si="35"/>
        <v/>
      </c>
      <c r="CO14" s="37"/>
      <c r="CP14" s="33"/>
      <c r="CQ14" s="34"/>
      <c r="CR14" s="35" t="str">
        <f t="shared" si="36"/>
        <v/>
      </c>
      <c r="CS14" s="36" t="str">
        <f t="shared" si="37"/>
        <v/>
      </c>
      <c r="CT14" s="37"/>
      <c r="CU14" s="33"/>
      <c r="CV14" s="34"/>
      <c r="CW14" s="35" t="str">
        <f t="shared" si="38"/>
        <v/>
      </c>
      <c r="CX14" s="36" t="str">
        <f t="shared" si="39"/>
        <v/>
      </c>
      <c r="CY14" s="37"/>
      <c r="CZ14" s="33"/>
      <c r="DA14" s="34"/>
      <c r="DB14" s="35" t="str">
        <f t="shared" si="40"/>
        <v/>
      </c>
      <c r="DC14" s="36" t="str">
        <f t="shared" si="41"/>
        <v/>
      </c>
      <c r="DD14" s="37"/>
      <c r="DE14" s="33"/>
      <c r="DF14" s="34"/>
      <c r="DG14" s="35" t="str">
        <f t="shared" si="42"/>
        <v/>
      </c>
      <c r="DH14" s="36" t="str">
        <f t="shared" si="43"/>
        <v/>
      </c>
      <c r="DI14" s="37"/>
      <c r="DJ14" s="33"/>
      <c r="DK14" s="34"/>
      <c r="DL14" s="35" t="str">
        <f t="shared" si="44"/>
        <v/>
      </c>
      <c r="DM14" s="36" t="str">
        <f t="shared" si="45"/>
        <v/>
      </c>
      <c r="DN14" s="37"/>
      <c r="DO14" s="33"/>
      <c r="DP14" s="34"/>
      <c r="DQ14" s="35" t="str">
        <f t="shared" si="46"/>
        <v/>
      </c>
      <c r="DR14" s="36" t="str">
        <f t="shared" si="47"/>
        <v/>
      </c>
      <c r="DS14" s="37"/>
      <c r="DT14" s="33"/>
      <c r="DU14" s="34"/>
      <c r="DV14" s="35" t="str">
        <f t="shared" si="48"/>
        <v/>
      </c>
      <c r="DW14" s="36" t="str">
        <f t="shared" si="49"/>
        <v/>
      </c>
      <c r="DX14" s="37"/>
      <c r="DY14" s="33"/>
      <c r="DZ14" s="34"/>
      <c r="EA14" s="35" t="str">
        <f t="shared" si="50"/>
        <v/>
      </c>
      <c r="EB14" s="36" t="str">
        <f t="shared" si="51"/>
        <v/>
      </c>
      <c r="EC14" s="37"/>
      <c r="ED14" s="33"/>
      <c r="EE14" s="34"/>
      <c r="EF14" s="35" t="str">
        <f t="shared" si="52"/>
        <v/>
      </c>
      <c r="EG14" s="36" t="str">
        <f t="shared" si="53"/>
        <v/>
      </c>
      <c r="EH14" s="37"/>
      <c r="EI14" s="33"/>
      <c r="EJ14" s="34"/>
      <c r="EK14" s="35" t="str">
        <f t="shared" si="54"/>
        <v/>
      </c>
      <c r="EL14" s="36" t="str">
        <f t="shared" si="55"/>
        <v/>
      </c>
      <c r="EM14" s="37"/>
      <c r="EN14" s="33"/>
      <c r="EO14" s="34"/>
      <c r="EP14" s="35" t="str">
        <f t="shared" si="56"/>
        <v/>
      </c>
      <c r="EQ14" s="36" t="str">
        <f t="shared" si="57"/>
        <v/>
      </c>
      <c r="ER14" s="37"/>
      <c r="ES14" s="33"/>
      <c r="ET14" s="34"/>
      <c r="EU14" s="35" t="str">
        <f t="shared" si="58"/>
        <v/>
      </c>
      <c r="EV14" s="36" t="str">
        <f t="shared" si="59"/>
        <v/>
      </c>
      <c r="EW14" s="37"/>
    </row>
    <row r="15" spans="1:153" ht="19.5" customHeight="1">
      <c r="A15" s="32">
        <f>IF(DAY(DATE(対象年度,1,12))&lt;&gt;12,"",12)</f>
        <v>12</v>
      </c>
      <c r="B15" s="32" t="str">
        <f>IF(DAY(DATE(対象年度,1,12))&lt;&gt;12,"",CHOOSE(WEEKDAY(DATE(対象年度,1,12),2),"月","火","水","木","金","土","日"))</f>
        <v>月</v>
      </c>
      <c r="C15" s="32" t="str">
        <f>IF(DAY(DATE(対象年度,1,12))&lt;&gt;12,"",IF(ISNUMBER(MATCH(DATE(対象年度,1,12),祝日リスト,0)),"祝",""))</f>
        <v>祝</v>
      </c>
      <c r="D15" s="33"/>
      <c r="E15" s="34"/>
      <c r="F15" s="35" t="str">
        <f t="shared" si="0"/>
        <v/>
      </c>
      <c r="G15" s="36" t="str">
        <f t="shared" si="1"/>
        <v/>
      </c>
      <c r="H15" s="37"/>
      <c r="I15" s="33"/>
      <c r="J15" s="34"/>
      <c r="K15" s="35" t="str">
        <f t="shared" si="2"/>
        <v/>
      </c>
      <c r="L15" s="36" t="str">
        <f t="shared" si="3"/>
        <v/>
      </c>
      <c r="M15" s="37"/>
      <c r="N15" s="33"/>
      <c r="O15" s="34"/>
      <c r="P15" s="35" t="str">
        <f t="shared" si="4"/>
        <v/>
      </c>
      <c r="Q15" s="36" t="str">
        <f t="shared" si="5"/>
        <v/>
      </c>
      <c r="R15" s="37"/>
      <c r="S15" s="33"/>
      <c r="T15" s="34"/>
      <c r="U15" s="35" t="str">
        <f t="shared" si="6"/>
        <v/>
      </c>
      <c r="V15" s="36" t="str">
        <f t="shared" si="7"/>
        <v/>
      </c>
      <c r="W15" s="37"/>
      <c r="X15" s="33"/>
      <c r="Y15" s="34"/>
      <c r="Z15" s="35" t="str">
        <f t="shared" si="8"/>
        <v/>
      </c>
      <c r="AA15" s="36" t="str">
        <f t="shared" si="9"/>
        <v/>
      </c>
      <c r="AB15" s="37"/>
      <c r="AC15" s="33"/>
      <c r="AD15" s="34"/>
      <c r="AE15" s="35" t="str">
        <f t="shared" si="10"/>
        <v/>
      </c>
      <c r="AF15" s="36" t="str">
        <f t="shared" si="11"/>
        <v/>
      </c>
      <c r="AG15" s="37"/>
      <c r="AH15" s="33"/>
      <c r="AI15" s="34"/>
      <c r="AJ15" s="35" t="str">
        <f t="shared" si="12"/>
        <v/>
      </c>
      <c r="AK15" s="36" t="str">
        <f t="shared" si="13"/>
        <v/>
      </c>
      <c r="AL15" s="37"/>
      <c r="AM15" s="33"/>
      <c r="AN15" s="34"/>
      <c r="AO15" s="35" t="str">
        <f t="shared" si="14"/>
        <v/>
      </c>
      <c r="AP15" s="36" t="str">
        <f t="shared" si="15"/>
        <v/>
      </c>
      <c r="AQ15" s="37"/>
      <c r="AR15" s="33"/>
      <c r="AS15" s="34"/>
      <c r="AT15" s="35" t="str">
        <f t="shared" si="16"/>
        <v/>
      </c>
      <c r="AU15" s="36" t="str">
        <f t="shared" si="17"/>
        <v/>
      </c>
      <c r="AV15" s="37"/>
      <c r="AW15" s="33"/>
      <c r="AX15" s="34"/>
      <c r="AY15" s="35" t="str">
        <f t="shared" si="18"/>
        <v/>
      </c>
      <c r="AZ15" s="36" t="str">
        <f t="shared" si="19"/>
        <v/>
      </c>
      <c r="BA15" s="37"/>
      <c r="BB15" s="33"/>
      <c r="BC15" s="34"/>
      <c r="BD15" s="35" t="str">
        <f t="shared" si="20"/>
        <v/>
      </c>
      <c r="BE15" s="36" t="str">
        <f t="shared" si="21"/>
        <v/>
      </c>
      <c r="BF15" s="37"/>
      <c r="BG15" s="33"/>
      <c r="BH15" s="34"/>
      <c r="BI15" s="35" t="str">
        <f t="shared" si="22"/>
        <v/>
      </c>
      <c r="BJ15" s="36" t="str">
        <f t="shared" si="23"/>
        <v/>
      </c>
      <c r="BK15" s="37"/>
      <c r="BL15" s="33"/>
      <c r="BM15" s="34"/>
      <c r="BN15" s="35" t="str">
        <f t="shared" si="24"/>
        <v/>
      </c>
      <c r="BO15" s="36" t="str">
        <f t="shared" si="25"/>
        <v/>
      </c>
      <c r="BP15" s="37"/>
      <c r="BQ15" s="33"/>
      <c r="BR15" s="34"/>
      <c r="BS15" s="35" t="str">
        <f t="shared" si="26"/>
        <v/>
      </c>
      <c r="BT15" s="36" t="str">
        <f t="shared" si="27"/>
        <v/>
      </c>
      <c r="BU15" s="37"/>
      <c r="BV15" s="33"/>
      <c r="BW15" s="34"/>
      <c r="BX15" s="35" t="str">
        <f t="shared" si="28"/>
        <v/>
      </c>
      <c r="BY15" s="36" t="str">
        <f t="shared" si="29"/>
        <v/>
      </c>
      <c r="BZ15" s="37"/>
      <c r="CA15" s="33"/>
      <c r="CB15" s="34"/>
      <c r="CC15" s="35" t="str">
        <f t="shared" si="30"/>
        <v/>
      </c>
      <c r="CD15" s="36" t="str">
        <f t="shared" si="31"/>
        <v/>
      </c>
      <c r="CE15" s="37"/>
      <c r="CF15" s="33"/>
      <c r="CG15" s="34"/>
      <c r="CH15" s="35" t="str">
        <f t="shared" si="32"/>
        <v/>
      </c>
      <c r="CI15" s="36" t="str">
        <f t="shared" si="33"/>
        <v/>
      </c>
      <c r="CJ15" s="37"/>
      <c r="CK15" s="33"/>
      <c r="CL15" s="34"/>
      <c r="CM15" s="35" t="str">
        <f t="shared" si="34"/>
        <v/>
      </c>
      <c r="CN15" s="36" t="str">
        <f t="shared" si="35"/>
        <v/>
      </c>
      <c r="CO15" s="37"/>
      <c r="CP15" s="33"/>
      <c r="CQ15" s="34"/>
      <c r="CR15" s="35" t="str">
        <f t="shared" si="36"/>
        <v/>
      </c>
      <c r="CS15" s="36" t="str">
        <f t="shared" si="37"/>
        <v/>
      </c>
      <c r="CT15" s="37"/>
      <c r="CU15" s="33"/>
      <c r="CV15" s="34"/>
      <c r="CW15" s="35" t="str">
        <f t="shared" si="38"/>
        <v/>
      </c>
      <c r="CX15" s="36" t="str">
        <f t="shared" si="39"/>
        <v/>
      </c>
      <c r="CY15" s="37"/>
      <c r="CZ15" s="33"/>
      <c r="DA15" s="34"/>
      <c r="DB15" s="35" t="str">
        <f t="shared" si="40"/>
        <v/>
      </c>
      <c r="DC15" s="36" t="str">
        <f t="shared" si="41"/>
        <v/>
      </c>
      <c r="DD15" s="37"/>
      <c r="DE15" s="33"/>
      <c r="DF15" s="34"/>
      <c r="DG15" s="35" t="str">
        <f t="shared" si="42"/>
        <v/>
      </c>
      <c r="DH15" s="36" t="str">
        <f t="shared" si="43"/>
        <v/>
      </c>
      <c r="DI15" s="37"/>
      <c r="DJ15" s="33"/>
      <c r="DK15" s="34"/>
      <c r="DL15" s="35" t="str">
        <f t="shared" si="44"/>
        <v/>
      </c>
      <c r="DM15" s="36" t="str">
        <f t="shared" si="45"/>
        <v/>
      </c>
      <c r="DN15" s="37"/>
      <c r="DO15" s="33"/>
      <c r="DP15" s="34"/>
      <c r="DQ15" s="35" t="str">
        <f t="shared" si="46"/>
        <v/>
      </c>
      <c r="DR15" s="36" t="str">
        <f t="shared" si="47"/>
        <v/>
      </c>
      <c r="DS15" s="37"/>
      <c r="DT15" s="33"/>
      <c r="DU15" s="34"/>
      <c r="DV15" s="35" t="str">
        <f t="shared" si="48"/>
        <v/>
      </c>
      <c r="DW15" s="36" t="str">
        <f t="shared" si="49"/>
        <v/>
      </c>
      <c r="DX15" s="37"/>
      <c r="DY15" s="33"/>
      <c r="DZ15" s="34"/>
      <c r="EA15" s="35" t="str">
        <f t="shared" si="50"/>
        <v/>
      </c>
      <c r="EB15" s="36" t="str">
        <f t="shared" si="51"/>
        <v/>
      </c>
      <c r="EC15" s="37"/>
      <c r="ED15" s="33"/>
      <c r="EE15" s="34"/>
      <c r="EF15" s="35" t="str">
        <f t="shared" si="52"/>
        <v/>
      </c>
      <c r="EG15" s="36" t="str">
        <f t="shared" si="53"/>
        <v/>
      </c>
      <c r="EH15" s="37"/>
      <c r="EI15" s="33"/>
      <c r="EJ15" s="34"/>
      <c r="EK15" s="35" t="str">
        <f t="shared" si="54"/>
        <v/>
      </c>
      <c r="EL15" s="36" t="str">
        <f t="shared" si="55"/>
        <v/>
      </c>
      <c r="EM15" s="37"/>
      <c r="EN15" s="33"/>
      <c r="EO15" s="34"/>
      <c r="EP15" s="35" t="str">
        <f t="shared" si="56"/>
        <v/>
      </c>
      <c r="EQ15" s="36" t="str">
        <f t="shared" si="57"/>
        <v/>
      </c>
      <c r="ER15" s="37"/>
      <c r="ES15" s="33"/>
      <c r="ET15" s="34"/>
      <c r="EU15" s="35" t="str">
        <f t="shared" si="58"/>
        <v/>
      </c>
      <c r="EV15" s="36" t="str">
        <f t="shared" si="59"/>
        <v/>
      </c>
      <c r="EW15" s="37"/>
    </row>
    <row r="16" spans="1:153" ht="19.5" customHeight="1">
      <c r="A16" s="32">
        <f>IF(DAY(DATE(対象年度,1,13))&lt;&gt;13,"",13)</f>
        <v>13</v>
      </c>
      <c r="B16" s="32" t="str">
        <f>IF(DAY(DATE(対象年度,1,13))&lt;&gt;13,"",CHOOSE(WEEKDAY(DATE(対象年度,1,13),2),"月","火","水","木","金","土","日"))</f>
        <v>火</v>
      </c>
      <c r="C16" s="32" t="str">
        <f>IF(DAY(DATE(対象年度,1,13))&lt;&gt;13,"",IF(ISNUMBER(MATCH(DATE(対象年度,1,13),祝日リスト,0)),"祝",""))</f>
        <v/>
      </c>
      <c r="D16" s="33"/>
      <c r="E16" s="34"/>
      <c r="F16" s="35" t="str">
        <f t="shared" si="0"/>
        <v/>
      </c>
      <c r="G16" s="36" t="str">
        <f t="shared" si="1"/>
        <v/>
      </c>
      <c r="H16" s="37"/>
      <c r="I16" s="33"/>
      <c r="J16" s="34"/>
      <c r="K16" s="35" t="str">
        <f t="shared" si="2"/>
        <v/>
      </c>
      <c r="L16" s="36" t="str">
        <f t="shared" si="3"/>
        <v/>
      </c>
      <c r="M16" s="37"/>
      <c r="N16" s="33"/>
      <c r="O16" s="34"/>
      <c r="P16" s="35" t="str">
        <f t="shared" si="4"/>
        <v/>
      </c>
      <c r="Q16" s="36" t="str">
        <f t="shared" si="5"/>
        <v/>
      </c>
      <c r="R16" s="37"/>
      <c r="S16" s="33"/>
      <c r="T16" s="34"/>
      <c r="U16" s="35" t="str">
        <f t="shared" si="6"/>
        <v/>
      </c>
      <c r="V16" s="36" t="str">
        <f t="shared" si="7"/>
        <v/>
      </c>
      <c r="W16" s="37"/>
      <c r="X16" s="33"/>
      <c r="Y16" s="34"/>
      <c r="Z16" s="35" t="str">
        <f t="shared" si="8"/>
        <v/>
      </c>
      <c r="AA16" s="36" t="str">
        <f t="shared" si="9"/>
        <v/>
      </c>
      <c r="AB16" s="37"/>
      <c r="AC16" s="33"/>
      <c r="AD16" s="34"/>
      <c r="AE16" s="35" t="str">
        <f t="shared" si="10"/>
        <v/>
      </c>
      <c r="AF16" s="36" t="str">
        <f t="shared" si="11"/>
        <v/>
      </c>
      <c r="AG16" s="37"/>
      <c r="AH16" s="33"/>
      <c r="AI16" s="34"/>
      <c r="AJ16" s="35" t="str">
        <f t="shared" si="12"/>
        <v/>
      </c>
      <c r="AK16" s="36" t="str">
        <f t="shared" si="13"/>
        <v/>
      </c>
      <c r="AL16" s="37"/>
      <c r="AM16" s="33"/>
      <c r="AN16" s="34"/>
      <c r="AO16" s="35" t="str">
        <f t="shared" si="14"/>
        <v/>
      </c>
      <c r="AP16" s="36" t="str">
        <f t="shared" si="15"/>
        <v/>
      </c>
      <c r="AQ16" s="37"/>
      <c r="AR16" s="33"/>
      <c r="AS16" s="34"/>
      <c r="AT16" s="35" t="str">
        <f t="shared" si="16"/>
        <v/>
      </c>
      <c r="AU16" s="36" t="str">
        <f t="shared" si="17"/>
        <v/>
      </c>
      <c r="AV16" s="37"/>
      <c r="AW16" s="33"/>
      <c r="AX16" s="34"/>
      <c r="AY16" s="35" t="str">
        <f t="shared" si="18"/>
        <v/>
      </c>
      <c r="AZ16" s="36" t="str">
        <f t="shared" si="19"/>
        <v/>
      </c>
      <c r="BA16" s="37"/>
      <c r="BB16" s="33"/>
      <c r="BC16" s="34"/>
      <c r="BD16" s="35" t="str">
        <f t="shared" si="20"/>
        <v/>
      </c>
      <c r="BE16" s="36" t="str">
        <f t="shared" si="21"/>
        <v/>
      </c>
      <c r="BF16" s="37"/>
      <c r="BG16" s="33"/>
      <c r="BH16" s="34"/>
      <c r="BI16" s="35" t="str">
        <f t="shared" si="22"/>
        <v/>
      </c>
      <c r="BJ16" s="36" t="str">
        <f t="shared" si="23"/>
        <v/>
      </c>
      <c r="BK16" s="37"/>
      <c r="BL16" s="33"/>
      <c r="BM16" s="34"/>
      <c r="BN16" s="35" t="str">
        <f t="shared" si="24"/>
        <v/>
      </c>
      <c r="BO16" s="36" t="str">
        <f t="shared" si="25"/>
        <v/>
      </c>
      <c r="BP16" s="37"/>
      <c r="BQ16" s="33"/>
      <c r="BR16" s="34"/>
      <c r="BS16" s="35" t="str">
        <f t="shared" si="26"/>
        <v/>
      </c>
      <c r="BT16" s="36" t="str">
        <f t="shared" si="27"/>
        <v/>
      </c>
      <c r="BU16" s="37"/>
      <c r="BV16" s="33"/>
      <c r="BW16" s="34"/>
      <c r="BX16" s="35" t="str">
        <f t="shared" si="28"/>
        <v/>
      </c>
      <c r="BY16" s="36" t="str">
        <f t="shared" si="29"/>
        <v/>
      </c>
      <c r="BZ16" s="37"/>
      <c r="CA16" s="33"/>
      <c r="CB16" s="34"/>
      <c r="CC16" s="35" t="str">
        <f t="shared" si="30"/>
        <v/>
      </c>
      <c r="CD16" s="36" t="str">
        <f t="shared" si="31"/>
        <v/>
      </c>
      <c r="CE16" s="37"/>
      <c r="CF16" s="33"/>
      <c r="CG16" s="34"/>
      <c r="CH16" s="35" t="str">
        <f t="shared" si="32"/>
        <v/>
      </c>
      <c r="CI16" s="36" t="str">
        <f t="shared" si="33"/>
        <v/>
      </c>
      <c r="CJ16" s="37"/>
      <c r="CK16" s="33"/>
      <c r="CL16" s="34"/>
      <c r="CM16" s="35" t="str">
        <f t="shared" si="34"/>
        <v/>
      </c>
      <c r="CN16" s="36" t="str">
        <f t="shared" si="35"/>
        <v/>
      </c>
      <c r="CO16" s="37"/>
      <c r="CP16" s="33"/>
      <c r="CQ16" s="34"/>
      <c r="CR16" s="35" t="str">
        <f t="shared" si="36"/>
        <v/>
      </c>
      <c r="CS16" s="36" t="str">
        <f t="shared" si="37"/>
        <v/>
      </c>
      <c r="CT16" s="37"/>
      <c r="CU16" s="33"/>
      <c r="CV16" s="34"/>
      <c r="CW16" s="35" t="str">
        <f t="shared" si="38"/>
        <v/>
      </c>
      <c r="CX16" s="36" t="str">
        <f t="shared" si="39"/>
        <v/>
      </c>
      <c r="CY16" s="37"/>
      <c r="CZ16" s="33"/>
      <c r="DA16" s="34"/>
      <c r="DB16" s="35" t="str">
        <f t="shared" si="40"/>
        <v/>
      </c>
      <c r="DC16" s="36" t="str">
        <f t="shared" si="41"/>
        <v/>
      </c>
      <c r="DD16" s="37"/>
      <c r="DE16" s="33"/>
      <c r="DF16" s="34"/>
      <c r="DG16" s="35" t="str">
        <f t="shared" si="42"/>
        <v/>
      </c>
      <c r="DH16" s="36" t="str">
        <f t="shared" si="43"/>
        <v/>
      </c>
      <c r="DI16" s="37"/>
      <c r="DJ16" s="33"/>
      <c r="DK16" s="34"/>
      <c r="DL16" s="35" t="str">
        <f t="shared" si="44"/>
        <v/>
      </c>
      <c r="DM16" s="36" t="str">
        <f t="shared" si="45"/>
        <v/>
      </c>
      <c r="DN16" s="37"/>
      <c r="DO16" s="33"/>
      <c r="DP16" s="34"/>
      <c r="DQ16" s="35" t="str">
        <f t="shared" si="46"/>
        <v/>
      </c>
      <c r="DR16" s="36" t="str">
        <f t="shared" si="47"/>
        <v/>
      </c>
      <c r="DS16" s="37"/>
      <c r="DT16" s="33"/>
      <c r="DU16" s="34"/>
      <c r="DV16" s="35" t="str">
        <f t="shared" si="48"/>
        <v/>
      </c>
      <c r="DW16" s="36" t="str">
        <f t="shared" si="49"/>
        <v/>
      </c>
      <c r="DX16" s="37"/>
      <c r="DY16" s="33"/>
      <c r="DZ16" s="34"/>
      <c r="EA16" s="35" t="str">
        <f t="shared" si="50"/>
        <v/>
      </c>
      <c r="EB16" s="36" t="str">
        <f t="shared" si="51"/>
        <v/>
      </c>
      <c r="EC16" s="37"/>
      <c r="ED16" s="33"/>
      <c r="EE16" s="34"/>
      <c r="EF16" s="35" t="str">
        <f t="shared" si="52"/>
        <v/>
      </c>
      <c r="EG16" s="36" t="str">
        <f t="shared" si="53"/>
        <v/>
      </c>
      <c r="EH16" s="37"/>
      <c r="EI16" s="33"/>
      <c r="EJ16" s="34"/>
      <c r="EK16" s="35" t="str">
        <f t="shared" si="54"/>
        <v/>
      </c>
      <c r="EL16" s="36" t="str">
        <f t="shared" si="55"/>
        <v/>
      </c>
      <c r="EM16" s="37"/>
      <c r="EN16" s="33"/>
      <c r="EO16" s="34"/>
      <c r="EP16" s="35" t="str">
        <f t="shared" si="56"/>
        <v/>
      </c>
      <c r="EQ16" s="36" t="str">
        <f t="shared" si="57"/>
        <v/>
      </c>
      <c r="ER16" s="37"/>
      <c r="ES16" s="33"/>
      <c r="ET16" s="34"/>
      <c r="EU16" s="35" t="str">
        <f t="shared" si="58"/>
        <v/>
      </c>
      <c r="EV16" s="36" t="str">
        <f t="shared" si="59"/>
        <v/>
      </c>
      <c r="EW16" s="37"/>
    </row>
    <row r="17" spans="1:153" ht="19.5" customHeight="1">
      <c r="A17" s="32">
        <f>IF(DAY(DATE(対象年度,1,14))&lt;&gt;14,"",14)</f>
        <v>14</v>
      </c>
      <c r="B17" s="32" t="str">
        <f>IF(DAY(DATE(対象年度,1,14))&lt;&gt;14,"",CHOOSE(WEEKDAY(DATE(対象年度,1,14),2),"月","火","水","木","金","土","日"))</f>
        <v>水</v>
      </c>
      <c r="C17" s="32" t="str">
        <f>IF(DAY(DATE(対象年度,1,14))&lt;&gt;14,"",IF(ISNUMBER(MATCH(DATE(対象年度,1,14),祝日リスト,0)),"祝",""))</f>
        <v/>
      </c>
      <c r="D17" s="33"/>
      <c r="E17" s="34"/>
      <c r="F17" s="35" t="str">
        <f t="shared" si="0"/>
        <v/>
      </c>
      <c r="G17" s="36" t="str">
        <f t="shared" si="1"/>
        <v/>
      </c>
      <c r="H17" s="37"/>
      <c r="I17" s="33"/>
      <c r="J17" s="34"/>
      <c r="K17" s="35" t="str">
        <f t="shared" si="2"/>
        <v/>
      </c>
      <c r="L17" s="36" t="str">
        <f t="shared" si="3"/>
        <v/>
      </c>
      <c r="M17" s="37"/>
      <c r="N17" s="33"/>
      <c r="O17" s="34"/>
      <c r="P17" s="35" t="str">
        <f t="shared" si="4"/>
        <v/>
      </c>
      <c r="Q17" s="36" t="str">
        <f t="shared" si="5"/>
        <v/>
      </c>
      <c r="R17" s="37"/>
      <c r="S17" s="33"/>
      <c r="T17" s="34"/>
      <c r="U17" s="35" t="str">
        <f t="shared" si="6"/>
        <v/>
      </c>
      <c r="V17" s="36" t="str">
        <f t="shared" si="7"/>
        <v/>
      </c>
      <c r="W17" s="37"/>
      <c r="X17" s="33"/>
      <c r="Y17" s="34"/>
      <c r="Z17" s="35" t="str">
        <f t="shared" si="8"/>
        <v/>
      </c>
      <c r="AA17" s="36" t="str">
        <f t="shared" si="9"/>
        <v/>
      </c>
      <c r="AB17" s="37"/>
      <c r="AC17" s="33"/>
      <c r="AD17" s="34"/>
      <c r="AE17" s="35" t="str">
        <f t="shared" si="10"/>
        <v/>
      </c>
      <c r="AF17" s="36" t="str">
        <f t="shared" si="11"/>
        <v/>
      </c>
      <c r="AG17" s="37"/>
      <c r="AH17" s="33"/>
      <c r="AI17" s="34"/>
      <c r="AJ17" s="35" t="str">
        <f t="shared" si="12"/>
        <v/>
      </c>
      <c r="AK17" s="36" t="str">
        <f t="shared" si="13"/>
        <v/>
      </c>
      <c r="AL17" s="37"/>
      <c r="AM17" s="33"/>
      <c r="AN17" s="34"/>
      <c r="AO17" s="35" t="str">
        <f t="shared" si="14"/>
        <v/>
      </c>
      <c r="AP17" s="36" t="str">
        <f t="shared" si="15"/>
        <v/>
      </c>
      <c r="AQ17" s="37"/>
      <c r="AR17" s="33"/>
      <c r="AS17" s="34"/>
      <c r="AT17" s="35" t="str">
        <f t="shared" si="16"/>
        <v/>
      </c>
      <c r="AU17" s="36" t="str">
        <f t="shared" si="17"/>
        <v/>
      </c>
      <c r="AV17" s="37"/>
      <c r="AW17" s="33"/>
      <c r="AX17" s="34"/>
      <c r="AY17" s="35" t="str">
        <f t="shared" si="18"/>
        <v/>
      </c>
      <c r="AZ17" s="36" t="str">
        <f t="shared" si="19"/>
        <v/>
      </c>
      <c r="BA17" s="37"/>
      <c r="BB17" s="33"/>
      <c r="BC17" s="34"/>
      <c r="BD17" s="35" t="str">
        <f t="shared" si="20"/>
        <v/>
      </c>
      <c r="BE17" s="36" t="str">
        <f t="shared" si="21"/>
        <v/>
      </c>
      <c r="BF17" s="37"/>
      <c r="BG17" s="33"/>
      <c r="BH17" s="34"/>
      <c r="BI17" s="35" t="str">
        <f t="shared" si="22"/>
        <v/>
      </c>
      <c r="BJ17" s="36" t="str">
        <f t="shared" si="23"/>
        <v/>
      </c>
      <c r="BK17" s="37"/>
      <c r="BL17" s="33"/>
      <c r="BM17" s="34"/>
      <c r="BN17" s="35" t="str">
        <f t="shared" si="24"/>
        <v/>
      </c>
      <c r="BO17" s="36" t="str">
        <f t="shared" si="25"/>
        <v/>
      </c>
      <c r="BP17" s="37"/>
      <c r="BQ17" s="33"/>
      <c r="BR17" s="34"/>
      <c r="BS17" s="35" t="str">
        <f t="shared" si="26"/>
        <v/>
      </c>
      <c r="BT17" s="36" t="str">
        <f t="shared" si="27"/>
        <v/>
      </c>
      <c r="BU17" s="37"/>
      <c r="BV17" s="33"/>
      <c r="BW17" s="34"/>
      <c r="BX17" s="35" t="str">
        <f t="shared" si="28"/>
        <v/>
      </c>
      <c r="BY17" s="36" t="str">
        <f t="shared" si="29"/>
        <v/>
      </c>
      <c r="BZ17" s="37"/>
      <c r="CA17" s="33"/>
      <c r="CB17" s="34"/>
      <c r="CC17" s="35" t="str">
        <f t="shared" si="30"/>
        <v/>
      </c>
      <c r="CD17" s="36" t="str">
        <f t="shared" si="31"/>
        <v/>
      </c>
      <c r="CE17" s="37"/>
      <c r="CF17" s="33"/>
      <c r="CG17" s="34"/>
      <c r="CH17" s="35" t="str">
        <f t="shared" si="32"/>
        <v/>
      </c>
      <c r="CI17" s="36" t="str">
        <f t="shared" si="33"/>
        <v/>
      </c>
      <c r="CJ17" s="37"/>
      <c r="CK17" s="33"/>
      <c r="CL17" s="34"/>
      <c r="CM17" s="35" t="str">
        <f t="shared" si="34"/>
        <v/>
      </c>
      <c r="CN17" s="36" t="str">
        <f t="shared" si="35"/>
        <v/>
      </c>
      <c r="CO17" s="37"/>
      <c r="CP17" s="33"/>
      <c r="CQ17" s="34"/>
      <c r="CR17" s="35" t="str">
        <f t="shared" si="36"/>
        <v/>
      </c>
      <c r="CS17" s="36" t="str">
        <f t="shared" si="37"/>
        <v/>
      </c>
      <c r="CT17" s="37"/>
      <c r="CU17" s="33"/>
      <c r="CV17" s="34"/>
      <c r="CW17" s="35" t="str">
        <f t="shared" si="38"/>
        <v/>
      </c>
      <c r="CX17" s="36" t="str">
        <f t="shared" si="39"/>
        <v/>
      </c>
      <c r="CY17" s="37"/>
      <c r="CZ17" s="33"/>
      <c r="DA17" s="34"/>
      <c r="DB17" s="35" t="str">
        <f t="shared" si="40"/>
        <v/>
      </c>
      <c r="DC17" s="36" t="str">
        <f t="shared" si="41"/>
        <v/>
      </c>
      <c r="DD17" s="37"/>
      <c r="DE17" s="33"/>
      <c r="DF17" s="34"/>
      <c r="DG17" s="35" t="str">
        <f t="shared" si="42"/>
        <v/>
      </c>
      <c r="DH17" s="36" t="str">
        <f t="shared" si="43"/>
        <v/>
      </c>
      <c r="DI17" s="37"/>
      <c r="DJ17" s="33"/>
      <c r="DK17" s="34"/>
      <c r="DL17" s="35" t="str">
        <f t="shared" si="44"/>
        <v/>
      </c>
      <c r="DM17" s="36" t="str">
        <f t="shared" si="45"/>
        <v/>
      </c>
      <c r="DN17" s="37"/>
      <c r="DO17" s="33"/>
      <c r="DP17" s="34"/>
      <c r="DQ17" s="35" t="str">
        <f t="shared" si="46"/>
        <v/>
      </c>
      <c r="DR17" s="36" t="str">
        <f t="shared" si="47"/>
        <v/>
      </c>
      <c r="DS17" s="37"/>
      <c r="DT17" s="33"/>
      <c r="DU17" s="34"/>
      <c r="DV17" s="35" t="str">
        <f t="shared" si="48"/>
        <v/>
      </c>
      <c r="DW17" s="36" t="str">
        <f t="shared" si="49"/>
        <v/>
      </c>
      <c r="DX17" s="37"/>
      <c r="DY17" s="33"/>
      <c r="DZ17" s="34"/>
      <c r="EA17" s="35" t="str">
        <f t="shared" si="50"/>
        <v/>
      </c>
      <c r="EB17" s="36" t="str">
        <f t="shared" si="51"/>
        <v/>
      </c>
      <c r="EC17" s="37"/>
      <c r="ED17" s="33"/>
      <c r="EE17" s="34"/>
      <c r="EF17" s="35" t="str">
        <f t="shared" si="52"/>
        <v/>
      </c>
      <c r="EG17" s="36" t="str">
        <f t="shared" si="53"/>
        <v/>
      </c>
      <c r="EH17" s="37"/>
      <c r="EI17" s="33"/>
      <c r="EJ17" s="34"/>
      <c r="EK17" s="35" t="str">
        <f t="shared" si="54"/>
        <v/>
      </c>
      <c r="EL17" s="36" t="str">
        <f t="shared" si="55"/>
        <v/>
      </c>
      <c r="EM17" s="37"/>
      <c r="EN17" s="33"/>
      <c r="EO17" s="34"/>
      <c r="EP17" s="35" t="str">
        <f t="shared" si="56"/>
        <v/>
      </c>
      <c r="EQ17" s="36" t="str">
        <f t="shared" si="57"/>
        <v/>
      </c>
      <c r="ER17" s="37"/>
      <c r="ES17" s="33"/>
      <c r="ET17" s="34"/>
      <c r="EU17" s="35" t="str">
        <f t="shared" si="58"/>
        <v/>
      </c>
      <c r="EV17" s="36" t="str">
        <f t="shared" si="59"/>
        <v/>
      </c>
      <c r="EW17" s="37"/>
    </row>
    <row r="18" spans="1:153" ht="19.5" customHeight="1">
      <c r="A18" s="32">
        <f>IF(DAY(DATE(対象年度,1,15))&lt;&gt;15,"",15)</f>
        <v>15</v>
      </c>
      <c r="B18" s="32" t="str">
        <f>IF(DAY(DATE(対象年度,1,15))&lt;&gt;15,"",CHOOSE(WEEKDAY(DATE(対象年度,1,15),2),"月","火","水","木","金","土","日"))</f>
        <v>木</v>
      </c>
      <c r="C18" s="32" t="str">
        <f>IF(DAY(DATE(対象年度,1,15))&lt;&gt;15,"",IF(ISNUMBER(MATCH(DATE(対象年度,1,15),祝日リスト,0)),"祝",""))</f>
        <v/>
      </c>
      <c r="D18" s="33"/>
      <c r="E18" s="34"/>
      <c r="F18" s="35" t="str">
        <f t="shared" si="0"/>
        <v/>
      </c>
      <c r="G18" s="36" t="str">
        <f t="shared" si="1"/>
        <v/>
      </c>
      <c r="H18" s="37"/>
      <c r="I18" s="33"/>
      <c r="J18" s="34"/>
      <c r="K18" s="35" t="str">
        <f t="shared" si="2"/>
        <v/>
      </c>
      <c r="L18" s="36" t="str">
        <f t="shared" si="3"/>
        <v/>
      </c>
      <c r="M18" s="37"/>
      <c r="N18" s="33"/>
      <c r="O18" s="34"/>
      <c r="P18" s="35" t="str">
        <f t="shared" si="4"/>
        <v/>
      </c>
      <c r="Q18" s="36" t="str">
        <f t="shared" si="5"/>
        <v/>
      </c>
      <c r="R18" s="37"/>
      <c r="S18" s="33"/>
      <c r="T18" s="34"/>
      <c r="U18" s="35" t="str">
        <f t="shared" si="6"/>
        <v/>
      </c>
      <c r="V18" s="36" t="str">
        <f t="shared" si="7"/>
        <v/>
      </c>
      <c r="W18" s="37"/>
      <c r="X18" s="33"/>
      <c r="Y18" s="34"/>
      <c r="Z18" s="35" t="str">
        <f t="shared" si="8"/>
        <v/>
      </c>
      <c r="AA18" s="36" t="str">
        <f t="shared" si="9"/>
        <v/>
      </c>
      <c r="AB18" s="37"/>
      <c r="AC18" s="33"/>
      <c r="AD18" s="34"/>
      <c r="AE18" s="35" t="str">
        <f t="shared" si="10"/>
        <v/>
      </c>
      <c r="AF18" s="36" t="str">
        <f t="shared" si="11"/>
        <v/>
      </c>
      <c r="AG18" s="37"/>
      <c r="AH18" s="33"/>
      <c r="AI18" s="34"/>
      <c r="AJ18" s="35" t="str">
        <f t="shared" si="12"/>
        <v/>
      </c>
      <c r="AK18" s="36" t="str">
        <f t="shared" si="13"/>
        <v/>
      </c>
      <c r="AL18" s="37"/>
      <c r="AM18" s="33"/>
      <c r="AN18" s="34"/>
      <c r="AO18" s="35" t="str">
        <f t="shared" si="14"/>
        <v/>
      </c>
      <c r="AP18" s="36" t="str">
        <f t="shared" si="15"/>
        <v/>
      </c>
      <c r="AQ18" s="37"/>
      <c r="AR18" s="33"/>
      <c r="AS18" s="34"/>
      <c r="AT18" s="35" t="str">
        <f t="shared" si="16"/>
        <v/>
      </c>
      <c r="AU18" s="36" t="str">
        <f t="shared" si="17"/>
        <v/>
      </c>
      <c r="AV18" s="37"/>
      <c r="AW18" s="33"/>
      <c r="AX18" s="34"/>
      <c r="AY18" s="35" t="str">
        <f t="shared" si="18"/>
        <v/>
      </c>
      <c r="AZ18" s="36" t="str">
        <f t="shared" si="19"/>
        <v/>
      </c>
      <c r="BA18" s="37"/>
      <c r="BB18" s="33"/>
      <c r="BC18" s="34"/>
      <c r="BD18" s="35" t="str">
        <f t="shared" si="20"/>
        <v/>
      </c>
      <c r="BE18" s="36" t="str">
        <f t="shared" si="21"/>
        <v/>
      </c>
      <c r="BF18" s="37"/>
      <c r="BG18" s="33"/>
      <c r="BH18" s="34"/>
      <c r="BI18" s="35" t="str">
        <f t="shared" si="22"/>
        <v/>
      </c>
      <c r="BJ18" s="36" t="str">
        <f t="shared" si="23"/>
        <v/>
      </c>
      <c r="BK18" s="37"/>
      <c r="BL18" s="33"/>
      <c r="BM18" s="34"/>
      <c r="BN18" s="35" t="str">
        <f t="shared" si="24"/>
        <v/>
      </c>
      <c r="BO18" s="36" t="str">
        <f t="shared" si="25"/>
        <v/>
      </c>
      <c r="BP18" s="37"/>
      <c r="BQ18" s="33"/>
      <c r="BR18" s="34"/>
      <c r="BS18" s="35" t="str">
        <f t="shared" si="26"/>
        <v/>
      </c>
      <c r="BT18" s="36" t="str">
        <f t="shared" si="27"/>
        <v/>
      </c>
      <c r="BU18" s="37"/>
      <c r="BV18" s="33"/>
      <c r="BW18" s="34"/>
      <c r="BX18" s="35" t="str">
        <f t="shared" si="28"/>
        <v/>
      </c>
      <c r="BY18" s="36" t="str">
        <f t="shared" si="29"/>
        <v/>
      </c>
      <c r="BZ18" s="37"/>
      <c r="CA18" s="33"/>
      <c r="CB18" s="34"/>
      <c r="CC18" s="35" t="str">
        <f t="shared" si="30"/>
        <v/>
      </c>
      <c r="CD18" s="36" t="str">
        <f t="shared" si="31"/>
        <v/>
      </c>
      <c r="CE18" s="37"/>
      <c r="CF18" s="33"/>
      <c r="CG18" s="34"/>
      <c r="CH18" s="35" t="str">
        <f t="shared" si="32"/>
        <v/>
      </c>
      <c r="CI18" s="36" t="str">
        <f t="shared" si="33"/>
        <v/>
      </c>
      <c r="CJ18" s="37"/>
      <c r="CK18" s="33"/>
      <c r="CL18" s="34"/>
      <c r="CM18" s="35" t="str">
        <f t="shared" si="34"/>
        <v/>
      </c>
      <c r="CN18" s="36" t="str">
        <f t="shared" si="35"/>
        <v/>
      </c>
      <c r="CO18" s="37"/>
      <c r="CP18" s="33"/>
      <c r="CQ18" s="34"/>
      <c r="CR18" s="35" t="str">
        <f t="shared" si="36"/>
        <v/>
      </c>
      <c r="CS18" s="36" t="str">
        <f t="shared" si="37"/>
        <v/>
      </c>
      <c r="CT18" s="37"/>
      <c r="CU18" s="33"/>
      <c r="CV18" s="34"/>
      <c r="CW18" s="35" t="str">
        <f t="shared" si="38"/>
        <v/>
      </c>
      <c r="CX18" s="36" t="str">
        <f t="shared" si="39"/>
        <v/>
      </c>
      <c r="CY18" s="37"/>
      <c r="CZ18" s="33"/>
      <c r="DA18" s="34"/>
      <c r="DB18" s="35" t="str">
        <f t="shared" si="40"/>
        <v/>
      </c>
      <c r="DC18" s="36" t="str">
        <f t="shared" si="41"/>
        <v/>
      </c>
      <c r="DD18" s="37"/>
      <c r="DE18" s="33"/>
      <c r="DF18" s="34"/>
      <c r="DG18" s="35" t="str">
        <f t="shared" si="42"/>
        <v/>
      </c>
      <c r="DH18" s="36" t="str">
        <f t="shared" si="43"/>
        <v/>
      </c>
      <c r="DI18" s="37"/>
      <c r="DJ18" s="33"/>
      <c r="DK18" s="34"/>
      <c r="DL18" s="35" t="str">
        <f t="shared" si="44"/>
        <v/>
      </c>
      <c r="DM18" s="36" t="str">
        <f t="shared" si="45"/>
        <v/>
      </c>
      <c r="DN18" s="37"/>
      <c r="DO18" s="33"/>
      <c r="DP18" s="34"/>
      <c r="DQ18" s="35" t="str">
        <f t="shared" si="46"/>
        <v/>
      </c>
      <c r="DR18" s="36" t="str">
        <f t="shared" si="47"/>
        <v/>
      </c>
      <c r="DS18" s="37"/>
      <c r="DT18" s="33"/>
      <c r="DU18" s="34"/>
      <c r="DV18" s="35" t="str">
        <f t="shared" si="48"/>
        <v/>
      </c>
      <c r="DW18" s="36" t="str">
        <f t="shared" si="49"/>
        <v/>
      </c>
      <c r="DX18" s="37"/>
      <c r="DY18" s="33"/>
      <c r="DZ18" s="34"/>
      <c r="EA18" s="35" t="str">
        <f t="shared" si="50"/>
        <v/>
      </c>
      <c r="EB18" s="36" t="str">
        <f t="shared" si="51"/>
        <v/>
      </c>
      <c r="EC18" s="37"/>
      <c r="ED18" s="33"/>
      <c r="EE18" s="34"/>
      <c r="EF18" s="35" t="str">
        <f t="shared" si="52"/>
        <v/>
      </c>
      <c r="EG18" s="36" t="str">
        <f t="shared" si="53"/>
        <v/>
      </c>
      <c r="EH18" s="37"/>
      <c r="EI18" s="33"/>
      <c r="EJ18" s="34"/>
      <c r="EK18" s="35" t="str">
        <f t="shared" si="54"/>
        <v/>
      </c>
      <c r="EL18" s="36" t="str">
        <f t="shared" si="55"/>
        <v/>
      </c>
      <c r="EM18" s="37"/>
      <c r="EN18" s="33"/>
      <c r="EO18" s="34"/>
      <c r="EP18" s="35" t="str">
        <f t="shared" si="56"/>
        <v/>
      </c>
      <c r="EQ18" s="36" t="str">
        <f t="shared" si="57"/>
        <v/>
      </c>
      <c r="ER18" s="37"/>
      <c r="ES18" s="33"/>
      <c r="ET18" s="34"/>
      <c r="EU18" s="35" t="str">
        <f t="shared" si="58"/>
        <v/>
      </c>
      <c r="EV18" s="36" t="str">
        <f t="shared" si="59"/>
        <v/>
      </c>
      <c r="EW18" s="37"/>
    </row>
    <row r="19" spans="1:153" ht="19.5" customHeight="1">
      <c r="A19" s="32">
        <f>IF(DAY(DATE(対象年度,1,16))&lt;&gt;16,"",16)</f>
        <v>16</v>
      </c>
      <c r="B19" s="32" t="str">
        <f>IF(DAY(DATE(対象年度,1,16))&lt;&gt;16,"",CHOOSE(WEEKDAY(DATE(対象年度,1,16),2),"月","火","水","木","金","土","日"))</f>
        <v>金</v>
      </c>
      <c r="C19" s="32" t="str">
        <f>IF(DAY(DATE(対象年度,1,16))&lt;&gt;16,"",IF(ISNUMBER(MATCH(DATE(対象年度,1,16),祝日リスト,0)),"祝",""))</f>
        <v/>
      </c>
      <c r="D19" s="33"/>
      <c r="E19" s="34"/>
      <c r="F19" s="35" t="str">
        <f t="shared" si="0"/>
        <v/>
      </c>
      <c r="G19" s="36" t="str">
        <f t="shared" si="1"/>
        <v/>
      </c>
      <c r="H19" s="37"/>
      <c r="I19" s="33"/>
      <c r="J19" s="34"/>
      <c r="K19" s="35" t="str">
        <f t="shared" si="2"/>
        <v/>
      </c>
      <c r="L19" s="36" t="str">
        <f t="shared" si="3"/>
        <v/>
      </c>
      <c r="M19" s="37"/>
      <c r="N19" s="33"/>
      <c r="O19" s="34"/>
      <c r="P19" s="35" t="str">
        <f t="shared" si="4"/>
        <v/>
      </c>
      <c r="Q19" s="36" t="str">
        <f t="shared" si="5"/>
        <v/>
      </c>
      <c r="R19" s="37"/>
      <c r="S19" s="33"/>
      <c r="T19" s="34"/>
      <c r="U19" s="35" t="str">
        <f t="shared" si="6"/>
        <v/>
      </c>
      <c r="V19" s="36" t="str">
        <f t="shared" si="7"/>
        <v/>
      </c>
      <c r="W19" s="37"/>
      <c r="X19" s="33"/>
      <c r="Y19" s="34"/>
      <c r="Z19" s="35" t="str">
        <f t="shared" si="8"/>
        <v/>
      </c>
      <c r="AA19" s="36" t="str">
        <f t="shared" si="9"/>
        <v/>
      </c>
      <c r="AB19" s="37"/>
      <c r="AC19" s="33"/>
      <c r="AD19" s="34"/>
      <c r="AE19" s="35" t="str">
        <f t="shared" si="10"/>
        <v/>
      </c>
      <c r="AF19" s="36" t="str">
        <f t="shared" si="11"/>
        <v/>
      </c>
      <c r="AG19" s="37"/>
      <c r="AH19" s="33"/>
      <c r="AI19" s="34"/>
      <c r="AJ19" s="35" t="str">
        <f t="shared" si="12"/>
        <v/>
      </c>
      <c r="AK19" s="36" t="str">
        <f t="shared" si="13"/>
        <v/>
      </c>
      <c r="AL19" s="37"/>
      <c r="AM19" s="33"/>
      <c r="AN19" s="34"/>
      <c r="AO19" s="35" t="str">
        <f t="shared" si="14"/>
        <v/>
      </c>
      <c r="AP19" s="36" t="str">
        <f t="shared" si="15"/>
        <v/>
      </c>
      <c r="AQ19" s="37"/>
      <c r="AR19" s="33"/>
      <c r="AS19" s="34"/>
      <c r="AT19" s="35" t="str">
        <f t="shared" si="16"/>
        <v/>
      </c>
      <c r="AU19" s="36" t="str">
        <f t="shared" si="17"/>
        <v/>
      </c>
      <c r="AV19" s="37"/>
      <c r="AW19" s="33"/>
      <c r="AX19" s="34"/>
      <c r="AY19" s="35" t="str">
        <f t="shared" si="18"/>
        <v/>
      </c>
      <c r="AZ19" s="36" t="str">
        <f t="shared" si="19"/>
        <v/>
      </c>
      <c r="BA19" s="37"/>
      <c r="BB19" s="33"/>
      <c r="BC19" s="34"/>
      <c r="BD19" s="35" t="str">
        <f t="shared" si="20"/>
        <v/>
      </c>
      <c r="BE19" s="36" t="str">
        <f t="shared" si="21"/>
        <v/>
      </c>
      <c r="BF19" s="37"/>
      <c r="BG19" s="33"/>
      <c r="BH19" s="34"/>
      <c r="BI19" s="35" t="str">
        <f t="shared" si="22"/>
        <v/>
      </c>
      <c r="BJ19" s="36" t="str">
        <f t="shared" si="23"/>
        <v/>
      </c>
      <c r="BK19" s="37"/>
      <c r="BL19" s="33"/>
      <c r="BM19" s="34"/>
      <c r="BN19" s="35" t="str">
        <f t="shared" si="24"/>
        <v/>
      </c>
      <c r="BO19" s="36" t="str">
        <f t="shared" si="25"/>
        <v/>
      </c>
      <c r="BP19" s="37"/>
      <c r="BQ19" s="33"/>
      <c r="BR19" s="34"/>
      <c r="BS19" s="35" t="str">
        <f t="shared" si="26"/>
        <v/>
      </c>
      <c r="BT19" s="36" t="str">
        <f t="shared" si="27"/>
        <v/>
      </c>
      <c r="BU19" s="37"/>
      <c r="BV19" s="33"/>
      <c r="BW19" s="34"/>
      <c r="BX19" s="35" t="str">
        <f t="shared" si="28"/>
        <v/>
      </c>
      <c r="BY19" s="36" t="str">
        <f t="shared" si="29"/>
        <v/>
      </c>
      <c r="BZ19" s="37"/>
      <c r="CA19" s="33"/>
      <c r="CB19" s="34"/>
      <c r="CC19" s="35" t="str">
        <f t="shared" si="30"/>
        <v/>
      </c>
      <c r="CD19" s="36" t="str">
        <f t="shared" si="31"/>
        <v/>
      </c>
      <c r="CE19" s="37"/>
      <c r="CF19" s="33"/>
      <c r="CG19" s="34"/>
      <c r="CH19" s="35" t="str">
        <f t="shared" si="32"/>
        <v/>
      </c>
      <c r="CI19" s="36" t="str">
        <f t="shared" si="33"/>
        <v/>
      </c>
      <c r="CJ19" s="37"/>
      <c r="CK19" s="33"/>
      <c r="CL19" s="34"/>
      <c r="CM19" s="35" t="str">
        <f t="shared" si="34"/>
        <v/>
      </c>
      <c r="CN19" s="36" t="str">
        <f t="shared" si="35"/>
        <v/>
      </c>
      <c r="CO19" s="37"/>
      <c r="CP19" s="33"/>
      <c r="CQ19" s="34"/>
      <c r="CR19" s="35" t="str">
        <f t="shared" si="36"/>
        <v/>
      </c>
      <c r="CS19" s="36" t="str">
        <f t="shared" si="37"/>
        <v/>
      </c>
      <c r="CT19" s="37"/>
      <c r="CU19" s="33"/>
      <c r="CV19" s="34"/>
      <c r="CW19" s="35" t="str">
        <f t="shared" si="38"/>
        <v/>
      </c>
      <c r="CX19" s="36" t="str">
        <f t="shared" si="39"/>
        <v/>
      </c>
      <c r="CY19" s="37"/>
      <c r="CZ19" s="33"/>
      <c r="DA19" s="34"/>
      <c r="DB19" s="35" t="str">
        <f t="shared" si="40"/>
        <v/>
      </c>
      <c r="DC19" s="36" t="str">
        <f t="shared" si="41"/>
        <v/>
      </c>
      <c r="DD19" s="37"/>
      <c r="DE19" s="33"/>
      <c r="DF19" s="34"/>
      <c r="DG19" s="35" t="str">
        <f t="shared" si="42"/>
        <v/>
      </c>
      <c r="DH19" s="36" t="str">
        <f t="shared" si="43"/>
        <v/>
      </c>
      <c r="DI19" s="37"/>
      <c r="DJ19" s="33"/>
      <c r="DK19" s="34"/>
      <c r="DL19" s="35" t="str">
        <f t="shared" si="44"/>
        <v/>
      </c>
      <c r="DM19" s="36" t="str">
        <f t="shared" si="45"/>
        <v/>
      </c>
      <c r="DN19" s="37"/>
      <c r="DO19" s="33"/>
      <c r="DP19" s="34"/>
      <c r="DQ19" s="35" t="str">
        <f t="shared" si="46"/>
        <v/>
      </c>
      <c r="DR19" s="36" t="str">
        <f t="shared" si="47"/>
        <v/>
      </c>
      <c r="DS19" s="37"/>
      <c r="DT19" s="33"/>
      <c r="DU19" s="34"/>
      <c r="DV19" s="35" t="str">
        <f t="shared" si="48"/>
        <v/>
      </c>
      <c r="DW19" s="36" t="str">
        <f t="shared" si="49"/>
        <v/>
      </c>
      <c r="DX19" s="37"/>
      <c r="DY19" s="33"/>
      <c r="DZ19" s="34"/>
      <c r="EA19" s="35" t="str">
        <f t="shared" si="50"/>
        <v/>
      </c>
      <c r="EB19" s="36" t="str">
        <f t="shared" si="51"/>
        <v/>
      </c>
      <c r="EC19" s="37"/>
      <c r="ED19" s="33"/>
      <c r="EE19" s="34"/>
      <c r="EF19" s="35" t="str">
        <f t="shared" si="52"/>
        <v/>
      </c>
      <c r="EG19" s="36" t="str">
        <f t="shared" si="53"/>
        <v/>
      </c>
      <c r="EH19" s="37"/>
      <c r="EI19" s="33"/>
      <c r="EJ19" s="34"/>
      <c r="EK19" s="35" t="str">
        <f t="shared" si="54"/>
        <v/>
      </c>
      <c r="EL19" s="36" t="str">
        <f t="shared" si="55"/>
        <v/>
      </c>
      <c r="EM19" s="37"/>
      <c r="EN19" s="33"/>
      <c r="EO19" s="34"/>
      <c r="EP19" s="35" t="str">
        <f t="shared" si="56"/>
        <v/>
      </c>
      <c r="EQ19" s="36" t="str">
        <f t="shared" si="57"/>
        <v/>
      </c>
      <c r="ER19" s="37"/>
      <c r="ES19" s="33"/>
      <c r="ET19" s="34"/>
      <c r="EU19" s="35" t="str">
        <f t="shared" si="58"/>
        <v/>
      </c>
      <c r="EV19" s="36" t="str">
        <f t="shared" si="59"/>
        <v/>
      </c>
      <c r="EW19" s="37"/>
    </row>
    <row r="20" spans="1:153" ht="19.5" customHeight="1">
      <c r="A20" s="32">
        <f>IF(DAY(DATE(対象年度,1,17))&lt;&gt;17,"",17)</f>
        <v>17</v>
      </c>
      <c r="B20" s="32" t="str">
        <f>IF(DAY(DATE(対象年度,1,17))&lt;&gt;17,"",CHOOSE(WEEKDAY(DATE(対象年度,1,17),2),"月","火","水","木","金","土","日"))</f>
        <v>土</v>
      </c>
      <c r="C20" s="32" t="str">
        <f>IF(DAY(DATE(対象年度,1,17))&lt;&gt;17,"",IF(ISNUMBER(MATCH(DATE(対象年度,1,17),祝日リスト,0)),"祝",""))</f>
        <v/>
      </c>
      <c r="D20" s="33"/>
      <c r="E20" s="34"/>
      <c r="F20" s="35" t="str">
        <f t="shared" si="0"/>
        <v/>
      </c>
      <c r="G20" s="36" t="str">
        <f t="shared" si="1"/>
        <v/>
      </c>
      <c r="H20" s="37"/>
      <c r="I20" s="33"/>
      <c r="J20" s="34"/>
      <c r="K20" s="35" t="str">
        <f t="shared" si="2"/>
        <v/>
      </c>
      <c r="L20" s="36" t="str">
        <f t="shared" si="3"/>
        <v/>
      </c>
      <c r="M20" s="37"/>
      <c r="N20" s="33"/>
      <c r="O20" s="34"/>
      <c r="P20" s="35" t="str">
        <f t="shared" si="4"/>
        <v/>
      </c>
      <c r="Q20" s="36" t="str">
        <f t="shared" si="5"/>
        <v/>
      </c>
      <c r="R20" s="37"/>
      <c r="S20" s="33"/>
      <c r="T20" s="34"/>
      <c r="U20" s="35" t="str">
        <f t="shared" si="6"/>
        <v/>
      </c>
      <c r="V20" s="36" t="str">
        <f t="shared" si="7"/>
        <v/>
      </c>
      <c r="W20" s="37"/>
      <c r="X20" s="33"/>
      <c r="Y20" s="34"/>
      <c r="Z20" s="35" t="str">
        <f t="shared" si="8"/>
        <v/>
      </c>
      <c r="AA20" s="36" t="str">
        <f t="shared" si="9"/>
        <v/>
      </c>
      <c r="AB20" s="37"/>
      <c r="AC20" s="33"/>
      <c r="AD20" s="34"/>
      <c r="AE20" s="35" t="str">
        <f t="shared" si="10"/>
        <v/>
      </c>
      <c r="AF20" s="36" t="str">
        <f t="shared" si="11"/>
        <v/>
      </c>
      <c r="AG20" s="37"/>
      <c r="AH20" s="33"/>
      <c r="AI20" s="34"/>
      <c r="AJ20" s="35" t="str">
        <f t="shared" si="12"/>
        <v/>
      </c>
      <c r="AK20" s="36" t="str">
        <f t="shared" si="13"/>
        <v/>
      </c>
      <c r="AL20" s="37"/>
      <c r="AM20" s="33"/>
      <c r="AN20" s="34"/>
      <c r="AO20" s="35" t="str">
        <f t="shared" si="14"/>
        <v/>
      </c>
      <c r="AP20" s="36" t="str">
        <f t="shared" si="15"/>
        <v/>
      </c>
      <c r="AQ20" s="37"/>
      <c r="AR20" s="33"/>
      <c r="AS20" s="34"/>
      <c r="AT20" s="35" t="str">
        <f t="shared" si="16"/>
        <v/>
      </c>
      <c r="AU20" s="36" t="str">
        <f t="shared" si="17"/>
        <v/>
      </c>
      <c r="AV20" s="37"/>
      <c r="AW20" s="33"/>
      <c r="AX20" s="34"/>
      <c r="AY20" s="35" t="str">
        <f t="shared" si="18"/>
        <v/>
      </c>
      <c r="AZ20" s="36" t="str">
        <f t="shared" si="19"/>
        <v/>
      </c>
      <c r="BA20" s="37"/>
      <c r="BB20" s="33"/>
      <c r="BC20" s="34"/>
      <c r="BD20" s="35" t="str">
        <f t="shared" si="20"/>
        <v/>
      </c>
      <c r="BE20" s="36" t="str">
        <f t="shared" si="21"/>
        <v/>
      </c>
      <c r="BF20" s="37"/>
      <c r="BG20" s="33"/>
      <c r="BH20" s="34"/>
      <c r="BI20" s="35" t="str">
        <f t="shared" si="22"/>
        <v/>
      </c>
      <c r="BJ20" s="36" t="str">
        <f t="shared" si="23"/>
        <v/>
      </c>
      <c r="BK20" s="37"/>
      <c r="BL20" s="33"/>
      <c r="BM20" s="34"/>
      <c r="BN20" s="35" t="str">
        <f t="shared" si="24"/>
        <v/>
      </c>
      <c r="BO20" s="36" t="str">
        <f t="shared" si="25"/>
        <v/>
      </c>
      <c r="BP20" s="37"/>
      <c r="BQ20" s="33"/>
      <c r="BR20" s="34"/>
      <c r="BS20" s="35" t="str">
        <f t="shared" si="26"/>
        <v/>
      </c>
      <c r="BT20" s="36" t="str">
        <f t="shared" si="27"/>
        <v/>
      </c>
      <c r="BU20" s="37"/>
      <c r="BV20" s="33"/>
      <c r="BW20" s="34"/>
      <c r="BX20" s="35" t="str">
        <f t="shared" si="28"/>
        <v/>
      </c>
      <c r="BY20" s="36" t="str">
        <f t="shared" si="29"/>
        <v/>
      </c>
      <c r="BZ20" s="37"/>
      <c r="CA20" s="33"/>
      <c r="CB20" s="34"/>
      <c r="CC20" s="35" t="str">
        <f t="shared" si="30"/>
        <v/>
      </c>
      <c r="CD20" s="36" t="str">
        <f t="shared" si="31"/>
        <v/>
      </c>
      <c r="CE20" s="37"/>
      <c r="CF20" s="33"/>
      <c r="CG20" s="34"/>
      <c r="CH20" s="35" t="str">
        <f t="shared" si="32"/>
        <v/>
      </c>
      <c r="CI20" s="36" t="str">
        <f t="shared" si="33"/>
        <v/>
      </c>
      <c r="CJ20" s="37"/>
      <c r="CK20" s="33"/>
      <c r="CL20" s="34"/>
      <c r="CM20" s="35" t="str">
        <f t="shared" si="34"/>
        <v/>
      </c>
      <c r="CN20" s="36" t="str">
        <f t="shared" si="35"/>
        <v/>
      </c>
      <c r="CO20" s="37"/>
      <c r="CP20" s="33"/>
      <c r="CQ20" s="34"/>
      <c r="CR20" s="35" t="str">
        <f t="shared" si="36"/>
        <v/>
      </c>
      <c r="CS20" s="36" t="str">
        <f t="shared" si="37"/>
        <v/>
      </c>
      <c r="CT20" s="37"/>
      <c r="CU20" s="33"/>
      <c r="CV20" s="34"/>
      <c r="CW20" s="35" t="str">
        <f t="shared" si="38"/>
        <v/>
      </c>
      <c r="CX20" s="36" t="str">
        <f t="shared" si="39"/>
        <v/>
      </c>
      <c r="CY20" s="37"/>
      <c r="CZ20" s="33"/>
      <c r="DA20" s="34"/>
      <c r="DB20" s="35" t="str">
        <f t="shared" si="40"/>
        <v/>
      </c>
      <c r="DC20" s="36" t="str">
        <f t="shared" si="41"/>
        <v/>
      </c>
      <c r="DD20" s="37"/>
      <c r="DE20" s="33"/>
      <c r="DF20" s="34"/>
      <c r="DG20" s="35" t="str">
        <f t="shared" si="42"/>
        <v/>
      </c>
      <c r="DH20" s="36" t="str">
        <f t="shared" si="43"/>
        <v/>
      </c>
      <c r="DI20" s="37"/>
      <c r="DJ20" s="33"/>
      <c r="DK20" s="34"/>
      <c r="DL20" s="35" t="str">
        <f t="shared" si="44"/>
        <v/>
      </c>
      <c r="DM20" s="36" t="str">
        <f t="shared" si="45"/>
        <v/>
      </c>
      <c r="DN20" s="37"/>
      <c r="DO20" s="33"/>
      <c r="DP20" s="34"/>
      <c r="DQ20" s="35" t="str">
        <f t="shared" si="46"/>
        <v/>
      </c>
      <c r="DR20" s="36" t="str">
        <f t="shared" si="47"/>
        <v/>
      </c>
      <c r="DS20" s="37"/>
      <c r="DT20" s="33"/>
      <c r="DU20" s="34"/>
      <c r="DV20" s="35" t="str">
        <f t="shared" si="48"/>
        <v/>
      </c>
      <c r="DW20" s="36" t="str">
        <f t="shared" si="49"/>
        <v/>
      </c>
      <c r="DX20" s="37"/>
      <c r="DY20" s="33"/>
      <c r="DZ20" s="34"/>
      <c r="EA20" s="35" t="str">
        <f t="shared" si="50"/>
        <v/>
      </c>
      <c r="EB20" s="36" t="str">
        <f t="shared" si="51"/>
        <v/>
      </c>
      <c r="EC20" s="37"/>
      <c r="ED20" s="33"/>
      <c r="EE20" s="34"/>
      <c r="EF20" s="35" t="str">
        <f t="shared" si="52"/>
        <v/>
      </c>
      <c r="EG20" s="36" t="str">
        <f t="shared" si="53"/>
        <v/>
      </c>
      <c r="EH20" s="37"/>
      <c r="EI20" s="33"/>
      <c r="EJ20" s="34"/>
      <c r="EK20" s="35" t="str">
        <f t="shared" si="54"/>
        <v/>
      </c>
      <c r="EL20" s="36" t="str">
        <f t="shared" si="55"/>
        <v/>
      </c>
      <c r="EM20" s="37"/>
      <c r="EN20" s="33"/>
      <c r="EO20" s="34"/>
      <c r="EP20" s="35" t="str">
        <f t="shared" si="56"/>
        <v/>
      </c>
      <c r="EQ20" s="36" t="str">
        <f t="shared" si="57"/>
        <v/>
      </c>
      <c r="ER20" s="37"/>
      <c r="ES20" s="33"/>
      <c r="ET20" s="34"/>
      <c r="EU20" s="35" t="str">
        <f t="shared" si="58"/>
        <v/>
      </c>
      <c r="EV20" s="36" t="str">
        <f t="shared" si="59"/>
        <v/>
      </c>
      <c r="EW20" s="37"/>
    </row>
    <row r="21" spans="1:153" ht="19.5" customHeight="1">
      <c r="A21" s="32">
        <f>IF(DAY(DATE(対象年度,1,18))&lt;&gt;18,"",18)</f>
        <v>18</v>
      </c>
      <c r="B21" s="32" t="str">
        <f>IF(DAY(DATE(対象年度,1,18))&lt;&gt;18,"",CHOOSE(WEEKDAY(DATE(対象年度,1,18),2),"月","火","水","木","金","土","日"))</f>
        <v>日</v>
      </c>
      <c r="C21" s="32" t="str">
        <f>IF(DAY(DATE(対象年度,1,18))&lt;&gt;18,"",IF(ISNUMBER(MATCH(DATE(対象年度,1,18),祝日リスト,0)),"祝",""))</f>
        <v/>
      </c>
      <c r="D21" s="33"/>
      <c r="E21" s="34"/>
      <c r="F21" s="35" t="str">
        <f t="shared" si="0"/>
        <v/>
      </c>
      <c r="G21" s="36" t="str">
        <f t="shared" si="1"/>
        <v/>
      </c>
      <c r="H21" s="37"/>
      <c r="I21" s="33"/>
      <c r="J21" s="34"/>
      <c r="K21" s="35" t="str">
        <f t="shared" si="2"/>
        <v/>
      </c>
      <c r="L21" s="36" t="str">
        <f t="shared" si="3"/>
        <v/>
      </c>
      <c r="M21" s="37"/>
      <c r="N21" s="33"/>
      <c r="O21" s="34"/>
      <c r="P21" s="35" t="str">
        <f t="shared" si="4"/>
        <v/>
      </c>
      <c r="Q21" s="36" t="str">
        <f t="shared" si="5"/>
        <v/>
      </c>
      <c r="R21" s="37"/>
      <c r="S21" s="33"/>
      <c r="T21" s="34"/>
      <c r="U21" s="35" t="str">
        <f t="shared" si="6"/>
        <v/>
      </c>
      <c r="V21" s="36" t="str">
        <f t="shared" si="7"/>
        <v/>
      </c>
      <c r="W21" s="37"/>
      <c r="X21" s="33"/>
      <c r="Y21" s="34"/>
      <c r="Z21" s="35" t="str">
        <f t="shared" si="8"/>
        <v/>
      </c>
      <c r="AA21" s="36" t="str">
        <f t="shared" si="9"/>
        <v/>
      </c>
      <c r="AB21" s="37"/>
      <c r="AC21" s="33"/>
      <c r="AD21" s="34"/>
      <c r="AE21" s="35" t="str">
        <f t="shared" si="10"/>
        <v/>
      </c>
      <c r="AF21" s="36" t="str">
        <f t="shared" si="11"/>
        <v/>
      </c>
      <c r="AG21" s="37"/>
      <c r="AH21" s="33"/>
      <c r="AI21" s="34"/>
      <c r="AJ21" s="35" t="str">
        <f t="shared" si="12"/>
        <v/>
      </c>
      <c r="AK21" s="36" t="str">
        <f t="shared" si="13"/>
        <v/>
      </c>
      <c r="AL21" s="37"/>
      <c r="AM21" s="33"/>
      <c r="AN21" s="34"/>
      <c r="AO21" s="35" t="str">
        <f t="shared" si="14"/>
        <v/>
      </c>
      <c r="AP21" s="36" t="str">
        <f t="shared" si="15"/>
        <v/>
      </c>
      <c r="AQ21" s="37"/>
      <c r="AR21" s="33"/>
      <c r="AS21" s="34"/>
      <c r="AT21" s="35" t="str">
        <f t="shared" si="16"/>
        <v/>
      </c>
      <c r="AU21" s="36" t="str">
        <f t="shared" si="17"/>
        <v/>
      </c>
      <c r="AV21" s="37"/>
      <c r="AW21" s="33"/>
      <c r="AX21" s="34"/>
      <c r="AY21" s="35" t="str">
        <f t="shared" si="18"/>
        <v/>
      </c>
      <c r="AZ21" s="36" t="str">
        <f t="shared" si="19"/>
        <v/>
      </c>
      <c r="BA21" s="37"/>
      <c r="BB21" s="33"/>
      <c r="BC21" s="34"/>
      <c r="BD21" s="35" t="str">
        <f t="shared" si="20"/>
        <v/>
      </c>
      <c r="BE21" s="36" t="str">
        <f t="shared" si="21"/>
        <v/>
      </c>
      <c r="BF21" s="37"/>
      <c r="BG21" s="33"/>
      <c r="BH21" s="34"/>
      <c r="BI21" s="35" t="str">
        <f t="shared" si="22"/>
        <v/>
      </c>
      <c r="BJ21" s="36" t="str">
        <f t="shared" si="23"/>
        <v/>
      </c>
      <c r="BK21" s="37"/>
      <c r="BL21" s="33"/>
      <c r="BM21" s="34"/>
      <c r="BN21" s="35" t="str">
        <f t="shared" si="24"/>
        <v/>
      </c>
      <c r="BO21" s="36" t="str">
        <f t="shared" si="25"/>
        <v/>
      </c>
      <c r="BP21" s="37"/>
      <c r="BQ21" s="33"/>
      <c r="BR21" s="34"/>
      <c r="BS21" s="35" t="str">
        <f t="shared" si="26"/>
        <v/>
      </c>
      <c r="BT21" s="36" t="str">
        <f t="shared" si="27"/>
        <v/>
      </c>
      <c r="BU21" s="37"/>
      <c r="BV21" s="33"/>
      <c r="BW21" s="34"/>
      <c r="BX21" s="35" t="str">
        <f t="shared" si="28"/>
        <v/>
      </c>
      <c r="BY21" s="36" t="str">
        <f t="shared" si="29"/>
        <v/>
      </c>
      <c r="BZ21" s="37"/>
      <c r="CA21" s="33"/>
      <c r="CB21" s="34"/>
      <c r="CC21" s="35" t="str">
        <f t="shared" si="30"/>
        <v/>
      </c>
      <c r="CD21" s="36" t="str">
        <f t="shared" si="31"/>
        <v/>
      </c>
      <c r="CE21" s="37"/>
      <c r="CF21" s="33"/>
      <c r="CG21" s="34"/>
      <c r="CH21" s="35" t="str">
        <f t="shared" si="32"/>
        <v/>
      </c>
      <c r="CI21" s="36" t="str">
        <f t="shared" si="33"/>
        <v/>
      </c>
      <c r="CJ21" s="37"/>
      <c r="CK21" s="33"/>
      <c r="CL21" s="34"/>
      <c r="CM21" s="35" t="str">
        <f t="shared" si="34"/>
        <v/>
      </c>
      <c r="CN21" s="36" t="str">
        <f t="shared" si="35"/>
        <v/>
      </c>
      <c r="CO21" s="37"/>
      <c r="CP21" s="33"/>
      <c r="CQ21" s="34"/>
      <c r="CR21" s="35" t="str">
        <f t="shared" si="36"/>
        <v/>
      </c>
      <c r="CS21" s="36" t="str">
        <f t="shared" si="37"/>
        <v/>
      </c>
      <c r="CT21" s="37"/>
      <c r="CU21" s="33"/>
      <c r="CV21" s="34"/>
      <c r="CW21" s="35" t="str">
        <f t="shared" si="38"/>
        <v/>
      </c>
      <c r="CX21" s="36" t="str">
        <f t="shared" si="39"/>
        <v/>
      </c>
      <c r="CY21" s="37"/>
      <c r="CZ21" s="33"/>
      <c r="DA21" s="34"/>
      <c r="DB21" s="35" t="str">
        <f t="shared" si="40"/>
        <v/>
      </c>
      <c r="DC21" s="36" t="str">
        <f t="shared" si="41"/>
        <v/>
      </c>
      <c r="DD21" s="37"/>
      <c r="DE21" s="33"/>
      <c r="DF21" s="34"/>
      <c r="DG21" s="35" t="str">
        <f t="shared" si="42"/>
        <v/>
      </c>
      <c r="DH21" s="36" t="str">
        <f t="shared" si="43"/>
        <v/>
      </c>
      <c r="DI21" s="37"/>
      <c r="DJ21" s="33"/>
      <c r="DK21" s="34"/>
      <c r="DL21" s="35" t="str">
        <f t="shared" si="44"/>
        <v/>
      </c>
      <c r="DM21" s="36" t="str">
        <f t="shared" si="45"/>
        <v/>
      </c>
      <c r="DN21" s="37"/>
      <c r="DO21" s="33"/>
      <c r="DP21" s="34"/>
      <c r="DQ21" s="35" t="str">
        <f t="shared" si="46"/>
        <v/>
      </c>
      <c r="DR21" s="36" t="str">
        <f t="shared" si="47"/>
        <v/>
      </c>
      <c r="DS21" s="37"/>
      <c r="DT21" s="33"/>
      <c r="DU21" s="34"/>
      <c r="DV21" s="35" t="str">
        <f t="shared" si="48"/>
        <v/>
      </c>
      <c r="DW21" s="36" t="str">
        <f t="shared" si="49"/>
        <v/>
      </c>
      <c r="DX21" s="37"/>
      <c r="DY21" s="33"/>
      <c r="DZ21" s="34"/>
      <c r="EA21" s="35" t="str">
        <f t="shared" si="50"/>
        <v/>
      </c>
      <c r="EB21" s="36" t="str">
        <f t="shared" si="51"/>
        <v/>
      </c>
      <c r="EC21" s="37"/>
      <c r="ED21" s="33"/>
      <c r="EE21" s="34"/>
      <c r="EF21" s="35" t="str">
        <f t="shared" si="52"/>
        <v/>
      </c>
      <c r="EG21" s="36" t="str">
        <f t="shared" si="53"/>
        <v/>
      </c>
      <c r="EH21" s="37"/>
      <c r="EI21" s="33"/>
      <c r="EJ21" s="34"/>
      <c r="EK21" s="35" t="str">
        <f t="shared" si="54"/>
        <v/>
      </c>
      <c r="EL21" s="36" t="str">
        <f t="shared" si="55"/>
        <v/>
      </c>
      <c r="EM21" s="37"/>
      <c r="EN21" s="33"/>
      <c r="EO21" s="34"/>
      <c r="EP21" s="35" t="str">
        <f t="shared" si="56"/>
        <v/>
      </c>
      <c r="EQ21" s="36" t="str">
        <f t="shared" si="57"/>
        <v/>
      </c>
      <c r="ER21" s="37"/>
      <c r="ES21" s="33"/>
      <c r="ET21" s="34"/>
      <c r="EU21" s="35" t="str">
        <f t="shared" si="58"/>
        <v/>
      </c>
      <c r="EV21" s="36" t="str">
        <f t="shared" si="59"/>
        <v/>
      </c>
      <c r="EW21" s="37"/>
    </row>
    <row r="22" spans="1:153" ht="19.5" customHeight="1">
      <c r="A22" s="32">
        <f>IF(DAY(DATE(対象年度,1,19))&lt;&gt;19,"",19)</f>
        <v>19</v>
      </c>
      <c r="B22" s="32" t="str">
        <f>IF(DAY(DATE(対象年度,1,19))&lt;&gt;19,"",CHOOSE(WEEKDAY(DATE(対象年度,1,19),2),"月","火","水","木","金","土","日"))</f>
        <v>月</v>
      </c>
      <c r="C22" s="32" t="str">
        <f>IF(DAY(DATE(対象年度,1,19))&lt;&gt;19,"",IF(ISNUMBER(MATCH(DATE(対象年度,1,19),祝日リスト,0)),"祝",""))</f>
        <v/>
      </c>
      <c r="D22" s="33"/>
      <c r="E22" s="34"/>
      <c r="F22" s="35" t="str">
        <f t="shared" si="0"/>
        <v/>
      </c>
      <c r="G22" s="36" t="str">
        <f t="shared" si="1"/>
        <v/>
      </c>
      <c r="H22" s="37"/>
      <c r="I22" s="33"/>
      <c r="J22" s="34"/>
      <c r="K22" s="35" t="str">
        <f t="shared" si="2"/>
        <v/>
      </c>
      <c r="L22" s="36" t="str">
        <f t="shared" si="3"/>
        <v/>
      </c>
      <c r="M22" s="37"/>
      <c r="N22" s="33"/>
      <c r="O22" s="34"/>
      <c r="P22" s="35" t="str">
        <f t="shared" si="4"/>
        <v/>
      </c>
      <c r="Q22" s="36" t="str">
        <f t="shared" si="5"/>
        <v/>
      </c>
      <c r="R22" s="37"/>
      <c r="S22" s="33"/>
      <c r="T22" s="34"/>
      <c r="U22" s="35" t="str">
        <f t="shared" si="6"/>
        <v/>
      </c>
      <c r="V22" s="36" t="str">
        <f t="shared" si="7"/>
        <v/>
      </c>
      <c r="W22" s="37"/>
      <c r="X22" s="33"/>
      <c r="Y22" s="34"/>
      <c r="Z22" s="35" t="str">
        <f t="shared" si="8"/>
        <v/>
      </c>
      <c r="AA22" s="36" t="str">
        <f t="shared" si="9"/>
        <v/>
      </c>
      <c r="AB22" s="37"/>
      <c r="AC22" s="33"/>
      <c r="AD22" s="34"/>
      <c r="AE22" s="35" t="str">
        <f t="shared" si="10"/>
        <v/>
      </c>
      <c r="AF22" s="36" t="str">
        <f t="shared" si="11"/>
        <v/>
      </c>
      <c r="AG22" s="37"/>
      <c r="AH22" s="33"/>
      <c r="AI22" s="34"/>
      <c r="AJ22" s="35" t="str">
        <f t="shared" si="12"/>
        <v/>
      </c>
      <c r="AK22" s="36" t="str">
        <f t="shared" si="13"/>
        <v/>
      </c>
      <c r="AL22" s="37"/>
      <c r="AM22" s="33"/>
      <c r="AN22" s="34"/>
      <c r="AO22" s="35" t="str">
        <f t="shared" si="14"/>
        <v/>
      </c>
      <c r="AP22" s="36" t="str">
        <f t="shared" si="15"/>
        <v/>
      </c>
      <c r="AQ22" s="37"/>
      <c r="AR22" s="33"/>
      <c r="AS22" s="34"/>
      <c r="AT22" s="35" t="str">
        <f t="shared" si="16"/>
        <v/>
      </c>
      <c r="AU22" s="36" t="str">
        <f t="shared" si="17"/>
        <v/>
      </c>
      <c r="AV22" s="37"/>
      <c r="AW22" s="33"/>
      <c r="AX22" s="34"/>
      <c r="AY22" s="35" t="str">
        <f t="shared" si="18"/>
        <v/>
      </c>
      <c r="AZ22" s="36" t="str">
        <f t="shared" si="19"/>
        <v/>
      </c>
      <c r="BA22" s="37"/>
      <c r="BB22" s="33"/>
      <c r="BC22" s="34"/>
      <c r="BD22" s="35" t="str">
        <f t="shared" si="20"/>
        <v/>
      </c>
      <c r="BE22" s="36" t="str">
        <f t="shared" si="21"/>
        <v/>
      </c>
      <c r="BF22" s="37"/>
      <c r="BG22" s="33"/>
      <c r="BH22" s="34"/>
      <c r="BI22" s="35" t="str">
        <f t="shared" si="22"/>
        <v/>
      </c>
      <c r="BJ22" s="36" t="str">
        <f t="shared" si="23"/>
        <v/>
      </c>
      <c r="BK22" s="37"/>
      <c r="BL22" s="33"/>
      <c r="BM22" s="34"/>
      <c r="BN22" s="35" t="str">
        <f t="shared" si="24"/>
        <v/>
      </c>
      <c r="BO22" s="36" t="str">
        <f t="shared" si="25"/>
        <v/>
      </c>
      <c r="BP22" s="37"/>
      <c r="BQ22" s="33"/>
      <c r="BR22" s="34"/>
      <c r="BS22" s="35" t="str">
        <f t="shared" si="26"/>
        <v/>
      </c>
      <c r="BT22" s="36" t="str">
        <f t="shared" si="27"/>
        <v/>
      </c>
      <c r="BU22" s="37"/>
      <c r="BV22" s="33"/>
      <c r="BW22" s="34"/>
      <c r="BX22" s="35" t="str">
        <f t="shared" si="28"/>
        <v/>
      </c>
      <c r="BY22" s="36" t="str">
        <f t="shared" si="29"/>
        <v/>
      </c>
      <c r="BZ22" s="37"/>
      <c r="CA22" s="33"/>
      <c r="CB22" s="34"/>
      <c r="CC22" s="35" t="str">
        <f t="shared" si="30"/>
        <v/>
      </c>
      <c r="CD22" s="36" t="str">
        <f t="shared" si="31"/>
        <v/>
      </c>
      <c r="CE22" s="37"/>
      <c r="CF22" s="33"/>
      <c r="CG22" s="34"/>
      <c r="CH22" s="35" t="str">
        <f t="shared" si="32"/>
        <v/>
      </c>
      <c r="CI22" s="36" t="str">
        <f t="shared" si="33"/>
        <v/>
      </c>
      <c r="CJ22" s="37"/>
      <c r="CK22" s="33"/>
      <c r="CL22" s="34"/>
      <c r="CM22" s="35" t="str">
        <f t="shared" si="34"/>
        <v/>
      </c>
      <c r="CN22" s="36" t="str">
        <f t="shared" si="35"/>
        <v/>
      </c>
      <c r="CO22" s="37"/>
      <c r="CP22" s="33"/>
      <c r="CQ22" s="34"/>
      <c r="CR22" s="35" t="str">
        <f t="shared" si="36"/>
        <v/>
      </c>
      <c r="CS22" s="36" t="str">
        <f t="shared" si="37"/>
        <v/>
      </c>
      <c r="CT22" s="37"/>
      <c r="CU22" s="33"/>
      <c r="CV22" s="34"/>
      <c r="CW22" s="35" t="str">
        <f t="shared" si="38"/>
        <v/>
      </c>
      <c r="CX22" s="36" t="str">
        <f t="shared" si="39"/>
        <v/>
      </c>
      <c r="CY22" s="37"/>
      <c r="CZ22" s="33"/>
      <c r="DA22" s="34"/>
      <c r="DB22" s="35" t="str">
        <f t="shared" si="40"/>
        <v/>
      </c>
      <c r="DC22" s="36" t="str">
        <f t="shared" si="41"/>
        <v/>
      </c>
      <c r="DD22" s="37"/>
      <c r="DE22" s="33"/>
      <c r="DF22" s="34"/>
      <c r="DG22" s="35" t="str">
        <f t="shared" si="42"/>
        <v/>
      </c>
      <c r="DH22" s="36" t="str">
        <f t="shared" si="43"/>
        <v/>
      </c>
      <c r="DI22" s="37"/>
      <c r="DJ22" s="33"/>
      <c r="DK22" s="34"/>
      <c r="DL22" s="35" t="str">
        <f t="shared" si="44"/>
        <v/>
      </c>
      <c r="DM22" s="36" t="str">
        <f t="shared" si="45"/>
        <v/>
      </c>
      <c r="DN22" s="37"/>
      <c r="DO22" s="33"/>
      <c r="DP22" s="34"/>
      <c r="DQ22" s="35" t="str">
        <f t="shared" si="46"/>
        <v/>
      </c>
      <c r="DR22" s="36" t="str">
        <f t="shared" si="47"/>
        <v/>
      </c>
      <c r="DS22" s="37"/>
      <c r="DT22" s="33"/>
      <c r="DU22" s="34"/>
      <c r="DV22" s="35" t="str">
        <f t="shared" si="48"/>
        <v/>
      </c>
      <c r="DW22" s="36" t="str">
        <f t="shared" si="49"/>
        <v/>
      </c>
      <c r="DX22" s="37"/>
      <c r="DY22" s="33"/>
      <c r="DZ22" s="34"/>
      <c r="EA22" s="35" t="str">
        <f t="shared" si="50"/>
        <v/>
      </c>
      <c r="EB22" s="36" t="str">
        <f t="shared" si="51"/>
        <v/>
      </c>
      <c r="EC22" s="37"/>
      <c r="ED22" s="33"/>
      <c r="EE22" s="34"/>
      <c r="EF22" s="35" t="str">
        <f t="shared" si="52"/>
        <v/>
      </c>
      <c r="EG22" s="36" t="str">
        <f t="shared" si="53"/>
        <v/>
      </c>
      <c r="EH22" s="37"/>
      <c r="EI22" s="33"/>
      <c r="EJ22" s="34"/>
      <c r="EK22" s="35" t="str">
        <f t="shared" si="54"/>
        <v/>
      </c>
      <c r="EL22" s="36" t="str">
        <f t="shared" si="55"/>
        <v/>
      </c>
      <c r="EM22" s="37"/>
      <c r="EN22" s="33"/>
      <c r="EO22" s="34"/>
      <c r="EP22" s="35" t="str">
        <f t="shared" si="56"/>
        <v/>
      </c>
      <c r="EQ22" s="36" t="str">
        <f t="shared" si="57"/>
        <v/>
      </c>
      <c r="ER22" s="37"/>
      <c r="ES22" s="33"/>
      <c r="ET22" s="34"/>
      <c r="EU22" s="35" t="str">
        <f t="shared" si="58"/>
        <v/>
      </c>
      <c r="EV22" s="36" t="str">
        <f t="shared" si="59"/>
        <v/>
      </c>
      <c r="EW22" s="37"/>
    </row>
    <row r="23" spans="1:153" ht="19.5" customHeight="1">
      <c r="A23" s="32">
        <f>IF(DAY(DATE(対象年度,1,20))&lt;&gt;20,"",20)</f>
        <v>20</v>
      </c>
      <c r="B23" s="32" t="str">
        <f>IF(DAY(DATE(対象年度,1,20))&lt;&gt;20,"",CHOOSE(WEEKDAY(DATE(対象年度,1,20),2),"月","火","水","木","金","土","日"))</f>
        <v>火</v>
      </c>
      <c r="C23" s="32" t="str">
        <f>IF(DAY(DATE(対象年度,1,20))&lt;&gt;20,"",IF(ISNUMBER(MATCH(DATE(対象年度,1,20),祝日リスト,0)),"祝",""))</f>
        <v/>
      </c>
      <c r="D23" s="33"/>
      <c r="E23" s="34"/>
      <c r="F23" s="35" t="str">
        <f t="shared" si="0"/>
        <v/>
      </c>
      <c r="G23" s="36" t="str">
        <f t="shared" si="1"/>
        <v/>
      </c>
      <c r="H23" s="37"/>
      <c r="I23" s="33"/>
      <c r="J23" s="34"/>
      <c r="K23" s="35" t="str">
        <f t="shared" si="2"/>
        <v/>
      </c>
      <c r="L23" s="36" t="str">
        <f t="shared" si="3"/>
        <v/>
      </c>
      <c r="M23" s="37"/>
      <c r="N23" s="33"/>
      <c r="O23" s="34"/>
      <c r="P23" s="35" t="str">
        <f t="shared" si="4"/>
        <v/>
      </c>
      <c r="Q23" s="36" t="str">
        <f t="shared" si="5"/>
        <v/>
      </c>
      <c r="R23" s="37"/>
      <c r="S23" s="33"/>
      <c r="T23" s="34"/>
      <c r="U23" s="35" t="str">
        <f t="shared" si="6"/>
        <v/>
      </c>
      <c r="V23" s="36" t="str">
        <f t="shared" si="7"/>
        <v/>
      </c>
      <c r="W23" s="37"/>
      <c r="X23" s="33"/>
      <c r="Y23" s="34"/>
      <c r="Z23" s="35" t="str">
        <f t="shared" si="8"/>
        <v/>
      </c>
      <c r="AA23" s="36" t="str">
        <f t="shared" si="9"/>
        <v/>
      </c>
      <c r="AB23" s="37"/>
      <c r="AC23" s="33"/>
      <c r="AD23" s="34"/>
      <c r="AE23" s="35" t="str">
        <f t="shared" si="10"/>
        <v/>
      </c>
      <c r="AF23" s="36" t="str">
        <f t="shared" si="11"/>
        <v/>
      </c>
      <c r="AG23" s="37"/>
      <c r="AH23" s="33"/>
      <c r="AI23" s="34"/>
      <c r="AJ23" s="35" t="str">
        <f t="shared" si="12"/>
        <v/>
      </c>
      <c r="AK23" s="36" t="str">
        <f t="shared" si="13"/>
        <v/>
      </c>
      <c r="AL23" s="37"/>
      <c r="AM23" s="33"/>
      <c r="AN23" s="34"/>
      <c r="AO23" s="35" t="str">
        <f t="shared" si="14"/>
        <v/>
      </c>
      <c r="AP23" s="36" t="str">
        <f t="shared" si="15"/>
        <v/>
      </c>
      <c r="AQ23" s="37"/>
      <c r="AR23" s="33"/>
      <c r="AS23" s="34"/>
      <c r="AT23" s="35" t="str">
        <f t="shared" si="16"/>
        <v/>
      </c>
      <c r="AU23" s="36" t="str">
        <f t="shared" si="17"/>
        <v/>
      </c>
      <c r="AV23" s="37"/>
      <c r="AW23" s="33"/>
      <c r="AX23" s="34"/>
      <c r="AY23" s="35" t="str">
        <f t="shared" si="18"/>
        <v/>
      </c>
      <c r="AZ23" s="36" t="str">
        <f t="shared" si="19"/>
        <v/>
      </c>
      <c r="BA23" s="37"/>
      <c r="BB23" s="33"/>
      <c r="BC23" s="34"/>
      <c r="BD23" s="35" t="str">
        <f t="shared" si="20"/>
        <v/>
      </c>
      <c r="BE23" s="36" t="str">
        <f t="shared" si="21"/>
        <v/>
      </c>
      <c r="BF23" s="37"/>
      <c r="BG23" s="33"/>
      <c r="BH23" s="34"/>
      <c r="BI23" s="35" t="str">
        <f t="shared" si="22"/>
        <v/>
      </c>
      <c r="BJ23" s="36" t="str">
        <f t="shared" si="23"/>
        <v/>
      </c>
      <c r="BK23" s="37"/>
      <c r="BL23" s="33"/>
      <c r="BM23" s="34"/>
      <c r="BN23" s="35" t="str">
        <f t="shared" si="24"/>
        <v/>
      </c>
      <c r="BO23" s="36" t="str">
        <f t="shared" si="25"/>
        <v/>
      </c>
      <c r="BP23" s="37"/>
      <c r="BQ23" s="33"/>
      <c r="BR23" s="34"/>
      <c r="BS23" s="35" t="str">
        <f t="shared" si="26"/>
        <v/>
      </c>
      <c r="BT23" s="36" t="str">
        <f t="shared" si="27"/>
        <v/>
      </c>
      <c r="BU23" s="37"/>
      <c r="BV23" s="33"/>
      <c r="BW23" s="34"/>
      <c r="BX23" s="35" t="str">
        <f t="shared" si="28"/>
        <v/>
      </c>
      <c r="BY23" s="36" t="str">
        <f t="shared" si="29"/>
        <v/>
      </c>
      <c r="BZ23" s="37"/>
      <c r="CA23" s="33"/>
      <c r="CB23" s="34"/>
      <c r="CC23" s="35" t="str">
        <f t="shared" si="30"/>
        <v/>
      </c>
      <c r="CD23" s="36" t="str">
        <f t="shared" si="31"/>
        <v/>
      </c>
      <c r="CE23" s="37"/>
      <c r="CF23" s="33"/>
      <c r="CG23" s="34"/>
      <c r="CH23" s="35" t="str">
        <f t="shared" si="32"/>
        <v/>
      </c>
      <c r="CI23" s="36" t="str">
        <f t="shared" si="33"/>
        <v/>
      </c>
      <c r="CJ23" s="37"/>
      <c r="CK23" s="33"/>
      <c r="CL23" s="34"/>
      <c r="CM23" s="35" t="str">
        <f t="shared" si="34"/>
        <v/>
      </c>
      <c r="CN23" s="36" t="str">
        <f t="shared" si="35"/>
        <v/>
      </c>
      <c r="CO23" s="37"/>
      <c r="CP23" s="33"/>
      <c r="CQ23" s="34"/>
      <c r="CR23" s="35" t="str">
        <f t="shared" si="36"/>
        <v/>
      </c>
      <c r="CS23" s="36" t="str">
        <f t="shared" si="37"/>
        <v/>
      </c>
      <c r="CT23" s="37"/>
      <c r="CU23" s="33"/>
      <c r="CV23" s="34"/>
      <c r="CW23" s="35" t="str">
        <f t="shared" si="38"/>
        <v/>
      </c>
      <c r="CX23" s="36" t="str">
        <f t="shared" si="39"/>
        <v/>
      </c>
      <c r="CY23" s="37"/>
      <c r="CZ23" s="33"/>
      <c r="DA23" s="34"/>
      <c r="DB23" s="35" t="str">
        <f t="shared" si="40"/>
        <v/>
      </c>
      <c r="DC23" s="36" t="str">
        <f t="shared" si="41"/>
        <v/>
      </c>
      <c r="DD23" s="37"/>
      <c r="DE23" s="33"/>
      <c r="DF23" s="34"/>
      <c r="DG23" s="35" t="str">
        <f t="shared" si="42"/>
        <v/>
      </c>
      <c r="DH23" s="36" t="str">
        <f t="shared" si="43"/>
        <v/>
      </c>
      <c r="DI23" s="37"/>
      <c r="DJ23" s="33"/>
      <c r="DK23" s="34"/>
      <c r="DL23" s="35" t="str">
        <f t="shared" si="44"/>
        <v/>
      </c>
      <c r="DM23" s="36" t="str">
        <f t="shared" si="45"/>
        <v/>
      </c>
      <c r="DN23" s="37"/>
      <c r="DO23" s="33"/>
      <c r="DP23" s="34"/>
      <c r="DQ23" s="35" t="str">
        <f t="shared" si="46"/>
        <v/>
      </c>
      <c r="DR23" s="36" t="str">
        <f t="shared" si="47"/>
        <v/>
      </c>
      <c r="DS23" s="37"/>
      <c r="DT23" s="33"/>
      <c r="DU23" s="34"/>
      <c r="DV23" s="35" t="str">
        <f t="shared" si="48"/>
        <v/>
      </c>
      <c r="DW23" s="36" t="str">
        <f t="shared" si="49"/>
        <v/>
      </c>
      <c r="DX23" s="37"/>
      <c r="DY23" s="33"/>
      <c r="DZ23" s="34"/>
      <c r="EA23" s="35" t="str">
        <f t="shared" si="50"/>
        <v/>
      </c>
      <c r="EB23" s="36" t="str">
        <f t="shared" si="51"/>
        <v/>
      </c>
      <c r="EC23" s="37"/>
      <c r="ED23" s="33"/>
      <c r="EE23" s="34"/>
      <c r="EF23" s="35" t="str">
        <f t="shared" si="52"/>
        <v/>
      </c>
      <c r="EG23" s="36" t="str">
        <f t="shared" si="53"/>
        <v/>
      </c>
      <c r="EH23" s="37"/>
      <c r="EI23" s="33"/>
      <c r="EJ23" s="34"/>
      <c r="EK23" s="35" t="str">
        <f t="shared" si="54"/>
        <v/>
      </c>
      <c r="EL23" s="36" t="str">
        <f t="shared" si="55"/>
        <v/>
      </c>
      <c r="EM23" s="37"/>
      <c r="EN23" s="33"/>
      <c r="EO23" s="34"/>
      <c r="EP23" s="35" t="str">
        <f t="shared" si="56"/>
        <v/>
      </c>
      <c r="EQ23" s="36" t="str">
        <f t="shared" si="57"/>
        <v/>
      </c>
      <c r="ER23" s="37"/>
      <c r="ES23" s="33"/>
      <c r="ET23" s="34"/>
      <c r="EU23" s="35" t="str">
        <f t="shared" si="58"/>
        <v/>
      </c>
      <c r="EV23" s="36" t="str">
        <f t="shared" si="59"/>
        <v/>
      </c>
      <c r="EW23" s="37"/>
    </row>
    <row r="24" spans="1:153" ht="19.5" customHeight="1">
      <c r="A24" s="32">
        <f>IF(DAY(DATE(対象年度,1,21))&lt;&gt;21,"",21)</f>
        <v>21</v>
      </c>
      <c r="B24" s="32" t="str">
        <f>IF(DAY(DATE(対象年度,1,21))&lt;&gt;21,"",CHOOSE(WEEKDAY(DATE(対象年度,1,21),2),"月","火","水","木","金","土","日"))</f>
        <v>水</v>
      </c>
      <c r="C24" s="32" t="str">
        <f>IF(DAY(DATE(対象年度,1,21))&lt;&gt;21,"",IF(ISNUMBER(MATCH(DATE(対象年度,1,21),祝日リスト,0)),"祝",""))</f>
        <v/>
      </c>
      <c r="D24" s="38" t="s">
        <v>63</v>
      </c>
      <c r="E24" s="34"/>
      <c r="F24" s="35" t="str">
        <f t="shared" si="0"/>
        <v>○</v>
      </c>
      <c r="G24" s="36" t="str">
        <f t="shared" si="1"/>
        <v/>
      </c>
      <c r="H24" s="37"/>
      <c r="I24" s="38" t="s">
        <v>61</v>
      </c>
      <c r="J24" s="34"/>
      <c r="K24" s="35" t="str">
        <f t="shared" si="2"/>
        <v>○</v>
      </c>
      <c r="L24" s="36" t="str">
        <f t="shared" si="3"/>
        <v/>
      </c>
      <c r="M24" s="37"/>
      <c r="N24" s="38" t="s">
        <v>61</v>
      </c>
      <c r="O24" s="34"/>
      <c r="P24" s="35" t="str">
        <f t="shared" si="4"/>
        <v>○</v>
      </c>
      <c r="Q24" s="36" t="str">
        <f t="shared" si="5"/>
        <v/>
      </c>
      <c r="R24" s="37"/>
      <c r="S24" s="38" t="s">
        <v>61</v>
      </c>
      <c r="T24" s="34"/>
      <c r="U24" s="35" t="str">
        <f t="shared" si="6"/>
        <v>○</v>
      </c>
      <c r="V24" s="36" t="str">
        <f t="shared" si="7"/>
        <v/>
      </c>
      <c r="W24" s="37"/>
      <c r="X24" s="38" t="s">
        <v>61</v>
      </c>
      <c r="Y24" s="34"/>
      <c r="Z24" s="35" t="str">
        <f t="shared" si="8"/>
        <v>○</v>
      </c>
      <c r="AA24" s="36" t="str">
        <f t="shared" si="9"/>
        <v/>
      </c>
      <c r="AB24" s="37"/>
      <c r="AC24" s="38" t="s">
        <v>61</v>
      </c>
      <c r="AD24" s="34"/>
      <c r="AE24" s="35" t="str">
        <f t="shared" si="10"/>
        <v>○</v>
      </c>
      <c r="AF24" s="36" t="str">
        <f t="shared" si="11"/>
        <v/>
      </c>
      <c r="AG24" s="37"/>
      <c r="AH24" s="33"/>
      <c r="AI24" s="34"/>
      <c r="AJ24" s="35" t="str">
        <f t="shared" si="12"/>
        <v/>
      </c>
      <c r="AK24" s="36" t="str">
        <f t="shared" si="13"/>
        <v/>
      </c>
      <c r="AL24" s="37"/>
      <c r="AM24" s="38"/>
      <c r="AN24" s="34"/>
      <c r="AO24" s="35" t="str">
        <f t="shared" si="14"/>
        <v/>
      </c>
      <c r="AP24" s="36" t="str">
        <f t="shared" si="15"/>
        <v/>
      </c>
      <c r="AQ24" s="37"/>
      <c r="AR24" s="38"/>
      <c r="AS24" s="34"/>
      <c r="AT24" s="35" t="str">
        <f t="shared" si="16"/>
        <v/>
      </c>
      <c r="AU24" s="36" t="str">
        <f t="shared" si="17"/>
        <v/>
      </c>
      <c r="AV24" s="37"/>
      <c r="AW24" s="33"/>
      <c r="AX24" s="34"/>
      <c r="AY24" s="35" t="str">
        <f t="shared" si="18"/>
        <v/>
      </c>
      <c r="AZ24" s="36" t="str">
        <f t="shared" si="19"/>
        <v/>
      </c>
      <c r="BA24" s="37"/>
      <c r="BB24" s="38"/>
      <c r="BC24" s="34"/>
      <c r="BD24" s="35" t="str">
        <f t="shared" si="20"/>
        <v/>
      </c>
      <c r="BE24" s="36" t="str">
        <f t="shared" si="21"/>
        <v/>
      </c>
      <c r="BF24" s="37"/>
      <c r="BG24" s="38"/>
      <c r="BH24" s="34"/>
      <c r="BI24" s="35" t="str">
        <f t="shared" si="22"/>
        <v/>
      </c>
      <c r="BJ24" s="36" t="str">
        <f t="shared" si="23"/>
        <v/>
      </c>
      <c r="BK24" s="37"/>
      <c r="BL24" s="33"/>
      <c r="BM24" s="34"/>
      <c r="BN24" s="35" t="str">
        <f t="shared" si="24"/>
        <v/>
      </c>
      <c r="BO24" s="36" t="str">
        <f t="shared" si="25"/>
        <v/>
      </c>
      <c r="BP24" s="37"/>
      <c r="BQ24" s="33"/>
      <c r="BR24" s="34"/>
      <c r="BS24" s="35" t="str">
        <f t="shared" si="26"/>
        <v/>
      </c>
      <c r="BT24" s="36" t="str">
        <f t="shared" si="27"/>
        <v/>
      </c>
      <c r="BU24" s="37"/>
      <c r="BV24" s="33"/>
      <c r="BW24" s="34"/>
      <c r="BX24" s="35" t="str">
        <f t="shared" si="28"/>
        <v/>
      </c>
      <c r="BY24" s="36" t="str">
        <f t="shared" si="29"/>
        <v/>
      </c>
      <c r="BZ24" s="37"/>
      <c r="CA24" s="33"/>
      <c r="CB24" s="34"/>
      <c r="CC24" s="35" t="str">
        <f t="shared" si="30"/>
        <v/>
      </c>
      <c r="CD24" s="36" t="str">
        <f t="shared" si="31"/>
        <v/>
      </c>
      <c r="CE24" s="37"/>
      <c r="CF24" s="33"/>
      <c r="CG24" s="34"/>
      <c r="CH24" s="35" t="str">
        <f t="shared" si="32"/>
        <v/>
      </c>
      <c r="CI24" s="36" t="str">
        <f t="shared" si="33"/>
        <v/>
      </c>
      <c r="CJ24" s="37"/>
      <c r="CK24" s="33"/>
      <c r="CL24" s="34"/>
      <c r="CM24" s="35" t="str">
        <f t="shared" si="34"/>
        <v/>
      </c>
      <c r="CN24" s="36" t="str">
        <f t="shared" si="35"/>
        <v/>
      </c>
      <c r="CO24" s="37"/>
      <c r="CP24" s="33"/>
      <c r="CQ24" s="34"/>
      <c r="CR24" s="35" t="str">
        <f t="shared" si="36"/>
        <v/>
      </c>
      <c r="CS24" s="36" t="str">
        <f t="shared" si="37"/>
        <v/>
      </c>
      <c r="CT24" s="37"/>
      <c r="CU24" s="33"/>
      <c r="CV24" s="34"/>
      <c r="CW24" s="35" t="str">
        <f t="shared" si="38"/>
        <v/>
      </c>
      <c r="CX24" s="36" t="str">
        <f t="shared" si="39"/>
        <v/>
      </c>
      <c r="CY24" s="37"/>
      <c r="CZ24" s="33"/>
      <c r="DA24" s="34"/>
      <c r="DB24" s="35" t="str">
        <f t="shared" si="40"/>
        <v/>
      </c>
      <c r="DC24" s="36" t="str">
        <f t="shared" si="41"/>
        <v/>
      </c>
      <c r="DD24" s="37"/>
      <c r="DE24" s="33"/>
      <c r="DF24" s="34"/>
      <c r="DG24" s="35" t="str">
        <f t="shared" si="42"/>
        <v/>
      </c>
      <c r="DH24" s="36" t="str">
        <f t="shared" si="43"/>
        <v/>
      </c>
      <c r="DI24" s="37"/>
      <c r="DJ24" s="33"/>
      <c r="DK24" s="34"/>
      <c r="DL24" s="35" t="str">
        <f t="shared" si="44"/>
        <v/>
      </c>
      <c r="DM24" s="36" t="str">
        <f t="shared" si="45"/>
        <v/>
      </c>
      <c r="DN24" s="37"/>
      <c r="DO24" s="33"/>
      <c r="DP24" s="34"/>
      <c r="DQ24" s="35" t="str">
        <f t="shared" si="46"/>
        <v/>
      </c>
      <c r="DR24" s="36" t="str">
        <f t="shared" si="47"/>
        <v/>
      </c>
      <c r="DS24" s="37"/>
      <c r="DT24" s="33"/>
      <c r="DU24" s="34"/>
      <c r="DV24" s="35" t="str">
        <f t="shared" si="48"/>
        <v/>
      </c>
      <c r="DW24" s="36" t="str">
        <f t="shared" si="49"/>
        <v/>
      </c>
      <c r="DX24" s="37"/>
      <c r="DY24" s="33"/>
      <c r="DZ24" s="34"/>
      <c r="EA24" s="35" t="str">
        <f t="shared" si="50"/>
        <v/>
      </c>
      <c r="EB24" s="36" t="str">
        <f t="shared" si="51"/>
        <v/>
      </c>
      <c r="EC24" s="37"/>
      <c r="ED24" s="33"/>
      <c r="EE24" s="34"/>
      <c r="EF24" s="35" t="str">
        <f t="shared" si="52"/>
        <v/>
      </c>
      <c r="EG24" s="36" t="str">
        <f t="shared" si="53"/>
        <v/>
      </c>
      <c r="EH24" s="37"/>
      <c r="EI24" s="33"/>
      <c r="EJ24" s="34"/>
      <c r="EK24" s="35" t="str">
        <f t="shared" si="54"/>
        <v/>
      </c>
      <c r="EL24" s="36" t="str">
        <f t="shared" si="55"/>
        <v/>
      </c>
      <c r="EM24" s="37"/>
      <c r="EN24" s="33"/>
      <c r="EO24" s="34"/>
      <c r="EP24" s="35" t="str">
        <f t="shared" si="56"/>
        <v/>
      </c>
      <c r="EQ24" s="36" t="str">
        <f t="shared" si="57"/>
        <v/>
      </c>
      <c r="ER24" s="37"/>
      <c r="ES24" s="33"/>
      <c r="ET24" s="34"/>
      <c r="EU24" s="35" t="str">
        <f t="shared" si="58"/>
        <v/>
      </c>
      <c r="EV24" s="36" t="str">
        <f t="shared" si="59"/>
        <v/>
      </c>
      <c r="EW24" s="37"/>
    </row>
    <row r="25" spans="1:153" ht="19.5" customHeight="1">
      <c r="A25" s="32">
        <f>IF(DAY(DATE(対象年度,1,22))&lt;&gt;22,"",22)</f>
        <v>22</v>
      </c>
      <c r="B25" s="32" t="str">
        <f>IF(DAY(DATE(対象年度,1,22))&lt;&gt;22,"",CHOOSE(WEEKDAY(DATE(対象年度,1,22),2),"月","火","水","木","金","土","日"))</f>
        <v>木</v>
      </c>
      <c r="C25" s="32" t="str">
        <f>IF(DAY(DATE(対象年度,1,22))&lt;&gt;22,"",IF(ISNUMBER(MATCH(DATE(対象年度,1,22),祝日リスト,0)),"祝",""))</f>
        <v/>
      </c>
      <c r="D25" s="38" t="s">
        <v>63</v>
      </c>
      <c r="E25" s="34"/>
      <c r="F25" s="35" t="str">
        <f t="shared" si="0"/>
        <v>○</v>
      </c>
      <c r="G25" s="36" t="str">
        <f t="shared" si="1"/>
        <v/>
      </c>
      <c r="H25" s="37"/>
      <c r="I25" s="38" t="s">
        <v>61</v>
      </c>
      <c r="J25" s="34"/>
      <c r="K25" s="35" t="str">
        <f t="shared" si="2"/>
        <v>○</v>
      </c>
      <c r="L25" s="36" t="str">
        <f t="shared" si="3"/>
        <v/>
      </c>
      <c r="M25" s="37"/>
      <c r="N25" s="38" t="s">
        <v>61</v>
      </c>
      <c r="O25" s="34"/>
      <c r="P25" s="35" t="str">
        <f t="shared" si="4"/>
        <v>○</v>
      </c>
      <c r="Q25" s="36" t="str">
        <f t="shared" si="5"/>
        <v/>
      </c>
      <c r="R25" s="37"/>
      <c r="S25" s="38" t="s">
        <v>61</v>
      </c>
      <c r="T25" s="34"/>
      <c r="U25" s="35" t="str">
        <f t="shared" si="6"/>
        <v>○</v>
      </c>
      <c r="V25" s="36" t="str">
        <f t="shared" si="7"/>
        <v/>
      </c>
      <c r="W25" s="37"/>
      <c r="X25" s="38" t="s">
        <v>61</v>
      </c>
      <c r="Y25" s="34"/>
      <c r="Z25" s="35" t="str">
        <f t="shared" si="8"/>
        <v>○</v>
      </c>
      <c r="AA25" s="36" t="str">
        <f t="shared" si="9"/>
        <v/>
      </c>
      <c r="AB25" s="37"/>
      <c r="AC25" s="38" t="s">
        <v>61</v>
      </c>
      <c r="AD25" s="34"/>
      <c r="AE25" s="35" t="str">
        <f t="shared" si="10"/>
        <v>○</v>
      </c>
      <c r="AF25" s="36" t="str">
        <f t="shared" si="11"/>
        <v/>
      </c>
      <c r="AG25" s="37"/>
      <c r="AH25" s="33"/>
      <c r="AI25" s="34"/>
      <c r="AJ25" s="35" t="str">
        <f t="shared" si="12"/>
        <v/>
      </c>
      <c r="AK25" s="36" t="str">
        <f t="shared" si="13"/>
        <v/>
      </c>
      <c r="AL25" s="37"/>
      <c r="AM25" s="38"/>
      <c r="AN25" s="34"/>
      <c r="AO25" s="35" t="str">
        <f t="shared" si="14"/>
        <v/>
      </c>
      <c r="AP25" s="36" t="str">
        <f t="shared" si="15"/>
        <v/>
      </c>
      <c r="AQ25" s="37"/>
      <c r="AR25" s="38"/>
      <c r="AS25" s="34"/>
      <c r="AT25" s="35" t="str">
        <f t="shared" si="16"/>
        <v/>
      </c>
      <c r="AU25" s="36" t="str">
        <f t="shared" si="17"/>
        <v/>
      </c>
      <c r="AV25" s="37"/>
      <c r="AW25" s="33"/>
      <c r="AX25" s="34"/>
      <c r="AY25" s="35" t="str">
        <f t="shared" si="18"/>
        <v/>
      </c>
      <c r="AZ25" s="36" t="str">
        <f t="shared" si="19"/>
        <v/>
      </c>
      <c r="BA25" s="37"/>
      <c r="BB25" s="38"/>
      <c r="BC25" s="34"/>
      <c r="BD25" s="35" t="str">
        <f t="shared" si="20"/>
        <v/>
      </c>
      <c r="BE25" s="36" t="str">
        <f t="shared" si="21"/>
        <v/>
      </c>
      <c r="BF25" s="37"/>
      <c r="BG25" s="38"/>
      <c r="BH25" s="34"/>
      <c r="BI25" s="35" t="str">
        <f t="shared" si="22"/>
        <v/>
      </c>
      <c r="BJ25" s="36" t="str">
        <f t="shared" si="23"/>
        <v/>
      </c>
      <c r="BK25" s="37"/>
      <c r="BL25" s="33"/>
      <c r="BM25" s="34"/>
      <c r="BN25" s="35" t="str">
        <f t="shared" si="24"/>
        <v/>
      </c>
      <c r="BO25" s="36" t="str">
        <f t="shared" si="25"/>
        <v/>
      </c>
      <c r="BP25" s="37"/>
      <c r="BQ25" s="33"/>
      <c r="BR25" s="34"/>
      <c r="BS25" s="35" t="str">
        <f t="shared" si="26"/>
        <v/>
      </c>
      <c r="BT25" s="36" t="str">
        <f t="shared" si="27"/>
        <v/>
      </c>
      <c r="BU25" s="37"/>
      <c r="BV25" s="33"/>
      <c r="BW25" s="34"/>
      <c r="BX25" s="35" t="str">
        <f t="shared" si="28"/>
        <v/>
      </c>
      <c r="BY25" s="36" t="str">
        <f t="shared" si="29"/>
        <v/>
      </c>
      <c r="BZ25" s="37"/>
      <c r="CA25" s="33"/>
      <c r="CB25" s="34"/>
      <c r="CC25" s="35" t="str">
        <f t="shared" si="30"/>
        <v/>
      </c>
      <c r="CD25" s="36" t="str">
        <f t="shared" si="31"/>
        <v/>
      </c>
      <c r="CE25" s="37"/>
      <c r="CF25" s="33"/>
      <c r="CG25" s="34"/>
      <c r="CH25" s="35" t="str">
        <f t="shared" si="32"/>
        <v/>
      </c>
      <c r="CI25" s="36" t="str">
        <f t="shared" si="33"/>
        <v/>
      </c>
      <c r="CJ25" s="37"/>
      <c r="CK25" s="33"/>
      <c r="CL25" s="34"/>
      <c r="CM25" s="35" t="str">
        <f t="shared" si="34"/>
        <v/>
      </c>
      <c r="CN25" s="36" t="str">
        <f t="shared" si="35"/>
        <v/>
      </c>
      <c r="CO25" s="37"/>
      <c r="CP25" s="33"/>
      <c r="CQ25" s="34"/>
      <c r="CR25" s="35" t="str">
        <f t="shared" si="36"/>
        <v/>
      </c>
      <c r="CS25" s="36" t="str">
        <f t="shared" si="37"/>
        <v/>
      </c>
      <c r="CT25" s="37"/>
      <c r="CU25" s="33"/>
      <c r="CV25" s="34"/>
      <c r="CW25" s="35" t="str">
        <f t="shared" si="38"/>
        <v/>
      </c>
      <c r="CX25" s="36" t="str">
        <f t="shared" si="39"/>
        <v/>
      </c>
      <c r="CY25" s="37"/>
      <c r="CZ25" s="33"/>
      <c r="DA25" s="34"/>
      <c r="DB25" s="35" t="str">
        <f t="shared" si="40"/>
        <v/>
      </c>
      <c r="DC25" s="36" t="str">
        <f t="shared" si="41"/>
        <v/>
      </c>
      <c r="DD25" s="37"/>
      <c r="DE25" s="33"/>
      <c r="DF25" s="34"/>
      <c r="DG25" s="35" t="str">
        <f t="shared" si="42"/>
        <v/>
      </c>
      <c r="DH25" s="36" t="str">
        <f t="shared" si="43"/>
        <v/>
      </c>
      <c r="DI25" s="37"/>
      <c r="DJ25" s="33"/>
      <c r="DK25" s="34"/>
      <c r="DL25" s="35" t="str">
        <f t="shared" si="44"/>
        <v/>
      </c>
      <c r="DM25" s="36" t="str">
        <f t="shared" si="45"/>
        <v/>
      </c>
      <c r="DN25" s="37"/>
      <c r="DO25" s="33"/>
      <c r="DP25" s="34"/>
      <c r="DQ25" s="35" t="str">
        <f t="shared" si="46"/>
        <v/>
      </c>
      <c r="DR25" s="36" t="str">
        <f t="shared" si="47"/>
        <v/>
      </c>
      <c r="DS25" s="37"/>
      <c r="DT25" s="33"/>
      <c r="DU25" s="34"/>
      <c r="DV25" s="35" t="str">
        <f t="shared" si="48"/>
        <v/>
      </c>
      <c r="DW25" s="36" t="str">
        <f t="shared" si="49"/>
        <v/>
      </c>
      <c r="DX25" s="37"/>
      <c r="DY25" s="33"/>
      <c r="DZ25" s="34"/>
      <c r="EA25" s="35" t="str">
        <f t="shared" si="50"/>
        <v/>
      </c>
      <c r="EB25" s="36" t="str">
        <f t="shared" si="51"/>
        <v/>
      </c>
      <c r="EC25" s="37"/>
      <c r="ED25" s="33"/>
      <c r="EE25" s="34"/>
      <c r="EF25" s="35" t="str">
        <f t="shared" si="52"/>
        <v/>
      </c>
      <c r="EG25" s="36" t="str">
        <f t="shared" si="53"/>
        <v/>
      </c>
      <c r="EH25" s="37"/>
      <c r="EI25" s="33"/>
      <c r="EJ25" s="34"/>
      <c r="EK25" s="35" t="str">
        <f t="shared" si="54"/>
        <v/>
      </c>
      <c r="EL25" s="36" t="str">
        <f t="shared" si="55"/>
        <v/>
      </c>
      <c r="EM25" s="37"/>
      <c r="EN25" s="33"/>
      <c r="EO25" s="34"/>
      <c r="EP25" s="35" t="str">
        <f t="shared" si="56"/>
        <v/>
      </c>
      <c r="EQ25" s="36" t="str">
        <f t="shared" si="57"/>
        <v/>
      </c>
      <c r="ER25" s="37"/>
      <c r="ES25" s="33"/>
      <c r="ET25" s="34"/>
      <c r="EU25" s="35" t="str">
        <f t="shared" si="58"/>
        <v/>
      </c>
      <c r="EV25" s="36" t="str">
        <f t="shared" si="59"/>
        <v/>
      </c>
      <c r="EW25" s="37"/>
    </row>
    <row r="26" spans="1:153" ht="19.5" customHeight="1">
      <c r="A26" s="32">
        <f>IF(DAY(DATE(対象年度,1,23))&lt;&gt;23,"",23)</f>
        <v>23</v>
      </c>
      <c r="B26" s="32" t="str">
        <f>IF(DAY(DATE(対象年度,1,23))&lt;&gt;23,"",CHOOSE(WEEKDAY(DATE(対象年度,1,23),2),"月","火","水","木","金","土","日"))</f>
        <v>金</v>
      </c>
      <c r="C26" s="32" t="str">
        <f>IF(DAY(DATE(対象年度,1,23))&lt;&gt;23,"",IF(ISNUMBER(MATCH(DATE(対象年度,1,23),祝日リスト,0)),"祝",""))</f>
        <v/>
      </c>
      <c r="D26" s="38" t="s">
        <v>63</v>
      </c>
      <c r="E26" s="34"/>
      <c r="F26" s="35" t="str">
        <f t="shared" si="0"/>
        <v>○</v>
      </c>
      <c r="G26" s="36" t="str">
        <f t="shared" si="1"/>
        <v/>
      </c>
      <c r="H26" s="37"/>
      <c r="I26" s="38" t="s">
        <v>61</v>
      </c>
      <c r="J26" s="34"/>
      <c r="K26" s="35" t="str">
        <f t="shared" si="2"/>
        <v>○</v>
      </c>
      <c r="L26" s="36" t="str">
        <f t="shared" si="3"/>
        <v/>
      </c>
      <c r="M26" s="37"/>
      <c r="N26" s="38" t="s">
        <v>61</v>
      </c>
      <c r="O26" s="34"/>
      <c r="P26" s="35" t="str">
        <f t="shared" si="4"/>
        <v>○</v>
      </c>
      <c r="Q26" s="36" t="str">
        <f t="shared" si="5"/>
        <v/>
      </c>
      <c r="R26" s="37"/>
      <c r="S26" s="38" t="s">
        <v>61</v>
      </c>
      <c r="T26" s="34"/>
      <c r="U26" s="35" t="str">
        <f t="shared" si="6"/>
        <v>○</v>
      </c>
      <c r="V26" s="36" t="str">
        <f t="shared" si="7"/>
        <v/>
      </c>
      <c r="W26" s="37"/>
      <c r="X26" s="38" t="s">
        <v>61</v>
      </c>
      <c r="Y26" s="34"/>
      <c r="Z26" s="35" t="str">
        <f t="shared" si="8"/>
        <v>○</v>
      </c>
      <c r="AA26" s="36" t="str">
        <f t="shared" si="9"/>
        <v/>
      </c>
      <c r="AB26" s="37"/>
      <c r="AC26" s="38" t="s">
        <v>61</v>
      </c>
      <c r="AD26" s="34"/>
      <c r="AE26" s="35" t="str">
        <f t="shared" si="10"/>
        <v>○</v>
      </c>
      <c r="AF26" s="36" t="str">
        <f t="shared" si="11"/>
        <v/>
      </c>
      <c r="AG26" s="37"/>
      <c r="AH26" s="38"/>
      <c r="AI26" s="34"/>
      <c r="AJ26" s="35" t="str">
        <f t="shared" si="12"/>
        <v/>
      </c>
      <c r="AK26" s="36" t="str">
        <f t="shared" si="13"/>
        <v/>
      </c>
      <c r="AL26" s="37"/>
      <c r="AM26" s="38"/>
      <c r="AN26" s="34"/>
      <c r="AO26" s="35" t="str">
        <f t="shared" si="14"/>
        <v/>
      </c>
      <c r="AP26" s="36" t="str">
        <f t="shared" si="15"/>
        <v/>
      </c>
      <c r="AQ26" s="37"/>
      <c r="AR26" s="38"/>
      <c r="AS26" s="34"/>
      <c r="AT26" s="35" t="str">
        <f t="shared" si="16"/>
        <v/>
      </c>
      <c r="AU26" s="36" t="str">
        <f t="shared" si="17"/>
        <v/>
      </c>
      <c r="AV26" s="37"/>
      <c r="AW26" s="33"/>
      <c r="AX26" s="34"/>
      <c r="AY26" s="35" t="str">
        <f t="shared" si="18"/>
        <v/>
      </c>
      <c r="AZ26" s="36" t="str">
        <f t="shared" si="19"/>
        <v/>
      </c>
      <c r="BA26" s="37"/>
      <c r="BB26" s="38"/>
      <c r="BC26" s="34"/>
      <c r="BD26" s="35" t="str">
        <f t="shared" si="20"/>
        <v/>
      </c>
      <c r="BE26" s="36" t="str">
        <f t="shared" si="21"/>
        <v/>
      </c>
      <c r="BF26" s="37"/>
      <c r="BG26" s="38"/>
      <c r="BH26" s="34"/>
      <c r="BI26" s="35" t="str">
        <f t="shared" si="22"/>
        <v/>
      </c>
      <c r="BJ26" s="36" t="str">
        <f t="shared" si="23"/>
        <v/>
      </c>
      <c r="BK26" s="37"/>
      <c r="BL26" s="33"/>
      <c r="BM26" s="34"/>
      <c r="BN26" s="35" t="str">
        <f t="shared" si="24"/>
        <v/>
      </c>
      <c r="BO26" s="36" t="str">
        <f t="shared" si="25"/>
        <v/>
      </c>
      <c r="BP26" s="37"/>
      <c r="BQ26" s="33"/>
      <c r="BR26" s="34"/>
      <c r="BS26" s="35" t="str">
        <f t="shared" si="26"/>
        <v/>
      </c>
      <c r="BT26" s="36" t="str">
        <f t="shared" si="27"/>
        <v/>
      </c>
      <c r="BU26" s="37"/>
      <c r="BV26" s="33"/>
      <c r="BW26" s="34"/>
      <c r="BX26" s="35" t="str">
        <f t="shared" si="28"/>
        <v/>
      </c>
      <c r="BY26" s="36" t="str">
        <f t="shared" si="29"/>
        <v/>
      </c>
      <c r="BZ26" s="37"/>
      <c r="CA26" s="33"/>
      <c r="CB26" s="34"/>
      <c r="CC26" s="35" t="str">
        <f t="shared" si="30"/>
        <v/>
      </c>
      <c r="CD26" s="36" t="str">
        <f t="shared" si="31"/>
        <v/>
      </c>
      <c r="CE26" s="37"/>
      <c r="CF26" s="33"/>
      <c r="CG26" s="34"/>
      <c r="CH26" s="35" t="str">
        <f t="shared" si="32"/>
        <v/>
      </c>
      <c r="CI26" s="36" t="str">
        <f t="shared" si="33"/>
        <v/>
      </c>
      <c r="CJ26" s="37"/>
      <c r="CK26" s="33"/>
      <c r="CL26" s="34"/>
      <c r="CM26" s="35" t="str">
        <f t="shared" si="34"/>
        <v/>
      </c>
      <c r="CN26" s="36" t="str">
        <f t="shared" si="35"/>
        <v/>
      </c>
      <c r="CO26" s="37"/>
      <c r="CP26" s="33"/>
      <c r="CQ26" s="34"/>
      <c r="CR26" s="35" t="str">
        <f t="shared" si="36"/>
        <v/>
      </c>
      <c r="CS26" s="36" t="str">
        <f t="shared" si="37"/>
        <v/>
      </c>
      <c r="CT26" s="37"/>
      <c r="CU26" s="33"/>
      <c r="CV26" s="34"/>
      <c r="CW26" s="35" t="str">
        <f t="shared" si="38"/>
        <v/>
      </c>
      <c r="CX26" s="36" t="str">
        <f t="shared" si="39"/>
        <v/>
      </c>
      <c r="CY26" s="37"/>
      <c r="CZ26" s="33"/>
      <c r="DA26" s="34"/>
      <c r="DB26" s="35" t="str">
        <f t="shared" si="40"/>
        <v/>
      </c>
      <c r="DC26" s="36" t="str">
        <f t="shared" si="41"/>
        <v/>
      </c>
      <c r="DD26" s="37"/>
      <c r="DE26" s="33"/>
      <c r="DF26" s="34"/>
      <c r="DG26" s="35" t="str">
        <f t="shared" si="42"/>
        <v/>
      </c>
      <c r="DH26" s="36" t="str">
        <f t="shared" si="43"/>
        <v/>
      </c>
      <c r="DI26" s="37"/>
      <c r="DJ26" s="33"/>
      <c r="DK26" s="34"/>
      <c r="DL26" s="35" t="str">
        <f t="shared" si="44"/>
        <v/>
      </c>
      <c r="DM26" s="36" t="str">
        <f t="shared" si="45"/>
        <v/>
      </c>
      <c r="DN26" s="37"/>
      <c r="DO26" s="33"/>
      <c r="DP26" s="34"/>
      <c r="DQ26" s="35" t="str">
        <f t="shared" si="46"/>
        <v/>
      </c>
      <c r="DR26" s="36" t="str">
        <f t="shared" si="47"/>
        <v/>
      </c>
      <c r="DS26" s="37"/>
      <c r="DT26" s="33"/>
      <c r="DU26" s="34"/>
      <c r="DV26" s="35" t="str">
        <f t="shared" si="48"/>
        <v/>
      </c>
      <c r="DW26" s="36" t="str">
        <f t="shared" si="49"/>
        <v/>
      </c>
      <c r="DX26" s="37"/>
      <c r="DY26" s="33"/>
      <c r="DZ26" s="34"/>
      <c r="EA26" s="35" t="str">
        <f t="shared" si="50"/>
        <v/>
      </c>
      <c r="EB26" s="36" t="str">
        <f t="shared" si="51"/>
        <v/>
      </c>
      <c r="EC26" s="37"/>
      <c r="ED26" s="33"/>
      <c r="EE26" s="34"/>
      <c r="EF26" s="35" t="str">
        <f t="shared" si="52"/>
        <v/>
      </c>
      <c r="EG26" s="36" t="str">
        <f t="shared" si="53"/>
        <v/>
      </c>
      <c r="EH26" s="37"/>
      <c r="EI26" s="33"/>
      <c r="EJ26" s="34"/>
      <c r="EK26" s="35" t="str">
        <f t="shared" si="54"/>
        <v/>
      </c>
      <c r="EL26" s="36" t="str">
        <f t="shared" si="55"/>
        <v/>
      </c>
      <c r="EM26" s="37"/>
      <c r="EN26" s="33"/>
      <c r="EO26" s="34"/>
      <c r="EP26" s="35" t="str">
        <f t="shared" si="56"/>
        <v/>
      </c>
      <c r="EQ26" s="36" t="str">
        <f t="shared" si="57"/>
        <v/>
      </c>
      <c r="ER26" s="37"/>
      <c r="ES26" s="33"/>
      <c r="ET26" s="34"/>
      <c r="EU26" s="35" t="str">
        <f t="shared" si="58"/>
        <v/>
      </c>
      <c r="EV26" s="36" t="str">
        <f t="shared" si="59"/>
        <v/>
      </c>
      <c r="EW26" s="37"/>
    </row>
    <row r="27" spans="1:153" ht="19.5" customHeight="1">
      <c r="A27" s="32">
        <f>IF(DAY(DATE(対象年度,1,24))&lt;&gt;24,"",24)</f>
        <v>24</v>
      </c>
      <c r="B27" s="32" t="str">
        <f>IF(DAY(DATE(対象年度,1,24))&lt;&gt;24,"",CHOOSE(WEEKDAY(DATE(対象年度,1,24),2),"月","火","水","木","金","土","日"))</f>
        <v>土</v>
      </c>
      <c r="C27" s="32" t="str">
        <f>IF(DAY(DATE(対象年度,1,24))&lt;&gt;24,"",IF(ISNUMBER(MATCH(DATE(対象年度,1,24),祝日リスト,0)),"祝",""))</f>
        <v/>
      </c>
      <c r="D27" s="33"/>
      <c r="E27" s="34"/>
      <c r="F27" s="35" t="str">
        <f t="shared" si="0"/>
        <v/>
      </c>
      <c r="G27" s="36" t="str">
        <f t="shared" si="1"/>
        <v/>
      </c>
      <c r="H27" s="37"/>
      <c r="I27" s="38" t="s">
        <v>61</v>
      </c>
      <c r="J27" s="34"/>
      <c r="K27" s="35" t="str">
        <f t="shared" si="2"/>
        <v>○</v>
      </c>
      <c r="L27" s="36" t="str">
        <f t="shared" si="3"/>
        <v/>
      </c>
      <c r="M27" s="37"/>
      <c r="N27" s="38" t="s">
        <v>61</v>
      </c>
      <c r="O27" s="34"/>
      <c r="P27" s="35" t="str">
        <f t="shared" si="4"/>
        <v>○</v>
      </c>
      <c r="Q27" s="36" t="str">
        <f t="shared" si="5"/>
        <v/>
      </c>
      <c r="R27" s="37"/>
      <c r="S27" s="38" t="s">
        <v>61</v>
      </c>
      <c r="T27" s="34"/>
      <c r="U27" s="35" t="str">
        <f t="shared" si="6"/>
        <v>○</v>
      </c>
      <c r="V27" s="36" t="str">
        <f t="shared" si="7"/>
        <v/>
      </c>
      <c r="W27" s="37"/>
      <c r="X27" s="38" t="s">
        <v>61</v>
      </c>
      <c r="Y27" s="34"/>
      <c r="Z27" s="35" t="str">
        <f t="shared" si="8"/>
        <v>○</v>
      </c>
      <c r="AA27" s="36" t="str">
        <f t="shared" si="9"/>
        <v/>
      </c>
      <c r="AB27" s="37"/>
      <c r="AC27" s="38" t="s">
        <v>61</v>
      </c>
      <c r="AD27" s="34"/>
      <c r="AE27" s="35" t="str">
        <f t="shared" si="10"/>
        <v>○</v>
      </c>
      <c r="AF27" s="36" t="str">
        <f t="shared" si="11"/>
        <v/>
      </c>
      <c r="AG27" s="37"/>
      <c r="AH27" s="33"/>
      <c r="AI27" s="34"/>
      <c r="AJ27" s="35" t="str">
        <f t="shared" si="12"/>
        <v/>
      </c>
      <c r="AK27" s="36" t="str">
        <f t="shared" si="13"/>
        <v/>
      </c>
      <c r="AL27" s="37"/>
      <c r="AM27" s="38"/>
      <c r="AN27" s="34"/>
      <c r="AO27" s="35" t="str">
        <f t="shared" si="14"/>
        <v/>
      </c>
      <c r="AP27" s="36" t="str">
        <f t="shared" si="15"/>
        <v/>
      </c>
      <c r="AQ27" s="37"/>
      <c r="AR27" s="38"/>
      <c r="AS27" s="34"/>
      <c r="AT27" s="35" t="str">
        <f t="shared" si="16"/>
        <v/>
      </c>
      <c r="AU27" s="36" t="str">
        <f t="shared" si="17"/>
        <v/>
      </c>
      <c r="AV27" s="37"/>
      <c r="AW27" s="33"/>
      <c r="AX27" s="34"/>
      <c r="AY27" s="35" t="str">
        <f t="shared" si="18"/>
        <v/>
      </c>
      <c r="AZ27" s="36" t="str">
        <f t="shared" si="19"/>
        <v/>
      </c>
      <c r="BA27" s="37"/>
      <c r="BB27" s="33"/>
      <c r="BC27" s="34"/>
      <c r="BD27" s="35" t="str">
        <f t="shared" si="20"/>
        <v/>
      </c>
      <c r="BE27" s="36" t="str">
        <f t="shared" si="21"/>
        <v/>
      </c>
      <c r="BF27" s="37"/>
      <c r="BG27" s="38"/>
      <c r="BH27" s="34"/>
      <c r="BI27" s="35" t="str">
        <f t="shared" si="22"/>
        <v/>
      </c>
      <c r="BJ27" s="36" t="str">
        <f t="shared" si="23"/>
        <v/>
      </c>
      <c r="BK27" s="37"/>
      <c r="BL27" s="33"/>
      <c r="BM27" s="34"/>
      <c r="BN27" s="35" t="str">
        <f t="shared" si="24"/>
        <v/>
      </c>
      <c r="BO27" s="36" t="str">
        <f t="shared" si="25"/>
        <v/>
      </c>
      <c r="BP27" s="37"/>
      <c r="BQ27" s="33"/>
      <c r="BR27" s="34"/>
      <c r="BS27" s="35" t="str">
        <f t="shared" si="26"/>
        <v/>
      </c>
      <c r="BT27" s="36" t="str">
        <f t="shared" si="27"/>
        <v/>
      </c>
      <c r="BU27" s="37"/>
      <c r="BV27" s="33"/>
      <c r="BW27" s="34"/>
      <c r="BX27" s="35" t="str">
        <f t="shared" si="28"/>
        <v/>
      </c>
      <c r="BY27" s="36" t="str">
        <f t="shared" si="29"/>
        <v/>
      </c>
      <c r="BZ27" s="37"/>
      <c r="CA27" s="33"/>
      <c r="CB27" s="34"/>
      <c r="CC27" s="35" t="str">
        <f t="shared" si="30"/>
        <v/>
      </c>
      <c r="CD27" s="36" t="str">
        <f t="shared" si="31"/>
        <v/>
      </c>
      <c r="CE27" s="37"/>
      <c r="CF27" s="33"/>
      <c r="CG27" s="34"/>
      <c r="CH27" s="35" t="str">
        <f t="shared" si="32"/>
        <v/>
      </c>
      <c r="CI27" s="36" t="str">
        <f t="shared" si="33"/>
        <v/>
      </c>
      <c r="CJ27" s="37"/>
      <c r="CK27" s="33"/>
      <c r="CL27" s="34"/>
      <c r="CM27" s="35" t="str">
        <f t="shared" si="34"/>
        <v/>
      </c>
      <c r="CN27" s="36" t="str">
        <f t="shared" si="35"/>
        <v/>
      </c>
      <c r="CO27" s="37"/>
      <c r="CP27" s="33"/>
      <c r="CQ27" s="34"/>
      <c r="CR27" s="35" t="str">
        <f t="shared" si="36"/>
        <v/>
      </c>
      <c r="CS27" s="36" t="str">
        <f t="shared" si="37"/>
        <v/>
      </c>
      <c r="CT27" s="37"/>
      <c r="CU27" s="33"/>
      <c r="CV27" s="34"/>
      <c r="CW27" s="35" t="str">
        <f t="shared" si="38"/>
        <v/>
      </c>
      <c r="CX27" s="36" t="str">
        <f t="shared" si="39"/>
        <v/>
      </c>
      <c r="CY27" s="37"/>
      <c r="CZ27" s="33"/>
      <c r="DA27" s="34"/>
      <c r="DB27" s="35" t="str">
        <f t="shared" si="40"/>
        <v/>
      </c>
      <c r="DC27" s="36" t="str">
        <f t="shared" si="41"/>
        <v/>
      </c>
      <c r="DD27" s="37"/>
      <c r="DE27" s="33"/>
      <c r="DF27" s="34"/>
      <c r="DG27" s="35" t="str">
        <f t="shared" si="42"/>
        <v/>
      </c>
      <c r="DH27" s="36" t="str">
        <f t="shared" si="43"/>
        <v/>
      </c>
      <c r="DI27" s="37"/>
      <c r="DJ27" s="33"/>
      <c r="DK27" s="34"/>
      <c r="DL27" s="35" t="str">
        <f t="shared" si="44"/>
        <v/>
      </c>
      <c r="DM27" s="36" t="str">
        <f t="shared" si="45"/>
        <v/>
      </c>
      <c r="DN27" s="37"/>
      <c r="DO27" s="33"/>
      <c r="DP27" s="34"/>
      <c r="DQ27" s="35" t="str">
        <f t="shared" si="46"/>
        <v/>
      </c>
      <c r="DR27" s="36" t="str">
        <f t="shared" si="47"/>
        <v/>
      </c>
      <c r="DS27" s="37"/>
      <c r="DT27" s="33"/>
      <c r="DU27" s="34"/>
      <c r="DV27" s="35" t="str">
        <f t="shared" si="48"/>
        <v/>
      </c>
      <c r="DW27" s="36" t="str">
        <f t="shared" si="49"/>
        <v/>
      </c>
      <c r="DX27" s="37"/>
      <c r="DY27" s="33"/>
      <c r="DZ27" s="34"/>
      <c r="EA27" s="35" t="str">
        <f t="shared" si="50"/>
        <v/>
      </c>
      <c r="EB27" s="36" t="str">
        <f t="shared" si="51"/>
        <v/>
      </c>
      <c r="EC27" s="37"/>
      <c r="ED27" s="33"/>
      <c r="EE27" s="34"/>
      <c r="EF27" s="35" t="str">
        <f t="shared" si="52"/>
        <v/>
      </c>
      <c r="EG27" s="36" t="str">
        <f t="shared" si="53"/>
        <v/>
      </c>
      <c r="EH27" s="37"/>
      <c r="EI27" s="33"/>
      <c r="EJ27" s="34"/>
      <c r="EK27" s="35" t="str">
        <f t="shared" si="54"/>
        <v/>
      </c>
      <c r="EL27" s="36" t="str">
        <f t="shared" si="55"/>
        <v/>
      </c>
      <c r="EM27" s="37"/>
      <c r="EN27" s="33"/>
      <c r="EO27" s="34"/>
      <c r="EP27" s="35" t="str">
        <f t="shared" si="56"/>
        <v/>
      </c>
      <c r="EQ27" s="36" t="str">
        <f t="shared" si="57"/>
        <v/>
      </c>
      <c r="ER27" s="37"/>
      <c r="ES27" s="33"/>
      <c r="ET27" s="34"/>
      <c r="EU27" s="35" t="str">
        <f t="shared" si="58"/>
        <v/>
      </c>
      <c r="EV27" s="36" t="str">
        <f t="shared" si="59"/>
        <v/>
      </c>
      <c r="EW27" s="37"/>
    </row>
    <row r="28" spans="1:153" ht="19.5" customHeight="1">
      <c r="A28" s="32">
        <f>IF(DAY(DATE(対象年度,1,25))&lt;&gt;25,"",25)</f>
        <v>25</v>
      </c>
      <c r="B28" s="32" t="str">
        <f>IF(DAY(DATE(対象年度,1,25))&lt;&gt;25,"",CHOOSE(WEEKDAY(DATE(対象年度,1,25),2),"月","火","水","木","金","土","日"))</f>
        <v>日</v>
      </c>
      <c r="C28" s="32" t="str">
        <f>IF(DAY(DATE(対象年度,1,25))&lt;&gt;25,"",IF(ISNUMBER(MATCH(DATE(対象年度,1,25),祝日リスト,0)),"祝",""))</f>
        <v/>
      </c>
      <c r="D28" s="33"/>
      <c r="E28" s="34"/>
      <c r="F28" s="35" t="str">
        <f t="shared" si="0"/>
        <v/>
      </c>
      <c r="G28" s="36" t="str">
        <f t="shared" si="1"/>
        <v/>
      </c>
      <c r="H28" s="37"/>
      <c r="I28" s="33"/>
      <c r="J28" s="34"/>
      <c r="K28" s="35" t="str">
        <f t="shared" si="2"/>
        <v/>
      </c>
      <c r="L28" s="36" t="str">
        <f t="shared" si="3"/>
        <v/>
      </c>
      <c r="M28" s="37"/>
      <c r="N28" s="33"/>
      <c r="O28" s="34"/>
      <c r="P28" s="35" t="str">
        <f t="shared" si="4"/>
        <v/>
      </c>
      <c r="Q28" s="36" t="str">
        <f t="shared" si="5"/>
        <v/>
      </c>
      <c r="R28" s="37"/>
      <c r="S28" s="33"/>
      <c r="T28" s="34"/>
      <c r="U28" s="35" t="str">
        <f t="shared" si="6"/>
        <v/>
      </c>
      <c r="V28" s="36" t="str">
        <f t="shared" si="7"/>
        <v/>
      </c>
      <c r="W28" s="37"/>
      <c r="X28" s="33"/>
      <c r="Y28" s="34"/>
      <c r="Z28" s="35" t="str">
        <f t="shared" si="8"/>
        <v/>
      </c>
      <c r="AA28" s="36" t="str">
        <f t="shared" si="9"/>
        <v/>
      </c>
      <c r="AB28" s="37"/>
      <c r="AC28" s="33"/>
      <c r="AD28" s="34"/>
      <c r="AE28" s="35" t="str">
        <f t="shared" si="10"/>
        <v/>
      </c>
      <c r="AF28" s="36" t="str">
        <f t="shared" si="11"/>
        <v/>
      </c>
      <c r="AG28" s="37"/>
      <c r="AH28" s="33"/>
      <c r="AI28" s="34"/>
      <c r="AJ28" s="35" t="str">
        <f t="shared" si="12"/>
        <v/>
      </c>
      <c r="AK28" s="36" t="str">
        <f t="shared" si="13"/>
        <v/>
      </c>
      <c r="AL28" s="37"/>
      <c r="AM28" s="33"/>
      <c r="AN28" s="34"/>
      <c r="AO28" s="35" t="str">
        <f t="shared" si="14"/>
        <v/>
      </c>
      <c r="AP28" s="36" t="str">
        <f t="shared" si="15"/>
        <v/>
      </c>
      <c r="AQ28" s="37"/>
      <c r="AR28" s="33"/>
      <c r="AS28" s="34"/>
      <c r="AT28" s="35" t="str">
        <f t="shared" si="16"/>
        <v/>
      </c>
      <c r="AU28" s="36" t="str">
        <f t="shared" si="17"/>
        <v/>
      </c>
      <c r="AV28" s="37"/>
      <c r="AW28" s="33"/>
      <c r="AX28" s="34"/>
      <c r="AY28" s="35" t="str">
        <f t="shared" si="18"/>
        <v/>
      </c>
      <c r="AZ28" s="36" t="str">
        <f t="shared" si="19"/>
        <v/>
      </c>
      <c r="BA28" s="37"/>
      <c r="BB28" s="33"/>
      <c r="BC28" s="34"/>
      <c r="BD28" s="35" t="str">
        <f t="shared" si="20"/>
        <v/>
      </c>
      <c r="BE28" s="36" t="str">
        <f t="shared" si="21"/>
        <v/>
      </c>
      <c r="BF28" s="37"/>
      <c r="BG28" s="33"/>
      <c r="BH28" s="34"/>
      <c r="BI28" s="35" t="str">
        <f t="shared" si="22"/>
        <v/>
      </c>
      <c r="BJ28" s="36" t="str">
        <f t="shared" si="23"/>
        <v/>
      </c>
      <c r="BK28" s="37"/>
      <c r="BL28" s="33"/>
      <c r="BM28" s="34"/>
      <c r="BN28" s="35" t="str">
        <f t="shared" si="24"/>
        <v/>
      </c>
      <c r="BO28" s="36" t="str">
        <f t="shared" si="25"/>
        <v/>
      </c>
      <c r="BP28" s="37"/>
      <c r="BQ28" s="33"/>
      <c r="BR28" s="34"/>
      <c r="BS28" s="35" t="str">
        <f t="shared" si="26"/>
        <v/>
      </c>
      <c r="BT28" s="36" t="str">
        <f t="shared" si="27"/>
        <v/>
      </c>
      <c r="BU28" s="37"/>
      <c r="BV28" s="33"/>
      <c r="BW28" s="34"/>
      <c r="BX28" s="35" t="str">
        <f t="shared" si="28"/>
        <v/>
      </c>
      <c r="BY28" s="36" t="str">
        <f t="shared" si="29"/>
        <v/>
      </c>
      <c r="BZ28" s="37"/>
      <c r="CA28" s="33"/>
      <c r="CB28" s="34"/>
      <c r="CC28" s="35" t="str">
        <f t="shared" si="30"/>
        <v/>
      </c>
      <c r="CD28" s="36" t="str">
        <f t="shared" si="31"/>
        <v/>
      </c>
      <c r="CE28" s="37"/>
      <c r="CF28" s="33"/>
      <c r="CG28" s="34"/>
      <c r="CH28" s="35" t="str">
        <f t="shared" si="32"/>
        <v/>
      </c>
      <c r="CI28" s="36" t="str">
        <f t="shared" si="33"/>
        <v/>
      </c>
      <c r="CJ28" s="37"/>
      <c r="CK28" s="33"/>
      <c r="CL28" s="34"/>
      <c r="CM28" s="35" t="str">
        <f t="shared" si="34"/>
        <v/>
      </c>
      <c r="CN28" s="36" t="str">
        <f t="shared" si="35"/>
        <v/>
      </c>
      <c r="CO28" s="37"/>
      <c r="CP28" s="33"/>
      <c r="CQ28" s="34"/>
      <c r="CR28" s="35" t="str">
        <f t="shared" si="36"/>
        <v/>
      </c>
      <c r="CS28" s="36" t="str">
        <f t="shared" si="37"/>
        <v/>
      </c>
      <c r="CT28" s="37"/>
      <c r="CU28" s="33"/>
      <c r="CV28" s="34"/>
      <c r="CW28" s="35" t="str">
        <f t="shared" si="38"/>
        <v/>
      </c>
      <c r="CX28" s="36" t="str">
        <f t="shared" si="39"/>
        <v/>
      </c>
      <c r="CY28" s="37"/>
      <c r="CZ28" s="33"/>
      <c r="DA28" s="34"/>
      <c r="DB28" s="35" t="str">
        <f t="shared" si="40"/>
        <v/>
      </c>
      <c r="DC28" s="36" t="str">
        <f t="shared" si="41"/>
        <v/>
      </c>
      <c r="DD28" s="37"/>
      <c r="DE28" s="33"/>
      <c r="DF28" s="34"/>
      <c r="DG28" s="35" t="str">
        <f t="shared" si="42"/>
        <v/>
      </c>
      <c r="DH28" s="36" t="str">
        <f t="shared" si="43"/>
        <v/>
      </c>
      <c r="DI28" s="37"/>
      <c r="DJ28" s="33"/>
      <c r="DK28" s="34"/>
      <c r="DL28" s="35" t="str">
        <f t="shared" si="44"/>
        <v/>
      </c>
      <c r="DM28" s="36" t="str">
        <f t="shared" si="45"/>
        <v/>
      </c>
      <c r="DN28" s="37"/>
      <c r="DO28" s="33"/>
      <c r="DP28" s="34"/>
      <c r="DQ28" s="35" t="str">
        <f t="shared" si="46"/>
        <v/>
      </c>
      <c r="DR28" s="36" t="str">
        <f t="shared" si="47"/>
        <v/>
      </c>
      <c r="DS28" s="37"/>
      <c r="DT28" s="33"/>
      <c r="DU28" s="34"/>
      <c r="DV28" s="35" t="str">
        <f t="shared" si="48"/>
        <v/>
      </c>
      <c r="DW28" s="36" t="str">
        <f t="shared" si="49"/>
        <v/>
      </c>
      <c r="DX28" s="37"/>
      <c r="DY28" s="33"/>
      <c r="DZ28" s="34"/>
      <c r="EA28" s="35" t="str">
        <f t="shared" si="50"/>
        <v/>
      </c>
      <c r="EB28" s="36" t="str">
        <f t="shared" si="51"/>
        <v/>
      </c>
      <c r="EC28" s="37"/>
      <c r="ED28" s="33"/>
      <c r="EE28" s="34"/>
      <c r="EF28" s="35" t="str">
        <f t="shared" si="52"/>
        <v/>
      </c>
      <c r="EG28" s="36" t="str">
        <f t="shared" si="53"/>
        <v/>
      </c>
      <c r="EH28" s="37"/>
      <c r="EI28" s="33"/>
      <c r="EJ28" s="34"/>
      <c r="EK28" s="35" t="str">
        <f t="shared" si="54"/>
        <v/>
      </c>
      <c r="EL28" s="36" t="str">
        <f t="shared" si="55"/>
        <v/>
      </c>
      <c r="EM28" s="37"/>
      <c r="EN28" s="33"/>
      <c r="EO28" s="34"/>
      <c r="EP28" s="35" t="str">
        <f t="shared" si="56"/>
        <v/>
      </c>
      <c r="EQ28" s="36" t="str">
        <f t="shared" si="57"/>
        <v/>
      </c>
      <c r="ER28" s="37"/>
      <c r="ES28" s="33"/>
      <c r="ET28" s="34"/>
      <c r="EU28" s="35" t="str">
        <f t="shared" si="58"/>
        <v/>
      </c>
      <c r="EV28" s="36" t="str">
        <f t="shared" si="59"/>
        <v/>
      </c>
      <c r="EW28" s="37"/>
    </row>
    <row r="29" spans="1:153" ht="19.5" customHeight="1">
      <c r="A29" s="32">
        <f>IF(DAY(DATE(対象年度,1,26))&lt;&gt;26,"",26)</f>
        <v>26</v>
      </c>
      <c r="B29" s="32" t="str">
        <f>IF(DAY(DATE(対象年度,1,26))&lt;&gt;26,"",CHOOSE(WEEKDAY(DATE(対象年度,1,26),2),"月","火","水","木","金","土","日"))</f>
        <v>月</v>
      </c>
      <c r="C29" s="32" t="str">
        <f>IF(DAY(DATE(対象年度,1,26))&lt;&gt;26,"",IF(ISNUMBER(MATCH(DATE(対象年度,1,26),祝日リスト,0)),"祝",""))</f>
        <v/>
      </c>
      <c r="D29" s="38" t="s">
        <v>63</v>
      </c>
      <c r="E29" s="34"/>
      <c r="F29" s="35" t="str">
        <f t="shared" si="0"/>
        <v>○</v>
      </c>
      <c r="G29" s="36" t="str">
        <f t="shared" si="1"/>
        <v/>
      </c>
      <c r="H29" s="37"/>
      <c r="I29" s="38" t="s">
        <v>64</v>
      </c>
      <c r="J29" s="34"/>
      <c r="K29" s="35" t="str">
        <f t="shared" si="2"/>
        <v>○</v>
      </c>
      <c r="L29" s="36" t="str">
        <f t="shared" si="3"/>
        <v/>
      </c>
      <c r="M29" s="37"/>
      <c r="N29" s="38" t="s">
        <v>61</v>
      </c>
      <c r="O29" s="34"/>
      <c r="P29" s="35" t="str">
        <f t="shared" si="4"/>
        <v>○</v>
      </c>
      <c r="Q29" s="36" t="str">
        <f t="shared" si="5"/>
        <v/>
      </c>
      <c r="R29" s="37"/>
      <c r="S29" s="38" t="s">
        <v>61</v>
      </c>
      <c r="T29" s="34"/>
      <c r="U29" s="35" t="str">
        <f t="shared" si="6"/>
        <v>○</v>
      </c>
      <c r="V29" s="36" t="str">
        <f t="shared" si="7"/>
        <v/>
      </c>
      <c r="W29" s="37"/>
      <c r="X29" s="38" t="s">
        <v>61</v>
      </c>
      <c r="Y29" s="34"/>
      <c r="Z29" s="35" t="str">
        <f t="shared" si="8"/>
        <v>○</v>
      </c>
      <c r="AA29" s="36" t="str">
        <f t="shared" si="9"/>
        <v/>
      </c>
      <c r="AB29" s="37"/>
      <c r="AC29" s="38" t="s">
        <v>61</v>
      </c>
      <c r="AD29" s="34"/>
      <c r="AE29" s="35" t="str">
        <f t="shared" si="10"/>
        <v>○</v>
      </c>
      <c r="AF29" s="36" t="str">
        <f t="shared" si="11"/>
        <v/>
      </c>
      <c r="AG29" s="37"/>
      <c r="AH29" s="38"/>
      <c r="AI29" s="34"/>
      <c r="AJ29" s="35" t="str">
        <f t="shared" si="12"/>
        <v/>
      </c>
      <c r="AK29" s="36" t="str">
        <f t="shared" si="13"/>
        <v/>
      </c>
      <c r="AL29" s="37"/>
      <c r="AM29" s="38"/>
      <c r="AN29" s="34"/>
      <c r="AO29" s="35" t="str">
        <f t="shared" si="14"/>
        <v/>
      </c>
      <c r="AP29" s="36" t="str">
        <f t="shared" si="15"/>
        <v/>
      </c>
      <c r="AQ29" s="37"/>
      <c r="AR29" s="38"/>
      <c r="AS29" s="34"/>
      <c r="AT29" s="35" t="str">
        <f t="shared" si="16"/>
        <v/>
      </c>
      <c r="AU29" s="36" t="str">
        <f t="shared" si="17"/>
        <v/>
      </c>
      <c r="AV29" s="37"/>
      <c r="AW29" s="33"/>
      <c r="AX29" s="34"/>
      <c r="AY29" s="35" t="str">
        <f t="shared" si="18"/>
        <v/>
      </c>
      <c r="AZ29" s="36" t="str">
        <f t="shared" si="19"/>
        <v/>
      </c>
      <c r="BA29" s="37"/>
      <c r="BB29" s="38"/>
      <c r="BC29" s="34"/>
      <c r="BD29" s="35" t="str">
        <f t="shared" si="20"/>
        <v/>
      </c>
      <c r="BE29" s="36" t="str">
        <f t="shared" si="21"/>
        <v/>
      </c>
      <c r="BF29" s="37"/>
      <c r="BG29" s="38"/>
      <c r="BH29" s="34"/>
      <c r="BI29" s="35" t="str">
        <f t="shared" si="22"/>
        <v/>
      </c>
      <c r="BJ29" s="36" t="str">
        <f t="shared" si="23"/>
        <v/>
      </c>
      <c r="BK29" s="37"/>
      <c r="BL29" s="33"/>
      <c r="BM29" s="34"/>
      <c r="BN29" s="35" t="str">
        <f t="shared" si="24"/>
        <v/>
      </c>
      <c r="BO29" s="36" t="str">
        <f t="shared" si="25"/>
        <v/>
      </c>
      <c r="BP29" s="37"/>
      <c r="BQ29" s="33"/>
      <c r="BR29" s="34"/>
      <c r="BS29" s="35" t="str">
        <f t="shared" si="26"/>
        <v/>
      </c>
      <c r="BT29" s="36" t="str">
        <f t="shared" si="27"/>
        <v/>
      </c>
      <c r="BU29" s="37"/>
      <c r="BV29" s="33"/>
      <c r="BW29" s="34"/>
      <c r="BX29" s="35" t="str">
        <f t="shared" si="28"/>
        <v/>
      </c>
      <c r="BY29" s="36" t="str">
        <f t="shared" si="29"/>
        <v/>
      </c>
      <c r="BZ29" s="37"/>
      <c r="CA29" s="33"/>
      <c r="CB29" s="34"/>
      <c r="CC29" s="35" t="str">
        <f t="shared" si="30"/>
        <v/>
      </c>
      <c r="CD29" s="36" t="str">
        <f t="shared" si="31"/>
        <v/>
      </c>
      <c r="CE29" s="37"/>
      <c r="CF29" s="33"/>
      <c r="CG29" s="34"/>
      <c r="CH29" s="35" t="str">
        <f t="shared" si="32"/>
        <v/>
      </c>
      <c r="CI29" s="36" t="str">
        <f t="shared" si="33"/>
        <v/>
      </c>
      <c r="CJ29" s="37"/>
      <c r="CK29" s="33"/>
      <c r="CL29" s="34"/>
      <c r="CM29" s="35" t="str">
        <f t="shared" si="34"/>
        <v/>
      </c>
      <c r="CN29" s="36" t="str">
        <f t="shared" si="35"/>
        <v/>
      </c>
      <c r="CO29" s="37"/>
      <c r="CP29" s="33"/>
      <c r="CQ29" s="34"/>
      <c r="CR29" s="35" t="str">
        <f t="shared" si="36"/>
        <v/>
      </c>
      <c r="CS29" s="36" t="str">
        <f t="shared" si="37"/>
        <v/>
      </c>
      <c r="CT29" s="37"/>
      <c r="CU29" s="33"/>
      <c r="CV29" s="34"/>
      <c r="CW29" s="35" t="str">
        <f t="shared" si="38"/>
        <v/>
      </c>
      <c r="CX29" s="36" t="str">
        <f t="shared" si="39"/>
        <v/>
      </c>
      <c r="CY29" s="37"/>
      <c r="CZ29" s="33"/>
      <c r="DA29" s="34"/>
      <c r="DB29" s="35" t="str">
        <f t="shared" si="40"/>
        <v/>
      </c>
      <c r="DC29" s="36" t="str">
        <f t="shared" si="41"/>
        <v/>
      </c>
      <c r="DD29" s="37"/>
      <c r="DE29" s="33"/>
      <c r="DF29" s="34"/>
      <c r="DG29" s="35" t="str">
        <f t="shared" si="42"/>
        <v/>
      </c>
      <c r="DH29" s="36" t="str">
        <f t="shared" si="43"/>
        <v/>
      </c>
      <c r="DI29" s="37"/>
      <c r="DJ29" s="33"/>
      <c r="DK29" s="34"/>
      <c r="DL29" s="35" t="str">
        <f t="shared" si="44"/>
        <v/>
      </c>
      <c r="DM29" s="36" t="str">
        <f t="shared" si="45"/>
        <v/>
      </c>
      <c r="DN29" s="37"/>
      <c r="DO29" s="33"/>
      <c r="DP29" s="34"/>
      <c r="DQ29" s="35" t="str">
        <f t="shared" si="46"/>
        <v/>
      </c>
      <c r="DR29" s="36" t="str">
        <f t="shared" si="47"/>
        <v/>
      </c>
      <c r="DS29" s="37"/>
      <c r="DT29" s="33"/>
      <c r="DU29" s="34"/>
      <c r="DV29" s="35" t="str">
        <f t="shared" si="48"/>
        <v/>
      </c>
      <c r="DW29" s="36" t="str">
        <f t="shared" si="49"/>
        <v/>
      </c>
      <c r="DX29" s="37"/>
      <c r="DY29" s="33"/>
      <c r="DZ29" s="34"/>
      <c r="EA29" s="35" t="str">
        <f t="shared" si="50"/>
        <v/>
      </c>
      <c r="EB29" s="36" t="str">
        <f t="shared" si="51"/>
        <v/>
      </c>
      <c r="EC29" s="37"/>
      <c r="ED29" s="33"/>
      <c r="EE29" s="34"/>
      <c r="EF29" s="35" t="str">
        <f t="shared" si="52"/>
        <v/>
      </c>
      <c r="EG29" s="36" t="str">
        <f t="shared" si="53"/>
        <v/>
      </c>
      <c r="EH29" s="37"/>
      <c r="EI29" s="33"/>
      <c r="EJ29" s="34"/>
      <c r="EK29" s="35" t="str">
        <f t="shared" si="54"/>
        <v/>
      </c>
      <c r="EL29" s="36" t="str">
        <f t="shared" si="55"/>
        <v/>
      </c>
      <c r="EM29" s="37"/>
      <c r="EN29" s="33"/>
      <c r="EO29" s="34"/>
      <c r="EP29" s="35" t="str">
        <f t="shared" si="56"/>
        <v/>
      </c>
      <c r="EQ29" s="36" t="str">
        <f t="shared" si="57"/>
        <v/>
      </c>
      <c r="ER29" s="37"/>
      <c r="ES29" s="33"/>
      <c r="ET29" s="34"/>
      <c r="EU29" s="35" t="str">
        <f t="shared" si="58"/>
        <v/>
      </c>
      <c r="EV29" s="36" t="str">
        <f t="shared" si="59"/>
        <v/>
      </c>
      <c r="EW29" s="37"/>
    </row>
    <row r="30" spans="1:153" ht="19.5" customHeight="1">
      <c r="A30" s="32">
        <f>IF(DAY(DATE(対象年度,1,27))&lt;&gt;27,"",27)</f>
        <v>27</v>
      </c>
      <c r="B30" s="32" t="str">
        <f>IF(DAY(DATE(対象年度,1,27))&lt;&gt;27,"",CHOOSE(WEEKDAY(DATE(対象年度,1,27),2),"月","火","水","木","金","土","日"))</f>
        <v>火</v>
      </c>
      <c r="C30" s="32" t="str">
        <f>IF(DAY(DATE(対象年度,1,27))&lt;&gt;27,"",IF(ISNUMBER(MATCH(DATE(対象年度,1,27),祝日リスト,0)),"祝",""))</f>
        <v/>
      </c>
      <c r="D30" s="38" t="s">
        <v>63</v>
      </c>
      <c r="E30" s="34"/>
      <c r="F30" s="35" t="str">
        <f t="shared" si="0"/>
        <v>○</v>
      </c>
      <c r="G30" s="36" t="str">
        <f t="shared" si="1"/>
        <v/>
      </c>
      <c r="H30" s="37"/>
      <c r="I30" s="38" t="s">
        <v>61</v>
      </c>
      <c r="J30" s="34"/>
      <c r="K30" s="35" t="str">
        <f t="shared" si="2"/>
        <v>○</v>
      </c>
      <c r="L30" s="36" t="str">
        <f t="shared" si="3"/>
        <v/>
      </c>
      <c r="M30" s="37"/>
      <c r="N30" s="38" t="s">
        <v>61</v>
      </c>
      <c r="O30" s="34"/>
      <c r="P30" s="35" t="str">
        <f t="shared" si="4"/>
        <v>○</v>
      </c>
      <c r="Q30" s="36" t="str">
        <f t="shared" si="5"/>
        <v/>
      </c>
      <c r="R30" s="37"/>
      <c r="S30" s="38" t="s">
        <v>61</v>
      </c>
      <c r="T30" s="34"/>
      <c r="U30" s="35" t="str">
        <f t="shared" si="6"/>
        <v>○</v>
      </c>
      <c r="V30" s="36" t="str">
        <f t="shared" si="7"/>
        <v/>
      </c>
      <c r="W30" s="37"/>
      <c r="X30" s="38" t="s">
        <v>61</v>
      </c>
      <c r="Y30" s="34"/>
      <c r="Z30" s="35" t="str">
        <f t="shared" si="8"/>
        <v>○</v>
      </c>
      <c r="AA30" s="36" t="str">
        <f t="shared" si="9"/>
        <v/>
      </c>
      <c r="AB30" s="37"/>
      <c r="AC30" s="38" t="s">
        <v>61</v>
      </c>
      <c r="AD30" s="34"/>
      <c r="AE30" s="35" t="str">
        <f t="shared" si="10"/>
        <v>○</v>
      </c>
      <c r="AF30" s="36" t="str">
        <f t="shared" si="11"/>
        <v/>
      </c>
      <c r="AG30" s="37"/>
      <c r="AH30" s="33"/>
      <c r="AI30" s="34"/>
      <c r="AJ30" s="35" t="str">
        <f t="shared" si="12"/>
        <v/>
      </c>
      <c r="AK30" s="36" t="str">
        <f t="shared" si="13"/>
        <v/>
      </c>
      <c r="AL30" s="37"/>
      <c r="AM30" s="38"/>
      <c r="AN30" s="34"/>
      <c r="AO30" s="35" t="str">
        <f t="shared" si="14"/>
        <v/>
      </c>
      <c r="AP30" s="36" t="str">
        <f t="shared" si="15"/>
        <v/>
      </c>
      <c r="AQ30" s="37"/>
      <c r="AR30" s="38"/>
      <c r="AS30" s="34"/>
      <c r="AT30" s="35" t="str">
        <f t="shared" si="16"/>
        <v/>
      </c>
      <c r="AU30" s="36" t="str">
        <f t="shared" si="17"/>
        <v/>
      </c>
      <c r="AV30" s="37"/>
      <c r="AW30" s="33"/>
      <c r="AX30" s="34"/>
      <c r="AY30" s="35" t="str">
        <f t="shared" si="18"/>
        <v/>
      </c>
      <c r="AZ30" s="36" t="str">
        <f t="shared" si="19"/>
        <v/>
      </c>
      <c r="BA30" s="37"/>
      <c r="BB30" s="38"/>
      <c r="BC30" s="34"/>
      <c r="BD30" s="35" t="str">
        <f t="shared" si="20"/>
        <v/>
      </c>
      <c r="BE30" s="36" t="str">
        <f t="shared" si="21"/>
        <v/>
      </c>
      <c r="BF30" s="37"/>
      <c r="BG30" s="38"/>
      <c r="BH30" s="34"/>
      <c r="BI30" s="35" t="str">
        <f t="shared" si="22"/>
        <v/>
      </c>
      <c r="BJ30" s="36" t="str">
        <f t="shared" si="23"/>
        <v/>
      </c>
      <c r="BK30" s="37"/>
      <c r="BL30" s="33"/>
      <c r="BM30" s="34"/>
      <c r="BN30" s="35" t="str">
        <f t="shared" si="24"/>
        <v/>
      </c>
      <c r="BO30" s="36" t="str">
        <f t="shared" si="25"/>
        <v/>
      </c>
      <c r="BP30" s="37"/>
      <c r="BQ30" s="33"/>
      <c r="BR30" s="34"/>
      <c r="BS30" s="35" t="str">
        <f t="shared" si="26"/>
        <v/>
      </c>
      <c r="BT30" s="36" t="str">
        <f t="shared" si="27"/>
        <v/>
      </c>
      <c r="BU30" s="37"/>
      <c r="BV30" s="33"/>
      <c r="BW30" s="34"/>
      <c r="BX30" s="35" t="str">
        <f t="shared" si="28"/>
        <v/>
      </c>
      <c r="BY30" s="36" t="str">
        <f t="shared" si="29"/>
        <v/>
      </c>
      <c r="BZ30" s="37"/>
      <c r="CA30" s="33"/>
      <c r="CB30" s="34"/>
      <c r="CC30" s="35" t="str">
        <f t="shared" si="30"/>
        <v/>
      </c>
      <c r="CD30" s="36" t="str">
        <f t="shared" si="31"/>
        <v/>
      </c>
      <c r="CE30" s="37"/>
      <c r="CF30" s="33"/>
      <c r="CG30" s="34"/>
      <c r="CH30" s="35" t="str">
        <f t="shared" si="32"/>
        <v/>
      </c>
      <c r="CI30" s="36" t="str">
        <f t="shared" si="33"/>
        <v/>
      </c>
      <c r="CJ30" s="37"/>
      <c r="CK30" s="33"/>
      <c r="CL30" s="34"/>
      <c r="CM30" s="35" t="str">
        <f t="shared" si="34"/>
        <v/>
      </c>
      <c r="CN30" s="36" t="str">
        <f t="shared" si="35"/>
        <v/>
      </c>
      <c r="CO30" s="37"/>
      <c r="CP30" s="33"/>
      <c r="CQ30" s="34"/>
      <c r="CR30" s="35" t="str">
        <f t="shared" si="36"/>
        <v/>
      </c>
      <c r="CS30" s="36" t="str">
        <f t="shared" si="37"/>
        <v/>
      </c>
      <c r="CT30" s="37"/>
      <c r="CU30" s="33"/>
      <c r="CV30" s="34"/>
      <c r="CW30" s="35" t="str">
        <f t="shared" si="38"/>
        <v/>
      </c>
      <c r="CX30" s="36" t="str">
        <f t="shared" si="39"/>
        <v/>
      </c>
      <c r="CY30" s="37"/>
      <c r="CZ30" s="33"/>
      <c r="DA30" s="34"/>
      <c r="DB30" s="35" t="str">
        <f t="shared" si="40"/>
        <v/>
      </c>
      <c r="DC30" s="36" t="str">
        <f t="shared" si="41"/>
        <v/>
      </c>
      <c r="DD30" s="37"/>
      <c r="DE30" s="33"/>
      <c r="DF30" s="34"/>
      <c r="DG30" s="35" t="str">
        <f t="shared" si="42"/>
        <v/>
      </c>
      <c r="DH30" s="36" t="str">
        <f t="shared" si="43"/>
        <v/>
      </c>
      <c r="DI30" s="37"/>
      <c r="DJ30" s="33"/>
      <c r="DK30" s="34"/>
      <c r="DL30" s="35" t="str">
        <f t="shared" si="44"/>
        <v/>
      </c>
      <c r="DM30" s="36" t="str">
        <f t="shared" si="45"/>
        <v/>
      </c>
      <c r="DN30" s="37"/>
      <c r="DO30" s="33"/>
      <c r="DP30" s="34"/>
      <c r="DQ30" s="35" t="str">
        <f t="shared" si="46"/>
        <v/>
      </c>
      <c r="DR30" s="36" t="str">
        <f t="shared" si="47"/>
        <v/>
      </c>
      <c r="DS30" s="37"/>
      <c r="DT30" s="33"/>
      <c r="DU30" s="34"/>
      <c r="DV30" s="35" t="str">
        <f t="shared" si="48"/>
        <v/>
      </c>
      <c r="DW30" s="36" t="str">
        <f t="shared" si="49"/>
        <v/>
      </c>
      <c r="DX30" s="37"/>
      <c r="DY30" s="33"/>
      <c r="DZ30" s="34"/>
      <c r="EA30" s="35" t="str">
        <f t="shared" si="50"/>
        <v/>
      </c>
      <c r="EB30" s="36" t="str">
        <f t="shared" si="51"/>
        <v/>
      </c>
      <c r="EC30" s="37"/>
      <c r="ED30" s="33"/>
      <c r="EE30" s="34"/>
      <c r="EF30" s="35" t="str">
        <f t="shared" si="52"/>
        <v/>
      </c>
      <c r="EG30" s="36" t="str">
        <f t="shared" si="53"/>
        <v/>
      </c>
      <c r="EH30" s="37"/>
      <c r="EI30" s="33"/>
      <c r="EJ30" s="34"/>
      <c r="EK30" s="35" t="str">
        <f t="shared" si="54"/>
        <v/>
      </c>
      <c r="EL30" s="36" t="str">
        <f t="shared" si="55"/>
        <v/>
      </c>
      <c r="EM30" s="37"/>
      <c r="EN30" s="33"/>
      <c r="EO30" s="34"/>
      <c r="EP30" s="35" t="str">
        <f t="shared" si="56"/>
        <v/>
      </c>
      <c r="EQ30" s="36" t="str">
        <f t="shared" si="57"/>
        <v/>
      </c>
      <c r="ER30" s="37"/>
      <c r="ES30" s="33"/>
      <c r="ET30" s="34"/>
      <c r="EU30" s="35" t="str">
        <f t="shared" si="58"/>
        <v/>
      </c>
      <c r="EV30" s="36" t="str">
        <f t="shared" si="59"/>
        <v/>
      </c>
      <c r="EW30" s="37"/>
    </row>
    <row r="31" spans="1:153" ht="19.5" customHeight="1">
      <c r="A31" s="32">
        <f>IF(DAY(DATE(対象年度,1,28))&lt;&gt;28,"",28)</f>
        <v>28</v>
      </c>
      <c r="B31" s="32" t="str">
        <f>IF(DAY(DATE(対象年度,1,28))&lt;&gt;28,"",CHOOSE(WEEKDAY(DATE(対象年度,1,28),2),"月","火","水","木","金","土","日"))</f>
        <v>水</v>
      </c>
      <c r="C31" s="32" t="str">
        <f>IF(DAY(DATE(対象年度,1,28))&lt;&gt;28,"",IF(ISNUMBER(MATCH(DATE(対象年度,1,28),祝日リスト,0)),"祝",""))</f>
        <v/>
      </c>
      <c r="D31" s="38" t="s">
        <v>63</v>
      </c>
      <c r="E31" s="34"/>
      <c r="F31" s="35" t="str">
        <f t="shared" si="0"/>
        <v>○</v>
      </c>
      <c r="G31" s="36" t="str">
        <f t="shared" si="1"/>
        <v/>
      </c>
      <c r="H31" s="37"/>
      <c r="I31" s="38" t="s">
        <v>61</v>
      </c>
      <c r="J31" s="34"/>
      <c r="K31" s="35" t="str">
        <f t="shared" si="2"/>
        <v>○</v>
      </c>
      <c r="L31" s="36" t="str">
        <f t="shared" si="3"/>
        <v/>
      </c>
      <c r="M31" s="37"/>
      <c r="N31" s="38" t="s">
        <v>61</v>
      </c>
      <c r="O31" s="34"/>
      <c r="P31" s="35" t="str">
        <f t="shared" si="4"/>
        <v>○</v>
      </c>
      <c r="Q31" s="36" t="str">
        <f t="shared" si="5"/>
        <v/>
      </c>
      <c r="R31" s="37"/>
      <c r="S31" s="38" t="s">
        <v>61</v>
      </c>
      <c r="T31" s="34"/>
      <c r="U31" s="35" t="str">
        <f t="shared" si="6"/>
        <v>○</v>
      </c>
      <c r="V31" s="36" t="str">
        <f t="shared" si="7"/>
        <v/>
      </c>
      <c r="W31" s="37"/>
      <c r="X31" s="38" t="s">
        <v>61</v>
      </c>
      <c r="Y31" s="34"/>
      <c r="Z31" s="35" t="str">
        <f t="shared" si="8"/>
        <v>○</v>
      </c>
      <c r="AA31" s="36" t="str">
        <f t="shared" si="9"/>
        <v/>
      </c>
      <c r="AB31" s="37"/>
      <c r="AC31" s="38" t="s">
        <v>61</v>
      </c>
      <c r="AD31" s="34"/>
      <c r="AE31" s="35" t="str">
        <f t="shared" si="10"/>
        <v>○</v>
      </c>
      <c r="AF31" s="36" t="str">
        <f t="shared" si="11"/>
        <v/>
      </c>
      <c r="AG31" s="37"/>
      <c r="AH31" s="38"/>
      <c r="AI31" s="34"/>
      <c r="AJ31" s="35" t="str">
        <f t="shared" si="12"/>
        <v/>
      </c>
      <c r="AK31" s="36" t="str">
        <f t="shared" si="13"/>
        <v/>
      </c>
      <c r="AL31" s="37"/>
      <c r="AM31" s="38"/>
      <c r="AN31" s="34"/>
      <c r="AO31" s="35" t="str">
        <f t="shared" si="14"/>
        <v/>
      </c>
      <c r="AP31" s="36" t="str">
        <f t="shared" si="15"/>
        <v/>
      </c>
      <c r="AQ31" s="37"/>
      <c r="AR31" s="38"/>
      <c r="AS31" s="34"/>
      <c r="AT31" s="35" t="str">
        <f t="shared" si="16"/>
        <v/>
      </c>
      <c r="AU31" s="36" t="str">
        <f t="shared" si="17"/>
        <v/>
      </c>
      <c r="AV31" s="37"/>
      <c r="AW31" s="33"/>
      <c r="AX31" s="34"/>
      <c r="AY31" s="35" t="str">
        <f t="shared" si="18"/>
        <v/>
      </c>
      <c r="AZ31" s="36" t="str">
        <f t="shared" si="19"/>
        <v/>
      </c>
      <c r="BA31" s="37"/>
      <c r="BB31" s="38"/>
      <c r="BC31" s="34"/>
      <c r="BD31" s="35" t="str">
        <f t="shared" si="20"/>
        <v/>
      </c>
      <c r="BE31" s="36" t="str">
        <f t="shared" si="21"/>
        <v/>
      </c>
      <c r="BF31" s="37"/>
      <c r="BG31" s="38"/>
      <c r="BH31" s="34"/>
      <c r="BI31" s="35" t="str">
        <f t="shared" si="22"/>
        <v/>
      </c>
      <c r="BJ31" s="36" t="str">
        <f t="shared" si="23"/>
        <v/>
      </c>
      <c r="BK31" s="37"/>
      <c r="BL31" s="33"/>
      <c r="BM31" s="34"/>
      <c r="BN31" s="35" t="str">
        <f t="shared" si="24"/>
        <v/>
      </c>
      <c r="BO31" s="36" t="str">
        <f t="shared" si="25"/>
        <v/>
      </c>
      <c r="BP31" s="37"/>
      <c r="BQ31" s="33"/>
      <c r="BR31" s="34"/>
      <c r="BS31" s="35" t="str">
        <f t="shared" si="26"/>
        <v/>
      </c>
      <c r="BT31" s="36" t="str">
        <f t="shared" si="27"/>
        <v/>
      </c>
      <c r="BU31" s="37"/>
      <c r="BV31" s="33"/>
      <c r="BW31" s="34"/>
      <c r="BX31" s="35" t="str">
        <f t="shared" si="28"/>
        <v/>
      </c>
      <c r="BY31" s="36" t="str">
        <f t="shared" si="29"/>
        <v/>
      </c>
      <c r="BZ31" s="37"/>
      <c r="CA31" s="33"/>
      <c r="CB31" s="34"/>
      <c r="CC31" s="35" t="str">
        <f t="shared" si="30"/>
        <v/>
      </c>
      <c r="CD31" s="36" t="str">
        <f t="shared" si="31"/>
        <v/>
      </c>
      <c r="CE31" s="37"/>
      <c r="CF31" s="33"/>
      <c r="CG31" s="34"/>
      <c r="CH31" s="35" t="str">
        <f t="shared" si="32"/>
        <v/>
      </c>
      <c r="CI31" s="36" t="str">
        <f t="shared" si="33"/>
        <v/>
      </c>
      <c r="CJ31" s="37"/>
      <c r="CK31" s="33"/>
      <c r="CL31" s="34"/>
      <c r="CM31" s="35" t="str">
        <f t="shared" si="34"/>
        <v/>
      </c>
      <c r="CN31" s="36" t="str">
        <f t="shared" si="35"/>
        <v/>
      </c>
      <c r="CO31" s="37"/>
      <c r="CP31" s="33"/>
      <c r="CQ31" s="34"/>
      <c r="CR31" s="35" t="str">
        <f t="shared" si="36"/>
        <v/>
      </c>
      <c r="CS31" s="36" t="str">
        <f t="shared" si="37"/>
        <v/>
      </c>
      <c r="CT31" s="37"/>
      <c r="CU31" s="33"/>
      <c r="CV31" s="34"/>
      <c r="CW31" s="35" t="str">
        <f t="shared" si="38"/>
        <v/>
      </c>
      <c r="CX31" s="36" t="str">
        <f t="shared" si="39"/>
        <v/>
      </c>
      <c r="CY31" s="37"/>
      <c r="CZ31" s="33"/>
      <c r="DA31" s="34"/>
      <c r="DB31" s="35" t="str">
        <f t="shared" si="40"/>
        <v/>
      </c>
      <c r="DC31" s="36" t="str">
        <f t="shared" si="41"/>
        <v/>
      </c>
      <c r="DD31" s="37"/>
      <c r="DE31" s="33"/>
      <c r="DF31" s="34"/>
      <c r="DG31" s="35" t="str">
        <f t="shared" si="42"/>
        <v/>
      </c>
      <c r="DH31" s="36" t="str">
        <f t="shared" si="43"/>
        <v/>
      </c>
      <c r="DI31" s="37"/>
      <c r="DJ31" s="33"/>
      <c r="DK31" s="34"/>
      <c r="DL31" s="35" t="str">
        <f t="shared" si="44"/>
        <v/>
      </c>
      <c r="DM31" s="36" t="str">
        <f t="shared" si="45"/>
        <v/>
      </c>
      <c r="DN31" s="37"/>
      <c r="DO31" s="33"/>
      <c r="DP31" s="34"/>
      <c r="DQ31" s="35" t="str">
        <f t="shared" si="46"/>
        <v/>
      </c>
      <c r="DR31" s="36" t="str">
        <f t="shared" si="47"/>
        <v/>
      </c>
      <c r="DS31" s="37"/>
      <c r="DT31" s="33"/>
      <c r="DU31" s="34"/>
      <c r="DV31" s="35" t="str">
        <f t="shared" si="48"/>
        <v/>
      </c>
      <c r="DW31" s="36" t="str">
        <f t="shared" si="49"/>
        <v/>
      </c>
      <c r="DX31" s="37"/>
      <c r="DY31" s="33"/>
      <c r="DZ31" s="34"/>
      <c r="EA31" s="35" t="str">
        <f t="shared" si="50"/>
        <v/>
      </c>
      <c r="EB31" s="36" t="str">
        <f t="shared" si="51"/>
        <v/>
      </c>
      <c r="EC31" s="37"/>
      <c r="ED31" s="33"/>
      <c r="EE31" s="34"/>
      <c r="EF31" s="35" t="str">
        <f t="shared" si="52"/>
        <v/>
      </c>
      <c r="EG31" s="36" t="str">
        <f t="shared" si="53"/>
        <v/>
      </c>
      <c r="EH31" s="37"/>
      <c r="EI31" s="33"/>
      <c r="EJ31" s="34"/>
      <c r="EK31" s="35" t="str">
        <f t="shared" si="54"/>
        <v/>
      </c>
      <c r="EL31" s="36" t="str">
        <f t="shared" si="55"/>
        <v/>
      </c>
      <c r="EM31" s="37"/>
      <c r="EN31" s="33"/>
      <c r="EO31" s="34"/>
      <c r="EP31" s="35" t="str">
        <f t="shared" si="56"/>
        <v/>
      </c>
      <c r="EQ31" s="36" t="str">
        <f t="shared" si="57"/>
        <v/>
      </c>
      <c r="ER31" s="37"/>
      <c r="ES31" s="33"/>
      <c r="ET31" s="34"/>
      <c r="EU31" s="35" t="str">
        <f t="shared" si="58"/>
        <v/>
      </c>
      <c r="EV31" s="36" t="str">
        <f t="shared" si="59"/>
        <v/>
      </c>
      <c r="EW31" s="37"/>
    </row>
    <row r="32" spans="1:153" ht="19.5" customHeight="1">
      <c r="A32" s="32">
        <f>IF(DAY(DATE(対象年度,1,29))&lt;&gt;29,"",29)</f>
        <v>29</v>
      </c>
      <c r="B32" s="32" t="str">
        <f>IF(DAY(DATE(対象年度,1,29))&lt;&gt;29,"",CHOOSE(WEEKDAY(DATE(対象年度,1,29),2),"月","火","水","木","金","土","日"))</f>
        <v>木</v>
      </c>
      <c r="C32" s="32" t="str">
        <f>IF(DAY(DATE(対象年度,1,29))&lt;&gt;29,"",IF(ISNUMBER(MATCH(DATE(対象年度,1,29),祝日リスト,0)),"祝",""))</f>
        <v/>
      </c>
      <c r="D32" s="38" t="s">
        <v>63</v>
      </c>
      <c r="E32" s="34"/>
      <c r="F32" s="35" t="str">
        <f t="shared" si="0"/>
        <v>○</v>
      </c>
      <c r="G32" s="36" t="str">
        <f t="shared" si="1"/>
        <v/>
      </c>
      <c r="H32" s="37"/>
      <c r="I32" s="38" t="s">
        <v>61</v>
      </c>
      <c r="J32" s="34"/>
      <c r="K32" s="35" t="str">
        <f t="shared" si="2"/>
        <v>○</v>
      </c>
      <c r="L32" s="36" t="str">
        <f t="shared" si="3"/>
        <v/>
      </c>
      <c r="M32" s="37"/>
      <c r="N32" s="38" t="s">
        <v>61</v>
      </c>
      <c r="O32" s="34"/>
      <c r="P32" s="35" t="str">
        <f t="shared" si="4"/>
        <v>○</v>
      </c>
      <c r="Q32" s="36" t="str">
        <f t="shared" si="5"/>
        <v/>
      </c>
      <c r="R32" s="37"/>
      <c r="S32" s="38" t="s">
        <v>61</v>
      </c>
      <c r="T32" s="34"/>
      <c r="U32" s="35" t="str">
        <f t="shared" si="6"/>
        <v>○</v>
      </c>
      <c r="V32" s="36" t="str">
        <f t="shared" si="7"/>
        <v/>
      </c>
      <c r="W32" s="37"/>
      <c r="X32" s="38" t="s">
        <v>61</v>
      </c>
      <c r="Y32" s="34"/>
      <c r="Z32" s="35" t="str">
        <f t="shared" si="8"/>
        <v>○</v>
      </c>
      <c r="AA32" s="36" t="str">
        <f t="shared" si="9"/>
        <v/>
      </c>
      <c r="AB32" s="37"/>
      <c r="AC32" s="38" t="s">
        <v>61</v>
      </c>
      <c r="AD32" s="34"/>
      <c r="AE32" s="35" t="str">
        <f t="shared" si="10"/>
        <v>○</v>
      </c>
      <c r="AF32" s="36" t="str">
        <f t="shared" si="11"/>
        <v/>
      </c>
      <c r="AG32" s="37"/>
      <c r="AH32" s="38"/>
      <c r="AI32" s="34"/>
      <c r="AJ32" s="35" t="str">
        <f t="shared" si="12"/>
        <v/>
      </c>
      <c r="AK32" s="36" t="str">
        <f t="shared" si="13"/>
        <v/>
      </c>
      <c r="AL32" s="37"/>
      <c r="AM32" s="38"/>
      <c r="AN32" s="34"/>
      <c r="AO32" s="35" t="str">
        <f t="shared" si="14"/>
        <v/>
      </c>
      <c r="AP32" s="36" t="str">
        <f t="shared" si="15"/>
        <v/>
      </c>
      <c r="AQ32" s="37"/>
      <c r="AR32" s="38"/>
      <c r="AS32" s="34"/>
      <c r="AT32" s="35" t="str">
        <f t="shared" si="16"/>
        <v/>
      </c>
      <c r="AU32" s="36" t="str">
        <f t="shared" si="17"/>
        <v/>
      </c>
      <c r="AV32" s="37"/>
      <c r="AW32" s="33"/>
      <c r="AX32" s="34"/>
      <c r="AY32" s="35" t="str">
        <f t="shared" si="18"/>
        <v/>
      </c>
      <c r="AZ32" s="36" t="str">
        <f t="shared" si="19"/>
        <v/>
      </c>
      <c r="BA32" s="37"/>
      <c r="BB32" s="38"/>
      <c r="BC32" s="34"/>
      <c r="BD32" s="35" t="str">
        <f t="shared" si="20"/>
        <v/>
      </c>
      <c r="BE32" s="36" t="str">
        <f t="shared" si="21"/>
        <v/>
      </c>
      <c r="BF32" s="37"/>
      <c r="BG32" s="38"/>
      <c r="BH32" s="34"/>
      <c r="BI32" s="35" t="str">
        <f t="shared" si="22"/>
        <v/>
      </c>
      <c r="BJ32" s="36" t="str">
        <f t="shared" si="23"/>
        <v/>
      </c>
      <c r="BK32" s="37"/>
      <c r="BL32" s="33"/>
      <c r="BM32" s="34"/>
      <c r="BN32" s="35" t="str">
        <f t="shared" si="24"/>
        <v/>
      </c>
      <c r="BO32" s="36" t="str">
        <f t="shared" si="25"/>
        <v/>
      </c>
      <c r="BP32" s="37"/>
      <c r="BQ32" s="33"/>
      <c r="BR32" s="34"/>
      <c r="BS32" s="35" t="str">
        <f t="shared" si="26"/>
        <v/>
      </c>
      <c r="BT32" s="36" t="str">
        <f t="shared" si="27"/>
        <v/>
      </c>
      <c r="BU32" s="37"/>
      <c r="BV32" s="33"/>
      <c r="BW32" s="34"/>
      <c r="BX32" s="35" t="str">
        <f t="shared" si="28"/>
        <v/>
      </c>
      <c r="BY32" s="36" t="str">
        <f t="shared" si="29"/>
        <v/>
      </c>
      <c r="BZ32" s="37"/>
      <c r="CA32" s="33"/>
      <c r="CB32" s="34"/>
      <c r="CC32" s="35" t="str">
        <f t="shared" si="30"/>
        <v/>
      </c>
      <c r="CD32" s="36" t="str">
        <f t="shared" si="31"/>
        <v/>
      </c>
      <c r="CE32" s="37"/>
      <c r="CF32" s="33"/>
      <c r="CG32" s="34"/>
      <c r="CH32" s="35" t="str">
        <f t="shared" si="32"/>
        <v/>
      </c>
      <c r="CI32" s="36" t="str">
        <f t="shared" si="33"/>
        <v/>
      </c>
      <c r="CJ32" s="37"/>
      <c r="CK32" s="33"/>
      <c r="CL32" s="34"/>
      <c r="CM32" s="35" t="str">
        <f t="shared" si="34"/>
        <v/>
      </c>
      <c r="CN32" s="36" t="str">
        <f t="shared" si="35"/>
        <v/>
      </c>
      <c r="CO32" s="37"/>
      <c r="CP32" s="33"/>
      <c r="CQ32" s="34"/>
      <c r="CR32" s="35" t="str">
        <f t="shared" si="36"/>
        <v/>
      </c>
      <c r="CS32" s="36" t="str">
        <f t="shared" si="37"/>
        <v/>
      </c>
      <c r="CT32" s="37"/>
      <c r="CU32" s="33"/>
      <c r="CV32" s="34"/>
      <c r="CW32" s="35" t="str">
        <f t="shared" si="38"/>
        <v/>
      </c>
      <c r="CX32" s="36" t="str">
        <f t="shared" si="39"/>
        <v/>
      </c>
      <c r="CY32" s="37"/>
      <c r="CZ32" s="33"/>
      <c r="DA32" s="34"/>
      <c r="DB32" s="35" t="str">
        <f t="shared" si="40"/>
        <v/>
      </c>
      <c r="DC32" s="36" t="str">
        <f t="shared" si="41"/>
        <v/>
      </c>
      <c r="DD32" s="37"/>
      <c r="DE32" s="33"/>
      <c r="DF32" s="34"/>
      <c r="DG32" s="35" t="str">
        <f t="shared" si="42"/>
        <v/>
      </c>
      <c r="DH32" s="36" t="str">
        <f t="shared" si="43"/>
        <v/>
      </c>
      <c r="DI32" s="37"/>
      <c r="DJ32" s="33"/>
      <c r="DK32" s="34"/>
      <c r="DL32" s="35" t="str">
        <f t="shared" si="44"/>
        <v/>
      </c>
      <c r="DM32" s="36" t="str">
        <f t="shared" si="45"/>
        <v/>
      </c>
      <c r="DN32" s="37"/>
      <c r="DO32" s="33"/>
      <c r="DP32" s="34"/>
      <c r="DQ32" s="35" t="str">
        <f t="shared" si="46"/>
        <v/>
      </c>
      <c r="DR32" s="36" t="str">
        <f t="shared" si="47"/>
        <v/>
      </c>
      <c r="DS32" s="37"/>
      <c r="DT32" s="33"/>
      <c r="DU32" s="34"/>
      <c r="DV32" s="35" t="str">
        <f t="shared" si="48"/>
        <v/>
      </c>
      <c r="DW32" s="36" t="str">
        <f t="shared" si="49"/>
        <v/>
      </c>
      <c r="DX32" s="37"/>
      <c r="DY32" s="33"/>
      <c r="DZ32" s="34"/>
      <c r="EA32" s="35" t="str">
        <f t="shared" si="50"/>
        <v/>
      </c>
      <c r="EB32" s="36" t="str">
        <f t="shared" si="51"/>
        <v/>
      </c>
      <c r="EC32" s="37"/>
      <c r="ED32" s="33"/>
      <c r="EE32" s="34"/>
      <c r="EF32" s="35" t="str">
        <f t="shared" si="52"/>
        <v/>
      </c>
      <c r="EG32" s="36" t="str">
        <f t="shared" si="53"/>
        <v/>
      </c>
      <c r="EH32" s="37"/>
      <c r="EI32" s="33"/>
      <c r="EJ32" s="34"/>
      <c r="EK32" s="35" t="str">
        <f t="shared" si="54"/>
        <v/>
      </c>
      <c r="EL32" s="36" t="str">
        <f t="shared" si="55"/>
        <v/>
      </c>
      <c r="EM32" s="37"/>
      <c r="EN32" s="33"/>
      <c r="EO32" s="34"/>
      <c r="EP32" s="35" t="str">
        <f t="shared" si="56"/>
        <v/>
      </c>
      <c r="EQ32" s="36" t="str">
        <f t="shared" si="57"/>
        <v/>
      </c>
      <c r="ER32" s="37"/>
      <c r="ES32" s="33"/>
      <c r="ET32" s="34"/>
      <c r="EU32" s="35" t="str">
        <f t="shared" si="58"/>
        <v/>
      </c>
      <c r="EV32" s="36" t="str">
        <f t="shared" si="59"/>
        <v/>
      </c>
      <c r="EW32" s="37"/>
    </row>
    <row r="33" spans="1:153" ht="19.5" customHeight="1">
      <c r="A33" s="32">
        <f>IF(DAY(DATE(対象年度,1,30))&lt;&gt;30,"",30)</f>
        <v>30</v>
      </c>
      <c r="B33" s="32" t="str">
        <f>IF(DAY(DATE(対象年度,1,30))&lt;&gt;30,"",CHOOSE(WEEKDAY(DATE(対象年度,1,30),2),"月","火","水","木","金","土","日"))</f>
        <v>金</v>
      </c>
      <c r="C33" s="32" t="str">
        <f>IF(DAY(DATE(対象年度,1,30))&lt;&gt;30,"",IF(ISNUMBER(MATCH(DATE(対象年度,1,30),祝日リスト,0)),"祝",""))</f>
        <v/>
      </c>
      <c r="D33" s="38" t="s">
        <v>63</v>
      </c>
      <c r="E33" s="34"/>
      <c r="F33" s="35" t="str">
        <f t="shared" si="0"/>
        <v>○</v>
      </c>
      <c r="G33" s="36" t="str">
        <f t="shared" si="1"/>
        <v/>
      </c>
      <c r="H33" s="37"/>
      <c r="I33" s="38" t="s">
        <v>61</v>
      </c>
      <c r="J33" s="34"/>
      <c r="K33" s="35" t="str">
        <f t="shared" si="2"/>
        <v>○</v>
      </c>
      <c r="L33" s="36" t="str">
        <f t="shared" si="3"/>
        <v/>
      </c>
      <c r="M33" s="37"/>
      <c r="N33" s="38" t="s">
        <v>61</v>
      </c>
      <c r="O33" s="34"/>
      <c r="P33" s="35" t="str">
        <f t="shared" si="4"/>
        <v>○</v>
      </c>
      <c r="Q33" s="36" t="str">
        <f t="shared" si="5"/>
        <v/>
      </c>
      <c r="R33" s="37"/>
      <c r="S33" s="38" t="s">
        <v>61</v>
      </c>
      <c r="T33" s="34"/>
      <c r="U33" s="35" t="str">
        <f t="shared" si="6"/>
        <v>○</v>
      </c>
      <c r="V33" s="36" t="str">
        <f t="shared" si="7"/>
        <v/>
      </c>
      <c r="W33" s="37"/>
      <c r="X33" s="38" t="s">
        <v>61</v>
      </c>
      <c r="Y33" s="34"/>
      <c r="Z33" s="35" t="str">
        <f t="shared" si="8"/>
        <v>○</v>
      </c>
      <c r="AA33" s="36" t="str">
        <f t="shared" si="9"/>
        <v/>
      </c>
      <c r="AB33" s="37"/>
      <c r="AC33" s="38" t="s">
        <v>61</v>
      </c>
      <c r="AD33" s="34"/>
      <c r="AE33" s="35" t="str">
        <f t="shared" si="10"/>
        <v>○</v>
      </c>
      <c r="AF33" s="36" t="str">
        <f t="shared" si="11"/>
        <v/>
      </c>
      <c r="AG33" s="37"/>
      <c r="AH33" s="38"/>
      <c r="AI33" s="34"/>
      <c r="AJ33" s="35" t="str">
        <f t="shared" si="12"/>
        <v/>
      </c>
      <c r="AK33" s="36" t="str">
        <f t="shared" si="13"/>
        <v/>
      </c>
      <c r="AL33" s="37"/>
      <c r="AM33" s="38"/>
      <c r="AN33" s="34"/>
      <c r="AO33" s="35" t="str">
        <f t="shared" si="14"/>
        <v/>
      </c>
      <c r="AP33" s="36" t="str">
        <f t="shared" si="15"/>
        <v/>
      </c>
      <c r="AQ33" s="37"/>
      <c r="AR33" s="38"/>
      <c r="AS33" s="34"/>
      <c r="AT33" s="35" t="str">
        <f t="shared" si="16"/>
        <v/>
      </c>
      <c r="AU33" s="36" t="str">
        <f t="shared" si="17"/>
        <v/>
      </c>
      <c r="AV33" s="37"/>
      <c r="AW33" s="33"/>
      <c r="AX33" s="34"/>
      <c r="AY33" s="35" t="str">
        <f t="shared" si="18"/>
        <v/>
      </c>
      <c r="AZ33" s="36" t="str">
        <f t="shared" si="19"/>
        <v/>
      </c>
      <c r="BA33" s="37"/>
      <c r="BB33" s="38"/>
      <c r="BC33" s="34"/>
      <c r="BD33" s="35" t="str">
        <f t="shared" si="20"/>
        <v/>
      </c>
      <c r="BE33" s="36" t="str">
        <f t="shared" si="21"/>
        <v/>
      </c>
      <c r="BF33" s="37"/>
      <c r="BG33" s="38"/>
      <c r="BH33" s="34"/>
      <c r="BI33" s="35" t="str">
        <f t="shared" si="22"/>
        <v/>
      </c>
      <c r="BJ33" s="36" t="str">
        <f t="shared" si="23"/>
        <v/>
      </c>
      <c r="BK33" s="37"/>
      <c r="BL33" s="33"/>
      <c r="BM33" s="34"/>
      <c r="BN33" s="35" t="str">
        <f t="shared" si="24"/>
        <v/>
      </c>
      <c r="BO33" s="36" t="str">
        <f t="shared" si="25"/>
        <v/>
      </c>
      <c r="BP33" s="37"/>
      <c r="BQ33" s="33"/>
      <c r="BR33" s="34"/>
      <c r="BS33" s="35" t="str">
        <f t="shared" si="26"/>
        <v/>
      </c>
      <c r="BT33" s="36" t="str">
        <f t="shared" si="27"/>
        <v/>
      </c>
      <c r="BU33" s="37"/>
      <c r="BV33" s="33"/>
      <c r="BW33" s="34"/>
      <c r="BX33" s="35" t="str">
        <f t="shared" si="28"/>
        <v/>
      </c>
      <c r="BY33" s="36" t="str">
        <f t="shared" si="29"/>
        <v/>
      </c>
      <c r="BZ33" s="37"/>
      <c r="CA33" s="33"/>
      <c r="CB33" s="34"/>
      <c r="CC33" s="35" t="str">
        <f t="shared" si="30"/>
        <v/>
      </c>
      <c r="CD33" s="36" t="str">
        <f t="shared" si="31"/>
        <v/>
      </c>
      <c r="CE33" s="37"/>
      <c r="CF33" s="33"/>
      <c r="CG33" s="34"/>
      <c r="CH33" s="35" t="str">
        <f t="shared" si="32"/>
        <v/>
      </c>
      <c r="CI33" s="36" t="str">
        <f t="shared" si="33"/>
        <v/>
      </c>
      <c r="CJ33" s="37"/>
      <c r="CK33" s="33"/>
      <c r="CL33" s="34"/>
      <c r="CM33" s="35" t="str">
        <f t="shared" si="34"/>
        <v/>
      </c>
      <c r="CN33" s="36" t="str">
        <f t="shared" si="35"/>
        <v/>
      </c>
      <c r="CO33" s="37"/>
      <c r="CP33" s="33"/>
      <c r="CQ33" s="34"/>
      <c r="CR33" s="35" t="str">
        <f t="shared" si="36"/>
        <v/>
      </c>
      <c r="CS33" s="36" t="str">
        <f t="shared" si="37"/>
        <v/>
      </c>
      <c r="CT33" s="37"/>
      <c r="CU33" s="33"/>
      <c r="CV33" s="34"/>
      <c r="CW33" s="35" t="str">
        <f t="shared" si="38"/>
        <v/>
      </c>
      <c r="CX33" s="36" t="str">
        <f t="shared" si="39"/>
        <v/>
      </c>
      <c r="CY33" s="37"/>
      <c r="CZ33" s="33"/>
      <c r="DA33" s="34"/>
      <c r="DB33" s="35" t="str">
        <f t="shared" si="40"/>
        <v/>
      </c>
      <c r="DC33" s="36" t="str">
        <f t="shared" si="41"/>
        <v/>
      </c>
      <c r="DD33" s="37"/>
      <c r="DE33" s="33"/>
      <c r="DF33" s="34"/>
      <c r="DG33" s="35" t="str">
        <f t="shared" si="42"/>
        <v/>
      </c>
      <c r="DH33" s="36" t="str">
        <f t="shared" si="43"/>
        <v/>
      </c>
      <c r="DI33" s="37"/>
      <c r="DJ33" s="33"/>
      <c r="DK33" s="34"/>
      <c r="DL33" s="35" t="str">
        <f t="shared" si="44"/>
        <v/>
      </c>
      <c r="DM33" s="36" t="str">
        <f t="shared" si="45"/>
        <v/>
      </c>
      <c r="DN33" s="37"/>
      <c r="DO33" s="33"/>
      <c r="DP33" s="34"/>
      <c r="DQ33" s="35" t="str">
        <f t="shared" si="46"/>
        <v/>
      </c>
      <c r="DR33" s="36" t="str">
        <f t="shared" si="47"/>
        <v/>
      </c>
      <c r="DS33" s="37"/>
      <c r="DT33" s="33"/>
      <c r="DU33" s="34"/>
      <c r="DV33" s="35" t="str">
        <f t="shared" si="48"/>
        <v/>
      </c>
      <c r="DW33" s="36" t="str">
        <f t="shared" si="49"/>
        <v/>
      </c>
      <c r="DX33" s="37"/>
      <c r="DY33" s="33"/>
      <c r="DZ33" s="34"/>
      <c r="EA33" s="35" t="str">
        <f t="shared" si="50"/>
        <v/>
      </c>
      <c r="EB33" s="36" t="str">
        <f t="shared" si="51"/>
        <v/>
      </c>
      <c r="EC33" s="37"/>
      <c r="ED33" s="33"/>
      <c r="EE33" s="34"/>
      <c r="EF33" s="35" t="str">
        <f t="shared" si="52"/>
        <v/>
      </c>
      <c r="EG33" s="36" t="str">
        <f t="shared" si="53"/>
        <v/>
      </c>
      <c r="EH33" s="37"/>
      <c r="EI33" s="33"/>
      <c r="EJ33" s="34"/>
      <c r="EK33" s="35" t="str">
        <f t="shared" si="54"/>
        <v/>
      </c>
      <c r="EL33" s="36" t="str">
        <f t="shared" si="55"/>
        <v/>
      </c>
      <c r="EM33" s="37"/>
      <c r="EN33" s="33"/>
      <c r="EO33" s="34"/>
      <c r="EP33" s="35" t="str">
        <f t="shared" si="56"/>
        <v/>
      </c>
      <c r="EQ33" s="36" t="str">
        <f t="shared" si="57"/>
        <v/>
      </c>
      <c r="ER33" s="37"/>
      <c r="ES33" s="33"/>
      <c r="ET33" s="34"/>
      <c r="EU33" s="35" t="str">
        <f t="shared" si="58"/>
        <v/>
      </c>
      <c r="EV33" s="36" t="str">
        <f t="shared" si="59"/>
        <v/>
      </c>
      <c r="EW33" s="37"/>
    </row>
    <row r="34" spans="1:153" ht="19.5" customHeight="1">
      <c r="A34" s="39">
        <f>IF(DAY(DATE(対象年度,1,31))&lt;&gt;31,"",31)</f>
        <v>31</v>
      </c>
      <c r="B34" s="39" t="str">
        <f>IF(DAY(DATE(対象年度,1,31))&lt;&gt;31,"",CHOOSE(WEEKDAY(DATE(対象年度,1,31),2),"月","火","水","木","金","土","日"))</f>
        <v>土</v>
      </c>
      <c r="C34" s="39" t="str">
        <f>IF(DAY(DATE(対象年度,1,31))&lt;&gt;31,"",IF(ISNUMBER(MATCH(DATE(対象年度,1,31),祝日リスト,0)),"祝",""))</f>
        <v/>
      </c>
      <c r="D34" s="40"/>
      <c r="E34" s="41"/>
      <c r="F34" s="42" t="str">
        <f t="shared" si="0"/>
        <v/>
      </c>
      <c r="G34" s="43" t="str">
        <f t="shared" si="1"/>
        <v/>
      </c>
      <c r="H34" s="44"/>
      <c r="I34" s="45" t="s">
        <v>62</v>
      </c>
      <c r="J34" s="41"/>
      <c r="K34" s="42" t="str">
        <f t="shared" si="2"/>
        <v>○</v>
      </c>
      <c r="L34" s="43" t="str">
        <f t="shared" si="3"/>
        <v/>
      </c>
      <c r="M34" s="44"/>
      <c r="N34" s="45" t="s">
        <v>61</v>
      </c>
      <c r="O34" s="41"/>
      <c r="P34" s="42" t="str">
        <f t="shared" si="4"/>
        <v>○</v>
      </c>
      <c r="Q34" s="43" t="str">
        <f t="shared" si="5"/>
        <v/>
      </c>
      <c r="R34" s="44"/>
      <c r="S34" s="45" t="s">
        <v>61</v>
      </c>
      <c r="T34" s="41"/>
      <c r="U34" s="42" t="str">
        <f t="shared" si="6"/>
        <v>○</v>
      </c>
      <c r="V34" s="43" t="str">
        <f t="shared" si="7"/>
        <v/>
      </c>
      <c r="W34" s="44"/>
      <c r="X34" s="45" t="s">
        <v>61</v>
      </c>
      <c r="Y34" s="41"/>
      <c r="Z34" s="42" t="str">
        <f t="shared" si="8"/>
        <v>○</v>
      </c>
      <c r="AA34" s="43" t="str">
        <f t="shared" si="9"/>
        <v/>
      </c>
      <c r="AB34" s="44"/>
      <c r="AC34" s="45" t="s">
        <v>61</v>
      </c>
      <c r="AD34" s="41"/>
      <c r="AE34" s="42" t="str">
        <f t="shared" si="10"/>
        <v>○</v>
      </c>
      <c r="AF34" s="43" t="str">
        <f t="shared" si="11"/>
        <v/>
      </c>
      <c r="AG34" s="44"/>
      <c r="AH34" s="40"/>
      <c r="AI34" s="41"/>
      <c r="AJ34" s="42" t="str">
        <f t="shared" si="12"/>
        <v/>
      </c>
      <c r="AK34" s="43" t="str">
        <f t="shared" si="13"/>
        <v/>
      </c>
      <c r="AL34" s="44"/>
      <c r="AM34" s="45"/>
      <c r="AN34" s="41"/>
      <c r="AO34" s="42" t="str">
        <f t="shared" si="14"/>
        <v/>
      </c>
      <c r="AP34" s="43" t="str">
        <f t="shared" si="15"/>
        <v/>
      </c>
      <c r="AQ34" s="44"/>
      <c r="AR34" s="45"/>
      <c r="AS34" s="41"/>
      <c r="AT34" s="42" t="str">
        <f t="shared" si="16"/>
        <v/>
      </c>
      <c r="AU34" s="43" t="str">
        <f t="shared" si="17"/>
        <v/>
      </c>
      <c r="AV34" s="44"/>
      <c r="AW34" s="40"/>
      <c r="AX34" s="41"/>
      <c r="AY34" s="42" t="str">
        <f t="shared" si="18"/>
        <v/>
      </c>
      <c r="AZ34" s="43" t="str">
        <f t="shared" si="19"/>
        <v/>
      </c>
      <c r="BA34" s="44"/>
      <c r="BB34" s="40"/>
      <c r="BC34" s="41"/>
      <c r="BD34" s="42" t="str">
        <f t="shared" si="20"/>
        <v/>
      </c>
      <c r="BE34" s="43" t="str">
        <f t="shared" si="21"/>
        <v/>
      </c>
      <c r="BF34" s="44"/>
      <c r="BG34" s="45"/>
      <c r="BH34" s="41"/>
      <c r="BI34" s="42" t="str">
        <f t="shared" si="22"/>
        <v/>
      </c>
      <c r="BJ34" s="43" t="str">
        <f t="shared" si="23"/>
        <v/>
      </c>
      <c r="BK34" s="44"/>
      <c r="BL34" s="40"/>
      <c r="BM34" s="41"/>
      <c r="BN34" s="42" t="str">
        <f t="shared" si="24"/>
        <v/>
      </c>
      <c r="BO34" s="43" t="str">
        <f t="shared" si="25"/>
        <v/>
      </c>
      <c r="BP34" s="44"/>
      <c r="BQ34" s="40"/>
      <c r="BR34" s="41"/>
      <c r="BS34" s="42" t="str">
        <f t="shared" si="26"/>
        <v/>
      </c>
      <c r="BT34" s="43" t="str">
        <f t="shared" si="27"/>
        <v/>
      </c>
      <c r="BU34" s="44"/>
      <c r="BV34" s="40"/>
      <c r="BW34" s="41"/>
      <c r="BX34" s="42" t="str">
        <f t="shared" si="28"/>
        <v/>
      </c>
      <c r="BY34" s="43" t="str">
        <f t="shared" si="29"/>
        <v/>
      </c>
      <c r="BZ34" s="44"/>
      <c r="CA34" s="40"/>
      <c r="CB34" s="41"/>
      <c r="CC34" s="42" t="str">
        <f t="shared" si="30"/>
        <v/>
      </c>
      <c r="CD34" s="43" t="str">
        <f t="shared" si="31"/>
        <v/>
      </c>
      <c r="CE34" s="44"/>
      <c r="CF34" s="40"/>
      <c r="CG34" s="41"/>
      <c r="CH34" s="42" t="str">
        <f t="shared" si="32"/>
        <v/>
      </c>
      <c r="CI34" s="43" t="str">
        <f t="shared" si="33"/>
        <v/>
      </c>
      <c r="CJ34" s="44"/>
      <c r="CK34" s="40"/>
      <c r="CL34" s="41"/>
      <c r="CM34" s="42" t="str">
        <f t="shared" si="34"/>
        <v/>
      </c>
      <c r="CN34" s="43" t="str">
        <f t="shared" si="35"/>
        <v/>
      </c>
      <c r="CO34" s="44"/>
      <c r="CP34" s="40"/>
      <c r="CQ34" s="41"/>
      <c r="CR34" s="42" t="str">
        <f t="shared" si="36"/>
        <v/>
      </c>
      <c r="CS34" s="43" t="str">
        <f t="shared" si="37"/>
        <v/>
      </c>
      <c r="CT34" s="44"/>
      <c r="CU34" s="40"/>
      <c r="CV34" s="41"/>
      <c r="CW34" s="42" t="str">
        <f t="shared" si="38"/>
        <v/>
      </c>
      <c r="CX34" s="43" t="str">
        <f t="shared" si="39"/>
        <v/>
      </c>
      <c r="CY34" s="44"/>
      <c r="CZ34" s="40"/>
      <c r="DA34" s="41"/>
      <c r="DB34" s="42" t="str">
        <f t="shared" si="40"/>
        <v/>
      </c>
      <c r="DC34" s="43" t="str">
        <f t="shared" si="41"/>
        <v/>
      </c>
      <c r="DD34" s="44"/>
      <c r="DE34" s="40"/>
      <c r="DF34" s="41"/>
      <c r="DG34" s="42" t="str">
        <f t="shared" si="42"/>
        <v/>
      </c>
      <c r="DH34" s="43" t="str">
        <f t="shared" si="43"/>
        <v/>
      </c>
      <c r="DI34" s="44"/>
      <c r="DJ34" s="40"/>
      <c r="DK34" s="41"/>
      <c r="DL34" s="42" t="str">
        <f t="shared" si="44"/>
        <v/>
      </c>
      <c r="DM34" s="43" t="str">
        <f t="shared" si="45"/>
        <v/>
      </c>
      <c r="DN34" s="44"/>
      <c r="DO34" s="40"/>
      <c r="DP34" s="41"/>
      <c r="DQ34" s="42" t="str">
        <f t="shared" si="46"/>
        <v/>
      </c>
      <c r="DR34" s="43" t="str">
        <f t="shared" si="47"/>
        <v/>
      </c>
      <c r="DS34" s="44"/>
      <c r="DT34" s="40"/>
      <c r="DU34" s="41"/>
      <c r="DV34" s="42" t="str">
        <f t="shared" si="48"/>
        <v/>
      </c>
      <c r="DW34" s="43" t="str">
        <f t="shared" si="49"/>
        <v/>
      </c>
      <c r="DX34" s="44"/>
      <c r="DY34" s="40"/>
      <c r="DZ34" s="41"/>
      <c r="EA34" s="42" t="str">
        <f t="shared" si="50"/>
        <v/>
      </c>
      <c r="EB34" s="43" t="str">
        <f t="shared" si="51"/>
        <v/>
      </c>
      <c r="EC34" s="44"/>
      <c r="ED34" s="40"/>
      <c r="EE34" s="41"/>
      <c r="EF34" s="42" t="str">
        <f t="shared" si="52"/>
        <v/>
      </c>
      <c r="EG34" s="43" t="str">
        <f t="shared" si="53"/>
        <v/>
      </c>
      <c r="EH34" s="44"/>
      <c r="EI34" s="40"/>
      <c r="EJ34" s="41"/>
      <c r="EK34" s="42" t="str">
        <f t="shared" si="54"/>
        <v/>
      </c>
      <c r="EL34" s="43" t="str">
        <f t="shared" si="55"/>
        <v/>
      </c>
      <c r="EM34" s="44"/>
      <c r="EN34" s="40"/>
      <c r="EO34" s="41"/>
      <c r="EP34" s="42" t="str">
        <f t="shared" si="56"/>
        <v/>
      </c>
      <c r="EQ34" s="43" t="str">
        <f t="shared" si="57"/>
        <v/>
      </c>
      <c r="ER34" s="44"/>
      <c r="ES34" s="40"/>
      <c r="ET34" s="41"/>
      <c r="EU34" s="42" t="str">
        <f t="shared" si="58"/>
        <v/>
      </c>
      <c r="EV34" s="43" t="str">
        <f t="shared" si="5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8</v>
      </c>
      <c r="E35" s="94"/>
      <c r="F35" s="94"/>
      <c r="G35" s="94"/>
      <c r="H35" s="94"/>
      <c r="I35" s="94">
        <f>COUNTIF(K4:K34,"○")</f>
        <v>10</v>
      </c>
      <c r="J35" s="94"/>
      <c r="K35" s="94"/>
      <c r="L35" s="94"/>
      <c r="M35" s="94"/>
      <c r="N35" s="94">
        <f>COUNTIF(P4:P34,"○")</f>
        <v>10</v>
      </c>
      <c r="O35" s="94"/>
      <c r="P35" s="94"/>
      <c r="Q35" s="94"/>
      <c r="R35" s="94"/>
      <c r="S35" s="94">
        <f>COUNTIF(U4:U34,"○")</f>
        <v>10</v>
      </c>
      <c r="T35" s="94"/>
      <c r="U35" s="94"/>
      <c r="V35" s="94"/>
      <c r="W35" s="94"/>
      <c r="X35" s="94">
        <f>COUNTIF(Z4:Z34,"○")</f>
        <v>10</v>
      </c>
      <c r="Y35" s="94"/>
      <c r="Z35" s="94"/>
      <c r="AA35" s="94"/>
      <c r="AB35" s="94"/>
      <c r="AC35" s="94">
        <f>COUNTIF(AE4:AE34,"○")</f>
        <v>10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8</v>
      </c>
      <c r="E37" s="98"/>
      <c r="F37" s="98"/>
      <c r="G37" s="98"/>
      <c r="H37" s="98"/>
      <c r="I37" s="98">
        <f>I35+I36</f>
        <v>10</v>
      </c>
      <c r="J37" s="98"/>
      <c r="K37" s="98"/>
      <c r="L37" s="98"/>
      <c r="M37" s="98"/>
      <c r="N37" s="98">
        <f>N35+N36</f>
        <v>10</v>
      </c>
      <c r="O37" s="98"/>
      <c r="P37" s="98"/>
      <c r="Q37" s="98"/>
      <c r="R37" s="98"/>
      <c r="S37" s="98">
        <f>S35+S36</f>
        <v>10</v>
      </c>
      <c r="T37" s="98"/>
      <c r="U37" s="98"/>
      <c r="V37" s="98"/>
      <c r="W37" s="98"/>
      <c r="X37" s="98">
        <f>X35+X36</f>
        <v>10</v>
      </c>
      <c r="Y37" s="98"/>
      <c r="Z37" s="98"/>
      <c r="AA37" s="98"/>
      <c r="AB37" s="98"/>
      <c r="AC37" s="98">
        <f>AC35+AC36</f>
        <v>10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1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820" priority="63">
      <formula>$B4="日"</formula>
    </cfRule>
    <cfRule type="expression" dxfId="819" priority="64">
      <formula>$B4="土"</formula>
    </cfRule>
    <cfRule type="expression" dxfId="818" priority="62">
      <formula>AND($A4&lt;&gt;"",ISNUMBER(MATCH(DATE(対象年度,1,$A4),祝日リスト,0)))</formula>
    </cfRule>
  </conditionalFormatting>
  <conditionalFormatting sqref="D4:D34">
    <cfRule type="expression" dxfId="817" priority="3">
      <formula>$D4="休業"</formula>
    </cfRule>
    <cfRule type="expression" dxfId="816" priority="2">
      <formula>$D4="有給"</formula>
    </cfRule>
  </conditionalFormatting>
  <conditionalFormatting sqref="I4:I34">
    <cfRule type="expression" dxfId="815" priority="4">
      <formula>$I4="有給"</formula>
    </cfRule>
    <cfRule type="expression" dxfId="814" priority="5">
      <formula>$I4="休業"</formula>
    </cfRule>
  </conditionalFormatting>
  <conditionalFormatting sqref="N4:N34">
    <cfRule type="expression" dxfId="813" priority="6">
      <formula>$N4="有給"</formula>
    </cfRule>
    <cfRule type="expression" dxfId="812" priority="7">
      <formula>$N4="休業"</formula>
    </cfRule>
  </conditionalFormatting>
  <conditionalFormatting sqref="S4:S34">
    <cfRule type="expression" dxfId="811" priority="8">
      <formula>$S4="有給"</formula>
    </cfRule>
    <cfRule type="expression" dxfId="810" priority="9">
      <formula>$S4="休業"</formula>
    </cfRule>
  </conditionalFormatting>
  <conditionalFormatting sqref="X4:X34">
    <cfRule type="expression" dxfId="809" priority="10">
      <formula>$X4="有給"</formula>
    </cfRule>
    <cfRule type="expression" dxfId="808" priority="11">
      <formula>$X4="休業"</formula>
    </cfRule>
  </conditionalFormatting>
  <conditionalFormatting sqref="AC4:AC34">
    <cfRule type="expression" dxfId="807" priority="12">
      <formula>$AC4="有給"</formula>
    </cfRule>
    <cfRule type="expression" dxfId="806" priority="13">
      <formula>$AC4="休業"</formula>
    </cfRule>
  </conditionalFormatting>
  <conditionalFormatting sqref="AH4:AH34">
    <cfRule type="expression" dxfId="805" priority="14">
      <formula>$AH4="有給"</formula>
    </cfRule>
    <cfRule type="expression" dxfId="804" priority="15">
      <formula>$AH4="休業"</formula>
    </cfRule>
  </conditionalFormatting>
  <conditionalFormatting sqref="AM4:AM34">
    <cfRule type="expression" dxfId="803" priority="17">
      <formula>$AM4="休業"</formula>
    </cfRule>
    <cfRule type="expression" dxfId="802" priority="16">
      <formula>$AM4="有給"</formula>
    </cfRule>
  </conditionalFormatting>
  <conditionalFormatting sqref="AR4:AR34">
    <cfRule type="expression" dxfId="801" priority="19">
      <formula>$AR4="休業"</formula>
    </cfRule>
    <cfRule type="expression" dxfId="800" priority="18">
      <formula>$AR4="有給"</formula>
    </cfRule>
  </conditionalFormatting>
  <conditionalFormatting sqref="AW4:AW34">
    <cfRule type="expression" dxfId="799" priority="20">
      <formula>$AW4="有給"</formula>
    </cfRule>
    <cfRule type="expression" dxfId="798" priority="21">
      <formula>$AW4="休業"</formula>
    </cfRule>
  </conditionalFormatting>
  <conditionalFormatting sqref="BB4:BB34">
    <cfRule type="expression" dxfId="797" priority="22">
      <formula>$BB4="有給"</formula>
    </cfRule>
    <cfRule type="expression" dxfId="796" priority="23">
      <formula>$BB4="休業"</formula>
    </cfRule>
  </conditionalFormatting>
  <conditionalFormatting sqref="BG4:BG34">
    <cfRule type="expression" dxfId="795" priority="24">
      <formula>$BG4="有給"</formula>
    </cfRule>
    <cfRule type="expression" dxfId="794" priority="25">
      <formula>$BG4="休業"</formula>
    </cfRule>
  </conditionalFormatting>
  <conditionalFormatting sqref="BL4:BL34">
    <cfRule type="expression" dxfId="793" priority="26">
      <formula>$BL4="有給"</formula>
    </cfRule>
    <cfRule type="expression" dxfId="792" priority="27">
      <formula>$BL4="休業"</formula>
    </cfRule>
  </conditionalFormatting>
  <conditionalFormatting sqref="BQ4:BQ34">
    <cfRule type="expression" dxfId="791" priority="28">
      <formula>$BQ4="有給"</formula>
    </cfRule>
    <cfRule type="expression" dxfId="790" priority="29">
      <formula>$BQ4="休業"</formula>
    </cfRule>
  </conditionalFormatting>
  <conditionalFormatting sqref="BV4:BV34">
    <cfRule type="expression" dxfId="789" priority="30">
      <formula>$BV4="有給"</formula>
    </cfRule>
    <cfRule type="expression" dxfId="788" priority="31">
      <formula>$BV4="休業"</formula>
    </cfRule>
  </conditionalFormatting>
  <conditionalFormatting sqref="CA4:CA34">
    <cfRule type="expression" dxfId="787" priority="33">
      <formula>$CA4="休業"</formula>
    </cfRule>
    <cfRule type="expression" dxfId="786" priority="32">
      <formula>$CA4="有給"</formula>
    </cfRule>
  </conditionalFormatting>
  <conditionalFormatting sqref="CF4:CF34">
    <cfRule type="expression" dxfId="785" priority="34">
      <formula>$CF4="有給"</formula>
    </cfRule>
    <cfRule type="expression" dxfId="784" priority="35">
      <formula>$CF4="休業"</formula>
    </cfRule>
  </conditionalFormatting>
  <conditionalFormatting sqref="CK4:CK34">
    <cfRule type="expression" dxfId="783" priority="37">
      <formula>$CK4="休業"</formula>
    </cfRule>
    <cfRule type="expression" dxfId="782" priority="36">
      <formula>$CK4="有給"</formula>
    </cfRule>
  </conditionalFormatting>
  <conditionalFormatting sqref="CP4:CP34">
    <cfRule type="expression" dxfId="781" priority="38">
      <formula>$CP4="有給"</formula>
    </cfRule>
    <cfRule type="expression" dxfId="780" priority="39">
      <formula>$CP4="休業"</formula>
    </cfRule>
  </conditionalFormatting>
  <conditionalFormatting sqref="CU4:CU34">
    <cfRule type="expression" dxfId="779" priority="40">
      <formula>$CU4="有給"</formula>
    </cfRule>
    <cfRule type="expression" dxfId="778" priority="41">
      <formula>$CU4="休業"</formula>
    </cfRule>
  </conditionalFormatting>
  <conditionalFormatting sqref="CZ4:CZ34">
    <cfRule type="expression" dxfId="777" priority="42">
      <formula>$CZ4="有給"</formula>
    </cfRule>
    <cfRule type="expression" dxfId="776" priority="43">
      <formula>$CZ4="休業"</formula>
    </cfRule>
  </conditionalFormatting>
  <conditionalFormatting sqref="DE4:DE34">
    <cfRule type="expression" dxfId="775" priority="44">
      <formula>$DE4="有給"</formula>
    </cfRule>
    <cfRule type="expression" dxfId="774" priority="45">
      <formula>$DE4="休業"</formula>
    </cfRule>
  </conditionalFormatting>
  <conditionalFormatting sqref="DJ4:DJ34">
    <cfRule type="expression" dxfId="773" priority="46">
      <formula>$DJ4="有給"</formula>
    </cfRule>
    <cfRule type="expression" dxfId="772" priority="47">
      <formula>$DJ4="休業"</formula>
    </cfRule>
  </conditionalFormatting>
  <conditionalFormatting sqref="DO4:DO34">
    <cfRule type="expression" dxfId="771" priority="48">
      <formula>$DO4="有給"</formula>
    </cfRule>
    <cfRule type="expression" dxfId="770" priority="49">
      <formula>$DO4="休業"</formula>
    </cfRule>
  </conditionalFormatting>
  <conditionalFormatting sqref="DT4:DT34">
    <cfRule type="expression" dxfId="769" priority="51">
      <formula>$DT4="休業"</formula>
    </cfRule>
    <cfRule type="expression" dxfId="768" priority="50">
      <formula>$DT4="有給"</formula>
    </cfRule>
  </conditionalFormatting>
  <conditionalFormatting sqref="DY4:DY34">
    <cfRule type="expression" dxfId="767" priority="52">
      <formula>$DY4="有給"</formula>
    </cfRule>
    <cfRule type="expression" dxfId="766" priority="53">
      <formula>$DY4="休業"</formula>
    </cfRule>
  </conditionalFormatting>
  <conditionalFormatting sqref="ED4:ED34">
    <cfRule type="expression" dxfId="765" priority="54">
      <formula>$ED4="有給"</formula>
    </cfRule>
    <cfRule type="expression" dxfId="764" priority="55">
      <formula>$ED4="休業"</formula>
    </cfRule>
  </conditionalFormatting>
  <conditionalFormatting sqref="EI4:EI34">
    <cfRule type="expression" dxfId="763" priority="56">
      <formula>$EI4="有給"</formula>
    </cfRule>
    <cfRule type="expression" dxfId="762" priority="57">
      <formula>$EI4="休業"</formula>
    </cfRule>
  </conditionalFormatting>
  <conditionalFormatting sqref="EN4:EN34">
    <cfRule type="expression" dxfId="761" priority="58">
      <formula>$EN4="有給"</formula>
    </cfRule>
    <cfRule type="expression" dxfId="760" priority="59">
      <formula>$EN4="休業"</formula>
    </cfRule>
  </conditionalFormatting>
  <conditionalFormatting sqref="ES4:ES34">
    <cfRule type="expression" dxfId="759" priority="60">
      <formula>$ES4="有給"</formula>
    </cfRule>
    <cfRule type="expression" dxfId="758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3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W40"/>
  <sheetViews>
    <sheetView zoomScaleNormal="100" workbookViewId="0">
      <pane xSplit="3" ySplit="3" topLeftCell="D8" activePane="bottomRight" state="frozen"/>
      <selection pane="topRight" activeCell="D1" sqref="D1"/>
      <selection pane="bottomLeft" activeCell="A4" sqref="A4"/>
      <selection pane="bottomRight" activeCell="BM28" sqref="BM28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2月分　出面表　"</f>
        <v xml:space="preserve"> 2026年 2月分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IFERROR(IF(従業員マスタ!$C$4="","",対象年度&amp;"年2月　"&amp;従業員マスタ!$C$4),"")</f>
        <v>2026年2月　建設　太郎</v>
      </c>
      <c r="E2" s="92"/>
      <c r="F2" s="92"/>
      <c r="G2" s="92"/>
      <c r="H2" s="92"/>
      <c r="I2" s="92" t="str">
        <f>IFERROR(IF(従業員マスタ!$C$5="","",対象年度&amp;"年2月　"&amp;従業員マスタ!$C$5),"")</f>
        <v>2026年2月　配管　次郎</v>
      </c>
      <c r="J2" s="92"/>
      <c r="K2" s="92"/>
      <c r="L2" s="92"/>
      <c r="M2" s="92"/>
      <c r="N2" s="92" t="str">
        <f>IFERROR(IF(従業員マスタ!$C$6="","",対象年度&amp;"年2月　"&amp;従業員マスタ!$C$6),"")</f>
        <v>2026年2月　設備　一郎</v>
      </c>
      <c r="O2" s="92"/>
      <c r="P2" s="92"/>
      <c r="Q2" s="92"/>
      <c r="R2" s="92"/>
      <c r="S2" s="92" t="str">
        <f>IFERROR(IF(従業員マスタ!$C$7="","",対象年度&amp;"年2月　"&amp;従業員マスタ!$C$7),"")</f>
        <v>2026年2月　土木　三郎</v>
      </c>
      <c r="T2" s="92"/>
      <c r="U2" s="92"/>
      <c r="V2" s="92"/>
      <c r="W2" s="92"/>
      <c r="X2" s="92" t="str">
        <f>IFERROR(IF(従業員マスタ!$C$8="","",対象年度&amp;"年2月　"&amp;従業員マスタ!$C$8),"")</f>
        <v>2026年2月　塗装　史郎</v>
      </c>
      <c r="Y2" s="92"/>
      <c r="Z2" s="92"/>
      <c r="AA2" s="92"/>
      <c r="AB2" s="92"/>
      <c r="AC2" s="92" t="str">
        <f>IFERROR(IF(従業員マスタ!$C$9="","",対象年度&amp;"年2月　"&amp;従業員マスタ!$C$9),"")</f>
        <v>2026年2月　電工　五郎</v>
      </c>
      <c r="AD2" s="92"/>
      <c r="AE2" s="92"/>
      <c r="AF2" s="92"/>
      <c r="AG2" s="92"/>
      <c r="AH2" s="92" t="str">
        <f>IFERROR(IF(従業員マスタ!$C$10="","",対象年度&amp;"年2月　"&amp;従業員マスタ!$C$10),"")</f>
        <v>2026年2月　現場　花子</v>
      </c>
      <c r="AI2" s="92"/>
      <c r="AJ2" s="92"/>
      <c r="AK2" s="92"/>
      <c r="AL2" s="92"/>
      <c r="AM2" s="92" t="str">
        <f>IFERROR(IF(従業員マスタ!$C$11="","",対象年度&amp;"年2月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IFERROR(IF(従業員マスタ!$C$12="","",対象年度&amp;"年2月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IFERROR(IF(従業員マスタ!$C$13="","",対象年度&amp;"年2月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IFERROR(IF(従業員マスタ!$C$14="","",対象年度&amp;"年2月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IFERROR(IF(従業員マスタ!$C$15="","",対象年度&amp;"年2月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IFERROR(IF(従業員マスタ!$C$16="","",対象年度&amp;"年2月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IFERROR(IF(従業員マスタ!$C$17="","",対象年度&amp;"年2月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IFERROR(IF(従業員マスタ!$C$18="","",対象年度&amp;"年2月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IFERROR(IF(従業員マスタ!$C$19="","",対象年度&amp;"年2月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IFERROR(IF(従業員マスタ!$C$20="","",対象年度&amp;"年2月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IFERROR(IF(従業員マスタ!$C$21="","",対象年度&amp;"年2月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IFERROR(IF(従業員マスタ!$C$22="","",対象年度&amp;"年2月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IFERROR(IF(従業員マスタ!$C$23="","",対象年度&amp;"年2月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IFERROR(IF(従業員マスタ!$C$24="","",対象年度&amp;"年2月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IFERROR(IF(従業員マスタ!$C$25="","",対象年度&amp;"年2月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IFERROR(IF(従業員マスタ!$C$26="","",対象年度&amp;"年2月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IFERROR(IF(従業員マスタ!$C$27="","",対象年度&amp;"年2月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IFERROR(IF(従業員マスタ!$C$28="","",対象年度&amp;"年2月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IFERROR(IF(従業員マスタ!$C$29="","",対象年度&amp;"年2月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IFERROR(IF(従業員マスタ!$C$30="","",対象年度&amp;"年2月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IFERROR(IF(従業員マスタ!$C$31="","",対象年度&amp;"年2月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IFERROR(IF(従業員マスタ!$C$32="","",対象年度&amp;"年2月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IFERROR(IF(従業員マスタ!$C$33="","",対象年度&amp;"年2月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IF(DAY(DATE(対象年度,2,1))&lt;&gt;1,"",1)</f>
        <v>1</v>
      </c>
      <c r="B4" s="26" t="str">
        <f>IF(DAY(DATE(対象年度,2,1))&lt;&gt;1,"",CHOOSE(WEEKDAY(DATE(対象年度,2,1),2),"月","火","水","木","金","土","日"))</f>
        <v>日</v>
      </c>
      <c r="C4" s="26" t="str">
        <f>IF(DAY(DATE(対象年度,2,1))&lt;&gt;1,"",IF(ISNUMBER(MATCH(DATE(対象年度,2,1),祝日リスト,0)),"祝",""))</f>
        <v/>
      </c>
      <c r="D4" s="27"/>
      <c r="E4" s="28"/>
      <c r="F4" s="29" t="str">
        <f t="shared" ref="F4:F34" si="0">IF(D4="","",IF(ISNUMBER(SEARCH("夜勤",D4)),"",IF(A4="","","○")))</f>
        <v/>
      </c>
      <c r="G4" s="30" t="str">
        <f t="shared" ref="G4:G34" si="1">IF(A4="","",IF(OR(AND(E4&lt;&gt;"",NOT(OR(E4="有給",E4="休業"))),ISNUMBER(SEARCH("夜勤",D4))),"○",""))</f>
        <v/>
      </c>
      <c r="H4" s="31"/>
      <c r="I4" s="27"/>
      <c r="J4" s="28"/>
      <c r="K4" s="29" t="str">
        <f t="shared" ref="K4:K34" si="2">IF(I4="","",IF(ISNUMBER(SEARCH("夜勤",I4)),"",IF(A4="","","○")))</f>
        <v/>
      </c>
      <c r="L4" s="30" t="str">
        <f t="shared" ref="L4:L34" si="3">IF(A4="","",IF(OR(AND(J4&lt;&gt;"",NOT(OR(J4="有給",J4="休業"))),ISNUMBER(SEARCH("夜勤",I4))),"○",""))</f>
        <v/>
      </c>
      <c r="M4" s="31"/>
      <c r="N4" s="27"/>
      <c r="O4" s="28"/>
      <c r="P4" s="29" t="str">
        <f t="shared" ref="P4:P34" si="4">IF(N4="","",IF(ISNUMBER(SEARCH("夜勤",N4)),"",IF(A4="","","○")))</f>
        <v/>
      </c>
      <c r="Q4" s="30" t="str">
        <f t="shared" ref="Q4:Q34" si="5">IF(A4="","",IF(OR(AND(O4&lt;&gt;"",NOT(OR(O4="有給",O4="休業"))),ISNUMBER(SEARCH("夜勤",N4))),"○",""))</f>
        <v/>
      </c>
      <c r="R4" s="31"/>
      <c r="S4" s="27"/>
      <c r="T4" s="28"/>
      <c r="U4" s="29" t="str">
        <f t="shared" ref="U4:U34" si="6">IF(S4="","",IF(ISNUMBER(SEARCH("夜勤",S4)),"",IF(A4="","","○")))</f>
        <v/>
      </c>
      <c r="V4" s="30" t="str">
        <f t="shared" ref="V4:V34" si="7">IF(A4="","",IF(OR(AND(T4&lt;&gt;"",NOT(OR(T4="有給",T4="休業"))),ISNUMBER(SEARCH("夜勤",S4))),"○",""))</f>
        <v/>
      </c>
      <c r="W4" s="31"/>
      <c r="X4" s="27"/>
      <c r="Y4" s="28"/>
      <c r="Z4" s="29" t="str">
        <f t="shared" ref="Z4:Z34" si="8">IF(X4="","",IF(ISNUMBER(SEARCH("夜勤",X4)),"",IF(A4="","","○")))</f>
        <v/>
      </c>
      <c r="AA4" s="30" t="str">
        <f t="shared" ref="AA4:AA34" si="9">IF(A4="","",IF(OR(AND(Y4&lt;&gt;"",NOT(OR(Y4="有給",Y4="休業"))),ISNUMBER(SEARCH("夜勤",X4))),"○",""))</f>
        <v/>
      </c>
      <c r="AB4" s="31"/>
      <c r="AC4" s="27"/>
      <c r="AD4" s="28"/>
      <c r="AE4" s="29" t="str">
        <f t="shared" ref="AE4:AE34" si="10">IF(AC4="","",IF(ISNUMBER(SEARCH("夜勤",AC4)),"",IF(A4="","","○")))</f>
        <v/>
      </c>
      <c r="AF4" s="30" t="str">
        <f t="shared" ref="AF4:AF34" si="11">IF(A4="","",IF(OR(AND(AD4&lt;&gt;"",NOT(OR(AD4="有給",AD4="休業"))),ISNUMBER(SEARCH("夜勤",AC4))),"○",""))</f>
        <v/>
      </c>
      <c r="AG4" s="31"/>
      <c r="AH4" s="27"/>
      <c r="AI4" s="28"/>
      <c r="AJ4" s="29" t="str">
        <f t="shared" ref="AJ4:AJ34" si="12">IF(AH4="","",IF(ISNUMBER(SEARCH("夜勤",AH4)),"",IF(A4="","","○")))</f>
        <v/>
      </c>
      <c r="AK4" s="30" t="str">
        <f t="shared" ref="AK4:AK34" si="13">IF(A4="","",IF(OR(AND(AI4&lt;&gt;"",NOT(OR(AI4="有給",AI4="休業"))),ISNUMBER(SEARCH("夜勤",AH4))),"○",""))</f>
        <v/>
      </c>
      <c r="AL4" s="31"/>
      <c r="AM4" s="27"/>
      <c r="AN4" s="28"/>
      <c r="AO4" s="29" t="str">
        <f t="shared" ref="AO4:AO34" si="14">IF(AM4="","",IF(ISNUMBER(SEARCH("夜勤",AM4)),"",IF(A4="","","○")))</f>
        <v/>
      </c>
      <c r="AP4" s="30" t="str">
        <f t="shared" ref="AP4:AP34" si="15">IF(A4="","",IF(OR(AND(AN4&lt;&gt;"",NOT(OR(AN4="有給",AN4="休業"))),ISNUMBER(SEARCH("夜勤",AM4))),"○",""))</f>
        <v/>
      </c>
      <c r="AQ4" s="31"/>
      <c r="AR4" s="27"/>
      <c r="AS4" s="28"/>
      <c r="AT4" s="29" t="str">
        <f t="shared" ref="AT4:AT34" si="16">IF(AR4="","",IF(ISNUMBER(SEARCH("夜勤",AR4)),"",IF(A4="","","○")))</f>
        <v/>
      </c>
      <c r="AU4" s="30" t="str">
        <f t="shared" ref="AU4:AU34" si="17">IF(A4="","",IF(OR(AND(AS4&lt;&gt;"",NOT(OR(AS4="有給",AS4="休業"))),ISNUMBER(SEARCH("夜勤",AR4))),"○",""))</f>
        <v/>
      </c>
      <c r="AV4" s="31"/>
      <c r="AW4" s="27"/>
      <c r="AX4" s="28"/>
      <c r="AY4" s="29" t="str">
        <f t="shared" ref="AY4:AY34" si="18">IF(AW4="","",IF(ISNUMBER(SEARCH("夜勤",AW4)),"",IF(A4="","","○")))</f>
        <v/>
      </c>
      <c r="AZ4" s="30" t="str">
        <f t="shared" ref="AZ4:AZ34" si="19">IF(A4="","",IF(OR(AND(AX4&lt;&gt;"",NOT(OR(AX4="有給",AX4="休業"))),ISNUMBER(SEARCH("夜勤",AW4))),"○",""))</f>
        <v/>
      </c>
      <c r="BA4" s="31"/>
      <c r="BB4" s="27"/>
      <c r="BC4" s="28"/>
      <c r="BD4" s="29" t="str">
        <f t="shared" ref="BD4:BD34" si="20">IF(BB4="","",IF(ISNUMBER(SEARCH("夜勤",BB4)),"",IF(A4="","","○")))</f>
        <v/>
      </c>
      <c r="BE4" s="30" t="str">
        <f t="shared" ref="BE4:BE34" si="21">IF(A4="","",IF(OR(AND(BC4&lt;&gt;"",NOT(OR(BC4="有給",BC4="休業"))),ISNUMBER(SEARCH("夜勤",BB4))),"○",""))</f>
        <v/>
      </c>
      <c r="BF4" s="31"/>
      <c r="BG4" s="27"/>
      <c r="BH4" s="28"/>
      <c r="BI4" s="29" t="str">
        <f t="shared" ref="BI4:BI34" si="22">IF(BG4="","",IF(ISNUMBER(SEARCH("夜勤",BG4)),"",IF(A4="","","○")))</f>
        <v/>
      </c>
      <c r="BJ4" s="30" t="str">
        <f t="shared" ref="BJ4:BJ34" si="2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24">IF(BL4="","",IF(ISNUMBER(SEARCH("夜勤",BL4)),"",IF(A4="","","○")))</f>
        <v/>
      </c>
      <c r="BO4" s="30" t="str">
        <f t="shared" ref="BO4:BO34" si="2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26">IF(BQ4="","",IF(ISNUMBER(SEARCH("夜勤",BQ4)),"",IF(A4="","","○")))</f>
        <v/>
      </c>
      <c r="BT4" s="30" t="str">
        <f t="shared" ref="BT4:BT34" si="2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28">IF(BV4="","",IF(ISNUMBER(SEARCH("夜勤",BV4)),"",IF(A4="","","○")))</f>
        <v/>
      </c>
      <c r="BY4" s="30" t="str">
        <f t="shared" ref="BY4:BY34" si="2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30">IF(CA4="","",IF(ISNUMBER(SEARCH("夜勤",CA4)),"",IF(A4="","","○")))</f>
        <v/>
      </c>
      <c r="CD4" s="30" t="str">
        <f t="shared" ref="CD4:CD34" si="3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32">IF(CF4="","",IF(ISNUMBER(SEARCH("夜勤",CF4)),"",IF(A4="","","○")))</f>
        <v/>
      </c>
      <c r="CI4" s="30" t="str">
        <f t="shared" ref="CI4:CI34" si="3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34">IF(CK4="","",IF(ISNUMBER(SEARCH("夜勤",CK4)),"",IF(A4="","","○")))</f>
        <v/>
      </c>
      <c r="CN4" s="30" t="str">
        <f t="shared" ref="CN4:CN34" si="3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36">IF(CP4="","",IF(ISNUMBER(SEARCH("夜勤",CP4)),"",IF(A4="","","○")))</f>
        <v/>
      </c>
      <c r="CS4" s="30" t="str">
        <f t="shared" ref="CS4:CS34" si="3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38">IF(CU4="","",IF(ISNUMBER(SEARCH("夜勤",CU4)),"",IF(A4="","","○")))</f>
        <v/>
      </c>
      <c r="CX4" s="30" t="str">
        <f t="shared" ref="CX4:CX34" si="3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40">IF(CZ4="","",IF(ISNUMBER(SEARCH("夜勤",CZ4)),"",IF(A4="","","○")))</f>
        <v/>
      </c>
      <c r="DC4" s="30" t="str">
        <f t="shared" ref="DC4:DC34" si="4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42">IF(DE4="","",IF(ISNUMBER(SEARCH("夜勤",DE4)),"",IF(A4="","","○")))</f>
        <v/>
      </c>
      <c r="DH4" s="30" t="str">
        <f t="shared" ref="DH4:DH34" si="4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44">IF(DJ4="","",IF(ISNUMBER(SEARCH("夜勤",DJ4)),"",IF(A4="","","○")))</f>
        <v/>
      </c>
      <c r="DM4" s="30" t="str">
        <f t="shared" ref="DM4:DM34" si="4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46">IF(DO4="","",IF(ISNUMBER(SEARCH("夜勤",DO4)),"",IF(A4="","","○")))</f>
        <v/>
      </c>
      <c r="DR4" s="30" t="str">
        <f t="shared" ref="DR4:DR34" si="4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48">IF(DT4="","",IF(ISNUMBER(SEARCH("夜勤",DT4)),"",IF(A4="","","○")))</f>
        <v/>
      </c>
      <c r="DW4" s="30" t="str">
        <f t="shared" ref="DW4:DW34" si="4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50">IF(DY4="","",IF(ISNUMBER(SEARCH("夜勤",DY4)),"",IF(A4="","","○")))</f>
        <v/>
      </c>
      <c r="EB4" s="30" t="str">
        <f t="shared" ref="EB4:EB34" si="5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52">IF(ED4="","",IF(ISNUMBER(SEARCH("夜勤",ED4)),"",IF(A4="","","○")))</f>
        <v/>
      </c>
      <c r="EG4" s="30" t="str">
        <f t="shared" ref="EG4:EG34" si="5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54">IF(EI4="","",IF(ISNUMBER(SEARCH("夜勤",EI4)),"",IF(A4="","","○")))</f>
        <v/>
      </c>
      <c r="EL4" s="30" t="str">
        <f t="shared" ref="EL4:EL34" si="5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56">IF(EN4="","",IF(ISNUMBER(SEARCH("夜勤",EN4)),"",IF(A4="","","○")))</f>
        <v/>
      </c>
      <c r="EQ4" s="30" t="str">
        <f t="shared" ref="EQ4:EQ34" si="5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58">IF(ES4="","",IF(ISNUMBER(SEARCH("夜勤",ES4)),"",IF(A4="","","○")))</f>
        <v/>
      </c>
      <c r="EV4" s="30" t="str">
        <f t="shared" ref="EV4:EV34" si="5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IF(DAY(DATE(対象年度,2,2))&lt;&gt;2,"",2)</f>
        <v>2</v>
      </c>
      <c r="B5" s="32" t="str">
        <f>IF(DAY(DATE(対象年度,2,2))&lt;&gt;2,"",CHOOSE(WEEKDAY(DATE(対象年度,2,2),2),"月","火","水","木","金","土","日"))</f>
        <v>月</v>
      </c>
      <c r="C5" s="32" t="str">
        <f>IF(DAY(DATE(対象年度,2,2))&lt;&gt;2,"",IF(ISNUMBER(MATCH(DATE(対象年度,2,2),祝日リスト,0)),"祝",""))</f>
        <v/>
      </c>
      <c r="D5" s="38"/>
      <c r="E5" s="34"/>
      <c r="F5" s="35" t="str">
        <f t="shared" si="0"/>
        <v/>
      </c>
      <c r="G5" s="36" t="str">
        <f t="shared" si="1"/>
        <v/>
      </c>
      <c r="H5" s="37"/>
      <c r="I5" s="38"/>
      <c r="J5" s="34"/>
      <c r="K5" s="35" t="str">
        <f t="shared" si="2"/>
        <v/>
      </c>
      <c r="L5" s="36" t="str">
        <f t="shared" si="3"/>
        <v/>
      </c>
      <c r="M5" s="37"/>
      <c r="N5" s="38"/>
      <c r="O5" s="34"/>
      <c r="P5" s="35"/>
      <c r="Q5" s="36"/>
      <c r="R5" s="37"/>
      <c r="S5" s="38"/>
      <c r="T5" s="34"/>
      <c r="U5" s="35"/>
      <c r="V5" s="36"/>
      <c r="W5" s="37"/>
      <c r="X5" s="38"/>
      <c r="Y5" s="34"/>
      <c r="Z5" s="35"/>
      <c r="AA5" s="36"/>
      <c r="AB5" s="37"/>
      <c r="AC5" s="38"/>
      <c r="AD5" s="34"/>
      <c r="AE5" s="35" t="str">
        <f t="shared" si="10"/>
        <v/>
      </c>
      <c r="AF5" s="36" t="str">
        <f t="shared" si="11"/>
        <v/>
      </c>
      <c r="AG5" s="37"/>
      <c r="AH5" s="38"/>
      <c r="AI5" s="34"/>
      <c r="AJ5" s="35"/>
      <c r="AK5" s="36"/>
      <c r="AL5" s="37"/>
      <c r="AM5" s="38"/>
      <c r="AN5" s="34"/>
      <c r="AO5" s="35"/>
      <c r="AP5" s="36"/>
      <c r="AQ5" s="37"/>
      <c r="AR5" s="38"/>
      <c r="AS5" s="34"/>
      <c r="AT5" s="35"/>
      <c r="AU5" s="36"/>
      <c r="AV5" s="37"/>
      <c r="AW5" s="38"/>
      <c r="AX5" s="34"/>
      <c r="AY5" s="35"/>
      <c r="AZ5" s="36"/>
      <c r="BA5" s="37"/>
      <c r="BB5" s="38"/>
      <c r="BC5" s="34"/>
      <c r="BD5" s="35" t="str">
        <f t="shared" si="20"/>
        <v/>
      </c>
      <c r="BE5" s="36" t="str">
        <f t="shared" si="21"/>
        <v/>
      </c>
      <c r="BF5" s="37"/>
      <c r="BG5" s="38"/>
      <c r="BH5" s="34"/>
      <c r="BI5" s="35" t="str">
        <f t="shared" si="22"/>
        <v/>
      </c>
      <c r="BJ5" s="36" t="str">
        <f t="shared" si="23"/>
        <v/>
      </c>
      <c r="BK5" s="37"/>
      <c r="BL5" s="33"/>
      <c r="BM5" s="34"/>
      <c r="BN5" s="35" t="str">
        <f t="shared" si="24"/>
        <v/>
      </c>
      <c r="BO5" s="36" t="str">
        <f t="shared" si="25"/>
        <v/>
      </c>
      <c r="BP5" s="37"/>
      <c r="BQ5" s="33"/>
      <c r="BR5" s="34"/>
      <c r="BS5" s="35" t="str">
        <f t="shared" si="26"/>
        <v/>
      </c>
      <c r="BT5" s="36" t="str">
        <f t="shared" si="27"/>
        <v/>
      </c>
      <c r="BU5" s="37"/>
      <c r="BV5" s="33"/>
      <c r="BW5" s="34"/>
      <c r="BX5" s="35" t="str">
        <f t="shared" si="28"/>
        <v/>
      </c>
      <c r="BY5" s="36" t="str">
        <f t="shared" si="29"/>
        <v/>
      </c>
      <c r="BZ5" s="37"/>
      <c r="CA5" s="33"/>
      <c r="CB5" s="34"/>
      <c r="CC5" s="35" t="str">
        <f t="shared" si="30"/>
        <v/>
      </c>
      <c r="CD5" s="36" t="str">
        <f t="shared" si="31"/>
        <v/>
      </c>
      <c r="CE5" s="37"/>
      <c r="CF5" s="33"/>
      <c r="CG5" s="34"/>
      <c r="CH5" s="35" t="str">
        <f t="shared" si="32"/>
        <v/>
      </c>
      <c r="CI5" s="36" t="str">
        <f t="shared" si="33"/>
        <v/>
      </c>
      <c r="CJ5" s="37"/>
      <c r="CK5" s="33"/>
      <c r="CL5" s="34"/>
      <c r="CM5" s="35" t="str">
        <f t="shared" si="34"/>
        <v/>
      </c>
      <c r="CN5" s="36" t="str">
        <f t="shared" si="35"/>
        <v/>
      </c>
      <c r="CO5" s="37"/>
      <c r="CP5" s="33"/>
      <c r="CQ5" s="34"/>
      <c r="CR5" s="35" t="str">
        <f t="shared" si="36"/>
        <v/>
      </c>
      <c r="CS5" s="36" t="str">
        <f t="shared" si="37"/>
        <v/>
      </c>
      <c r="CT5" s="37"/>
      <c r="CU5" s="33"/>
      <c r="CV5" s="34"/>
      <c r="CW5" s="35" t="str">
        <f t="shared" si="38"/>
        <v/>
      </c>
      <c r="CX5" s="36" t="str">
        <f t="shared" si="39"/>
        <v/>
      </c>
      <c r="CY5" s="37"/>
      <c r="CZ5" s="33"/>
      <c r="DA5" s="34"/>
      <c r="DB5" s="35" t="str">
        <f t="shared" si="40"/>
        <v/>
      </c>
      <c r="DC5" s="36" t="str">
        <f t="shared" si="41"/>
        <v/>
      </c>
      <c r="DD5" s="37"/>
      <c r="DE5" s="33"/>
      <c r="DF5" s="34"/>
      <c r="DG5" s="35" t="str">
        <f t="shared" si="42"/>
        <v/>
      </c>
      <c r="DH5" s="36" t="str">
        <f t="shared" si="43"/>
        <v/>
      </c>
      <c r="DI5" s="37"/>
      <c r="DJ5" s="33"/>
      <c r="DK5" s="34"/>
      <c r="DL5" s="35" t="str">
        <f t="shared" si="44"/>
        <v/>
      </c>
      <c r="DM5" s="36" t="str">
        <f t="shared" si="45"/>
        <v/>
      </c>
      <c r="DN5" s="37"/>
      <c r="DO5" s="33"/>
      <c r="DP5" s="34"/>
      <c r="DQ5" s="35" t="str">
        <f t="shared" si="46"/>
        <v/>
      </c>
      <c r="DR5" s="36" t="str">
        <f t="shared" si="47"/>
        <v/>
      </c>
      <c r="DS5" s="37"/>
      <c r="DT5" s="33"/>
      <c r="DU5" s="34"/>
      <c r="DV5" s="35" t="str">
        <f t="shared" si="48"/>
        <v/>
      </c>
      <c r="DW5" s="36" t="str">
        <f t="shared" si="49"/>
        <v/>
      </c>
      <c r="DX5" s="37"/>
      <c r="DY5" s="33"/>
      <c r="DZ5" s="34"/>
      <c r="EA5" s="35" t="str">
        <f t="shared" si="50"/>
        <v/>
      </c>
      <c r="EB5" s="36" t="str">
        <f t="shared" si="51"/>
        <v/>
      </c>
      <c r="EC5" s="37"/>
      <c r="ED5" s="33"/>
      <c r="EE5" s="34"/>
      <c r="EF5" s="35" t="str">
        <f t="shared" si="52"/>
        <v/>
      </c>
      <c r="EG5" s="36" t="str">
        <f t="shared" si="53"/>
        <v/>
      </c>
      <c r="EH5" s="37"/>
      <c r="EI5" s="33"/>
      <c r="EJ5" s="34"/>
      <c r="EK5" s="35" t="str">
        <f t="shared" si="54"/>
        <v/>
      </c>
      <c r="EL5" s="36" t="str">
        <f t="shared" si="55"/>
        <v/>
      </c>
      <c r="EM5" s="37"/>
      <c r="EN5" s="33"/>
      <c r="EO5" s="34"/>
      <c r="EP5" s="35" t="str">
        <f t="shared" si="56"/>
        <v/>
      </c>
      <c r="EQ5" s="36" t="str">
        <f t="shared" si="57"/>
        <v/>
      </c>
      <c r="ER5" s="37"/>
      <c r="ES5" s="33"/>
      <c r="ET5" s="34"/>
      <c r="EU5" s="35" t="str">
        <f t="shared" si="58"/>
        <v/>
      </c>
      <c r="EV5" s="36" t="str">
        <f t="shared" si="59"/>
        <v/>
      </c>
      <c r="EW5" s="37"/>
    </row>
    <row r="6" spans="1:153" ht="19.5" customHeight="1">
      <c r="A6" s="32">
        <f>IF(DAY(DATE(対象年度,2,3))&lt;&gt;3,"",3)</f>
        <v>3</v>
      </c>
      <c r="B6" s="32" t="str">
        <f>IF(DAY(DATE(対象年度,2,3))&lt;&gt;3,"",CHOOSE(WEEKDAY(DATE(対象年度,2,3),2),"月","火","水","木","金","土","日"))</f>
        <v>火</v>
      </c>
      <c r="C6" s="32" t="str">
        <f>IF(DAY(DATE(対象年度,2,3))&lt;&gt;3,"",IF(ISNUMBER(MATCH(DATE(対象年度,2,3),祝日リスト,0)),"祝",""))</f>
        <v/>
      </c>
      <c r="D6" s="38"/>
      <c r="E6" s="34"/>
      <c r="F6" s="35" t="str">
        <f t="shared" si="0"/>
        <v/>
      </c>
      <c r="G6" s="36" t="str">
        <f t="shared" si="1"/>
        <v/>
      </c>
      <c r="H6" s="37"/>
      <c r="I6" s="38"/>
      <c r="J6" s="34"/>
      <c r="K6" s="35" t="str">
        <f t="shared" si="2"/>
        <v/>
      </c>
      <c r="L6" s="36" t="str">
        <f t="shared" si="3"/>
        <v/>
      </c>
      <c r="M6" s="37"/>
      <c r="N6" s="38"/>
      <c r="O6" s="34"/>
      <c r="P6" s="35"/>
      <c r="Q6" s="36"/>
      <c r="R6" s="37"/>
      <c r="S6" s="38"/>
      <c r="T6" s="34"/>
      <c r="U6" s="35"/>
      <c r="V6" s="36"/>
      <c r="W6" s="37"/>
      <c r="X6" s="38"/>
      <c r="Y6" s="34"/>
      <c r="Z6" s="35"/>
      <c r="AA6" s="36"/>
      <c r="AB6" s="37"/>
      <c r="AC6" s="38"/>
      <c r="AD6" s="34"/>
      <c r="AE6" s="35" t="str">
        <f t="shared" si="10"/>
        <v/>
      </c>
      <c r="AF6" s="36" t="str">
        <f t="shared" si="11"/>
        <v/>
      </c>
      <c r="AG6" s="37"/>
      <c r="AH6" s="33"/>
      <c r="AI6" s="34"/>
      <c r="AJ6" s="35"/>
      <c r="AK6" s="36"/>
      <c r="AL6" s="37"/>
      <c r="AM6" s="38"/>
      <c r="AN6" s="34"/>
      <c r="AO6" s="35"/>
      <c r="AP6" s="36"/>
      <c r="AQ6" s="37"/>
      <c r="AR6" s="38"/>
      <c r="AS6" s="34"/>
      <c r="AT6" s="35"/>
      <c r="AU6" s="36"/>
      <c r="AV6" s="37"/>
      <c r="AW6" s="38"/>
      <c r="AX6" s="34"/>
      <c r="AY6" s="35"/>
      <c r="AZ6" s="36"/>
      <c r="BA6" s="37"/>
      <c r="BB6" s="38"/>
      <c r="BC6" s="34"/>
      <c r="BD6" s="35" t="str">
        <f t="shared" si="20"/>
        <v/>
      </c>
      <c r="BE6" s="36" t="str">
        <f t="shared" si="21"/>
        <v/>
      </c>
      <c r="BF6" s="37"/>
      <c r="BG6" s="38"/>
      <c r="BH6" s="34"/>
      <c r="BI6" s="35" t="str">
        <f t="shared" si="22"/>
        <v/>
      </c>
      <c r="BJ6" s="36" t="str">
        <f t="shared" si="23"/>
        <v/>
      </c>
      <c r="BK6" s="37"/>
      <c r="BL6" s="33"/>
      <c r="BM6" s="34"/>
      <c r="BN6" s="35" t="str">
        <f t="shared" si="24"/>
        <v/>
      </c>
      <c r="BO6" s="36" t="str">
        <f t="shared" si="25"/>
        <v/>
      </c>
      <c r="BP6" s="37"/>
      <c r="BQ6" s="33"/>
      <c r="BR6" s="34"/>
      <c r="BS6" s="35" t="str">
        <f t="shared" si="26"/>
        <v/>
      </c>
      <c r="BT6" s="36" t="str">
        <f t="shared" si="27"/>
        <v/>
      </c>
      <c r="BU6" s="37"/>
      <c r="BV6" s="33"/>
      <c r="BW6" s="34"/>
      <c r="BX6" s="35" t="str">
        <f t="shared" si="28"/>
        <v/>
      </c>
      <c r="BY6" s="36" t="str">
        <f t="shared" si="29"/>
        <v/>
      </c>
      <c r="BZ6" s="37"/>
      <c r="CA6" s="33"/>
      <c r="CB6" s="34"/>
      <c r="CC6" s="35" t="str">
        <f t="shared" si="30"/>
        <v/>
      </c>
      <c r="CD6" s="36" t="str">
        <f t="shared" si="31"/>
        <v/>
      </c>
      <c r="CE6" s="37"/>
      <c r="CF6" s="33"/>
      <c r="CG6" s="34"/>
      <c r="CH6" s="35" t="str">
        <f t="shared" si="32"/>
        <v/>
      </c>
      <c r="CI6" s="36" t="str">
        <f t="shared" si="33"/>
        <v/>
      </c>
      <c r="CJ6" s="37"/>
      <c r="CK6" s="33"/>
      <c r="CL6" s="34"/>
      <c r="CM6" s="35" t="str">
        <f t="shared" si="34"/>
        <v/>
      </c>
      <c r="CN6" s="36" t="str">
        <f t="shared" si="35"/>
        <v/>
      </c>
      <c r="CO6" s="37"/>
      <c r="CP6" s="33"/>
      <c r="CQ6" s="34"/>
      <c r="CR6" s="35" t="str">
        <f t="shared" si="36"/>
        <v/>
      </c>
      <c r="CS6" s="36" t="str">
        <f t="shared" si="37"/>
        <v/>
      </c>
      <c r="CT6" s="37"/>
      <c r="CU6" s="33"/>
      <c r="CV6" s="34"/>
      <c r="CW6" s="35" t="str">
        <f t="shared" si="38"/>
        <v/>
      </c>
      <c r="CX6" s="36" t="str">
        <f t="shared" si="39"/>
        <v/>
      </c>
      <c r="CY6" s="37"/>
      <c r="CZ6" s="33"/>
      <c r="DA6" s="34"/>
      <c r="DB6" s="35" t="str">
        <f t="shared" si="40"/>
        <v/>
      </c>
      <c r="DC6" s="36" t="str">
        <f t="shared" si="41"/>
        <v/>
      </c>
      <c r="DD6" s="37"/>
      <c r="DE6" s="33"/>
      <c r="DF6" s="34"/>
      <c r="DG6" s="35" t="str">
        <f t="shared" si="42"/>
        <v/>
      </c>
      <c r="DH6" s="36" t="str">
        <f t="shared" si="43"/>
        <v/>
      </c>
      <c r="DI6" s="37"/>
      <c r="DJ6" s="33"/>
      <c r="DK6" s="34"/>
      <c r="DL6" s="35" t="str">
        <f t="shared" si="44"/>
        <v/>
      </c>
      <c r="DM6" s="36" t="str">
        <f t="shared" si="45"/>
        <v/>
      </c>
      <c r="DN6" s="37"/>
      <c r="DO6" s="33"/>
      <c r="DP6" s="34"/>
      <c r="DQ6" s="35" t="str">
        <f t="shared" si="46"/>
        <v/>
      </c>
      <c r="DR6" s="36" t="str">
        <f t="shared" si="47"/>
        <v/>
      </c>
      <c r="DS6" s="37"/>
      <c r="DT6" s="33"/>
      <c r="DU6" s="34"/>
      <c r="DV6" s="35" t="str">
        <f t="shared" si="48"/>
        <v/>
      </c>
      <c r="DW6" s="36" t="str">
        <f t="shared" si="49"/>
        <v/>
      </c>
      <c r="DX6" s="37"/>
      <c r="DY6" s="33"/>
      <c r="DZ6" s="34"/>
      <c r="EA6" s="35" t="str">
        <f t="shared" si="50"/>
        <v/>
      </c>
      <c r="EB6" s="36" t="str">
        <f t="shared" si="51"/>
        <v/>
      </c>
      <c r="EC6" s="37"/>
      <c r="ED6" s="33"/>
      <c r="EE6" s="34"/>
      <c r="EF6" s="35" t="str">
        <f t="shared" si="52"/>
        <v/>
      </c>
      <c r="EG6" s="36" t="str">
        <f t="shared" si="53"/>
        <v/>
      </c>
      <c r="EH6" s="37"/>
      <c r="EI6" s="33"/>
      <c r="EJ6" s="34"/>
      <c r="EK6" s="35" t="str">
        <f t="shared" si="54"/>
        <v/>
      </c>
      <c r="EL6" s="36" t="str">
        <f t="shared" si="55"/>
        <v/>
      </c>
      <c r="EM6" s="37"/>
      <c r="EN6" s="33"/>
      <c r="EO6" s="34"/>
      <c r="EP6" s="35" t="str">
        <f t="shared" si="56"/>
        <v/>
      </c>
      <c r="EQ6" s="36" t="str">
        <f t="shared" si="57"/>
        <v/>
      </c>
      <c r="ER6" s="37"/>
      <c r="ES6" s="33"/>
      <c r="ET6" s="34"/>
      <c r="EU6" s="35" t="str">
        <f t="shared" si="58"/>
        <v/>
      </c>
      <c r="EV6" s="36" t="str">
        <f t="shared" si="59"/>
        <v/>
      </c>
      <c r="EW6" s="37"/>
    </row>
    <row r="7" spans="1:153" ht="19.5" customHeight="1">
      <c r="A7" s="32">
        <f>IF(DAY(DATE(対象年度,2,4))&lt;&gt;4,"",4)</f>
        <v>4</v>
      </c>
      <c r="B7" s="32" t="str">
        <f>IF(DAY(DATE(対象年度,2,4))&lt;&gt;4,"",CHOOSE(WEEKDAY(DATE(対象年度,2,4),2),"月","火","水","木","金","土","日"))</f>
        <v>水</v>
      </c>
      <c r="C7" s="32" t="str">
        <f>IF(DAY(DATE(対象年度,2,4))&lt;&gt;4,"",IF(ISNUMBER(MATCH(DATE(対象年度,2,4),祝日リスト,0)),"祝",""))</f>
        <v/>
      </c>
      <c r="D7" s="38"/>
      <c r="E7" s="34"/>
      <c r="F7" s="35" t="str">
        <f t="shared" si="0"/>
        <v/>
      </c>
      <c r="G7" s="36" t="str">
        <f t="shared" si="1"/>
        <v/>
      </c>
      <c r="H7" s="37"/>
      <c r="I7" s="38"/>
      <c r="J7" s="34"/>
      <c r="K7" s="35" t="str">
        <f t="shared" si="2"/>
        <v/>
      </c>
      <c r="L7" s="36" t="str">
        <f t="shared" si="3"/>
        <v/>
      </c>
      <c r="M7" s="37"/>
      <c r="N7" s="38"/>
      <c r="O7" s="34"/>
      <c r="P7" s="35"/>
      <c r="Q7" s="36"/>
      <c r="R7" s="37"/>
      <c r="S7" s="38"/>
      <c r="T7" s="34"/>
      <c r="U7" s="35"/>
      <c r="V7" s="36"/>
      <c r="W7" s="37"/>
      <c r="X7" s="38"/>
      <c r="Y7" s="34"/>
      <c r="Z7" s="35"/>
      <c r="AA7" s="36"/>
      <c r="AB7" s="37"/>
      <c r="AC7" s="38"/>
      <c r="AD7" s="34"/>
      <c r="AE7" s="35" t="str">
        <f t="shared" si="10"/>
        <v/>
      </c>
      <c r="AF7" s="36" t="str">
        <f t="shared" si="11"/>
        <v/>
      </c>
      <c r="AG7" s="37"/>
      <c r="AH7" s="38"/>
      <c r="AI7" s="34"/>
      <c r="AJ7" s="35"/>
      <c r="AK7" s="36"/>
      <c r="AL7" s="37"/>
      <c r="AM7" s="38"/>
      <c r="AN7" s="34"/>
      <c r="AO7" s="35"/>
      <c r="AP7" s="36"/>
      <c r="AQ7" s="37"/>
      <c r="AR7" s="38"/>
      <c r="AS7" s="34"/>
      <c r="AT7" s="35"/>
      <c r="AU7" s="36"/>
      <c r="AV7" s="37"/>
      <c r="AW7" s="38"/>
      <c r="AX7" s="34"/>
      <c r="AY7" s="35"/>
      <c r="AZ7" s="36"/>
      <c r="BA7" s="37"/>
      <c r="BB7" s="38"/>
      <c r="BC7" s="34"/>
      <c r="BD7" s="35" t="str">
        <f t="shared" si="20"/>
        <v/>
      </c>
      <c r="BE7" s="36" t="str">
        <f t="shared" si="21"/>
        <v/>
      </c>
      <c r="BF7" s="37"/>
      <c r="BG7" s="38"/>
      <c r="BH7" s="34"/>
      <c r="BI7" s="35" t="str">
        <f t="shared" si="22"/>
        <v/>
      </c>
      <c r="BJ7" s="36" t="str">
        <f t="shared" si="23"/>
        <v/>
      </c>
      <c r="BK7" s="37"/>
      <c r="BL7" s="33"/>
      <c r="BM7" s="34"/>
      <c r="BN7" s="35" t="str">
        <f t="shared" si="24"/>
        <v/>
      </c>
      <c r="BO7" s="36" t="str">
        <f t="shared" si="25"/>
        <v/>
      </c>
      <c r="BP7" s="37"/>
      <c r="BQ7" s="33"/>
      <c r="BR7" s="34"/>
      <c r="BS7" s="35" t="str">
        <f t="shared" si="26"/>
        <v/>
      </c>
      <c r="BT7" s="36" t="str">
        <f t="shared" si="27"/>
        <v/>
      </c>
      <c r="BU7" s="37"/>
      <c r="BV7" s="33"/>
      <c r="BW7" s="34"/>
      <c r="BX7" s="35" t="str">
        <f t="shared" si="28"/>
        <v/>
      </c>
      <c r="BY7" s="36" t="str">
        <f t="shared" si="29"/>
        <v/>
      </c>
      <c r="BZ7" s="37"/>
      <c r="CA7" s="33"/>
      <c r="CB7" s="34"/>
      <c r="CC7" s="35" t="str">
        <f t="shared" si="30"/>
        <v/>
      </c>
      <c r="CD7" s="36" t="str">
        <f t="shared" si="31"/>
        <v/>
      </c>
      <c r="CE7" s="37"/>
      <c r="CF7" s="33"/>
      <c r="CG7" s="34"/>
      <c r="CH7" s="35" t="str">
        <f t="shared" si="32"/>
        <v/>
      </c>
      <c r="CI7" s="36" t="str">
        <f t="shared" si="33"/>
        <v/>
      </c>
      <c r="CJ7" s="37"/>
      <c r="CK7" s="33"/>
      <c r="CL7" s="34"/>
      <c r="CM7" s="35" t="str">
        <f t="shared" si="34"/>
        <v/>
      </c>
      <c r="CN7" s="36" t="str">
        <f t="shared" si="35"/>
        <v/>
      </c>
      <c r="CO7" s="37"/>
      <c r="CP7" s="33"/>
      <c r="CQ7" s="34"/>
      <c r="CR7" s="35" t="str">
        <f t="shared" si="36"/>
        <v/>
      </c>
      <c r="CS7" s="36" t="str">
        <f t="shared" si="37"/>
        <v/>
      </c>
      <c r="CT7" s="37"/>
      <c r="CU7" s="33"/>
      <c r="CV7" s="34"/>
      <c r="CW7" s="35" t="str">
        <f t="shared" si="38"/>
        <v/>
      </c>
      <c r="CX7" s="36" t="str">
        <f t="shared" si="39"/>
        <v/>
      </c>
      <c r="CY7" s="37"/>
      <c r="CZ7" s="33"/>
      <c r="DA7" s="34"/>
      <c r="DB7" s="35" t="str">
        <f t="shared" si="40"/>
        <v/>
      </c>
      <c r="DC7" s="36" t="str">
        <f t="shared" si="41"/>
        <v/>
      </c>
      <c r="DD7" s="37"/>
      <c r="DE7" s="33"/>
      <c r="DF7" s="34"/>
      <c r="DG7" s="35" t="str">
        <f t="shared" si="42"/>
        <v/>
      </c>
      <c r="DH7" s="36" t="str">
        <f t="shared" si="43"/>
        <v/>
      </c>
      <c r="DI7" s="37"/>
      <c r="DJ7" s="33"/>
      <c r="DK7" s="34"/>
      <c r="DL7" s="35" t="str">
        <f t="shared" si="44"/>
        <v/>
      </c>
      <c r="DM7" s="36" t="str">
        <f t="shared" si="45"/>
        <v/>
      </c>
      <c r="DN7" s="37"/>
      <c r="DO7" s="33"/>
      <c r="DP7" s="34"/>
      <c r="DQ7" s="35" t="str">
        <f t="shared" si="46"/>
        <v/>
      </c>
      <c r="DR7" s="36" t="str">
        <f t="shared" si="47"/>
        <v/>
      </c>
      <c r="DS7" s="37"/>
      <c r="DT7" s="33"/>
      <c r="DU7" s="34"/>
      <c r="DV7" s="35" t="str">
        <f t="shared" si="48"/>
        <v/>
      </c>
      <c r="DW7" s="36" t="str">
        <f t="shared" si="49"/>
        <v/>
      </c>
      <c r="DX7" s="37"/>
      <c r="DY7" s="33"/>
      <c r="DZ7" s="34"/>
      <c r="EA7" s="35" t="str">
        <f t="shared" si="50"/>
        <v/>
      </c>
      <c r="EB7" s="36" t="str">
        <f t="shared" si="51"/>
        <v/>
      </c>
      <c r="EC7" s="37"/>
      <c r="ED7" s="33"/>
      <c r="EE7" s="34"/>
      <c r="EF7" s="35" t="str">
        <f t="shared" si="52"/>
        <v/>
      </c>
      <c r="EG7" s="36" t="str">
        <f t="shared" si="53"/>
        <v/>
      </c>
      <c r="EH7" s="37"/>
      <c r="EI7" s="33"/>
      <c r="EJ7" s="34"/>
      <c r="EK7" s="35" t="str">
        <f t="shared" si="54"/>
        <v/>
      </c>
      <c r="EL7" s="36" t="str">
        <f t="shared" si="55"/>
        <v/>
      </c>
      <c r="EM7" s="37"/>
      <c r="EN7" s="33"/>
      <c r="EO7" s="34"/>
      <c r="EP7" s="35" t="str">
        <f t="shared" si="56"/>
        <v/>
      </c>
      <c r="EQ7" s="36" t="str">
        <f t="shared" si="57"/>
        <v/>
      </c>
      <c r="ER7" s="37"/>
      <c r="ES7" s="33"/>
      <c r="ET7" s="34"/>
      <c r="EU7" s="35" t="str">
        <f t="shared" si="58"/>
        <v/>
      </c>
      <c r="EV7" s="36" t="str">
        <f t="shared" si="59"/>
        <v/>
      </c>
      <c r="EW7" s="37"/>
    </row>
    <row r="8" spans="1:153" ht="19.5" customHeight="1">
      <c r="A8" s="32">
        <f>IF(DAY(DATE(対象年度,2,5))&lt;&gt;5,"",5)</f>
        <v>5</v>
      </c>
      <c r="B8" s="32" t="str">
        <f>IF(DAY(DATE(対象年度,2,5))&lt;&gt;5,"",CHOOSE(WEEKDAY(DATE(対象年度,2,5),2),"月","火","水","木","金","土","日"))</f>
        <v>木</v>
      </c>
      <c r="C8" s="32" t="str">
        <f>IF(DAY(DATE(対象年度,2,5))&lt;&gt;5,"",IF(ISNUMBER(MATCH(DATE(対象年度,2,5),祝日リスト,0)),"祝",""))</f>
        <v/>
      </c>
      <c r="D8" s="38"/>
      <c r="E8" s="34"/>
      <c r="F8" s="35" t="str">
        <f t="shared" si="0"/>
        <v/>
      </c>
      <c r="G8" s="36" t="str">
        <f t="shared" si="1"/>
        <v/>
      </c>
      <c r="H8" s="37"/>
      <c r="I8" s="38"/>
      <c r="J8" s="34"/>
      <c r="K8" s="35" t="str">
        <f t="shared" si="2"/>
        <v/>
      </c>
      <c r="L8" s="36" t="str">
        <f t="shared" si="3"/>
        <v/>
      </c>
      <c r="M8" s="37"/>
      <c r="N8" s="38"/>
      <c r="O8" s="34"/>
      <c r="P8" s="35"/>
      <c r="Q8" s="36"/>
      <c r="R8" s="37"/>
      <c r="S8" s="38"/>
      <c r="T8" s="34"/>
      <c r="U8" s="35"/>
      <c r="V8" s="36"/>
      <c r="W8" s="37"/>
      <c r="X8" s="38"/>
      <c r="Y8" s="34"/>
      <c r="Z8" s="35"/>
      <c r="AA8" s="36"/>
      <c r="AB8" s="37"/>
      <c r="AC8" s="38"/>
      <c r="AD8" s="34"/>
      <c r="AE8" s="35" t="str">
        <f t="shared" si="10"/>
        <v/>
      </c>
      <c r="AF8" s="36" t="str">
        <f t="shared" si="11"/>
        <v/>
      </c>
      <c r="AG8" s="37"/>
      <c r="AH8" s="38"/>
      <c r="AI8" s="34"/>
      <c r="AJ8" s="35"/>
      <c r="AK8" s="36"/>
      <c r="AL8" s="37"/>
      <c r="AM8" s="38"/>
      <c r="AN8" s="34"/>
      <c r="AO8" s="35"/>
      <c r="AP8" s="36"/>
      <c r="AQ8" s="37"/>
      <c r="AR8" s="38"/>
      <c r="AS8" s="34"/>
      <c r="AT8" s="35"/>
      <c r="AU8" s="36"/>
      <c r="AV8" s="37"/>
      <c r="AW8" s="38"/>
      <c r="AX8" s="34"/>
      <c r="AY8" s="35"/>
      <c r="AZ8" s="36"/>
      <c r="BA8" s="37"/>
      <c r="BB8" s="38"/>
      <c r="BC8" s="34"/>
      <c r="BD8" s="35" t="str">
        <f t="shared" si="20"/>
        <v/>
      </c>
      <c r="BE8" s="36" t="str">
        <f t="shared" si="21"/>
        <v/>
      </c>
      <c r="BF8" s="37"/>
      <c r="BG8" s="38"/>
      <c r="BH8" s="34"/>
      <c r="BI8" s="35" t="str">
        <f t="shared" si="22"/>
        <v/>
      </c>
      <c r="BJ8" s="36" t="str">
        <f t="shared" si="23"/>
        <v/>
      </c>
      <c r="BK8" s="37"/>
      <c r="BL8" s="33"/>
      <c r="BM8" s="34"/>
      <c r="BN8" s="35" t="str">
        <f t="shared" si="24"/>
        <v/>
      </c>
      <c r="BO8" s="36" t="str">
        <f t="shared" si="25"/>
        <v/>
      </c>
      <c r="BP8" s="37"/>
      <c r="BQ8" s="33"/>
      <c r="BR8" s="34"/>
      <c r="BS8" s="35" t="str">
        <f t="shared" si="26"/>
        <v/>
      </c>
      <c r="BT8" s="36" t="str">
        <f t="shared" si="27"/>
        <v/>
      </c>
      <c r="BU8" s="37"/>
      <c r="BV8" s="33"/>
      <c r="BW8" s="34"/>
      <c r="BX8" s="35" t="str">
        <f t="shared" si="28"/>
        <v/>
      </c>
      <c r="BY8" s="36" t="str">
        <f t="shared" si="29"/>
        <v/>
      </c>
      <c r="BZ8" s="37"/>
      <c r="CA8" s="33"/>
      <c r="CB8" s="34"/>
      <c r="CC8" s="35" t="str">
        <f t="shared" si="30"/>
        <v/>
      </c>
      <c r="CD8" s="36" t="str">
        <f t="shared" si="31"/>
        <v/>
      </c>
      <c r="CE8" s="37"/>
      <c r="CF8" s="33"/>
      <c r="CG8" s="34"/>
      <c r="CH8" s="35" t="str">
        <f t="shared" si="32"/>
        <v/>
      </c>
      <c r="CI8" s="36" t="str">
        <f t="shared" si="33"/>
        <v/>
      </c>
      <c r="CJ8" s="37"/>
      <c r="CK8" s="33"/>
      <c r="CL8" s="34"/>
      <c r="CM8" s="35" t="str">
        <f t="shared" si="34"/>
        <v/>
      </c>
      <c r="CN8" s="36" t="str">
        <f t="shared" si="35"/>
        <v/>
      </c>
      <c r="CO8" s="37"/>
      <c r="CP8" s="33"/>
      <c r="CQ8" s="34"/>
      <c r="CR8" s="35" t="str">
        <f t="shared" si="36"/>
        <v/>
      </c>
      <c r="CS8" s="36" t="str">
        <f t="shared" si="37"/>
        <v/>
      </c>
      <c r="CT8" s="37"/>
      <c r="CU8" s="33"/>
      <c r="CV8" s="34"/>
      <c r="CW8" s="35" t="str">
        <f t="shared" si="38"/>
        <v/>
      </c>
      <c r="CX8" s="36" t="str">
        <f t="shared" si="39"/>
        <v/>
      </c>
      <c r="CY8" s="37"/>
      <c r="CZ8" s="33"/>
      <c r="DA8" s="34"/>
      <c r="DB8" s="35" t="str">
        <f t="shared" si="40"/>
        <v/>
      </c>
      <c r="DC8" s="36" t="str">
        <f t="shared" si="41"/>
        <v/>
      </c>
      <c r="DD8" s="37"/>
      <c r="DE8" s="33"/>
      <c r="DF8" s="34"/>
      <c r="DG8" s="35" t="str">
        <f t="shared" si="42"/>
        <v/>
      </c>
      <c r="DH8" s="36" t="str">
        <f t="shared" si="43"/>
        <v/>
      </c>
      <c r="DI8" s="37"/>
      <c r="DJ8" s="33"/>
      <c r="DK8" s="34"/>
      <c r="DL8" s="35" t="str">
        <f t="shared" si="44"/>
        <v/>
      </c>
      <c r="DM8" s="36" t="str">
        <f t="shared" si="45"/>
        <v/>
      </c>
      <c r="DN8" s="37"/>
      <c r="DO8" s="33"/>
      <c r="DP8" s="34"/>
      <c r="DQ8" s="35" t="str">
        <f t="shared" si="46"/>
        <v/>
      </c>
      <c r="DR8" s="36" t="str">
        <f t="shared" si="47"/>
        <v/>
      </c>
      <c r="DS8" s="37"/>
      <c r="DT8" s="33"/>
      <c r="DU8" s="34"/>
      <c r="DV8" s="35" t="str">
        <f t="shared" si="48"/>
        <v/>
      </c>
      <c r="DW8" s="36" t="str">
        <f t="shared" si="49"/>
        <v/>
      </c>
      <c r="DX8" s="37"/>
      <c r="DY8" s="33"/>
      <c r="DZ8" s="34"/>
      <c r="EA8" s="35" t="str">
        <f t="shared" si="50"/>
        <v/>
      </c>
      <c r="EB8" s="36" t="str">
        <f t="shared" si="51"/>
        <v/>
      </c>
      <c r="EC8" s="37"/>
      <c r="ED8" s="33"/>
      <c r="EE8" s="34"/>
      <c r="EF8" s="35" t="str">
        <f t="shared" si="52"/>
        <v/>
      </c>
      <c r="EG8" s="36" t="str">
        <f t="shared" si="53"/>
        <v/>
      </c>
      <c r="EH8" s="37"/>
      <c r="EI8" s="33"/>
      <c r="EJ8" s="34"/>
      <c r="EK8" s="35" t="str">
        <f t="shared" si="54"/>
        <v/>
      </c>
      <c r="EL8" s="36" t="str">
        <f t="shared" si="55"/>
        <v/>
      </c>
      <c r="EM8" s="37"/>
      <c r="EN8" s="33"/>
      <c r="EO8" s="34"/>
      <c r="EP8" s="35" t="str">
        <f t="shared" si="56"/>
        <v/>
      </c>
      <c r="EQ8" s="36" t="str">
        <f t="shared" si="57"/>
        <v/>
      </c>
      <c r="ER8" s="37"/>
      <c r="ES8" s="33"/>
      <c r="ET8" s="34"/>
      <c r="EU8" s="35" t="str">
        <f t="shared" si="58"/>
        <v/>
      </c>
      <c r="EV8" s="36" t="str">
        <f t="shared" si="59"/>
        <v/>
      </c>
      <c r="EW8" s="37"/>
    </row>
    <row r="9" spans="1:153" ht="19.5" customHeight="1">
      <c r="A9" s="32">
        <f>IF(DAY(DATE(対象年度,2,6))&lt;&gt;6,"",6)</f>
        <v>6</v>
      </c>
      <c r="B9" s="32" t="str">
        <f>IF(DAY(DATE(対象年度,2,6))&lt;&gt;6,"",CHOOSE(WEEKDAY(DATE(対象年度,2,6),2),"月","火","水","木","金","土","日"))</f>
        <v>金</v>
      </c>
      <c r="C9" s="32" t="str">
        <f>IF(DAY(DATE(対象年度,2,6))&lt;&gt;6,"",IF(ISNUMBER(MATCH(DATE(対象年度,2,6),祝日リスト,0)),"祝",""))</f>
        <v/>
      </c>
      <c r="D9" s="38"/>
      <c r="E9" s="34"/>
      <c r="F9" s="35" t="str">
        <f t="shared" si="0"/>
        <v/>
      </c>
      <c r="G9" s="36" t="str">
        <f t="shared" si="1"/>
        <v/>
      </c>
      <c r="H9" s="37"/>
      <c r="I9" s="38"/>
      <c r="J9" s="34"/>
      <c r="K9" s="35" t="str">
        <f t="shared" si="2"/>
        <v/>
      </c>
      <c r="L9" s="36" t="str">
        <f t="shared" si="3"/>
        <v/>
      </c>
      <c r="M9" s="37"/>
      <c r="N9" s="38"/>
      <c r="O9" s="34"/>
      <c r="P9" s="35"/>
      <c r="Q9" s="36"/>
      <c r="R9" s="37"/>
      <c r="S9" s="38"/>
      <c r="T9" s="34"/>
      <c r="U9" s="35"/>
      <c r="V9" s="36"/>
      <c r="W9" s="37"/>
      <c r="X9" s="38"/>
      <c r="Y9" s="34"/>
      <c r="Z9" s="35"/>
      <c r="AA9" s="36"/>
      <c r="AB9" s="37"/>
      <c r="AC9" s="38"/>
      <c r="AD9" s="34"/>
      <c r="AE9" s="35" t="str">
        <f t="shared" si="10"/>
        <v/>
      </c>
      <c r="AF9" s="36" t="str">
        <f t="shared" si="11"/>
        <v/>
      </c>
      <c r="AG9" s="37"/>
      <c r="AH9" s="38"/>
      <c r="AI9" s="34"/>
      <c r="AJ9" s="35"/>
      <c r="AK9" s="36"/>
      <c r="AL9" s="37"/>
      <c r="AM9" s="38"/>
      <c r="AN9" s="34"/>
      <c r="AO9" s="35"/>
      <c r="AP9" s="36"/>
      <c r="AQ9" s="37"/>
      <c r="AR9" s="38"/>
      <c r="AS9" s="34"/>
      <c r="AT9" s="35"/>
      <c r="AU9" s="36"/>
      <c r="AV9" s="37"/>
      <c r="AW9" s="38"/>
      <c r="AX9" s="34"/>
      <c r="AY9" s="35"/>
      <c r="AZ9" s="36"/>
      <c r="BA9" s="37"/>
      <c r="BB9" s="38"/>
      <c r="BC9" s="34"/>
      <c r="BD9" s="35" t="str">
        <f t="shared" si="20"/>
        <v/>
      </c>
      <c r="BE9" s="36" t="str">
        <f t="shared" si="21"/>
        <v/>
      </c>
      <c r="BF9" s="37"/>
      <c r="BG9" s="38"/>
      <c r="BH9" s="34"/>
      <c r="BI9" s="35" t="str">
        <f t="shared" si="22"/>
        <v/>
      </c>
      <c r="BJ9" s="36" t="str">
        <f t="shared" si="23"/>
        <v/>
      </c>
      <c r="BK9" s="37"/>
      <c r="BL9" s="33"/>
      <c r="BM9" s="34"/>
      <c r="BN9" s="35" t="str">
        <f t="shared" si="24"/>
        <v/>
      </c>
      <c r="BO9" s="36" t="str">
        <f t="shared" si="25"/>
        <v/>
      </c>
      <c r="BP9" s="37"/>
      <c r="BQ9" s="33"/>
      <c r="BR9" s="34"/>
      <c r="BS9" s="35" t="str">
        <f t="shared" si="26"/>
        <v/>
      </c>
      <c r="BT9" s="36" t="str">
        <f t="shared" si="27"/>
        <v/>
      </c>
      <c r="BU9" s="37"/>
      <c r="BV9" s="33"/>
      <c r="BW9" s="34"/>
      <c r="BX9" s="35" t="str">
        <f t="shared" si="28"/>
        <v/>
      </c>
      <c r="BY9" s="36" t="str">
        <f t="shared" si="29"/>
        <v/>
      </c>
      <c r="BZ9" s="37"/>
      <c r="CA9" s="33"/>
      <c r="CB9" s="34"/>
      <c r="CC9" s="35" t="str">
        <f t="shared" si="30"/>
        <v/>
      </c>
      <c r="CD9" s="36" t="str">
        <f t="shared" si="31"/>
        <v/>
      </c>
      <c r="CE9" s="37"/>
      <c r="CF9" s="33"/>
      <c r="CG9" s="34"/>
      <c r="CH9" s="35" t="str">
        <f t="shared" si="32"/>
        <v/>
      </c>
      <c r="CI9" s="36" t="str">
        <f t="shared" si="33"/>
        <v/>
      </c>
      <c r="CJ9" s="37"/>
      <c r="CK9" s="33"/>
      <c r="CL9" s="34"/>
      <c r="CM9" s="35" t="str">
        <f t="shared" si="34"/>
        <v/>
      </c>
      <c r="CN9" s="36" t="str">
        <f t="shared" si="35"/>
        <v/>
      </c>
      <c r="CO9" s="37"/>
      <c r="CP9" s="33"/>
      <c r="CQ9" s="34"/>
      <c r="CR9" s="35" t="str">
        <f t="shared" si="36"/>
        <v/>
      </c>
      <c r="CS9" s="36" t="str">
        <f t="shared" si="37"/>
        <v/>
      </c>
      <c r="CT9" s="37"/>
      <c r="CU9" s="33"/>
      <c r="CV9" s="34"/>
      <c r="CW9" s="35" t="str">
        <f t="shared" si="38"/>
        <v/>
      </c>
      <c r="CX9" s="36" t="str">
        <f t="shared" si="39"/>
        <v/>
      </c>
      <c r="CY9" s="37"/>
      <c r="CZ9" s="33"/>
      <c r="DA9" s="34"/>
      <c r="DB9" s="35" t="str">
        <f t="shared" si="40"/>
        <v/>
      </c>
      <c r="DC9" s="36" t="str">
        <f t="shared" si="41"/>
        <v/>
      </c>
      <c r="DD9" s="37"/>
      <c r="DE9" s="33"/>
      <c r="DF9" s="34"/>
      <c r="DG9" s="35" t="str">
        <f t="shared" si="42"/>
        <v/>
      </c>
      <c r="DH9" s="36" t="str">
        <f t="shared" si="43"/>
        <v/>
      </c>
      <c r="DI9" s="37"/>
      <c r="DJ9" s="33"/>
      <c r="DK9" s="34"/>
      <c r="DL9" s="35" t="str">
        <f t="shared" si="44"/>
        <v/>
      </c>
      <c r="DM9" s="36" t="str">
        <f t="shared" si="45"/>
        <v/>
      </c>
      <c r="DN9" s="37"/>
      <c r="DO9" s="33"/>
      <c r="DP9" s="34"/>
      <c r="DQ9" s="35" t="str">
        <f t="shared" si="46"/>
        <v/>
      </c>
      <c r="DR9" s="36" t="str">
        <f t="shared" si="47"/>
        <v/>
      </c>
      <c r="DS9" s="37"/>
      <c r="DT9" s="33"/>
      <c r="DU9" s="34"/>
      <c r="DV9" s="35" t="str">
        <f t="shared" si="48"/>
        <v/>
      </c>
      <c r="DW9" s="36" t="str">
        <f t="shared" si="49"/>
        <v/>
      </c>
      <c r="DX9" s="37"/>
      <c r="DY9" s="33"/>
      <c r="DZ9" s="34"/>
      <c r="EA9" s="35" t="str">
        <f t="shared" si="50"/>
        <v/>
      </c>
      <c r="EB9" s="36" t="str">
        <f t="shared" si="51"/>
        <v/>
      </c>
      <c r="EC9" s="37"/>
      <c r="ED9" s="33"/>
      <c r="EE9" s="34"/>
      <c r="EF9" s="35" t="str">
        <f t="shared" si="52"/>
        <v/>
      </c>
      <c r="EG9" s="36" t="str">
        <f t="shared" si="53"/>
        <v/>
      </c>
      <c r="EH9" s="37"/>
      <c r="EI9" s="33"/>
      <c r="EJ9" s="34"/>
      <c r="EK9" s="35" t="str">
        <f t="shared" si="54"/>
        <v/>
      </c>
      <c r="EL9" s="36" t="str">
        <f t="shared" si="55"/>
        <v/>
      </c>
      <c r="EM9" s="37"/>
      <c r="EN9" s="33"/>
      <c r="EO9" s="34"/>
      <c r="EP9" s="35" t="str">
        <f t="shared" si="56"/>
        <v/>
      </c>
      <c r="EQ9" s="36" t="str">
        <f t="shared" si="57"/>
        <v/>
      </c>
      <c r="ER9" s="37"/>
      <c r="ES9" s="33"/>
      <c r="ET9" s="34"/>
      <c r="EU9" s="35" t="str">
        <f t="shared" si="58"/>
        <v/>
      </c>
      <c r="EV9" s="36" t="str">
        <f t="shared" si="59"/>
        <v/>
      </c>
      <c r="EW9" s="37"/>
    </row>
    <row r="10" spans="1:153" ht="19.5" customHeight="1">
      <c r="A10" s="32">
        <f>IF(DAY(DATE(対象年度,2,7))&lt;&gt;7,"",7)</f>
        <v>7</v>
      </c>
      <c r="B10" s="32" t="str">
        <f>IF(DAY(DATE(対象年度,2,7))&lt;&gt;7,"",CHOOSE(WEEKDAY(DATE(対象年度,2,7),2),"月","火","水","木","金","土","日"))</f>
        <v>土</v>
      </c>
      <c r="C10" s="32" t="str">
        <f>IF(DAY(DATE(対象年度,2,7))&lt;&gt;7,"",IF(ISNUMBER(MATCH(DATE(対象年度,2,7),祝日リスト,0)),"祝",""))</f>
        <v/>
      </c>
      <c r="D10" s="33"/>
      <c r="E10" s="34"/>
      <c r="F10" s="35" t="str">
        <f t="shared" si="0"/>
        <v/>
      </c>
      <c r="G10" s="36" t="str">
        <f t="shared" si="1"/>
        <v/>
      </c>
      <c r="H10" s="37"/>
      <c r="I10" s="38"/>
      <c r="J10" s="34"/>
      <c r="K10" s="35" t="str">
        <f t="shared" si="2"/>
        <v/>
      </c>
      <c r="L10" s="36" t="str">
        <f t="shared" si="3"/>
        <v/>
      </c>
      <c r="M10" s="37"/>
      <c r="N10" s="38"/>
      <c r="O10" s="34"/>
      <c r="P10" s="35"/>
      <c r="Q10" s="36"/>
      <c r="R10" s="37"/>
      <c r="S10" s="38"/>
      <c r="T10" s="34"/>
      <c r="U10" s="35"/>
      <c r="V10" s="36"/>
      <c r="W10" s="37"/>
      <c r="X10" s="38"/>
      <c r="Y10" s="34"/>
      <c r="Z10" s="35"/>
      <c r="AA10" s="36"/>
      <c r="AB10" s="37"/>
      <c r="AC10" s="38"/>
      <c r="AD10" s="34"/>
      <c r="AE10" s="35" t="str">
        <f t="shared" si="10"/>
        <v/>
      </c>
      <c r="AF10" s="36" t="str">
        <f t="shared" si="11"/>
        <v/>
      </c>
      <c r="AG10" s="37"/>
      <c r="AH10" s="33"/>
      <c r="AI10" s="34"/>
      <c r="AJ10" s="35"/>
      <c r="AK10" s="36"/>
      <c r="AL10" s="37"/>
      <c r="AM10" s="38"/>
      <c r="AN10" s="34"/>
      <c r="AO10" s="35"/>
      <c r="AP10" s="36"/>
      <c r="AQ10" s="37"/>
      <c r="AR10" s="38"/>
      <c r="AS10" s="34"/>
      <c r="AT10" s="35"/>
      <c r="AU10" s="36"/>
      <c r="AV10" s="37"/>
      <c r="AW10" s="33"/>
      <c r="AX10" s="34"/>
      <c r="AY10" s="35"/>
      <c r="AZ10" s="36"/>
      <c r="BA10" s="37"/>
      <c r="BB10" s="33"/>
      <c r="BC10" s="34"/>
      <c r="BD10" s="35" t="str">
        <f t="shared" si="20"/>
        <v/>
      </c>
      <c r="BE10" s="36" t="str">
        <f t="shared" si="21"/>
        <v/>
      </c>
      <c r="BF10" s="37"/>
      <c r="BG10" s="38"/>
      <c r="BH10" s="34"/>
      <c r="BI10" s="35" t="str">
        <f t="shared" si="22"/>
        <v/>
      </c>
      <c r="BJ10" s="36" t="str">
        <f t="shared" si="23"/>
        <v/>
      </c>
      <c r="BK10" s="37"/>
      <c r="BL10" s="33"/>
      <c r="BM10" s="34"/>
      <c r="BN10" s="35" t="str">
        <f t="shared" si="24"/>
        <v/>
      </c>
      <c r="BO10" s="36" t="str">
        <f t="shared" si="25"/>
        <v/>
      </c>
      <c r="BP10" s="37"/>
      <c r="BQ10" s="33"/>
      <c r="BR10" s="34"/>
      <c r="BS10" s="35" t="str">
        <f t="shared" si="26"/>
        <v/>
      </c>
      <c r="BT10" s="36" t="str">
        <f t="shared" si="27"/>
        <v/>
      </c>
      <c r="BU10" s="37"/>
      <c r="BV10" s="33"/>
      <c r="BW10" s="34"/>
      <c r="BX10" s="35" t="str">
        <f t="shared" si="28"/>
        <v/>
      </c>
      <c r="BY10" s="36" t="str">
        <f t="shared" si="29"/>
        <v/>
      </c>
      <c r="BZ10" s="37"/>
      <c r="CA10" s="33"/>
      <c r="CB10" s="34"/>
      <c r="CC10" s="35" t="str">
        <f t="shared" si="30"/>
        <v/>
      </c>
      <c r="CD10" s="36" t="str">
        <f t="shared" si="31"/>
        <v/>
      </c>
      <c r="CE10" s="37"/>
      <c r="CF10" s="33"/>
      <c r="CG10" s="34"/>
      <c r="CH10" s="35" t="str">
        <f t="shared" si="32"/>
        <v/>
      </c>
      <c r="CI10" s="36" t="str">
        <f t="shared" si="33"/>
        <v/>
      </c>
      <c r="CJ10" s="37"/>
      <c r="CK10" s="33"/>
      <c r="CL10" s="34"/>
      <c r="CM10" s="35" t="str">
        <f t="shared" si="34"/>
        <v/>
      </c>
      <c r="CN10" s="36" t="str">
        <f t="shared" si="35"/>
        <v/>
      </c>
      <c r="CO10" s="37"/>
      <c r="CP10" s="33"/>
      <c r="CQ10" s="34"/>
      <c r="CR10" s="35" t="str">
        <f t="shared" si="36"/>
        <v/>
      </c>
      <c r="CS10" s="36" t="str">
        <f t="shared" si="37"/>
        <v/>
      </c>
      <c r="CT10" s="37"/>
      <c r="CU10" s="33"/>
      <c r="CV10" s="34"/>
      <c r="CW10" s="35" t="str">
        <f t="shared" si="38"/>
        <v/>
      </c>
      <c r="CX10" s="36" t="str">
        <f t="shared" si="39"/>
        <v/>
      </c>
      <c r="CY10" s="37"/>
      <c r="CZ10" s="33"/>
      <c r="DA10" s="34"/>
      <c r="DB10" s="35" t="str">
        <f t="shared" si="40"/>
        <v/>
      </c>
      <c r="DC10" s="36" t="str">
        <f t="shared" si="41"/>
        <v/>
      </c>
      <c r="DD10" s="37"/>
      <c r="DE10" s="33"/>
      <c r="DF10" s="34"/>
      <c r="DG10" s="35" t="str">
        <f t="shared" si="42"/>
        <v/>
      </c>
      <c r="DH10" s="36" t="str">
        <f t="shared" si="43"/>
        <v/>
      </c>
      <c r="DI10" s="37"/>
      <c r="DJ10" s="33"/>
      <c r="DK10" s="34"/>
      <c r="DL10" s="35" t="str">
        <f t="shared" si="44"/>
        <v/>
      </c>
      <c r="DM10" s="36" t="str">
        <f t="shared" si="45"/>
        <v/>
      </c>
      <c r="DN10" s="37"/>
      <c r="DO10" s="33"/>
      <c r="DP10" s="34"/>
      <c r="DQ10" s="35" t="str">
        <f t="shared" si="46"/>
        <v/>
      </c>
      <c r="DR10" s="36" t="str">
        <f t="shared" si="47"/>
        <v/>
      </c>
      <c r="DS10" s="37"/>
      <c r="DT10" s="33"/>
      <c r="DU10" s="34"/>
      <c r="DV10" s="35" t="str">
        <f t="shared" si="48"/>
        <v/>
      </c>
      <c r="DW10" s="36" t="str">
        <f t="shared" si="49"/>
        <v/>
      </c>
      <c r="DX10" s="37"/>
      <c r="DY10" s="33"/>
      <c r="DZ10" s="34"/>
      <c r="EA10" s="35" t="str">
        <f t="shared" si="50"/>
        <v/>
      </c>
      <c r="EB10" s="36" t="str">
        <f t="shared" si="51"/>
        <v/>
      </c>
      <c r="EC10" s="37"/>
      <c r="ED10" s="33"/>
      <c r="EE10" s="34"/>
      <c r="EF10" s="35" t="str">
        <f t="shared" si="52"/>
        <v/>
      </c>
      <c r="EG10" s="36" t="str">
        <f t="shared" si="53"/>
        <v/>
      </c>
      <c r="EH10" s="37"/>
      <c r="EI10" s="33"/>
      <c r="EJ10" s="34"/>
      <c r="EK10" s="35" t="str">
        <f t="shared" si="54"/>
        <v/>
      </c>
      <c r="EL10" s="36" t="str">
        <f t="shared" si="55"/>
        <v/>
      </c>
      <c r="EM10" s="37"/>
      <c r="EN10" s="33"/>
      <c r="EO10" s="34"/>
      <c r="EP10" s="35" t="str">
        <f t="shared" si="56"/>
        <v/>
      </c>
      <c r="EQ10" s="36" t="str">
        <f t="shared" si="57"/>
        <v/>
      </c>
      <c r="ER10" s="37"/>
      <c r="ES10" s="33"/>
      <c r="ET10" s="34"/>
      <c r="EU10" s="35" t="str">
        <f t="shared" si="58"/>
        <v/>
      </c>
      <c r="EV10" s="36" t="str">
        <f t="shared" si="59"/>
        <v/>
      </c>
      <c r="EW10" s="37"/>
    </row>
    <row r="11" spans="1:153" ht="19.5" customHeight="1">
      <c r="A11" s="32">
        <f>IF(DAY(DATE(対象年度,2,8))&lt;&gt;8,"",8)</f>
        <v>8</v>
      </c>
      <c r="B11" s="32" t="str">
        <f>IF(DAY(DATE(対象年度,2,8))&lt;&gt;8,"",CHOOSE(WEEKDAY(DATE(対象年度,2,8),2),"月","火","水","木","金","土","日"))</f>
        <v>日</v>
      </c>
      <c r="C11" s="32" t="str">
        <f>IF(DAY(DATE(対象年度,2,8))&lt;&gt;8,"",IF(ISNUMBER(MATCH(DATE(対象年度,2,8),祝日リスト,0)),"祝",""))</f>
        <v/>
      </c>
      <c r="D11" s="33"/>
      <c r="E11" s="34"/>
      <c r="F11" s="35" t="str">
        <f t="shared" si="0"/>
        <v/>
      </c>
      <c r="G11" s="36" t="str">
        <f t="shared" si="1"/>
        <v/>
      </c>
      <c r="H11" s="37"/>
      <c r="I11" s="33"/>
      <c r="J11" s="34"/>
      <c r="K11" s="35" t="str">
        <f t="shared" si="2"/>
        <v/>
      </c>
      <c r="L11" s="36" t="str">
        <f t="shared" si="3"/>
        <v/>
      </c>
      <c r="M11" s="37"/>
      <c r="N11" s="33"/>
      <c r="O11" s="34"/>
      <c r="P11" s="35"/>
      <c r="Q11" s="36"/>
      <c r="R11" s="37"/>
      <c r="S11" s="33"/>
      <c r="T11" s="34"/>
      <c r="U11" s="35"/>
      <c r="V11" s="36"/>
      <c r="W11" s="37"/>
      <c r="X11" s="33"/>
      <c r="Y11" s="34"/>
      <c r="Z11" s="35"/>
      <c r="AA11" s="36"/>
      <c r="AB11" s="37"/>
      <c r="AC11" s="33"/>
      <c r="AD11" s="34"/>
      <c r="AE11" s="35" t="str">
        <f t="shared" si="10"/>
        <v/>
      </c>
      <c r="AF11" s="36" t="str">
        <f t="shared" si="11"/>
        <v/>
      </c>
      <c r="AG11" s="37"/>
      <c r="AH11" s="33"/>
      <c r="AI11" s="34"/>
      <c r="AJ11" s="35"/>
      <c r="AK11" s="36"/>
      <c r="AL11" s="37"/>
      <c r="AM11" s="33"/>
      <c r="AN11" s="34"/>
      <c r="AO11" s="35"/>
      <c r="AP11" s="36"/>
      <c r="AQ11" s="37"/>
      <c r="AR11" s="33"/>
      <c r="AS11" s="34"/>
      <c r="AT11" s="35"/>
      <c r="AU11" s="36"/>
      <c r="AV11" s="37"/>
      <c r="AW11" s="33"/>
      <c r="AX11" s="34"/>
      <c r="AY11" s="35"/>
      <c r="AZ11" s="36"/>
      <c r="BA11" s="37"/>
      <c r="BB11" s="33"/>
      <c r="BC11" s="34"/>
      <c r="BD11" s="35" t="str">
        <f t="shared" si="20"/>
        <v/>
      </c>
      <c r="BE11" s="36" t="str">
        <f t="shared" si="21"/>
        <v/>
      </c>
      <c r="BF11" s="37"/>
      <c r="BG11" s="33"/>
      <c r="BH11" s="34"/>
      <c r="BI11" s="35" t="str">
        <f t="shared" si="22"/>
        <v/>
      </c>
      <c r="BJ11" s="36" t="str">
        <f t="shared" si="23"/>
        <v/>
      </c>
      <c r="BK11" s="37"/>
      <c r="BL11" s="33"/>
      <c r="BM11" s="34"/>
      <c r="BN11" s="35" t="str">
        <f t="shared" si="24"/>
        <v/>
      </c>
      <c r="BO11" s="36" t="str">
        <f t="shared" si="25"/>
        <v/>
      </c>
      <c r="BP11" s="37"/>
      <c r="BQ11" s="33"/>
      <c r="BR11" s="34"/>
      <c r="BS11" s="35" t="str">
        <f t="shared" si="26"/>
        <v/>
      </c>
      <c r="BT11" s="36" t="str">
        <f t="shared" si="27"/>
        <v/>
      </c>
      <c r="BU11" s="37"/>
      <c r="BV11" s="33"/>
      <c r="BW11" s="34"/>
      <c r="BX11" s="35" t="str">
        <f t="shared" si="28"/>
        <v/>
      </c>
      <c r="BY11" s="36" t="str">
        <f t="shared" si="29"/>
        <v/>
      </c>
      <c r="BZ11" s="37"/>
      <c r="CA11" s="33"/>
      <c r="CB11" s="34"/>
      <c r="CC11" s="35" t="str">
        <f t="shared" si="30"/>
        <v/>
      </c>
      <c r="CD11" s="36" t="str">
        <f t="shared" si="31"/>
        <v/>
      </c>
      <c r="CE11" s="37"/>
      <c r="CF11" s="33"/>
      <c r="CG11" s="34"/>
      <c r="CH11" s="35" t="str">
        <f t="shared" si="32"/>
        <v/>
      </c>
      <c r="CI11" s="36" t="str">
        <f t="shared" si="33"/>
        <v/>
      </c>
      <c r="CJ11" s="37"/>
      <c r="CK11" s="33"/>
      <c r="CL11" s="34"/>
      <c r="CM11" s="35" t="str">
        <f t="shared" si="34"/>
        <v/>
      </c>
      <c r="CN11" s="36" t="str">
        <f t="shared" si="35"/>
        <v/>
      </c>
      <c r="CO11" s="37"/>
      <c r="CP11" s="33"/>
      <c r="CQ11" s="34"/>
      <c r="CR11" s="35" t="str">
        <f t="shared" si="36"/>
        <v/>
      </c>
      <c r="CS11" s="36" t="str">
        <f t="shared" si="37"/>
        <v/>
      </c>
      <c r="CT11" s="37"/>
      <c r="CU11" s="33"/>
      <c r="CV11" s="34"/>
      <c r="CW11" s="35" t="str">
        <f t="shared" si="38"/>
        <v/>
      </c>
      <c r="CX11" s="36" t="str">
        <f t="shared" si="39"/>
        <v/>
      </c>
      <c r="CY11" s="37"/>
      <c r="CZ11" s="33"/>
      <c r="DA11" s="34"/>
      <c r="DB11" s="35" t="str">
        <f t="shared" si="40"/>
        <v/>
      </c>
      <c r="DC11" s="36" t="str">
        <f t="shared" si="41"/>
        <v/>
      </c>
      <c r="DD11" s="37"/>
      <c r="DE11" s="33"/>
      <c r="DF11" s="34"/>
      <c r="DG11" s="35" t="str">
        <f t="shared" si="42"/>
        <v/>
      </c>
      <c r="DH11" s="36" t="str">
        <f t="shared" si="43"/>
        <v/>
      </c>
      <c r="DI11" s="37"/>
      <c r="DJ11" s="33"/>
      <c r="DK11" s="34"/>
      <c r="DL11" s="35" t="str">
        <f t="shared" si="44"/>
        <v/>
      </c>
      <c r="DM11" s="36" t="str">
        <f t="shared" si="45"/>
        <v/>
      </c>
      <c r="DN11" s="37"/>
      <c r="DO11" s="33"/>
      <c r="DP11" s="34"/>
      <c r="DQ11" s="35" t="str">
        <f t="shared" si="46"/>
        <v/>
      </c>
      <c r="DR11" s="36" t="str">
        <f t="shared" si="47"/>
        <v/>
      </c>
      <c r="DS11" s="37"/>
      <c r="DT11" s="33"/>
      <c r="DU11" s="34"/>
      <c r="DV11" s="35" t="str">
        <f t="shared" si="48"/>
        <v/>
      </c>
      <c r="DW11" s="36" t="str">
        <f t="shared" si="49"/>
        <v/>
      </c>
      <c r="DX11" s="37"/>
      <c r="DY11" s="33"/>
      <c r="DZ11" s="34"/>
      <c r="EA11" s="35" t="str">
        <f t="shared" si="50"/>
        <v/>
      </c>
      <c r="EB11" s="36" t="str">
        <f t="shared" si="51"/>
        <v/>
      </c>
      <c r="EC11" s="37"/>
      <c r="ED11" s="33"/>
      <c r="EE11" s="34"/>
      <c r="EF11" s="35" t="str">
        <f t="shared" si="52"/>
        <v/>
      </c>
      <c r="EG11" s="36" t="str">
        <f t="shared" si="53"/>
        <v/>
      </c>
      <c r="EH11" s="37"/>
      <c r="EI11" s="33"/>
      <c r="EJ11" s="34"/>
      <c r="EK11" s="35" t="str">
        <f t="shared" si="54"/>
        <v/>
      </c>
      <c r="EL11" s="36" t="str">
        <f t="shared" si="55"/>
        <v/>
      </c>
      <c r="EM11" s="37"/>
      <c r="EN11" s="33"/>
      <c r="EO11" s="34"/>
      <c r="EP11" s="35" t="str">
        <f t="shared" si="56"/>
        <v/>
      </c>
      <c r="EQ11" s="36" t="str">
        <f t="shared" si="57"/>
        <v/>
      </c>
      <c r="ER11" s="37"/>
      <c r="ES11" s="33"/>
      <c r="ET11" s="34"/>
      <c r="EU11" s="35" t="str">
        <f t="shared" si="58"/>
        <v/>
      </c>
      <c r="EV11" s="36" t="str">
        <f t="shared" si="59"/>
        <v/>
      </c>
      <c r="EW11" s="37"/>
    </row>
    <row r="12" spans="1:153" ht="19.5" customHeight="1">
      <c r="A12" s="32">
        <f>IF(DAY(DATE(対象年度,2,9))&lt;&gt;9,"",9)</f>
        <v>9</v>
      </c>
      <c r="B12" s="32" t="str">
        <f>IF(DAY(DATE(対象年度,2,9))&lt;&gt;9,"",CHOOSE(WEEKDAY(DATE(対象年度,2,9),2),"月","火","水","木","金","土","日"))</f>
        <v>月</v>
      </c>
      <c r="C12" s="32" t="str">
        <f>IF(DAY(DATE(対象年度,2,9))&lt;&gt;9,"",IF(ISNUMBER(MATCH(DATE(対象年度,2,9),祝日リスト,0)),"祝",""))</f>
        <v/>
      </c>
      <c r="D12" s="38"/>
      <c r="E12" s="34"/>
      <c r="F12" s="35" t="str">
        <f t="shared" si="0"/>
        <v/>
      </c>
      <c r="G12" s="36" t="str">
        <f t="shared" si="1"/>
        <v/>
      </c>
      <c r="H12" s="37"/>
      <c r="I12" s="38"/>
      <c r="J12" s="34"/>
      <c r="K12" s="35" t="str">
        <f t="shared" si="2"/>
        <v/>
      </c>
      <c r="L12" s="36" t="str">
        <f t="shared" si="3"/>
        <v/>
      </c>
      <c r="M12" s="37"/>
      <c r="N12" s="38"/>
      <c r="O12" s="34"/>
      <c r="P12" s="35" t="str">
        <f t="shared" si="4"/>
        <v/>
      </c>
      <c r="Q12" s="36" t="str">
        <f t="shared" si="5"/>
        <v/>
      </c>
      <c r="R12" s="37"/>
      <c r="S12" s="38"/>
      <c r="T12" s="34"/>
      <c r="U12" s="35" t="str">
        <f t="shared" si="6"/>
        <v/>
      </c>
      <c r="V12" s="36" t="str">
        <f t="shared" si="7"/>
        <v/>
      </c>
      <c r="W12" s="37"/>
      <c r="X12" s="38"/>
      <c r="Y12" s="34"/>
      <c r="Z12" s="35" t="str">
        <f t="shared" si="8"/>
        <v/>
      </c>
      <c r="AA12" s="36" t="str">
        <f t="shared" si="9"/>
        <v/>
      </c>
      <c r="AB12" s="37"/>
      <c r="AC12" s="38"/>
      <c r="AD12" s="34"/>
      <c r="AE12" s="35" t="str">
        <f t="shared" si="10"/>
        <v/>
      </c>
      <c r="AF12" s="36" t="str">
        <f t="shared" si="11"/>
        <v/>
      </c>
      <c r="AG12" s="37"/>
      <c r="AH12" s="38"/>
      <c r="AI12" s="34"/>
      <c r="AJ12" s="35"/>
      <c r="AK12" s="36"/>
      <c r="AL12" s="37"/>
      <c r="AM12" s="38"/>
      <c r="AN12" s="34"/>
      <c r="AO12" s="35"/>
      <c r="AP12" s="36"/>
      <c r="AQ12" s="37"/>
      <c r="AR12" s="38"/>
      <c r="AS12" s="34"/>
      <c r="AT12" s="35"/>
      <c r="AU12" s="36"/>
      <c r="AV12" s="37"/>
      <c r="AW12" s="38"/>
      <c r="AX12" s="34"/>
      <c r="AY12" s="35"/>
      <c r="AZ12" s="36"/>
      <c r="BA12" s="37"/>
      <c r="BB12" s="38"/>
      <c r="BC12" s="34"/>
      <c r="BD12" s="35" t="str">
        <f t="shared" si="20"/>
        <v/>
      </c>
      <c r="BE12" s="36" t="str">
        <f t="shared" si="21"/>
        <v/>
      </c>
      <c r="BF12" s="37"/>
      <c r="BG12" s="38"/>
      <c r="BH12" s="34"/>
      <c r="BI12" s="35" t="str">
        <f t="shared" si="22"/>
        <v/>
      </c>
      <c r="BJ12" s="36" t="str">
        <f t="shared" si="23"/>
        <v/>
      </c>
      <c r="BK12" s="37"/>
      <c r="BL12" s="33"/>
      <c r="BM12" s="34"/>
      <c r="BN12" s="35" t="str">
        <f t="shared" si="24"/>
        <v/>
      </c>
      <c r="BO12" s="36" t="str">
        <f t="shared" si="25"/>
        <v/>
      </c>
      <c r="BP12" s="37"/>
      <c r="BQ12" s="33"/>
      <c r="BR12" s="34"/>
      <c r="BS12" s="35" t="str">
        <f t="shared" si="26"/>
        <v/>
      </c>
      <c r="BT12" s="36" t="str">
        <f t="shared" si="27"/>
        <v/>
      </c>
      <c r="BU12" s="37"/>
      <c r="BV12" s="33"/>
      <c r="BW12" s="34"/>
      <c r="BX12" s="35" t="str">
        <f t="shared" si="28"/>
        <v/>
      </c>
      <c r="BY12" s="36" t="str">
        <f t="shared" si="29"/>
        <v/>
      </c>
      <c r="BZ12" s="37"/>
      <c r="CA12" s="33"/>
      <c r="CB12" s="34"/>
      <c r="CC12" s="35" t="str">
        <f t="shared" si="30"/>
        <v/>
      </c>
      <c r="CD12" s="36" t="str">
        <f t="shared" si="31"/>
        <v/>
      </c>
      <c r="CE12" s="37"/>
      <c r="CF12" s="33"/>
      <c r="CG12" s="34"/>
      <c r="CH12" s="35" t="str">
        <f t="shared" si="32"/>
        <v/>
      </c>
      <c r="CI12" s="36" t="str">
        <f t="shared" si="33"/>
        <v/>
      </c>
      <c r="CJ12" s="37"/>
      <c r="CK12" s="33"/>
      <c r="CL12" s="34"/>
      <c r="CM12" s="35" t="str">
        <f t="shared" si="34"/>
        <v/>
      </c>
      <c r="CN12" s="36" t="str">
        <f t="shared" si="35"/>
        <v/>
      </c>
      <c r="CO12" s="37"/>
      <c r="CP12" s="33"/>
      <c r="CQ12" s="34"/>
      <c r="CR12" s="35" t="str">
        <f t="shared" si="36"/>
        <v/>
      </c>
      <c r="CS12" s="36" t="str">
        <f t="shared" si="37"/>
        <v/>
      </c>
      <c r="CT12" s="37"/>
      <c r="CU12" s="33"/>
      <c r="CV12" s="34"/>
      <c r="CW12" s="35" t="str">
        <f t="shared" si="38"/>
        <v/>
      </c>
      <c r="CX12" s="36" t="str">
        <f t="shared" si="39"/>
        <v/>
      </c>
      <c r="CY12" s="37"/>
      <c r="CZ12" s="33"/>
      <c r="DA12" s="34"/>
      <c r="DB12" s="35" t="str">
        <f t="shared" si="40"/>
        <v/>
      </c>
      <c r="DC12" s="36" t="str">
        <f t="shared" si="41"/>
        <v/>
      </c>
      <c r="DD12" s="37"/>
      <c r="DE12" s="33"/>
      <c r="DF12" s="34"/>
      <c r="DG12" s="35" t="str">
        <f t="shared" si="42"/>
        <v/>
      </c>
      <c r="DH12" s="36" t="str">
        <f t="shared" si="43"/>
        <v/>
      </c>
      <c r="DI12" s="37"/>
      <c r="DJ12" s="33"/>
      <c r="DK12" s="34"/>
      <c r="DL12" s="35" t="str">
        <f t="shared" si="44"/>
        <v/>
      </c>
      <c r="DM12" s="36" t="str">
        <f t="shared" si="45"/>
        <v/>
      </c>
      <c r="DN12" s="37"/>
      <c r="DO12" s="33"/>
      <c r="DP12" s="34"/>
      <c r="DQ12" s="35" t="str">
        <f t="shared" si="46"/>
        <v/>
      </c>
      <c r="DR12" s="36" t="str">
        <f t="shared" si="47"/>
        <v/>
      </c>
      <c r="DS12" s="37"/>
      <c r="DT12" s="33"/>
      <c r="DU12" s="34"/>
      <c r="DV12" s="35" t="str">
        <f t="shared" si="48"/>
        <v/>
      </c>
      <c r="DW12" s="36" t="str">
        <f t="shared" si="49"/>
        <v/>
      </c>
      <c r="DX12" s="37"/>
      <c r="DY12" s="33"/>
      <c r="DZ12" s="34"/>
      <c r="EA12" s="35" t="str">
        <f t="shared" si="50"/>
        <v/>
      </c>
      <c r="EB12" s="36" t="str">
        <f t="shared" si="51"/>
        <v/>
      </c>
      <c r="EC12" s="37"/>
      <c r="ED12" s="33"/>
      <c r="EE12" s="34"/>
      <c r="EF12" s="35" t="str">
        <f t="shared" si="52"/>
        <v/>
      </c>
      <c r="EG12" s="36" t="str">
        <f t="shared" si="53"/>
        <v/>
      </c>
      <c r="EH12" s="37"/>
      <c r="EI12" s="33"/>
      <c r="EJ12" s="34"/>
      <c r="EK12" s="35" t="str">
        <f t="shared" si="54"/>
        <v/>
      </c>
      <c r="EL12" s="36" t="str">
        <f t="shared" si="55"/>
        <v/>
      </c>
      <c r="EM12" s="37"/>
      <c r="EN12" s="33"/>
      <c r="EO12" s="34"/>
      <c r="EP12" s="35" t="str">
        <f t="shared" si="56"/>
        <v/>
      </c>
      <c r="EQ12" s="36" t="str">
        <f t="shared" si="57"/>
        <v/>
      </c>
      <c r="ER12" s="37"/>
      <c r="ES12" s="33"/>
      <c r="ET12" s="34"/>
      <c r="EU12" s="35" t="str">
        <f t="shared" si="58"/>
        <v/>
      </c>
      <c r="EV12" s="36" t="str">
        <f t="shared" si="59"/>
        <v/>
      </c>
      <c r="EW12" s="37"/>
    </row>
    <row r="13" spans="1:153" ht="19.5" customHeight="1">
      <c r="A13" s="32">
        <f>IF(DAY(DATE(対象年度,2,10))&lt;&gt;10,"",10)</f>
        <v>10</v>
      </c>
      <c r="B13" s="32" t="str">
        <f>IF(DAY(DATE(対象年度,2,10))&lt;&gt;10,"",CHOOSE(WEEKDAY(DATE(対象年度,2,10),2),"月","火","水","木","金","土","日"))</f>
        <v>火</v>
      </c>
      <c r="C13" s="32" t="str">
        <f>IF(DAY(DATE(対象年度,2,10))&lt;&gt;10,"",IF(ISNUMBER(MATCH(DATE(対象年度,2,10),祝日リスト,0)),"祝",""))</f>
        <v/>
      </c>
      <c r="D13" s="38"/>
      <c r="E13" s="34"/>
      <c r="F13" s="35" t="str">
        <f t="shared" si="0"/>
        <v/>
      </c>
      <c r="G13" s="36" t="str">
        <f t="shared" si="1"/>
        <v/>
      </c>
      <c r="H13" s="37"/>
      <c r="I13" s="38"/>
      <c r="J13" s="34"/>
      <c r="K13" s="35" t="str">
        <f t="shared" si="2"/>
        <v/>
      </c>
      <c r="L13" s="36" t="str">
        <f t="shared" si="3"/>
        <v/>
      </c>
      <c r="M13" s="37"/>
      <c r="N13" s="38"/>
      <c r="O13" s="34"/>
      <c r="P13" s="35" t="str">
        <f t="shared" si="4"/>
        <v/>
      </c>
      <c r="Q13" s="36" t="str">
        <f t="shared" si="5"/>
        <v/>
      </c>
      <c r="R13" s="37"/>
      <c r="S13" s="38"/>
      <c r="T13" s="34"/>
      <c r="U13" s="35" t="str">
        <f t="shared" si="6"/>
        <v/>
      </c>
      <c r="V13" s="36" t="str">
        <f t="shared" si="7"/>
        <v/>
      </c>
      <c r="W13" s="37"/>
      <c r="X13" s="38"/>
      <c r="Y13" s="34"/>
      <c r="Z13" s="35" t="str">
        <f t="shared" si="8"/>
        <v/>
      </c>
      <c r="AA13" s="36" t="str">
        <f t="shared" si="9"/>
        <v/>
      </c>
      <c r="AB13" s="37"/>
      <c r="AC13" s="38"/>
      <c r="AD13" s="34"/>
      <c r="AE13" s="35" t="str">
        <f t="shared" si="10"/>
        <v/>
      </c>
      <c r="AF13" s="36" t="str">
        <f t="shared" si="11"/>
        <v/>
      </c>
      <c r="AG13" s="37"/>
      <c r="AH13" s="33"/>
      <c r="AI13" s="34"/>
      <c r="AJ13" s="35"/>
      <c r="AK13" s="36"/>
      <c r="AL13" s="37"/>
      <c r="AM13" s="38"/>
      <c r="AN13" s="34"/>
      <c r="AO13" s="35"/>
      <c r="AP13" s="36"/>
      <c r="AQ13" s="37"/>
      <c r="AR13" s="38"/>
      <c r="AS13" s="34"/>
      <c r="AT13" s="35"/>
      <c r="AU13" s="36"/>
      <c r="AV13" s="37"/>
      <c r="AW13" s="38"/>
      <c r="AX13" s="34"/>
      <c r="AY13" s="35"/>
      <c r="AZ13" s="36"/>
      <c r="BA13" s="37"/>
      <c r="BB13" s="38"/>
      <c r="BC13" s="34"/>
      <c r="BD13" s="35" t="str">
        <f t="shared" si="20"/>
        <v/>
      </c>
      <c r="BE13" s="36" t="str">
        <f t="shared" si="21"/>
        <v/>
      </c>
      <c r="BF13" s="37"/>
      <c r="BG13" s="38"/>
      <c r="BH13" s="34"/>
      <c r="BI13" s="35" t="str">
        <f t="shared" si="22"/>
        <v/>
      </c>
      <c r="BJ13" s="36" t="str">
        <f t="shared" si="23"/>
        <v/>
      </c>
      <c r="BK13" s="37"/>
      <c r="BL13" s="33"/>
      <c r="BM13" s="34"/>
      <c r="BN13" s="35" t="str">
        <f t="shared" si="24"/>
        <v/>
      </c>
      <c r="BO13" s="36" t="str">
        <f t="shared" si="25"/>
        <v/>
      </c>
      <c r="BP13" s="37"/>
      <c r="BQ13" s="33"/>
      <c r="BR13" s="34"/>
      <c r="BS13" s="35" t="str">
        <f t="shared" si="26"/>
        <v/>
      </c>
      <c r="BT13" s="36" t="str">
        <f t="shared" si="27"/>
        <v/>
      </c>
      <c r="BU13" s="37"/>
      <c r="BV13" s="33"/>
      <c r="BW13" s="34"/>
      <c r="BX13" s="35" t="str">
        <f t="shared" si="28"/>
        <v/>
      </c>
      <c r="BY13" s="36" t="str">
        <f t="shared" si="29"/>
        <v/>
      </c>
      <c r="BZ13" s="37"/>
      <c r="CA13" s="33"/>
      <c r="CB13" s="34"/>
      <c r="CC13" s="35" t="str">
        <f t="shared" si="30"/>
        <v/>
      </c>
      <c r="CD13" s="36" t="str">
        <f t="shared" si="31"/>
        <v/>
      </c>
      <c r="CE13" s="37"/>
      <c r="CF13" s="33"/>
      <c r="CG13" s="34"/>
      <c r="CH13" s="35" t="str">
        <f t="shared" si="32"/>
        <v/>
      </c>
      <c r="CI13" s="36" t="str">
        <f t="shared" si="33"/>
        <v/>
      </c>
      <c r="CJ13" s="37"/>
      <c r="CK13" s="33"/>
      <c r="CL13" s="34"/>
      <c r="CM13" s="35" t="str">
        <f t="shared" si="34"/>
        <v/>
      </c>
      <c r="CN13" s="36" t="str">
        <f t="shared" si="35"/>
        <v/>
      </c>
      <c r="CO13" s="37"/>
      <c r="CP13" s="33"/>
      <c r="CQ13" s="34"/>
      <c r="CR13" s="35" t="str">
        <f t="shared" si="36"/>
        <v/>
      </c>
      <c r="CS13" s="36" t="str">
        <f t="shared" si="37"/>
        <v/>
      </c>
      <c r="CT13" s="37"/>
      <c r="CU13" s="33"/>
      <c r="CV13" s="34"/>
      <c r="CW13" s="35" t="str">
        <f t="shared" si="38"/>
        <v/>
      </c>
      <c r="CX13" s="36" t="str">
        <f t="shared" si="39"/>
        <v/>
      </c>
      <c r="CY13" s="37"/>
      <c r="CZ13" s="33"/>
      <c r="DA13" s="34"/>
      <c r="DB13" s="35" t="str">
        <f t="shared" si="40"/>
        <v/>
      </c>
      <c r="DC13" s="36" t="str">
        <f t="shared" si="41"/>
        <v/>
      </c>
      <c r="DD13" s="37"/>
      <c r="DE13" s="33"/>
      <c r="DF13" s="34"/>
      <c r="DG13" s="35" t="str">
        <f t="shared" si="42"/>
        <v/>
      </c>
      <c r="DH13" s="36" t="str">
        <f t="shared" si="43"/>
        <v/>
      </c>
      <c r="DI13" s="37"/>
      <c r="DJ13" s="33"/>
      <c r="DK13" s="34"/>
      <c r="DL13" s="35" t="str">
        <f t="shared" si="44"/>
        <v/>
      </c>
      <c r="DM13" s="36" t="str">
        <f t="shared" si="45"/>
        <v/>
      </c>
      <c r="DN13" s="37"/>
      <c r="DO13" s="33"/>
      <c r="DP13" s="34"/>
      <c r="DQ13" s="35" t="str">
        <f t="shared" si="46"/>
        <v/>
      </c>
      <c r="DR13" s="36" t="str">
        <f t="shared" si="47"/>
        <v/>
      </c>
      <c r="DS13" s="37"/>
      <c r="DT13" s="33"/>
      <c r="DU13" s="34"/>
      <c r="DV13" s="35" t="str">
        <f t="shared" si="48"/>
        <v/>
      </c>
      <c r="DW13" s="36" t="str">
        <f t="shared" si="49"/>
        <v/>
      </c>
      <c r="DX13" s="37"/>
      <c r="DY13" s="33"/>
      <c r="DZ13" s="34"/>
      <c r="EA13" s="35" t="str">
        <f t="shared" si="50"/>
        <v/>
      </c>
      <c r="EB13" s="36" t="str">
        <f t="shared" si="51"/>
        <v/>
      </c>
      <c r="EC13" s="37"/>
      <c r="ED13" s="33"/>
      <c r="EE13" s="34"/>
      <c r="EF13" s="35" t="str">
        <f t="shared" si="52"/>
        <v/>
      </c>
      <c r="EG13" s="36" t="str">
        <f t="shared" si="53"/>
        <v/>
      </c>
      <c r="EH13" s="37"/>
      <c r="EI13" s="33"/>
      <c r="EJ13" s="34"/>
      <c r="EK13" s="35" t="str">
        <f t="shared" si="54"/>
        <v/>
      </c>
      <c r="EL13" s="36" t="str">
        <f t="shared" si="55"/>
        <v/>
      </c>
      <c r="EM13" s="37"/>
      <c r="EN13" s="33"/>
      <c r="EO13" s="34"/>
      <c r="EP13" s="35" t="str">
        <f t="shared" si="56"/>
        <v/>
      </c>
      <c r="EQ13" s="36" t="str">
        <f t="shared" si="57"/>
        <v/>
      </c>
      <c r="ER13" s="37"/>
      <c r="ES13" s="33"/>
      <c r="ET13" s="34"/>
      <c r="EU13" s="35" t="str">
        <f t="shared" si="58"/>
        <v/>
      </c>
      <c r="EV13" s="36" t="str">
        <f t="shared" si="59"/>
        <v/>
      </c>
      <c r="EW13" s="37"/>
    </row>
    <row r="14" spans="1:153" ht="19.5" customHeight="1">
      <c r="A14" s="32">
        <f>IF(DAY(DATE(対象年度,2,11))&lt;&gt;11,"",11)</f>
        <v>11</v>
      </c>
      <c r="B14" s="32" t="str">
        <f>IF(DAY(DATE(対象年度,2,11))&lt;&gt;11,"",CHOOSE(WEEKDAY(DATE(対象年度,2,11),2),"月","火","水","木","金","土","日"))</f>
        <v>水</v>
      </c>
      <c r="C14" s="32" t="str">
        <f>IF(DAY(DATE(対象年度,2,11))&lt;&gt;11,"",IF(ISNUMBER(MATCH(DATE(対象年度,2,11),祝日リスト,0)),"祝",""))</f>
        <v>祝</v>
      </c>
      <c r="D14" s="33"/>
      <c r="E14" s="34"/>
      <c r="F14" s="35" t="str">
        <f t="shared" si="0"/>
        <v/>
      </c>
      <c r="G14" s="36" t="str">
        <f t="shared" si="1"/>
        <v/>
      </c>
      <c r="H14" s="37"/>
      <c r="I14" s="38"/>
      <c r="J14" s="34"/>
      <c r="K14" s="35" t="str">
        <f t="shared" si="2"/>
        <v/>
      </c>
      <c r="L14" s="36" t="str">
        <f t="shared" si="3"/>
        <v/>
      </c>
      <c r="M14" s="37"/>
      <c r="N14" s="38"/>
      <c r="O14" s="34"/>
      <c r="P14" s="35" t="str">
        <f t="shared" si="4"/>
        <v/>
      </c>
      <c r="Q14" s="36" t="str">
        <f t="shared" si="5"/>
        <v/>
      </c>
      <c r="R14" s="37"/>
      <c r="S14" s="38"/>
      <c r="T14" s="34"/>
      <c r="U14" s="35" t="str">
        <f t="shared" si="6"/>
        <v/>
      </c>
      <c r="V14" s="36" t="str">
        <f t="shared" si="7"/>
        <v/>
      </c>
      <c r="W14" s="37"/>
      <c r="X14" s="38"/>
      <c r="Y14" s="34"/>
      <c r="Z14" s="35" t="str">
        <f t="shared" si="8"/>
        <v/>
      </c>
      <c r="AA14" s="36" t="str">
        <f t="shared" si="9"/>
        <v/>
      </c>
      <c r="AB14" s="37"/>
      <c r="AC14" s="38"/>
      <c r="AD14" s="34"/>
      <c r="AE14" s="35" t="str">
        <f t="shared" si="10"/>
        <v/>
      </c>
      <c r="AF14" s="36" t="str">
        <f t="shared" si="11"/>
        <v/>
      </c>
      <c r="AG14" s="37"/>
      <c r="AH14" s="33"/>
      <c r="AI14" s="34"/>
      <c r="AJ14" s="35"/>
      <c r="AK14" s="36"/>
      <c r="AL14" s="37"/>
      <c r="AM14" s="38"/>
      <c r="AN14" s="34"/>
      <c r="AO14" s="35"/>
      <c r="AP14" s="36"/>
      <c r="AQ14" s="37"/>
      <c r="AR14" s="38"/>
      <c r="AS14" s="34"/>
      <c r="AT14" s="35"/>
      <c r="AU14" s="36"/>
      <c r="AV14" s="37"/>
      <c r="AW14" s="33"/>
      <c r="AX14" s="34"/>
      <c r="AY14" s="35"/>
      <c r="AZ14" s="36"/>
      <c r="BA14" s="37"/>
      <c r="BB14" s="33"/>
      <c r="BC14" s="34"/>
      <c r="BD14" s="35" t="str">
        <f t="shared" si="20"/>
        <v/>
      </c>
      <c r="BE14" s="36" t="str">
        <f t="shared" si="21"/>
        <v/>
      </c>
      <c r="BF14" s="37"/>
      <c r="BG14" s="38"/>
      <c r="BH14" s="34"/>
      <c r="BI14" s="35" t="str">
        <f t="shared" si="22"/>
        <v/>
      </c>
      <c r="BJ14" s="36" t="str">
        <f t="shared" si="23"/>
        <v/>
      </c>
      <c r="BK14" s="37"/>
      <c r="BL14" s="33"/>
      <c r="BM14" s="34"/>
      <c r="BN14" s="35" t="str">
        <f t="shared" si="24"/>
        <v/>
      </c>
      <c r="BO14" s="36" t="str">
        <f t="shared" si="25"/>
        <v/>
      </c>
      <c r="BP14" s="37"/>
      <c r="BQ14" s="33"/>
      <c r="BR14" s="34"/>
      <c r="BS14" s="35" t="str">
        <f t="shared" si="26"/>
        <v/>
      </c>
      <c r="BT14" s="36" t="str">
        <f t="shared" si="27"/>
        <v/>
      </c>
      <c r="BU14" s="37"/>
      <c r="BV14" s="33"/>
      <c r="BW14" s="34"/>
      <c r="BX14" s="35" t="str">
        <f t="shared" si="28"/>
        <v/>
      </c>
      <c r="BY14" s="36" t="str">
        <f t="shared" si="29"/>
        <v/>
      </c>
      <c r="BZ14" s="37"/>
      <c r="CA14" s="33"/>
      <c r="CB14" s="34"/>
      <c r="CC14" s="35" t="str">
        <f t="shared" si="30"/>
        <v/>
      </c>
      <c r="CD14" s="36" t="str">
        <f t="shared" si="31"/>
        <v/>
      </c>
      <c r="CE14" s="37"/>
      <c r="CF14" s="33"/>
      <c r="CG14" s="34"/>
      <c r="CH14" s="35" t="str">
        <f t="shared" si="32"/>
        <v/>
      </c>
      <c r="CI14" s="36" t="str">
        <f t="shared" si="33"/>
        <v/>
      </c>
      <c r="CJ14" s="37"/>
      <c r="CK14" s="33"/>
      <c r="CL14" s="34"/>
      <c r="CM14" s="35" t="str">
        <f t="shared" si="34"/>
        <v/>
      </c>
      <c r="CN14" s="36" t="str">
        <f t="shared" si="35"/>
        <v/>
      </c>
      <c r="CO14" s="37"/>
      <c r="CP14" s="33"/>
      <c r="CQ14" s="34"/>
      <c r="CR14" s="35" t="str">
        <f t="shared" si="36"/>
        <v/>
      </c>
      <c r="CS14" s="36" t="str">
        <f t="shared" si="37"/>
        <v/>
      </c>
      <c r="CT14" s="37"/>
      <c r="CU14" s="33"/>
      <c r="CV14" s="34"/>
      <c r="CW14" s="35" t="str">
        <f t="shared" si="38"/>
        <v/>
      </c>
      <c r="CX14" s="36" t="str">
        <f t="shared" si="39"/>
        <v/>
      </c>
      <c r="CY14" s="37"/>
      <c r="CZ14" s="33"/>
      <c r="DA14" s="34"/>
      <c r="DB14" s="35" t="str">
        <f t="shared" si="40"/>
        <v/>
      </c>
      <c r="DC14" s="36" t="str">
        <f t="shared" si="41"/>
        <v/>
      </c>
      <c r="DD14" s="37"/>
      <c r="DE14" s="33"/>
      <c r="DF14" s="34"/>
      <c r="DG14" s="35" t="str">
        <f t="shared" si="42"/>
        <v/>
      </c>
      <c r="DH14" s="36" t="str">
        <f t="shared" si="43"/>
        <v/>
      </c>
      <c r="DI14" s="37"/>
      <c r="DJ14" s="33"/>
      <c r="DK14" s="34"/>
      <c r="DL14" s="35" t="str">
        <f t="shared" si="44"/>
        <v/>
      </c>
      <c r="DM14" s="36" t="str">
        <f t="shared" si="45"/>
        <v/>
      </c>
      <c r="DN14" s="37"/>
      <c r="DO14" s="33"/>
      <c r="DP14" s="34"/>
      <c r="DQ14" s="35" t="str">
        <f t="shared" si="46"/>
        <v/>
      </c>
      <c r="DR14" s="36" t="str">
        <f t="shared" si="47"/>
        <v/>
      </c>
      <c r="DS14" s="37"/>
      <c r="DT14" s="33"/>
      <c r="DU14" s="34"/>
      <c r="DV14" s="35" t="str">
        <f t="shared" si="48"/>
        <v/>
      </c>
      <c r="DW14" s="36" t="str">
        <f t="shared" si="49"/>
        <v/>
      </c>
      <c r="DX14" s="37"/>
      <c r="DY14" s="33"/>
      <c r="DZ14" s="34"/>
      <c r="EA14" s="35" t="str">
        <f t="shared" si="50"/>
        <v/>
      </c>
      <c r="EB14" s="36" t="str">
        <f t="shared" si="51"/>
        <v/>
      </c>
      <c r="EC14" s="37"/>
      <c r="ED14" s="33"/>
      <c r="EE14" s="34"/>
      <c r="EF14" s="35" t="str">
        <f t="shared" si="52"/>
        <v/>
      </c>
      <c r="EG14" s="36" t="str">
        <f t="shared" si="53"/>
        <v/>
      </c>
      <c r="EH14" s="37"/>
      <c r="EI14" s="33"/>
      <c r="EJ14" s="34"/>
      <c r="EK14" s="35" t="str">
        <f t="shared" si="54"/>
        <v/>
      </c>
      <c r="EL14" s="36" t="str">
        <f t="shared" si="55"/>
        <v/>
      </c>
      <c r="EM14" s="37"/>
      <c r="EN14" s="33"/>
      <c r="EO14" s="34"/>
      <c r="EP14" s="35" t="str">
        <f t="shared" si="56"/>
        <v/>
      </c>
      <c r="EQ14" s="36" t="str">
        <f t="shared" si="57"/>
        <v/>
      </c>
      <c r="ER14" s="37"/>
      <c r="ES14" s="33"/>
      <c r="ET14" s="34"/>
      <c r="EU14" s="35" t="str">
        <f t="shared" si="58"/>
        <v/>
      </c>
      <c r="EV14" s="36" t="str">
        <f t="shared" si="59"/>
        <v/>
      </c>
      <c r="EW14" s="37"/>
    </row>
    <row r="15" spans="1:153" ht="19.5" customHeight="1">
      <c r="A15" s="32">
        <f>IF(DAY(DATE(対象年度,2,12))&lt;&gt;12,"",12)</f>
        <v>12</v>
      </c>
      <c r="B15" s="32" t="str">
        <f>IF(DAY(DATE(対象年度,2,12))&lt;&gt;12,"",CHOOSE(WEEKDAY(DATE(対象年度,2,12),2),"月","火","水","木","金","土","日"))</f>
        <v>木</v>
      </c>
      <c r="C15" s="32" t="str">
        <f>IF(DAY(DATE(対象年度,2,12))&lt;&gt;12,"",IF(ISNUMBER(MATCH(DATE(対象年度,2,12),祝日リスト,0)),"祝",""))</f>
        <v/>
      </c>
      <c r="D15" s="38"/>
      <c r="E15" s="34"/>
      <c r="F15" s="35" t="str">
        <f t="shared" si="0"/>
        <v/>
      </c>
      <c r="G15" s="36" t="str">
        <f t="shared" si="1"/>
        <v/>
      </c>
      <c r="H15" s="37"/>
      <c r="I15" s="38"/>
      <c r="J15" s="34"/>
      <c r="K15" s="35" t="str">
        <f t="shared" si="2"/>
        <v/>
      </c>
      <c r="L15" s="36" t="str">
        <f t="shared" si="3"/>
        <v/>
      </c>
      <c r="M15" s="37"/>
      <c r="N15" s="38"/>
      <c r="O15" s="34"/>
      <c r="P15" s="35" t="str">
        <f t="shared" si="4"/>
        <v/>
      </c>
      <c r="Q15" s="36" t="str">
        <f t="shared" si="5"/>
        <v/>
      </c>
      <c r="R15" s="37"/>
      <c r="S15" s="38"/>
      <c r="T15" s="34"/>
      <c r="U15" s="35" t="str">
        <f t="shared" si="6"/>
        <v/>
      </c>
      <c r="V15" s="36" t="str">
        <f t="shared" si="7"/>
        <v/>
      </c>
      <c r="W15" s="37"/>
      <c r="X15" s="38"/>
      <c r="Y15" s="34"/>
      <c r="Z15" s="35" t="str">
        <f t="shared" si="8"/>
        <v/>
      </c>
      <c r="AA15" s="36" t="str">
        <f t="shared" si="9"/>
        <v/>
      </c>
      <c r="AB15" s="37"/>
      <c r="AC15" s="38"/>
      <c r="AD15" s="34"/>
      <c r="AE15" s="35" t="str">
        <f t="shared" si="10"/>
        <v/>
      </c>
      <c r="AF15" s="36" t="str">
        <f t="shared" si="11"/>
        <v/>
      </c>
      <c r="AG15" s="37"/>
      <c r="AH15" s="38"/>
      <c r="AI15" s="34"/>
      <c r="AJ15" s="35"/>
      <c r="AK15" s="36"/>
      <c r="AL15" s="37"/>
      <c r="AM15" s="38"/>
      <c r="AN15" s="34"/>
      <c r="AO15" s="35"/>
      <c r="AP15" s="36"/>
      <c r="AQ15" s="37"/>
      <c r="AR15" s="38"/>
      <c r="AS15" s="34"/>
      <c r="AT15" s="35"/>
      <c r="AU15" s="36"/>
      <c r="AV15" s="37"/>
      <c r="AW15" s="38"/>
      <c r="AX15" s="34"/>
      <c r="AY15" s="35"/>
      <c r="AZ15" s="36"/>
      <c r="BA15" s="37"/>
      <c r="BB15" s="38"/>
      <c r="BC15" s="34"/>
      <c r="BD15" s="35" t="str">
        <f t="shared" si="20"/>
        <v/>
      </c>
      <c r="BE15" s="36" t="str">
        <f t="shared" si="21"/>
        <v/>
      </c>
      <c r="BF15" s="37"/>
      <c r="BG15" s="38"/>
      <c r="BH15" s="34"/>
      <c r="BI15" s="35" t="str">
        <f t="shared" si="22"/>
        <v/>
      </c>
      <c r="BJ15" s="36" t="str">
        <f t="shared" si="23"/>
        <v/>
      </c>
      <c r="BK15" s="37"/>
      <c r="BL15" s="33"/>
      <c r="BM15" s="34"/>
      <c r="BN15" s="35" t="str">
        <f t="shared" si="24"/>
        <v/>
      </c>
      <c r="BO15" s="36" t="str">
        <f t="shared" si="25"/>
        <v/>
      </c>
      <c r="BP15" s="37"/>
      <c r="BQ15" s="33"/>
      <c r="BR15" s="34"/>
      <c r="BS15" s="35" t="str">
        <f t="shared" si="26"/>
        <v/>
      </c>
      <c r="BT15" s="36" t="str">
        <f t="shared" si="27"/>
        <v/>
      </c>
      <c r="BU15" s="37"/>
      <c r="BV15" s="33"/>
      <c r="BW15" s="34"/>
      <c r="BX15" s="35" t="str">
        <f t="shared" si="28"/>
        <v/>
      </c>
      <c r="BY15" s="36" t="str">
        <f t="shared" si="29"/>
        <v/>
      </c>
      <c r="BZ15" s="37"/>
      <c r="CA15" s="33"/>
      <c r="CB15" s="34"/>
      <c r="CC15" s="35" t="str">
        <f t="shared" si="30"/>
        <v/>
      </c>
      <c r="CD15" s="36" t="str">
        <f t="shared" si="31"/>
        <v/>
      </c>
      <c r="CE15" s="37"/>
      <c r="CF15" s="33"/>
      <c r="CG15" s="34"/>
      <c r="CH15" s="35" t="str">
        <f t="shared" si="32"/>
        <v/>
      </c>
      <c r="CI15" s="36" t="str">
        <f t="shared" si="33"/>
        <v/>
      </c>
      <c r="CJ15" s="37"/>
      <c r="CK15" s="33"/>
      <c r="CL15" s="34"/>
      <c r="CM15" s="35" t="str">
        <f t="shared" si="34"/>
        <v/>
      </c>
      <c r="CN15" s="36" t="str">
        <f t="shared" si="35"/>
        <v/>
      </c>
      <c r="CO15" s="37"/>
      <c r="CP15" s="33"/>
      <c r="CQ15" s="34"/>
      <c r="CR15" s="35" t="str">
        <f t="shared" si="36"/>
        <v/>
      </c>
      <c r="CS15" s="36" t="str">
        <f t="shared" si="37"/>
        <v/>
      </c>
      <c r="CT15" s="37"/>
      <c r="CU15" s="33"/>
      <c r="CV15" s="34"/>
      <c r="CW15" s="35" t="str">
        <f t="shared" si="38"/>
        <v/>
      </c>
      <c r="CX15" s="36" t="str">
        <f t="shared" si="39"/>
        <v/>
      </c>
      <c r="CY15" s="37"/>
      <c r="CZ15" s="33"/>
      <c r="DA15" s="34"/>
      <c r="DB15" s="35" t="str">
        <f t="shared" si="40"/>
        <v/>
      </c>
      <c r="DC15" s="36" t="str">
        <f t="shared" si="41"/>
        <v/>
      </c>
      <c r="DD15" s="37"/>
      <c r="DE15" s="33"/>
      <c r="DF15" s="34"/>
      <c r="DG15" s="35" t="str">
        <f t="shared" si="42"/>
        <v/>
      </c>
      <c r="DH15" s="36" t="str">
        <f t="shared" si="43"/>
        <v/>
      </c>
      <c r="DI15" s="37"/>
      <c r="DJ15" s="33"/>
      <c r="DK15" s="34"/>
      <c r="DL15" s="35" t="str">
        <f t="shared" si="44"/>
        <v/>
      </c>
      <c r="DM15" s="36" t="str">
        <f t="shared" si="45"/>
        <v/>
      </c>
      <c r="DN15" s="37"/>
      <c r="DO15" s="33"/>
      <c r="DP15" s="34"/>
      <c r="DQ15" s="35" t="str">
        <f t="shared" si="46"/>
        <v/>
      </c>
      <c r="DR15" s="36" t="str">
        <f t="shared" si="47"/>
        <v/>
      </c>
      <c r="DS15" s="37"/>
      <c r="DT15" s="33"/>
      <c r="DU15" s="34"/>
      <c r="DV15" s="35" t="str">
        <f t="shared" si="48"/>
        <v/>
      </c>
      <c r="DW15" s="36" t="str">
        <f t="shared" si="49"/>
        <v/>
      </c>
      <c r="DX15" s="37"/>
      <c r="DY15" s="33"/>
      <c r="DZ15" s="34"/>
      <c r="EA15" s="35" t="str">
        <f t="shared" si="50"/>
        <v/>
      </c>
      <c r="EB15" s="36" t="str">
        <f t="shared" si="51"/>
        <v/>
      </c>
      <c r="EC15" s="37"/>
      <c r="ED15" s="33"/>
      <c r="EE15" s="34"/>
      <c r="EF15" s="35" t="str">
        <f t="shared" si="52"/>
        <v/>
      </c>
      <c r="EG15" s="36" t="str">
        <f t="shared" si="53"/>
        <v/>
      </c>
      <c r="EH15" s="37"/>
      <c r="EI15" s="33"/>
      <c r="EJ15" s="34"/>
      <c r="EK15" s="35" t="str">
        <f t="shared" si="54"/>
        <v/>
      </c>
      <c r="EL15" s="36" t="str">
        <f t="shared" si="55"/>
        <v/>
      </c>
      <c r="EM15" s="37"/>
      <c r="EN15" s="33"/>
      <c r="EO15" s="34"/>
      <c r="EP15" s="35" t="str">
        <f t="shared" si="56"/>
        <v/>
      </c>
      <c r="EQ15" s="36" t="str">
        <f t="shared" si="57"/>
        <v/>
      </c>
      <c r="ER15" s="37"/>
      <c r="ES15" s="33"/>
      <c r="ET15" s="34"/>
      <c r="EU15" s="35" t="str">
        <f t="shared" si="58"/>
        <v/>
      </c>
      <c r="EV15" s="36" t="str">
        <f t="shared" si="59"/>
        <v/>
      </c>
      <c r="EW15" s="37"/>
    </row>
    <row r="16" spans="1:153" ht="19.5" customHeight="1">
      <c r="A16" s="32">
        <f>IF(DAY(DATE(対象年度,2,13))&lt;&gt;13,"",13)</f>
        <v>13</v>
      </c>
      <c r="B16" s="32" t="str">
        <f>IF(DAY(DATE(対象年度,2,13))&lt;&gt;13,"",CHOOSE(WEEKDAY(DATE(対象年度,2,13),2),"月","火","水","木","金","土","日"))</f>
        <v>金</v>
      </c>
      <c r="C16" s="32" t="str">
        <f>IF(DAY(DATE(対象年度,2,13))&lt;&gt;13,"",IF(ISNUMBER(MATCH(DATE(対象年度,2,13),祝日リスト,0)),"祝",""))</f>
        <v/>
      </c>
      <c r="D16" s="38"/>
      <c r="E16" s="34"/>
      <c r="F16" s="35" t="str">
        <f t="shared" si="0"/>
        <v/>
      </c>
      <c r="G16" s="36" t="str">
        <f t="shared" si="1"/>
        <v/>
      </c>
      <c r="H16" s="37"/>
      <c r="I16" s="38"/>
      <c r="J16" s="34"/>
      <c r="K16" s="35" t="str">
        <f t="shared" si="2"/>
        <v/>
      </c>
      <c r="L16" s="36" t="str">
        <f t="shared" si="3"/>
        <v/>
      </c>
      <c r="M16" s="37"/>
      <c r="N16" s="38"/>
      <c r="O16" s="34"/>
      <c r="P16" s="35" t="str">
        <f t="shared" si="4"/>
        <v/>
      </c>
      <c r="Q16" s="36" t="str">
        <f t="shared" si="5"/>
        <v/>
      </c>
      <c r="R16" s="37"/>
      <c r="S16" s="38"/>
      <c r="T16" s="34"/>
      <c r="U16" s="35" t="str">
        <f t="shared" si="6"/>
        <v/>
      </c>
      <c r="V16" s="36" t="str">
        <f t="shared" si="7"/>
        <v/>
      </c>
      <c r="W16" s="37"/>
      <c r="X16" s="38"/>
      <c r="Y16" s="34"/>
      <c r="Z16" s="35" t="str">
        <f t="shared" si="8"/>
        <v/>
      </c>
      <c r="AA16" s="36" t="str">
        <f t="shared" si="9"/>
        <v/>
      </c>
      <c r="AB16" s="37"/>
      <c r="AC16" s="38"/>
      <c r="AD16" s="34"/>
      <c r="AE16" s="35" t="str">
        <f t="shared" si="10"/>
        <v/>
      </c>
      <c r="AF16" s="36" t="str">
        <f t="shared" si="11"/>
        <v/>
      </c>
      <c r="AG16" s="37"/>
      <c r="AH16" s="38"/>
      <c r="AI16" s="34"/>
      <c r="AJ16" s="35"/>
      <c r="AK16" s="36"/>
      <c r="AL16" s="37"/>
      <c r="AM16" s="38"/>
      <c r="AN16" s="34"/>
      <c r="AO16" s="35"/>
      <c r="AP16" s="36"/>
      <c r="AQ16" s="37"/>
      <c r="AR16" s="38"/>
      <c r="AS16" s="34"/>
      <c r="AT16" s="35"/>
      <c r="AU16" s="36"/>
      <c r="AV16" s="37"/>
      <c r="AW16" s="38"/>
      <c r="AX16" s="34"/>
      <c r="AY16" s="35"/>
      <c r="AZ16" s="36"/>
      <c r="BA16" s="37"/>
      <c r="BB16" s="38"/>
      <c r="BC16" s="34"/>
      <c r="BD16" s="35" t="str">
        <f t="shared" si="20"/>
        <v/>
      </c>
      <c r="BE16" s="36" t="str">
        <f t="shared" si="21"/>
        <v/>
      </c>
      <c r="BF16" s="37"/>
      <c r="BG16" s="38"/>
      <c r="BH16" s="34"/>
      <c r="BI16" s="35" t="str">
        <f t="shared" si="22"/>
        <v/>
      </c>
      <c r="BJ16" s="36" t="str">
        <f t="shared" si="23"/>
        <v/>
      </c>
      <c r="BK16" s="37"/>
      <c r="BL16" s="33"/>
      <c r="BM16" s="34"/>
      <c r="BN16" s="35" t="str">
        <f t="shared" si="24"/>
        <v/>
      </c>
      <c r="BO16" s="36" t="str">
        <f t="shared" si="25"/>
        <v/>
      </c>
      <c r="BP16" s="37"/>
      <c r="BQ16" s="33"/>
      <c r="BR16" s="34"/>
      <c r="BS16" s="35" t="str">
        <f t="shared" si="26"/>
        <v/>
      </c>
      <c r="BT16" s="36" t="str">
        <f t="shared" si="27"/>
        <v/>
      </c>
      <c r="BU16" s="37"/>
      <c r="BV16" s="33"/>
      <c r="BW16" s="34"/>
      <c r="BX16" s="35" t="str">
        <f t="shared" si="28"/>
        <v/>
      </c>
      <c r="BY16" s="36" t="str">
        <f t="shared" si="29"/>
        <v/>
      </c>
      <c r="BZ16" s="37"/>
      <c r="CA16" s="33"/>
      <c r="CB16" s="34"/>
      <c r="CC16" s="35" t="str">
        <f t="shared" si="30"/>
        <v/>
      </c>
      <c r="CD16" s="36" t="str">
        <f t="shared" si="31"/>
        <v/>
      </c>
      <c r="CE16" s="37"/>
      <c r="CF16" s="33"/>
      <c r="CG16" s="34"/>
      <c r="CH16" s="35" t="str">
        <f t="shared" si="32"/>
        <v/>
      </c>
      <c r="CI16" s="36" t="str">
        <f t="shared" si="33"/>
        <v/>
      </c>
      <c r="CJ16" s="37"/>
      <c r="CK16" s="33"/>
      <c r="CL16" s="34"/>
      <c r="CM16" s="35" t="str">
        <f t="shared" si="34"/>
        <v/>
      </c>
      <c r="CN16" s="36" t="str">
        <f t="shared" si="35"/>
        <v/>
      </c>
      <c r="CO16" s="37"/>
      <c r="CP16" s="33"/>
      <c r="CQ16" s="34"/>
      <c r="CR16" s="35" t="str">
        <f t="shared" si="36"/>
        <v/>
      </c>
      <c r="CS16" s="36" t="str">
        <f t="shared" si="37"/>
        <v/>
      </c>
      <c r="CT16" s="37"/>
      <c r="CU16" s="33"/>
      <c r="CV16" s="34"/>
      <c r="CW16" s="35" t="str">
        <f t="shared" si="38"/>
        <v/>
      </c>
      <c r="CX16" s="36" t="str">
        <f t="shared" si="39"/>
        <v/>
      </c>
      <c r="CY16" s="37"/>
      <c r="CZ16" s="33"/>
      <c r="DA16" s="34"/>
      <c r="DB16" s="35" t="str">
        <f t="shared" si="40"/>
        <v/>
      </c>
      <c r="DC16" s="36" t="str">
        <f t="shared" si="41"/>
        <v/>
      </c>
      <c r="DD16" s="37"/>
      <c r="DE16" s="33"/>
      <c r="DF16" s="34"/>
      <c r="DG16" s="35" t="str">
        <f t="shared" si="42"/>
        <v/>
      </c>
      <c r="DH16" s="36" t="str">
        <f t="shared" si="43"/>
        <v/>
      </c>
      <c r="DI16" s="37"/>
      <c r="DJ16" s="33"/>
      <c r="DK16" s="34"/>
      <c r="DL16" s="35" t="str">
        <f t="shared" si="44"/>
        <v/>
      </c>
      <c r="DM16" s="36" t="str">
        <f t="shared" si="45"/>
        <v/>
      </c>
      <c r="DN16" s="37"/>
      <c r="DO16" s="33"/>
      <c r="DP16" s="34"/>
      <c r="DQ16" s="35" t="str">
        <f t="shared" si="46"/>
        <v/>
      </c>
      <c r="DR16" s="36" t="str">
        <f t="shared" si="47"/>
        <v/>
      </c>
      <c r="DS16" s="37"/>
      <c r="DT16" s="33"/>
      <c r="DU16" s="34"/>
      <c r="DV16" s="35" t="str">
        <f t="shared" si="48"/>
        <v/>
      </c>
      <c r="DW16" s="36" t="str">
        <f t="shared" si="49"/>
        <v/>
      </c>
      <c r="DX16" s="37"/>
      <c r="DY16" s="33"/>
      <c r="DZ16" s="34"/>
      <c r="EA16" s="35" t="str">
        <f t="shared" si="50"/>
        <v/>
      </c>
      <c r="EB16" s="36" t="str">
        <f t="shared" si="51"/>
        <v/>
      </c>
      <c r="EC16" s="37"/>
      <c r="ED16" s="33"/>
      <c r="EE16" s="34"/>
      <c r="EF16" s="35" t="str">
        <f t="shared" si="52"/>
        <v/>
      </c>
      <c r="EG16" s="36" t="str">
        <f t="shared" si="53"/>
        <v/>
      </c>
      <c r="EH16" s="37"/>
      <c r="EI16" s="33"/>
      <c r="EJ16" s="34"/>
      <c r="EK16" s="35" t="str">
        <f t="shared" si="54"/>
        <v/>
      </c>
      <c r="EL16" s="36" t="str">
        <f t="shared" si="55"/>
        <v/>
      </c>
      <c r="EM16" s="37"/>
      <c r="EN16" s="33"/>
      <c r="EO16" s="34"/>
      <c r="EP16" s="35" t="str">
        <f t="shared" si="56"/>
        <v/>
      </c>
      <c r="EQ16" s="36" t="str">
        <f t="shared" si="57"/>
        <v/>
      </c>
      <c r="ER16" s="37"/>
      <c r="ES16" s="33"/>
      <c r="ET16" s="34"/>
      <c r="EU16" s="35" t="str">
        <f t="shared" si="58"/>
        <v/>
      </c>
      <c r="EV16" s="36" t="str">
        <f t="shared" si="59"/>
        <v/>
      </c>
      <c r="EW16" s="37"/>
    </row>
    <row r="17" spans="1:153" ht="19.5" customHeight="1">
      <c r="A17" s="32">
        <f>IF(DAY(DATE(対象年度,2,14))&lt;&gt;14,"",14)</f>
        <v>14</v>
      </c>
      <c r="B17" s="32" t="str">
        <f>IF(DAY(DATE(対象年度,2,14))&lt;&gt;14,"",CHOOSE(WEEKDAY(DATE(対象年度,2,14),2),"月","火","水","木","金","土","日"))</f>
        <v>土</v>
      </c>
      <c r="C17" s="32" t="str">
        <f>IF(DAY(DATE(対象年度,2,14))&lt;&gt;14,"",IF(ISNUMBER(MATCH(DATE(対象年度,2,14),祝日リスト,0)),"祝",""))</f>
        <v/>
      </c>
      <c r="D17" s="33"/>
      <c r="E17" s="34"/>
      <c r="F17" s="35" t="str">
        <f t="shared" si="0"/>
        <v/>
      </c>
      <c r="G17" s="36" t="str">
        <f t="shared" si="1"/>
        <v/>
      </c>
      <c r="H17" s="37"/>
      <c r="I17" s="38"/>
      <c r="J17" s="34"/>
      <c r="K17" s="35" t="str">
        <f t="shared" si="2"/>
        <v/>
      </c>
      <c r="L17" s="36" t="str">
        <f t="shared" si="3"/>
        <v/>
      </c>
      <c r="M17" s="37"/>
      <c r="N17" s="38"/>
      <c r="O17" s="34"/>
      <c r="P17" s="35" t="str">
        <f t="shared" si="4"/>
        <v/>
      </c>
      <c r="Q17" s="36" t="str">
        <f t="shared" si="5"/>
        <v/>
      </c>
      <c r="R17" s="37"/>
      <c r="S17" s="38"/>
      <c r="T17" s="34"/>
      <c r="U17" s="35" t="str">
        <f t="shared" si="6"/>
        <v/>
      </c>
      <c r="V17" s="36" t="str">
        <f t="shared" si="7"/>
        <v/>
      </c>
      <c r="W17" s="37"/>
      <c r="X17" s="38"/>
      <c r="Y17" s="34"/>
      <c r="Z17" s="35" t="str">
        <f t="shared" si="8"/>
        <v/>
      </c>
      <c r="AA17" s="36" t="str">
        <f t="shared" si="9"/>
        <v/>
      </c>
      <c r="AB17" s="37"/>
      <c r="AC17" s="38"/>
      <c r="AD17" s="34"/>
      <c r="AE17" s="35" t="str">
        <f t="shared" si="10"/>
        <v/>
      </c>
      <c r="AF17" s="36" t="str">
        <f t="shared" si="11"/>
        <v/>
      </c>
      <c r="AG17" s="37"/>
      <c r="AH17" s="33"/>
      <c r="AI17" s="34"/>
      <c r="AJ17" s="35"/>
      <c r="AK17" s="36"/>
      <c r="AL17" s="37"/>
      <c r="AM17" s="38"/>
      <c r="AN17" s="34"/>
      <c r="AO17" s="35"/>
      <c r="AP17" s="36"/>
      <c r="AQ17" s="37"/>
      <c r="AR17" s="38"/>
      <c r="AS17" s="34"/>
      <c r="AT17" s="35"/>
      <c r="AU17" s="36"/>
      <c r="AV17" s="37"/>
      <c r="AW17" s="33"/>
      <c r="AX17" s="34"/>
      <c r="AY17" s="35"/>
      <c r="AZ17" s="36"/>
      <c r="BA17" s="37"/>
      <c r="BB17" s="33"/>
      <c r="BC17" s="34"/>
      <c r="BD17" s="35" t="str">
        <f t="shared" si="20"/>
        <v/>
      </c>
      <c r="BE17" s="36" t="str">
        <f t="shared" si="21"/>
        <v/>
      </c>
      <c r="BF17" s="37"/>
      <c r="BG17" s="38"/>
      <c r="BH17" s="34"/>
      <c r="BI17" s="35" t="str">
        <f t="shared" si="22"/>
        <v/>
      </c>
      <c r="BJ17" s="36" t="str">
        <f t="shared" si="23"/>
        <v/>
      </c>
      <c r="BK17" s="37"/>
      <c r="BL17" s="33"/>
      <c r="BM17" s="34"/>
      <c r="BN17" s="35" t="str">
        <f t="shared" si="24"/>
        <v/>
      </c>
      <c r="BO17" s="36" t="str">
        <f t="shared" si="25"/>
        <v/>
      </c>
      <c r="BP17" s="37"/>
      <c r="BQ17" s="33"/>
      <c r="BR17" s="34"/>
      <c r="BS17" s="35" t="str">
        <f t="shared" si="26"/>
        <v/>
      </c>
      <c r="BT17" s="36" t="str">
        <f t="shared" si="27"/>
        <v/>
      </c>
      <c r="BU17" s="37"/>
      <c r="BV17" s="33"/>
      <c r="BW17" s="34"/>
      <c r="BX17" s="35" t="str">
        <f t="shared" si="28"/>
        <v/>
      </c>
      <c r="BY17" s="36" t="str">
        <f t="shared" si="29"/>
        <v/>
      </c>
      <c r="BZ17" s="37"/>
      <c r="CA17" s="33"/>
      <c r="CB17" s="34"/>
      <c r="CC17" s="35" t="str">
        <f t="shared" si="30"/>
        <v/>
      </c>
      <c r="CD17" s="36" t="str">
        <f t="shared" si="31"/>
        <v/>
      </c>
      <c r="CE17" s="37"/>
      <c r="CF17" s="33"/>
      <c r="CG17" s="34"/>
      <c r="CH17" s="35" t="str">
        <f t="shared" si="32"/>
        <v/>
      </c>
      <c r="CI17" s="36" t="str">
        <f t="shared" si="33"/>
        <v/>
      </c>
      <c r="CJ17" s="37"/>
      <c r="CK17" s="33"/>
      <c r="CL17" s="34"/>
      <c r="CM17" s="35" t="str">
        <f t="shared" si="34"/>
        <v/>
      </c>
      <c r="CN17" s="36" t="str">
        <f t="shared" si="35"/>
        <v/>
      </c>
      <c r="CO17" s="37"/>
      <c r="CP17" s="33"/>
      <c r="CQ17" s="34"/>
      <c r="CR17" s="35" t="str">
        <f t="shared" si="36"/>
        <v/>
      </c>
      <c r="CS17" s="36" t="str">
        <f t="shared" si="37"/>
        <v/>
      </c>
      <c r="CT17" s="37"/>
      <c r="CU17" s="33"/>
      <c r="CV17" s="34"/>
      <c r="CW17" s="35" t="str">
        <f t="shared" si="38"/>
        <v/>
      </c>
      <c r="CX17" s="36" t="str">
        <f t="shared" si="39"/>
        <v/>
      </c>
      <c r="CY17" s="37"/>
      <c r="CZ17" s="33"/>
      <c r="DA17" s="34"/>
      <c r="DB17" s="35" t="str">
        <f t="shared" si="40"/>
        <v/>
      </c>
      <c r="DC17" s="36" t="str">
        <f t="shared" si="41"/>
        <v/>
      </c>
      <c r="DD17" s="37"/>
      <c r="DE17" s="33"/>
      <c r="DF17" s="34"/>
      <c r="DG17" s="35" t="str">
        <f t="shared" si="42"/>
        <v/>
      </c>
      <c r="DH17" s="36" t="str">
        <f t="shared" si="43"/>
        <v/>
      </c>
      <c r="DI17" s="37"/>
      <c r="DJ17" s="33"/>
      <c r="DK17" s="34"/>
      <c r="DL17" s="35" t="str">
        <f t="shared" si="44"/>
        <v/>
      </c>
      <c r="DM17" s="36" t="str">
        <f t="shared" si="45"/>
        <v/>
      </c>
      <c r="DN17" s="37"/>
      <c r="DO17" s="33"/>
      <c r="DP17" s="34"/>
      <c r="DQ17" s="35" t="str">
        <f t="shared" si="46"/>
        <v/>
      </c>
      <c r="DR17" s="36" t="str">
        <f t="shared" si="47"/>
        <v/>
      </c>
      <c r="DS17" s="37"/>
      <c r="DT17" s="33"/>
      <c r="DU17" s="34"/>
      <c r="DV17" s="35" t="str">
        <f t="shared" si="48"/>
        <v/>
      </c>
      <c r="DW17" s="36" t="str">
        <f t="shared" si="49"/>
        <v/>
      </c>
      <c r="DX17" s="37"/>
      <c r="DY17" s="33"/>
      <c r="DZ17" s="34"/>
      <c r="EA17" s="35" t="str">
        <f t="shared" si="50"/>
        <v/>
      </c>
      <c r="EB17" s="36" t="str">
        <f t="shared" si="51"/>
        <v/>
      </c>
      <c r="EC17" s="37"/>
      <c r="ED17" s="33"/>
      <c r="EE17" s="34"/>
      <c r="EF17" s="35" t="str">
        <f t="shared" si="52"/>
        <v/>
      </c>
      <c r="EG17" s="36" t="str">
        <f t="shared" si="53"/>
        <v/>
      </c>
      <c r="EH17" s="37"/>
      <c r="EI17" s="33"/>
      <c r="EJ17" s="34"/>
      <c r="EK17" s="35" t="str">
        <f t="shared" si="54"/>
        <v/>
      </c>
      <c r="EL17" s="36" t="str">
        <f t="shared" si="55"/>
        <v/>
      </c>
      <c r="EM17" s="37"/>
      <c r="EN17" s="33"/>
      <c r="EO17" s="34"/>
      <c r="EP17" s="35" t="str">
        <f t="shared" si="56"/>
        <v/>
      </c>
      <c r="EQ17" s="36" t="str">
        <f t="shared" si="57"/>
        <v/>
      </c>
      <c r="ER17" s="37"/>
      <c r="ES17" s="33"/>
      <c r="ET17" s="34"/>
      <c r="EU17" s="35" t="str">
        <f t="shared" si="58"/>
        <v/>
      </c>
      <c r="EV17" s="36" t="str">
        <f t="shared" si="59"/>
        <v/>
      </c>
      <c r="EW17" s="37"/>
    </row>
    <row r="18" spans="1:153" ht="19.5" customHeight="1">
      <c r="A18" s="32">
        <f>IF(DAY(DATE(対象年度,2,15))&lt;&gt;15,"",15)</f>
        <v>15</v>
      </c>
      <c r="B18" s="32" t="str">
        <f>IF(DAY(DATE(対象年度,2,15))&lt;&gt;15,"",CHOOSE(WEEKDAY(DATE(対象年度,2,15),2),"月","火","水","木","金","土","日"))</f>
        <v>日</v>
      </c>
      <c r="C18" s="32" t="str">
        <f>IF(DAY(DATE(対象年度,2,15))&lt;&gt;15,"",IF(ISNUMBER(MATCH(DATE(対象年度,2,15),祝日リスト,0)),"祝",""))</f>
        <v/>
      </c>
      <c r="D18" s="33"/>
      <c r="E18" s="34"/>
      <c r="F18" s="35" t="str">
        <f t="shared" si="0"/>
        <v/>
      </c>
      <c r="G18" s="36" t="str">
        <f t="shared" si="1"/>
        <v/>
      </c>
      <c r="H18" s="37"/>
      <c r="I18" s="33"/>
      <c r="J18" s="34"/>
      <c r="K18" s="35" t="str">
        <f t="shared" si="2"/>
        <v/>
      </c>
      <c r="L18" s="36" t="str">
        <f t="shared" si="3"/>
        <v/>
      </c>
      <c r="M18" s="37"/>
      <c r="N18" s="33"/>
      <c r="O18" s="34"/>
      <c r="P18" s="35" t="str">
        <f t="shared" si="4"/>
        <v/>
      </c>
      <c r="Q18" s="36" t="str">
        <f t="shared" si="5"/>
        <v/>
      </c>
      <c r="R18" s="37"/>
      <c r="S18" s="33"/>
      <c r="T18" s="34"/>
      <c r="U18" s="35" t="str">
        <f t="shared" si="6"/>
        <v/>
      </c>
      <c r="V18" s="36" t="str">
        <f t="shared" si="7"/>
        <v/>
      </c>
      <c r="W18" s="37"/>
      <c r="X18" s="33"/>
      <c r="Y18" s="34"/>
      <c r="Z18" s="35" t="str">
        <f t="shared" si="8"/>
        <v/>
      </c>
      <c r="AA18" s="36" t="str">
        <f t="shared" si="9"/>
        <v/>
      </c>
      <c r="AB18" s="37"/>
      <c r="AC18" s="33"/>
      <c r="AD18" s="34"/>
      <c r="AE18" s="35" t="str">
        <f t="shared" si="10"/>
        <v/>
      </c>
      <c r="AF18" s="36" t="str">
        <f t="shared" si="11"/>
        <v/>
      </c>
      <c r="AG18" s="37"/>
      <c r="AH18" s="33"/>
      <c r="AI18" s="34"/>
      <c r="AJ18" s="35"/>
      <c r="AK18" s="36"/>
      <c r="AL18" s="37"/>
      <c r="AM18" s="33"/>
      <c r="AN18" s="34"/>
      <c r="AO18" s="35"/>
      <c r="AP18" s="36"/>
      <c r="AQ18" s="37"/>
      <c r="AR18" s="33"/>
      <c r="AS18" s="34"/>
      <c r="AT18" s="35"/>
      <c r="AU18" s="36"/>
      <c r="AV18" s="37"/>
      <c r="AW18" s="33"/>
      <c r="AX18" s="34"/>
      <c r="AY18" s="35"/>
      <c r="AZ18" s="36"/>
      <c r="BA18" s="37"/>
      <c r="BB18" s="33"/>
      <c r="BC18" s="34"/>
      <c r="BD18" s="35" t="str">
        <f t="shared" si="20"/>
        <v/>
      </c>
      <c r="BE18" s="36" t="str">
        <f t="shared" si="21"/>
        <v/>
      </c>
      <c r="BF18" s="37"/>
      <c r="BG18" s="33"/>
      <c r="BH18" s="34"/>
      <c r="BI18" s="35" t="str">
        <f t="shared" si="22"/>
        <v/>
      </c>
      <c r="BJ18" s="36" t="str">
        <f t="shared" si="23"/>
        <v/>
      </c>
      <c r="BK18" s="37"/>
      <c r="BL18" s="33"/>
      <c r="BM18" s="34"/>
      <c r="BN18" s="35" t="str">
        <f t="shared" si="24"/>
        <v/>
      </c>
      <c r="BO18" s="36" t="str">
        <f t="shared" si="25"/>
        <v/>
      </c>
      <c r="BP18" s="37"/>
      <c r="BQ18" s="33"/>
      <c r="BR18" s="34"/>
      <c r="BS18" s="35" t="str">
        <f t="shared" si="26"/>
        <v/>
      </c>
      <c r="BT18" s="36" t="str">
        <f t="shared" si="27"/>
        <v/>
      </c>
      <c r="BU18" s="37"/>
      <c r="BV18" s="33"/>
      <c r="BW18" s="34"/>
      <c r="BX18" s="35" t="str">
        <f t="shared" si="28"/>
        <v/>
      </c>
      <c r="BY18" s="36" t="str">
        <f t="shared" si="29"/>
        <v/>
      </c>
      <c r="BZ18" s="37"/>
      <c r="CA18" s="33"/>
      <c r="CB18" s="34"/>
      <c r="CC18" s="35" t="str">
        <f t="shared" si="30"/>
        <v/>
      </c>
      <c r="CD18" s="36" t="str">
        <f t="shared" si="31"/>
        <v/>
      </c>
      <c r="CE18" s="37"/>
      <c r="CF18" s="33"/>
      <c r="CG18" s="34"/>
      <c r="CH18" s="35" t="str">
        <f t="shared" si="32"/>
        <v/>
      </c>
      <c r="CI18" s="36" t="str">
        <f t="shared" si="33"/>
        <v/>
      </c>
      <c r="CJ18" s="37"/>
      <c r="CK18" s="33"/>
      <c r="CL18" s="34"/>
      <c r="CM18" s="35" t="str">
        <f t="shared" si="34"/>
        <v/>
      </c>
      <c r="CN18" s="36" t="str">
        <f t="shared" si="35"/>
        <v/>
      </c>
      <c r="CO18" s="37"/>
      <c r="CP18" s="33"/>
      <c r="CQ18" s="34"/>
      <c r="CR18" s="35" t="str">
        <f t="shared" si="36"/>
        <v/>
      </c>
      <c r="CS18" s="36" t="str">
        <f t="shared" si="37"/>
        <v/>
      </c>
      <c r="CT18" s="37"/>
      <c r="CU18" s="33"/>
      <c r="CV18" s="34"/>
      <c r="CW18" s="35" t="str">
        <f t="shared" si="38"/>
        <v/>
      </c>
      <c r="CX18" s="36" t="str">
        <f t="shared" si="39"/>
        <v/>
      </c>
      <c r="CY18" s="37"/>
      <c r="CZ18" s="33"/>
      <c r="DA18" s="34"/>
      <c r="DB18" s="35" t="str">
        <f t="shared" si="40"/>
        <v/>
      </c>
      <c r="DC18" s="36" t="str">
        <f t="shared" si="41"/>
        <v/>
      </c>
      <c r="DD18" s="37"/>
      <c r="DE18" s="33"/>
      <c r="DF18" s="34"/>
      <c r="DG18" s="35" t="str">
        <f t="shared" si="42"/>
        <v/>
      </c>
      <c r="DH18" s="36" t="str">
        <f t="shared" si="43"/>
        <v/>
      </c>
      <c r="DI18" s="37"/>
      <c r="DJ18" s="33"/>
      <c r="DK18" s="34"/>
      <c r="DL18" s="35" t="str">
        <f t="shared" si="44"/>
        <v/>
      </c>
      <c r="DM18" s="36" t="str">
        <f t="shared" si="45"/>
        <v/>
      </c>
      <c r="DN18" s="37"/>
      <c r="DO18" s="33"/>
      <c r="DP18" s="34"/>
      <c r="DQ18" s="35" t="str">
        <f t="shared" si="46"/>
        <v/>
      </c>
      <c r="DR18" s="36" t="str">
        <f t="shared" si="47"/>
        <v/>
      </c>
      <c r="DS18" s="37"/>
      <c r="DT18" s="33"/>
      <c r="DU18" s="34"/>
      <c r="DV18" s="35" t="str">
        <f t="shared" si="48"/>
        <v/>
      </c>
      <c r="DW18" s="36" t="str">
        <f t="shared" si="49"/>
        <v/>
      </c>
      <c r="DX18" s="37"/>
      <c r="DY18" s="33"/>
      <c r="DZ18" s="34"/>
      <c r="EA18" s="35" t="str">
        <f t="shared" si="50"/>
        <v/>
      </c>
      <c r="EB18" s="36" t="str">
        <f t="shared" si="51"/>
        <v/>
      </c>
      <c r="EC18" s="37"/>
      <c r="ED18" s="33"/>
      <c r="EE18" s="34"/>
      <c r="EF18" s="35" t="str">
        <f t="shared" si="52"/>
        <v/>
      </c>
      <c r="EG18" s="36" t="str">
        <f t="shared" si="53"/>
        <v/>
      </c>
      <c r="EH18" s="37"/>
      <c r="EI18" s="33"/>
      <c r="EJ18" s="34"/>
      <c r="EK18" s="35" t="str">
        <f t="shared" si="54"/>
        <v/>
      </c>
      <c r="EL18" s="36" t="str">
        <f t="shared" si="55"/>
        <v/>
      </c>
      <c r="EM18" s="37"/>
      <c r="EN18" s="33"/>
      <c r="EO18" s="34"/>
      <c r="EP18" s="35" t="str">
        <f t="shared" si="56"/>
        <v/>
      </c>
      <c r="EQ18" s="36" t="str">
        <f t="shared" si="57"/>
        <v/>
      </c>
      <c r="ER18" s="37"/>
      <c r="ES18" s="33"/>
      <c r="ET18" s="34"/>
      <c r="EU18" s="35" t="str">
        <f t="shared" si="58"/>
        <v/>
      </c>
      <c r="EV18" s="36" t="str">
        <f t="shared" si="59"/>
        <v/>
      </c>
      <c r="EW18" s="37"/>
    </row>
    <row r="19" spans="1:153" ht="19.5" customHeight="1">
      <c r="A19" s="32">
        <f>IF(DAY(DATE(対象年度,2,16))&lt;&gt;16,"",16)</f>
        <v>16</v>
      </c>
      <c r="B19" s="32" t="str">
        <f>IF(DAY(DATE(対象年度,2,16))&lt;&gt;16,"",CHOOSE(WEEKDAY(DATE(対象年度,2,16),2),"月","火","水","木","金","土","日"))</f>
        <v>月</v>
      </c>
      <c r="C19" s="32" t="str">
        <f>IF(DAY(DATE(対象年度,2,16))&lt;&gt;16,"",IF(ISNUMBER(MATCH(DATE(対象年度,2,16),祝日リスト,0)),"祝",""))</f>
        <v/>
      </c>
      <c r="D19" s="38"/>
      <c r="E19" s="34"/>
      <c r="F19" s="35" t="str">
        <f t="shared" si="0"/>
        <v/>
      </c>
      <c r="G19" s="36" t="str">
        <f t="shared" si="1"/>
        <v/>
      </c>
      <c r="H19" s="37"/>
      <c r="I19" s="38"/>
      <c r="J19" s="34"/>
      <c r="K19" s="35" t="str">
        <f t="shared" si="2"/>
        <v/>
      </c>
      <c r="L19" s="36" t="str">
        <f t="shared" si="3"/>
        <v/>
      </c>
      <c r="M19" s="37"/>
      <c r="N19" s="38"/>
      <c r="O19" s="34"/>
      <c r="P19" s="35" t="str">
        <f t="shared" si="4"/>
        <v/>
      </c>
      <c r="Q19" s="36" t="str">
        <f t="shared" si="5"/>
        <v/>
      </c>
      <c r="R19" s="37"/>
      <c r="S19" s="38"/>
      <c r="T19" s="34"/>
      <c r="U19" s="35" t="str">
        <f t="shared" si="6"/>
        <v/>
      </c>
      <c r="V19" s="36" t="str">
        <f t="shared" si="7"/>
        <v/>
      </c>
      <c r="W19" s="37"/>
      <c r="X19" s="38"/>
      <c r="Y19" s="34"/>
      <c r="Z19" s="35" t="str">
        <f t="shared" si="8"/>
        <v/>
      </c>
      <c r="AA19" s="36" t="str">
        <f t="shared" si="9"/>
        <v/>
      </c>
      <c r="AB19" s="37"/>
      <c r="AC19" s="38"/>
      <c r="AD19" s="34"/>
      <c r="AE19" s="35" t="str">
        <f t="shared" si="10"/>
        <v/>
      </c>
      <c r="AF19" s="36" t="str">
        <f t="shared" si="11"/>
        <v/>
      </c>
      <c r="AG19" s="37"/>
      <c r="AH19" s="38"/>
      <c r="AI19" s="34"/>
      <c r="AJ19" s="35"/>
      <c r="AK19" s="36"/>
      <c r="AL19" s="37"/>
      <c r="AM19" s="38"/>
      <c r="AN19" s="34"/>
      <c r="AO19" s="35"/>
      <c r="AP19" s="36"/>
      <c r="AQ19" s="37"/>
      <c r="AR19" s="38"/>
      <c r="AS19" s="34"/>
      <c r="AT19" s="35"/>
      <c r="AU19" s="36"/>
      <c r="AV19" s="37"/>
      <c r="AW19" s="38"/>
      <c r="AX19" s="34"/>
      <c r="AY19" s="35"/>
      <c r="AZ19" s="36"/>
      <c r="BA19" s="37"/>
      <c r="BB19" s="38"/>
      <c r="BC19" s="34"/>
      <c r="BD19" s="35" t="str">
        <f t="shared" si="20"/>
        <v/>
      </c>
      <c r="BE19" s="36" t="str">
        <f t="shared" si="21"/>
        <v/>
      </c>
      <c r="BF19" s="37"/>
      <c r="BG19" s="38"/>
      <c r="BH19" s="34"/>
      <c r="BI19" s="35" t="str">
        <f t="shared" si="22"/>
        <v/>
      </c>
      <c r="BJ19" s="36" t="str">
        <f t="shared" si="23"/>
        <v/>
      </c>
      <c r="BK19" s="37"/>
      <c r="BL19" s="33"/>
      <c r="BM19" s="34"/>
      <c r="BN19" s="35" t="str">
        <f t="shared" si="24"/>
        <v/>
      </c>
      <c r="BO19" s="36" t="str">
        <f t="shared" si="25"/>
        <v/>
      </c>
      <c r="BP19" s="37"/>
      <c r="BQ19" s="33"/>
      <c r="BR19" s="34"/>
      <c r="BS19" s="35" t="str">
        <f t="shared" si="26"/>
        <v/>
      </c>
      <c r="BT19" s="36" t="str">
        <f t="shared" si="27"/>
        <v/>
      </c>
      <c r="BU19" s="37"/>
      <c r="BV19" s="33"/>
      <c r="BW19" s="34"/>
      <c r="BX19" s="35" t="str">
        <f t="shared" si="28"/>
        <v/>
      </c>
      <c r="BY19" s="36" t="str">
        <f t="shared" si="29"/>
        <v/>
      </c>
      <c r="BZ19" s="37"/>
      <c r="CA19" s="33"/>
      <c r="CB19" s="34"/>
      <c r="CC19" s="35" t="str">
        <f t="shared" si="30"/>
        <v/>
      </c>
      <c r="CD19" s="36" t="str">
        <f t="shared" si="31"/>
        <v/>
      </c>
      <c r="CE19" s="37"/>
      <c r="CF19" s="33"/>
      <c r="CG19" s="34"/>
      <c r="CH19" s="35" t="str">
        <f t="shared" si="32"/>
        <v/>
      </c>
      <c r="CI19" s="36" t="str">
        <f t="shared" si="33"/>
        <v/>
      </c>
      <c r="CJ19" s="37"/>
      <c r="CK19" s="33"/>
      <c r="CL19" s="34"/>
      <c r="CM19" s="35" t="str">
        <f t="shared" si="34"/>
        <v/>
      </c>
      <c r="CN19" s="36" t="str">
        <f t="shared" si="35"/>
        <v/>
      </c>
      <c r="CO19" s="37"/>
      <c r="CP19" s="33"/>
      <c r="CQ19" s="34"/>
      <c r="CR19" s="35" t="str">
        <f t="shared" si="36"/>
        <v/>
      </c>
      <c r="CS19" s="36" t="str">
        <f t="shared" si="37"/>
        <v/>
      </c>
      <c r="CT19" s="37"/>
      <c r="CU19" s="33"/>
      <c r="CV19" s="34"/>
      <c r="CW19" s="35" t="str">
        <f t="shared" si="38"/>
        <v/>
      </c>
      <c r="CX19" s="36" t="str">
        <f t="shared" si="39"/>
        <v/>
      </c>
      <c r="CY19" s="37"/>
      <c r="CZ19" s="33"/>
      <c r="DA19" s="34"/>
      <c r="DB19" s="35" t="str">
        <f t="shared" si="40"/>
        <v/>
      </c>
      <c r="DC19" s="36" t="str">
        <f t="shared" si="41"/>
        <v/>
      </c>
      <c r="DD19" s="37"/>
      <c r="DE19" s="33"/>
      <c r="DF19" s="34"/>
      <c r="DG19" s="35" t="str">
        <f t="shared" si="42"/>
        <v/>
      </c>
      <c r="DH19" s="36" t="str">
        <f t="shared" si="43"/>
        <v/>
      </c>
      <c r="DI19" s="37"/>
      <c r="DJ19" s="33"/>
      <c r="DK19" s="34"/>
      <c r="DL19" s="35" t="str">
        <f t="shared" si="44"/>
        <v/>
      </c>
      <c r="DM19" s="36" t="str">
        <f t="shared" si="45"/>
        <v/>
      </c>
      <c r="DN19" s="37"/>
      <c r="DO19" s="33"/>
      <c r="DP19" s="34"/>
      <c r="DQ19" s="35" t="str">
        <f t="shared" si="46"/>
        <v/>
      </c>
      <c r="DR19" s="36" t="str">
        <f t="shared" si="47"/>
        <v/>
      </c>
      <c r="DS19" s="37"/>
      <c r="DT19" s="33"/>
      <c r="DU19" s="34"/>
      <c r="DV19" s="35" t="str">
        <f t="shared" si="48"/>
        <v/>
      </c>
      <c r="DW19" s="36" t="str">
        <f t="shared" si="49"/>
        <v/>
      </c>
      <c r="DX19" s="37"/>
      <c r="DY19" s="33"/>
      <c r="DZ19" s="34"/>
      <c r="EA19" s="35" t="str">
        <f t="shared" si="50"/>
        <v/>
      </c>
      <c r="EB19" s="36" t="str">
        <f t="shared" si="51"/>
        <v/>
      </c>
      <c r="EC19" s="37"/>
      <c r="ED19" s="33"/>
      <c r="EE19" s="34"/>
      <c r="EF19" s="35" t="str">
        <f t="shared" si="52"/>
        <v/>
      </c>
      <c r="EG19" s="36" t="str">
        <f t="shared" si="53"/>
        <v/>
      </c>
      <c r="EH19" s="37"/>
      <c r="EI19" s="33"/>
      <c r="EJ19" s="34"/>
      <c r="EK19" s="35" t="str">
        <f t="shared" si="54"/>
        <v/>
      </c>
      <c r="EL19" s="36" t="str">
        <f t="shared" si="55"/>
        <v/>
      </c>
      <c r="EM19" s="37"/>
      <c r="EN19" s="33"/>
      <c r="EO19" s="34"/>
      <c r="EP19" s="35" t="str">
        <f t="shared" si="56"/>
        <v/>
      </c>
      <c r="EQ19" s="36" t="str">
        <f t="shared" si="57"/>
        <v/>
      </c>
      <c r="ER19" s="37"/>
      <c r="ES19" s="33"/>
      <c r="ET19" s="34"/>
      <c r="EU19" s="35" t="str">
        <f t="shared" si="58"/>
        <v/>
      </c>
      <c r="EV19" s="36" t="str">
        <f t="shared" si="59"/>
        <v/>
      </c>
      <c r="EW19" s="37"/>
    </row>
    <row r="20" spans="1:153" ht="19.5" customHeight="1">
      <c r="A20" s="32">
        <f>IF(DAY(DATE(対象年度,2,17))&lt;&gt;17,"",17)</f>
        <v>17</v>
      </c>
      <c r="B20" s="32" t="str">
        <f>IF(DAY(DATE(対象年度,2,17))&lt;&gt;17,"",CHOOSE(WEEKDAY(DATE(対象年度,2,17),2),"月","火","水","木","金","土","日"))</f>
        <v>火</v>
      </c>
      <c r="C20" s="32" t="str">
        <f>IF(DAY(DATE(対象年度,2,17))&lt;&gt;17,"",IF(ISNUMBER(MATCH(DATE(対象年度,2,17),祝日リスト,0)),"祝",""))</f>
        <v/>
      </c>
      <c r="D20" s="38"/>
      <c r="E20" s="34"/>
      <c r="F20" s="35" t="str">
        <f t="shared" si="0"/>
        <v/>
      </c>
      <c r="G20" s="36" t="str">
        <f t="shared" si="1"/>
        <v/>
      </c>
      <c r="H20" s="37"/>
      <c r="I20" s="38"/>
      <c r="J20" s="34"/>
      <c r="K20" s="35" t="str">
        <f t="shared" si="2"/>
        <v/>
      </c>
      <c r="L20" s="36" t="str">
        <f t="shared" si="3"/>
        <v/>
      </c>
      <c r="M20" s="37"/>
      <c r="N20" s="38"/>
      <c r="O20" s="34"/>
      <c r="P20" s="35" t="str">
        <f t="shared" si="4"/>
        <v/>
      </c>
      <c r="Q20" s="36" t="str">
        <f t="shared" si="5"/>
        <v/>
      </c>
      <c r="R20" s="37"/>
      <c r="S20" s="38"/>
      <c r="T20" s="34"/>
      <c r="U20" s="35" t="str">
        <f t="shared" si="6"/>
        <v/>
      </c>
      <c r="V20" s="36" t="str">
        <f t="shared" si="7"/>
        <v/>
      </c>
      <c r="W20" s="37"/>
      <c r="X20" s="38"/>
      <c r="Y20" s="34"/>
      <c r="Z20" s="35" t="str">
        <f t="shared" si="8"/>
        <v/>
      </c>
      <c r="AA20" s="36" t="str">
        <f t="shared" si="9"/>
        <v/>
      </c>
      <c r="AB20" s="37"/>
      <c r="AC20" s="38"/>
      <c r="AD20" s="34"/>
      <c r="AE20" s="35" t="str">
        <f t="shared" si="10"/>
        <v/>
      </c>
      <c r="AF20" s="36" t="str">
        <f t="shared" si="11"/>
        <v/>
      </c>
      <c r="AG20" s="37"/>
      <c r="AH20" s="33"/>
      <c r="AI20" s="34"/>
      <c r="AJ20" s="35"/>
      <c r="AK20" s="36"/>
      <c r="AL20" s="37"/>
      <c r="AM20" s="38"/>
      <c r="AN20" s="34"/>
      <c r="AO20" s="35"/>
      <c r="AP20" s="36"/>
      <c r="AQ20" s="37"/>
      <c r="AR20" s="38"/>
      <c r="AS20" s="34"/>
      <c r="AT20" s="35"/>
      <c r="AU20" s="36"/>
      <c r="AV20" s="37"/>
      <c r="AW20" s="38"/>
      <c r="AX20" s="34"/>
      <c r="AY20" s="35"/>
      <c r="AZ20" s="36"/>
      <c r="BA20" s="37"/>
      <c r="BB20" s="38"/>
      <c r="BC20" s="34"/>
      <c r="BD20" s="35" t="str">
        <f t="shared" si="20"/>
        <v/>
      </c>
      <c r="BE20" s="36" t="str">
        <f t="shared" si="21"/>
        <v/>
      </c>
      <c r="BF20" s="37"/>
      <c r="BG20" s="38"/>
      <c r="BH20" s="34"/>
      <c r="BI20" s="35" t="str">
        <f t="shared" si="22"/>
        <v/>
      </c>
      <c r="BJ20" s="36" t="str">
        <f t="shared" si="23"/>
        <v/>
      </c>
      <c r="BK20" s="37"/>
      <c r="BL20" s="33"/>
      <c r="BM20" s="34"/>
      <c r="BN20" s="35" t="str">
        <f t="shared" si="24"/>
        <v/>
      </c>
      <c r="BO20" s="36" t="str">
        <f t="shared" si="25"/>
        <v/>
      </c>
      <c r="BP20" s="37"/>
      <c r="BQ20" s="33"/>
      <c r="BR20" s="34"/>
      <c r="BS20" s="35" t="str">
        <f t="shared" si="26"/>
        <v/>
      </c>
      <c r="BT20" s="36" t="str">
        <f t="shared" si="27"/>
        <v/>
      </c>
      <c r="BU20" s="37"/>
      <c r="BV20" s="33"/>
      <c r="BW20" s="34"/>
      <c r="BX20" s="35" t="str">
        <f t="shared" si="28"/>
        <v/>
      </c>
      <c r="BY20" s="36" t="str">
        <f t="shared" si="29"/>
        <v/>
      </c>
      <c r="BZ20" s="37"/>
      <c r="CA20" s="33"/>
      <c r="CB20" s="34"/>
      <c r="CC20" s="35" t="str">
        <f t="shared" si="30"/>
        <v/>
      </c>
      <c r="CD20" s="36" t="str">
        <f t="shared" si="31"/>
        <v/>
      </c>
      <c r="CE20" s="37"/>
      <c r="CF20" s="33"/>
      <c r="CG20" s="34"/>
      <c r="CH20" s="35" t="str">
        <f t="shared" si="32"/>
        <v/>
      </c>
      <c r="CI20" s="36" t="str">
        <f t="shared" si="33"/>
        <v/>
      </c>
      <c r="CJ20" s="37"/>
      <c r="CK20" s="33"/>
      <c r="CL20" s="34"/>
      <c r="CM20" s="35" t="str">
        <f t="shared" si="34"/>
        <v/>
      </c>
      <c r="CN20" s="36" t="str">
        <f t="shared" si="35"/>
        <v/>
      </c>
      <c r="CO20" s="37"/>
      <c r="CP20" s="33"/>
      <c r="CQ20" s="34"/>
      <c r="CR20" s="35" t="str">
        <f t="shared" si="36"/>
        <v/>
      </c>
      <c r="CS20" s="36" t="str">
        <f t="shared" si="37"/>
        <v/>
      </c>
      <c r="CT20" s="37"/>
      <c r="CU20" s="33"/>
      <c r="CV20" s="34"/>
      <c r="CW20" s="35" t="str">
        <f t="shared" si="38"/>
        <v/>
      </c>
      <c r="CX20" s="36" t="str">
        <f t="shared" si="39"/>
        <v/>
      </c>
      <c r="CY20" s="37"/>
      <c r="CZ20" s="33"/>
      <c r="DA20" s="34"/>
      <c r="DB20" s="35" t="str">
        <f t="shared" si="40"/>
        <v/>
      </c>
      <c r="DC20" s="36" t="str">
        <f t="shared" si="41"/>
        <v/>
      </c>
      <c r="DD20" s="37"/>
      <c r="DE20" s="33"/>
      <c r="DF20" s="34"/>
      <c r="DG20" s="35" t="str">
        <f t="shared" si="42"/>
        <v/>
      </c>
      <c r="DH20" s="36" t="str">
        <f t="shared" si="43"/>
        <v/>
      </c>
      <c r="DI20" s="37"/>
      <c r="DJ20" s="33"/>
      <c r="DK20" s="34"/>
      <c r="DL20" s="35" t="str">
        <f t="shared" si="44"/>
        <v/>
      </c>
      <c r="DM20" s="36" t="str">
        <f t="shared" si="45"/>
        <v/>
      </c>
      <c r="DN20" s="37"/>
      <c r="DO20" s="33"/>
      <c r="DP20" s="34"/>
      <c r="DQ20" s="35" t="str">
        <f t="shared" si="46"/>
        <v/>
      </c>
      <c r="DR20" s="36" t="str">
        <f t="shared" si="47"/>
        <v/>
      </c>
      <c r="DS20" s="37"/>
      <c r="DT20" s="33"/>
      <c r="DU20" s="34"/>
      <c r="DV20" s="35" t="str">
        <f t="shared" si="48"/>
        <v/>
      </c>
      <c r="DW20" s="36" t="str">
        <f t="shared" si="49"/>
        <v/>
      </c>
      <c r="DX20" s="37"/>
      <c r="DY20" s="33"/>
      <c r="DZ20" s="34"/>
      <c r="EA20" s="35" t="str">
        <f t="shared" si="50"/>
        <v/>
      </c>
      <c r="EB20" s="36" t="str">
        <f t="shared" si="51"/>
        <v/>
      </c>
      <c r="EC20" s="37"/>
      <c r="ED20" s="33"/>
      <c r="EE20" s="34"/>
      <c r="EF20" s="35" t="str">
        <f t="shared" si="52"/>
        <v/>
      </c>
      <c r="EG20" s="36" t="str">
        <f t="shared" si="53"/>
        <v/>
      </c>
      <c r="EH20" s="37"/>
      <c r="EI20" s="33"/>
      <c r="EJ20" s="34"/>
      <c r="EK20" s="35" t="str">
        <f t="shared" si="54"/>
        <v/>
      </c>
      <c r="EL20" s="36" t="str">
        <f t="shared" si="55"/>
        <v/>
      </c>
      <c r="EM20" s="37"/>
      <c r="EN20" s="33"/>
      <c r="EO20" s="34"/>
      <c r="EP20" s="35" t="str">
        <f t="shared" si="56"/>
        <v/>
      </c>
      <c r="EQ20" s="36" t="str">
        <f t="shared" si="57"/>
        <v/>
      </c>
      <c r="ER20" s="37"/>
      <c r="ES20" s="33"/>
      <c r="ET20" s="34"/>
      <c r="EU20" s="35" t="str">
        <f t="shared" si="58"/>
        <v/>
      </c>
      <c r="EV20" s="36" t="str">
        <f t="shared" si="59"/>
        <v/>
      </c>
      <c r="EW20" s="37"/>
    </row>
    <row r="21" spans="1:153" ht="19.5" customHeight="1">
      <c r="A21" s="32">
        <f>IF(DAY(DATE(対象年度,2,18))&lt;&gt;18,"",18)</f>
        <v>18</v>
      </c>
      <c r="B21" s="32" t="str">
        <f>IF(DAY(DATE(対象年度,2,18))&lt;&gt;18,"",CHOOSE(WEEKDAY(DATE(対象年度,2,18),2),"月","火","水","木","金","土","日"))</f>
        <v>水</v>
      </c>
      <c r="C21" s="32" t="str">
        <f>IF(DAY(DATE(対象年度,2,18))&lt;&gt;18,"",IF(ISNUMBER(MATCH(DATE(対象年度,2,18),祝日リスト,0)),"祝",""))</f>
        <v/>
      </c>
      <c r="D21" s="38"/>
      <c r="E21" s="34"/>
      <c r="F21" s="35" t="str">
        <f t="shared" si="0"/>
        <v/>
      </c>
      <c r="G21" s="36" t="str">
        <f t="shared" si="1"/>
        <v/>
      </c>
      <c r="H21" s="37"/>
      <c r="I21" s="38"/>
      <c r="J21" s="34"/>
      <c r="K21" s="35" t="str">
        <f t="shared" si="2"/>
        <v/>
      </c>
      <c r="L21" s="36" t="str">
        <f t="shared" si="3"/>
        <v/>
      </c>
      <c r="M21" s="37"/>
      <c r="N21" s="38"/>
      <c r="O21" s="34"/>
      <c r="P21" s="35" t="str">
        <f t="shared" si="4"/>
        <v/>
      </c>
      <c r="Q21" s="36" t="str">
        <f t="shared" si="5"/>
        <v/>
      </c>
      <c r="R21" s="37"/>
      <c r="S21" s="38"/>
      <c r="T21" s="34"/>
      <c r="U21" s="35" t="str">
        <f t="shared" si="6"/>
        <v/>
      </c>
      <c r="V21" s="36" t="str">
        <f t="shared" si="7"/>
        <v/>
      </c>
      <c r="W21" s="37"/>
      <c r="X21" s="38"/>
      <c r="Y21" s="34"/>
      <c r="Z21" s="35" t="str">
        <f t="shared" si="8"/>
        <v/>
      </c>
      <c r="AA21" s="36" t="str">
        <f t="shared" si="9"/>
        <v/>
      </c>
      <c r="AB21" s="37"/>
      <c r="AC21" s="38"/>
      <c r="AD21" s="34"/>
      <c r="AE21" s="35" t="str">
        <f t="shared" si="10"/>
        <v/>
      </c>
      <c r="AF21" s="36" t="str">
        <f t="shared" si="11"/>
        <v/>
      </c>
      <c r="AG21" s="37"/>
      <c r="AH21" s="38"/>
      <c r="AI21" s="34"/>
      <c r="AJ21" s="35"/>
      <c r="AK21" s="36"/>
      <c r="AL21" s="37"/>
      <c r="AM21" s="38"/>
      <c r="AN21" s="34"/>
      <c r="AO21" s="35"/>
      <c r="AP21" s="36"/>
      <c r="AQ21" s="37"/>
      <c r="AR21" s="38"/>
      <c r="AS21" s="34"/>
      <c r="AT21" s="35"/>
      <c r="AU21" s="36"/>
      <c r="AV21" s="37"/>
      <c r="AW21" s="38"/>
      <c r="AX21" s="34"/>
      <c r="AY21" s="35"/>
      <c r="AZ21" s="36"/>
      <c r="BA21" s="37"/>
      <c r="BB21" s="38"/>
      <c r="BC21" s="34"/>
      <c r="BD21" s="35" t="str">
        <f t="shared" si="20"/>
        <v/>
      </c>
      <c r="BE21" s="36" t="str">
        <f t="shared" si="21"/>
        <v/>
      </c>
      <c r="BF21" s="37"/>
      <c r="BG21" s="38"/>
      <c r="BH21" s="34"/>
      <c r="BI21" s="35" t="str">
        <f t="shared" si="22"/>
        <v/>
      </c>
      <c r="BJ21" s="36" t="str">
        <f t="shared" si="23"/>
        <v/>
      </c>
      <c r="BK21" s="37"/>
      <c r="BL21" s="33"/>
      <c r="BM21" s="34"/>
      <c r="BN21" s="35" t="str">
        <f t="shared" si="24"/>
        <v/>
      </c>
      <c r="BO21" s="36" t="str">
        <f t="shared" si="25"/>
        <v/>
      </c>
      <c r="BP21" s="37"/>
      <c r="BQ21" s="33"/>
      <c r="BR21" s="34"/>
      <c r="BS21" s="35" t="str">
        <f t="shared" si="26"/>
        <v/>
      </c>
      <c r="BT21" s="36" t="str">
        <f t="shared" si="27"/>
        <v/>
      </c>
      <c r="BU21" s="37"/>
      <c r="BV21" s="33"/>
      <c r="BW21" s="34"/>
      <c r="BX21" s="35" t="str">
        <f t="shared" si="28"/>
        <v/>
      </c>
      <c r="BY21" s="36" t="str">
        <f t="shared" si="29"/>
        <v/>
      </c>
      <c r="BZ21" s="37"/>
      <c r="CA21" s="33"/>
      <c r="CB21" s="34"/>
      <c r="CC21" s="35" t="str">
        <f t="shared" si="30"/>
        <v/>
      </c>
      <c r="CD21" s="36" t="str">
        <f t="shared" si="31"/>
        <v/>
      </c>
      <c r="CE21" s="37"/>
      <c r="CF21" s="33"/>
      <c r="CG21" s="34"/>
      <c r="CH21" s="35" t="str">
        <f t="shared" si="32"/>
        <v/>
      </c>
      <c r="CI21" s="36" t="str">
        <f t="shared" si="33"/>
        <v/>
      </c>
      <c r="CJ21" s="37"/>
      <c r="CK21" s="33"/>
      <c r="CL21" s="34"/>
      <c r="CM21" s="35" t="str">
        <f t="shared" si="34"/>
        <v/>
      </c>
      <c r="CN21" s="36" t="str">
        <f t="shared" si="35"/>
        <v/>
      </c>
      <c r="CO21" s="37"/>
      <c r="CP21" s="33"/>
      <c r="CQ21" s="34"/>
      <c r="CR21" s="35" t="str">
        <f t="shared" si="36"/>
        <v/>
      </c>
      <c r="CS21" s="36" t="str">
        <f t="shared" si="37"/>
        <v/>
      </c>
      <c r="CT21" s="37"/>
      <c r="CU21" s="33"/>
      <c r="CV21" s="34"/>
      <c r="CW21" s="35" t="str">
        <f t="shared" si="38"/>
        <v/>
      </c>
      <c r="CX21" s="36" t="str">
        <f t="shared" si="39"/>
        <v/>
      </c>
      <c r="CY21" s="37"/>
      <c r="CZ21" s="33"/>
      <c r="DA21" s="34"/>
      <c r="DB21" s="35" t="str">
        <f t="shared" si="40"/>
        <v/>
      </c>
      <c r="DC21" s="36" t="str">
        <f t="shared" si="41"/>
        <v/>
      </c>
      <c r="DD21" s="37"/>
      <c r="DE21" s="33"/>
      <c r="DF21" s="34"/>
      <c r="DG21" s="35" t="str">
        <f t="shared" si="42"/>
        <v/>
      </c>
      <c r="DH21" s="36" t="str">
        <f t="shared" si="43"/>
        <v/>
      </c>
      <c r="DI21" s="37"/>
      <c r="DJ21" s="33"/>
      <c r="DK21" s="34"/>
      <c r="DL21" s="35" t="str">
        <f t="shared" si="44"/>
        <v/>
      </c>
      <c r="DM21" s="36" t="str">
        <f t="shared" si="45"/>
        <v/>
      </c>
      <c r="DN21" s="37"/>
      <c r="DO21" s="33"/>
      <c r="DP21" s="34"/>
      <c r="DQ21" s="35" t="str">
        <f t="shared" si="46"/>
        <v/>
      </c>
      <c r="DR21" s="36" t="str">
        <f t="shared" si="47"/>
        <v/>
      </c>
      <c r="DS21" s="37"/>
      <c r="DT21" s="33"/>
      <c r="DU21" s="34"/>
      <c r="DV21" s="35" t="str">
        <f t="shared" si="48"/>
        <v/>
      </c>
      <c r="DW21" s="36" t="str">
        <f t="shared" si="49"/>
        <v/>
      </c>
      <c r="DX21" s="37"/>
      <c r="DY21" s="33"/>
      <c r="DZ21" s="34"/>
      <c r="EA21" s="35" t="str">
        <f t="shared" si="50"/>
        <v/>
      </c>
      <c r="EB21" s="36" t="str">
        <f t="shared" si="51"/>
        <v/>
      </c>
      <c r="EC21" s="37"/>
      <c r="ED21" s="33"/>
      <c r="EE21" s="34"/>
      <c r="EF21" s="35" t="str">
        <f t="shared" si="52"/>
        <v/>
      </c>
      <c r="EG21" s="36" t="str">
        <f t="shared" si="53"/>
        <v/>
      </c>
      <c r="EH21" s="37"/>
      <c r="EI21" s="33"/>
      <c r="EJ21" s="34"/>
      <c r="EK21" s="35" t="str">
        <f t="shared" si="54"/>
        <v/>
      </c>
      <c r="EL21" s="36" t="str">
        <f t="shared" si="55"/>
        <v/>
      </c>
      <c r="EM21" s="37"/>
      <c r="EN21" s="33"/>
      <c r="EO21" s="34"/>
      <c r="EP21" s="35" t="str">
        <f t="shared" si="56"/>
        <v/>
      </c>
      <c r="EQ21" s="36" t="str">
        <f t="shared" si="57"/>
        <v/>
      </c>
      <c r="ER21" s="37"/>
      <c r="ES21" s="33"/>
      <c r="ET21" s="34"/>
      <c r="EU21" s="35" t="str">
        <f t="shared" si="58"/>
        <v/>
      </c>
      <c r="EV21" s="36" t="str">
        <f t="shared" si="59"/>
        <v/>
      </c>
      <c r="EW21" s="37"/>
    </row>
    <row r="22" spans="1:153" ht="19.5" customHeight="1">
      <c r="A22" s="32">
        <f>IF(DAY(DATE(対象年度,2,19))&lt;&gt;19,"",19)</f>
        <v>19</v>
      </c>
      <c r="B22" s="32" t="str">
        <f>IF(DAY(DATE(対象年度,2,19))&lt;&gt;19,"",CHOOSE(WEEKDAY(DATE(対象年度,2,19),2),"月","火","水","木","金","土","日"))</f>
        <v>木</v>
      </c>
      <c r="C22" s="32" t="str">
        <f>IF(DAY(DATE(対象年度,2,19))&lt;&gt;19,"",IF(ISNUMBER(MATCH(DATE(対象年度,2,19),祝日リスト,0)),"祝",""))</f>
        <v/>
      </c>
      <c r="D22" s="38"/>
      <c r="E22" s="34"/>
      <c r="F22" s="35" t="str">
        <f t="shared" si="0"/>
        <v/>
      </c>
      <c r="G22" s="36" t="str">
        <f t="shared" si="1"/>
        <v/>
      </c>
      <c r="H22" s="37"/>
      <c r="I22" s="33"/>
      <c r="J22" s="46"/>
      <c r="K22" s="35" t="str">
        <f t="shared" si="2"/>
        <v/>
      </c>
      <c r="L22" s="36" t="str">
        <f t="shared" si="3"/>
        <v/>
      </c>
      <c r="M22" s="37"/>
      <c r="N22" s="38"/>
      <c r="O22" s="34"/>
      <c r="P22" s="35" t="str">
        <f t="shared" si="4"/>
        <v/>
      </c>
      <c r="Q22" s="36" t="str">
        <f t="shared" si="5"/>
        <v/>
      </c>
      <c r="R22" s="37"/>
      <c r="S22" s="38"/>
      <c r="T22" s="34"/>
      <c r="U22" s="35" t="str">
        <f t="shared" si="6"/>
        <v/>
      </c>
      <c r="V22" s="36" t="str">
        <f t="shared" si="7"/>
        <v/>
      </c>
      <c r="W22" s="37"/>
      <c r="X22" s="38"/>
      <c r="Y22" s="34"/>
      <c r="Z22" s="35" t="str">
        <f t="shared" si="8"/>
        <v/>
      </c>
      <c r="AA22" s="36" t="str">
        <f t="shared" si="9"/>
        <v/>
      </c>
      <c r="AB22" s="37"/>
      <c r="AC22" s="33"/>
      <c r="AD22" s="46"/>
      <c r="AE22" s="35" t="str">
        <f t="shared" si="10"/>
        <v/>
      </c>
      <c r="AF22" s="36" t="str">
        <f t="shared" si="11"/>
        <v/>
      </c>
      <c r="AG22" s="37"/>
      <c r="AH22" s="33"/>
      <c r="AI22" s="34"/>
      <c r="AJ22" s="35"/>
      <c r="AK22" s="36"/>
      <c r="AL22" s="37"/>
      <c r="AM22" s="33"/>
      <c r="AN22" s="46"/>
      <c r="AO22" s="35"/>
      <c r="AP22" s="36"/>
      <c r="AQ22" s="37"/>
      <c r="AR22" s="38"/>
      <c r="AS22" s="34"/>
      <c r="AT22" s="35"/>
      <c r="AU22" s="36"/>
      <c r="AV22" s="37"/>
      <c r="AW22" s="38"/>
      <c r="AX22" s="34"/>
      <c r="AY22" s="35"/>
      <c r="AZ22" s="36"/>
      <c r="BA22" s="37"/>
      <c r="BB22" s="38"/>
      <c r="BC22" s="34"/>
      <c r="BD22" s="35" t="str">
        <f t="shared" si="20"/>
        <v/>
      </c>
      <c r="BE22" s="36" t="str">
        <f t="shared" si="21"/>
        <v/>
      </c>
      <c r="BF22" s="37"/>
      <c r="BG22" s="38"/>
      <c r="BH22" s="34"/>
      <c r="BI22" s="35" t="str">
        <f t="shared" si="22"/>
        <v/>
      </c>
      <c r="BJ22" s="36" t="str">
        <f t="shared" si="23"/>
        <v/>
      </c>
      <c r="BK22" s="37"/>
      <c r="BL22" s="33"/>
      <c r="BM22" s="34"/>
      <c r="BN22" s="35" t="str">
        <f t="shared" si="24"/>
        <v/>
      </c>
      <c r="BO22" s="36" t="str">
        <f t="shared" si="25"/>
        <v/>
      </c>
      <c r="BP22" s="37"/>
      <c r="BQ22" s="33"/>
      <c r="BR22" s="34"/>
      <c r="BS22" s="35" t="str">
        <f t="shared" si="26"/>
        <v/>
      </c>
      <c r="BT22" s="36" t="str">
        <f t="shared" si="27"/>
        <v/>
      </c>
      <c r="BU22" s="37"/>
      <c r="BV22" s="33"/>
      <c r="BW22" s="34"/>
      <c r="BX22" s="35" t="str">
        <f t="shared" si="28"/>
        <v/>
      </c>
      <c r="BY22" s="36" t="str">
        <f t="shared" si="29"/>
        <v/>
      </c>
      <c r="BZ22" s="37"/>
      <c r="CA22" s="33"/>
      <c r="CB22" s="34"/>
      <c r="CC22" s="35" t="str">
        <f t="shared" si="30"/>
        <v/>
      </c>
      <c r="CD22" s="36" t="str">
        <f t="shared" si="31"/>
        <v/>
      </c>
      <c r="CE22" s="37"/>
      <c r="CF22" s="33"/>
      <c r="CG22" s="34"/>
      <c r="CH22" s="35" t="str">
        <f t="shared" si="32"/>
        <v/>
      </c>
      <c r="CI22" s="36" t="str">
        <f t="shared" si="33"/>
        <v/>
      </c>
      <c r="CJ22" s="37"/>
      <c r="CK22" s="33"/>
      <c r="CL22" s="34"/>
      <c r="CM22" s="35" t="str">
        <f t="shared" si="34"/>
        <v/>
      </c>
      <c r="CN22" s="36" t="str">
        <f t="shared" si="35"/>
        <v/>
      </c>
      <c r="CO22" s="37"/>
      <c r="CP22" s="33"/>
      <c r="CQ22" s="34"/>
      <c r="CR22" s="35" t="str">
        <f t="shared" si="36"/>
        <v/>
      </c>
      <c r="CS22" s="36" t="str">
        <f t="shared" si="37"/>
        <v/>
      </c>
      <c r="CT22" s="37"/>
      <c r="CU22" s="33"/>
      <c r="CV22" s="34"/>
      <c r="CW22" s="35" t="str">
        <f t="shared" si="38"/>
        <v/>
      </c>
      <c r="CX22" s="36" t="str">
        <f t="shared" si="39"/>
        <v/>
      </c>
      <c r="CY22" s="37"/>
      <c r="CZ22" s="33"/>
      <c r="DA22" s="34"/>
      <c r="DB22" s="35" t="str">
        <f t="shared" si="40"/>
        <v/>
      </c>
      <c r="DC22" s="36" t="str">
        <f t="shared" si="41"/>
        <v/>
      </c>
      <c r="DD22" s="37"/>
      <c r="DE22" s="33"/>
      <c r="DF22" s="34"/>
      <c r="DG22" s="35" t="str">
        <f t="shared" si="42"/>
        <v/>
      </c>
      <c r="DH22" s="36" t="str">
        <f t="shared" si="43"/>
        <v/>
      </c>
      <c r="DI22" s="37"/>
      <c r="DJ22" s="33"/>
      <c r="DK22" s="34"/>
      <c r="DL22" s="35" t="str">
        <f t="shared" si="44"/>
        <v/>
      </c>
      <c r="DM22" s="36" t="str">
        <f t="shared" si="45"/>
        <v/>
      </c>
      <c r="DN22" s="37"/>
      <c r="DO22" s="33"/>
      <c r="DP22" s="34"/>
      <c r="DQ22" s="35" t="str">
        <f t="shared" si="46"/>
        <v/>
      </c>
      <c r="DR22" s="36" t="str">
        <f t="shared" si="47"/>
        <v/>
      </c>
      <c r="DS22" s="37"/>
      <c r="DT22" s="33"/>
      <c r="DU22" s="34"/>
      <c r="DV22" s="35" t="str">
        <f t="shared" si="48"/>
        <v/>
      </c>
      <c r="DW22" s="36" t="str">
        <f t="shared" si="49"/>
        <v/>
      </c>
      <c r="DX22" s="37"/>
      <c r="DY22" s="33"/>
      <c r="DZ22" s="34"/>
      <c r="EA22" s="35" t="str">
        <f t="shared" si="50"/>
        <v/>
      </c>
      <c r="EB22" s="36" t="str">
        <f t="shared" si="51"/>
        <v/>
      </c>
      <c r="EC22" s="37"/>
      <c r="ED22" s="33"/>
      <c r="EE22" s="34"/>
      <c r="EF22" s="35" t="str">
        <f t="shared" si="52"/>
        <v/>
      </c>
      <c r="EG22" s="36" t="str">
        <f t="shared" si="53"/>
        <v/>
      </c>
      <c r="EH22" s="37"/>
      <c r="EI22" s="33"/>
      <c r="EJ22" s="34"/>
      <c r="EK22" s="35" t="str">
        <f t="shared" si="54"/>
        <v/>
      </c>
      <c r="EL22" s="36" t="str">
        <f t="shared" si="55"/>
        <v/>
      </c>
      <c r="EM22" s="37"/>
      <c r="EN22" s="33"/>
      <c r="EO22" s="34"/>
      <c r="EP22" s="35" t="str">
        <f t="shared" si="56"/>
        <v/>
      </c>
      <c r="EQ22" s="36" t="str">
        <f t="shared" si="57"/>
        <v/>
      </c>
      <c r="ER22" s="37"/>
      <c r="ES22" s="33"/>
      <c r="ET22" s="34"/>
      <c r="EU22" s="35" t="str">
        <f t="shared" si="58"/>
        <v/>
      </c>
      <c r="EV22" s="36" t="str">
        <f t="shared" si="59"/>
        <v/>
      </c>
      <c r="EW22" s="37"/>
    </row>
    <row r="23" spans="1:153" ht="19.5" customHeight="1">
      <c r="A23" s="32">
        <f>IF(DAY(DATE(対象年度,2,20))&lt;&gt;20,"",20)</f>
        <v>20</v>
      </c>
      <c r="B23" s="32" t="str">
        <f>IF(DAY(DATE(対象年度,2,20))&lt;&gt;20,"",CHOOSE(WEEKDAY(DATE(対象年度,2,20),2),"月","火","水","木","金","土","日"))</f>
        <v>金</v>
      </c>
      <c r="C23" s="32" t="str">
        <f>IF(DAY(DATE(対象年度,2,20))&lt;&gt;20,"",IF(ISNUMBER(MATCH(DATE(対象年度,2,20),祝日リスト,0)),"祝",""))</f>
        <v/>
      </c>
      <c r="D23" s="38"/>
      <c r="E23" s="34"/>
      <c r="F23" s="35" t="str">
        <f t="shared" si="0"/>
        <v/>
      </c>
      <c r="G23" s="36" t="str">
        <f t="shared" si="1"/>
        <v/>
      </c>
      <c r="H23" s="37"/>
      <c r="I23" s="38"/>
      <c r="J23" s="34"/>
      <c r="K23" s="35" t="str">
        <f t="shared" si="2"/>
        <v/>
      </c>
      <c r="L23" s="36" t="str">
        <f t="shared" si="3"/>
        <v/>
      </c>
      <c r="M23" s="37"/>
      <c r="N23" s="38"/>
      <c r="O23" s="34"/>
      <c r="P23" s="35" t="str">
        <f t="shared" si="4"/>
        <v/>
      </c>
      <c r="Q23" s="36" t="str">
        <f t="shared" si="5"/>
        <v/>
      </c>
      <c r="R23" s="37"/>
      <c r="S23" s="38"/>
      <c r="T23" s="34"/>
      <c r="U23" s="35" t="str">
        <f t="shared" si="6"/>
        <v/>
      </c>
      <c r="V23" s="36" t="str">
        <f t="shared" si="7"/>
        <v/>
      </c>
      <c r="W23" s="37"/>
      <c r="X23" s="38"/>
      <c r="Y23" s="34"/>
      <c r="Z23" s="35" t="str">
        <f t="shared" si="8"/>
        <v/>
      </c>
      <c r="AA23" s="36" t="str">
        <f t="shared" si="9"/>
        <v/>
      </c>
      <c r="AB23" s="37"/>
      <c r="AC23" s="38"/>
      <c r="AD23" s="34"/>
      <c r="AE23" s="35" t="str">
        <f t="shared" si="10"/>
        <v/>
      </c>
      <c r="AF23" s="36" t="str">
        <f t="shared" si="11"/>
        <v/>
      </c>
      <c r="AG23" s="37"/>
      <c r="AH23" s="38"/>
      <c r="AI23" s="34"/>
      <c r="AJ23" s="35"/>
      <c r="AK23" s="36"/>
      <c r="AL23" s="37"/>
      <c r="AM23" s="38"/>
      <c r="AN23" s="34"/>
      <c r="AO23" s="35"/>
      <c r="AP23" s="36"/>
      <c r="AQ23" s="37"/>
      <c r="AR23" s="38"/>
      <c r="AS23" s="34"/>
      <c r="AT23" s="35"/>
      <c r="AU23" s="36"/>
      <c r="AV23" s="37"/>
      <c r="AW23" s="38"/>
      <c r="AX23" s="34"/>
      <c r="AY23" s="35"/>
      <c r="AZ23" s="36"/>
      <c r="BA23" s="37"/>
      <c r="BB23" s="38"/>
      <c r="BC23" s="34"/>
      <c r="BD23" s="35" t="str">
        <f t="shared" si="20"/>
        <v/>
      </c>
      <c r="BE23" s="36" t="str">
        <f t="shared" si="21"/>
        <v/>
      </c>
      <c r="BF23" s="37"/>
      <c r="BG23" s="38"/>
      <c r="BH23" s="34"/>
      <c r="BI23" s="35" t="str">
        <f t="shared" si="22"/>
        <v/>
      </c>
      <c r="BJ23" s="36" t="str">
        <f t="shared" si="23"/>
        <v/>
      </c>
      <c r="BK23" s="37"/>
      <c r="BL23" s="33"/>
      <c r="BM23" s="34"/>
      <c r="BN23" s="35" t="str">
        <f t="shared" si="24"/>
        <v/>
      </c>
      <c r="BO23" s="36" t="str">
        <f t="shared" si="25"/>
        <v/>
      </c>
      <c r="BP23" s="37"/>
      <c r="BQ23" s="33"/>
      <c r="BR23" s="34"/>
      <c r="BS23" s="35" t="str">
        <f t="shared" si="26"/>
        <v/>
      </c>
      <c r="BT23" s="36" t="str">
        <f t="shared" si="27"/>
        <v/>
      </c>
      <c r="BU23" s="37"/>
      <c r="BV23" s="33"/>
      <c r="BW23" s="34"/>
      <c r="BX23" s="35" t="str">
        <f t="shared" si="28"/>
        <v/>
      </c>
      <c r="BY23" s="36" t="str">
        <f t="shared" si="29"/>
        <v/>
      </c>
      <c r="BZ23" s="37"/>
      <c r="CA23" s="33"/>
      <c r="CB23" s="34"/>
      <c r="CC23" s="35" t="str">
        <f t="shared" si="30"/>
        <v/>
      </c>
      <c r="CD23" s="36" t="str">
        <f t="shared" si="31"/>
        <v/>
      </c>
      <c r="CE23" s="37"/>
      <c r="CF23" s="33"/>
      <c r="CG23" s="34"/>
      <c r="CH23" s="35" t="str">
        <f t="shared" si="32"/>
        <v/>
      </c>
      <c r="CI23" s="36" t="str">
        <f t="shared" si="33"/>
        <v/>
      </c>
      <c r="CJ23" s="37"/>
      <c r="CK23" s="33"/>
      <c r="CL23" s="34"/>
      <c r="CM23" s="35" t="str">
        <f t="shared" si="34"/>
        <v/>
      </c>
      <c r="CN23" s="36" t="str">
        <f t="shared" si="35"/>
        <v/>
      </c>
      <c r="CO23" s="37"/>
      <c r="CP23" s="33"/>
      <c r="CQ23" s="34"/>
      <c r="CR23" s="35" t="str">
        <f t="shared" si="36"/>
        <v/>
      </c>
      <c r="CS23" s="36" t="str">
        <f t="shared" si="37"/>
        <v/>
      </c>
      <c r="CT23" s="37"/>
      <c r="CU23" s="33"/>
      <c r="CV23" s="34"/>
      <c r="CW23" s="35" t="str">
        <f t="shared" si="38"/>
        <v/>
      </c>
      <c r="CX23" s="36" t="str">
        <f t="shared" si="39"/>
        <v/>
      </c>
      <c r="CY23" s="37"/>
      <c r="CZ23" s="33"/>
      <c r="DA23" s="34"/>
      <c r="DB23" s="35" t="str">
        <f t="shared" si="40"/>
        <v/>
      </c>
      <c r="DC23" s="36" t="str">
        <f t="shared" si="41"/>
        <v/>
      </c>
      <c r="DD23" s="37"/>
      <c r="DE23" s="33"/>
      <c r="DF23" s="34"/>
      <c r="DG23" s="35" t="str">
        <f t="shared" si="42"/>
        <v/>
      </c>
      <c r="DH23" s="36" t="str">
        <f t="shared" si="43"/>
        <v/>
      </c>
      <c r="DI23" s="37"/>
      <c r="DJ23" s="33"/>
      <c r="DK23" s="34"/>
      <c r="DL23" s="35" t="str">
        <f t="shared" si="44"/>
        <v/>
      </c>
      <c r="DM23" s="36" t="str">
        <f t="shared" si="45"/>
        <v/>
      </c>
      <c r="DN23" s="37"/>
      <c r="DO23" s="33"/>
      <c r="DP23" s="34"/>
      <c r="DQ23" s="35" t="str">
        <f t="shared" si="46"/>
        <v/>
      </c>
      <c r="DR23" s="36" t="str">
        <f t="shared" si="47"/>
        <v/>
      </c>
      <c r="DS23" s="37"/>
      <c r="DT23" s="33"/>
      <c r="DU23" s="34"/>
      <c r="DV23" s="35" t="str">
        <f t="shared" si="48"/>
        <v/>
      </c>
      <c r="DW23" s="36" t="str">
        <f t="shared" si="49"/>
        <v/>
      </c>
      <c r="DX23" s="37"/>
      <c r="DY23" s="33"/>
      <c r="DZ23" s="34"/>
      <c r="EA23" s="35" t="str">
        <f t="shared" si="50"/>
        <v/>
      </c>
      <c r="EB23" s="36" t="str">
        <f t="shared" si="51"/>
        <v/>
      </c>
      <c r="EC23" s="37"/>
      <c r="ED23" s="33"/>
      <c r="EE23" s="34"/>
      <c r="EF23" s="35" t="str">
        <f t="shared" si="52"/>
        <v/>
      </c>
      <c r="EG23" s="36" t="str">
        <f t="shared" si="53"/>
        <v/>
      </c>
      <c r="EH23" s="37"/>
      <c r="EI23" s="33"/>
      <c r="EJ23" s="34"/>
      <c r="EK23" s="35" t="str">
        <f t="shared" si="54"/>
        <v/>
      </c>
      <c r="EL23" s="36" t="str">
        <f t="shared" si="55"/>
        <v/>
      </c>
      <c r="EM23" s="37"/>
      <c r="EN23" s="33"/>
      <c r="EO23" s="34"/>
      <c r="EP23" s="35" t="str">
        <f t="shared" si="56"/>
        <v/>
      </c>
      <c r="EQ23" s="36" t="str">
        <f t="shared" si="57"/>
        <v/>
      </c>
      <c r="ER23" s="37"/>
      <c r="ES23" s="33"/>
      <c r="ET23" s="34"/>
      <c r="EU23" s="35" t="str">
        <f t="shared" si="58"/>
        <v/>
      </c>
      <c r="EV23" s="36" t="str">
        <f t="shared" si="59"/>
        <v/>
      </c>
      <c r="EW23" s="37"/>
    </row>
    <row r="24" spans="1:153" ht="19.5" customHeight="1">
      <c r="A24" s="32">
        <f>IF(DAY(DATE(対象年度,2,21))&lt;&gt;21,"",21)</f>
        <v>21</v>
      </c>
      <c r="B24" s="32" t="str">
        <f>IF(DAY(DATE(対象年度,2,21))&lt;&gt;21,"",CHOOSE(WEEKDAY(DATE(対象年度,2,21),2),"月","火","水","木","金","土","日"))</f>
        <v>土</v>
      </c>
      <c r="C24" s="32" t="str">
        <f>IF(DAY(DATE(対象年度,2,21))&lt;&gt;21,"",IF(ISNUMBER(MATCH(DATE(対象年度,2,21),祝日リスト,0)),"祝",""))</f>
        <v/>
      </c>
      <c r="D24" s="33"/>
      <c r="E24" s="34"/>
      <c r="F24" s="35" t="str">
        <f t="shared" si="0"/>
        <v/>
      </c>
      <c r="G24" s="36" t="str">
        <f t="shared" si="1"/>
        <v/>
      </c>
      <c r="H24" s="37"/>
      <c r="I24" s="33"/>
      <c r="J24" s="34"/>
      <c r="K24" s="35" t="str">
        <f t="shared" si="2"/>
        <v/>
      </c>
      <c r="L24" s="36" t="str">
        <f t="shared" si="3"/>
        <v/>
      </c>
      <c r="M24" s="37"/>
      <c r="N24" s="33"/>
      <c r="O24" s="34"/>
      <c r="P24" s="35" t="str">
        <f t="shared" si="4"/>
        <v/>
      </c>
      <c r="Q24" s="36" t="str">
        <f t="shared" si="5"/>
        <v/>
      </c>
      <c r="R24" s="37"/>
      <c r="S24" s="33"/>
      <c r="T24" s="34"/>
      <c r="U24" s="35" t="str">
        <f t="shared" si="6"/>
        <v/>
      </c>
      <c r="V24" s="36" t="str">
        <f t="shared" si="7"/>
        <v/>
      </c>
      <c r="W24" s="37"/>
      <c r="X24" s="33"/>
      <c r="Y24" s="34"/>
      <c r="Z24" s="35" t="str">
        <f t="shared" si="8"/>
        <v/>
      </c>
      <c r="AA24" s="36" t="str">
        <f t="shared" si="9"/>
        <v/>
      </c>
      <c r="AB24" s="37"/>
      <c r="AC24" s="33"/>
      <c r="AD24" s="34"/>
      <c r="AE24" s="35" t="str">
        <f t="shared" si="10"/>
        <v/>
      </c>
      <c r="AF24" s="36" t="str">
        <f t="shared" si="11"/>
        <v/>
      </c>
      <c r="AG24" s="37"/>
      <c r="AH24" s="33"/>
      <c r="AI24" s="34"/>
      <c r="AJ24" s="35"/>
      <c r="AK24" s="36"/>
      <c r="AL24" s="37"/>
      <c r="AM24" s="33"/>
      <c r="AN24" s="34"/>
      <c r="AO24" s="35"/>
      <c r="AP24" s="36"/>
      <c r="AQ24" s="37"/>
      <c r="AR24" s="33"/>
      <c r="AS24" s="34"/>
      <c r="AT24" s="35"/>
      <c r="AU24" s="36"/>
      <c r="AV24" s="37"/>
      <c r="AW24" s="33"/>
      <c r="AX24" s="34"/>
      <c r="AY24" s="35"/>
      <c r="AZ24" s="36"/>
      <c r="BA24" s="37"/>
      <c r="BB24" s="33"/>
      <c r="BC24" s="34"/>
      <c r="BD24" s="35" t="str">
        <f t="shared" si="20"/>
        <v/>
      </c>
      <c r="BE24" s="36" t="str">
        <f t="shared" si="21"/>
        <v/>
      </c>
      <c r="BF24" s="37"/>
      <c r="BG24" s="33"/>
      <c r="BH24" s="34"/>
      <c r="BI24" s="35" t="str">
        <f t="shared" si="22"/>
        <v/>
      </c>
      <c r="BJ24" s="36" t="str">
        <f t="shared" si="23"/>
        <v/>
      </c>
      <c r="BK24" s="37"/>
      <c r="BL24" s="33"/>
      <c r="BM24" s="34"/>
      <c r="BN24" s="35" t="str">
        <f t="shared" si="24"/>
        <v/>
      </c>
      <c r="BO24" s="36" t="str">
        <f t="shared" si="25"/>
        <v/>
      </c>
      <c r="BP24" s="37"/>
      <c r="BQ24" s="33"/>
      <c r="BR24" s="34"/>
      <c r="BS24" s="35" t="str">
        <f t="shared" si="26"/>
        <v/>
      </c>
      <c r="BT24" s="36" t="str">
        <f t="shared" si="27"/>
        <v/>
      </c>
      <c r="BU24" s="37"/>
      <c r="BV24" s="33"/>
      <c r="BW24" s="34"/>
      <c r="BX24" s="35" t="str">
        <f t="shared" si="28"/>
        <v/>
      </c>
      <c r="BY24" s="36" t="str">
        <f t="shared" si="29"/>
        <v/>
      </c>
      <c r="BZ24" s="37"/>
      <c r="CA24" s="33"/>
      <c r="CB24" s="34"/>
      <c r="CC24" s="35" t="str">
        <f t="shared" si="30"/>
        <v/>
      </c>
      <c r="CD24" s="36" t="str">
        <f t="shared" si="31"/>
        <v/>
      </c>
      <c r="CE24" s="37"/>
      <c r="CF24" s="33"/>
      <c r="CG24" s="34"/>
      <c r="CH24" s="35" t="str">
        <f t="shared" si="32"/>
        <v/>
      </c>
      <c r="CI24" s="36" t="str">
        <f t="shared" si="33"/>
        <v/>
      </c>
      <c r="CJ24" s="37"/>
      <c r="CK24" s="33"/>
      <c r="CL24" s="34"/>
      <c r="CM24" s="35" t="str">
        <f t="shared" si="34"/>
        <v/>
      </c>
      <c r="CN24" s="36" t="str">
        <f t="shared" si="35"/>
        <v/>
      </c>
      <c r="CO24" s="37"/>
      <c r="CP24" s="33"/>
      <c r="CQ24" s="34"/>
      <c r="CR24" s="35" t="str">
        <f t="shared" si="36"/>
        <v/>
      </c>
      <c r="CS24" s="36" t="str">
        <f t="shared" si="37"/>
        <v/>
      </c>
      <c r="CT24" s="37"/>
      <c r="CU24" s="33"/>
      <c r="CV24" s="34"/>
      <c r="CW24" s="35" t="str">
        <f t="shared" si="38"/>
        <v/>
      </c>
      <c r="CX24" s="36" t="str">
        <f t="shared" si="39"/>
        <v/>
      </c>
      <c r="CY24" s="37"/>
      <c r="CZ24" s="33"/>
      <c r="DA24" s="34"/>
      <c r="DB24" s="35" t="str">
        <f t="shared" si="40"/>
        <v/>
      </c>
      <c r="DC24" s="36" t="str">
        <f t="shared" si="41"/>
        <v/>
      </c>
      <c r="DD24" s="37"/>
      <c r="DE24" s="33"/>
      <c r="DF24" s="34"/>
      <c r="DG24" s="35" t="str">
        <f t="shared" si="42"/>
        <v/>
      </c>
      <c r="DH24" s="36" t="str">
        <f t="shared" si="43"/>
        <v/>
      </c>
      <c r="DI24" s="37"/>
      <c r="DJ24" s="33"/>
      <c r="DK24" s="34"/>
      <c r="DL24" s="35" t="str">
        <f t="shared" si="44"/>
        <v/>
      </c>
      <c r="DM24" s="36" t="str">
        <f t="shared" si="45"/>
        <v/>
      </c>
      <c r="DN24" s="37"/>
      <c r="DO24" s="33"/>
      <c r="DP24" s="34"/>
      <c r="DQ24" s="35" t="str">
        <f t="shared" si="46"/>
        <v/>
      </c>
      <c r="DR24" s="36" t="str">
        <f t="shared" si="47"/>
        <v/>
      </c>
      <c r="DS24" s="37"/>
      <c r="DT24" s="33"/>
      <c r="DU24" s="34"/>
      <c r="DV24" s="35" t="str">
        <f t="shared" si="48"/>
        <v/>
      </c>
      <c r="DW24" s="36" t="str">
        <f t="shared" si="49"/>
        <v/>
      </c>
      <c r="DX24" s="37"/>
      <c r="DY24" s="33"/>
      <c r="DZ24" s="34"/>
      <c r="EA24" s="35" t="str">
        <f t="shared" si="50"/>
        <v/>
      </c>
      <c r="EB24" s="36" t="str">
        <f t="shared" si="51"/>
        <v/>
      </c>
      <c r="EC24" s="37"/>
      <c r="ED24" s="33"/>
      <c r="EE24" s="34"/>
      <c r="EF24" s="35" t="str">
        <f t="shared" si="52"/>
        <v/>
      </c>
      <c r="EG24" s="36" t="str">
        <f t="shared" si="53"/>
        <v/>
      </c>
      <c r="EH24" s="37"/>
      <c r="EI24" s="33"/>
      <c r="EJ24" s="34"/>
      <c r="EK24" s="35" t="str">
        <f t="shared" si="54"/>
        <v/>
      </c>
      <c r="EL24" s="36" t="str">
        <f t="shared" si="55"/>
        <v/>
      </c>
      <c r="EM24" s="37"/>
      <c r="EN24" s="33"/>
      <c r="EO24" s="34"/>
      <c r="EP24" s="35" t="str">
        <f t="shared" si="56"/>
        <v/>
      </c>
      <c r="EQ24" s="36" t="str">
        <f t="shared" si="57"/>
        <v/>
      </c>
      <c r="ER24" s="37"/>
      <c r="ES24" s="33"/>
      <c r="ET24" s="34"/>
      <c r="EU24" s="35" t="str">
        <f t="shared" si="58"/>
        <v/>
      </c>
      <c r="EV24" s="36" t="str">
        <f t="shared" si="59"/>
        <v/>
      </c>
      <c r="EW24" s="37"/>
    </row>
    <row r="25" spans="1:153" ht="19.5" customHeight="1">
      <c r="A25" s="32">
        <f>IF(DAY(DATE(対象年度,2,22))&lt;&gt;22,"",22)</f>
        <v>22</v>
      </c>
      <c r="B25" s="32" t="str">
        <f>IF(DAY(DATE(対象年度,2,22))&lt;&gt;22,"",CHOOSE(WEEKDAY(DATE(対象年度,2,22),2),"月","火","水","木","金","土","日"))</f>
        <v>日</v>
      </c>
      <c r="C25" s="32" t="str">
        <f>IF(DAY(DATE(対象年度,2,22))&lt;&gt;22,"",IF(ISNUMBER(MATCH(DATE(対象年度,2,22),祝日リスト,0)),"祝",""))</f>
        <v/>
      </c>
      <c r="D25" s="33"/>
      <c r="E25" s="34"/>
      <c r="F25" s="35" t="str">
        <f t="shared" si="0"/>
        <v/>
      </c>
      <c r="G25" s="36" t="str">
        <f t="shared" si="1"/>
        <v/>
      </c>
      <c r="H25" s="37"/>
      <c r="I25" s="33"/>
      <c r="J25" s="34"/>
      <c r="K25" s="35" t="str">
        <f t="shared" si="2"/>
        <v/>
      </c>
      <c r="L25" s="36" t="str">
        <f t="shared" si="3"/>
        <v/>
      </c>
      <c r="M25" s="37"/>
      <c r="N25" s="33"/>
      <c r="O25" s="34"/>
      <c r="P25" s="35" t="str">
        <f t="shared" si="4"/>
        <v/>
      </c>
      <c r="Q25" s="36" t="str">
        <f t="shared" si="5"/>
        <v/>
      </c>
      <c r="R25" s="37"/>
      <c r="S25" s="33"/>
      <c r="T25" s="34"/>
      <c r="U25" s="35" t="str">
        <f t="shared" si="6"/>
        <v/>
      </c>
      <c r="V25" s="36" t="str">
        <f t="shared" si="7"/>
        <v/>
      </c>
      <c r="W25" s="37"/>
      <c r="X25" s="33"/>
      <c r="Y25" s="34"/>
      <c r="Z25" s="35" t="str">
        <f t="shared" si="8"/>
        <v/>
      </c>
      <c r="AA25" s="36" t="str">
        <f t="shared" si="9"/>
        <v/>
      </c>
      <c r="AB25" s="37"/>
      <c r="AC25" s="33"/>
      <c r="AD25" s="34"/>
      <c r="AE25" s="35" t="str">
        <f t="shared" si="10"/>
        <v/>
      </c>
      <c r="AF25" s="36" t="str">
        <f t="shared" si="11"/>
        <v/>
      </c>
      <c r="AG25" s="37"/>
      <c r="AH25" s="33"/>
      <c r="AI25" s="34"/>
      <c r="AJ25" s="35"/>
      <c r="AK25" s="36"/>
      <c r="AL25" s="37"/>
      <c r="AM25" s="33"/>
      <c r="AN25" s="34"/>
      <c r="AO25" s="35"/>
      <c r="AP25" s="36"/>
      <c r="AQ25" s="37"/>
      <c r="AR25" s="33"/>
      <c r="AS25" s="34"/>
      <c r="AT25" s="35"/>
      <c r="AU25" s="36"/>
      <c r="AV25" s="37"/>
      <c r="AW25" s="33"/>
      <c r="AX25" s="34"/>
      <c r="AY25" s="35"/>
      <c r="AZ25" s="36"/>
      <c r="BA25" s="37"/>
      <c r="BB25" s="33"/>
      <c r="BC25" s="34"/>
      <c r="BD25" s="35" t="str">
        <f t="shared" si="20"/>
        <v/>
      </c>
      <c r="BE25" s="36" t="str">
        <f t="shared" si="21"/>
        <v/>
      </c>
      <c r="BF25" s="37"/>
      <c r="BG25" s="33"/>
      <c r="BH25" s="34"/>
      <c r="BI25" s="35" t="str">
        <f t="shared" si="22"/>
        <v/>
      </c>
      <c r="BJ25" s="36" t="str">
        <f t="shared" si="23"/>
        <v/>
      </c>
      <c r="BK25" s="37"/>
      <c r="BL25" s="33"/>
      <c r="BM25" s="34"/>
      <c r="BN25" s="35" t="str">
        <f t="shared" si="24"/>
        <v/>
      </c>
      <c r="BO25" s="36" t="str">
        <f t="shared" si="25"/>
        <v/>
      </c>
      <c r="BP25" s="37"/>
      <c r="BQ25" s="33"/>
      <c r="BR25" s="34"/>
      <c r="BS25" s="35" t="str">
        <f t="shared" si="26"/>
        <v/>
      </c>
      <c r="BT25" s="36" t="str">
        <f t="shared" si="27"/>
        <v/>
      </c>
      <c r="BU25" s="37"/>
      <c r="BV25" s="33"/>
      <c r="BW25" s="34"/>
      <c r="BX25" s="35" t="str">
        <f t="shared" si="28"/>
        <v/>
      </c>
      <c r="BY25" s="36" t="str">
        <f t="shared" si="29"/>
        <v/>
      </c>
      <c r="BZ25" s="37"/>
      <c r="CA25" s="33"/>
      <c r="CB25" s="34"/>
      <c r="CC25" s="35" t="str">
        <f t="shared" si="30"/>
        <v/>
      </c>
      <c r="CD25" s="36" t="str">
        <f t="shared" si="31"/>
        <v/>
      </c>
      <c r="CE25" s="37"/>
      <c r="CF25" s="33"/>
      <c r="CG25" s="34"/>
      <c r="CH25" s="35" t="str">
        <f t="shared" si="32"/>
        <v/>
      </c>
      <c r="CI25" s="36" t="str">
        <f t="shared" si="33"/>
        <v/>
      </c>
      <c r="CJ25" s="37"/>
      <c r="CK25" s="33"/>
      <c r="CL25" s="34"/>
      <c r="CM25" s="35" t="str">
        <f t="shared" si="34"/>
        <v/>
      </c>
      <c r="CN25" s="36" t="str">
        <f t="shared" si="35"/>
        <v/>
      </c>
      <c r="CO25" s="37"/>
      <c r="CP25" s="33"/>
      <c r="CQ25" s="34"/>
      <c r="CR25" s="35" t="str">
        <f t="shared" si="36"/>
        <v/>
      </c>
      <c r="CS25" s="36" t="str">
        <f t="shared" si="37"/>
        <v/>
      </c>
      <c r="CT25" s="37"/>
      <c r="CU25" s="33"/>
      <c r="CV25" s="34"/>
      <c r="CW25" s="35" t="str">
        <f t="shared" si="38"/>
        <v/>
      </c>
      <c r="CX25" s="36" t="str">
        <f t="shared" si="39"/>
        <v/>
      </c>
      <c r="CY25" s="37"/>
      <c r="CZ25" s="33"/>
      <c r="DA25" s="34"/>
      <c r="DB25" s="35" t="str">
        <f t="shared" si="40"/>
        <v/>
      </c>
      <c r="DC25" s="36" t="str">
        <f t="shared" si="41"/>
        <v/>
      </c>
      <c r="DD25" s="37"/>
      <c r="DE25" s="33"/>
      <c r="DF25" s="34"/>
      <c r="DG25" s="35" t="str">
        <f t="shared" si="42"/>
        <v/>
      </c>
      <c r="DH25" s="36" t="str">
        <f t="shared" si="43"/>
        <v/>
      </c>
      <c r="DI25" s="37"/>
      <c r="DJ25" s="33"/>
      <c r="DK25" s="34"/>
      <c r="DL25" s="35" t="str">
        <f t="shared" si="44"/>
        <v/>
      </c>
      <c r="DM25" s="36" t="str">
        <f t="shared" si="45"/>
        <v/>
      </c>
      <c r="DN25" s="37"/>
      <c r="DO25" s="33"/>
      <c r="DP25" s="34"/>
      <c r="DQ25" s="35" t="str">
        <f t="shared" si="46"/>
        <v/>
      </c>
      <c r="DR25" s="36" t="str">
        <f t="shared" si="47"/>
        <v/>
      </c>
      <c r="DS25" s="37"/>
      <c r="DT25" s="33"/>
      <c r="DU25" s="34"/>
      <c r="DV25" s="35" t="str">
        <f t="shared" si="48"/>
        <v/>
      </c>
      <c r="DW25" s="36" t="str">
        <f t="shared" si="49"/>
        <v/>
      </c>
      <c r="DX25" s="37"/>
      <c r="DY25" s="33"/>
      <c r="DZ25" s="34"/>
      <c r="EA25" s="35" t="str">
        <f t="shared" si="50"/>
        <v/>
      </c>
      <c r="EB25" s="36" t="str">
        <f t="shared" si="51"/>
        <v/>
      </c>
      <c r="EC25" s="37"/>
      <c r="ED25" s="33"/>
      <c r="EE25" s="34"/>
      <c r="EF25" s="35" t="str">
        <f t="shared" si="52"/>
        <v/>
      </c>
      <c r="EG25" s="36" t="str">
        <f t="shared" si="53"/>
        <v/>
      </c>
      <c r="EH25" s="37"/>
      <c r="EI25" s="33"/>
      <c r="EJ25" s="34"/>
      <c r="EK25" s="35" t="str">
        <f t="shared" si="54"/>
        <v/>
      </c>
      <c r="EL25" s="36" t="str">
        <f t="shared" si="55"/>
        <v/>
      </c>
      <c r="EM25" s="37"/>
      <c r="EN25" s="33"/>
      <c r="EO25" s="34"/>
      <c r="EP25" s="35" t="str">
        <f t="shared" si="56"/>
        <v/>
      </c>
      <c r="EQ25" s="36" t="str">
        <f t="shared" si="57"/>
        <v/>
      </c>
      <c r="ER25" s="37"/>
      <c r="ES25" s="33"/>
      <c r="ET25" s="34"/>
      <c r="EU25" s="35" t="str">
        <f t="shared" si="58"/>
        <v/>
      </c>
      <c r="EV25" s="36" t="str">
        <f t="shared" si="59"/>
        <v/>
      </c>
      <c r="EW25" s="37"/>
    </row>
    <row r="26" spans="1:153" ht="19.5" customHeight="1">
      <c r="A26" s="32">
        <f>IF(DAY(DATE(対象年度,2,23))&lt;&gt;23,"",23)</f>
        <v>23</v>
      </c>
      <c r="B26" s="32" t="str">
        <f>IF(DAY(DATE(対象年度,2,23))&lt;&gt;23,"",CHOOSE(WEEKDAY(DATE(対象年度,2,23),2),"月","火","水","木","金","土","日"))</f>
        <v>月</v>
      </c>
      <c r="C26" s="32" t="str">
        <f>IF(DAY(DATE(対象年度,2,23))&lt;&gt;23,"",IF(ISNUMBER(MATCH(DATE(対象年度,2,23),祝日リスト,0)),"祝",""))</f>
        <v>祝</v>
      </c>
      <c r="D26" s="33"/>
      <c r="E26" s="34"/>
      <c r="F26" s="35" t="str">
        <f t="shared" si="0"/>
        <v/>
      </c>
      <c r="G26" s="36" t="str">
        <f t="shared" si="1"/>
        <v/>
      </c>
      <c r="H26" s="37"/>
      <c r="I26" s="38"/>
      <c r="J26" s="34"/>
      <c r="K26" s="35" t="str">
        <f t="shared" si="2"/>
        <v/>
      </c>
      <c r="L26" s="36" t="str">
        <f t="shared" si="3"/>
        <v/>
      </c>
      <c r="M26" s="37"/>
      <c r="N26" s="38"/>
      <c r="O26" s="34"/>
      <c r="P26" s="35" t="str">
        <f t="shared" si="4"/>
        <v/>
      </c>
      <c r="Q26" s="36" t="str">
        <f t="shared" si="5"/>
        <v/>
      </c>
      <c r="R26" s="37"/>
      <c r="S26" s="38"/>
      <c r="T26" s="34"/>
      <c r="U26" s="35" t="str">
        <f t="shared" si="6"/>
        <v/>
      </c>
      <c r="V26" s="36" t="str">
        <f t="shared" si="7"/>
        <v/>
      </c>
      <c r="W26" s="37"/>
      <c r="X26" s="38"/>
      <c r="Y26" s="34"/>
      <c r="Z26" s="35" t="str">
        <f t="shared" si="8"/>
        <v/>
      </c>
      <c r="AA26" s="36" t="str">
        <f t="shared" si="9"/>
        <v/>
      </c>
      <c r="AB26" s="37"/>
      <c r="AC26" s="38"/>
      <c r="AD26" s="34"/>
      <c r="AE26" s="35" t="str">
        <f t="shared" si="10"/>
        <v/>
      </c>
      <c r="AF26" s="36" t="str">
        <f t="shared" si="11"/>
        <v/>
      </c>
      <c r="AG26" s="37"/>
      <c r="AH26" s="33"/>
      <c r="AI26" s="34"/>
      <c r="AJ26" s="35"/>
      <c r="AK26" s="36"/>
      <c r="AL26" s="37"/>
      <c r="AM26" s="38"/>
      <c r="AN26" s="34"/>
      <c r="AO26" s="35"/>
      <c r="AP26" s="36"/>
      <c r="AQ26" s="37"/>
      <c r="AR26" s="38"/>
      <c r="AS26" s="34"/>
      <c r="AT26" s="35"/>
      <c r="AU26" s="36"/>
      <c r="AV26" s="37"/>
      <c r="AW26" s="33"/>
      <c r="AX26" s="34"/>
      <c r="AY26" s="35"/>
      <c r="AZ26" s="36"/>
      <c r="BA26" s="37"/>
      <c r="BB26" s="33"/>
      <c r="BC26" s="34"/>
      <c r="BD26" s="35" t="str">
        <f t="shared" si="20"/>
        <v/>
      </c>
      <c r="BE26" s="36" t="str">
        <f t="shared" si="21"/>
        <v/>
      </c>
      <c r="BF26" s="37"/>
      <c r="BG26" s="38"/>
      <c r="BH26" s="34"/>
      <c r="BI26" s="35" t="str">
        <f t="shared" si="22"/>
        <v/>
      </c>
      <c r="BJ26" s="36" t="str">
        <f t="shared" si="23"/>
        <v/>
      </c>
      <c r="BK26" s="37"/>
      <c r="BL26" s="33"/>
      <c r="BM26" s="34"/>
      <c r="BN26" s="35" t="str">
        <f t="shared" si="24"/>
        <v/>
      </c>
      <c r="BO26" s="36" t="str">
        <f t="shared" si="25"/>
        <v/>
      </c>
      <c r="BP26" s="37"/>
      <c r="BQ26" s="33"/>
      <c r="BR26" s="34"/>
      <c r="BS26" s="35" t="str">
        <f t="shared" si="26"/>
        <v/>
      </c>
      <c r="BT26" s="36" t="str">
        <f t="shared" si="27"/>
        <v/>
      </c>
      <c r="BU26" s="37"/>
      <c r="BV26" s="33"/>
      <c r="BW26" s="34"/>
      <c r="BX26" s="35" t="str">
        <f t="shared" si="28"/>
        <v/>
      </c>
      <c r="BY26" s="36" t="str">
        <f t="shared" si="29"/>
        <v/>
      </c>
      <c r="BZ26" s="37"/>
      <c r="CA26" s="33"/>
      <c r="CB26" s="34"/>
      <c r="CC26" s="35" t="str">
        <f t="shared" si="30"/>
        <v/>
      </c>
      <c r="CD26" s="36" t="str">
        <f t="shared" si="31"/>
        <v/>
      </c>
      <c r="CE26" s="37"/>
      <c r="CF26" s="33"/>
      <c r="CG26" s="34"/>
      <c r="CH26" s="35" t="str">
        <f t="shared" si="32"/>
        <v/>
      </c>
      <c r="CI26" s="36" t="str">
        <f t="shared" si="33"/>
        <v/>
      </c>
      <c r="CJ26" s="37"/>
      <c r="CK26" s="33"/>
      <c r="CL26" s="34"/>
      <c r="CM26" s="35" t="str">
        <f t="shared" si="34"/>
        <v/>
      </c>
      <c r="CN26" s="36" t="str">
        <f t="shared" si="35"/>
        <v/>
      </c>
      <c r="CO26" s="37"/>
      <c r="CP26" s="33"/>
      <c r="CQ26" s="34"/>
      <c r="CR26" s="35" t="str">
        <f t="shared" si="36"/>
        <v/>
      </c>
      <c r="CS26" s="36" t="str">
        <f t="shared" si="37"/>
        <v/>
      </c>
      <c r="CT26" s="37"/>
      <c r="CU26" s="33"/>
      <c r="CV26" s="34"/>
      <c r="CW26" s="35" t="str">
        <f t="shared" si="38"/>
        <v/>
      </c>
      <c r="CX26" s="36" t="str">
        <f t="shared" si="39"/>
        <v/>
      </c>
      <c r="CY26" s="37"/>
      <c r="CZ26" s="33"/>
      <c r="DA26" s="34"/>
      <c r="DB26" s="35" t="str">
        <f t="shared" si="40"/>
        <v/>
      </c>
      <c r="DC26" s="36" t="str">
        <f t="shared" si="41"/>
        <v/>
      </c>
      <c r="DD26" s="37"/>
      <c r="DE26" s="33"/>
      <c r="DF26" s="34"/>
      <c r="DG26" s="35" t="str">
        <f t="shared" si="42"/>
        <v/>
      </c>
      <c r="DH26" s="36" t="str">
        <f t="shared" si="43"/>
        <v/>
      </c>
      <c r="DI26" s="37"/>
      <c r="DJ26" s="33"/>
      <c r="DK26" s="34"/>
      <c r="DL26" s="35" t="str">
        <f t="shared" si="44"/>
        <v/>
      </c>
      <c r="DM26" s="36" t="str">
        <f t="shared" si="45"/>
        <v/>
      </c>
      <c r="DN26" s="37"/>
      <c r="DO26" s="33"/>
      <c r="DP26" s="34"/>
      <c r="DQ26" s="35" t="str">
        <f t="shared" si="46"/>
        <v/>
      </c>
      <c r="DR26" s="36" t="str">
        <f t="shared" si="47"/>
        <v/>
      </c>
      <c r="DS26" s="37"/>
      <c r="DT26" s="33"/>
      <c r="DU26" s="34"/>
      <c r="DV26" s="35" t="str">
        <f t="shared" si="48"/>
        <v/>
      </c>
      <c r="DW26" s="36" t="str">
        <f t="shared" si="49"/>
        <v/>
      </c>
      <c r="DX26" s="37"/>
      <c r="DY26" s="33"/>
      <c r="DZ26" s="34"/>
      <c r="EA26" s="35" t="str">
        <f t="shared" si="50"/>
        <v/>
      </c>
      <c r="EB26" s="36" t="str">
        <f t="shared" si="51"/>
        <v/>
      </c>
      <c r="EC26" s="37"/>
      <c r="ED26" s="33"/>
      <c r="EE26" s="34"/>
      <c r="EF26" s="35" t="str">
        <f t="shared" si="52"/>
        <v/>
      </c>
      <c r="EG26" s="36" t="str">
        <f t="shared" si="53"/>
        <v/>
      </c>
      <c r="EH26" s="37"/>
      <c r="EI26" s="33"/>
      <c r="EJ26" s="34"/>
      <c r="EK26" s="35" t="str">
        <f t="shared" si="54"/>
        <v/>
      </c>
      <c r="EL26" s="36" t="str">
        <f t="shared" si="55"/>
        <v/>
      </c>
      <c r="EM26" s="37"/>
      <c r="EN26" s="33"/>
      <c r="EO26" s="34"/>
      <c r="EP26" s="35" t="str">
        <f t="shared" si="56"/>
        <v/>
      </c>
      <c r="EQ26" s="36" t="str">
        <f t="shared" si="57"/>
        <v/>
      </c>
      <c r="ER26" s="37"/>
      <c r="ES26" s="33"/>
      <c r="ET26" s="34"/>
      <c r="EU26" s="35" t="str">
        <f t="shared" si="58"/>
        <v/>
      </c>
      <c r="EV26" s="36" t="str">
        <f t="shared" si="59"/>
        <v/>
      </c>
      <c r="EW26" s="37"/>
    </row>
    <row r="27" spans="1:153" ht="19.5" customHeight="1">
      <c r="A27" s="32">
        <f>IF(DAY(DATE(対象年度,2,24))&lt;&gt;24,"",24)</f>
        <v>24</v>
      </c>
      <c r="B27" s="32" t="str">
        <f>IF(DAY(DATE(対象年度,2,24))&lt;&gt;24,"",CHOOSE(WEEKDAY(DATE(対象年度,2,24),2),"月","火","水","木","金","土","日"))</f>
        <v>火</v>
      </c>
      <c r="C27" s="32" t="str">
        <f>IF(DAY(DATE(対象年度,2,24))&lt;&gt;24,"",IF(ISNUMBER(MATCH(DATE(対象年度,2,24),祝日リスト,0)),"祝",""))</f>
        <v/>
      </c>
      <c r="D27" s="38"/>
      <c r="E27" s="34"/>
      <c r="F27" s="35" t="str">
        <f t="shared" si="0"/>
        <v/>
      </c>
      <c r="G27" s="36" t="str">
        <f t="shared" si="1"/>
        <v/>
      </c>
      <c r="H27" s="37"/>
      <c r="I27" s="38"/>
      <c r="J27" s="34"/>
      <c r="K27" s="35" t="str">
        <f t="shared" si="2"/>
        <v/>
      </c>
      <c r="L27" s="36" t="str">
        <f t="shared" si="3"/>
        <v/>
      </c>
      <c r="M27" s="37"/>
      <c r="N27" s="38"/>
      <c r="O27" s="34"/>
      <c r="P27" s="35" t="str">
        <f t="shared" si="4"/>
        <v/>
      </c>
      <c r="Q27" s="36" t="str">
        <f t="shared" si="5"/>
        <v/>
      </c>
      <c r="R27" s="37"/>
      <c r="S27" s="38"/>
      <c r="T27" s="34"/>
      <c r="U27" s="35" t="str">
        <f t="shared" si="6"/>
        <v/>
      </c>
      <c r="V27" s="36" t="str">
        <f t="shared" si="7"/>
        <v/>
      </c>
      <c r="W27" s="37"/>
      <c r="X27" s="38"/>
      <c r="Y27" s="34"/>
      <c r="Z27" s="35" t="str">
        <f t="shared" si="8"/>
        <v/>
      </c>
      <c r="AA27" s="36" t="str">
        <f t="shared" si="9"/>
        <v/>
      </c>
      <c r="AB27" s="37"/>
      <c r="AC27" s="38"/>
      <c r="AD27" s="34"/>
      <c r="AE27" s="35" t="str">
        <f t="shared" si="10"/>
        <v/>
      </c>
      <c r="AF27" s="36" t="str">
        <f t="shared" si="11"/>
        <v/>
      </c>
      <c r="AG27" s="37"/>
      <c r="AH27" s="33"/>
      <c r="AI27" s="34"/>
      <c r="AJ27" s="35"/>
      <c r="AK27" s="36"/>
      <c r="AL27" s="37"/>
      <c r="AM27" s="38"/>
      <c r="AN27" s="34"/>
      <c r="AO27" s="35"/>
      <c r="AP27" s="36"/>
      <c r="AQ27" s="37"/>
      <c r="AR27" s="38"/>
      <c r="AS27" s="34"/>
      <c r="AT27" s="35"/>
      <c r="AU27" s="36"/>
      <c r="AV27" s="37"/>
      <c r="AW27" s="38"/>
      <c r="AX27" s="34"/>
      <c r="AY27" s="35"/>
      <c r="AZ27" s="36"/>
      <c r="BA27" s="37"/>
      <c r="BB27" s="38"/>
      <c r="BC27" s="34"/>
      <c r="BD27" s="35" t="str">
        <f t="shared" si="20"/>
        <v/>
      </c>
      <c r="BE27" s="36" t="str">
        <f t="shared" si="21"/>
        <v/>
      </c>
      <c r="BF27" s="37"/>
      <c r="BG27" s="38"/>
      <c r="BH27" s="34"/>
      <c r="BI27" s="35" t="str">
        <f t="shared" si="22"/>
        <v/>
      </c>
      <c r="BJ27" s="36" t="str">
        <f t="shared" si="23"/>
        <v/>
      </c>
      <c r="BK27" s="37"/>
      <c r="BL27" s="33"/>
      <c r="BM27" s="34"/>
      <c r="BN27" s="35" t="str">
        <f t="shared" si="24"/>
        <v/>
      </c>
      <c r="BO27" s="36" t="str">
        <f t="shared" si="25"/>
        <v/>
      </c>
      <c r="BP27" s="37"/>
      <c r="BQ27" s="33"/>
      <c r="BR27" s="34"/>
      <c r="BS27" s="35" t="str">
        <f t="shared" si="26"/>
        <v/>
      </c>
      <c r="BT27" s="36" t="str">
        <f t="shared" si="27"/>
        <v/>
      </c>
      <c r="BU27" s="37"/>
      <c r="BV27" s="33"/>
      <c r="BW27" s="34"/>
      <c r="BX27" s="35" t="str">
        <f t="shared" si="28"/>
        <v/>
      </c>
      <c r="BY27" s="36" t="str">
        <f t="shared" si="29"/>
        <v/>
      </c>
      <c r="BZ27" s="37"/>
      <c r="CA27" s="33"/>
      <c r="CB27" s="34"/>
      <c r="CC27" s="35" t="str">
        <f t="shared" si="30"/>
        <v/>
      </c>
      <c r="CD27" s="36" t="str">
        <f t="shared" si="31"/>
        <v/>
      </c>
      <c r="CE27" s="37"/>
      <c r="CF27" s="33"/>
      <c r="CG27" s="34"/>
      <c r="CH27" s="35" t="str">
        <f t="shared" si="32"/>
        <v/>
      </c>
      <c r="CI27" s="36" t="str">
        <f t="shared" si="33"/>
        <v/>
      </c>
      <c r="CJ27" s="37"/>
      <c r="CK27" s="33"/>
      <c r="CL27" s="34"/>
      <c r="CM27" s="35" t="str">
        <f t="shared" si="34"/>
        <v/>
      </c>
      <c r="CN27" s="36" t="str">
        <f t="shared" si="35"/>
        <v/>
      </c>
      <c r="CO27" s="37"/>
      <c r="CP27" s="33"/>
      <c r="CQ27" s="34"/>
      <c r="CR27" s="35" t="str">
        <f t="shared" si="36"/>
        <v/>
      </c>
      <c r="CS27" s="36" t="str">
        <f t="shared" si="37"/>
        <v/>
      </c>
      <c r="CT27" s="37"/>
      <c r="CU27" s="33"/>
      <c r="CV27" s="34"/>
      <c r="CW27" s="35" t="str">
        <f t="shared" si="38"/>
        <v/>
      </c>
      <c r="CX27" s="36" t="str">
        <f t="shared" si="39"/>
        <v/>
      </c>
      <c r="CY27" s="37"/>
      <c r="CZ27" s="33"/>
      <c r="DA27" s="34"/>
      <c r="DB27" s="35" t="str">
        <f t="shared" si="40"/>
        <v/>
      </c>
      <c r="DC27" s="36" t="str">
        <f t="shared" si="41"/>
        <v/>
      </c>
      <c r="DD27" s="37"/>
      <c r="DE27" s="33"/>
      <c r="DF27" s="34"/>
      <c r="DG27" s="35" t="str">
        <f t="shared" si="42"/>
        <v/>
      </c>
      <c r="DH27" s="36" t="str">
        <f t="shared" si="43"/>
        <v/>
      </c>
      <c r="DI27" s="37"/>
      <c r="DJ27" s="33"/>
      <c r="DK27" s="34"/>
      <c r="DL27" s="35" t="str">
        <f t="shared" si="44"/>
        <v/>
      </c>
      <c r="DM27" s="36" t="str">
        <f t="shared" si="45"/>
        <v/>
      </c>
      <c r="DN27" s="37"/>
      <c r="DO27" s="33"/>
      <c r="DP27" s="34"/>
      <c r="DQ27" s="35" t="str">
        <f t="shared" si="46"/>
        <v/>
      </c>
      <c r="DR27" s="36" t="str">
        <f t="shared" si="47"/>
        <v/>
      </c>
      <c r="DS27" s="37"/>
      <c r="DT27" s="33"/>
      <c r="DU27" s="34"/>
      <c r="DV27" s="35" t="str">
        <f t="shared" si="48"/>
        <v/>
      </c>
      <c r="DW27" s="36" t="str">
        <f t="shared" si="49"/>
        <v/>
      </c>
      <c r="DX27" s="37"/>
      <c r="DY27" s="33"/>
      <c r="DZ27" s="34"/>
      <c r="EA27" s="35" t="str">
        <f t="shared" si="50"/>
        <v/>
      </c>
      <c r="EB27" s="36" t="str">
        <f t="shared" si="51"/>
        <v/>
      </c>
      <c r="EC27" s="37"/>
      <c r="ED27" s="33"/>
      <c r="EE27" s="34"/>
      <c r="EF27" s="35" t="str">
        <f t="shared" si="52"/>
        <v/>
      </c>
      <c r="EG27" s="36" t="str">
        <f t="shared" si="53"/>
        <v/>
      </c>
      <c r="EH27" s="37"/>
      <c r="EI27" s="33"/>
      <c r="EJ27" s="34"/>
      <c r="EK27" s="35" t="str">
        <f t="shared" si="54"/>
        <v/>
      </c>
      <c r="EL27" s="36" t="str">
        <f t="shared" si="55"/>
        <v/>
      </c>
      <c r="EM27" s="37"/>
      <c r="EN27" s="33"/>
      <c r="EO27" s="34"/>
      <c r="EP27" s="35" t="str">
        <f t="shared" si="56"/>
        <v/>
      </c>
      <c r="EQ27" s="36" t="str">
        <f t="shared" si="57"/>
        <v/>
      </c>
      <c r="ER27" s="37"/>
      <c r="ES27" s="33"/>
      <c r="ET27" s="34"/>
      <c r="EU27" s="35" t="str">
        <f t="shared" si="58"/>
        <v/>
      </c>
      <c r="EV27" s="36" t="str">
        <f t="shared" si="59"/>
        <v/>
      </c>
      <c r="EW27" s="37"/>
    </row>
    <row r="28" spans="1:153" ht="19.5" customHeight="1">
      <c r="A28" s="32">
        <f>IF(DAY(DATE(対象年度,2,25))&lt;&gt;25,"",25)</f>
        <v>25</v>
      </c>
      <c r="B28" s="32" t="str">
        <f>IF(DAY(DATE(対象年度,2,25))&lt;&gt;25,"",CHOOSE(WEEKDAY(DATE(対象年度,2,25),2),"月","火","水","木","金","土","日"))</f>
        <v>水</v>
      </c>
      <c r="C28" s="32" t="str">
        <f>IF(DAY(DATE(対象年度,2,25))&lt;&gt;25,"",IF(ISNUMBER(MATCH(DATE(対象年度,2,25),祝日リスト,0)),"祝",""))</f>
        <v/>
      </c>
      <c r="D28" s="38"/>
      <c r="E28" s="34"/>
      <c r="F28" s="35" t="str">
        <f t="shared" si="0"/>
        <v/>
      </c>
      <c r="G28" s="36" t="str">
        <f t="shared" si="1"/>
        <v/>
      </c>
      <c r="H28" s="37"/>
      <c r="I28" s="33"/>
      <c r="J28" s="46"/>
      <c r="K28" s="35" t="str">
        <f t="shared" si="2"/>
        <v/>
      </c>
      <c r="L28" s="36" t="str">
        <f t="shared" si="3"/>
        <v/>
      </c>
      <c r="M28" s="37"/>
      <c r="N28" s="38"/>
      <c r="O28" s="34"/>
      <c r="P28" s="35" t="str">
        <f t="shared" si="4"/>
        <v/>
      </c>
      <c r="Q28" s="36" t="str">
        <f t="shared" si="5"/>
        <v/>
      </c>
      <c r="R28" s="37"/>
      <c r="S28" s="38"/>
      <c r="T28" s="34"/>
      <c r="U28" s="35" t="str">
        <f t="shared" si="6"/>
        <v/>
      </c>
      <c r="V28" s="36" t="str">
        <f t="shared" si="7"/>
        <v/>
      </c>
      <c r="W28" s="37"/>
      <c r="X28" s="38"/>
      <c r="Y28" s="34"/>
      <c r="Z28" s="35" t="str">
        <f t="shared" si="8"/>
        <v/>
      </c>
      <c r="AA28" s="36" t="str">
        <f t="shared" si="9"/>
        <v/>
      </c>
      <c r="AB28" s="37"/>
      <c r="AC28" s="33"/>
      <c r="AD28" s="46"/>
      <c r="AE28" s="35" t="str">
        <f t="shared" si="10"/>
        <v/>
      </c>
      <c r="AF28" s="36" t="str">
        <f t="shared" si="11"/>
        <v/>
      </c>
      <c r="AG28" s="37"/>
      <c r="AH28" s="38"/>
      <c r="AI28" s="34"/>
      <c r="AJ28" s="35"/>
      <c r="AK28" s="36"/>
      <c r="AL28" s="37"/>
      <c r="AM28" s="33"/>
      <c r="AN28" s="46"/>
      <c r="AO28" s="35"/>
      <c r="AP28" s="36"/>
      <c r="AQ28" s="37"/>
      <c r="AR28" s="38"/>
      <c r="AS28" s="34"/>
      <c r="AT28" s="35"/>
      <c r="AU28" s="36"/>
      <c r="AV28" s="37"/>
      <c r="AW28" s="38"/>
      <c r="AX28" s="34"/>
      <c r="AY28" s="35"/>
      <c r="AZ28" s="36"/>
      <c r="BA28" s="37"/>
      <c r="BB28" s="38"/>
      <c r="BC28" s="34"/>
      <c r="BD28" s="35" t="str">
        <f t="shared" si="20"/>
        <v/>
      </c>
      <c r="BE28" s="36" t="str">
        <f t="shared" si="21"/>
        <v/>
      </c>
      <c r="BF28" s="37"/>
      <c r="BG28" s="38"/>
      <c r="BH28" s="34"/>
      <c r="BI28" s="35" t="str">
        <f t="shared" si="22"/>
        <v/>
      </c>
      <c r="BJ28" s="36" t="str">
        <f t="shared" si="23"/>
        <v/>
      </c>
      <c r="BK28" s="37"/>
      <c r="BL28" s="33"/>
      <c r="BM28" s="34"/>
      <c r="BN28" s="35" t="str">
        <f t="shared" si="24"/>
        <v/>
      </c>
      <c r="BO28" s="36" t="str">
        <f t="shared" si="25"/>
        <v/>
      </c>
      <c r="BP28" s="37"/>
      <c r="BQ28" s="33"/>
      <c r="BR28" s="34"/>
      <c r="BS28" s="35" t="str">
        <f t="shared" si="26"/>
        <v/>
      </c>
      <c r="BT28" s="36" t="str">
        <f t="shared" si="27"/>
        <v/>
      </c>
      <c r="BU28" s="37"/>
      <c r="BV28" s="33"/>
      <c r="BW28" s="34"/>
      <c r="BX28" s="35" t="str">
        <f t="shared" si="28"/>
        <v/>
      </c>
      <c r="BY28" s="36" t="str">
        <f t="shared" si="29"/>
        <v/>
      </c>
      <c r="BZ28" s="37"/>
      <c r="CA28" s="33"/>
      <c r="CB28" s="34"/>
      <c r="CC28" s="35" t="str">
        <f t="shared" si="30"/>
        <v/>
      </c>
      <c r="CD28" s="36" t="str">
        <f t="shared" si="31"/>
        <v/>
      </c>
      <c r="CE28" s="37"/>
      <c r="CF28" s="33"/>
      <c r="CG28" s="34"/>
      <c r="CH28" s="35" t="str">
        <f t="shared" si="32"/>
        <v/>
      </c>
      <c r="CI28" s="36" t="str">
        <f t="shared" si="33"/>
        <v/>
      </c>
      <c r="CJ28" s="37"/>
      <c r="CK28" s="33"/>
      <c r="CL28" s="34"/>
      <c r="CM28" s="35" t="str">
        <f t="shared" si="34"/>
        <v/>
      </c>
      <c r="CN28" s="36" t="str">
        <f t="shared" si="35"/>
        <v/>
      </c>
      <c r="CO28" s="37"/>
      <c r="CP28" s="33"/>
      <c r="CQ28" s="34"/>
      <c r="CR28" s="35" t="str">
        <f t="shared" si="36"/>
        <v/>
      </c>
      <c r="CS28" s="36" t="str">
        <f t="shared" si="37"/>
        <v/>
      </c>
      <c r="CT28" s="37"/>
      <c r="CU28" s="33"/>
      <c r="CV28" s="34"/>
      <c r="CW28" s="35" t="str">
        <f t="shared" si="38"/>
        <v/>
      </c>
      <c r="CX28" s="36" t="str">
        <f t="shared" si="39"/>
        <v/>
      </c>
      <c r="CY28" s="37"/>
      <c r="CZ28" s="33"/>
      <c r="DA28" s="34"/>
      <c r="DB28" s="35" t="str">
        <f t="shared" si="40"/>
        <v/>
      </c>
      <c r="DC28" s="36" t="str">
        <f t="shared" si="41"/>
        <v/>
      </c>
      <c r="DD28" s="37"/>
      <c r="DE28" s="33"/>
      <c r="DF28" s="34"/>
      <c r="DG28" s="35" t="str">
        <f t="shared" si="42"/>
        <v/>
      </c>
      <c r="DH28" s="36" t="str">
        <f t="shared" si="43"/>
        <v/>
      </c>
      <c r="DI28" s="37"/>
      <c r="DJ28" s="33"/>
      <c r="DK28" s="34"/>
      <c r="DL28" s="35" t="str">
        <f t="shared" si="44"/>
        <v/>
      </c>
      <c r="DM28" s="36" t="str">
        <f t="shared" si="45"/>
        <v/>
      </c>
      <c r="DN28" s="37"/>
      <c r="DO28" s="33"/>
      <c r="DP28" s="34"/>
      <c r="DQ28" s="35" t="str">
        <f t="shared" si="46"/>
        <v/>
      </c>
      <c r="DR28" s="36" t="str">
        <f t="shared" si="47"/>
        <v/>
      </c>
      <c r="DS28" s="37"/>
      <c r="DT28" s="33"/>
      <c r="DU28" s="34"/>
      <c r="DV28" s="35" t="str">
        <f t="shared" si="48"/>
        <v/>
      </c>
      <c r="DW28" s="36" t="str">
        <f t="shared" si="49"/>
        <v/>
      </c>
      <c r="DX28" s="37"/>
      <c r="DY28" s="33"/>
      <c r="DZ28" s="34"/>
      <c r="EA28" s="35" t="str">
        <f t="shared" si="50"/>
        <v/>
      </c>
      <c r="EB28" s="36" t="str">
        <f t="shared" si="51"/>
        <v/>
      </c>
      <c r="EC28" s="37"/>
      <c r="ED28" s="33"/>
      <c r="EE28" s="34"/>
      <c r="EF28" s="35" t="str">
        <f t="shared" si="52"/>
        <v/>
      </c>
      <c r="EG28" s="36" t="str">
        <f t="shared" si="53"/>
        <v/>
      </c>
      <c r="EH28" s="37"/>
      <c r="EI28" s="33"/>
      <c r="EJ28" s="34"/>
      <c r="EK28" s="35" t="str">
        <f t="shared" si="54"/>
        <v/>
      </c>
      <c r="EL28" s="36" t="str">
        <f t="shared" si="55"/>
        <v/>
      </c>
      <c r="EM28" s="37"/>
      <c r="EN28" s="33"/>
      <c r="EO28" s="34"/>
      <c r="EP28" s="35" t="str">
        <f t="shared" si="56"/>
        <v/>
      </c>
      <c r="EQ28" s="36" t="str">
        <f t="shared" si="57"/>
        <v/>
      </c>
      <c r="ER28" s="37"/>
      <c r="ES28" s="33"/>
      <c r="ET28" s="34"/>
      <c r="EU28" s="35" t="str">
        <f t="shared" si="58"/>
        <v/>
      </c>
      <c r="EV28" s="36" t="str">
        <f t="shared" si="59"/>
        <v/>
      </c>
      <c r="EW28" s="37"/>
    </row>
    <row r="29" spans="1:153" ht="19.5" customHeight="1">
      <c r="A29" s="32">
        <f>IF(DAY(DATE(対象年度,2,26))&lt;&gt;26,"",26)</f>
        <v>26</v>
      </c>
      <c r="B29" s="32" t="str">
        <f>IF(DAY(DATE(対象年度,2,26))&lt;&gt;26,"",CHOOSE(WEEKDAY(DATE(対象年度,2,26),2),"月","火","水","木","金","土","日"))</f>
        <v>木</v>
      </c>
      <c r="C29" s="32" t="str">
        <f>IF(DAY(DATE(対象年度,2,26))&lt;&gt;26,"",IF(ISNUMBER(MATCH(DATE(対象年度,2,26),祝日リスト,0)),"祝",""))</f>
        <v/>
      </c>
      <c r="D29" s="38"/>
      <c r="E29" s="34"/>
      <c r="F29" s="35" t="str">
        <f t="shared" si="0"/>
        <v/>
      </c>
      <c r="G29" s="36" t="str">
        <f t="shared" si="1"/>
        <v/>
      </c>
      <c r="H29" s="37"/>
      <c r="I29" s="33"/>
      <c r="J29" s="46"/>
      <c r="K29" s="35" t="str">
        <f t="shared" si="2"/>
        <v/>
      </c>
      <c r="L29" s="36" t="str">
        <f t="shared" si="3"/>
        <v/>
      </c>
      <c r="M29" s="37"/>
      <c r="N29" s="38"/>
      <c r="O29" s="34"/>
      <c r="P29" s="35" t="str">
        <f t="shared" si="4"/>
        <v/>
      </c>
      <c r="Q29" s="36" t="str">
        <f t="shared" si="5"/>
        <v/>
      </c>
      <c r="R29" s="37"/>
      <c r="S29" s="38"/>
      <c r="T29" s="34"/>
      <c r="U29" s="35" t="str">
        <f t="shared" si="6"/>
        <v/>
      </c>
      <c r="V29" s="36" t="str">
        <f t="shared" si="7"/>
        <v/>
      </c>
      <c r="W29" s="37"/>
      <c r="X29" s="38"/>
      <c r="Y29" s="34"/>
      <c r="Z29" s="35" t="str">
        <f t="shared" si="8"/>
        <v/>
      </c>
      <c r="AA29" s="36" t="str">
        <f t="shared" si="9"/>
        <v/>
      </c>
      <c r="AB29" s="37"/>
      <c r="AC29" s="33"/>
      <c r="AD29" s="46"/>
      <c r="AE29" s="35" t="str">
        <f t="shared" si="10"/>
        <v/>
      </c>
      <c r="AF29" s="36" t="str">
        <f t="shared" si="11"/>
        <v/>
      </c>
      <c r="AG29" s="37"/>
      <c r="AH29" s="38"/>
      <c r="AI29" s="34"/>
      <c r="AJ29" s="35"/>
      <c r="AK29" s="36"/>
      <c r="AL29" s="37"/>
      <c r="AM29" s="33"/>
      <c r="AN29" s="46"/>
      <c r="AO29" s="35"/>
      <c r="AP29" s="36"/>
      <c r="AQ29" s="37"/>
      <c r="AR29" s="38"/>
      <c r="AS29" s="34"/>
      <c r="AT29" s="35"/>
      <c r="AU29" s="36"/>
      <c r="AV29" s="37"/>
      <c r="AW29" s="38"/>
      <c r="AX29" s="34"/>
      <c r="AY29" s="35"/>
      <c r="AZ29" s="36"/>
      <c r="BA29" s="37"/>
      <c r="BB29" s="38"/>
      <c r="BC29" s="34"/>
      <c r="BD29" s="35" t="str">
        <f t="shared" si="20"/>
        <v/>
      </c>
      <c r="BE29" s="36" t="str">
        <f t="shared" si="21"/>
        <v/>
      </c>
      <c r="BF29" s="37"/>
      <c r="BG29" s="38"/>
      <c r="BH29" s="34"/>
      <c r="BI29" s="35" t="str">
        <f t="shared" si="22"/>
        <v/>
      </c>
      <c r="BJ29" s="36" t="str">
        <f t="shared" si="23"/>
        <v/>
      </c>
      <c r="BK29" s="37"/>
      <c r="BL29" s="33"/>
      <c r="BM29" s="34"/>
      <c r="BN29" s="35" t="str">
        <f t="shared" si="24"/>
        <v/>
      </c>
      <c r="BO29" s="36" t="str">
        <f t="shared" si="25"/>
        <v/>
      </c>
      <c r="BP29" s="37"/>
      <c r="BQ29" s="33"/>
      <c r="BR29" s="34"/>
      <c r="BS29" s="35" t="str">
        <f t="shared" si="26"/>
        <v/>
      </c>
      <c r="BT29" s="36" t="str">
        <f t="shared" si="27"/>
        <v/>
      </c>
      <c r="BU29" s="37"/>
      <c r="BV29" s="33"/>
      <c r="BW29" s="34"/>
      <c r="BX29" s="35" t="str">
        <f t="shared" si="28"/>
        <v/>
      </c>
      <c r="BY29" s="36" t="str">
        <f t="shared" si="29"/>
        <v/>
      </c>
      <c r="BZ29" s="37"/>
      <c r="CA29" s="33"/>
      <c r="CB29" s="34"/>
      <c r="CC29" s="35" t="str">
        <f t="shared" si="30"/>
        <v/>
      </c>
      <c r="CD29" s="36" t="str">
        <f t="shared" si="31"/>
        <v/>
      </c>
      <c r="CE29" s="37"/>
      <c r="CF29" s="33"/>
      <c r="CG29" s="34"/>
      <c r="CH29" s="35" t="str">
        <f t="shared" si="32"/>
        <v/>
      </c>
      <c r="CI29" s="36" t="str">
        <f t="shared" si="33"/>
        <v/>
      </c>
      <c r="CJ29" s="37"/>
      <c r="CK29" s="33"/>
      <c r="CL29" s="34"/>
      <c r="CM29" s="35" t="str">
        <f t="shared" si="34"/>
        <v/>
      </c>
      <c r="CN29" s="36" t="str">
        <f t="shared" si="35"/>
        <v/>
      </c>
      <c r="CO29" s="37"/>
      <c r="CP29" s="33"/>
      <c r="CQ29" s="34"/>
      <c r="CR29" s="35" t="str">
        <f t="shared" si="36"/>
        <v/>
      </c>
      <c r="CS29" s="36" t="str">
        <f t="shared" si="37"/>
        <v/>
      </c>
      <c r="CT29" s="37"/>
      <c r="CU29" s="33"/>
      <c r="CV29" s="34"/>
      <c r="CW29" s="35" t="str">
        <f t="shared" si="38"/>
        <v/>
      </c>
      <c r="CX29" s="36" t="str">
        <f t="shared" si="39"/>
        <v/>
      </c>
      <c r="CY29" s="37"/>
      <c r="CZ29" s="33"/>
      <c r="DA29" s="34"/>
      <c r="DB29" s="35" t="str">
        <f t="shared" si="40"/>
        <v/>
      </c>
      <c r="DC29" s="36" t="str">
        <f t="shared" si="41"/>
        <v/>
      </c>
      <c r="DD29" s="37"/>
      <c r="DE29" s="33"/>
      <c r="DF29" s="34"/>
      <c r="DG29" s="35" t="str">
        <f t="shared" si="42"/>
        <v/>
      </c>
      <c r="DH29" s="36" t="str">
        <f t="shared" si="43"/>
        <v/>
      </c>
      <c r="DI29" s="37"/>
      <c r="DJ29" s="33"/>
      <c r="DK29" s="34"/>
      <c r="DL29" s="35" t="str">
        <f t="shared" si="44"/>
        <v/>
      </c>
      <c r="DM29" s="36" t="str">
        <f t="shared" si="45"/>
        <v/>
      </c>
      <c r="DN29" s="37"/>
      <c r="DO29" s="33"/>
      <c r="DP29" s="34"/>
      <c r="DQ29" s="35" t="str">
        <f t="shared" si="46"/>
        <v/>
      </c>
      <c r="DR29" s="36" t="str">
        <f t="shared" si="47"/>
        <v/>
      </c>
      <c r="DS29" s="37"/>
      <c r="DT29" s="33"/>
      <c r="DU29" s="34"/>
      <c r="DV29" s="35" t="str">
        <f t="shared" si="48"/>
        <v/>
      </c>
      <c r="DW29" s="36" t="str">
        <f t="shared" si="49"/>
        <v/>
      </c>
      <c r="DX29" s="37"/>
      <c r="DY29" s="33"/>
      <c r="DZ29" s="34"/>
      <c r="EA29" s="35" t="str">
        <f t="shared" si="50"/>
        <v/>
      </c>
      <c r="EB29" s="36" t="str">
        <f t="shared" si="51"/>
        <v/>
      </c>
      <c r="EC29" s="37"/>
      <c r="ED29" s="33"/>
      <c r="EE29" s="34"/>
      <c r="EF29" s="35" t="str">
        <f t="shared" si="52"/>
        <v/>
      </c>
      <c r="EG29" s="36" t="str">
        <f t="shared" si="53"/>
        <v/>
      </c>
      <c r="EH29" s="37"/>
      <c r="EI29" s="33"/>
      <c r="EJ29" s="34"/>
      <c r="EK29" s="35" t="str">
        <f t="shared" si="54"/>
        <v/>
      </c>
      <c r="EL29" s="36" t="str">
        <f t="shared" si="55"/>
        <v/>
      </c>
      <c r="EM29" s="37"/>
      <c r="EN29" s="33"/>
      <c r="EO29" s="34"/>
      <c r="EP29" s="35" t="str">
        <f t="shared" si="56"/>
        <v/>
      </c>
      <c r="EQ29" s="36" t="str">
        <f t="shared" si="57"/>
        <v/>
      </c>
      <c r="ER29" s="37"/>
      <c r="ES29" s="33"/>
      <c r="ET29" s="34"/>
      <c r="EU29" s="35" t="str">
        <f t="shared" si="58"/>
        <v/>
      </c>
      <c r="EV29" s="36" t="str">
        <f t="shared" si="59"/>
        <v/>
      </c>
      <c r="EW29" s="37"/>
    </row>
    <row r="30" spans="1:153" ht="19.5" customHeight="1">
      <c r="A30" s="32">
        <f>IF(DAY(DATE(対象年度,2,27))&lt;&gt;27,"",27)</f>
        <v>27</v>
      </c>
      <c r="B30" s="32" t="str">
        <f>IF(DAY(DATE(対象年度,2,27))&lt;&gt;27,"",CHOOSE(WEEKDAY(DATE(対象年度,2,27),2),"月","火","水","木","金","土","日"))</f>
        <v>金</v>
      </c>
      <c r="C30" s="32" t="str">
        <f>IF(DAY(DATE(対象年度,2,27))&lt;&gt;27,"",IF(ISNUMBER(MATCH(DATE(対象年度,2,27),祝日リスト,0)),"祝",""))</f>
        <v/>
      </c>
      <c r="D30" s="38"/>
      <c r="E30" s="34"/>
      <c r="F30" s="35" t="str">
        <f t="shared" si="0"/>
        <v/>
      </c>
      <c r="G30" s="36" t="str">
        <f t="shared" si="1"/>
        <v/>
      </c>
      <c r="H30" s="37"/>
      <c r="I30" s="33"/>
      <c r="J30" s="46"/>
      <c r="K30" s="35" t="str">
        <f t="shared" si="2"/>
        <v/>
      </c>
      <c r="L30" s="36" t="str">
        <f t="shared" si="3"/>
        <v/>
      </c>
      <c r="M30" s="37"/>
      <c r="N30" s="38"/>
      <c r="O30" s="34"/>
      <c r="P30" s="35" t="str">
        <f t="shared" si="4"/>
        <v/>
      </c>
      <c r="Q30" s="36" t="str">
        <f t="shared" si="5"/>
        <v/>
      </c>
      <c r="R30" s="37"/>
      <c r="S30" s="38"/>
      <c r="T30" s="34"/>
      <c r="U30" s="35" t="str">
        <f t="shared" si="6"/>
        <v/>
      </c>
      <c r="V30" s="36" t="str">
        <f t="shared" si="7"/>
        <v/>
      </c>
      <c r="W30" s="37"/>
      <c r="X30" s="38"/>
      <c r="Y30" s="34"/>
      <c r="Z30" s="35" t="str">
        <f t="shared" si="8"/>
        <v/>
      </c>
      <c r="AA30" s="36" t="str">
        <f t="shared" si="9"/>
        <v/>
      </c>
      <c r="AB30" s="37"/>
      <c r="AC30" s="33"/>
      <c r="AD30" s="46"/>
      <c r="AE30" s="35" t="str">
        <f t="shared" si="10"/>
        <v/>
      </c>
      <c r="AF30" s="36" t="str">
        <f t="shared" si="11"/>
        <v/>
      </c>
      <c r="AG30" s="37"/>
      <c r="AH30" s="38"/>
      <c r="AI30" s="34"/>
      <c r="AJ30" s="35"/>
      <c r="AK30" s="36"/>
      <c r="AL30" s="37"/>
      <c r="AM30" s="33"/>
      <c r="AN30" s="46"/>
      <c r="AO30" s="35"/>
      <c r="AP30" s="36"/>
      <c r="AQ30" s="37"/>
      <c r="AR30" s="38"/>
      <c r="AS30" s="34"/>
      <c r="AT30" s="35"/>
      <c r="AU30" s="36"/>
      <c r="AV30" s="37"/>
      <c r="AW30" s="38"/>
      <c r="AX30" s="34"/>
      <c r="AY30" s="35"/>
      <c r="AZ30" s="36"/>
      <c r="BA30" s="37"/>
      <c r="BB30" s="38"/>
      <c r="BC30" s="34"/>
      <c r="BD30" s="35" t="str">
        <f t="shared" si="20"/>
        <v/>
      </c>
      <c r="BE30" s="36" t="str">
        <f t="shared" si="21"/>
        <v/>
      </c>
      <c r="BF30" s="37"/>
      <c r="BG30" s="38"/>
      <c r="BH30" s="34"/>
      <c r="BI30" s="35" t="str">
        <f t="shared" si="22"/>
        <v/>
      </c>
      <c r="BJ30" s="36" t="str">
        <f t="shared" si="23"/>
        <v/>
      </c>
      <c r="BK30" s="37"/>
      <c r="BL30" s="33"/>
      <c r="BM30" s="34"/>
      <c r="BN30" s="35" t="str">
        <f t="shared" si="24"/>
        <v/>
      </c>
      <c r="BO30" s="36" t="str">
        <f t="shared" si="25"/>
        <v/>
      </c>
      <c r="BP30" s="37"/>
      <c r="BQ30" s="33"/>
      <c r="BR30" s="34"/>
      <c r="BS30" s="35" t="str">
        <f t="shared" si="26"/>
        <v/>
      </c>
      <c r="BT30" s="36" t="str">
        <f t="shared" si="27"/>
        <v/>
      </c>
      <c r="BU30" s="37"/>
      <c r="BV30" s="33"/>
      <c r="BW30" s="34"/>
      <c r="BX30" s="35" t="str">
        <f t="shared" si="28"/>
        <v/>
      </c>
      <c r="BY30" s="36" t="str">
        <f t="shared" si="29"/>
        <v/>
      </c>
      <c r="BZ30" s="37"/>
      <c r="CA30" s="33"/>
      <c r="CB30" s="34"/>
      <c r="CC30" s="35" t="str">
        <f t="shared" si="30"/>
        <v/>
      </c>
      <c r="CD30" s="36" t="str">
        <f t="shared" si="31"/>
        <v/>
      </c>
      <c r="CE30" s="37"/>
      <c r="CF30" s="33"/>
      <c r="CG30" s="34"/>
      <c r="CH30" s="35" t="str">
        <f t="shared" si="32"/>
        <v/>
      </c>
      <c r="CI30" s="36" t="str">
        <f t="shared" si="33"/>
        <v/>
      </c>
      <c r="CJ30" s="37"/>
      <c r="CK30" s="33"/>
      <c r="CL30" s="34"/>
      <c r="CM30" s="35" t="str">
        <f t="shared" si="34"/>
        <v/>
      </c>
      <c r="CN30" s="36" t="str">
        <f t="shared" si="35"/>
        <v/>
      </c>
      <c r="CO30" s="37"/>
      <c r="CP30" s="33"/>
      <c r="CQ30" s="34"/>
      <c r="CR30" s="35" t="str">
        <f t="shared" si="36"/>
        <v/>
      </c>
      <c r="CS30" s="36" t="str">
        <f t="shared" si="37"/>
        <v/>
      </c>
      <c r="CT30" s="37"/>
      <c r="CU30" s="33"/>
      <c r="CV30" s="34"/>
      <c r="CW30" s="35" t="str">
        <f t="shared" si="38"/>
        <v/>
      </c>
      <c r="CX30" s="36" t="str">
        <f t="shared" si="39"/>
        <v/>
      </c>
      <c r="CY30" s="37"/>
      <c r="CZ30" s="33"/>
      <c r="DA30" s="34"/>
      <c r="DB30" s="35" t="str">
        <f t="shared" si="40"/>
        <v/>
      </c>
      <c r="DC30" s="36" t="str">
        <f t="shared" si="41"/>
        <v/>
      </c>
      <c r="DD30" s="37"/>
      <c r="DE30" s="33"/>
      <c r="DF30" s="34"/>
      <c r="DG30" s="35" t="str">
        <f t="shared" si="42"/>
        <v/>
      </c>
      <c r="DH30" s="36" t="str">
        <f t="shared" si="43"/>
        <v/>
      </c>
      <c r="DI30" s="37"/>
      <c r="DJ30" s="33"/>
      <c r="DK30" s="34"/>
      <c r="DL30" s="35" t="str">
        <f t="shared" si="44"/>
        <v/>
      </c>
      <c r="DM30" s="36" t="str">
        <f t="shared" si="45"/>
        <v/>
      </c>
      <c r="DN30" s="37"/>
      <c r="DO30" s="33"/>
      <c r="DP30" s="34"/>
      <c r="DQ30" s="35" t="str">
        <f t="shared" si="46"/>
        <v/>
      </c>
      <c r="DR30" s="36" t="str">
        <f t="shared" si="47"/>
        <v/>
      </c>
      <c r="DS30" s="37"/>
      <c r="DT30" s="33"/>
      <c r="DU30" s="34"/>
      <c r="DV30" s="35" t="str">
        <f t="shared" si="48"/>
        <v/>
      </c>
      <c r="DW30" s="36" t="str">
        <f t="shared" si="49"/>
        <v/>
      </c>
      <c r="DX30" s="37"/>
      <c r="DY30" s="33"/>
      <c r="DZ30" s="34"/>
      <c r="EA30" s="35" t="str">
        <f t="shared" si="50"/>
        <v/>
      </c>
      <c r="EB30" s="36" t="str">
        <f t="shared" si="51"/>
        <v/>
      </c>
      <c r="EC30" s="37"/>
      <c r="ED30" s="33"/>
      <c r="EE30" s="34"/>
      <c r="EF30" s="35" t="str">
        <f t="shared" si="52"/>
        <v/>
      </c>
      <c r="EG30" s="36" t="str">
        <f t="shared" si="53"/>
        <v/>
      </c>
      <c r="EH30" s="37"/>
      <c r="EI30" s="33"/>
      <c r="EJ30" s="34"/>
      <c r="EK30" s="35" t="str">
        <f t="shared" si="54"/>
        <v/>
      </c>
      <c r="EL30" s="36" t="str">
        <f t="shared" si="55"/>
        <v/>
      </c>
      <c r="EM30" s="37"/>
      <c r="EN30" s="33"/>
      <c r="EO30" s="34"/>
      <c r="EP30" s="35" t="str">
        <f t="shared" si="56"/>
        <v/>
      </c>
      <c r="EQ30" s="36" t="str">
        <f t="shared" si="57"/>
        <v/>
      </c>
      <c r="ER30" s="37"/>
      <c r="ES30" s="33"/>
      <c r="ET30" s="34"/>
      <c r="EU30" s="35" t="str">
        <f t="shared" si="58"/>
        <v/>
      </c>
      <c r="EV30" s="36" t="str">
        <f t="shared" si="59"/>
        <v/>
      </c>
      <c r="EW30" s="37"/>
    </row>
    <row r="31" spans="1:153" ht="19.5" customHeight="1">
      <c r="A31" s="32">
        <f>IF(DAY(DATE(対象年度,2,28))&lt;&gt;28,"",28)</f>
        <v>28</v>
      </c>
      <c r="B31" s="32" t="str">
        <f>IF(DAY(DATE(対象年度,2,28))&lt;&gt;28,"",CHOOSE(WEEKDAY(DATE(対象年度,2,28),2),"月","火","水","木","金","土","日"))</f>
        <v>土</v>
      </c>
      <c r="C31" s="32" t="str">
        <f>IF(DAY(DATE(対象年度,2,28))&lt;&gt;28,"",IF(ISNUMBER(MATCH(DATE(対象年度,2,28),祝日リスト,0)),"祝",""))</f>
        <v/>
      </c>
      <c r="D31" s="33"/>
      <c r="E31" s="34"/>
      <c r="F31" s="35" t="str">
        <f t="shared" si="0"/>
        <v/>
      </c>
      <c r="G31" s="36" t="str">
        <f t="shared" si="1"/>
        <v/>
      </c>
      <c r="H31" s="37"/>
      <c r="I31" s="38"/>
      <c r="J31" s="34"/>
      <c r="K31" s="35" t="str">
        <f t="shared" si="2"/>
        <v/>
      </c>
      <c r="L31" s="36" t="str">
        <f t="shared" si="3"/>
        <v/>
      </c>
      <c r="M31" s="37"/>
      <c r="N31" s="38"/>
      <c r="O31" s="34"/>
      <c r="P31" s="35" t="str">
        <f t="shared" si="4"/>
        <v/>
      </c>
      <c r="Q31" s="36" t="str">
        <f t="shared" si="5"/>
        <v/>
      </c>
      <c r="R31" s="37"/>
      <c r="S31" s="38"/>
      <c r="T31" s="34"/>
      <c r="U31" s="35" t="str">
        <f t="shared" si="6"/>
        <v/>
      </c>
      <c r="V31" s="36" t="str">
        <f t="shared" si="7"/>
        <v/>
      </c>
      <c r="W31" s="37"/>
      <c r="X31" s="38"/>
      <c r="Y31" s="34"/>
      <c r="Z31" s="35" t="str">
        <f t="shared" si="8"/>
        <v/>
      </c>
      <c r="AA31" s="36" t="str">
        <f t="shared" si="9"/>
        <v/>
      </c>
      <c r="AB31" s="37"/>
      <c r="AC31" s="33"/>
      <c r="AD31" s="34"/>
      <c r="AE31" s="35" t="str">
        <f t="shared" si="10"/>
        <v/>
      </c>
      <c r="AF31" s="36" t="str">
        <f t="shared" si="11"/>
        <v/>
      </c>
      <c r="AG31" s="37"/>
      <c r="AH31" s="33"/>
      <c r="AI31" s="34"/>
      <c r="AJ31" s="35"/>
      <c r="AK31" s="36"/>
      <c r="AL31" s="37"/>
      <c r="AM31" s="33"/>
      <c r="AN31" s="34"/>
      <c r="AO31" s="35"/>
      <c r="AP31" s="36"/>
      <c r="AQ31" s="37"/>
      <c r="AR31" s="38"/>
      <c r="AS31" s="34"/>
      <c r="AT31" s="35"/>
      <c r="AU31" s="36"/>
      <c r="AV31" s="37"/>
      <c r="AW31" s="33"/>
      <c r="AX31" s="34"/>
      <c r="AY31" s="35"/>
      <c r="AZ31" s="36"/>
      <c r="BA31" s="37"/>
      <c r="BB31" s="33"/>
      <c r="BC31" s="34"/>
      <c r="BD31" s="35" t="str">
        <f t="shared" si="20"/>
        <v/>
      </c>
      <c r="BE31" s="36" t="str">
        <f t="shared" si="21"/>
        <v/>
      </c>
      <c r="BF31" s="37"/>
      <c r="BG31" s="38"/>
      <c r="BH31" s="34"/>
      <c r="BI31" s="35" t="str">
        <f t="shared" si="22"/>
        <v/>
      </c>
      <c r="BJ31" s="36" t="str">
        <f t="shared" si="23"/>
        <v/>
      </c>
      <c r="BK31" s="37"/>
      <c r="BL31" s="33"/>
      <c r="BM31" s="34"/>
      <c r="BN31" s="35" t="str">
        <f t="shared" si="24"/>
        <v/>
      </c>
      <c r="BO31" s="36" t="str">
        <f t="shared" si="25"/>
        <v/>
      </c>
      <c r="BP31" s="37"/>
      <c r="BQ31" s="33"/>
      <c r="BR31" s="34"/>
      <c r="BS31" s="35" t="str">
        <f t="shared" si="26"/>
        <v/>
      </c>
      <c r="BT31" s="36" t="str">
        <f t="shared" si="27"/>
        <v/>
      </c>
      <c r="BU31" s="37"/>
      <c r="BV31" s="33"/>
      <c r="BW31" s="34"/>
      <c r="BX31" s="35" t="str">
        <f t="shared" si="28"/>
        <v/>
      </c>
      <c r="BY31" s="36" t="str">
        <f t="shared" si="29"/>
        <v/>
      </c>
      <c r="BZ31" s="37"/>
      <c r="CA31" s="33"/>
      <c r="CB31" s="34"/>
      <c r="CC31" s="35" t="str">
        <f t="shared" si="30"/>
        <v/>
      </c>
      <c r="CD31" s="36" t="str">
        <f t="shared" si="31"/>
        <v/>
      </c>
      <c r="CE31" s="37"/>
      <c r="CF31" s="33"/>
      <c r="CG31" s="34"/>
      <c r="CH31" s="35" t="str">
        <f t="shared" si="32"/>
        <v/>
      </c>
      <c r="CI31" s="36" t="str">
        <f t="shared" si="33"/>
        <v/>
      </c>
      <c r="CJ31" s="37"/>
      <c r="CK31" s="33"/>
      <c r="CL31" s="34"/>
      <c r="CM31" s="35" t="str">
        <f t="shared" si="34"/>
        <v/>
      </c>
      <c r="CN31" s="36" t="str">
        <f t="shared" si="35"/>
        <v/>
      </c>
      <c r="CO31" s="37"/>
      <c r="CP31" s="33"/>
      <c r="CQ31" s="34"/>
      <c r="CR31" s="35" t="str">
        <f t="shared" si="36"/>
        <v/>
      </c>
      <c r="CS31" s="36" t="str">
        <f t="shared" si="37"/>
        <v/>
      </c>
      <c r="CT31" s="37"/>
      <c r="CU31" s="33"/>
      <c r="CV31" s="34"/>
      <c r="CW31" s="35" t="str">
        <f t="shared" si="38"/>
        <v/>
      </c>
      <c r="CX31" s="36" t="str">
        <f t="shared" si="39"/>
        <v/>
      </c>
      <c r="CY31" s="37"/>
      <c r="CZ31" s="33"/>
      <c r="DA31" s="34"/>
      <c r="DB31" s="35" t="str">
        <f t="shared" si="40"/>
        <v/>
      </c>
      <c r="DC31" s="36" t="str">
        <f t="shared" si="41"/>
        <v/>
      </c>
      <c r="DD31" s="37"/>
      <c r="DE31" s="33"/>
      <c r="DF31" s="34"/>
      <c r="DG31" s="35" t="str">
        <f t="shared" si="42"/>
        <v/>
      </c>
      <c r="DH31" s="36" t="str">
        <f t="shared" si="43"/>
        <v/>
      </c>
      <c r="DI31" s="37"/>
      <c r="DJ31" s="33"/>
      <c r="DK31" s="34"/>
      <c r="DL31" s="35" t="str">
        <f t="shared" si="44"/>
        <v/>
      </c>
      <c r="DM31" s="36" t="str">
        <f t="shared" si="45"/>
        <v/>
      </c>
      <c r="DN31" s="37"/>
      <c r="DO31" s="33"/>
      <c r="DP31" s="34"/>
      <c r="DQ31" s="35" t="str">
        <f t="shared" si="46"/>
        <v/>
      </c>
      <c r="DR31" s="36" t="str">
        <f t="shared" si="47"/>
        <v/>
      </c>
      <c r="DS31" s="37"/>
      <c r="DT31" s="33"/>
      <c r="DU31" s="34"/>
      <c r="DV31" s="35" t="str">
        <f t="shared" si="48"/>
        <v/>
      </c>
      <c r="DW31" s="36" t="str">
        <f t="shared" si="49"/>
        <v/>
      </c>
      <c r="DX31" s="37"/>
      <c r="DY31" s="33"/>
      <c r="DZ31" s="34"/>
      <c r="EA31" s="35" t="str">
        <f t="shared" si="50"/>
        <v/>
      </c>
      <c r="EB31" s="36" t="str">
        <f t="shared" si="51"/>
        <v/>
      </c>
      <c r="EC31" s="37"/>
      <c r="ED31" s="33"/>
      <c r="EE31" s="34"/>
      <c r="EF31" s="35" t="str">
        <f t="shared" si="52"/>
        <v/>
      </c>
      <c r="EG31" s="36" t="str">
        <f t="shared" si="53"/>
        <v/>
      </c>
      <c r="EH31" s="37"/>
      <c r="EI31" s="33"/>
      <c r="EJ31" s="34"/>
      <c r="EK31" s="35" t="str">
        <f t="shared" si="54"/>
        <v/>
      </c>
      <c r="EL31" s="36" t="str">
        <f t="shared" si="55"/>
        <v/>
      </c>
      <c r="EM31" s="37"/>
      <c r="EN31" s="33"/>
      <c r="EO31" s="34"/>
      <c r="EP31" s="35" t="str">
        <f t="shared" si="56"/>
        <v/>
      </c>
      <c r="EQ31" s="36" t="str">
        <f t="shared" si="57"/>
        <v/>
      </c>
      <c r="ER31" s="37"/>
      <c r="ES31" s="33"/>
      <c r="ET31" s="34"/>
      <c r="EU31" s="35" t="str">
        <f t="shared" si="58"/>
        <v/>
      </c>
      <c r="EV31" s="36" t="str">
        <f t="shared" si="59"/>
        <v/>
      </c>
      <c r="EW31" s="37"/>
    </row>
    <row r="32" spans="1:153" ht="19.5" customHeight="1">
      <c r="A32" s="32" t="str">
        <f>IF(DAY(DATE(対象年度,2,29))&lt;&gt;29,"",29)</f>
        <v/>
      </c>
      <c r="B32" s="32" t="str">
        <f>IF(DAY(DATE(対象年度,2,29))&lt;&gt;29,"",CHOOSE(WEEKDAY(DATE(対象年度,2,29),2),"月","火","水","木","金","土","日"))</f>
        <v/>
      </c>
      <c r="C32" s="32" t="str">
        <f>IF(DAY(DATE(対象年度,2,29))&lt;&gt;29,"",IF(ISNUMBER(MATCH(DATE(対象年度,2,29),祝日リスト,0)),"祝",""))</f>
        <v/>
      </c>
      <c r="D32" s="33"/>
      <c r="E32" s="34"/>
      <c r="F32" s="35" t="str">
        <f t="shared" si="0"/>
        <v/>
      </c>
      <c r="G32" s="36" t="str">
        <f t="shared" si="1"/>
        <v/>
      </c>
      <c r="H32" s="37"/>
      <c r="I32" s="33"/>
      <c r="J32" s="34"/>
      <c r="K32" s="35" t="str">
        <f t="shared" si="2"/>
        <v/>
      </c>
      <c r="L32" s="36" t="str">
        <f t="shared" si="3"/>
        <v/>
      </c>
      <c r="M32" s="37"/>
      <c r="N32" s="33"/>
      <c r="O32" s="34"/>
      <c r="P32" s="35" t="str">
        <f t="shared" si="4"/>
        <v/>
      </c>
      <c r="Q32" s="36" t="str">
        <f t="shared" si="5"/>
        <v/>
      </c>
      <c r="R32" s="37"/>
      <c r="S32" s="33"/>
      <c r="T32" s="34"/>
      <c r="U32" s="35" t="str">
        <f t="shared" si="6"/>
        <v/>
      </c>
      <c r="V32" s="36" t="str">
        <f t="shared" si="7"/>
        <v/>
      </c>
      <c r="W32" s="37"/>
      <c r="X32" s="33"/>
      <c r="Y32" s="34"/>
      <c r="Z32" s="35" t="str">
        <f t="shared" si="8"/>
        <v/>
      </c>
      <c r="AA32" s="36" t="str">
        <f t="shared" si="9"/>
        <v/>
      </c>
      <c r="AB32" s="37"/>
      <c r="AC32" s="33"/>
      <c r="AD32" s="34"/>
      <c r="AE32" s="35" t="str">
        <f t="shared" si="10"/>
        <v/>
      </c>
      <c r="AF32" s="36" t="str">
        <f t="shared" si="11"/>
        <v/>
      </c>
      <c r="AG32" s="37"/>
      <c r="AH32" s="33"/>
      <c r="AI32" s="34"/>
      <c r="AJ32" s="35"/>
      <c r="AK32" s="36"/>
      <c r="AL32" s="37"/>
      <c r="AM32" s="33"/>
      <c r="AN32" s="34"/>
      <c r="AO32" s="35"/>
      <c r="AP32" s="36"/>
      <c r="AQ32" s="37"/>
      <c r="AR32" s="33"/>
      <c r="AS32" s="34"/>
      <c r="AT32" s="35"/>
      <c r="AU32" s="36"/>
      <c r="AV32" s="37"/>
      <c r="AW32" s="33"/>
      <c r="AX32" s="34"/>
      <c r="AY32" s="35"/>
      <c r="AZ32" s="36"/>
      <c r="BA32" s="37"/>
      <c r="BB32" s="33"/>
      <c r="BC32" s="34"/>
      <c r="BD32" s="35" t="str">
        <f t="shared" si="20"/>
        <v/>
      </c>
      <c r="BE32" s="36" t="str">
        <f t="shared" si="21"/>
        <v/>
      </c>
      <c r="BF32" s="37"/>
      <c r="BG32" s="33"/>
      <c r="BH32" s="34"/>
      <c r="BI32" s="35" t="str">
        <f t="shared" si="22"/>
        <v/>
      </c>
      <c r="BJ32" s="36" t="str">
        <f t="shared" si="23"/>
        <v/>
      </c>
      <c r="BK32" s="37"/>
      <c r="BL32" s="33"/>
      <c r="BM32" s="34"/>
      <c r="BN32" s="35" t="str">
        <f t="shared" si="24"/>
        <v/>
      </c>
      <c r="BO32" s="36" t="str">
        <f t="shared" si="25"/>
        <v/>
      </c>
      <c r="BP32" s="37"/>
      <c r="BQ32" s="33"/>
      <c r="BR32" s="34"/>
      <c r="BS32" s="35" t="str">
        <f t="shared" si="26"/>
        <v/>
      </c>
      <c r="BT32" s="36" t="str">
        <f t="shared" si="27"/>
        <v/>
      </c>
      <c r="BU32" s="37"/>
      <c r="BV32" s="33"/>
      <c r="BW32" s="34"/>
      <c r="BX32" s="35" t="str">
        <f t="shared" si="28"/>
        <v/>
      </c>
      <c r="BY32" s="36" t="str">
        <f t="shared" si="29"/>
        <v/>
      </c>
      <c r="BZ32" s="37"/>
      <c r="CA32" s="33"/>
      <c r="CB32" s="34"/>
      <c r="CC32" s="35" t="str">
        <f t="shared" si="30"/>
        <v/>
      </c>
      <c r="CD32" s="36" t="str">
        <f t="shared" si="31"/>
        <v/>
      </c>
      <c r="CE32" s="37"/>
      <c r="CF32" s="33"/>
      <c r="CG32" s="34"/>
      <c r="CH32" s="35" t="str">
        <f t="shared" si="32"/>
        <v/>
      </c>
      <c r="CI32" s="36" t="str">
        <f t="shared" si="33"/>
        <v/>
      </c>
      <c r="CJ32" s="37"/>
      <c r="CK32" s="33"/>
      <c r="CL32" s="34"/>
      <c r="CM32" s="35" t="str">
        <f t="shared" si="34"/>
        <v/>
      </c>
      <c r="CN32" s="36" t="str">
        <f t="shared" si="35"/>
        <v/>
      </c>
      <c r="CO32" s="37"/>
      <c r="CP32" s="33"/>
      <c r="CQ32" s="34"/>
      <c r="CR32" s="35" t="str">
        <f t="shared" si="36"/>
        <v/>
      </c>
      <c r="CS32" s="36" t="str">
        <f t="shared" si="37"/>
        <v/>
      </c>
      <c r="CT32" s="37"/>
      <c r="CU32" s="33"/>
      <c r="CV32" s="34"/>
      <c r="CW32" s="35" t="str">
        <f t="shared" si="38"/>
        <v/>
      </c>
      <c r="CX32" s="36" t="str">
        <f t="shared" si="39"/>
        <v/>
      </c>
      <c r="CY32" s="37"/>
      <c r="CZ32" s="33"/>
      <c r="DA32" s="34"/>
      <c r="DB32" s="35" t="str">
        <f t="shared" si="40"/>
        <v/>
      </c>
      <c r="DC32" s="36" t="str">
        <f t="shared" si="41"/>
        <v/>
      </c>
      <c r="DD32" s="37"/>
      <c r="DE32" s="33"/>
      <c r="DF32" s="34"/>
      <c r="DG32" s="35" t="str">
        <f t="shared" si="42"/>
        <v/>
      </c>
      <c r="DH32" s="36" t="str">
        <f t="shared" si="43"/>
        <v/>
      </c>
      <c r="DI32" s="37"/>
      <c r="DJ32" s="33"/>
      <c r="DK32" s="34"/>
      <c r="DL32" s="35" t="str">
        <f t="shared" si="44"/>
        <v/>
      </c>
      <c r="DM32" s="36" t="str">
        <f t="shared" si="45"/>
        <v/>
      </c>
      <c r="DN32" s="37"/>
      <c r="DO32" s="33"/>
      <c r="DP32" s="34"/>
      <c r="DQ32" s="35" t="str">
        <f t="shared" si="46"/>
        <v/>
      </c>
      <c r="DR32" s="36" t="str">
        <f t="shared" si="47"/>
        <v/>
      </c>
      <c r="DS32" s="37"/>
      <c r="DT32" s="33"/>
      <c r="DU32" s="34"/>
      <c r="DV32" s="35" t="str">
        <f t="shared" si="48"/>
        <v/>
      </c>
      <c r="DW32" s="36" t="str">
        <f t="shared" si="49"/>
        <v/>
      </c>
      <c r="DX32" s="37"/>
      <c r="DY32" s="33"/>
      <c r="DZ32" s="34"/>
      <c r="EA32" s="35" t="str">
        <f t="shared" si="50"/>
        <v/>
      </c>
      <c r="EB32" s="36" t="str">
        <f t="shared" si="51"/>
        <v/>
      </c>
      <c r="EC32" s="37"/>
      <c r="ED32" s="33"/>
      <c r="EE32" s="34"/>
      <c r="EF32" s="35" t="str">
        <f t="shared" si="52"/>
        <v/>
      </c>
      <c r="EG32" s="36" t="str">
        <f t="shared" si="53"/>
        <v/>
      </c>
      <c r="EH32" s="37"/>
      <c r="EI32" s="33"/>
      <c r="EJ32" s="34"/>
      <c r="EK32" s="35" t="str">
        <f t="shared" si="54"/>
        <v/>
      </c>
      <c r="EL32" s="36" t="str">
        <f t="shared" si="55"/>
        <v/>
      </c>
      <c r="EM32" s="37"/>
      <c r="EN32" s="33"/>
      <c r="EO32" s="34"/>
      <c r="EP32" s="35" t="str">
        <f t="shared" si="56"/>
        <v/>
      </c>
      <c r="EQ32" s="36" t="str">
        <f t="shared" si="57"/>
        <v/>
      </c>
      <c r="ER32" s="37"/>
      <c r="ES32" s="33"/>
      <c r="ET32" s="34"/>
      <c r="EU32" s="35" t="str">
        <f t="shared" si="58"/>
        <v/>
      </c>
      <c r="EV32" s="36" t="str">
        <f t="shared" si="59"/>
        <v/>
      </c>
      <c r="EW32" s="37"/>
    </row>
    <row r="33" spans="1:153" ht="19.5" customHeight="1">
      <c r="A33" s="32" t="str">
        <f>IF(DAY(DATE(対象年度,2,30))&lt;&gt;30,"",30)</f>
        <v/>
      </c>
      <c r="B33" s="32" t="str">
        <f>IF(DAY(DATE(対象年度,2,30))&lt;&gt;30,"",CHOOSE(WEEKDAY(DATE(対象年度,2,30),2),"月","火","水","木","金","土","日"))</f>
        <v/>
      </c>
      <c r="C33" s="32" t="str">
        <f>IF(DAY(DATE(対象年度,2,30))&lt;&gt;30,"",IF(ISNUMBER(MATCH(DATE(対象年度,2,30),祝日リスト,0)),"祝",""))</f>
        <v/>
      </c>
      <c r="D33" s="33"/>
      <c r="E33" s="34"/>
      <c r="F33" s="35" t="str">
        <f t="shared" si="0"/>
        <v/>
      </c>
      <c r="G33" s="36" t="str">
        <f t="shared" si="1"/>
        <v/>
      </c>
      <c r="H33" s="37"/>
      <c r="I33" s="33"/>
      <c r="J33" s="34"/>
      <c r="K33" s="35" t="str">
        <f t="shared" si="2"/>
        <v/>
      </c>
      <c r="L33" s="36" t="str">
        <f t="shared" si="3"/>
        <v/>
      </c>
      <c r="M33" s="37"/>
      <c r="N33" s="33"/>
      <c r="O33" s="34"/>
      <c r="P33" s="35" t="str">
        <f t="shared" si="4"/>
        <v/>
      </c>
      <c r="Q33" s="36" t="str">
        <f t="shared" si="5"/>
        <v/>
      </c>
      <c r="R33" s="37"/>
      <c r="S33" s="33"/>
      <c r="T33" s="34"/>
      <c r="U33" s="35" t="str">
        <f t="shared" si="6"/>
        <v/>
      </c>
      <c r="V33" s="36" t="str">
        <f t="shared" si="7"/>
        <v/>
      </c>
      <c r="W33" s="37"/>
      <c r="X33" s="33"/>
      <c r="Y33" s="34"/>
      <c r="Z33" s="35" t="str">
        <f t="shared" si="8"/>
        <v/>
      </c>
      <c r="AA33" s="36" t="str">
        <f t="shared" si="9"/>
        <v/>
      </c>
      <c r="AB33" s="37"/>
      <c r="AC33" s="33"/>
      <c r="AD33" s="34"/>
      <c r="AE33" s="35" t="str">
        <f t="shared" si="10"/>
        <v/>
      </c>
      <c r="AF33" s="36" t="str">
        <f t="shared" si="11"/>
        <v/>
      </c>
      <c r="AG33" s="37"/>
      <c r="AH33" s="33"/>
      <c r="AI33" s="34"/>
      <c r="AJ33" s="35"/>
      <c r="AK33" s="36"/>
      <c r="AL33" s="37"/>
      <c r="AM33" s="33"/>
      <c r="AN33" s="34"/>
      <c r="AO33" s="35"/>
      <c r="AP33" s="36"/>
      <c r="AQ33" s="37"/>
      <c r="AR33" s="33"/>
      <c r="AS33" s="34"/>
      <c r="AT33" s="35"/>
      <c r="AU33" s="36"/>
      <c r="AV33" s="37"/>
      <c r="AW33" s="33"/>
      <c r="AX33" s="34"/>
      <c r="AY33" s="35"/>
      <c r="AZ33" s="36"/>
      <c r="BA33" s="37"/>
      <c r="BB33" s="33"/>
      <c r="BC33" s="34"/>
      <c r="BD33" s="35" t="str">
        <f t="shared" si="20"/>
        <v/>
      </c>
      <c r="BE33" s="36" t="str">
        <f t="shared" si="21"/>
        <v/>
      </c>
      <c r="BF33" s="37"/>
      <c r="BG33" s="33"/>
      <c r="BH33" s="34"/>
      <c r="BI33" s="35" t="str">
        <f t="shared" si="22"/>
        <v/>
      </c>
      <c r="BJ33" s="36" t="str">
        <f t="shared" si="23"/>
        <v/>
      </c>
      <c r="BK33" s="37"/>
      <c r="BL33" s="33"/>
      <c r="BM33" s="34"/>
      <c r="BN33" s="35" t="str">
        <f t="shared" si="24"/>
        <v/>
      </c>
      <c r="BO33" s="36" t="str">
        <f t="shared" si="25"/>
        <v/>
      </c>
      <c r="BP33" s="37"/>
      <c r="BQ33" s="33"/>
      <c r="BR33" s="34"/>
      <c r="BS33" s="35" t="str">
        <f t="shared" si="26"/>
        <v/>
      </c>
      <c r="BT33" s="36" t="str">
        <f t="shared" si="27"/>
        <v/>
      </c>
      <c r="BU33" s="37"/>
      <c r="BV33" s="33"/>
      <c r="BW33" s="34"/>
      <c r="BX33" s="35" t="str">
        <f t="shared" si="28"/>
        <v/>
      </c>
      <c r="BY33" s="36" t="str">
        <f t="shared" si="29"/>
        <v/>
      </c>
      <c r="BZ33" s="37"/>
      <c r="CA33" s="33"/>
      <c r="CB33" s="34"/>
      <c r="CC33" s="35" t="str">
        <f t="shared" si="30"/>
        <v/>
      </c>
      <c r="CD33" s="36" t="str">
        <f t="shared" si="31"/>
        <v/>
      </c>
      <c r="CE33" s="37"/>
      <c r="CF33" s="33"/>
      <c r="CG33" s="34"/>
      <c r="CH33" s="35" t="str">
        <f t="shared" si="32"/>
        <v/>
      </c>
      <c r="CI33" s="36" t="str">
        <f t="shared" si="33"/>
        <v/>
      </c>
      <c r="CJ33" s="37"/>
      <c r="CK33" s="33"/>
      <c r="CL33" s="34"/>
      <c r="CM33" s="35" t="str">
        <f t="shared" si="34"/>
        <v/>
      </c>
      <c r="CN33" s="36" t="str">
        <f t="shared" si="35"/>
        <v/>
      </c>
      <c r="CO33" s="37"/>
      <c r="CP33" s="33"/>
      <c r="CQ33" s="34"/>
      <c r="CR33" s="35" t="str">
        <f t="shared" si="36"/>
        <v/>
      </c>
      <c r="CS33" s="36" t="str">
        <f t="shared" si="37"/>
        <v/>
      </c>
      <c r="CT33" s="37"/>
      <c r="CU33" s="33"/>
      <c r="CV33" s="34"/>
      <c r="CW33" s="35" t="str">
        <f t="shared" si="38"/>
        <v/>
      </c>
      <c r="CX33" s="36" t="str">
        <f t="shared" si="39"/>
        <v/>
      </c>
      <c r="CY33" s="37"/>
      <c r="CZ33" s="33"/>
      <c r="DA33" s="34"/>
      <c r="DB33" s="35" t="str">
        <f t="shared" si="40"/>
        <v/>
      </c>
      <c r="DC33" s="36" t="str">
        <f t="shared" si="41"/>
        <v/>
      </c>
      <c r="DD33" s="37"/>
      <c r="DE33" s="33"/>
      <c r="DF33" s="34"/>
      <c r="DG33" s="35" t="str">
        <f t="shared" si="42"/>
        <v/>
      </c>
      <c r="DH33" s="36" t="str">
        <f t="shared" si="43"/>
        <v/>
      </c>
      <c r="DI33" s="37"/>
      <c r="DJ33" s="33"/>
      <c r="DK33" s="34"/>
      <c r="DL33" s="35" t="str">
        <f t="shared" si="44"/>
        <v/>
      </c>
      <c r="DM33" s="36" t="str">
        <f t="shared" si="45"/>
        <v/>
      </c>
      <c r="DN33" s="37"/>
      <c r="DO33" s="33"/>
      <c r="DP33" s="34"/>
      <c r="DQ33" s="35" t="str">
        <f t="shared" si="46"/>
        <v/>
      </c>
      <c r="DR33" s="36" t="str">
        <f t="shared" si="47"/>
        <v/>
      </c>
      <c r="DS33" s="37"/>
      <c r="DT33" s="33"/>
      <c r="DU33" s="34"/>
      <c r="DV33" s="35" t="str">
        <f t="shared" si="48"/>
        <v/>
      </c>
      <c r="DW33" s="36" t="str">
        <f t="shared" si="49"/>
        <v/>
      </c>
      <c r="DX33" s="37"/>
      <c r="DY33" s="33"/>
      <c r="DZ33" s="34"/>
      <c r="EA33" s="35" t="str">
        <f t="shared" si="50"/>
        <v/>
      </c>
      <c r="EB33" s="36" t="str">
        <f t="shared" si="51"/>
        <v/>
      </c>
      <c r="EC33" s="37"/>
      <c r="ED33" s="33"/>
      <c r="EE33" s="34"/>
      <c r="EF33" s="35" t="str">
        <f t="shared" si="52"/>
        <v/>
      </c>
      <c r="EG33" s="36" t="str">
        <f t="shared" si="53"/>
        <v/>
      </c>
      <c r="EH33" s="37"/>
      <c r="EI33" s="33"/>
      <c r="EJ33" s="34"/>
      <c r="EK33" s="35" t="str">
        <f t="shared" si="54"/>
        <v/>
      </c>
      <c r="EL33" s="36" t="str">
        <f t="shared" si="55"/>
        <v/>
      </c>
      <c r="EM33" s="37"/>
      <c r="EN33" s="33"/>
      <c r="EO33" s="34"/>
      <c r="EP33" s="35" t="str">
        <f t="shared" si="56"/>
        <v/>
      </c>
      <c r="EQ33" s="36" t="str">
        <f t="shared" si="57"/>
        <v/>
      </c>
      <c r="ER33" s="37"/>
      <c r="ES33" s="33"/>
      <c r="ET33" s="34"/>
      <c r="EU33" s="35" t="str">
        <f t="shared" si="58"/>
        <v/>
      </c>
      <c r="EV33" s="36" t="str">
        <f t="shared" si="59"/>
        <v/>
      </c>
      <c r="EW33" s="37"/>
    </row>
    <row r="34" spans="1:153" ht="19.5" customHeight="1">
      <c r="A34" s="39" t="str">
        <f>IF(DAY(DATE(対象年度,2,31))&lt;&gt;31,"",31)</f>
        <v/>
      </c>
      <c r="B34" s="39" t="str">
        <f>IF(DAY(DATE(対象年度,2,31))&lt;&gt;31,"",CHOOSE(WEEKDAY(DATE(対象年度,2,31),2),"月","火","水","木","金","土","日"))</f>
        <v/>
      </c>
      <c r="C34" s="39" t="str">
        <f>IF(DAY(DATE(対象年度,2,31))&lt;&gt;31,"",IF(ISNUMBER(MATCH(DATE(対象年度,2,31),祝日リスト,0)),"祝",""))</f>
        <v/>
      </c>
      <c r="D34" s="40"/>
      <c r="E34" s="41"/>
      <c r="F34" s="42" t="str">
        <f t="shared" si="0"/>
        <v/>
      </c>
      <c r="G34" s="43" t="str">
        <f t="shared" si="1"/>
        <v/>
      </c>
      <c r="H34" s="44"/>
      <c r="I34" s="40"/>
      <c r="J34" s="41"/>
      <c r="K34" s="42" t="str">
        <f t="shared" si="2"/>
        <v/>
      </c>
      <c r="L34" s="43" t="str">
        <f t="shared" si="3"/>
        <v/>
      </c>
      <c r="M34" s="44"/>
      <c r="N34" s="40"/>
      <c r="O34" s="41"/>
      <c r="P34" s="42" t="str">
        <f t="shared" si="4"/>
        <v/>
      </c>
      <c r="Q34" s="43" t="str">
        <f t="shared" si="5"/>
        <v/>
      </c>
      <c r="R34" s="44"/>
      <c r="S34" s="40"/>
      <c r="T34" s="41"/>
      <c r="U34" s="42" t="str">
        <f t="shared" si="6"/>
        <v/>
      </c>
      <c r="V34" s="43" t="str">
        <f t="shared" si="7"/>
        <v/>
      </c>
      <c r="W34" s="44"/>
      <c r="X34" s="40"/>
      <c r="Y34" s="41"/>
      <c r="Z34" s="42" t="str">
        <f t="shared" si="8"/>
        <v/>
      </c>
      <c r="AA34" s="43" t="str">
        <f t="shared" si="9"/>
        <v/>
      </c>
      <c r="AB34" s="44"/>
      <c r="AC34" s="40"/>
      <c r="AD34" s="41"/>
      <c r="AE34" s="42" t="str">
        <f t="shared" si="10"/>
        <v/>
      </c>
      <c r="AF34" s="43" t="str">
        <f t="shared" si="11"/>
        <v/>
      </c>
      <c r="AG34" s="44"/>
      <c r="AH34" s="40"/>
      <c r="AI34" s="41"/>
      <c r="AJ34" s="42"/>
      <c r="AK34" s="43"/>
      <c r="AL34" s="44"/>
      <c r="AM34" s="40"/>
      <c r="AN34" s="41"/>
      <c r="AO34" s="42"/>
      <c r="AP34" s="43"/>
      <c r="AQ34" s="44"/>
      <c r="AR34" s="40"/>
      <c r="AS34" s="41"/>
      <c r="AT34" s="42"/>
      <c r="AU34" s="43"/>
      <c r="AV34" s="44"/>
      <c r="AW34" s="40"/>
      <c r="AX34" s="41"/>
      <c r="AY34" s="42"/>
      <c r="AZ34" s="43"/>
      <c r="BA34" s="44"/>
      <c r="BB34" s="40"/>
      <c r="BC34" s="41"/>
      <c r="BD34" s="42" t="str">
        <f t="shared" si="20"/>
        <v/>
      </c>
      <c r="BE34" s="43" t="str">
        <f t="shared" si="21"/>
        <v/>
      </c>
      <c r="BF34" s="44"/>
      <c r="BG34" s="40"/>
      <c r="BH34" s="41"/>
      <c r="BI34" s="42" t="str">
        <f t="shared" si="22"/>
        <v/>
      </c>
      <c r="BJ34" s="43" t="str">
        <f t="shared" si="23"/>
        <v/>
      </c>
      <c r="BK34" s="44"/>
      <c r="BL34" s="40"/>
      <c r="BM34" s="41"/>
      <c r="BN34" s="42" t="str">
        <f t="shared" si="24"/>
        <v/>
      </c>
      <c r="BO34" s="43" t="str">
        <f t="shared" si="25"/>
        <v/>
      </c>
      <c r="BP34" s="44"/>
      <c r="BQ34" s="40"/>
      <c r="BR34" s="41"/>
      <c r="BS34" s="42" t="str">
        <f t="shared" si="26"/>
        <v/>
      </c>
      <c r="BT34" s="43" t="str">
        <f t="shared" si="27"/>
        <v/>
      </c>
      <c r="BU34" s="44"/>
      <c r="BV34" s="40"/>
      <c r="BW34" s="41"/>
      <c r="BX34" s="42" t="str">
        <f t="shared" si="28"/>
        <v/>
      </c>
      <c r="BY34" s="43" t="str">
        <f t="shared" si="29"/>
        <v/>
      </c>
      <c r="BZ34" s="44"/>
      <c r="CA34" s="40"/>
      <c r="CB34" s="41"/>
      <c r="CC34" s="42" t="str">
        <f t="shared" si="30"/>
        <v/>
      </c>
      <c r="CD34" s="43" t="str">
        <f t="shared" si="31"/>
        <v/>
      </c>
      <c r="CE34" s="44"/>
      <c r="CF34" s="40"/>
      <c r="CG34" s="41"/>
      <c r="CH34" s="42" t="str">
        <f t="shared" si="32"/>
        <v/>
      </c>
      <c r="CI34" s="43" t="str">
        <f t="shared" si="33"/>
        <v/>
      </c>
      <c r="CJ34" s="44"/>
      <c r="CK34" s="40"/>
      <c r="CL34" s="41"/>
      <c r="CM34" s="42" t="str">
        <f t="shared" si="34"/>
        <v/>
      </c>
      <c r="CN34" s="43" t="str">
        <f t="shared" si="35"/>
        <v/>
      </c>
      <c r="CO34" s="44"/>
      <c r="CP34" s="40"/>
      <c r="CQ34" s="41"/>
      <c r="CR34" s="42" t="str">
        <f t="shared" si="36"/>
        <v/>
      </c>
      <c r="CS34" s="43" t="str">
        <f t="shared" si="37"/>
        <v/>
      </c>
      <c r="CT34" s="44"/>
      <c r="CU34" s="40"/>
      <c r="CV34" s="41"/>
      <c r="CW34" s="42" t="str">
        <f t="shared" si="38"/>
        <v/>
      </c>
      <c r="CX34" s="43" t="str">
        <f t="shared" si="39"/>
        <v/>
      </c>
      <c r="CY34" s="44"/>
      <c r="CZ34" s="40"/>
      <c r="DA34" s="41"/>
      <c r="DB34" s="42" t="str">
        <f t="shared" si="40"/>
        <v/>
      </c>
      <c r="DC34" s="43" t="str">
        <f t="shared" si="41"/>
        <v/>
      </c>
      <c r="DD34" s="44"/>
      <c r="DE34" s="40"/>
      <c r="DF34" s="41"/>
      <c r="DG34" s="42" t="str">
        <f t="shared" si="42"/>
        <v/>
      </c>
      <c r="DH34" s="43" t="str">
        <f t="shared" si="43"/>
        <v/>
      </c>
      <c r="DI34" s="44"/>
      <c r="DJ34" s="40"/>
      <c r="DK34" s="41"/>
      <c r="DL34" s="42" t="str">
        <f t="shared" si="44"/>
        <v/>
      </c>
      <c r="DM34" s="43" t="str">
        <f t="shared" si="45"/>
        <v/>
      </c>
      <c r="DN34" s="44"/>
      <c r="DO34" s="40"/>
      <c r="DP34" s="41"/>
      <c r="DQ34" s="42" t="str">
        <f t="shared" si="46"/>
        <v/>
      </c>
      <c r="DR34" s="43" t="str">
        <f t="shared" si="47"/>
        <v/>
      </c>
      <c r="DS34" s="44"/>
      <c r="DT34" s="40"/>
      <c r="DU34" s="41"/>
      <c r="DV34" s="42" t="str">
        <f t="shared" si="48"/>
        <v/>
      </c>
      <c r="DW34" s="43" t="str">
        <f t="shared" si="49"/>
        <v/>
      </c>
      <c r="DX34" s="44"/>
      <c r="DY34" s="40"/>
      <c r="DZ34" s="41"/>
      <c r="EA34" s="42" t="str">
        <f t="shared" si="50"/>
        <v/>
      </c>
      <c r="EB34" s="43" t="str">
        <f t="shared" si="51"/>
        <v/>
      </c>
      <c r="EC34" s="44"/>
      <c r="ED34" s="40"/>
      <c r="EE34" s="41"/>
      <c r="EF34" s="42" t="str">
        <f t="shared" si="52"/>
        <v/>
      </c>
      <c r="EG34" s="43" t="str">
        <f t="shared" si="53"/>
        <v/>
      </c>
      <c r="EH34" s="44"/>
      <c r="EI34" s="40"/>
      <c r="EJ34" s="41"/>
      <c r="EK34" s="42" t="str">
        <f t="shared" si="54"/>
        <v/>
      </c>
      <c r="EL34" s="43" t="str">
        <f t="shared" si="55"/>
        <v/>
      </c>
      <c r="EM34" s="44"/>
      <c r="EN34" s="40"/>
      <c r="EO34" s="41"/>
      <c r="EP34" s="42" t="str">
        <f t="shared" si="56"/>
        <v/>
      </c>
      <c r="EQ34" s="43" t="str">
        <f t="shared" si="57"/>
        <v/>
      </c>
      <c r="ER34" s="44"/>
      <c r="ES34" s="40"/>
      <c r="ET34" s="41"/>
      <c r="EU34" s="42" t="str">
        <f t="shared" si="58"/>
        <v/>
      </c>
      <c r="EV34" s="43" t="str">
        <f t="shared" si="5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0</v>
      </c>
      <c r="E35" s="94"/>
      <c r="F35" s="94"/>
      <c r="G35" s="94"/>
      <c r="H35" s="94"/>
      <c r="I35" s="94">
        <f>COUNTIF(K4:K34,"○")</f>
        <v>0</v>
      </c>
      <c r="J35" s="94"/>
      <c r="K35" s="94"/>
      <c r="L35" s="94"/>
      <c r="M35" s="94"/>
      <c r="N35" s="94">
        <f>COUNTIF(P4:P34,"○")</f>
        <v>0</v>
      </c>
      <c r="O35" s="94"/>
      <c r="P35" s="94"/>
      <c r="Q35" s="94"/>
      <c r="R35" s="94"/>
      <c r="S35" s="94">
        <f>COUNTIF(U4:U34,"○")</f>
        <v>0</v>
      </c>
      <c r="T35" s="94"/>
      <c r="U35" s="94"/>
      <c r="V35" s="94"/>
      <c r="W35" s="94"/>
      <c r="X35" s="94">
        <f>COUNTIF(Z4:Z34,"○")</f>
        <v>0</v>
      </c>
      <c r="Y35" s="94"/>
      <c r="Z35" s="94"/>
      <c r="AA35" s="94"/>
      <c r="AB35" s="94"/>
      <c r="AC35" s="94">
        <f>COUNTIF(AE4:AE34,"○")</f>
        <v>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0</v>
      </c>
      <c r="E37" s="98"/>
      <c r="F37" s="98"/>
      <c r="G37" s="98"/>
      <c r="H37" s="98"/>
      <c r="I37" s="98">
        <f>I35+I36</f>
        <v>0</v>
      </c>
      <c r="J37" s="98"/>
      <c r="K37" s="98"/>
      <c r="L37" s="98"/>
      <c r="M37" s="98"/>
      <c r="N37" s="98">
        <f>N35+N36</f>
        <v>0</v>
      </c>
      <c r="O37" s="98"/>
      <c r="P37" s="98"/>
      <c r="Q37" s="98"/>
      <c r="R37" s="98"/>
      <c r="S37" s="98">
        <f>S35+S36</f>
        <v>0</v>
      </c>
      <c r="T37" s="98"/>
      <c r="U37" s="98"/>
      <c r="V37" s="98"/>
      <c r="W37" s="98"/>
      <c r="X37" s="98">
        <f>X35+X36</f>
        <v>0</v>
      </c>
      <c r="Y37" s="98"/>
      <c r="Z37" s="98"/>
      <c r="AA37" s="98"/>
      <c r="AB37" s="98"/>
      <c r="AC37" s="98">
        <f>AC35+AC36</f>
        <v>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0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757" priority="63">
      <formula>$B4="日"</formula>
    </cfRule>
    <cfRule type="expression" dxfId="756" priority="64">
      <formula>$B4="土"</formula>
    </cfRule>
    <cfRule type="expression" dxfId="755" priority="62">
      <formula>AND($A4&lt;&gt;"",ISNUMBER(MATCH(DATE(対象年度,2,$A4),祝日リスト,0)))</formula>
    </cfRule>
  </conditionalFormatting>
  <conditionalFormatting sqref="D4:D34">
    <cfRule type="expression" dxfId="754" priority="3">
      <formula>$D4="休業"</formula>
    </cfRule>
    <cfRule type="expression" dxfId="753" priority="2">
      <formula>$D4="有給"</formula>
    </cfRule>
  </conditionalFormatting>
  <conditionalFormatting sqref="I4:I34">
    <cfRule type="expression" dxfId="752" priority="4">
      <formula>$I4="有給"</formula>
    </cfRule>
    <cfRule type="expression" dxfId="751" priority="5">
      <formula>$I4="休業"</formula>
    </cfRule>
  </conditionalFormatting>
  <conditionalFormatting sqref="N4:N34">
    <cfRule type="expression" dxfId="750" priority="6">
      <formula>$N4="有給"</formula>
    </cfRule>
    <cfRule type="expression" dxfId="749" priority="7">
      <formula>$N4="休業"</formula>
    </cfRule>
  </conditionalFormatting>
  <conditionalFormatting sqref="S4:S34">
    <cfRule type="expression" dxfId="748" priority="8">
      <formula>$S4="有給"</formula>
    </cfRule>
    <cfRule type="expression" dxfId="747" priority="9">
      <formula>$S4="休業"</formula>
    </cfRule>
  </conditionalFormatting>
  <conditionalFormatting sqref="X4:X34">
    <cfRule type="expression" dxfId="746" priority="10">
      <formula>$X4="有給"</formula>
    </cfRule>
    <cfRule type="expression" dxfId="745" priority="11">
      <formula>$X4="休業"</formula>
    </cfRule>
  </conditionalFormatting>
  <conditionalFormatting sqref="AC4:AC34">
    <cfRule type="expression" dxfId="744" priority="12">
      <formula>$AC4="有給"</formula>
    </cfRule>
    <cfRule type="expression" dxfId="743" priority="13">
      <formula>$AC4="休業"</formula>
    </cfRule>
  </conditionalFormatting>
  <conditionalFormatting sqref="AH4:AH34">
    <cfRule type="expression" dxfId="742" priority="14">
      <formula>$AH4="有給"</formula>
    </cfRule>
    <cfRule type="expression" dxfId="741" priority="15">
      <formula>$AH4="休業"</formula>
    </cfRule>
  </conditionalFormatting>
  <conditionalFormatting sqref="AM4:AM34">
    <cfRule type="expression" dxfId="740" priority="17">
      <formula>$AM4="休業"</formula>
    </cfRule>
    <cfRule type="expression" dxfId="739" priority="16">
      <formula>$AM4="有給"</formula>
    </cfRule>
  </conditionalFormatting>
  <conditionalFormatting sqref="AR4:AR34">
    <cfRule type="expression" dxfId="738" priority="19">
      <formula>$AR4="休業"</formula>
    </cfRule>
    <cfRule type="expression" dxfId="737" priority="18">
      <formula>$AR4="有給"</formula>
    </cfRule>
  </conditionalFormatting>
  <conditionalFormatting sqref="AW4:AW34">
    <cfRule type="expression" dxfId="736" priority="20">
      <formula>$AW4="有給"</formula>
    </cfRule>
    <cfRule type="expression" dxfId="735" priority="21">
      <formula>$AW4="休業"</formula>
    </cfRule>
  </conditionalFormatting>
  <conditionalFormatting sqref="BB4:BB34">
    <cfRule type="expression" dxfId="734" priority="22">
      <formula>$BB4="有給"</formula>
    </cfRule>
    <cfRule type="expression" dxfId="733" priority="23">
      <formula>$BB4="休業"</formula>
    </cfRule>
  </conditionalFormatting>
  <conditionalFormatting sqref="BG4:BG34">
    <cfRule type="expression" dxfId="732" priority="24">
      <formula>$BG4="有給"</formula>
    </cfRule>
    <cfRule type="expression" dxfId="731" priority="25">
      <formula>$BG4="休業"</formula>
    </cfRule>
  </conditionalFormatting>
  <conditionalFormatting sqref="BL4:BL34">
    <cfRule type="expression" dxfId="730" priority="26">
      <formula>$BL4="有給"</formula>
    </cfRule>
    <cfRule type="expression" dxfId="729" priority="27">
      <formula>$BL4="休業"</formula>
    </cfRule>
  </conditionalFormatting>
  <conditionalFormatting sqref="BQ4:BQ34">
    <cfRule type="expression" dxfId="728" priority="28">
      <formula>$BQ4="有給"</formula>
    </cfRule>
    <cfRule type="expression" dxfId="727" priority="29">
      <formula>$BQ4="休業"</formula>
    </cfRule>
  </conditionalFormatting>
  <conditionalFormatting sqref="BV4:BV34">
    <cfRule type="expression" dxfId="726" priority="30">
      <formula>$BV4="有給"</formula>
    </cfRule>
    <cfRule type="expression" dxfId="725" priority="31">
      <formula>$BV4="休業"</formula>
    </cfRule>
  </conditionalFormatting>
  <conditionalFormatting sqref="CA4:CA34">
    <cfRule type="expression" dxfId="724" priority="33">
      <formula>$CA4="休業"</formula>
    </cfRule>
    <cfRule type="expression" dxfId="723" priority="32">
      <formula>$CA4="有給"</formula>
    </cfRule>
  </conditionalFormatting>
  <conditionalFormatting sqref="CF4:CF34">
    <cfRule type="expression" dxfId="722" priority="34">
      <formula>$CF4="有給"</formula>
    </cfRule>
    <cfRule type="expression" dxfId="721" priority="35">
      <formula>$CF4="休業"</formula>
    </cfRule>
  </conditionalFormatting>
  <conditionalFormatting sqref="CK4:CK34">
    <cfRule type="expression" dxfId="720" priority="37">
      <formula>$CK4="休業"</formula>
    </cfRule>
    <cfRule type="expression" dxfId="719" priority="36">
      <formula>$CK4="有給"</formula>
    </cfRule>
  </conditionalFormatting>
  <conditionalFormatting sqref="CP4:CP34">
    <cfRule type="expression" dxfId="718" priority="38">
      <formula>$CP4="有給"</formula>
    </cfRule>
    <cfRule type="expression" dxfId="717" priority="39">
      <formula>$CP4="休業"</formula>
    </cfRule>
  </conditionalFormatting>
  <conditionalFormatting sqref="CU4:CU34">
    <cfRule type="expression" dxfId="716" priority="40">
      <formula>$CU4="有給"</formula>
    </cfRule>
    <cfRule type="expression" dxfId="715" priority="41">
      <formula>$CU4="休業"</formula>
    </cfRule>
  </conditionalFormatting>
  <conditionalFormatting sqref="CZ4:CZ34">
    <cfRule type="expression" dxfId="714" priority="42">
      <formula>$CZ4="有給"</formula>
    </cfRule>
    <cfRule type="expression" dxfId="713" priority="43">
      <formula>$CZ4="休業"</formula>
    </cfRule>
  </conditionalFormatting>
  <conditionalFormatting sqref="DE4:DE34">
    <cfRule type="expression" dxfId="712" priority="44">
      <formula>$DE4="有給"</formula>
    </cfRule>
    <cfRule type="expression" dxfId="711" priority="45">
      <formula>$DE4="休業"</formula>
    </cfRule>
  </conditionalFormatting>
  <conditionalFormatting sqref="DJ4:DJ34">
    <cfRule type="expression" dxfId="710" priority="46">
      <formula>$DJ4="有給"</formula>
    </cfRule>
    <cfRule type="expression" dxfId="709" priority="47">
      <formula>$DJ4="休業"</formula>
    </cfRule>
  </conditionalFormatting>
  <conditionalFormatting sqref="DO4:DO34">
    <cfRule type="expression" dxfId="708" priority="48">
      <formula>$DO4="有給"</formula>
    </cfRule>
    <cfRule type="expression" dxfId="707" priority="49">
      <formula>$DO4="休業"</formula>
    </cfRule>
  </conditionalFormatting>
  <conditionalFormatting sqref="DT4:DT34">
    <cfRule type="expression" dxfId="706" priority="51">
      <formula>$DT4="休業"</formula>
    </cfRule>
    <cfRule type="expression" dxfId="705" priority="50">
      <formula>$DT4="有給"</formula>
    </cfRule>
  </conditionalFormatting>
  <conditionalFormatting sqref="DY4:DY34">
    <cfRule type="expression" dxfId="704" priority="52">
      <formula>$DY4="有給"</formula>
    </cfRule>
    <cfRule type="expression" dxfId="703" priority="53">
      <formula>$DY4="休業"</formula>
    </cfRule>
  </conditionalFormatting>
  <conditionalFormatting sqref="ED4:ED34">
    <cfRule type="expression" dxfId="702" priority="54">
      <formula>$ED4="有給"</formula>
    </cfRule>
    <cfRule type="expression" dxfId="701" priority="55">
      <formula>$ED4="休業"</formula>
    </cfRule>
  </conditionalFormatting>
  <conditionalFormatting sqref="EI4:EI34">
    <cfRule type="expression" dxfId="700" priority="56">
      <formula>$EI4="有給"</formula>
    </cfRule>
    <cfRule type="expression" dxfId="699" priority="57">
      <formula>$EI4="休業"</formula>
    </cfRule>
  </conditionalFormatting>
  <conditionalFormatting sqref="EN4:EN34">
    <cfRule type="expression" dxfId="698" priority="58">
      <formula>$EN4="有給"</formula>
    </cfRule>
    <cfRule type="expression" dxfId="697" priority="59">
      <formula>$EN4="休業"</formula>
    </cfRule>
  </conditionalFormatting>
  <conditionalFormatting sqref="ES4:ES34">
    <cfRule type="expression" dxfId="696" priority="60">
      <formula>$ES4="有給"</formula>
    </cfRule>
    <cfRule type="expression" dxfId="695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4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W40"/>
  <sheetViews>
    <sheetView zoomScaleNormal="100" workbookViewId="0">
      <pane xSplit="3" ySplit="3" topLeftCell="AR16" activePane="bottomRight" state="frozen"/>
      <selection pane="topRight" activeCell="D1" sqref="D1"/>
      <selection pane="bottomLeft" activeCell="A4" sqref="A4"/>
      <selection pane="bottomRight" activeCell="BL29" sqref="BL29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3月分　出面表　"</f>
        <v xml:space="preserve"> 2026年 3月分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IFERROR(IF(従業員マスタ!$C$4="","",対象年度&amp;"年3月　"&amp;従業員マスタ!$C$4),"")</f>
        <v>2026年3月　建設　太郎</v>
      </c>
      <c r="E2" s="92"/>
      <c r="F2" s="92"/>
      <c r="G2" s="92"/>
      <c r="H2" s="92"/>
      <c r="I2" s="92" t="str">
        <f>IFERROR(IF(従業員マスタ!$C$5="","",対象年度&amp;"年3月　"&amp;従業員マスタ!$C$5),"")</f>
        <v>2026年3月　配管　次郎</v>
      </c>
      <c r="J2" s="92"/>
      <c r="K2" s="92"/>
      <c r="L2" s="92"/>
      <c r="M2" s="92"/>
      <c r="N2" s="92" t="str">
        <f>IFERROR(IF(従業員マスタ!$C$6="","",対象年度&amp;"年3月　"&amp;従業員マスタ!$C$6),"")</f>
        <v>2026年3月　設備　一郎</v>
      </c>
      <c r="O2" s="92"/>
      <c r="P2" s="92"/>
      <c r="Q2" s="92"/>
      <c r="R2" s="92"/>
      <c r="S2" s="92" t="str">
        <f>IFERROR(IF(従業員マスタ!$C$7="","",対象年度&amp;"年3月　"&amp;従業員マスタ!$C$7),"")</f>
        <v>2026年3月　土木　三郎</v>
      </c>
      <c r="T2" s="92"/>
      <c r="U2" s="92"/>
      <c r="V2" s="92"/>
      <c r="W2" s="92"/>
      <c r="X2" s="92" t="str">
        <f>IFERROR(IF(従業員マスタ!$C$8="","",対象年度&amp;"年3月　"&amp;従業員マスタ!$C$8),"")</f>
        <v>2026年3月　塗装　史郎</v>
      </c>
      <c r="Y2" s="92"/>
      <c r="Z2" s="92"/>
      <c r="AA2" s="92"/>
      <c r="AB2" s="92"/>
      <c r="AC2" s="92" t="str">
        <f>IFERROR(IF(従業員マスタ!$C$9="","",対象年度&amp;"年3月　"&amp;従業員マスタ!$C$9),"")</f>
        <v>2026年3月　電工　五郎</v>
      </c>
      <c r="AD2" s="92"/>
      <c r="AE2" s="92"/>
      <c r="AF2" s="92"/>
      <c r="AG2" s="92"/>
      <c r="AH2" s="92" t="str">
        <f>IFERROR(IF(従業員マスタ!$C$10="","",対象年度&amp;"年3月　"&amp;従業員マスタ!$C$10),"")</f>
        <v>2026年3月　現場　花子</v>
      </c>
      <c r="AI2" s="92"/>
      <c r="AJ2" s="92"/>
      <c r="AK2" s="92"/>
      <c r="AL2" s="92"/>
      <c r="AM2" s="92" t="str">
        <f>IFERROR(IF(従業員マスタ!$C$11="","",対象年度&amp;"年3月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IFERROR(IF(従業員マスタ!$C$12="","",対象年度&amp;"年3月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IFERROR(IF(従業員マスタ!$C$13="","",対象年度&amp;"年3月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IFERROR(IF(従業員マスタ!$C$14="","",対象年度&amp;"年3月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IFERROR(IF(従業員マスタ!$C$15="","",対象年度&amp;"年3月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IFERROR(IF(従業員マスタ!$C$16="","",対象年度&amp;"年3月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IFERROR(IF(従業員マスタ!$C$17="","",対象年度&amp;"年3月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IFERROR(IF(従業員マスタ!$C$18="","",対象年度&amp;"年3月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IFERROR(IF(従業員マスタ!$C$19="","",対象年度&amp;"年3月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IFERROR(IF(従業員マスタ!$C$20="","",対象年度&amp;"年3月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IFERROR(IF(従業員マスタ!$C$21="","",対象年度&amp;"年3月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IFERROR(IF(従業員マスタ!$C$22="","",対象年度&amp;"年3月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IFERROR(IF(従業員マスタ!$C$23="","",対象年度&amp;"年3月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IFERROR(IF(従業員マスタ!$C$24="","",対象年度&amp;"年3月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IFERROR(IF(従業員マスタ!$C$25="","",対象年度&amp;"年3月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IFERROR(IF(従業員マスタ!$C$26="","",対象年度&amp;"年3月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IFERROR(IF(従業員マスタ!$C$27="","",対象年度&amp;"年3月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IFERROR(IF(従業員マスタ!$C$28="","",対象年度&amp;"年3月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IFERROR(IF(従業員マスタ!$C$29="","",対象年度&amp;"年3月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IFERROR(IF(従業員マスタ!$C$30="","",対象年度&amp;"年3月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IFERROR(IF(従業員マスタ!$C$31="","",対象年度&amp;"年3月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IFERROR(IF(従業員マスタ!$C$32="","",対象年度&amp;"年3月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IFERROR(IF(従業員マスタ!$C$33="","",対象年度&amp;"年3月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IF(DAY(DATE(対象年度,3,1))&lt;&gt;1,"",1)</f>
        <v>1</v>
      </c>
      <c r="B4" s="26" t="str">
        <f>IF(DAY(DATE(対象年度,3,1))&lt;&gt;1,"",CHOOSE(WEEKDAY(DATE(対象年度,3,1),2),"月","火","水","木","金","土","日"))</f>
        <v>日</v>
      </c>
      <c r="C4" s="26" t="str">
        <f>IF(DAY(DATE(対象年度,3,1))&lt;&gt;1,"",IF(ISNUMBER(MATCH(DATE(対象年度,3,1),祝日リスト,0)),"祝",""))</f>
        <v/>
      </c>
      <c r="D4" s="27"/>
      <c r="E4" s="28"/>
      <c r="F4" s="29"/>
      <c r="G4" s="30"/>
      <c r="H4" s="31"/>
      <c r="I4" s="27"/>
      <c r="J4" s="28"/>
      <c r="K4" s="29"/>
      <c r="L4" s="30"/>
      <c r="M4" s="31"/>
      <c r="N4" s="27"/>
      <c r="O4" s="28"/>
      <c r="P4" s="29"/>
      <c r="Q4" s="30"/>
      <c r="R4" s="31"/>
      <c r="S4" s="27"/>
      <c r="T4" s="28"/>
      <c r="U4" s="29"/>
      <c r="V4" s="30"/>
      <c r="W4" s="31"/>
      <c r="X4" s="27"/>
      <c r="Y4" s="28"/>
      <c r="Z4" s="29"/>
      <c r="AA4" s="30"/>
      <c r="AB4" s="31"/>
      <c r="AC4" s="27"/>
      <c r="AD4" s="28"/>
      <c r="AE4" s="29" t="str">
        <f t="shared" ref="AE4:AE34" si="0">IF(AC4="","",IF(ISNUMBER(SEARCH("夜勤",AC4)),"",IF(A4="","","○")))</f>
        <v/>
      </c>
      <c r="AF4" s="30" t="str">
        <f t="shared" ref="AF4:AF34" si="1">IF(A4="","",IF(OR(AND(AD4&lt;&gt;"",NOT(OR(AD4="有給",AD4="休業"))),ISNUMBER(SEARCH("夜勤",AC4))),"○",""))</f>
        <v/>
      </c>
      <c r="AG4" s="31"/>
      <c r="AH4" s="27"/>
      <c r="AI4" s="28"/>
      <c r="AJ4" s="29" t="str">
        <f t="shared" ref="AJ4:AJ34" si="2">IF(AH4="","",IF(ISNUMBER(SEARCH("夜勤",AH4)),"",IF(A4="","","○")))</f>
        <v/>
      </c>
      <c r="AK4" s="30" t="str">
        <f t="shared" ref="AK4:AK34" si="3">IF(A4="","",IF(OR(AND(AI4&lt;&gt;"",NOT(OR(AI4="有給",AI4="休業"))),ISNUMBER(SEARCH("夜勤",AH4))),"○",""))</f>
        <v/>
      </c>
      <c r="AL4" s="31"/>
      <c r="AM4" s="27"/>
      <c r="AN4" s="28"/>
      <c r="AO4" s="29" t="str">
        <f t="shared" ref="AO4:AO34" si="4">IF(AM4="","",IF(ISNUMBER(SEARCH("夜勤",AM4)),"",IF(A4="","","○")))</f>
        <v/>
      </c>
      <c r="AP4" s="30" t="str">
        <f t="shared" ref="AP4:AP34" si="5">IF(A4="","",IF(OR(AND(AN4&lt;&gt;"",NOT(OR(AN4="有給",AN4="休業"))),ISNUMBER(SEARCH("夜勤",AM4))),"○",""))</f>
        <v/>
      </c>
      <c r="AQ4" s="31"/>
      <c r="AR4" s="27"/>
      <c r="AS4" s="28"/>
      <c r="AT4" s="29" t="str">
        <f t="shared" ref="AT4:AT34" si="6">IF(AR4="","",IF(ISNUMBER(SEARCH("夜勤",AR4)),"",IF(A4="","","○")))</f>
        <v/>
      </c>
      <c r="AU4" s="30" t="str">
        <f t="shared" ref="AU4:AU34" si="7">IF(A4="","",IF(OR(AND(AS4&lt;&gt;"",NOT(OR(AS4="有給",AS4="休業"))),ISNUMBER(SEARCH("夜勤",AR4))),"○",""))</f>
        <v/>
      </c>
      <c r="AV4" s="31"/>
      <c r="AW4" s="27"/>
      <c r="AX4" s="28"/>
      <c r="AY4" s="29" t="str">
        <f t="shared" ref="AY4:AY34" si="8">IF(AW4="","",IF(ISNUMBER(SEARCH("夜勤",AW4)),"",IF(A4="","","○")))</f>
        <v/>
      </c>
      <c r="AZ4" s="30" t="str">
        <f t="shared" ref="AZ4:AZ34" si="9">IF(A4="","",IF(OR(AND(AX4&lt;&gt;"",NOT(OR(AX4="有給",AX4="休業"))),ISNUMBER(SEARCH("夜勤",AW4))),"○",""))</f>
        <v/>
      </c>
      <c r="BA4" s="31"/>
      <c r="BB4" s="27"/>
      <c r="BC4" s="28"/>
      <c r="BD4" s="29" t="str">
        <f t="shared" ref="BD4:BD34" si="10">IF(BB4="","",IF(ISNUMBER(SEARCH("夜勤",BB4)),"",IF(A4="","","○")))</f>
        <v/>
      </c>
      <c r="BE4" s="30" t="str">
        <f t="shared" ref="BE4:BE34" si="11">IF(A4="","",IF(OR(AND(BC4&lt;&gt;"",NOT(OR(BC4="有給",BC4="休業"))),ISNUMBER(SEARCH("夜勤",BB4))),"○",""))</f>
        <v/>
      </c>
      <c r="BF4" s="31"/>
      <c r="BG4" s="27"/>
      <c r="BH4" s="28"/>
      <c r="BI4" s="29" t="str">
        <f t="shared" ref="BI4:BI34" si="12">IF(BG4="","",IF(ISNUMBER(SEARCH("夜勤",BG4)),"",IF(A4="","","○")))</f>
        <v/>
      </c>
      <c r="BJ4" s="30" t="str">
        <f t="shared" ref="BJ4:BJ34" si="1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14">IF(BL4="","",IF(ISNUMBER(SEARCH("夜勤",BL4)),"",IF(A4="","","○")))</f>
        <v/>
      </c>
      <c r="BO4" s="30" t="str">
        <f t="shared" ref="BO4:BO34" si="1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16">IF(BQ4="","",IF(ISNUMBER(SEARCH("夜勤",BQ4)),"",IF(A4="","","○")))</f>
        <v/>
      </c>
      <c r="BT4" s="30" t="str">
        <f t="shared" ref="BT4:BT34" si="1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18">IF(BV4="","",IF(ISNUMBER(SEARCH("夜勤",BV4)),"",IF(A4="","","○")))</f>
        <v/>
      </c>
      <c r="BY4" s="30" t="str">
        <f t="shared" ref="BY4:BY34" si="1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20">IF(CA4="","",IF(ISNUMBER(SEARCH("夜勤",CA4)),"",IF(A4="","","○")))</f>
        <v/>
      </c>
      <c r="CD4" s="30" t="str">
        <f t="shared" ref="CD4:CD34" si="2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22">IF(CF4="","",IF(ISNUMBER(SEARCH("夜勤",CF4)),"",IF(A4="","","○")))</f>
        <v/>
      </c>
      <c r="CI4" s="30" t="str">
        <f t="shared" ref="CI4:CI34" si="2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24">IF(CK4="","",IF(ISNUMBER(SEARCH("夜勤",CK4)),"",IF(A4="","","○")))</f>
        <v/>
      </c>
      <c r="CN4" s="30" t="str">
        <f t="shared" ref="CN4:CN34" si="2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26">IF(CP4="","",IF(ISNUMBER(SEARCH("夜勤",CP4)),"",IF(A4="","","○")))</f>
        <v/>
      </c>
      <c r="CS4" s="30" t="str">
        <f t="shared" ref="CS4:CS34" si="2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28">IF(CU4="","",IF(ISNUMBER(SEARCH("夜勤",CU4)),"",IF(A4="","","○")))</f>
        <v/>
      </c>
      <c r="CX4" s="30" t="str">
        <f t="shared" ref="CX4:CX34" si="2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30">IF(CZ4="","",IF(ISNUMBER(SEARCH("夜勤",CZ4)),"",IF(A4="","","○")))</f>
        <v/>
      </c>
      <c r="DC4" s="30" t="str">
        <f t="shared" ref="DC4:DC34" si="3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32">IF(DE4="","",IF(ISNUMBER(SEARCH("夜勤",DE4)),"",IF(A4="","","○")))</f>
        <v/>
      </c>
      <c r="DH4" s="30" t="str">
        <f t="shared" ref="DH4:DH34" si="3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34">IF(DJ4="","",IF(ISNUMBER(SEARCH("夜勤",DJ4)),"",IF(A4="","","○")))</f>
        <v/>
      </c>
      <c r="DM4" s="30" t="str">
        <f t="shared" ref="DM4:DM34" si="3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36">IF(DO4="","",IF(ISNUMBER(SEARCH("夜勤",DO4)),"",IF(A4="","","○")))</f>
        <v/>
      </c>
      <c r="DR4" s="30" t="str">
        <f t="shared" ref="DR4:DR34" si="3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38">IF(DT4="","",IF(ISNUMBER(SEARCH("夜勤",DT4)),"",IF(A4="","","○")))</f>
        <v/>
      </c>
      <c r="DW4" s="30" t="str">
        <f t="shared" ref="DW4:DW34" si="3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40">IF(DY4="","",IF(ISNUMBER(SEARCH("夜勤",DY4)),"",IF(A4="","","○")))</f>
        <v/>
      </c>
      <c r="EB4" s="30" t="str">
        <f t="shared" ref="EB4:EB34" si="4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42">IF(ED4="","",IF(ISNUMBER(SEARCH("夜勤",ED4)),"",IF(A4="","","○")))</f>
        <v/>
      </c>
      <c r="EG4" s="30" t="str">
        <f t="shared" ref="EG4:EG34" si="4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44">IF(EI4="","",IF(ISNUMBER(SEARCH("夜勤",EI4)),"",IF(A4="","","○")))</f>
        <v/>
      </c>
      <c r="EL4" s="30" t="str">
        <f t="shared" ref="EL4:EL34" si="4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46">IF(EN4="","",IF(ISNUMBER(SEARCH("夜勤",EN4)),"",IF(A4="","","○")))</f>
        <v/>
      </c>
      <c r="EQ4" s="30" t="str">
        <f t="shared" ref="EQ4:EQ34" si="4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48">IF(ES4="","",IF(ISNUMBER(SEARCH("夜勤",ES4)),"",IF(A4="","","○")))</f>
        <v/>
      </c>
      <c r="EV4" s="30" t="str">
        <f t="shared" ref="EV4:EV34" si="4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IF(DAY(DATE(対象年度,3,2))&lt;&gt;2,"",2)</f>
        <v>2</v>
      </c>
      <c r="B5" s="32" t="str">
        <f>IF(DAY(DATE(対象年度,3,2))&lt;&gt;2,"",CHOOSE(WEEKDAY(DATE(対象年度,3,2),2),"月","火","水","木","金","土","日"))</f>
        <v>月</v>
      </c>
      <c r="C5" s="32" t="str">
        <f>IF(DAY(DATE(対象年度,3,2))&lt;&gt;2,"",IF(ISNUMBER(MATCH(DATE(対象年度,3,2),祝日リスト,0)),"祝",""))</f>
        <v/>
      </c>
      <c r="D5" s="38"/>
      <c r="E5" s="34"/>
      <c r="F5" s="35"/>
      <c r="G5" s="36"/>
      <c r="H5" s="37"/>
      <c r="I5" s="38"/>
      <c r="J5" s="34"/>
      <c r="K5" s="35"/>
      <c r="L5" s="36"/>
      <c r="M5" s="37"/>
      <c r="N5" s="38"/>
      <c r="O5" s="34"/>
      <c r="P5" s="35"/>
      <c r="Q5" s="36"/>
      <c r="R5" s="37"/>
      <c r="S5" s="38"/>
      <c r="T5" s="34"/>
      <c r="U5" s="35"/>
      <c r="V5" s="36"/>
      <c r="W5" s="37"/>
      <c r="X5" s="38"/>
      <c r="Y5" s="34"/>
      <c r="Z5" s="35"/>
      <c r="AA5" s="36"/>
      <c r="AB5" s="37"/>
      <c r="AC5" s="38"/>
      <c r="AD5" s="34"/>
      <c r="AE5" s="35" t="str">
        <f t="shared" si="0"/>
        <v/>
      </c>
      <c r="AF5" s="36" t="str">
        <f t="shared" si="1"/>
        <v/>
      </c>
      <c r="AG5" s="37"/>
      <c r="AH5" s="38"/>
      <c r="AI5" s="34"/>
      <c r="AJ5" s="35"/>
      <c r="AK5" s="36"/>
      <c r="AL5" s="37"/>
      <c r="AM5" s="38"/>
      <c r="AN5" s="34"/>
      <c r="AO5" s="35"/>
      <c r="AP5" s="36"/>
      <c r="AQ5" s="37"/>
      <c r="AR5" s="38"/>
      <c r="AS5" s="34"/>
      <c r="AT5" s="35"/>
      <c r="AU5" s="36"/>
      <c r="AV5" s="37"/>
      <c r="AW5" s="33"/>
      <c r="AX5" s="34"/>
      <c r="AY5" s="35"/>
      <c r="AZ5" s="36"/>
      <c r="BA5" s="37"/>
      <c r="BB5" s="38"/>
      <c r="BC5" s="34"/>
      <c r="BD5" s="35"/>
      <c r="BE5" s="36" t="str">
        <f t="shared" si="11"/>
        <v/>
      </c>
      <c r="BF5" s="37"/>
      <c r="BG5" s="38"/>
      <c r="BH5" s="34"/>
      <c r="BI5" s="35" t="str">
        <f t="shared" si="12"/>
        <v/>
      </c>
      <c r="BJ5" s="36" t="str">
        <f t="shared" si="13"/>
        <v/>
      </c>
      <c r="BK5" s="37"/>
      <c r="BL5" s="33"/>
      <c r="BM5" s="34"/>
      <c r="BN5" s="35" t="str">
        <f t="shared" si="14"/>
        <v/>
      </c>
      <c r="BO5" s="36" t="str">
        <f t="shared" si="15"/>
        <v/>
      </c>
      <c r="BP5" s="37"/>
      <c r="BQ5" s="33"/>
      <c r="BR5" s="34"/>
      <c r="BS5" s="35" t="str">
        <f t="shared" si="16"/>
        <v/>
      </c>
      <c r="BT5" s="36" t="str">
        <f t="shared" si="17"/>
        <v/>
      </c>
      <c r="BU5" s="37"/>
      <c r="BV5" s="33"/>
      <c r="BW5" s="34"/>
      <c r="BX5" s="35" t="str">
        <f t="shared" si="18"/>
        <v/>
      </c>
      <c r="BY5" s="36" t="str">
        <f t="shared" si="19"/>
        <v/>
      </c>
      <c r="BZ5" s="37"/>
      <c r="CA5" s="33"/>
      <c r="CB5" s="34"/>
      <c r="CC5" s="35" t="str">
        <f t="shared" si="20"/>
        <v/>
      </c>
      <c r="CD5" s="36" t="str">
        <f t="shared" si="21"/>
        <v/>
      </c>
      <c r="CE5" s="37"/>
      <c r="CF5" s="33"/>
      <c r="CG5" s="34"/>
      <c r="CH5" s="35" t="str">
        <f t="shared" si="22"/>
        <v/>
      </c>
      <c r="CI5" s="36" t="str">
        <f t="shared" si="23"/>
        <v/>
      </c>
      <c r="CJ5" s="37"/>
      <c r="CK5" s="33"/>
      <c r="CL5" s="34"/>
      <c r="CM5" s="35" t="str">
        <f t="shared" si="24"/>
        <v/>
      </c>
      <c r="CN5" s="36" t="str">
        <f t="shared" si="25"/>
        <v/>
      </c>
      <c r="CO5" s="37"/>
      <c r="CP5" s="33"/>
      <c r="CQ5" s="34"/>
      <c r="CR5" s="35" t="str">
        <f t="shared" si="26"/>
        <v/>
      </c>
      <c r="CS5" s="36" t="str">
        <f t="shared" si="27"/>
        <v/>
      </c>
      <c r="CT5" s="37"/>
      <c r="CU5" s="33"/>
      <c r="CV5" s="34"/>
      <c r="CW5" s="35" t="str">
        <f t="shared" si="28"/>
        <v/>
      </c>
      <c r="CX5" s="36" t="str">
        <f t="shared" si="29"/>
        <v/>
      </c>
      <c r="CY5" s="37"/>
      <c r="CZ5" s="33"/>
      <c r="DA5" s="34"/>
      <c r="DB5" s="35" t="str">
        <f t="shared" si="30"/>
        <v/>
      </c>
      <c r="DC5" s="36" t="str">
        <f t="shared" si="31"/>
        <v/>
      </c>
      <c r="DD5" s="37"/>
      <c r="DE5" s="33"/>
      <c r="DF5" s="34"/>
      <c r="DG5" s="35" t="str">
        <f t="shared" si="32"/>
        <v/>
      </c>
      <c r="DH5" s="36" t="str">
        <f t="shared" si="33"/>
        <v/>
      </c>
      <c r="DI5" s="37"/>
      <c r="DJ5" s="33"/>
      <c r="DK5" s="34"/>
      <c r="DL5" s="35" t="str">
        <f t="shared" si="34"/>
        <v/>
      </c>
      <c r="DM5" s="36" t="str">
        <f t="shared" si="35"/>
        <v/>
      </c>
      <c r="DN5" s="37"/>
      <c r="DO5" s="33"/>
      <c r="DP5" s="34"/>
      <c r="DQ5" s="35" t="str">
        <f t="shared" si="36"/>
        <v/>
      </c>
      <c r="DR5" s="36" t="str">
        <f t="shared" si="37"/>
        <v/>
      </c>
      <c r="DS5" s="37"/>
      <c r="DT5" s="33"/>
      <c r="DU5" s="34"/>
      <c r="DV5" s="35" t="str">
        <f t="shared" si="38"/>
        <v/>
      </c>
      <c r="DW5" s="36" t="str">
        <f t="shared" si="39"/>
        <v/>
      </c>
      <c r="DX5" s="37"/>
      <c r="DY5" s="33"/>
      <c r="DZ5" s="34"/>
      <c r="EA5" s="35" t="str">
        <f t="shared" si="40"/>
        <v/>
      </c>
      <c r="EB5" s="36" t="str">
        <f t="shared" si="41"/>
        <v/>
      </c>
      <c r="EC5" s="37"/>
      <c r="ED5" s="33"/>
      <c r="EE5" s="34"/>
      <c r="EF5" s="35" t="str">
        <f t="shared" si="42"/>
        <v/>
      </c>
      <c r="EG5" s="36" t="str">
        <f t="shared" si="43"/>
        <v/>
      </c>
      <c r="EH5" s="37"/>
      <c r="EI5" s="33"/>
      <c r="EJ5" s="34"/>
      <c r="EK5" s="35" t="str">
        <f t="shared" si="44"/>
        <v/>
      </c>
      <c r="EL5" s="36" t="str">
        <f t="shared" si="45"/>
        <v/>
      </c>
      <c r="EM5" s="37"/>
      <c r="EN5" s="33"/>
      <c r="EO5" s="34"/>
      <c r="EP5" s="35" t="str">
        <f t="shared" si="46"/>
        <v/>
      </c>
      <c r="EQ5" s="36" t="str">
        <f t="shared" si="47"/>
        <v/>
      </c>
      <c r="ER5" s="37"/>
      <c r="ES5" s="33"/>
      <c r="ET5" s="34"/>
      <c r="EU5" s="35" t="str">
        <f t="shared" si="48"/>
        <v/>
      </c>
      <c r="EV5" s="36" t="str">
        <f t="shared" si="49"/>
        <v/>
      </c>
      <c r="EW5" s="37"/>
    </row>
    <row r="6" spans="1:153" ht="19.5" customHeight="1">
      <c r="A6" s="32">
        <f>IF(DAY(DATE(対象年度,3,3))&lt;&gt;3,"",3)</f>
        <v>3</v>
      </c>
      <c r="B6" s="32" t="str">
        <f>IF(DAY(DATE(対象年度,3,3))&lt;&gt;3,"",CHOOSE(WEEKDAY(DATE(対象年度,3,3),2),"月","火","水","木","金","土","日"))</f>
        <v>火</v>
      </c>
      <c r="C6" s="32" t="str">
        <f>IF(DAY(DATE(対象年度,3,3))&lt;&gt;3,"",IF(ISNUMBER(MATCH(DATE(対象年度,3,3),祝日リスト,0)),"祝",""))</f>
        <v/>
      </c>
      <c r="D6" s="38"/>
      <c r="E6" s="34"/>
      <c r="F6" s="35"/>
      <c r="G6" s="36"/>
      <c r="H6" s="37"/>
      <c r="I6" s="33"/>
      <c r="J6" s="46"/>
      <c r="K6" s="35"/>
      <c r="L6" s="36"/>
      <c r="M6" s="37"/>
      <c r="N6" s="38"/>
      <c r="O6" s="34"/>
      <c r="P6" s="35"/>
      <c r="Q6" s="36"/>
      <c r="R6" s="37"/>
      <c r="S6" s="38"/>
      <c r="T6" s="34"/>
      <c r="U6" s="35"/>
      <c r="V6" s="36"/>
      <c r="W6" s="37"/>
      <c r="X6" s="38"/>
      <c r="Y6" s="34"/>
      <c r="Z6" s="35"/>
      <c r="AA6" s="36"/>
      <c r="AB6" s="37"/>
      <c r="AC6" s="33"/>
      <c r="AD6" s="46"/>
      <c r="AE6" s="35" t="str">
        <f t="shared" si="0"/>
        <v/>
      </c>
      <c r="AF6" s="36" t="str">
        <f t="shared" si="1"/>
        <v/>
      </c>
      <c r="AG6" s="37"/>
      <c r="AH6" s="33"/>
      <c r="AI6" s="34"/>
      <c r="AJ6" s="35"/>
      <c r="AK6" s="36"/>
      <c r="AL6" s="37"/>
      <c r="AM6" s="33"/>
      <c r="AN6" s="46"/>
      <c r="AO6" s="35"/>
      <c r="AP6" s="36"/>
      <c r="AQ6" s="37"/>
      <c r="AR6" s="38"/>
      <c r="AS6" s="34"/>
      <c r="AT6" s="35"/>
      <c r="AU6" s="36"/>
      <c r="AV6" s="37"/>
      <c r="AW6" s="38"/>
      <c r="AX6" s="34"/>
      <c r="AY6" s="35"/>
      <c r="AZ6" s="36"/>
      <c r="BA6" s="37"/>
      <c r="BB6" s="38"/>
      <c r="BC6" s="34"/>
      <c r="BD6" s="35"/>
      <c r="BE6" s="36" t="str">
        <f t="shared" si="11"/>
        <v/>
      </c>
      <c r="BF6" s="37"/>
      <c r="BG6" s="38"/>
      <c r="BH6" s="34"/>
      <c r="BI6" s="35" t="str">
        <f t="shared" si="12"/>
        <v/>
      </c>
      <c r="BJ6" s="36" t="str">
        <f t="shared" si="13"/>
        <v/>
      </c>
      <c r="BK6" s="37"/>
      <c r="BL6" s="33"/>
      <c r="BM6" s="34"/>
      <c r="BN6" s="35" t="str">
        <f t="shared" si="14"/>
        <v/>
      </c>
      <c r="BO6" s="36" t="str">
        <f t="shared" si="15"/>
        <v/>
      </c>
      <c r="BP6" s="37"/>
      <c r="BQ6" s="33"/>
      <c r="BR6" s="34"/>
      <c r="BS6" s="35" t="str">
        <f t="shared" si="16"/>
        <v/>
      </c>
      <c r="BT6" s="36" t="str">
        <f t="shared" si="17"/>
        <v/>
      </c>
      <c r="BU6" s="37"/>
      <c r="BV6" s="33"/>
      <c r="BW6" s="34"/>
      <c r="BX6" s="35" t="str">
        <f t="shared" si="18"/>
        <v/>
      </c>
      <c r="BY6" s="36" t="str">
        <f t="shared" si="19"/>
        <v/>
      </c>
      <c r="BZ6" s="37"/>
      <c r="CA6" s="33"/>
      <c r="CB6" s="34"/>
      <c r="CC6" s="35" t="str">
        <f t="shared" si="20"/>
        <v/>
      </c>
      <c r="CD6" s="36" t="str">
        <f t="shared" si="21"/>
        <v/>
      </c>
      <c r="CE6" s="37"/>
      <c r="CF6" s="33"/>
      <c r="CG6" s="34"/>
      <c r="CH6" s="35" t="str">
        <f t="shared" si="22"/>
        <v/>
      </c>
      <c r="CI6" s="36" t="str">
        <f t="shared" si="23"/>
        <v/>
      </c>
      <c r="CJ6" s="37"/>
      <c r="CK6" s="33"/>
      <c r="CL6" s="34"/>
      <c r="CM6" s="35" t="str">
        <f t="shared" si="24"/>
        <v/>
      </c>
      <c r="CN6" s="36" t="str">
        <f t="shared" si="25"/>
        <v/>
      </c>
      <c r="CO6" s="37"/>
      <c r="CP6" s="33"/>
      <c r="CQ6" s="34"/>
      <c r="CR6" s="35" t="str">
        <f t="shared" si="26"/>
        <v/>
      </c>
      <c r="CS6" s="36" t="str">
        <f t="shared" si="27"/>
        <v/>
      </c>
      <c r="CT6" s="37"/>
      <c r="CU6" s="33"/>
      <c r="CV6" s="34"/>
      <c r="CW6" s="35" t="str">
        <f t="shared" si="28"/>
        <v/>
      </c>
      <c r="CX6" s="36" t="str">
        <f t="shared" si="29"/>
        <v/>
      </c>
      <c r="CY6" s="37"/>
      <c r="CZ6" s="33"/>
      <c r="DA6" s="34"/>
      <c r="DB6" s="35" t="str">
        <f t="shared" si="30"/>
        <v/>
      </c>
      <c r="DC6" s="36" t="str">
        <f t="shared" si="31"/>
        <v/>
      </c>
      <c r="DD6" s="37"/>
      <c r="DE6" s="33"/>
      <c r="DF6" s="34"/>
      <c r="DG6" s="35" t="str">
        <f t="shared" si="32"/>
        <v/>
      </c>
      <c r="DH6" s="36" t="str">
        <f t="shared" si="33"/>
        <v/>
      </c>
      <c r="DI6" s="37"/>
      <c r="DJ6" s="33"/>
      <c r="DK6" s="34"/>
      <c r="DL6" s="35" t="str">
        <f t="shared" si="34"/>
        <v/>
      </c>
      <c r="DM6" s="36" t="str">
        <f t="shared" si="35"/>
        <v/>
      </c>
      <c r="DN6" s="37"/>
      <c r="DO6" s="33"/>
      <c r="DP6" s="34"/>
      <c r="DQ6" s="35" t="str">
        <f t="shared" si="36"/>
        <v/>
      </c>
      <c r="DR6" s="36" t="str">
        <f t="shared" si="37"/>
        <v/>
      </c>
      <c r="DS6" s="37"/>
      <c r="DT6" s="33"/>
      <c r="DU6" s="34"/>
      <c r="DV6" s="35" t="str">
        <f t="shared" si="38"/>
        <v/>
      </c>
      <c r="DW6" s="36" t="str">
        <f t="shared" si="39"/>
        <v/>
      </c>
      <c r="DX6" s="37"/>
      <c r="DY6" s="33"/>
      <c r="DZ6" s="34"/>
      <c r="EA6" s="35" t="str">
        <f t="shared" si="40"/>
        <v/>
      </c>
      <c r="EB6" s="36" t="str">
        <f t="shared" si="41"/>
        <v/>
      </c>
      <c r="EC6" s="37"/>
      <c r="ED6" s="33"/>
      <c r="EE6" s="34"/>
      <c r="EF6" s="35" t="str">
        <f t="shared" si="42"/>
        <v/>
      </c>
      <c r="EG6" s="36" t="str">
        <f t="shared" si="43"/>
        <v/>
      </c>
      <c r="EH6" s="37"/>
      <c r="EI6" s="33"/>
      <c r="EJ6" s="34"/>
      <c r="EK6" s="35" t="str">
        <f t="shared" si="44"/>
        <v/>
      </c>
      <c r="EL6" s="36" t="str">
        <f t="shared" si="45"/>
        <v/>
      </c>
      <c r="EM6" s="37"/>
      <c r="EN6" s="33"/>
      <c r="EO6" s="34"/>
      <c r="EP6" s="35" t="str">
        <f t="shared" si="46"/>
        <v/>
      </c>
      <c r="EQ6" s="36" t="str">
        <f t="shared" si="47"/>
        <v/>
      </c>
      <c r="ER6" s="37"/>
      <c r="ES6" s="33"/>
      <c r="ET6" s="34"/>
      <c r="EU6" s="35" t="str">
        <f t="shared" si="48"/>
        <v/>
      </c>
      <c r="EV6" s="36" t="str">
        <f t="shared" si="49"/>
        <v/>
      </c>
      <c r="EW6" s="37"/>
    </row>
    <row r="7" spans="1:153" ht="19.5" customHeight="1">
      <c r="A7" s="32">
        <f>IF(DAY(DATE(対象年度,3,4))&lt;&gt;4,"",4)</f>
        <v>4</v>
      </c>
      <c r="B7" s="32" t="str">
        <f>IF(DAY(DATE(対象年度,3,4))&lt;&gt;4,"",CHOOSE(WEEKDAY(DATE(対象年度,3,4),2),"月","火","水","木","金","土","日"))</f>
        <v>水</v>
      </c>
      <c r="C7" s="32" t="str">
        <f>IF(DAY(DATE(対象年度,3,4))&lt;&gt;4,"",IF(ISNUMBER(MATCH(DATE(対象年度,3,4),祝日リスト,0)),"祝",""))</f>
        <v/>
      </c>
      <c r="D7" s="38"/>
      <c r="E7" s="34"/>
      <c r="F7" s="35"/>
      <c r="G7" s="36"/>
      <c r="H7" s="37"/>
      <c r="I7" s="33"/>
      <c r="J7" s="46"/>
      <c r="K7" s="35"/>
      <c r="L7" s="36"/>
      <c r="M7" s="37"/>
      <c r="N7" s="38"/>
      <c r="O7" s="34"/>
      <c r="P7" s="35"/>
      <c r="Q7" s="36"/>
      <c r="R7" s="37"/>
      <c r="S7" s="38"/>
      <c r="T7" s="34"/>
      <c r="U7" s="35"/>
      <c r="V7" s="36"/>
      <c r="W7" s="37"/>
      <c r="X7" s="38"/>
      <c r="Y7" s="34"/>
      <c r="Z7" s="35"/>
      <c r="AA7" s="36"/>
      <c r="AB7" s="37"/>
      <c r="AC7" s="33"/>
      <c r="AD7" s="34"/>
      <c r="AE7" s="35" t="str">
        <f t="shared" si="0"/>
        <v/>
      </c>
      <c r="AF7" s="36" t="str">
        <f t="shared" si="1"/>
        <v/>
      </c>
      <c r="AG7" s="37"/>
      <c r="AH7" s="38"/>
      <c r="AI7" s="34"/>
      <c r="AJ7" s="35"/>
      <c r="AK7" s="36"/>
      <c r="AL7" s="37"/>
      <c r="AM7" s="33"/>
      <c r="AN7" s="34"/>
      <c r="AO7" s="35"/>
      <c r="AP7" s="36"/>
      <c r="AQ7" s="37"/>
      <c r="AR7" s="38"/>
      <c r="AS7" s="34"/>
      <c r="AT7" s="35"/>
      <c r="AU7" s="36"/>
      <c r="AV7" s="37"/>
      <c r="AW7" s="38"/>
      <c r="AX7" s="34"/>
      <c r="AY7" s="35"/>
      <c r="AZ7" s="36"/>
      <c r="BA7" s="37"/>
      <c r="BB7" s="38"/>
      <c r="BC7" s="34"/>
      <c r="BD7" s="35"/>
      <c r="BE7" s="36" t="str">
        <f t="shared" si="11"/>
        <v/>
      </c>
      <c r="BF7" s="37"/>
      <c r="BG7" s="38"/>
      <c r="BH7" s="34"/>
      <c r="BI7" s="35" t="str">
        <f t="shared" si="12"/>
        <v/>
      </c>
      <c r="BJ7" s="36" t="str">
        <f t="shared" si="13"/>
        <v/>
      </c>
      <c r="BK7" s="37"/>
      <c r="BL7" s="33"/>
      <c r="BM7" s="34"/>
      <c r="BN7" s="35" t="str">
        <f t="shared" si="14"/>
        <v/>
      </c>
      <c r="BO7" s="36" t="str">
        <f t="shared" si="15"/>
        <v/>
      </c>
      <c r="BP7" s="37"/>
      <c r="BQ7" s="33"/>
      <c r="BR7" s="34"/>
      <c r="BS7" s="35" t="str">
        <f t="shared" si="16"/>
        <v/>
      </c>
      <c r="BT7" s="36" t="str">
        <f t="shared" si="17"/>
        <v/>
      </c>
      <c r="BU7" s="37"/>
      <c r="BV7" s="33"/>
      <c r="BW7" s="34"/>
      <c r="BX7" s="35" t="str">
        <f t="shared" si="18"/>
        <v/>
      </c>
      <c r="BY7" s="36" t="str">
        <f t="shared" si="19"/>
        <v/>
      </c>
      <c r="BZ7" s="37"/>
      <c r="CA7" s="33"/>
      <c r="CB7" s="34"/>
      <c r="CC7" s="35" t="str">
        <f t="shared" si="20"/>
        <v/>
      </c>
      <c r="CD7" s="36" t="str">
        <f t="shared" si="21"/>
        <v/>
      </c>
      <c r="CE7" s="37"/>
      <c r="CF7" s="33"/>
      <c r="CG7" s="34"/>
      <c r="CH7" s="35" t="str">
        <f t="shared" si="22"/>
        <v/>
      </c>
      <c r="CI7" s="36" t="str">
        <f t="shared" si="23"/>
        <v/>
      </c>
      <c r="CJ7" s="37"/>
      <c r="CK7" s="33"/>
      <c r="CL7" s="34"/>
      <c r="CM7" s="35" t="str">
        <f t="shared" si="24"/>
        <v/>
      </c>
      <c r="CN7" s="36" t="str">
        <f t="shared" si="25"/>
        <v/>
      </c>
      <c r="CO7" s="37"/>
      <c r="CP7" s="33"/>
      <c r="CQ7" s="34"/>
      <c r="CR7" s="35" t="str">
        <f t="shared" si="26"/>
        <v/>
      </c>
      <c r="CS7" s="36" t="str">
        <f t="shared" si="27"/>
        <v/>
      </c>
      <c r="CT7" s="37"/>
      <c r="CU7" s="33"/>
      <c r="CV7" s="34"/>
      <c r="CW7" s="35" t="str">
        <f t="shared" si="28"/>
        <v/>
      </c>
      <c r="CX7" s="36" t="str">
        <f t="shared" si="29"/>
        <v/>
      </c>
      <c r="CY7" s="37"/>
      <c r="CZ7" s="33"/>
      <c r="DA7" s="34"/>
      <c r="DB7" s="35" t="str">
        <f t="shared" si="30"/>
        <v/>
      </c>
      <c r="DC7" s="36" t="str">
        <f t="shared" si="31"/>
        <v/>
      </c>
      <c r="DD7" s="37"/>
      <c r="DE7" s="33"/>
      <c r="DF7" s="34"/>
      <c r="DG7" s="35" t="str">
        <f t="shared" si="32"/>
        <v/>
      </c>
      <c r="DH7" s="36" t="str">
        <f t="shared" si="33"/>
        <v/>
      </c>
      <c r="DI7" s="37"/>
      <c r="DJ7" s="33"/>
      <c r="DK7" s="34"/>
      <c r="DL7" s="35" t="str">
        <f t="shared" si="34"/>
        <v/>
      </c>
      <c r="DM7" s="36" t="str">
        <f t="shared" si="35"/>
        <v/>
      </c>
      <c r="DN7" s="37"/>
      <c r="DO7" s="33"/>
      <c r="DP7" s="34"/>
      <c r="DQ7" s="35" t="str">
        <f t="shared" si="36"/>
        <v/>
      </c>
      <c r="DR7" s="36" t="str">
        <f t="shared" si="37"/>
        <v/>
      </c>
      <c r="DS7" s="37"/>
      <c r="DT7" s="33"/>
      <c r="DU7" s="34"/>
      <c r="DV7" s="35" t="str">
        <f t="shared" si="38"/>
        <v/>
      </c>
      <c r="DW7" s="36" t="str">
        <f t="shared" si="39"/>
        <v/>
      </c>
      <c r="DX7" s="37"/>
      <c r="DY7" s="33"/>
      <c r="DZ7" s="34"/>
      <c r="EA7" s="35" t="str">
        <f t="shared" si="40"/>
        <v/>
      </c>
      <c r="EB7" s="36" t="str">
        <f t="shared" si="41"/>
        <v/>
      </c>
      <c r="EC7" s="37"/>
      <c r="ED7" s="33"/>
      <c r="EE7" s="34"/>
      <c r="EF7" s="35" t="str">
        <f t="shared" si="42"/>
        <v/>
      </c>
      <c r="EG7" s="36" t="str">
        <f t="shared" si="43"/>
        <v/>
      </c>
      <c r="EH7" s="37"/>
      <c r="EI7" s="33"/>
      <c r="EJ7" s="34"/>
      <c r="EK7" s="35" t="str">
        <f t="shared" si="44"/>
        <v/>
      </c>
      <c r="EL7" s="36" t="str">
        <f t="shared" si="45"/>
        <v/>
      </c>
      <c r="EM7" s="37"/>
      <c r="EN7" s="33"/>
      <c r="EO7" s="34"/>
      <c r="EP7" s="35" t="str">
        <f t="shared" si="46"/>
        <v/>
      </c>
      <c r="EQ7" s="36" t="str">
        <f t="shared" si="47"/>
        <v/>
      </c>
      <c r="ER7" s="37"/>
      <c r="ES7" s="33"/>
      <c r="ET7" s="34"/>
      <c r="EU7" s="35" t="str">
        <f t="shared" si="48"/>
        <v/>
      </c>
      <c r="EV7" s="36" t="str">
        <f t="shared" si="49"/>
        <v/>
      </c>
      <c r="EW7" s="37"/>
    </row>
    <row r="8" spans="1:153" ht="19.5" customHeight="1">
      <c r="A8" s="32">
        <f>IF(DAY(DATE(対象年度,3,5))&lt;&gt;5,"",5)</f>
        <v>5</v>
      </c>
      <c r="B8" s="32" t="str">
        <f>IF(DAY(DATE(対象年度,3,5))&lt;&gt;5,"",CHOOSE(WEEKDAY(DATE(対象年度,3,5),2),"月","火","水","木","金","土","日"))</f>
        <v>木</v>
      </c>
      <c r="C8" s="32" t="str">
        <f>IF(DAY(DATE(対象年度,3,5))&lt;&gt;5,"",IF(ISNUMBER(MATCH(DATE(対象年度,3,5),祝日リスト,0)),"祝",""))</f>
        <v/>
      </c>
      <c r="D8" s="38"/>
      <c r="E8" s="34"/>
      <c r="F8" s="35"/>
      <c r="G8" s="36"/>
      <c r="H8" s="37"/>
      <c r="I8" s="33"/>
      <c r="J8" s="46"/>
      <c r="K8" s="35"/>
      <c r="L8" s="36"/>
      <c r="M8" s="37"/>
      <c r="N8" s="38"/>
      <c r="O8" s="34"/>
      <c r="P8" s="35"/>
      <c r="Q8" s="36"/>
      <c r="R8" s="37"/>
      <c r="S8" s="38"/>
      <c r="T8" s="34"/>
      <c r="U8" s="35"/>
      <c r="V8" s="36"/>
      <c r="W8" s="37"/>
      <c r="X8" s="38"/>
      <c r="Y8" s="34"/>
      <c r="Z8" s="35"/>
      <c r="AA8" s="36"/>
      <c r="AB8" s="37"/>
      <c r="AC8" s="33"/>
      <c r="AD8" s="46"/>
      <c r="AE8" s="35" t="str">
        <f t="shared" si="0"/>
        <v/>
      </c>
      <c r="AF8" s="36" t="str">
        <f t="shared" si="1"/>
        <v/>
      </c>
      <c r="AG8" s="37"/>
      <c r="AH8" s="38"/>
      <c r="AI8" s="34"/>
      <c r="AJ8" s="35"/>
      <c r="AK8" s="36"/>
      <c r="AL8" s="37"/>
      <c r="AM8" s="33"/>
      <c r="AN8" s="46"/>
      <c r="AO8" s="35"/>
      <c r="AP8" s="36"/>
      <c r="AQ8" s="37"/>
      <c r="AR8" s="38"/>
      <c r="AS8" s="34"/>
      <c r="AT8" s="35"/>
      <c r="AU8" s="36"/>
      <c r="AV8" s="37"/>
      <c r="AW8" s="38"/>
      <c r="AX8" s="34"/>
      <c r="AY8" s="35"/>
      <c r="AZ8" s="36"/>
      <c r="BA8" s="37"/>
      <c r="BB8" s="38"/>
      <c r="BC8" s="34"/>
      <c r="BD8" s="35"/>
      <c r="BE8" s="36" t="str">
        <f t="shared" si="11"/>
        <v/>
      </c>
      <c r="BF8" s="37"/>
      <c r="BG8" s="38"/>
      <c r="BH8" s="34"/>
      <c r="BI8" s="35" t="str">
        <f t="shared" si="12"/>
        <v/>
      </c>
      <c r="BJ8" s="36" t="str">
        <f t="shared" si="13"/>
        <v/>
      </c>
      <c r="BK8" s="37"/>
      <c r="BL8" s="33"/>
      <c r="BM8" s="34"/>
      <c r="BN8" s="35" t="str">
        <f t="shared" si="14"/>
        <v/>
      </c>
      <c r="BO8" s="36" t="str">
        <f t="shared" si="15"/>
        <v/>
      </c>
      <c r="BP8" s="37"/>
      <c r="BQ8" s="33"/>
      <c r="BR8" s="34"/>
      <c r="BS8" s="35" t="str">
        <f t="shared" si="16"/>
        <v/>
      </c>
      <c r="BT8" s="36" t="str">
        <f t="shared" si="17"/>
        <v/>
      </c>
      <c r="BU8" s="37"/>
      <c r="BV8" s="33"/>
      <c r="BW8" s="34"/>
      <c r="BX8" s="35" t="str">
        <f t="shared" si="18"/>
        <v/>
      </c>
      <c r="BY8" s="36" t="str">
        <f t="shared" si="19"/>
        <v/>
      </c>
      <c r="BZ8" s="37"/>
      <c r="CA8" s="33"/>
      <c r="CB8" s="34"/>
      <c r="CC8" s="35" t="str">
        <f t="shared" si="20"/>
        <v/>
      </c>
      <c r="CD8" s="36" t="str">
        <f t="shared" si="21"/>
        <v/>
      </c>
      <c r="CE8" s="37"/>
      <c r="CF8" s="33"/>
      <c r="CG8" s="34"/>
      <c r="CH8" s="35" t="str">
        <f t="shared" si="22"/>
        <v/>
      </c>
      <c r="CI8" s="36" t="str">
        <f t="shared" si="23"/>
        <v/>
      </c>
      <c r="CJ8" s="37"/>
      <c r="CK8" s="33"/>
      <c r="CL8" s="34"/>
      <c r="CM8" s="35" t="str">
        <f t="shared" si="24"/>
        <v/>
      </c>
      <c r="CN8" s="36" t="str">
        <f t="shared" si="25"/>
        <v/>
      </c>
      <c r="CO8" s="37"/>
      <c r="CP8" s="33"/>
      <c r="CQ8" s="34"/>
      <c r="CR8" s="35" t="str">
        <f t="shared" si="26"/>
        <v/>
      </c>
      <c r="CS8" s="36" t="str">
        <f t="shared" si="27"/>
        <v/>
      </c>
      <c r="CT8" s="37"/>
      <c r="CU8" s="33"/>
      <c r="CV8" s="34"/>
      <c r="CW8" s="35" t="str">
        <f t="shared" si="28"/>
        <v/>
      </c>
      <c r="CX8" s="36" t="str">
        <f t="shared" si="29"/>
        <v/>
      </c>
      <c r="CY8" s="37"/>
      <c r="CZ8" s="33"/>
      <c r="DA8" s="34"/>
      <c r="DB8" s="35" t="str">
        <f t="shared" si="30"/>
        <v/>
      </c>
      <c r="DC8" s="36" t="str">
        <f t="shared" si="31"/>
        <v/>
      </c>
      <c r="DD8" s="37"/>
      <c r="DE8" s="33"/>
      <c r="DF8" s="34"/>
      <c r="DG8" s="35" t="str">
        <f t="shared" si="32"/>
        <v/>
      </c>
      <c r="DH8" s="36" t="str">
        <f t="shared" si="33"/>
        <v/>
      </c>
      <c r="DI8" s="37"/>
      <c r="DJ8" s="33"/>
      <c r="DK8" s="34"/>
      <c r="DL8" s="35" t="str">
        <f t="shared" si="34"/>
        <v/>
      </c>
      <c r="DM8" s="36" t="str">
        <f t="shared" si="35"/>
        <v/>
      </c>
      <c r="DN8" s="37"/>
      <c r="DO8" s="33"/>
      <c r="DP8" s="34"/>
      <c r="DQ8" s="35" t="str">
        <f t="shared" si="36"/>
        <v/>
      </c>
      <c r="DR8" s="36" t="str">
        <f t="shared" si="37"/>
        <v/>
      </c>
      <c r="DS8" s="37"/>
      <c r="DT8" s="33"/>
      <c r="DU8" s="34"/>
      <c r="DV8" s="35" t="str">
        <f t="shared" si="38"/>
        <v/>
      </c>
      <c r="DW8" s="36" t="str">
        <f t="shared" si="39"/>
        <v/>
      </c>
      <c r="DX8" s="37"/>
      <c r="DY8" s="33"/>
      <c r="DZ8" s="34"/>
      <c r="EA8" s="35" t="str">
        <f t="shared" si="40"/>
        <v/>
      </c>
      <c r="EB8" s="36" t="str">
        <f t="shared" si="41"/>
        <v/>
      </c>
      <c r="EC8" s="37"/>
      <c r="ED8" s="33"/>
      <c r="EE8" s="34"/>
      <c r="EF8" s="35" t="str">
        <f t="shared" si="42"/>
        <v/>
      </c>
      <c r="EG8" s="36" t="str">
        <f t="shared" si="43"/>
        <v/>
      </c>
      <c r="EH8" s="37"/>
      <c r="EI8" s="33"/>
      <c r="EJ8" s="34"/>
      <c r="EK8" s="35" t="str">
        <f t="shared" si="44"/>
        <v/>
      </c>
      <c r="EL8" s="36" t="str">
        <f t="shared" si="45"/>
        <v/>
      </c>
      <c r="EM8" s="37"/>
      <c r="EN8" s="33"/>
      <c r="EO8" s="34"/>
      <c r="EP8" s="35" t="str">
        <f t="shared" si="46"/>
        <v/>
      </c>
      <c r="EQ8" s="36" t="str">
        <f t="shared" si="47"/>
        <v/>
      </c>
      <c r="ER8" s="37"/>
      <c r="ES8" s="33"/>
      <c r="ET8" s="34"/>
      <c r="EU8" s="35" t="str">
        <f t="shared" si="48"/>
        <v/>
      </c>
      <c r="EV8" s="36" t="str">
        <f t="shared" si="49"/>
        <v/>
      </c>
      <c r="EW8" s="37"/>
    </row>
    <row r="9" spans="1:153" ht="19.5" customHeight="1">
      <c r="A9" s="32">
        <f>IF(DAY(DATE(対象年度,3,6))&lt;&gt;6,"",6)</f>
        <v>6</v>
      </c>
      <c r="B9" s="32" t="str">
        <f>IF(DAY(DATE(対象年度,3,6))&lt;&gt;6,"",CHOOSE(WEEKDAY(DATE(対象年度,3,6),2),"月","火","水","木","金","土","日"))</f>
        <v>金</v>
      </c>
      <c r="C9" s="32" t="str">
        <f>IF(DAY(DATE(対象年度,3,6))&lt;&gt;6,"",IF(ISNUMBER(MATCH(DATE(対象年度,3,6),祝日リスト,0)),"祝",""))</f>
        <v/>
      </c>
      <c r="D9" s="38"/>
      <c r="E9" s="34"/>
      <c r="F9" s="35"/>
      <c r="G9" s="36"/>
      <c r="H9" s="37"/>
      <c r="I9" s="38"/>
      <c r="J9" s="34"/>
      <c r="K9" s="35"/>
      <c r="L9" s="36"/>
      <c r="M9" s="37"/>
      <c r="N9" s="38"/>
      <c r="O9" s="34"/>
      <c r="P9" s="35"/>
      <c r="Q9" s="36"/>
      <c r="R9" s="37"/>
      <c r="S9" s="38"/>
      <c r="T9" s="34"/>
      <c r="U9" s="35"/>
      <c r="V9" s="36"/>
      <c r="W9" s="37"/>
      <c r="X9" s="38"/>
      <c r="Y9" s="34"/>
      <c r="Z9" s="35"/>
      <c r="AA9" s="36"/>
      <c r="AB9" s="37"/>
      <c r="AC9" s="33"/>
      <c r="AD9" s="46"/>
      <c r="AE9" s="35" t="str">
        <f t="shared" si="0"/>
        <v/>
      </c>
      <c r="AF9" s="36" t="str">
        <f t="shared" si="1"/>
        <v/>
      </c>
      <c r="AG9" s="37"/>
      <c r="AH9" s="38"/>
      <c r="AI9" s="34"/>
      <c r="AJ9" s="35"/>
      <c r="AK9" s="36"/>
      <c r="AL9" s="37"/>
      <c r="AM9" s="33"/>
      <c r="AN9" s="46"/>
      <c r="AO9" s="35"/>
      <c r="AP9" s="36"/>
      <c r="AQ9" s="37"/>
      <c r="AR9" s="33"/>
      <c r="AS9" s="46"/>
      <c r="AT9" s="35"/>
      <c r="AU9" s="36"/>
      <c r="AV9" s="37"/>
      <c r="AW9" s="33"/>
      <c r="AX9" s="46"/>
      <c r="AY9" s="35"/>
      <c r="AZ9" s="36"/>
      <c r="BA9" s="37"/>
      <c r="BB9" s="38"/>
      <c r="BC9" s="34"/>
      <c r="BD9" s="35"/>
      <c r="BE9" s="36" t="str">
        <f t="shared" si="11"/>
        <v/>
      </c>
      <c r="BF9" s="37"/>
      <c r="BG9" s="38"/>
      <c r="BH9" s="34"/>
      <c r="BI9" s="35" t="str">
        <f t="shared" si="12"/>
        <v/>
      </c>
      <c r="BJ9" s="36" t="str">
        <f t="shared" si="13"/>
        <v/>
      </c>
      <c r="BK9" s="37"/>
      <c r="BL9" s="33"/>
      <c r="BM9" s="34"/>
      <c r="BN9" s="35" t="str">
        <f t="shared" si="14"/>
        <v/>
      </c>
      <c r="BO9" s="36" t="str">
        <f t="shared" si="15"/>
        <v/>
      </c>
      <c r="BP9" s="37"/>
      <c r="BQ9" s="33"/>
      <c r="BR9" s="34"/>
      <c r="BS9" s="35" t="str">
        <f t="shared" si="16"/>
        <v/>
      </c>
      <c r="BT9" s="36" t="str">
        <f t="shared" si="17"/>
        <v/>
      </c>
      <c r="BU9" s="37"/>
      <c r="BV9" s="33"/>
      <c r="BW9" s="34"/>
      <c r="BX9" s="35" t="str">
        <f t="shared" si="18"/>
        <v/>
      </c>
      <c r="BY9" s="36" t="str">
        <f t="shared" si="19"/>
        <v/>
      </c>
      <c r="BZ9" s="37"/>
      <c r="CA9" s="33"/>
      <c r="CB9" s="34"/>
      <c r="CC9" s="35" t="str">
        <f t="shared" si="20"/>
        <v/>
      </c>
      <c r="CD9" s="36" t="str">
        <f t="shared" si="21"/>
        <v/>
      </c>
      <c r="CE9" s="37"/>
      <c r="CF9" s="33"/>
      <c r="CG9" s="34"/>
      <c r="CH9" s="35" t="str">
        <f t="shared" si="22"/>
        <v/>
      </c>
      <c r="CI9" s="36" t="str">
        <f t="shared" si="23"/>
        <v/>
      </c>
      <c r="CJ9" s="37"/>
      <c r="CK9" s="33"/>
      <c r="CL9" s="34"/>
      <c r="CM9" s="35" t="str">
        <f t="shared" si="24"/>
        <v/>
      </c>
      <c r="CN9" s="36" t="str">
        <f t="shared" si="25"/>
        <v/>
      </c>
      <c r="CO9" s="37"/>
      <c r="CP9" s="33"/>
      <c r="CQ9" s="34"/>
      <c r="CR9" s="35" t="str">
        <f t="shared" si="26"/>
        <v/>
      </c>
      <c r="CS9" s="36" t="str">
        <f t="shared" si="27"/>
        <v/>
      </c>
      <c r="CT9" s="37"/>
      <c r="CU9" s="33"/>
      <c r="CV9" s="34"/>
      <c r="CW9" s="35" t="str">
        <f t="shared" si="28"/>
        <v/>
      </c>
      <c r="CX9" s="36" t="str">
        <f t="shared" si="29"/>
        <v/>
      </c>
      <c r="CY9" s="37"/>
      <c r="CZ9" s="33"/>
      <c r="DA9" s="34"/>
      <c r="DB9" s="35" t="str">
        <f t="shared" si="30"/>
        <v/>
      </c>
      <c r="DC9" s="36" t="str">
        <f t="shared" si="31"/>
        <v/>
      </c>
      <c r="DD9" s="37"/>
      <c r="DE9" s="33"/>
      <c r="DF9" s="34"/>
      <c r="DG9" s="35" t="str">
        <f t="shared" si="32"/>
        <v/>
      </c>
      <c r="DH9" s="36" t="str">
        <f t="shared" si="33"/>
        <v/>
      </c>
      <c r="DI9" s="37"/>
      <c r="DJ9" s="33"/>
      <c r="DK9" s="34"/>
      <c r="DL9" s="35" t="str">
        <f t="shared" si="34"/>
        <v/>
      </c>
      <c r="DM9" s="36" t="str">
        <f t="shared" si="35"/>
        <v/>
      </c>
      <c r="DN9" s="37"/>
      <c r="DO9" s="33"/>
      <c r="DP9" s="34"/>
      <c r="DQ9" s="35" t="str">
        <f t="shared" si="36"/>
        <v/>
      </c>
      <c r="DR9" s="36" t="str">
        <f t="shared" si="37"/>
        <v/>
      </c>
      <c r="DS9" s="37"/>
      <c r="DT9" s="33"/>
      <c r="DU9" s="34"/>
      <c r="DV9" s="35" t="str">
        <f t="shared" si="38"/>
        <v/>
      </c>
      <c r="DW9" s="36" t="str">
        <f t="shared" si="39"/>
        <v/>
      </c>
      <c r="DX9" s="37"/>
      <c r="DY9" s="33"/>
      <c r="DZ9" s="34"/>
      <c r="EA9" s="35" t="str">
        <f t="shared" si="40"/>
        <v/>
      </c>
      <c r="EB9" s="36" t="str">
        <f t="shared" si="41"/>
        <v/>
      </c>
      <c r="EC9" s="37"/>
      <c r="ED9" s="33"/>
      <c r="EE9" s="34"/>
      <c r="EF9" s="35" t="str">
        <f t="shared" si="42"/>
        <v/>
      </c>
      <c r="EG9" s="36" t="str">
        <f t="shared" si="43"/>
        <v/>
      </c>
      <c r="EH9" s="37"/>
      <c r="EI9" s="33"/>
      <c r="EJ9" s="34"/>
      <c r="EK9" s="35" t="str">
        <f t="shared" si="44"/>
        <v/>
      </c>
      <c r="EL9" s="36" t="str">
        <f t="shared" si="45"/>
        <v/>
      </c>
      <c r="EM9" s="37"/>
      <c r="EN9" s="33"/>
      <c r="EO9" s="34"/>
      <c r="EP9" s="35" t="str">
        <f t="shared" si="46"/>
        <v/>
      </c>
      <c r="EQ9" s="36" t="str">
        <f t="shared" si="47"/>
        <v/>
      </c>
      <c r="ER9" s="37"/>
      <c r="ES9" s="33"/>
      <c r="ET9" s="34"/>
      <c r="EU9" s="35" t="str">
        <f t="shared" si="48"/>
        <v/>
      </c>
      <c r="EV9" s="36" t="str">
        <f t="shared" si="49"/>
        <v/>
      </c>
      <c r="EW9" s="37"/>
    </row>
    <row r="10" spans="1:153" ht="19.5" customHeight="1">
      <c r="A10" s="32">
        <f>IF(DAY(DATE(対象年度,3,7))&lt;&gt;7,"",7)</f>
        <v>7</v>
      </c>
      <c r="B10" s="32" t="str">
        <f>IF(DAY(DATE(対象年度,3,7))&lt;&gt;7,"",CHOOSE(WEEKDAY(DATE(対象年度,3,7),2),"月","火","水","木","金","土","日"))</f>
        <v>土</v>
      </c>
      <c r="C10" s="32" t="str">
        <f>IF(DAY(DATE(対象年度,3,7))&lt;&gt;7,"",IF(ISNUMBER(MATCH(DATE(対象年度,3,7),祝日リスト,0)),"祝",""))</f>
        <v/>
      </c>
      <c r="D10" s="33"/>
      <c r="E10" s="34"/>
      <c r="F10" s="35"/>
      <c r="G10" s="36"/>
      <c r="H10" s="37"/>
      <c r="I10" s="33"/>
      <c r="J10" s="34"/>
      <c r="K10" s="35"/>
      <c r="L10" s="36"/>
      <c r="M10" s="37"/>
      <c r="N10" s="38"/>
      <c r="O10" s="34"/>
      <c r="P10" s="35"/>
      <c r="Q10" s="36"/>
      <c r="R10" s="37"/>
      <c r="S10" s="38"/>
      <c r="T10" s="34"/>
      <c r="U10" s="35"/>
      <c r="V10" s="36"/>
      <c r="W10" s="37"/>
      <c r="X10" s="38"/>
      <c r="Y10" s="34"/>
      <c r="Z10" s="35"/>
      <c r="AA10" s="36"/>
      <c r="AB10" s="37"/>
      <c r="AC10" s="33"/>
      <c r="AD10" s="34"/>
      <c r="AE10" s="35" t="str">
        <f t="shared" si="0"/>
        <v/>
      </c>
      <c r="AF10" s="36" t="str">
        <f t="shared" si="1"/>
        <v/>
      </c>
      <c r="AG10" s="37"/>
      <c r="AH10" s="33"/>
      <c r="AI10" s="34"/>
      <c r="AJ10" s="35"/>
      <c r="AK10" s="36"/>
      <c r="AL10" s="37"/>
      <c r="AM10" s="33"/>
      <c r="AN10" s="34"/>
      <c r="AO10" s="35"/>
      <c r="AP10" s="36"/>
      <c r="AQ10" s="37"/>
      <c r="AR10" s="33"/>
      <c r="AS10" s="34"/>
      <c r="AT10" s="35"/>
      <c r="AU10" s="36"/>
      <c r="AV10" s="37"/>
      <c r="AW10" s="33"/>
      <c r="AX10" s="46"/>
      <c r="AY10" s="35"/>
      <c r="AZ10" s="36"/>
      <c r="BA10" s="37"/>
      <c r="BB10" s="33"/>
      <c r="BC10" s="34"/>
      <c r="BD10" s="35"/>
      <c r="BE10" s="36" t="str">
        <f t="shared" si="11"/>
        <v/>
      </c>
      <c r="BF10" s="37"/>
      <c r="BG10" s="38"/>
      <c r="BH10" s="34"/>
      <c r="BI10" s="35" t="str">
        <f t="shared" si="12"/>
        <v/>
      </c>
      <c r="BJ10" s="36" t="str">
        <f t="shared" si="13"/>
        <v/>
      </c>
      <c r="BK10" s="37"/>
      <c r="BL10" s="33"/>
      <c r="BM10" s="34"/>
      <c r="BN10" s="35" t="str">
        <f t="shared" si="14"/>
        <v/>
      </c>
      <c r="BO10" s="36" t="str">
        <f t="shared" si="15"/>
        <v/>
      </c>
      <c r="BP10" s="37"/>
      <c r="BQ10" s="33"/>
      <c r="BR10" s="34"/>
      <c r="BS10" s="35" t="str">
        <f t="shared" si="16"/>
        <v/>
      </c>
      <c r="BT10" s="36" t="str">
        <f t="shared" si="17"/>
        <v/>
      </c>
      <c r="BU10" s="37"/>
      <c r="BV10" s="33"/>
      <c r="BW10" s="34"/>
      <c r="BX10" s="35" t="str">
        <f t="shared" si="18"/>
        <v/>
      </c>
      <c r="BY10" s="36" t="str">
        <f t="shared" si="19"/>
        <v/>
      </c>
      <c r="BZ10" s="37"/>
      <c r="CA10" s="33"/>
      <c r="CB10" s="34"/>
      <c r="CC10" s="35" t="str">
        <f t="shared" si="20"/>
        <v/>
      </c>
      <c r="CD10" s="36" t="str">
        <f t="shared" si="21"/>
        <v/>
      </c>
      <c r="CE10" s="37"/>
      <c r="CF10" s="33"/>
      <c r="CG10" s="34"/>
      <c r="CH10" s="35" t="str">
        <f t="shared" si="22"/>
        <v/>
      </c>
      <c r="CI10" s="36" t="str">
        <f t="shared" si="23"/>
        <v/>
      </c>
      <c r="CJ10" s="37"/>
      <c r="CK10" s="33"/>
      <c r="CL10" s="34"/>
      <c r="CM10" s="35" t="str">
        <f t="shared" si="24"/>
        <v/>
      </c>
      <c r="CN10" s="36" t="str">
        <f t="shared" si="25"/>
        <v/>
      </c>
      <c r="CO10" s="37"/>
      <c r="CP10" s="33"/>
      <c r="CQ10" s="34"/>
      <c r="CR10" s="35" t="str">
        <f t="shared" si="26"/>
        <v/>
      </c>
      <c r="CS10" s="36" t="str">
        <f t="shared" si="27"/>
        <v/>
      </c>
      <c r="CT10" s="37"/>
      <c r="CU10" s="33"/>
      <c r="CV10" s="34"/>
      <c r="CW10" s="35" t="str">
        <f t="shared" si="28"/>
        <v/>
      </c>
      <c r="CX10" s="36" t="str">
        <f t="shared" si="29"/>
        <v/>
      </c>
      <c r="CY10" s="37"/>
      <c r="CZ10" s="33"/>
      <c r="DA10" s="34"/>
      <c r="DB10" s="35" t="str">
        <f t="shared" si="30"/>
        <v/>
      </c>
      <c r="DC10" s="36" t="str">
        <f t="shared" si="31"/>
        <v/>
      </c>
      <c r="DD10" s="37"/>
      <c r="DE10" s="33"/>
      <c r="DF10" s="34"/>
      <c r="DG10" s="35" t="str">
        <f t="shared" si="32"/>
        <v/>
      </c>
      <c r="DH10" s="36" t="str">
        <f t="shared" si="33"/>
        <v/>
      </c>
      <c r="DI10" s="37"/>
      <c r="DJ10" s="33"/>
      <c r="DK10" s="34"/>
      <c r="DL10" s="35" t="str">
        <f t="shared" si="34"/>
        <v/>
      </c>
      <c r="DM10" s="36" t="str">
        <f t="shared" si="35"/>
        <v/>
      </c>
      <c r="DN10" s="37"/>
      <c r="DO10" s="33"/>
      <c r="DP10" s="34"/>
      <c r="DQ10" s="35" t="str">
        <f t="shared" si="36"/>
        <v/>
      </c>
      <c r="DR10" s="36" t="str">
        <f t="shared" si="37"/>
        <v/>
      </c>
      <c r="DS10" s="37"/>
      <c r="DT10" s="33"/>
      <c r="DU10" s="34"/>
      <c r="DV10" s="35" t="str">
        <f t="shared" si="38"/>
        <v/>
      </c>
      <c r="DW10" s="36" t="str">
        <f t="shared" si="39"/>
        <v/>
      </c>
      <c r="DX10" s="37"/>
      <c r="DY10" s="33"/>
      <c r="DZ10" s="34"/>
      <c r="EA10" s="35" t="str">
        <f t="shared" si="40"/>
        <v/>
      </c>
      <c r="EB10" s="36" t="str">
        <f t="shared" si="41"/>
        <v/>
      </c>
      <c r="EC10" s="37"/>
      <c r="ED10" s="33"/>
      <c r="EE10" s="34"/>
      <c r="EF10" s="35" t="str">
        <f t="shared" si="42"/>
        <v/>
      </c>
      <c r="EG10" s="36" t="str">
        <f t="shared" si="43"/>
        <v/>
      </c>
      <c r="EH10" s="37"/>
      <c r="EI10" s="33"/>
      <c r="EJ10" s="34"/>
      <c r="EK10" s="35" t="str">
        <f t="shared" si="44"/>
        <v/>
      </c>
      <c r="EL10" s="36" t="str">
        <f t="shared" si="45"/>
        <v/>
      </c>
      <c r="EM10" s="37"/>
      <c r="EN10" s="33"/>
      <c r="EO10" s="34"/>
      <c r="EP10" s="35" t="str">
        <f t="shared" si="46"/>
        <v/>
      </c>
      <c r="EQ10" s="36" t="str">
        <f t="shared" si="47"/>
        <v/>
      </c>
      <c r="ER10" s="37"/>
      <c r="ES10" s="33"/>
      <c r="ET10" s="34"/>
      <c r="EU10" s="35" t="str">
        <f t="shared" si="48"/>
        <v/>
      </c>
      <c r="EV10" s="36" t="str">
        <f t="shared" si="49"/>
        <v/>
      </c>
      <c r="EW10" s="37"/>
    </row>
    <row r="11" spans="1:153" ht="19.5" customHeight="1">
      <c r="A11" s="32">
        <f>IF(DAY(DATE(対象年度,3,8))&lt;&gt;8,"",8)</f>
        <v>8</v>
      </c>
      <c r="B11" s="32" t="str">
        <f>IF(DAY(DATE(対象年度,3,8))&lt;&gt;8,"",CHOOSE(WEEKDAY(DATE(対象年度,3,8),2),"月","火","水","木","金","土","日"))</f>
        <v>日</v>
      </c>
      <c r="C11" s="32" t="str">
        <f>IF(DAY(DATE(対象年度,3,8))&lt;&gt;8,"",IF(ISNUMBER(MATCH(DATE(対象年度,3,8),祝日リスト,0)),"祝",""))</f>
        <v/>
      </c>
      <c r="D11" s="33"/>
      <c r="E11" s="34"/>
      <c r="F11" s="35"/>
      <c r="G11" s="36"/>
      <c r="H11" s="37"/>
      <c r="I11" s="33"/>
      <c r="J11" s="34"/>
      <c r="K11" s="35"/>
      <c r="L11" s="36"/>
      <c r="M11" s="37"/>
      <c r="N11" s="33"/>
      <c r="O11" s="34"/>
      <c r="P11" s="35"/>
      <c r="Q11" s="36"/>
      <c r="R11" s="37"/>
      <c r="S11" s="33"/>
      <c r="T11" s="34"/>
      <c r="U11" s="35"/>
      <c r="V11" s="36"/>
      <c r="W11" s="37"/>
      <c r="X11" s="33"/>
      <c r="Y11" s="34"/>
      <c r="Z11" s="35"/>
      <c r="AA11" s="36"/>
      <c r="AB11" s="37"/>
      <c r="AC11" s="33"/>
      <c r="AD11" s="34"/>
      <c r="AE11" s="35" t="str">
        <f t="shared" si="0"/>
        <v/>
      </c>
      <c r="AF11" s="36" t="str">
        <f t="shared" si="1"/>
        <v/>
      </c>
      <c r="AG11" s="37"/>
      <c r="AH11" s="33"/>
      <c r="AI11" s="34"/>
      <c r="AJ11" s="35"/>
      <c r="AK11" s="36"/>
      <c r="AL11" s="37"/>
      <c r="AM11" s="33"/>
      <c r="AN11" s="34"/>
      <c r="AO11" s="35"/>
      <c r="AP11" s="36"/>
      <c r="AQ11" s="37"/>
      <c r="AR11" s="33"/>
      <c r="AS11" s="34"/>
      <c r="AT11" s="35"/>
      <c r="AU11" s="36"/>
      <c r="AV11" s="37"/>
      <c r="AW11" s="33"/>
      <c r="AX11" s="46"/>
      <c r="AY11" s="35"/>
      <c r="AZ11" s="36"/>
      <c r="BA11" s="37"/>
      <c r="BB11" s="33"/>
      <c r="BC11" s="34"/>
      <c r="BD11" s="35"/>
      <c r="BE11" s="36" t="str">
        <f t="shared" si="11"/>
        <v/>
      </c>
      <c r="BF11" s="37"/>
      <c r="BG11" s="33"/>
      <c r="BH11" s="34"/>
      <c r="BI11" s="35" t="str">
        <f t="shared" si="12"/>
        <v/>
      </c>
      <c r="BJ11" s="36" t="str">
        <f t="shared" si="13"/>
        <v/>
      </c>
      <c r="BK11" s="37"/>
      <c r="BL11" s="33"/>
      <c r="BM11" s="34"/>
      <c r="BN11" s="35" t="str">
        <f t="shared" si="14"/>
        <v/>
      </c>
      <c r="BO11" s="36" t="str">
        <f t="shared" si="15"/>
        <v/>
      </c>
      <c r="BP11" s="37"/>
      <c r="BQ11" s="33"/>
      <c r="BR11" s="34"/>
      <c r="BS11" s="35" t="str">
        <f t="shared" si="16"/>
        <v/>
      </c>
      <c r="BT11" s="36" t="str">
        <f t="shared" si="17"/>
        <v/>
      </c>
      <c r="BU11" s="37"/>
      <c r="BV11" s="33"/>
      <c r="BW11" s="34"/>
      <c r="BX11" s="35" t="str">
        <f t="shared" si="18"/>
        <v/>
      </c>
      <c r="BY11" s="36" t="str">
        <f t="shared" si="19"/>
        <v/>
      </c>
      <c r="BZ11" s="37"/>
      <c r="CA11" s="33"/>
      <c r="CB11" s="34"/>
      <c r="CC11" s="35" t="str">
        <f t="shared" si="20"/>
        <v/>
      </c>
      <c r="CD11" s="36" t="str">
        <f t="shared" si="21"/>
        <v/>
      </c>
      <c r="CE11" s="37"/>
      <c r="CF11" s="33"/>
      <c r="CG11" s="34"/>
      <c r="CH11" s="35" t="str">
        <f t="shared" si="22"/>
        <v/>
      </c>
      <c r="CI11" s="36" t="str">
        <f t="shared" si="23"/>
        <v/>
      </c>
      <c r="CJ11" s="37"/>
      <c r="CK11" s="33"/>
      <c r="CL11" s="34"/>
      <c r="CM11" s="35" t="str">
        <f t="shared" si="24"/>
        <v/>
      </c>
      <c r="CN11" s="36" t="str">
        <f t="shared" si="25"/>
        <v/>
      </c>
      <c r="CO11" s="37"/>
      <c r="CP11" s="33"/>
      <c r="CQ11" s="34"/>
      <c r="CR11" s="35" t="str">
        <f t="shared" si="26"/>
        <v/>
      </c>
      <c r="CS11" s="36" t="str">
        <f t="shared" si="27"/>
        <v/>
      </c>
      <c r="CT11" s="37"/>
      <c r="CU11" s="33"/>
      <c r="CV11" s="34"/>
      <c r="CW11" s="35" t="str">
        <f t="shared" si="28"/>
        <v/>
      </c>
      <c r="CX11" s="36" t="str">
        <f t="shared" si="29"/>
        <v/>
      </c>
      <c r="CY11" s="37"/>
      <c r="CZ11" s="33"/>
      <c r="DA11" s="34"/>
      <c r="DB11" s="35" t="str">
        <f t="shared" si="30"/>
        <v/>
      </c>
      <c r="DC11" s="36" t="str">
        <f t="shared" si="31"/>
        <v/>
      </c>
      <c r="DD11" s="37"/>
      <c r="DE11" s="33"/>
      <c r="DF11" s="34"/>
      <c r="DG11" s="35" t="str">
        <f t="shared" si="32"/>
        <v/>
      </c>
      <c r="DH11" s="36" t="str">
        <f t="shared" si="33"/>
        <v/>
      </c>
      <c r="DI11" s="37"/>
      <c r="DJ11" s="33"/>
      <c r="DK11" s="34"/>
      <c r="DL11" s="35" t="str">
        <f t="shared" si="34"/>
        <v/>
      </c>
      <c r="DM11" s="36" t="str">
        <f t="shared" si="35"/>
        <v/>
      </c>
      <c r="DN11" s="37"/>
      <c r="DO11" s="33"/>
      <c r="DP11" s="34"/>
      <c r="DQ11" s="35" t="str">
        <f t="shared" si="36"/>
        <v/>
      </c>
      <c r="DR11" s="36" t="str">
        <f t="shared" si="37"/>
        <v/>
      </c>
      <c r="DS11" s="37"/>
      <c r="DT11" s="33"/>
      <c r="DU11" s="34"/>
      <c r="DV11" s="35" t="str">
        <f t="shared" si="38"/>
        <v/>
      </c>
      <c r="DW11" s="36" t="str">
        <f t="shared" si="39"/>
        <v/>
      </c>
      <c r="DX11" s="37"/>
      <c r="DY11" s="33"/>
      <c r="DZ11" s="34"/>
      <c r="EA11" s="35" t="str">
        <f t="shared" si="40"/>
        <v/>
      </c>
      <c r="EB11" s="36" t="str">
        <f t="shared" si="41"/>
        <v/>
      </c>
      <c r="EC11" s="37"/>
      <c r="ED11" s="33"/>
      <c r="EE11" s="34"/>
      <c r="EF11" s="35" t="str">
        <f t="shared" si="42"/>
        <v/>
      </c>
      <c r="EG11" s="36" t="str">
        <f t="shared" si="43"/>
        <v/>
      </c>
      <c r="EH11" s="37"/>
      <c r="EI11" s="33"/>
      <c r="EJ11" s="34"/>
      <c r="EK11" s="35" t="str">
        <f t="shared" si="44"/>
        <v/>
      </c>
      <c r="EL11" s="36" t="str">
        <f t="shared" si="45"/>
        <v/>
      </c>
      <c r="EM11" s="37"/>
      <c r="EN11" s="33"/>
      <c r="EO11" s="34"/>
      <c r="EP11" s="35" t="str">
        <f t="shared" si="46"/>
        <v/>
      </c>
      <c r="EQ11" s="36" t="str">
        <f t="shared" si="47"/>
        <v/>
      </c>
      <c r="ER11" s="37"/>
      <c r="ES11" s="33"/>
      <c r="ET11" s="34"/>
      <c r="EU11" s="35" t="str">
        <f t="shared" si="48"/>
        <v/>
      </c>
      <c r="EV11" s="36" t="str">
        <f t="shared" si="49"/>
        <v/>
      </c>
      <c r="EW11" s="37"/>
    </row>
    <row r="12" spans="1:153" ht="19.5" customHeight="1">
      <c r="A12" s="32">
        <f>IF(DAY(DATE(対象年度,3,9))&lt;&gt;9,"",9)</f>
        <v>9</v>
      </c>
      <c r="B12" s="32" t="str">
        <f>IF(DAY(DATE(対象年度,3,9))&lt;&gt;9,"",CHOOSE(WEEKDAY(DATE(対象年度,3,9),2),"月","火","水","木","金","土","日"))</f>
        <v>月</v>
      </c>
      <c r="C12" s="32" t="str">
        <f>IF(DAY(DATE(対象年度,3,9))&lt;&gt;9,"",IF(ISNUMBER(MATCH(DATE(対象年度,3,9),祝日リスト,0)),"祝",""))</f>
        <v/>
      </c>
      <c r="D12" s="38"/>
      <c r="E12" s="34"/>
      <c r="F12" s="35"/>
      <c r="G12" s="36"/>
      <c r="H12" s="37"/>
      <c r="I12" s="38"/>
      <c r="J12" s="34"/>
      <c r="K12" s="35"/>
      <c r="L12" s="36"/>
      <c r="M12" s="37"/>
      <c r="N12" s="38"/>
      <c r="O12" s="34"/>
      <c r="P12" s="35"/>
      <c r="Q12" s="36"/>
      <c r="R12" s="37"/>
      <c r="S12" s="38"/>
      <c r="T12" s="34"/>
      <c r="U12" s="35"/>
      <c r="V12" s="36"/>
      <c r="W12" s="37"/>
      <c r="X12" s="38"/>
      <c r="Y12" s="34"/>
      <c r="Z12" s="35"/>
      <c r="AA12" s="36"/>
      <c r="AB12" s="37"/>
      <c r="AC12" s="38"/>
      <c r="AD12" s="34"/>
      <c r="AE12" s="35" t="str">
        <f t="shared" si="0"/>
        <v/>
      </c>
      <c r="AF12" s="36" t="str">
        <f t="shared" si="1"/>
        <v/>
      </c>
      <c r="AG12" s="37"/>
      <c r="AH12" s="38"/>
      <c r="AI12" s="34"/>
      <c r="AJ12" s="35"/>
      <c r="AK12" s="36"/>
      <c r="AL12" s="37"/>
      <c r="AM12" s="38"/>
      <c r="AN12" s="34"/>
      <c r="AO12" s="35"/>
      <c r="AP12" s="36"/>
      <c r="AQ12" s="37"/>
      <c r="AR12" s="38"/>
      <c r="AS12" s="34"/>
      <c r="AT12" s="35"/>
      <c r="AU12" s="36"/>
      <c r="AV12" s="37"/>
      <c r="AW12" s="38"/>
      <c r="AX12" s="34"/>
      <c r="AY12" s="35"/>
      <c r="AZ12" s="36"/>
      <c r="BA12" s="37"/>
      <c r="BB12" s="38"/>
      <c r="BC12" s="34"/>
      <c r="BD12" s="35"/>
      <c r="BE12" s="36" t="str">
        <f t="shared" si="11"/>
        <v/>
      </c>
      <c r="BF12" s="37"/>
      <c r="BG12" s="38"/>
      <c r="BH12" s="34"/>
      <c r="BI12" s="35" t="str">
        <f t="shared" si="12"/>
        <v/>
      </c>
      <c r="BJ12" s="36" t="str">
        <f t="shared" si="13"/>
        <v/>
      </c>
      <c r="BK12" s="37"/>
      <c r="BL12" s="33"/>
      <c r="BM12" s="34"/>
      <c r="BN12" s="35" t="str">
        <f t="shared" si="14"/>
        <v/>
      </c>
      <c r="BO12" s="36" t="str">
        <f t="shared" si="15"/>
        <v/>
      </c>
      <c r="BP12" s="37"/>
      <c r="BQ12" s="33"/>
      <c r="BR12" s="34"/>
      <c r="BS12" s="35" t="str">
        <f t="shared" si="16"/>
        <v/>
      </c>
      <c r="BT12" s="36" t="str">
        <f t="shared" si="17"/>
        <v/>
      </c>
      <c r="BU12" s="37"/>
      <c r="BV12" s="33"/>
      <c r="BW12" s="34"/>
      <c r="BX12" s="35" t="str">
        <f t="shared" si="18"/>
        <v/>
      </c>
      <c r="BY12" s="36" t="str">
        <f t="shared" si="19"/>
        <v/>
      </c>
      <c r="BZ12" s="37"/>
      <c r="CA12" s="33"/>
      <c r="CB12" s="34"/>
      <c r="CC12" s="35" t="str">
        <f t="shared" si="20"/>
        <v/>
      </c>
      <c r="CD12" s="36" t="str">
        <f t="shared" si="21"/>
        <v/>
      </c>
      <c r="CE12" s="37"/>
      <c r="CF12" s="33"/>
      <c r="CG12" s="34"/>
      <c r="CH12" s="35" t="str">
        <f t="shared" si="22"/>
        <v/>
      </c>
      <c r="CI12" s="36" t="str">
        <f t="shared" si="23"/>
        <v/>
      </c>
      <c r="CJ12" s="37"/>
      <c r="CK12" s="33"/>
      <c r="CL12" s="34"/>
      <c r="CM12" s="35" t="str">
        <f t="shared" si="24"/>
        <v/>
      </c>
      <c r="CN12" s="36" t="str">
        <f t="shared" si="25"/>
        <v/>
      </c>
      <c r="CO12" s="37"/>
      <c r="CP12" s="33"/>
      <c r="CQ12" s="34"/>
      <c r="CR12" s="35" t="str">
        <f t="shared" si="26"/>
        <v/>
      </c>
      <c r="CS12" s="36" t="str">
        <f t="shared" si="27"/>
        <v/>
      </c>
      <c r="CT12" s="37"/>
      <c r="CU12" s="33"/>
      <c r="CV12" s="34"/>
      <c r="CW12" s="35" t="str">
        <f t="shared" si="28"/>
        <v/>
      </c>
      <c r="CX12" s="36" t="str">
        <f t="shared" si="29"/>
        <v/>
      </c>
      <c r="CY12" s="37"/>
      <c r="CZ12" s="33"/>
      <c r="DA12" s="34"/>
      <c r="DB12" s="35" t="str">
        <f t="shared" si="30"/>
        <v/>
      </c>
      <c r="DC12" s="36" t="str">
        <f t="shared" si="31"/>
        <v/>
      </c>
      <c r="DD12" s="37"/>
      <c r="DE12" s="33"/>
      <c r="DF12" s="34"/>
      <c r="DG12" s="35" t="str">
        <f t="shared" si="32"/>
        <v/>
      </c>
      <c r="DH12" s="36" t="str">
        <f t="shared" si="33"/>
        <v/>
      </c>
      <c r="DI12" s="37"/>
      <c r="DJ12" s="33"/>
      <c r="DK12" s="34"/>
      <c r="DL12" s="35" t="str">
        <f t="shared" si="34"/>
        <v/>
      </c>
      <c r="DM12" s="36" t="str">
        <f t="shared" si="35"/>
        <v/>
      </c>
      <c r="DN12" s="37"/>
      <c r="DO12" s="33"/>
      <c r="DP12" s="34"/>
      <c r="DQ12" s="35" t="str">
        <f t="shared" si="36"/>
        <v/>
      </c>
      <c r="DR12" s="36" t="str">
        <f t="shared" si="37"/>
        <v/>
      </c>
      <c r="DS12" s="37"/>
      <c r="DT12" s="33"/>
      <c r="DU12" s="34"/>
      <c r="DV12" s="35" t="str">
        <f t="shared" si="38"/>
        <v/>
      </c>
      <c r="DW12" s="36" t="str">
        <f t="shared" si="39"/>
        <v/>
      </c>
      <c r="DX12" s="37"/>
      <c r="DY12" s="33"/>
      <c r="DZ12" s="34"/>
      <c r="EA12" s="35" t="str">
        <f t="shared" si="40"/>
        <v/>
      </c>
      <c r="EB12" s="36" t="str">
        <f t="shared" si="41"/>
        <v/>
      </c>
      <c r="EC12" s="37"/>
      <c r="ED12" s="33"/>
      <c r="EE12" s="34"/>
      <c r="EF12" s="35" t="str">
        <f t="shared" si="42"/>
        <v/>
      </c>
      <c r="EG12" s="36" t="str">
        <f t="shared" si="43"/>
        <v/>
      </c>
      <c r="EH12" s="37"/>
      <c r="EI12" s="33"/>
      <c r="EJ12" s="34"/>
      <c r="EK12" s="35" t="str">
        <f t="shared" si="44"/>
        <v/>
      </c>
      <c r="EL12" s="36" t="str">
        <f t="shared" si="45"/>
        <v/>
      </c>
      <c r="EM12" s="37"/>
      <c r="EN12" s="33"/>
      <c r="EO12" s="34"/>
      <c r="EP12" s="35" t="str">
        <f t="shared" si="46"/>
        <v/>
      </c>
      <c r="EQ12" s="36" t="str">
        <f t="shared" si="47"/>
        <v/>
      </c>
      <c r="ER12" s="37"/>
      <c r="ES12" s="33"/>
      <c r="ET12" s="34"/>
      <c r="EU12" s="35" t="str">
        <f t="shared" si="48"/>
        <v/>
      </c>
      <c r="EV12" s="36" t="str">
        <f t="shared" si="49"/>
        <v/>
      </c>
      <c r="EW12" s="37"/>
    </row>
    <row r="13" spans="1:153" ht="19.5" customHeight="1">
      <c r="A13" s="32">
        <f>IF(DAY(DATE(対象年度,3,10))&lt;&gt;10,"",10)</f>
        <v>10</v>
      </c>
      <c r="B13" s="32" t="str">
        <f>IF(DAY(DATE(対象年度,3,10))&lt;&gt;10,"",CHOOSE(WEEKDAY(DATE(対象年度,3,10),2),"月","火","水","木","金","土","日"))</f>
        <v>火</v>
      </c>
      <c r="C13" s="32" t="str">
        <f>IF(DAY(DATE(対象年度,3,10))&lt;&gt;10,"",IF(ISNUMBER(MATCH(DATE(対象年度,3,10),祝日リスト,0)),"祝",""))</f>
        <v/>
      </c>
      <c r="D13" s="38"/>
      <c r="E13" s="34"/>
      <c r="F13" s="35"/>
      <c r="G13" s="36"/>
      <c r="H13" s="37"/>
      <c r="I13" s="33"/>
      <c r="J13" s="46"/>
      <c r="K13" s="35"/>
      <c r="L13" s="36"/>
      <c r="M13" s="37"/>
      <c r="N13" s="38"/>
      <c r="O13" s="34"/>
      <c r="P13" s="35"/>
      <c r="Q13" s="36"/>
      <c r="R13" s="37"/>
      <c r="S13" s="38"/>
      <c r="T13" s="34"/>
      <c r="U13" s="35"/>
      <c r="V13" s="36"/>
      <c r="W13" s="37"/>
      <c r="X13" s="38"/>
      <c r="Y13" s="34"/>
      <c r="Z13" s="35"/>
      <c r="AA13" s="36"/>
      <c r="AB13" s="37"/>
      <c r="AC13" s="33"/>
      <c r="AD13" s="46"/>
      <c r="AE13" s="35" t="str">
        <f t="shared" si="0"/>
        <v/>
      </c>
      <c r="AF13" s="36" t="str">
        <f t="shared" si="1"/>
        <v/>
      </c>
      <c r="AG13" s="37"/>
      <c r="AH13" s="33"/>
      <c r="AI13" s="34"/>
      <c r="AJ13" s="35"/>
      <c r="AK13" s="36"/>
      <c r="AL13" s="37"/>
      <c r="AM13" s="33"/>
      <c r="AN13" s="46"/>
      <c r="AO13" s="35"/>
      <c r="AP13" s="36"/>
      <c r="AQ13" s="37"/>
      <c r="AR13" s="33"/>
      <c r="AS13" s="46"/>
      <c r="AT13" s="35"/>
      <c r="AU13" s="36"/>
      <c r="AV13" s="37"/>
      <c r="AW13" s="38"/>
      <c r="AX13" s="34"/>
      <c r="AY13" s="35"/>
      <c r="AZ13" s="36"/>
      <c r="BA13" s="37"/>
      <c r="BB13" s="38"/>
      <c r="BC13" s="34"/>
      <c r="BD13" s="35"/>
      <c r="BE13" s="36" t="str">
        <f t="shared" si="11"/>
        <v/>
      </c>
      <c r="BF13" s="37"/>
      <c r="BG13" s="38"/>
      <c r="BH13" s="34"/>
      <c r="BI13" s="35" t="str">
        <f t="shared" si="12"/>
        <v/>
      </c>
      <c r="BJ13" s="36" t="str">
        <f t="shared" si="13"/>
        <v/>
      </c>
      <c r="BK13" s="37"/>
      <c r="BL13" s="33"/>
      <c r="BM13" s="34"/>
      <c r="BN13" s="35" t="str">
        <f t="shared" si="14"/>
        <v/>
      </c>
      <c r="BO13" s="36" t="str">
        <f t="shared" si="15"/>
        <v/>
      </c>
      <c r="BP13" s="37"/>
      <c r="BQ13" s="33"/>
      <c r="BR13" s="34"/>
      <c r="BS13" s="35" t="str">
        <f t="shared" si="16"/>
        <v/>
      </c>
      <c r="BT13" s="36" t="str">
        <f t="shared" si="17"/>
        <v/>
      </c>
      <c r="BU13" s="37"/>
      <c r="BV13" s="33"/>
      <c r="BW13" s="34"/>
      <c r="BX13" s="35" t="str">
        <f t="shared" si="18"/>
        <v/>
      </c>
      <c r="BY13" s="36" t="str">
        <f t="shared" si="19"/>
        <v/>
      </c>
      <c r="BZ13" s="37"/>
      <c r="CA13" s="33"/>
      <c r="CB13" s="34"/>
      <c r="CC13" s="35" t="str">
        <f t="shared" si="20"/>
        <v/>
      </c>
      <c r="CD13" s="36" t="str">
        <f t="shared" si="21"/>
        <v/>
      </c>
      <c r="CE13" s="37"/>
      <c r="CF13" s="33"/>
      <c r="CG13" s="34"/>
      <c r="CH13" s="35" t="str">
        <f t="shared" si="22"/>
        <v/>
      </c>
      <c r="CI13" s="36" t="str">
        <f t="shared" si="23"/>
        <v/>
      </c>
      <c r="CJ13" s="37"/>
      <c r="CK13" s="33"/>
      <c r="CL13" s="34"/>
      <c r="CM13" s="35" t="str">
        <f t="shared" si="24"/>
        <v/>
      </c>
      <c r="CN13" s="36" t="str">
        <f t="shared" si="25"/>
        <v/>
      </c>
      <c r="CO13" s="37"/>
      <c r="CP13" s="33"/>
      <c r="CQ13" s="34"/>
      <c r="CR13" s="35" t="str">
        <f t="shared" si="26"/>
        <v/>
      </c>
      <c r="CS13" s="36" t="str">
        <f t="shared" si="27"/>
        <v/>
      </c>
      <c r="CT13" s="37"/>
      <c r="CU13" s="33"/>
      <c r="CV13" s="34"/>
      <c r="CW13" s="35" t="str">
        <f t="shared" si="28"/>
        <v/>
      </c>
      <c r="CX13" s="36" t="str">
        <f t="shared" si="29"/>
        <v/>
      </c>
      <c r="CY13" s="37"/>
      <c r="CZ13" s="33"/>
      <c r="DA13" s="34"/>
      <c r="DB13" s="35" t="str">
        <f t="shared" si="30"/>
        <v/>
      </c>
      <c r="DC13" s="36" t="str">
        <f t="shared" si="31"/>
        <v/>
      </c>
      <c r="DD13" s="37"/>
      <c r="DE13" s="33"/>
      <c r="DF13" s="34"/>
      <c r="DG13" s="35" t="str">
        <f t="shared" si="32"/>
        <v/>
      </c>
      <c r="DH13" s="36" t="str">
        <f t="shared" si="33"/>
        <v/>
      </c>
      <c r="DI13" s="37"/>
      <c r="DJ13" s="33"/>
      <c r="DK13" s="34"/>
      <c r="DL13" s="35" t="str">
        <f t="shared" si="34"/>
        <v/>
      </c>
      <c r="DM13" s="36" t="str">
        <f t="shared" si="35"/>
        <v/>
      </c>
      <c r="DN13" s="37"/>
      <c r="DO13" s="33"/>
      <c r="DP13" s="34"/>
      <c r="DQ13" s="35" t="str">
        <f t="shared" si="36"/>
        <v/>
      </c>
      <c r="DR13" s="36" t="str">
        <f t="shared" si="37"/>
        <v/>
      </c>
      <c r="DS13" s="37"/>
      <c r="DT13" s="33"/>
      <c r="DU13" s="34"/>
      <c r="DV13" s="35" t="str">
        <f t="shared" si="38"/>
        <v/>
      </c>
      <c r="DW13" s="36" t="str">
        <f t="shared" si="39"/>
        <v/>
      </c>
      <c r="DX13" s="37"/>
      <c r="DY13" s="33"/>
      <c r="DZ13" s="34"/>
      <c r="EA13" s="35" t="str">
        <f t="shared" si="40"/>
        <v/>
      </c>
      <c r="EB13" s="36" t="str">
        <f t="shared" si="41"/>
        <v/>
      </c>
      <c r="EC13" s="37"/>
      <c r="ED13" s="33"/>
      <c r="EE13" s="34"/>
      <c r="EF13" s="35" t="str">
        <f t="shared" si="42"/>
        <v/>
      </c>
      <c r="EG13" s="36" t="str">
        <f t="shared" si="43"/>
        <v/>
      </c>
      <c r="EH13" s="37"/>
      <c r="EI13" s="33"/>
      <c r="EJ13" s="34"/>
      <c r="EK13" s="35" t="str">
        <f t="shared" si="44"/>
        <v/>
      </c>
      <c r="EL13" s="36" t="str">
        <f t="shared" si="45"/>
        <v/>
      </c>
      <c r="EM13" s="37"/>
      <c r="EN13" s="33"/>
      <c r="EO13" s="34"/>
      <c r="EP13" s="35" t="str">
        <f t="shared" si="46"/>
        <v/>
      </c>
      <c r="EQ13" s="36" t="str">
        <f t="shared" si="47"/>
        <v/>
      </c>
      <c r="ER13" s="37"/>
      <c r="ES13" s="33"/>
      <c r="ET13" s="34"/>
      <c r="EU13" s="35" t="str">
        <f t="shared" si="48"/>
        <v/>
      </c>
      <c r="EV13" s="36" t="str">
        <f t="shared" si="49"/>
        <v/>
      </c>
      <c r="EW13" s="37"/>
    </row>
    <row r="14" spans="1:153" ht="19.5" customHeight="1">
      <c r="A14" s="32">
        <f>IF(DAY(DATE(対象年度,3,11))&lt;&gt;11,"",11)</f>
        <v>11</v>
      </c>
      <c r="B14" s="32" t="str">
        <f>IF(DAY(DATE(対象年度,3,11))&lt;&gt;11,"",CHOOSE(WEEKDAY(DATE(対象年度,3,11),2),"月","火","水","木","金","土","日"))</f>
        <v>水</v>
      </c>
      <c r="C14" s="32" t="str">
        <f>IF(DAY(DATE(対象年度,3,11))&lt;&gt;11,"",IF(ISNUMBER(MATCH(DATE(対象年度,3,11),祝日リスト,0)),"祝",""))</f>
        <v/>
      </c>
      <c r="D14" s="38"/>
      <c r="E14" s="34"/>
      <c r="F14" s="35"/>
      <c r="G14" s="36"/>
      <c r="H14" s="37"/>
      <c r="I14" s="33"/>
      <c r="J14" s="34"/>
      <c r="K14" s="35"/>
      <c r="L14" s="36"/>
      <c r="M14" s="37"/>
      <c r="N14" s="38"/>
      <c r="O14" s="34"/>
      <c r="P14" s="35"/>
      <c r="Q14" s="36"/>
      <c r="R14" s="37"/>
      <c r="S14" s="38"/>
      <c r="T14" s="34"/>
      <c r="U14" s="35"/>
      <c r="V14" s="36"/>
      <c r="W14" s="37"/>
      <c r="X14" s="38"/>
      <c r="Y14" s="34"/>
      <c r="Z14" s="35"/>
      <c r="AA14" s="36"/>
      <c r="AB14" s="37"/>
      <c r="AC14" s="33"/>
      <c r="AD14" s="34"/>
      <c r="AE14" s="35" t="str">
        <f t="shared" si="0"/>
        <v/>
      </c>
      <c r="AF14" s="36" t="str">
        <f t="shared" si="1"/>
        <v/>
      </c>
      <c r="AG14" s="37"/>
      <c r="AH14" s="38"/>
      <c r="AI14" s="34"/>
      <c r="AJ14" s="35"/>
      <c r="AK14" s="36"/>
      <c r="AL14" s="37"/>
      <c r="AM14" s="33"/>
      <c r="AN14" s="34"/>
      <c r="AO14" s="35"/>
      <c r="AP14" s="36"/>
      <c r="AQ14" s="37"/>
      <c r="AR14" s="33"/>
      <c r="AS14" s="34"/>
      <c r="AT14" s="35"/>
      <c r="AU14" s="36"/>
      <c r="AV14" s="37"/>
      <c r="AW14" s="38"/>
      <c r="AX14" s="34"/>
      <c r="AY14" s="35"/>
      <c r="AZ14" s="36"/>
      <c r="BA14" s="37"/>
      <c r="BB14" s="38"/>
      <c r="BC14" s="34"/>
      <c r="BD14" s="35"/>
      <c r="BE14" s="36" t="str">
        <f t="shared" si="11"/>
        <v/>
      </c>
      <c r="BF14" s="37"/>
      <c r="BG14" s="38"/>
      <c r="BH14" s="34"/>
      <c r="BI14" s="35" t="str">
        <f t="shared" si="12"/>
        <v/>
      </c>
      <c r="BJ14" s="36" t="str">
        <f t="shared" si="13"/>
        <v/>
      </c>
      <c r="BK14" s="37"/>
      <c r="BL14" s="33"/>
      <c r="BM14" s="34"/>
      <c r="BN14" s="35" t="str">
        <f t="shared" si="14"/>
        <v/>
      </c>
      <c r="BO14" s="36" t="str">
        <f t="shared" si="15"/>
        <v/>
      </c>
      <c r="BP14" s="37"/>
      <c r="BQ14" s="33"/>
      <c r="BR14" s="34"/>
      <c r="BS14" s="35" t="str">
        <f t="shared" si="16"/>
        <v/>
      </c>
      <c r="BT14" s="36" t="str">
        <f t="shared" si="17"/>
        <v/>
      </c>
      <c r="BU14" s="37"/>
      <c r="BV14" s="33"/>
      <c r="BW14" s="34"/>
      <c r="BX14" s="35" t="str">
        <f t="shared" si="18"/>
        <v/>
      </c>
      <c r="BY14" s="36" t="str">
        <f t="shared" si="19"/>
        <v/>
      </c>
      <c r="BZ14" s="37"/>
      <c r="CA14" s="33"/>
      <c r="CB14" s="34"/>
      <c r="CC14" s="35" t="str">
        <f t="shared" si="20"/>
        <v/>
      </c>
      <c r="CD14" s="36" t="str">
        <f t="shared" si="21"/>
        <v/>
      </c>
      <c r="CE14" s="37"/>
      <c r="CF14" s="33"/>
      <c r="CG14" s="34"/>
      <c r="CH14" s="35" t="str">
        <f t="shared" si="22"/>
        <v/>
      </c>
      <c r="CI14" s="36" t="str">
        <f t="shared" si="23"/>
        <v/>
      </c>
      <c r="CJ14" s="37"/>
      <c r="CK14" s="33"/>
      <c r="CL14" s="34"/>
      <c r="CM14" s="35" t="str">
        <f t="shared" si="24"/>
        <v/>
      </c>
      <c r="CN14" s="36" t="str">
        <f t="shared" si="25"/>
        <v/>
      </c>
      <c r="CO14" s="37"/>
      <c r="CP14" s="33"/>
      <c r="CQ14" s="34"/>
      <c r="CR14" s="35" t="str">
        <f t="shared" si="26"/>
        <v/>
      </c>
      <c r="CS14" s="36" t="str">
        <f t="shared" si="27"/>
        <v/>
      </c>
      <c r="CT14" s="37"/>
      <c r="CU14" s="33"/>
      <c r="CV14" s="34"/>
      <c r="CW14" s="35" t="str">
        <f t="shared" si="28"/>
        <v/>
      </c>
      <c r="CX14" s="36" t="str">
        <f t="shared" si="29"/>
        <v/>
      </c>
      <c r="CY14" s="37"/>
      <c r="CZ14" s="33"/>
      <c r="DA14" s="34"/>
      <c r="DB14" s="35" t="str">
        <f t="shared" si="30"/>
        <v/>
      </c>
      <c r="DC14" s="36" t="str">
        <f t="shared" si="31"/>
        <v/>
      </c>
      <c r="DD14" s="37"/>
      <c r="DE14" s="33"/>
      <c r="DF14" s="34"/>
      <c r="DG14" s="35" t="str">
        <f t="shared" si="32"/>
        <v/>
      </c>
      <c r="DH14" s="36" t="str">
        <f t="shared" si="33"/>
        <v/>
      </c>
      <c r="DI14" s="37"/>
      <c r="DJ14" s="33"/>
      <c r="DK14" s="34"/>
      <c r="DL14" s="35" t="str">
        <f t="shared" si="34"/>
        <v/>
      </c>
      <c r="DM14" s="36" t="str">
        <f t="shared" si="35"/>
        <v/>
      </c>
      <c r="DN14" s="37"/>
      <c r="DO14" s="33"/>
      <c r="DP14" s="34"/>
      <c r="DQ14" s="35" t="str">
        <f t="shared" si="36"/>
        <v/>
      </c>
      <c r="DR14" s="36" t="str">
        <f t="shared" si="37"/>
        <v/>
      </c>
      <c r="DS14" s="37"/>
      <c r="DT14" s="33"/>
      <c r="DU14" s="34"/>
      <c r="DV14" s="35" t="str">
        <f t="shared" si="38"/>
        <v/>
      </c>
      <c r="DW14" s="36" t="str">
        <f t="shared" si="39"/>
        <v/>
      </c>
      <c r="DX14" s="37"/>
      <c r="DY14" s="33"/>
      <c r="DZ14" s="34"/>
      <c r="EA14" s="35" t="str">
        <f t="shared" si="40"/>
        <v/>
      </c>
      <c r="EB14" s="36" t="str">
        <f t="shared" si="41"/>
        <v/>
      </c>
      <c r="EC14" s="37"/>
      <c r="ED14" s="33"/>
      <c r="EE14" s="34"/>
      <c r="EF14" s="35" t="str">
        <f t="shared" si="42"/>
        <v/>
      </c>
      <c r="EG14" s="36" t="str">
        <f t="shared" si="43"/>
        <v/>
      </c>
      <c r="EH14" s="37"/>
      <c r="EI14" s="33"/>
      <c r="EJ14" s="34"/>
      <c r="EK14" s="35" t="str">
        <f t="shared" si="44"/>
        <v/>
      </c>
      <c r="EL14" s="36" t="str">
        <f t="shared" si="45"/>
        <v/>
      </c>
      <c r="EM14" s="37"/>
      <c r="EN14" s="33"/>
      <c r="EO14" s="34"/>
      <c r="EP14" s="35" t="str">
        <f t="shared" si="46"/>
        <v/>
      </c>
      <c r="EQ14" s="36" t="str">
        <f t="shared" si="47"/>
        <v/>
      </c>
      <c r="ER14" s="37"/>
      <c r="ES14" s="33"/>
      <c r="ET14" s="34"/>
      <c r="EU14" s="35" t="str">
        <f t="shared" si="48"/>
        <v/>
      </c>
      <c r="EV14" s="36" t="str">
        <f t="shared" si="49"/>
        <v/>
      </c>
      <c r="EW14" s="37"/>
    </row>
    <row r="15" spans="1:153" ht="19.5" customHeight="1">
      <c r="A15" s="32">
        <f>IF(DAY(DATE(対象年度,3,12))&lt;&gt;12,"",12)</f>
        <v>12</v>
      </c>
      <c r="B15" s="32" t="str">
        <f>IF(DAY(DATE(対象年度,3,12))&lt;&gt;12,"",CHOOSE(WEEKDAY(DATE(対象年度,3,12),2),"月","火","水","木","金","土","日"))</f>
        <v>木</v>
      </c>
      <c r="C15" s="32" t="str">
        <f>IF(DAY(DATE(対象年度,3,12))&lt;&gt;12,"",IF(ISNUMBER(MATCH(DATE(対象年度,3,12),祝日リスト,0)),"祝",""))</f>
        <v/>
      </c>
      <c r="D15" s="38"/>
      <c r="E15" s="34"/>
      <c r="F15" s="35"/>
      <c r="G15" s="36"/>
      <c r="H15" s="37"/>
      <c r="I15" s="33"/>
      <c r="J15" s="46"/>
      <c r="K15" s="35"/>
      <c r="L15" s="36"/>
      <c r="M15" s="37"/>
      <c r="N15" s="38"/>
      <c r="O15" s="34"/>
      <c r="P15" s="35"/>
      <c r="Q15" s="36"/>
      <c r="R15" s="37"/>
      <c r="S15" s="38"/>
      <c r="T15" s="34"/>
      <c r="U15" s="35"/>
      <c r="V15" s="36"/>
      <c r="W15" s="37"/>
      <c r="X15" s="38"/>
      <c r="Y15" s="34"/>
      <c r="Z15" s="35"/>
      <c r="AA15" s="36"/>
      <c r="AB15" s="37"/>
      <c r="AC15" s="33"/>
      <c r="AD15" s="46"/>
      <c r="AE15" s="35" t="str">
        <f t="shared" si="0"/>
        <v/>
      </c>
      <c r="AF15" s="36" t="str">
        <f t="shared" si="1"/>
        <v/>
      </c>
      <c r="AG15" s="37"/>
      <c r="AH15" s="38"/>
      <c r="AI15" s="34"/>
      <c r="AJ15" s="35"/>
      <c r="AK15" s="36"/>
      <c r="AL15" s="37"/>
      <c r="AM15" s="33"/>
      <c r="AN15" s="46"/>
      <c r="AO15" s="35"/>
      <c r="AP15" s="36"/>
      <c r="AQ15" s="37"/>
      <c r="AR15" s="38"/>
      <c r="AS15" s="34"/>
      <c r="AT15" s="35"/>
      <c r="AU15" s="36"/>
      <c r="AV15" s="37"/>
      <c r="AW15" s="38"/>
      <c r="AX15" s="34"/>
      <c r="AY15" s="35"/>
      <c r="AZ15" s="36"/>
      <c r="BA15" s="37"/>
      <c r="BB15" s="38"/>
      <c r="BC15" s="34"/>
      <c r="BD15" s="35"/>
      <c r="BE15" s="36" t="str">
        <f t="shared" si="11"/>
        <v/>
      </c>
      <c r="BF15" s="37"/>
      <c r="BG15" s="38"/>
      <c r="BH15" s="34"/>
      <c r="BI15" s="35" t="str">
        <f t="shared" si="12"/>
        <v/>
      </c>
      <c r="BJ15" s="36" t="str">
        <f t="shared" si="13"/>
        <v/>
      </c>
      <c r="BK15" s="37"/>
      <c r="BL15" s="33"/>
      <c r="BM15" s="34"/>
      <c r="BN15" s="35" t="str">
        <f t="shared" si="14"/>
        <v/>
      </c>
      <c r="BO15" s="36" t="str">
        <f t="shared" si="15"/>
        <v/>
      </c>
      <c r="BP15" s="37"/>
      <c r="BQ15" s="33"/>
      <c r="BR15" s="34"/>
      <c r="BS15" s="35" t="str">
        <f t="shared" si="16"/>
        <v/>
      </c>
      <c r="BT15" s="36" t="str">
        <f t="shared" si="17"/>
        <v/>
      </c>
      <c r="BU15" s="37"/>
      <c r="BV15" s="33"/>
      <c r="BW15" s="34"/>
      <c r="BX15" s="35" t="str">
        <f t="shared" si="18"/>
        <v/>
      </c>
      <c r="BY15" s="36" t="str">
        <f t="shared" si="19"/>
        <v/>
      </c>
      <c r="BZ15" s="37"/>
      <c r="CA15" s="33"/>
      <c r="CB15" s="34"/>
      <c r="CC15" s="35" t="str">
        <f t="shared" si="20"/>
        <v/>
      </c>
      <c r="CD15" s="36" t="str">
        <f t="shared" si="21"/>
        <v/>
      </c>
      <c r="CE15" s="37"/>
      <c r="CF15" s="33"/>
      <c r="CG15" s="34"/>
      <c r="CH15" s="35" t="str">
        <f t="shared" si="22"/>
        <v/>
      </c>
      <c r="CI15" s="36" t="str">
        <f t="shared" si="23"/>
        <v/>
      </c>
      <c r="CJ15" s="37"/>
      <c r="CK15" s="33"/>
      <c r="CL15" s="34"/>
      <c r="CM15" s="35" t="str">
        <f t="shared" si="24"/>
        <v/>
      </c>
      <c r="CN15" s="36" t="str">
        <f t="shared" si="25"/>
        <v/>
      </c>
      <c r="CO15" s="37"/>
      <c r="CP15" s="33"/>
      <c r="CQ15" s="34"/>
      <c r="CR15" s="35" t="str">
        <f t="shared" si="26"/>
        <v/>
      </c>
      <c r="CS15" s="36" t="str">
        <f t="shared" si="27"/>
        <v/>
      </c>
      <c r="CT15" s="37"/>
      <c r="CU15" s="33"/>
      <c r="CV15" s="34"/>
      <c r="CW15" s="35" t="str">
        <f t="shared" si="28"/>
        <v/>
      </c>
      <c r="CX15" s="36" t="str">
        <f t="shared" si="29"/>
        <v/>
      </c>
      <c r="CY15" s="37"/>
      <c r="CZ15" s="33"/>
      <c r="DA15" s="34"/>
      <c r="DB15" s="35" t="str">
        <f t="shared" si="30"/>
        <v/>
      </c>
      <c r="DC15" s="36" t="str">
        <f t="shared" si="31"/>
        <v/>
      </c>
      <c r="DD15" s="37"/>
      <c r="DE15" s="33"/>
      <c r="DF15" s="34"/>
      <c r="DG15" s="35" t="str">
        <f t="shared" si="32"/>
        <v/>
      </c>
      <c r="DH15" s="36" t="str">
        <f t="shared" si="33"/>
        <v/>
      </c>
      <c r="DI15" s="37"/>
      <c r="DJ15" s="33"/>
      <c r="DK15" s="34"/>
      <c r="DL15" s="35" t="str">
        <f t="shared" si="34"/>
        <v/>
      </c>
      <c r="DM15" s="36" t="str">
        <f t="shared" si="35"/>
        <v/>
      </c>
      <c r="DN15" s="37"/>
      <c r="DO15" s="33"/>
      <c r="DP15" s="34"/>
      <c r="DQ15" s="35" t="str">
        <f t="shared" si="36"/>
        <v/>
      </c>
      <c r="DR15" s="36" t="str">
        <f t="shared" si="37"/>
        <v/>
      </c>
      <c r="DS15" s="37"/>
      <c r="DT15" s="33"/>
      <c r="DU15" s="34"/>
      <c r="DV15" s="35" t="str">
        <f t="shared" si="38"/>
        <v/>
      </c>
      <c r="DW15" s="36" t="str">
        <f t="shared" si="39"/>
        <v/>
      </c>
      <c r="DX15" s="37"/>
      <c r="DY15" s="33"/>
      <c r="DZ15" s="34"/>
      <c r="EA15" s="35" t="str">
        <f t="shared" si="40"/>
        <v/>
      </c>
      <c r="EB15" s="36" t="str">
        <f t="shared" si="41"/>
        <v/>
      </c>
      <c r="EC15" s="37"/>
      <c r="ED15" s="33"/>
      <c r="EE15" s="34"/>
      <c r="EF15" s="35" t="str">
        <f t="shared" si="42"/>
        <v/>
      </c>
      <c r="EG15" s="36" t="str">
        <f t="shared" si="43"/>
        <v/>
      </c>
      <c r="EH15" s="37"/>
      <c r="EI15" s="33"/>
      <c r="EJ15" s="34"/>
      <c r="EK15" s="35" t="str">
        <f t="shared" si="44"/>
        <v/>
      </c>
      <c r="EL15" s="36" t="str">
        <f t="shared" si="45"/>
        <v/>
      </c>
      <c r="EM15" s="37"/>
      <c r="EN15" s="33"/>
      <c r="EO15" s="34"/>
      <c r="EP15" s="35" t="str">
        <f t="shared" si="46"/>
        <v/>
      </c>
      <c r="EQ15" s="36" t="str">
        <f t="shared" si="47"/>
        <v/>
      </c>
      <c r="ER15" s="37"/>
      <c r="ES15" s="33"/>
      <c r="ET15" s="34"/>
      <c r="EU15" s="35" t="str">
        <f t="shared" si="48"/>
        <v/>
      </c>
      <c r="EV15" s="36" t="str">
        <f t="shared" si="49"/>
        <v/>
      </c>
      <c r="EW15" s="37"/>
    </row>
    <row r="16" spans="1:153" ht="19.5" customHeight="1">
      <c r="A16" s="32">
        <f>IF(DAY(DATE(対象年度,3,13))&lt;&gt;13,"",13)</f>
        <v>13</v>
      </c>
      <c r="B16" s="32" t="str">
        <f>IF(DAY(DATE(対象年度,3,13))&lt;&gt;13,"",CHOOSE(WEEKDAY(DATE(対象年度,3,13),2),"月","火","水","木","金","土","日"))</f>
        <v>金</v>
      </c>
      <c r="C16" s="32" t="str">
        <f>IF(DAY(DATE(対象年度,3,13))&lt;&gt;13,"",IF(ISNUMBER(MATCH(DATE(対象年度,3,13),祝日リスト,0)),"祝",""))</f>
        <v/>
      </c>
      <c r="D16" s="38"/>
      <c r="E16" s="34"/>
      <c r="F16" s="35"/>
      <c r="G16" s="36"/>
      <c r="H16" s="37"/>
      <c r="I16" s="38"/>
      <c r="J16" s="34"/>
      <c r="K16" s="35"/>
      <c r="L16" s="36"/>
      <c r="M16" s="37"/>
      <c r="N16" s="38"/>
      <c r="O16" s="34"/>
      <c r="P16" s="35"/>
      <c r="Q16" s="36"/>
      <c r="R16" s="37"/>
      <c r="S16" s="38"/>
      <c r="T16" s="34"/>
      <c r="U16" s="35"/>
      <c r="V16" s="36"/>
      <c r="W16" s="37"/>
      <c r="X16" s="38"/>
      <c r="Y16" s="34"/>
      <c r="Z16" s="35"/>
      <c r="AA16" s="36"/>
      <c r="AB16" s="37"/>
      <c r="AC16" s="38"/>
      <c r="AD16" s="34"/>
      <c r="AE16" s="35" t="str">
        <f t="shared" si="0"/>
        <v/>
      </c>
      <c r="AF16" s="36" t="str">
        <f t="shared" si="1"/>
        <v/>
      </c>
      <c r="AG16" s="37"/>
      <c r="AH16" s="38"/>
      <c r="AI16" s="34"/>
      <c r="AJ16" s="35"/>
      <c r="AK16" s="36"/>
      <c r="AL16" s="37"/>
      <c r="AM16" s="38"/>
      <c r="AN16" s="34"/>
      <c r="AO16" s="35"/>
      <c r="AP16" s="36"/>
      <c r="AQ16" s="37"/>
      <c r="AR16" s="38"/>
      <c r="AS16" s="34"/>
      <c r="AT16" s="35"/>
      <c r="AU16" s="36"/>
      <c r="AV16" s="37"/>
      <c r="AW16" s="38"/>
      <c r="AX16" s="34"/>
      <c r="AY16" s="35"/>
      <c r="AZ16" s="36"/>
      <c r="BA16" s="37"/>
      <c r="BB16" s="38"/>
      <c r="BC16" s="34"/>
      <c r="BD16" s="35"/>
      <c r="BE16" s="36" t="str">
        <f t="shared" si="11"/>
        <v/>
      </c>
      <c r="BF16" s="37"/>
      <c r="BG16" s="38"/>
      <c r="BH16" s="34"/>
      <c r="BI16" s="35" t="str">
        <f t="shared" si="12"/>
        <v/>
      </c>
      <c r="BJ16" s="36" t="str">
        <f t="shared" si="13"/>
        <v/>
      </c>
      <c r="BK16" s="37"/>
      <c r="BL16" s="33"/>
      <c r="BM16" s="34"/>
      <c r="BN16" s="35" t="str">
        <f t="shared" si="14"/>
        <v/>
      </c>
      <c r="BO16" s="36" t="str">
        <f t="shared" si="15"/>
        <v/>
      </c>
      <c r="BP16" s="37"/>
      <c r="BQ16" s="33"/>
      <c r="BR16" s="34"/>
      <c r="BS16" s="35" t="str">
        <f t="shared" si="16"/>
        <v/>
      </c>
      <c r="BT16" s="36" t="str">
        <f t="shared" si="17"/>
        <v/>
      </c>
      <c r="BU16" s="37"/>
      <c r="BV16" s="33"/>
      <c r="BW16" s="34"/>
      <c r="BX16" s="35" t="str">
        <f t="shared" si="18"/>
        <v/>
      </c>
      <c r="BY16" s="36" t="str">
        <f t="shared" si="19"/>
        <v/>
      </c>
      <c r="BZ16" s="37"/>
      <c r="CA16" s="33"/>
      <c r="CB16" s="34"/>
      <c r="CC16" s="35" t="str">
        <f t="shared" si="20"/>
        <v/>
      </c>
      <c r="CD16" s="36" t="str">
        <f t="shared" si="21"/>
        <v/>
      </c>
      <c r="CE16" s="37"/>
      <c r="CF16" s="33"/>
      <c r="CG16" s="34"/>
      <c r="CH16" s="35" t="str">
        <f t="shared" si="22"/>
        <v/>
      </c>
      <c r="CI16" s="36" t="str">
        <f t="shared" si="23"/>
        <v/>
      </c>
      <c r="CJ16" s="37"/>
      <c r="CK16" s="33"/>
      <c r="CL16" s="34"/>
      <c r="CM16" s="35" t="str">
        <f t="shared" si="24"/>
        <v/>
      </c>
      <c r="CN16" s="36" t="str">
        <f t="shared" si="25"/>
        <v/>
      </c>
      <c r="CO16" s="37"/>
      <c r="CP16" s="33"/>
      <c r="CQ16" s="34"/>
      <c r="CR16" s="35" t="str">
        <f t="shared" si="26"/>
        <v/>
      </c>
      <c r="CS16" s="36" t="str">
        <f t="shared" si="27"/>
        <v/>
      </c>
      <c r="CT16" s="37"/>
      <c r="CU16" s="33"/>
      <c r="CV16" s="34"/>
      <c r="CW16" s="35" t="str">
        <f t="shared" si="28"/>
        <v/>
      </c>
      <c r="CX16" s="36" t="str">
        <f t="shared" si="29"/>
        <v/>
      </c>
      <c r="CY16" s="37"/>
      <c r="CZ16" s="33"/>
      <c r="DA16" s="34"/>
      <c r="DB16" s="35" t="str">
        <f t="shared" si="30"/>
        <v/>
      </c>
      <c r="DC16" s="36" t="str">
        <f t="shared" si="31"/>
        <v/>
      </c>
      <c r="DD16" s="37"/>
      <c r="DE16" s="33"/>
      <c r="DF16" s="34"/>
      <c r="DG16" s="35" t="str">
        <f t="shared" si="32"/>
        <v/>
      </c>
      <c r="DH16" s="36" t="str">
        <f t="shared" si="33"/>
        <v/>
      </c>
      <c r="DI16" s="37"/>
      <c r="DJ16" s="33"/>
      <c r="DK16" s="34"/>
      <c r="DL16" s="35" t="str">
        <f t="shared" si="34"/>
        <v/>
      </c>
      <c r="DM16" s="36" t="str">
        <f t="shared" si="35"/>
        <v/>
      </c>
      <c r="DN16" s="37"/>
      <c r="DO16" s="33"/>
      <c r="DP16" s="34"/>
      <c r="DQ16" s="35" t="str">
        <f t="shared" si="36"/>
        <v/>
      </c>
      <c r="DR16" s="36" t="str">
        <f t="shared" si="37"/>
        <v/>
      </c>
      <c r="DS16" s="37"/>
      <c r="DT16" s="33"/>
      <c r="DU16" s="34"/>
      <c r="DV16" s="35" t="str">
        <f t="shared" si="38"/>
        <v/>
      </c>
      <c r="DW16" s="36" t="str">
        <f t="shared" si="39"/>
        <v/>
      </c>
      <c r="DX16" s="37"/>
      <c r="DY16" s="33"/>
      <c r="DZ16" s="34"/>
      <c r="EA16" s="35" t="str">
        <f t="shared" si="40"/>
        <v/>
      </c>
      <c r="EB16" s="36" t="str">
        <f t="shared" si="41"/>
        <v/>
      </c>
      <c r="EC16" s="37"/>
      <c r="ED16" s="33"/>
      <c r="EE16" s="34"/>
      <c r="EF16" s="35" t="str">
        <f t="shared" si="42"/>
        <v/>
      </c>
      <c r="EG16" s="36" t="str">
        <f t="shared" si="43"/>
        <v/>
      </c>
      <c r="EH16" s="37"/>
      <c r="EI16" s="33"/>
      <c r="EJ16" s="34"/>
      <c r="EK16" s="35" t="str">
        <f t="shared" si="44"/>
        <v/>
      </c>
      <c r="EL16" s="36" t="str">
        <f t="shared" si="45"/>
        <v/>
      </c>
      <c r="EM16" s="37"/>
      <c r="EN16" s="33"/>
      <c r="EO16" s="34"/>
      <c r="EP16" s="35" t="str">
        <f t="shared" si="46"/>
        <v/>
      </c>
      <c r="EQ16" s="36" t="str">
        <f t="shared" si="47"/>
        <v/>
      </c>
      <c r="ER16" s="37"/>
      <c r="ES16" s="33"/>
      <c r="ET16" s="34"/>
      <c r="EU16" s="35" t="str">
        <f t="shared" si="48"/>
        <v/>
      </c>
      <c r="EV16" s="36" t="str">
        <f t="shared" si="49"/>
        <v/>
      </c>
      <c r="EW16" s="37"/>
    </row>
    <row r="17" spans="1:153" ht="19.5" customHeight="1">
      <c r="A17" s="32">
        <f>IF(DAY(DATE(対象年度,3,14))&lt;&gt;14,"",14)</f>
        <v>14</v>
      </c>
      <c r="B17" s="32" t="str">
        <f>IF(DAY(DATE(対象年度,3,14))&lt;&gt;14,"",CHOOSE(WEEKDAY(DATE(対象年度,3,14),2),"月","火","水","木","金","土","日"))</f>
        <v>土</v>
      </c>
      <c r="C17" s="32" t="str">
        <f>IF(DAY(DATE(対象年度,3,14))&lt;&gt;14,"",IF(ISNUMBER(MATCH(DATE(対象年度,3,14),祝日リスト,0)),"祝",""))</f>
        <v/>
      </c>
      <c r="D17" s="33"/>
      <c r="E17" s="34"/>
      <c r="F17" s="35"/>
      <c r="G17" s="36"/>
      <c r="H17" s="37"/>
      <c r="I17" s="38"/>
      <c r="J17" s="34"/>
      <c r="K17" s="35"/>
      <c r="L17" s="36"/>
      <c r="M17" s="37"/>
      <c r="N17" s="38"/>
      <c r="O17" s="34"/>
      <c r="P17" s="35"/>
      <c r="Q17" s="36"/>
      <c r="R17" s="37"/>
      <c r="S17" s="38"/>
      <c r="T17" s="34"/>
      <c r="U17" s="35"/>
      <c r="V17" s="36"/>
      <c r="W17" s="37"/>
      <c r="X17" s="38"/>
      <c r="Y17" s="34"/>
      <c r="Z17" s="35"/>
      <c r="AA17" s="36"/>
      <c r="AB17" s="37"/>
      <c r="AC17" s="38"/>
      <c r="AD17" s="34"/>
      <c r="AE17" s="35" t="str">
        <f t="shared" si="0"/>
        <v/>
      </c>
      <c r="AF17" s="36" t="str">
        <f t="shared" si="1"/>
        <v/>
      </c>
      <c r="AG17" s="37"/>
      <c r="AH17" s="33"/>
      <c r="AI17" s="34"/>
      <c r="AJ17" s="35"/>
      <c r="AK17" s="36"/>
      <c r="AL17" s="37"/>
      <c r="AM17" s="38"/>
      <c r="AN17" s="34"/>
      <c r="AO17" s="35"/>
      <c r="AP17" s="36"/>
      <c r="AQ17" s="37"/>
      <c r="AR17" s="38"/>
      <c r="AS17" s="34"/>
      <c r="AT17" s="35"/>
      <c r="AU17" s="36"/>
      <c r="AV17" s="37"/>
      <c r="AW17" s="33"/>
      <c r="AX17" s="34"/>
      <c r="AY17" s="35"/>
      <c r="AZ17" s="36"/>
      <c r="BA17" s="37"/>
      <c r="BB17" s="33"/>
      <c r="BC17" s="34"/>
      <c r="BD17" s="35"/>
      <c r="BE17" s="36" t="str">
        <f t="shared" si="11"/>
        <v/>
      </c>
      <c r="BF17" s="37"/>
      <c r="BG17" s="38"/>
      <c r="BH17" s="34"/>
      <c r="BI17" s="35" t="str">
        <f t="shared" si="12"/>
        <v/>
      </c>
      <c r="BJ17" s="36" t="str">
        <f t="shared" si="13"/>
        <v/>
      </c>
      <c r="BK17" s="37"/>
      <c r="BL17" s="33"/>
      <c r="BM17" s="34"/>
      <c r="BN17" s="35" t="str">
        <f t="shared" si="14"/>
        <v/>
      </c>
      <c r="BO17" s="36" t="str">
        <f t="shared" si="15"/>
        <v/>
      </c>
      <c r="BP17" s="37"/>
      <c r="BQ17" s="33"/>
      <c r="BR17" s="34"/>
      <c r="BS17" s="35" t="str">
        <f t="shared" si="16"/>
        <v/>
      </c>
      <c r="BT17" s="36" t="str">
        <f t="shared" si="17"/>
        <v/>
      </c>
      <c r="BU17" s="37"/>
      <c r="BV17" s="33"/>
      <c r="BW17" s="34"/>
      <c r="BX17" s="35" t="str">
        <f t="shared" si="18"/>
        <v/>
      </c>
      <c r="BY17" s="36" t="str">
        <f t="shared" si="19"/>
        <v/>
      </c>
      <c r="BZ17" s="37"/>
      <c r="CA17" s="33"/>
      <c r="CB17" s="34"/>
      <c r="CC17" s="35" t="str">
        <f t="shared" si="20"/>
        <v/>
      </c>
      <c r="CD17" s="36" t="str">
        <f t="shared" si="21"/>
        <v/>
      </c>
      <c r="CE17" s="37"/>
      <c r="CF17" s="33"/>
      <c r="CG17" s="34"/>
      <c r="CH17" s="35" t="str">
        <f t="shared" si="22"/>
        <v/>
      </c>
      <c r="CI17" s="36" t="str">
        <f t="shared" si="23"/>
        <v/>
      </c>
      <c r="CJ17" s="37"/>
      <c r="CK17" s="33"/>
      <c r="CL17" s="34"/>
      <c r="CM17" s="35" t="str">
        <f t="shared" si="24"/>
        <v/>
      </c>
      <c r="CN17" s="36" t="str">
        <f t="shared" si="25"/>
        <v/>
      </c>
      <c r="CO17" s="37"/>
      <c r="CP17" s="33"/>
      <c r="CQ17" s="34"/>
      <c r="CR17" s="35" t="str">
        <f t="shared" si="26"/>
        <v/>
      </c>
      <c r="CS17" s="36" t="str">
        <f t="shared" si="27"/>
        <v/>
      </c>
      <c r="CT17" s="37"/>
      <c r="CU17" s="33"/>
      <c r="CV17" s="34"/>
      <c r="CW17" s="35" t="str">
        <f t="shared" si="28"/>
        <v/>
      </c>
      <c r="CX17" s="36" t="str">
        <f t="shared" si="29"/>
        <v/>
      </c>
      <c r="CY17" s="37"/>
      <c r="CZ17" s="33"/>
      <c r="DA17" s="34"/>
      <c r="DB17" s="35" t="str">
        <f t="shared" si="30"/>
        <v/>
      </c>
      <c r="DC17" s="36" t="str">
        <f t="shared" si="31"/>
        <v/>
      </c>
      <c r="DD17" s="37"/>
      <c r="DE17" s="33"/>
      <c r="DF17" s="34"/>
      <c r="DG17" s="35" t="str">
        <f t="shared" si="32"/>
        <v/>
      </c>
      <c r="DH17" s="36" t="str">
        <f t="shared" si="33"/>
        <v/>
      </c>
      <c r="DI17" s="37"/>
      <c r="DJ17" s="33"/>
      <c r="DK17" s="34"/>
      <c r="DL17" s="35" t="str">
        <f t="shared" si="34"/>
        <v/>
      </c>
      <c r="DM17" s="36" t="str">
        <f t="shared" si="35"/>
        <v/>
      </c>
      <c r="DN17" s="37"/>
      <c r="DO17" s="33"/>
      <c r="DP17" s="34"/>
      <c r="DQ17" s="35" t="str">
        <f t="shared" si="36"/>
        <v/>
      </c>
      <c r="DR17" s="36" t="str">
        <f t="shared" si="37"/>
        <v/>
      </c>
      <c r="DS17" s="37"/>
      <c r="DT17" s="33"/>
      <c r="DU17" s="34"/>
      <c r="DV17" s="35" t="str">
        <f t="shared" si="38"/>
        <v/>
      </c>
      <c r="DW17" s="36" t="str">
        <f t="shared" si="39"/>
        <v/>
      </c>
      <c r="DX17" s="37"/>
      <c r="DY17" s="33"/>
      <c r="DZ17" s="34"/>
      <c r="EA17" s="35" t="str">
        <f t="shared" si="40"/>
        <v/>
      </c>
      <c r="EB17" s="36" t="str">
        <f t="shared" si="41"/>
        <v/>
      </c>
      <c r="EC17" s="37"/>
      <c r="ED17" s="33"/>
      <c r="EE17" s="34"/>
      <c r="EF17" s="35" t="str">
        <f t="shared" si="42"/>
        <v/>
      </c>
      <c r="EG17" s="36" t="str">
        <f t="shared" si="43"/>
        <v/>
      </c>
      <c r="EH17" s="37"/>
      <c r="EI17" s="33"/>
      <c r="EJ17" s="34"/>
      <c r="EK17" s="35" t="str">
        <f t="shared" si="44"/>
        <v/>
      </c>
      <c r="EL17" s="36" t="str">
        <f t="shared" si="45"/>
        <v/>
      </c>
      <c r="EM17" s="37"/>
      <c r="EN17" s="33"/>
      <c r="EO17" s="34"/>
      <c r="EP17" s="35" t="str">
        <f t="shared" si="46"/>
        <v/>
      </c>
      <c r="EQ17" s="36" t="str">
        <f t="shared" si="47"/>
        <v/>
      </c>
      <c r="ER17" s="37"/>
      <c r="ES17" s="33"/>
      <c r="ET17" s="34"/>
      <c r="EU17" s="35" t="str">
        <f t="shared" si="48"/>
        <v/>
      </c>
      <c r="EV17" s="36" t="str">
        <f t="shared" si="49"/>
        <v/>
      </c>
      <c r="EW17" s="37"/>
    </row>
    <row r="18" spans="1:153" ht="19.5" customHeight="1">
      <c r="A18" s="32">
        <f>IF(DAY(DATE(対象年度,3,15))&lt;&gt;15,"",15)</f>
        <v>15</v>
      </c>
      <c r="B18" s="32" t="str">
        <f>IF(DAY(DATE(対象年度,3,15))&lt;&gt;15,"",CHOOSE(WEEKDAY(DATE(対象年度,3,15),2),"月","火","水","木","金","土","日"))</f>
        <v>日</v>
      </c>
      <c r="C18" s="32" t="str">
        <f>IF(DAY(DATE(対象年度,3,15))&lt;&gt;15,"",IF(ISNUMBER(MATCH(DATE(対象年度,3,15),祝日リスト,0)),"祝",""))</f>
        <v/>
      </c>
      <c r="D18" s="33"/>
      <c r="E18" s="34"/>
      <c r="F18" s="35"/>
      <c r="G18" s="36"/>
      <c r="H18" s="37"/>
      <c r="I18" s="33"/>
      <c r="J18" s="34"/>
      <c r="K18" s="35"/>
      <c r="L18" s="36"/>
      <c r="M18" s="37"/>
      <c r="N18" s="33"/>
      <c r="O18" s="34"/>
      <c r="P18" s="35"/>
      <c r="Q18" s="36"/>
      <c r="R18" s="37"/>
      <c r="S18" s="33"/>
      <c r="T18" s="34"/>
      <c r="U18" s="35"/>
      <c r="V18" s="36"/>
      <c r="W18" s="37"/>
      <c r="X18" s="33"/>
      <c r="Y18" s="34"/>
      <c r="Z18" s="35"/>
      <c r="AA18" s="36"/>
      <c r="AB18" s="37"/>
      <c r="AC18" s="33"/>
      <c r="AD18" s="46"/>
      <c r="AE18" s="35" t="str">
        <f t="shared" si="0"/>
        <v/>
      </c>
      <c r="AF18" s="36" t="str">
        <f t="shared" si="1"/>
        <v/>
      </c>
      <c r="AG18" s="37"/>
      <c r="AH18" s="33"/>
      <c r="AI18" s="34"/>
      <c r="AJ18" s="35"/>
      <c r="AK18" s="36"/>
      <c r="AL18" s="37"/>
      <c r="AM18" s="33"/>
      <c r="AN18" s="34"/>
      <c r="AO18" s="35"/>
      <c r="AP18" s="36"/>
      <c r="AQ18" s="37"/>
      <c r="AR18" s="33"/>
      <c r="AS18" s="34"/>
      <c r="AT18" s="35"/>
      <c r="AU18" s="36"/>
      <c r="AV18" s="37"/>
      <c r="AW18" s="33"/>
      <c r="AX18" s="34"/>
      <c r="AY18" s="35"/>
      <c r="AZ18" s="36"/>
      <c r="BA18" s="37"/>
      <c r="BB18" s="33"/>
      <c r="BC18" s="34"/>
      <c r="BD18" s="35"/>
      <c r="BE18" s="36" t="str">
        <f t="shared" si="11"/>
        <v/>
      </c>
      <c r="BF18" s="37"/>
      <c r="BG18" s="33"/>
      <c r="BH18" s="34"/>
      <c r="BI18" s="35" t="str">
        <f t="shared" si="12"/>
        <v/>
      </c>
      <c r="BJ18" s="36" t="str">
        <f t="shared" si="13"/>
        <v/>
      </c>
      <c r="BK18" s="37"/>
      <c r="BL18" s="33"/>
      <c r="BM18" s="34"/>
      <c r="BN18" s="35" t="str">
        <f t="shared" si="14"/>
        <v/>
      </c>
      <c r="BO18" s="36" t="str">
        <f t="shared" si="15"/>
        <v/>
      </c>
      <c r="BP18" s="37"/>
      <c r="BQ18" s="33"/>
      <c r="BR18" s="34"/>
      <c r="BS18" s="35" t="str">
        <f t="shared" si="16"/>
        <v/>
      </c>
      <c r="BT18" s="36" t="str">
        <f t="shared" si="17"/>
        <v/>
      </c>
      <c r="BU18" s="37"/>
      <c r="BV18" s="33"/>
      <c r="BW18" s="34"/>
      <c r="BX18" s="35" t="str">
        <f t="shared" si="18"/>
        <v/>
      </c>
      <c r="BY18" s="36" t="str">
        <f t="shared" si="19"/>
        <v/>
      </c>
      <c r="BZ18" s="37"/>
      <c r="CA18" s="33"/>
      <c r="CB18" s="34"/>
      <c r="CC18" s="35" t="str">
        <f t="shared" si="20"/>
        <v/>
      </c>
      <c r="CD18" s="36" t="str">
        <f t="shared" si="21"/>
        <v/>
      </c>
      <c r="CE18" s="37"/>
      <c r="CF18" s="33"/>
      <c r="CG18" s="34"/>
      <c r="CH18" s="35" t="str">
        <f t="shared" si="22"/>
        <v/>
      </c>
      <c r="CI18" s="36" t="str">
        <f t="shared" si="23"/>
        <v/>
      </c>
      <c r="CJ18" s="37"/>
      <c r="CK18" s="33"/>
      <c r="CL18" s="34"/>
      <c r="CM18" s="35" t="str">
        <f t="shared" si="24"/>
        <v/>
      </c>
      <c r="CN18" s="36" t="str">
        <f t="shared" si="25"/>
        <v/>
      </c>
      <c r="CO18" s="37"/>
      <c r="CP18" s="33"/>
      <c r="CQ18" s="34"/>
      <c r="CR18" s="35" t="str">
        <f t="shared" si="26"/>
        <v/>
      </c>
      <c r="CS18" s="36" t="str">
        <f t="shared" si="27"/>
        <v/>
      </c>
      <c r="CT18" s="37"/>
      <c r="CU18" s="33"/>
      <c r="CV18" s="34"/>
      <c r="CW18" s="35" t="str">
        <f t="shared" si="28"/>
        <v/>
      </c>
      <c r="CX18" s="36" t="str">
        <f t="shared" si="29"/>
        <v/>
      </c>
      <c r="CY18" s="37"/>
      <c r="CZ18" s="33"/>
      <c r="DA18" s="34"/>
      <c r="DB18" s="35" t="str">
        <f t="shared" si="30"/>
        <v/>
      </c>
      <c r="DC18" s="36" t="str">
        <f t="shared" si="31"/>
        <v/>
      </c>
      <c r="DD18" s="37"/>
      <c r="DE18" s="33"/>
      <c r="DF18" s="34"/>
      <c r="DG18" s="35" t="str">
        <f t="shared" si="32"/>
        <v/>
      </c>
      <c r="DH18" s="36" t="str">
        <f t="shared" si="33"/>
        <v/>
      </c>
      <c r="DI18" s="37"/>
      <c r="DJ18" s="33"/>
      <c r="DK18" s="34"/>
      <c r="DL18" s="35" t="str">
        <f t="shared" si="34"/>
        <v/>
      </c>
      <c r="DM18" s="36" t="str">
        <f t="shared" si="35"/>
        <v/>
      </c>
      <c r="DN18" s="37"/>
      <c r="DO18" s="33"/>
      <c r="DP18" s="34"/>
      <c r="DQ18" s="35" t="str">
        <f t="shared" si="36"/>
        <v/>
      </c>
      <c r="DR18" s="36" t="str">
        <f t="shared" si="37"/>
        <v/>
      </c>
      <c r="DS18" s="37"/>
      <c r="DT18" s="33"/>
      <c r="DU18" s="34"/>
      <c r="DV18" s="35" t="str">
        <f t="shared" si="38"/>
        <v/>
      </c>
      <c r="DW18" s="36" t="str">
        <f t="shared" si="39"/>
        <v/>
      </c>
      <c r="DX18" s="37"/>
      <c r="DY18" s="33"/>
      <c r="DZ18" s="34"/>
      <c r="EA18" s="35" t="str">
        <f t="shared" si="40"/>
        <v/>
      </c>
      <c r="EB18" s="36" t="str">
        <f t="shared" si="41"/>
        <v/>
      </c>
      <c r="EC18" s="37"/>
      <c r="ED18" s="33"/>
      <c r="EE18" s="34"/>
      <c r="EF18" s="35" t="str">
        <f t="shared" si="42"/>
        <v/>
      </c>
      <c r="EG18" s="36" t="str">
        <f t="shared" si="43"/>
        <v/>
      </c>
      <c r="EH18" s="37"/>
      <c r="EI18" s="33"/>
      <c r="EJ18" s="34"/>
      <c r="EK18" s="35" t="str">
        <f t="shared" si="44"/>
        <v/>
      </c>
      <c r="EL18" s="36" t="str">
        <f t="shared" si="45"/>
        <v/>
      </c>
      <c r="EM18" s="37"/>
      <c r="EN18" s="33"/>
      <c r="EO18" s="34"/>
      <c r="EP18" s="35" t="str">
        <f t="shared" si="46"/>
        <v/>
      </c>
      <c r="EQ18" s="36" t="str">
        <f t="shared" si="47"/>
        <v/>
      </c>
      <c r="ER18" s="37"/>
      <c r="ES18" s="33"/>
      <c r="ET18" s="34"/>
      <c r="EU18" s="35" t="str">
        <f t="shared" si="48"/>
        <v/>
      </c>
      <c r="EV18" s="36" t="str">
        <f t="shared" si="49"/>
        <v/>
      </c>
      <c r="EW18" s="37"/>
    </row>
    <row r="19" spans="1:153" ht="19.5" customHeight="1">
      <c r="A19" s="32">
        <f>IF(DAY(DATE(対象年度,3,16))&lt;&gt;16,"",16)</f>
        <v>16</v>
      </c>
      <c r="B19" s="32" t="str">
        <f>IF(DAY(DATE(対象年度,3,16))&lt;&gt;16,"",CHOOSE(WEEKDAY(DATE(対象年度,3,16),2),"月","火","水","木","金","土","日"))</f>
        <v>月</v>
      </c>
      <c r="C19" s="32" t="str">
        <f>IF(DAY(DATE(対象年度,3,16))&lt;&gt;16,"",IF(ISNUMBER(MATCH(DATE(対象年度,3,16),祝日リスト,0)),"祝",""))</f>
        <v/>
      </c>
      <c r="D19" s="38"/>
      <c r="E19" s="34"/>
      <c r="F19" s="35"/>
      <c r="G19" s="36"/>
      <c r="H19" s="37"/>
      <c r="I19" s="33"/>
      <c r="J19" s="46"/>
      <c r="K19" s="35"/>
      <c r="L19" s="36"/>
      <c r="M19" s="37"/>
      <c r="N19" s="38"/>
      <c r="O19" s="34"/>
      <c r="P19" s="35"/>
      <c r="Q19" s="36"/>
      <c r="R19" s="37"/>
      <c r="S19" s="38"/>
      <c r="T19" s="34"/>
      <c r="U19" s="35"/>
      <c r="V19" s="36"/>
      <c r="W19" s="37"/>
      <c r="X19" s="38"/>
      <c r="Y19" s="34"/>
      <c r="Z19" s="35"/>
      <c r="AA19" s="36"/>
      <c r="AB19" s="37"/>
      <c r="AC19" s="38"/>
      <c r="AD19" s="34"/>
      <c r="AE19" s="35" t="str">
        <f t="shared" si="0"/>
        <v/>
      </c>
      <c r="AF19" s="36" t="str">
        <f t="shared" si="1"/>
        <v/>
      </c>
      <c r="AG19" s="37"/>
      <c r="AH19" s="33"/>
      <c r="AI19" s="34"/>
      <c r="AJ19" s="35"/>
      <c r="AK19" s="36"/>
      <c r="AL19" s="37"/>
      <c r="AM19" s="33"/>
      <c r="AN19" s="46"/>
      <c r="AO19" s="35"/>
      <c r="AP19" s="36"/>
      <c r="AQ19" s="37"/>
      <c r="AR19" s="38"/>
      <c r="AS19" s="34"/>
      <c r="AT19" s="35"/>
      <c r="AU19" s="36"/>
      <c r="AV19" s="37"/>
      <c r="AW19" s="38"/>
      <c r="AX19" s="34"/>
      <c r="AY19" s="35"/>
      <c r="AZ19" s="36"/>
      <c r="BA19" s="37"/>
      <c r="BB19" s="38"/>
      <c r="BC19" s="34"/>
      <c r="BD19" s="35"/>
      <c r="BE19" s="36" t="str">
        <f t="shared" si="11"/>
        <v/>
      </c>
      <c r="BF19" s="37"/>
      <c r="BG19" s="38"/>
      <c r="BH19" s="34"/>
      <c r="BI19" s="35" t="str">
        <f t="shared" si="12"/>
        <v/>
      </c>
      <c r="BJ19" s="36" t="str">
        <f t="shared" si="13"/>
        <v/>
      </c>
      <c r="BK19" s="37"/>
      <c r="BL19" s="33"/>
      <c r="BM19" s="34"/>
      <c r="BN19" s="35" t="str">
        <f t="shared" si="14"/>
        <v/>
      </c>
      <c r="BO19" s="36" t="str">
        <f t="shared" si="15"/>
        <v/>
      </c>
      <c r="BP19" s="37"/>
      <c r="BQ19" s="33"/>
      <c r="BR19" s="34"/>
      <c r="BS19" s="35" t="str">
        <f t="shared" si="16"/>
        <v/>
      </c>
      <c r="BT19" s="36" t="str">
        <f t="shared" si="17"/>
        <v/>
      </c>
      <c r="BU19" s="37"/>
      <c r="BV19" s="33"/>
      <c r="BW19" s="34"/>
      <c r="BX19" s="35" t="str">
        <f t="shared" si="18"/>
        <v/>
      </c>
      <c r="BY19" s="36" t="str">
        <f t="shared" si="19"/>
        <v/>
      </c>
      <c r="BZ19" s="37"/>
      <c r="CA19" s="33"/>
      <c r="CB19" s="34"/>
      <c r="CC19" s="35" t="str">
        <f t="shared" si="20"/>
        <v/>
      </c>
      <c r="CD19" s="36" t="str">
        <f t="shared" si="21"/>
        <v/>
      </c>
      <c r="CE19" s="37"/>
      <c r="CF19" s="33"/>
      <c r="CG19" s="34"/>
      <c r="CH19" s="35" t="str">
        <f t="shared" si="22"/>
        <v/>
      </c>
      <c r="CI19" s="36" t="str">
        <f t="shared" si="23"/>
        <v/>
      </c>
      <c r="CJ19" s="37"/>
      <c r="CK19" s="33"/>
      <c r="CL19" s="34"/>
      <c r="CM19" s="35" t="str">
        <f t="shared" si="24"/>
        <v/>
      </c>
      <c r="CN19" s="36" t="str">
        <f t="shared" si="25"/>
        <v/>
      </c>
      <c r="CO19" s="37"/>
      <c r="CP19" s="33"/>
      <c r="CQ19" s="34"/>
      <c r="CR19" s="35" t="str">
        <f t="shared" si="26"/>
        <v/>
      </c>
      <c r="CS19" s="36" t="str">
        <f t="shared" si="27"/>
        <v/>
      </c>
      <c r="CT19" s="37"/>
      <c r="CU19" s="33"/>
      <c r="CV19" s="34"/>
      <c r="CW19" s="35" t="str">
        <f t="shared" si="28"/>
        <v/>
      </c>
      <c r="CX19" s="36" t="str">
        <f t="shared" si="29"/>
        <v/>
      </c>
      <c r="CY19" s="37"/>
      <c r="CZ19" s="33"/>
      <c r="DA19" s="34"/>
      <c r="DB19" s="35" t="str">
        <f t="shared" si="30"/>
        <v/>
      </c>
      <c r="DC19" s="36" t="str">
        <f t="shared" si="31"/>
        <v/>
      </c>
      <c r="DD19" s="37"/>
      <c r="DE19" s="33"/>
      <c r="DF19" s="34"/>
      <c r="DG19" s="35" t="str">
        <f t="shared" si="32"/>
        <v/>
      </c>
      <c r="DH19" s="36" t="str">
        <f t="shared" si="33"/>
        <v/>
      </c>
      <c r="DI19" s="37"/>
      <c r="DJ19" s="33"/>
      <c r="DK19" s="34"/>
      <c r="DL19" s="35" t="str">
        <f t="shared" si="34"/>
        <v/>
      </c>
      <c r="DM19" s="36" t="str">
        <f t="shared" si="35"/>
        <v/>
      </c>
      <c r="DN19" s="37"/>
      <c r="DO19" s="33"/>
      <c r="DP19" s="34"/>
      <c r="DQ19" s="35" t="str">
        <f t="shared" si="36"/>
        <v/>
      </c>
      <c r="DR19" s="36" t="str">
        <f t="shared" si="37"/>
        <v/>
      </c>
      <c r="DS19" s="37"/>
      <c r="DT19" s="33"/>
      <c r="DU19" s="34"/>
      <c r="DV19" s="35" t="str">
        <f t="shared" si="38"/>
        <v/>
      </c>
      <c r="DW19" s="36" t="str">
        <f t="shared" si="39"/>
        <v/>
      </c>
      <c r="DX19" s="37"/>
      <c r="DY19" s="33"/>
      <c r="DZ19" s="34"/>
      <c r="EA19" s="35" t="str">
        <f t="shared" si="40"/>
        <v/>
      </c>
      <c r="EB19" s="36" t="str">
        <f t="shared" si="41"/>
        <v/>
      </c>
      <c r="EC19" s="37"/>
      <c r="ED19" s="33"/>
      <c r="EE19" s="34"/>
      <c r="EF19" s="35" t="str">
        <f t="shared" si="42"/>
        <v/>
      </c>
      <c r="EG19" s="36" t="str">
        <f t="shared" si="43"/>
        <v/>
      </c>
      <c r="EH19" s="37"/>
      <c r="EI19" s="33"/>
      <c r="EJ19" s="34"/>
      <c r="EK19" s="35" t="str">
        <f t="shared" si="44"/>
        <v/>
      </c>
      <c r="EL19" s="36" t="str">
        <f t="shared" si="45"/>
        <v/>
      </c>
      <c r="EM19" s="37"/>
      <c r="EN19" s="33"/>
      <c r="EO19" s="34"/>
      <c r="EP19" s="35" t="str">
        <f t="shared" si="46"/>
        <v/>
      </c>
      <c r="EQ19" s="36" t="str">
        <f t="shared" si="47"/>
        <v/>
      </c>
      <c r="ER19" s="37"/>
      <c r="ES19" s="33"/>
      <c r="ET19" s="34"/>
      <c r="EU19" s="35" t="str">
        <f t="shared" si="48"/>
        <v/>
      </c>
      <c r="EV19" s="36" t="str">
        <f t="shared" si="49"/>
        <v/>
      </c>
      <c r="EW19" s="37"/>
    </row>
    <row r="20" spans="1:153" ht="19.5" customHeight="1">
      <c r="A20" s="32">
        <f>IF(DAY(DATE(対象年度,3,17))&lt;&gt;17,"",17)</f>
        <v>17</v>
      </c>
      <c r="B20" s="32" t="str">
        <f>IF(DAY(DATE(対象年度,3,17))&lt;&gt;17,"",CHOOSE(WEEKDAY(DATE(対象年度,3,17),2),"月","火","水","木","金","土","日"))</f>
        <v>火</v>
      </c>
      <c r="C20" s="32" t="str">
        <f>IF(DAY(DATE(対象年度,3,17))&lt;&gt;17,"",IF(ISNUMBER(MATCH(DATE(対象年度,3,17),祝日リスト,0)),"祝",""))</f>
        <v/>
      </c>
      <c r="D20" s="38"/>
      <c r="E20" s="34"/>
      <c r="F20" s="35"/>
      <c r="G20" s="36"/>
      <c r="H20" s="37"/>
      <c r="I20" s="33"/>
      <c r="J20" s="46"/>
      <c r="K20" s="35"/>
      <c r="L20" s="36"/>
      <c r="M20" s="37"/>
      <c r="N20" s="38"/>
      <c r="O20" s="34"/>
      <c r="P20" s="35"/>
      <c r="Q20" s="36"/>
      <c r="R20" s="37"/>
      <c r="S20" s="38"/>
      <c r="T20" s="34"/>
      <c r="U20" s="35"/>
      <c r="V20" s="36"/>
      <c r="W20" s="37"/>
      <c r="X20" s="38"/>
      <c r="Y20" s="34"/>
      <c r="Z20" s="35"/>
      <c r="AA20" s="36"/>
      <c r="AB20" s="37"/>
      <c r="AC20" s="38"/>
      <c r="AD20" s="34"/>
      <c r="AE20" s="35" t="str">
        <f t="shared" si="0"/>
        <v/>
      </c>
      <c r="AF20" s="36" t="str">
        <f t="shared" si="1"/>
        <v/>
      </c>
      <c r="AG20" s="37"/>
      <c r="AH20" s="33"/>
      <c r="AI20" s="34"/>
      <c r="AJ20" s="35"/>
      <c r="AK20" s="36"/>
      <c r="AL20" s="37"/>
      <c r="AM20" s="33"/>
      <c r="AN20" s="46"/>
      <c r="AO20" s="35"/>
      <c r="AP20" s="36"/>
      <c r="AQ20" s="37"/>
      <c r="AR20" s="38"/>
      <c r="AS20" s="34"/>
      <c r="AT20" s="35"/>
      <c r="AU20" s="36"/>
      <c r="AV20" s="37"/>
      <c r="AW20" s="38"/>
      <c r="AX20" s="34"/>
      <c r="AY20" s="35"/>
      <c r="AZ20" s="36"/>
      <c r="BA20" s="37"/>
      <c r="BB20" s="38"/>
      <c r="BC20" s="34"/>
      <c r="BD20" s="35"/>
      <c r="BE20" s="36" t="str">
        <f t="shared" si="11"/>
        <v/>
      </c>
      <c r="BF20" s="37"/>
      <c r="BG20" s="38"/>
      <c r="BH20" s="34"/>
      <c r="BI20" s="35" t="str">
        <f t="shared" si="12"/>
        <v/>
      </c>
      <c r="BJ20" s="36" t="str">
        <f t="shared" si="13"/>
        <v/>
      </c>
      <c r="BK20" s="37"/>
      <c r="BL20" s="33"/>
      <c r="BM20" s="34"/>
      <c r="BN20" s="35" t="str">
        <f t="shared" si="14"/>
        <v/>
      </c>
      <c r="BO20" s="36" t="str">
        <f t="shared" si="15"/>
        <v/>
      </c>
      <c r="BP20" s="37"/>
      <c r="BQ20" s="33"/>
      <c r="BR20" s="34"/>
      <c r="BS20" s="35" t="str">
        <f t="shared" si="16"/>
        <v/>
      </c>
      <c r="BT20" s="36" t="str">
        <f t="shared" si="17"/>
        <v/>
      </c>
      <c r="BU20" s="37"/>
      <c r="BV20" s="33"/>
      <c r="BW20" s="34"/>
      <c r="BX20" s="35" t="str">
        <f t="shared" si="18"/>
        <v/>
      </c>
      <c r="BY20" s="36" t="str">
        <f t="shared" si="19"/>
        <v/>
      </c>
      <c r="BZ20" s="37"/>
      <c r="CA20" s="33"/>
      <c r="CB20" s="34"/>
      <c r="CC20" s="35" t="str">
        <f t="shared" si="20"/>
        <v/>
      </c>
      <c r="CD20" s="36" t="str">
        <f t="shared" si="21"/>
        <v/>
      </c>
      <c r="CE20" s="37"/>
      <c r="CF20" s="33"/>
      <c r="CG20" s="34"/>
      <c r="CH20" s="35" t="str">
        <f t="shared" si="22"/>
        <v/>
      </c>
      <c r="CI20" s="36" t="str">
        <f t="shared" si="23"/>
        <v/>
      </c>
      <c r="CJ20" s="37"/>
      <c r="CK20" s="33"/>
      <c r="CL20" s="34"/>
      <c r="CM20" s="35" t="str">
        <f t="shared" si="24"/>
        <v/>
      </c>
      <c r="CN20" s="36" t="str">
        <f t="shared" si="25"/>
        <v/>
      </c>
      <c r="CO20" s="37"/>
      <c r="CP20" s="33"/>
      <c r="CQ20" s="34"/>
      <c r="CR20" s="35" t="str">
        <f t="shared" si="26"/>
        <v/>
      </c>
      <c r="CS20" s="36" t="str">
        <f t="shared" si="27"/>
        <v/>
      </c>
      <c r="CT20" s="37"/>
      <c r="CU20" s="33"/>
      <c r="CV20" s="34"/>
      <c r="CW20" s="35" t="str">
        <f t="shared" si="28"/>
        <v/>
      </c>
      <c r="CX20" s="36" t="str">
        <f t="shared" si="29"/>
        <v/>
      </c>
      <c r="CY20" s="37"/>
      <c r="CZ20" s="33"/>
      <c r="DA20" s="34"/>
      <c r="DB20" s="35" t="str">
        <f t="shared" si="30"/>
        <v/>
      </c>
      <c r="DC20" s="36" t="str">
        <f t="shared" si="31"/>
        <v/>
      </c>
      <c r="DD20" s="37"/>
      <c r="DE20" s="33"/>
      <c r="DF20" s="34"/>
      <c r="DG20" s="35" t="str">
        <f t="shared" si="32"/>
        <v/>
      </c>
      <c r="DH20" s="36" t="str">
        <f t="shared" si="33"/>
        <v/>
      </c>
      <c r="DI20" s="37"/>
      <c r="DJ20" s="33"/>
      <c r="DK20" s="34"/>
      <c r="DL20" s="35" t="str">
        <f t="shared" si="34"/>
        <v/>
      </c>
      <c r="DM20" s="36" t="str">
        <f t="shared" si="35"/>
        <v/>
      </c>
      <c r="DN20" s="37"/>
      <c r="DO20" s="33"/>
      <c r="DP20" s="34"/>
      <c r="DQ20" s="35" t="str">
        <f t="shared" si="36"/>
        <v/>
      </c>
      <c r="DR20" s="36" t="str">
        <f t="shared" si="37"/>
        <v/>
      </c>
      <c r="DS20" s="37"/>
      <c r="DT20" s="33"/>
      <c r="DU20" s="34"/>
      <c r="DV20" s="35" t="str">
        <f t="shared" si="38"/>
        <v/>
      </c>
      <c r="DW20" s="36" t="str">
        <f t="shared" si="39"/>
        <v/>
      </c>
      <c r="DX20" s="37"/>
      <c r="DY20" s="33"/>
      <c r="DZ20" s="34"/>
      <c r="EA20" s="35" t="str">
        <f t="shared" si="40"/>
        <v/>
      </c>
      <c r="EB20" s="36" t="str">
        <f t="shared" si="41"/>
        <v/>
      </c>
      <c r="EC20" s="37"/>
      <c r="ED20" s="33"/>
      <c r="EE20" s="34"/>
      <c r="EF20" s="35" t="str">
        <f t="shared" si="42"/>
        <v/>
      </c>
      <c r="EG20" s="36" t="str">
        <f t="shared" si="43"/>
        <v/>
      </c>
      <c r="EH20" s="37"/>
      <c r="EI20" s="33"/>
      <c r="EJ20" s="34"/>
      <c r="EK20" s="35" t="str">
        <f t="shared" si="44"/>
        <v/>
      </c>
      <c r="EL20" s="36" t="str">
        <f t="shared" si="45"/>
        <v/>
      </c>
      <c r="EM20" s="37"/>
      <c r="EN20" s="33"/>
      <c r="EO20" s="34"/>
      <c r="EP20" s="35" t="str">
        <f t="shared" si="46"/>
        <v/>
      </c>
      <c r="EQ20" s="36" t="str">
        <f t="shared" si="47"/>
        <v/>
      </c>
      <c r="ER20" s="37"/>
      <c r="ES20" s="33"/>
      <c r="ET20" s="34"/>
      <c r="EU20" s="35" t="str">
        <f t="shared" si="48"/>
        <v/>
      </c>
      <c r="EV20" s="36" t="str">
        <f t="shared" si="49"/>
        <v/>
      </c>
      <c r="EW20" s="37"/>
    </row>
    <row r="21" spans="1:153" ht="19.5" customHeight="1">
      <c r="A21" s="32">
        <f>IF(DAY(DATE(対象年度,3,18))&lt;&gt;18,"",18)</f>
        <v>18</v>
      </c>
      <c r="B21" s="32" t="str">
        <f>IF(DAY(DATE(対象年度,3,18))&lt;&gt;18,"",CHOOSE(WEEKDAY(DATE(対象年度,3,18),2),"月","火","水","木","金","土","日"))</f>
        <v>水</v>
      </c>
      <c r="C21" s="32" t="str">
        <f>IF(DAY(DATE(対象年度,3,18))&lt;&gt;18,"",IF(ISNUMBER(MATCH(DATE(対象年度,3,18),祝日リスト,0)),"祝",""))</f>
        <v/>
      </c>
      <c r="D21" s="38"/>
      <c r="E21" s="34"/>
      <c r="F21" s="35"/>
      <c r="G21" s="36"/>
      <c r="H21" s="37"/>
      <c r="I21" s="38"/>
      <c r="J21" s="34"/>
      <c r="K21" s="35"/>
      <c r="L21" s="36"/>
      <c r="M21" s="37"/>
      <c r="N21" s="38"/>
      <c r="O21" s="34"/>
      <c r="P21" s="35"/>
      <c r="Q21" s="36"/>
      <c r="R21" s="37"/>
      <c r="S21" s="38"/>
      <c r="T21" s="34"/>
      <c r="U21" s="35"/>
      <c r="V21" s="36"/>
      <c r="W21" s="37"/>
      <c r="X21" s="38"/>
      <c r="Y21" s="34"/>
      <c r="Z21" s="35"/>
      <c r="AA21" s="36"/>
      <c r="AB21" s="37"/>
      <c r="AC21" s="38"/>
      <c r="AD21" s="34"/>
      <c r="AE21" s="35" t="str">
        <f t="shared" si="0"/>
        <v/>
      </c>
      <c r="AF21" s="36" t="str">
        <f t="shared" si="1"/>
        <v/>
      </c>
      <c r="AG21" s="37"/>
      <c r="AH21" s="33"/>
      <c r="AI21" s="34"/>
      <c r="AJ21" s="35"/>
      <c r="AK21" s="36"/>
      <c r="AL21" s="37"/>
      <c r="AM21" s="38"/>
      <c r="AN21" s="34"/>
      <c r="AO21" s="35"/>
      <c r="AP21" s="36"/>
      <c r="AQ21" s="37"/>
      <c r="AR21" s="38"/>
      <c r="AS21" s="34"/>
      <c r="AT21" s="35"/>
      <c r="AU21" s="36"/>
      <c r="AV21" s="37"/>
      <c r="AW21" s="38"/>
      <c r="AX21" s="34"/>
      <c r="AY21" s="35"/>
      <c r="AZ21" s="36"/>
      <c r="BA21" s="37"/>
      <c r="BB21" s="38"/>
      <c r="BC21" s="34"/>
      <c r="BD21" s="35"/>
      <c r="BE21" s="36" t="str">
        <f t="shared" si="11"/>
        <v/>
      </c>
      <c r="BF21" s="37"/>
      <c r="BG21" s="38"/>
      <c r="BH21" s="34"/>
      <c r="BI21" s="35" t="str">
        <f t="shared" si="12"/>
        <v/>
      </c>
      <c r="BJ21" s="36" t="str">
        <f t="shared" si="13"/>
        <v/>
      </c>
      <c r="BK21" s="37"/>
      <c r="BL21" s="33"/>
      <c r="BM21" s="34"/>
      <c r="BN21" s="35" t="str">
        <f t="shared" si="14"/>
        <v/>
      </c>
      <c r="BO21" s="36" t="str">
        <f t="shared" si="15"/>
        <v/>
      </c>
      <c r="BP21" s="37"/>
      <c r="BQ21" s="33"/>
      <c r="BR21" s="34"/>
      <c r="BS21" s="35" t="str">
        <f t="shared" si="16"/>
        <v/>
      </c>
      <c r="BT21" s="36" t="str">
        <f t="shared" si="17"/>
        <v/>
      </c>
      <c r="BU21" s="37"/>
      <c r="BV21" s="33"/>
      <c r="BW21" s="34"/>
      <c r="BX21" s="35" t="str">
        <f t="shared" si="18"/>
        <v/>
      </c>
      <c r="BY21" s="36" t="str">
        <f t="shared" si="19"/>
        <v/>
      </c>
      <c r="BZ21" s="37"/>
      <c r="CA21" s="33"/>
      <c r="CB21" s="34"/>
      <c r="CC21" s="35" t="str">
        <f t="shared" si="20"/>
        <v/>
      </c>
      <c r="CD21" s="36" t="str">
        <f t="shared" si="21"/>
        <v/>
      </c>
      <c r="CE21" s="37"/>
      <c r="CF21" s="33"/>
      <c r="CG21" s="34"/>
      <c r="CH21" s="35" t="str">
        <f t="shared" si="22"/>
        <v/>
      </c>
      <c r="CI21" s="36" t="str">
        <f t="shared" si="23"/>
        <v/>
      </c>
      <c r="CJ21" s="37"/>
      <c r="CK21" s="33"/>
      <c r="CL21" s="34"/>
      <c r="CM21" s="35" t="str">
        <f t="shared" si="24"/>
        <v/>
      </c>
      <c r="CN21" s="36" t="str">
        <f t="shared" si="25"/>
        <v/>
      </c>
      <c r="CO21" s="37"/>
      <c r="CP21" s="33"/>
      <c r="CQ21" s="34"/>
      <c r="CR21" s="35" t="str">
        <f t="shared" si="26"/>
        <v/>
      </c>
      <c r="CS21" s="36" t="str">
        <f t="shared" si="27"/>
        <v/>
      </c>
      <c r="CT21" s="37"/>
      <c r="CU21" s="33"/>
      <c r="CV21" s="34"/>
      <c r="CW21" s="35" t="str">
        <f t="shared" si="28"/>
        <v/>
      </c>
      <c r="CX21" s="36" t="str">
        <f t="shared" si="29"/>
        <v/>
      </c>
      <c r="CY21" s="37"/>
      <c r="CZ21" s="33"/>
      <c r="DA21" s="34"/>
      <c r="DB21" s="35" t="str">
        <f t="shared" si="30"/>
        <v/>
      </c>
      <c r="DC21" s="36" t="str">
        <f t="shared" si="31"/>
        <v/>
      </c>
      <c r="DD21" s="37"/>
      <c r="DE21" s="33"/>
      <c r="DF21" s="34"/>
      <c r="DG21" s="35" t="str">
        <f t="shared" si="32"/>
        <v/>
      </c>
      <c r="DH21" s="36" t="str">
        <f t="shared" si="33"/>
        <v/>
      </c>
      <c r="DI21" s="37"/>
      <c r="DJ21" s="33"/>
      <c r="DK21" s="34"/>
      <c r="DL21" s="35" t="str">
        <f t="shared" si="34"/>
        <v/>
      </c>
      <c r="DM21" s="36" t="str">
        <f t="shared" si="35"/>
        <v/>
      </c>
      <c r="DN21" s="37"/>
      <c r="DO21" s="33"/>
      <c r="DP21" s="34"/>
      <c r="DQ21" s="35" t="str">
        <f t="shared" si="36"/>
        <v/>
      </c>
      <c r="DR21" s="36" t="str">
        <f t="shared" si="37"/>
        <v/>
      </c>
      <c r="DS21" s="37"/>
      <c r="DT21" s="33"/>
      <c r="DU21" s="34"/>
      <c r="DV21" s="35" t="str">
        <f t="shared" si="38"/>
        <v/>
      </c>
      <c r="DW21" s="36" t="str">
        <f t="shared" si="39"/>
        <v/>
      </c>
      <c r="DX21" s="37"/>
      <c r="DY21" s="33"/>
      <c r="DZ21" s="34"/>
      <c r="EA21" s="35" t="str">
        <f t="shared" si="40"/>
        <v/>
      </c>
      <c r="EB21" s="36" t="str">
        <f t="shared" si="41"/>
        <v/>
      </c>
      <c r="EC21" s="37"/>
      <c r="ED21" s="33"/>
      <c r="EE21" s="34"/>
      <c r="EF21" s="35" t="str">
        <f t="shared" si="42"/>
        <v/>
      </c>
      <c r="EG21" s="36" t="str">
        <f t="shared" si="43"/>
        <v/>
      </c>
      <c r="EH21" s="37"/>
      <c r="EI21" s="33"/>
      <c r="EJ21" s="34"/>
      <c r="EK21" s="35" t="str">
        <f t="shared" si="44"/>
        <v/>
      </c>
      <c r="EL21" s="36" t="str">
        <f t="shared" si="45"/>
        <v/>
      </c>
      <c r="EM21" s="37"/>
      <c r="EN21" s="33"/>
      <c r="EO21" s="34"/>
      <c r="EP21" s="35" t="str">
        <f t="shared" si="46"/>
        <v/>
      </c>
      <c r="EQ21" s="36" t="str">
        <f t="shared" si="47"/>
        <v/>
      </c>
      <c r="ER21" s="37"/>
      <c r="ES21" s="33"/>
      <c r="ET21" s="34"/>
      <c r="EU21" s="35" t="str">
        <f t="shared" si="48"/>
        <v/>
      </c>
      <c r="EV21" s="36" t="str">
        <f t="shared" si="49"/>
        <v/>
      </c>
      <c r="EW21" s="37"/>
    </row>
    <row r="22" spans="1:153" ht="19.5" customHeight="1">
      <c r="A22" s="32">
        <f>IF(DAY(DATE(対象年度,3,19))&lt;&gt;19,"",19)</f>
        <v>19</v>
      </c>
      <c r="B22" s="32" t="str">
        <f>IF(DAY(DATE(対象年度,3,19))&lt;&gt;19,"",CHOOSE(WEEKDAY(DATE(対象年度,3,19),2),"月","火","水","木","金","土","日"))</f>
        <v>木</v>
      </c>
      <c r="C22" s="32" t="str">
        <f>IF(DAY(DATE(対象年度,3,19))&lt;&gt;19,"",IF(ISNUMBER(MATCH(DATE(対象年度,3,19),祝日リスト,0)),"祝",""))</f>
        <v/>
      </c>
      <c r="D22" s="38"/>
      <c r="E22" s="34"/>
      <c r="F22" s="35"/>
      <c r="G22" s="36"/>
      <c r="H22" s="37"/>
      <c r="I22" s="38"/>
      <c r="J22" s="34"/>
      <c r="K22" s="35"/>
      <c r="L22" s="36"/>
      <c r="M22" s="37"/>
      <c r="N22" s="38"/>
      <c r="O22" s="34"/>
      <c r="P22" s="35"/>
      <c r="Q22" s="36"/>
      <c r="R22" s="37"/>
      <c r="S22" s="38"/>
      <c r="T22" s="34"/>
      <c r="U22" s="35"/>
      <c r="V22" s="36"/>
      <c r="W22" s="37"/>
      <c r="X22" s="38"/>
      <c r="Y22" s="34"/>
      <c r="Z22" s="35"/>
      <c r="AA22" s="36"/>
      <c r="AB22" s="37"/>
      <c r="AC22" s="38"/>
      <c r="AD22" s="34"/>
      <c r="AE22" s="35" t="str">
        <f t="shared" si="0"/>
        <v/>
      </c>
      <c r="AF22" s="36" t="str">
        <f t="shared" si="1"/>
        <v/>
      </c>
      <c r="AG22" s="37"/>
      <c r="AH22" s="33"/>
      <c r="AI22" s="34"/>
      <c r="AJ22" s="35"/>
      <c r="AK22" s="36"/>
      <c r="AL22" s="37"/>
      <c r="AM22" s="38"/>
      <c r="AN22" s="34"/>
      <c r="AO22" s="35"/>
      <c r="AP22" s="36"/>
      <c r="AQ22" s="37"/>
      <c r="AR22" s="38"/>
      <c r="AS22" s="34"/>
      <c r="AT22" s="35"/>
      <c r="AU22" s="36"/>
      <c r="AV22" s="37"/>
      <c r="AW22" s="38"/>
      <c r="AX22" s="34"/>
      <c r="AY22" s="35"/>
      <c r="AZ22" s="36"/>
      <c r="BA22" s="37"/>
      <c r="BB22" s="38"/>
      <c r="BC22" s="34"/>
      <c r="BD22" s="35"/>
      <c r="BE22" s="36" t="str">
        <f t="shared" si="11"/>
        <v/>
      </c>
      <c r="BF22" s="37"/>
      <c r="BG22" s="38"/>
      <c r="BH22" s="34"/>
      <c r="BI22" s="35" t="str">
        <f t="shared" si="12"/>
        <v/>
      </c>
      <c r="BJ22" s="36" t="str">
        <f t="shared" si="13"/>
        <v/>
      </c>
      <c r="BK22" s="37"/>
      <c r="BL22" s="33"/>
      <c r="BM22" s="34"/>
      <c r="BN22" s="35" t="str">
        <f t="shared" si="14"/>
        <v/>
      </c>
      <c r="BO22" s="36" t="str">
        <f t="shared" si="15"/>
        <v/>
      </c>
      <c r="BP22" s="37"/>
      <c r="BQ22" s="33"/>
      <c r="BR22" s="34"/>
      <c r="BS22" s="35" t="str">
        <f t="shared" si="16"/>
        <v/>
      </c>
      <c r="BT22" s="36" t="str">
        <f t="shared" si="17"/>
        <v/>
      </c>
      <c r="BU22" s="37"/>
      <c r="BV22" s="33"/>
      <c r="BW22" s="34"/>
      <c r="BX22" s="35" t="str">
        <f t="shared" si="18"/>
        <v/>
      </c>
      <c r="BY22" s="36" t="str">
        <f t="shared" si="19"/>
        <v/>
      </c>
      <c r="BZ22" s="37"/>
      <c r="CA22" s="33"/>
      <c r="CB22" s="34"/>
      <c r="CC22" s="35" t="str">
        <f t="shared" si="20"/>
        <v/>
      </c>
      <c r="CD22" s="36" t="str">
        <f t="shared" si="21"/>
        <v/>
      </c>
      <c r="CE22" s="37"/>
      <c r="CF22" s="33"/>
      <c r="CG22" s="34"/>
      <c r="CH22" s="35" t="str">
        <f t="shared" si="22"/>
        <v/>
      </c>
      <c r="CI22" s="36" t="str">
        <f t="shared" si="23"/>
        <v/>
      </c>
      <c r="CJ22" s="37"/>
      <c r="CK22" s="33"/>
      <c r="CL22" s="34"/>
      <c r="CM22" s="35" t="str">
        <f t="shared" si="24"/>
        <v/>
      </c>
      <c r="CN22" s="36" t="str">
        <f t="shared" si="25"/>
        <v/>
      </c>
      <c r="CO22" s="37"/>
      <c r="CP22" s="33"/>
      <c r="CQ22" s="34"/>
      <c r="CR22" s="35" t="str">
        <f t="shared" si="26"/>
        <v/>
      </c>
      <c r="CS22" s="36" t="str">
        <f t="shared" si="27"/>
        <v/>
      </c>
      <c r="CT22" s="37"/>
      <c r="CU22" s="33"/>
      <c r="CV22" s="34"/>
      <c r="CW22" s="35" t="str">
        <f t="shared" si="28"/>
        <v/>
      </c>
      <c r="CX22" s="36" t="str">
        <f t="shared" si="29"/>
        <v/>
      </c>
      <c r="CY22" s="37"/>
      <c r="CZ22" s="33"/>
      <c r="DA22" s="34"/>
      <c r="DB22" s="35" t="str">
        <f t="shared" si="30"/>
        <v/>
      </c>
      <c r="DC22" s="36" t="str">
        <f t="shared" si="31"/>
        <v/>
      </c>
      <c r="DD22" s="37"/>
      <c r="DE22" s="33"/>
      <c r="DF22" s="34"/>
      <c r="DG22" s="35" t="str">
        <f t="shared" si="32"/>
        <v/>
      </c>
      <c r="DH22" s="36" t="str">
        <f t="shared" si="33"/>
        <v/>
      </c>
      <c r="DI22" s="37"/>
      <c r="DJ22" s="33"/>
      <c r="DK22" s="34"/>
      <c r="DL22" s="35" t="str">
        <f t="shared" si="34"/>
        <v/>
      </c>
      <c r="DM22" s="36" t="str">
        <f t="shared" si="35"/>
        <v/>
      </c>
      <c r="DN22" s="37"/>
      <c r="DO22" s="33"/>
      <c r="DP22" s="34"/>
      <c r="DQ22" s="35" t="str">
        <f t="shared" si="36"/>
        <v/>
      </c>
      <c r="DR22" s="36" t="str">
        <f t="shared" si="37"/>
        <v/>
      </c>
      <c r="DS22" s="37"/>
      <c r="DT22" s="33"/>
      <c r="DU22" s="34"/>
      <c r="DV22" s="35" t="str">
        <f t="shared" si="38"/>
        <v/>
      </c>
      <c r="DW22" s="36" t="str">
        <f t="shared" si="39"/>
        <v/>
      </c>
      <c r="DX22" s="37"/>
      <c r="DY22" s="33"/>
      <c r="DZ22" s="34"/>
      <c r="EA22" s="35" t="str">
        <f t="shared" si="40"/>
        <v/>
      </c>
      <c r="EB22" s="36" t="str">
        <f t="shared" si="41"/>
        <v/>
      </c>
      <c r="EC22" s="37"/>
      <c r="ED22" s="33"/>
      <c r="EE22" s="34"/>
      <c r="EF22" s="35" t="str">
        <f t="shared" si="42"/>
        <v/>
      </c>
      <c r="EG22" s="36" t="str">
        <f t="shared" si="43"/>
        <v/>
      </c>
      <c r="EH22" s="37"/>
      <c r="EI22" s="33"/>
      <c r="EJ22" s="34"/>
      <c r="EK22" s="35" t="str">
        <f t="shared" si="44"/>
        <v/>
      </c>
      <c r="EL22" s="36" t="str">
        <f t="shared" si="45"/>
        <v/>
      </c>
      <c r="EM22" s="37"/>
      <c r="EN22" s="33"/>
      <c r="EO22" s="34"/>
      <c r="EP22" s="35" t="str">
        <f t="shared" si="46"/>
        <v/>
      </c>
      <c r="EQ22" s="36" t="str">
        <f t="shared" si="47"/>
        <v/>
      </c>
      <c r="ER22" s="37"/>
      <c r="ES22" s="33"/>
      <c r="ET22" s="34"/>
      <c r="EU22" s="35" t="str">
        <f t="shared" si="48"/>
        <v/>
      </c>
      <c r="EV22" s="36" t="str">
        <f t="shared" si="49"/>
        <v/>
      </c>
      <c r="EW22" s="37"/>
    </row>
    <row r="23" spans="1:153" ht="19.5" customHeight="1">
      <c r="A23" s="32">
        <f>IF(DAY(DATE(対象年度,3,20))&lt;&gt;20,"",20)</f>
        <v>20</v>
      </c>
      <c r="B23" s="32" t="str">
        <f>IF(DAY(DATE(対象年度,3,20))&lt;&gt;20,"",CHOOSE(WEEKDAY(DATE(対象年度,3,20),2),"月","火","水","木","金","土","日"))</f>
        <v>金</v>
      </c>
      <c r="C23" s="32" t="str">
        <f>IF(DAY(DATE(対象年度,3,20))&lt;&gt;20,"",IF(ISNUMBER(MATCH(DATE(対象年度,3,20),祝日リスト,0)),"祝",""))</f>
        <v>祝</v>
      </c>
      <c r="D23" s="33"/>
      <c r="E23" s="34"/>
      <c r="F23" s="35"/>
      <c r="G23" s="36"/>
      <c r="H23" s="37"/>
      <c r="I23" s="33"/>
      <c r="J23" s="46"/>
      <c r="K23" s="35"/>
      <c r="L23" s="36"/>
      <c r="M23" s="37"/>
      <c r="N23" s="38"/>
      <c r="O23" s="34"/>
      <c r="P23" s="35"/>
      <c r="Q23" s="36"/>
      <c r="R23" s="37"/>
      <c r="S23" s="38"/>
      <c r="T23" s="34"/>
      <c r="U23" s="35"/>
      <c r="V23" s="36"/>
      <c r="W23" s="37"/>
      <c r="X23" s="38"/>
      <c r="Y23" s="34"/>
      <c r="Z23" s="35"/>
      <c r="AA23" s="36"/>
      <c r="AB23" s="37"/>
      <c r="AC23" s="33"/>
      <c r="AD23" s="46"/>
      <c r="AE23" s="35" t="str">
        <f t="shared" si="0"/>
        <v/>
      </c>
      <c r="AF23" s="36" t="str">
        <f t="shared" si="1"/>
        <v/>
      </c>
      <c r="AG23" s="37"/>
      <c r="AH23" s="33"/>
      <c r="AI23" s="34"/>
      <c r="AJ23" s="35"/>
      <c r="AK23" s="36"/>
      <c r="AL23" s="37"/>
      <c r="AM23" s="33"/>
      <c r="AN23" s="46"/>
      <c r="AO23" s="35"/>
      <c r="AP23" s="36"/>
      <c r="AQ23" s="37"/>
      <c r="AR23" s="38"/>
      <c r="AS23" s="34"/>
      <c r="AT23" s="35"/>
      <c r="AU23" s="36"/>
      <c r="AV23" s="37"/>
      <c r="AW23" s="33"/>
      <c r="AX23" s="34"/>
      <c r="AY23" s="35"/>
      <c r="AZ23" s="36"/>
      <c r="BA23" s="37"/>
      <c r="BB23" s="33"/>
      <c r="BC23" s="34"/>
      <c r="BD23" s="35"/>
      <c r="BE23" s="36" t="str">
        <f t="shared" si="11"/>
        <v/>
      </c>
      <c r="BF23" s="37"/>
      <c r="BG23" s="38"/>
      <c r="BH23" s="34"/>
      <c r="BI23" s="35" t="str">
        <f t="shared" si="12"/>
        <v/>
      </c>
      <c r="BJ23" s="36" t="str">
        <f t="shared" si="13"/>
        <v/>
      </c>
      <c r="BK23" s="37"/>
      <c r="BL23" s="33"/>
      <c r="BM23" s="34"/>
      <c r="BN23" s="35" t="str">
        <f t="shared" si="14"/>
        <v/>
      </c>
      <c r="BO23" s="36" t="str">
        <f t="shared" si="15"/>
        <v/>
      </c>
      <c r="BP23" s="37"/>
      <c r="BQ23" s="33"/>
      <c r="BR23" s="34"/>
      <c r="BS23" s="35" t="str">
        <f t="shared" si="16"/>
        <v/>
      </c>
      <c r="BT23" s="36" t="str">
        <f t="shared" si="17"/>
        <v/>
      </c>
      <c r="BU23" s="37"/>
      <c r="BV23" s="33"/>
      <c r="BW23" s="34"/>
      <c r="BX23" s="35" t="str">
        <f t="shared" si="18"/>
        <v/>
      </c>
      <c r="BY23" s="36" t="str">
        <f t="shared" si="19"/>
        <v/>
      </c>
      <c r="BZ23" s="37"/>
      <c r="CA23" s="33"/>
      <c r="CB23" s="34"/>
      <c r="CC23" s="35" t="str">
        <f t="shared" si="20"/>
        <v/>
      </c>
      <c r="CD23" s="36" t="str">
        <f t="shared" si="21"/>
        <v/>
      </c>
      <c r="CE23" s="37"/>
      <c r="CF23" s="33"/>
      <c r="CG23" s="34"/>
      <c r="CH23" s="35" t="str">
        <f t="shared" si="22"/>
        <v/>
      </c>
      <c r="CI23" s="36" t="str">
        <f t="shared" si="23"/>
        <v/>
      </c>
      <c r="CJ23" s="37"/>
      <c r="CK23" s="33"/>
      <c r="CL23" s="34"/>
      <c r="CM23" s="35" t="str">
        <f t="shared" si="24"/>
        <v/>
      </c>
      <c r="CN23" s="36" t="str">
        <f t="shared" si="25"/>
        <v/>
      </c>
      <c r="CO23" s="37"/>
      <c r="CP23" s="33"/>
      <c r="CQ23" s="34"/>
      <c r="CR23" s="35" t="str">
        <f t="shared" si="26"/>
        <v/>
      </c>
      <c r="CS23" s="36" t="str">
        <f t="shared" si="27"/>
        <v/>
      </c>
      <c r="CT23" s="37"/>
      <c r="CU23" s="33"/>
      <c r="CV23" s="34"/>
      <c r="CW23" s="35" t="str">
        <f t="shared" si="28"/>
        <v/>
      </c>
      <c r="CX23" s="36" t="str">
        <f t="shared" si="29"/>
        <v/>
      </c>
      <c r="CY23" s="37"/>
      <c r="CZ23" s="33"/>
      <c r="DA23" s="34"/>
      <c r="DB23" s="35" t="str">
        <f t="shared" si="30"/>
        <v/>
      </c>
      <c r="DC23" s="36" t="str">
        <f t="shared" si="31"/>
        <v/>
      </c>
      <c r="DD23" s="37"/>
      <c r="DE23" s="33"/>
      <c r="DF23" s="34"/>
      <c r="DG23" s="35" t="str">
        <f t="shared" si="32"/>
        <v/>
      </c>
      <c r="DH23" s="36" t="str">
        <f t="shared" si="33"/>
        <v/>
      </c>
      <c r="DI23" s="37"/>
      <c r="DJ23" s="33"/>
      <c r="DK23" s="34"/>
      <c r="DL23" s="35" t="str">
        <f t="shared" si="34"/>
        <v/>
      </c>
      <c r="DM23" s="36" t="str">
        <f t="shared" si="35"/>
        <v/>
      </c>
      <c r="DN23" s="37"/>
      <c r="DO23" s="33"/>
      <c r="DP23" s="34"/>
      <c r="DQ23" s="35" t="str">
        <f t="shared" si="36"/>
        <v/>
      </c>
      <c r="DR23" s="36" t="str">
        <f t="shared" si="37"/>
        <v/>
      </c>
      <c r="DS23" s="37"/>
      <c r="DT23" s="33"/>
      <c r="DU23" s="34"/>
      <c r="DV23" s="35" t="str">
        <f t="shared" si="38"/>
        <v/>
      </c>
      <c r="DW23" s="36" t="str">
        <f t="shared" si="39"/>
        <v/>
      </c>
      <c r="DX23" s="37"/>
      <c r="DY23" s="33"/>
      <c r="DZ23" s="34"/>
      <c r="EA23" s="35" t="str">
        <f t="shared" si="40"/>
        <v/>
      </c>
      <c r="EB23" s="36" t="str">
        <f t="shared" si="41"/>
        <v/>
      </c>
      <c r="EC23" s="37"/>
      <c r="ED23" s="33"/>
      <c r="EE23" s="34"/>
      <c r="EF23" s="35" t="str">
        <f t="shared" si="42"/>
        <v/>
      </c>
      <c r="EG23" s="36" t="str">
        <f t="shared" si="43"/>
        <v/>
      </c>
      <c r="EH23" s="37"/>
      <c r="EI23" s="33"/>
      <c r="EJ23" s="34"/>
      <c r="EK23" s="35" t="str">
        <f t="shared" si="44"/>
        <v/>
      </c>
      <c r="EL23" s="36" t="str">
        <f t="shared" si="45"/>
        <v/>
      </c>
      <c r="EM23" s="37"/>
      <c r="EN23" s="33"/>
      <c r="EO23" s="34"/>
      <c r="EP23" s="35" t="str">
        <f t="shared" si="46"/>
        <v/>
      </c>
      <c r="EQ23" s="36" t="str">
        <f t="shared" si="47"/>
        <v/>
      </c>
      <c r="ER23" s="37"/>
      <c r="ES23" s="33"/>
      <c r="ET23" s="34"/>
      <c r="EU23" s="35" t="str">
        <f t="shared" si="48"/>
        <v/>
      </c>
      <c r="EV23" s="36" t="str">
        <f t="shared" si="49"/>
        <v/>
      </c>
      <c r="EW23" s="37"/>
    </row>
    <row r="24" spans="1:153" ht="19.5" customHeight="1">
      <c r="A24" s="32">
        <f>IF(DAY(DATE(対象年度,3,21))&lt;&gt;21,"",21)</f>
        <v>21</v>
      </c>
      <c r="B24" s="32" t="str">
        <f>IF(DAY(DATE(対象年度,3,21))&lt;&gt;21,"",CHOOSE(WEEKDAY(DATE(対象年度,3,21),2),"月","火","水","木","金","土","日"))</f>
        <v>土</v>
      </c>
      <c r="C24" s="32" t="str">
        <f>IF(DAY(DATE(対象年度,3,21))&lt;&gt;21,"",IF(ISNUMBER(MATCH(DATE(対象年度,3,21),祝日リスト,0)),"祝",""))</f>
        <v/>
      </c>
      <c r="D24" s="33"/>
      <c r="E24" s="34"/>
      <c r="F24" s="35"/>
      <c r="G24" s="36"/>
      <c r="H24" s="37"/>
      <c r="I24" s="33"/>
      <c r="J24" s="34"/>
      <c r="K24" s="35"/>
      <c r="L24" s="36"/>
      <c r="M24" s="37"/>
      <c r="N24" s="38"/>
      <c r="O24" s="34"/>
      <c r="P24" s="35"/>
      <c r="Q24" s="36"/>
      <c r="R24" s="37"/>
      <c r="S24" s="38"/>
      <c r="T24" s="34"/>
      <c r="U24" s="35"/>
      <c r="V24" s="36"/>
      <c r="W24" s="37"/>
      <c r="X24" s="38"/>
      <c r="Y24" s="34"/>
      <c r="Z24" s="35"/>
      <c r="AA24" s="36"/>
      <c r="AB24" s="37"/>
      <c r="AC24" s="33"/>
      <c r="AD24" s="34"/>
      <c r="AE24" s="35" t="str">
        <f t="shared" si="0"/>
        <v/>
      </c>
      <c r="AF24" s="36" t="str">
        <f t="shared" si="1"/>
        <v/>
      </c>
      <c r="AG24" s="37"/>
      <c r="AH24" s="33"/>
      <c r="AI24" s="34"/>
      <c r="AJ24" s="35"/>
      <c r="AK24" s="36"/>
      <c r="AL24" s="37"/>
      <c r="AM24" s="33"/>
      <c r="AN24" s="34"/>
      <c r="AO24" s="35"/>
      <c r="AP24" s="36"/>
      <c r="AQ24" s="37"/>
      <c r="AR24" s="38"/>
      <c r="AS24" s="34"/>
      <c r="AT24" s="35"/>
      <c r="AU24" s="36"/>
      <c r="AV24" s="37"/>
      <c r="AW24" s="33"/>
      <c r="AX24" s="34"/>
      <c r="AY24" s="35"/>
      <c r="AZ24" s="36"/>
      <c r="BA24" s="37"/>
      <c r="BB24" s="33"/>
      <c r="BC24" s="34"/>
      <c r="BD24" s="35"/>
      <c r="BE24" s="36" t="str">
        <f t="shared" si="11"/>
        <v/>
      </c>
      <c r="BF24" s="37"/>
      <c r="BG24" s="38"/>
      <c r="BH24" s="34"/>
      <c r="BI24" s="35" t="str">
        <f t="shared" si="12"/>
        <v/>
      </c>
      <c r="BJ24" s="36" t="str">
        <f t="shared" si="13"/>
        <v/>
      </c>
      <c r="BK24" s="37"/>
      <c r="BL24" s="33"/>
      <c r="BM24" s="34"/>
      <c r="BN24" s="35" t="str">
        <f t="shared" si="14"/>
        <v/>
      </c>
      <c r="BO24" s="36" t="str">
        <f t="shared" si="15"/>
        <v/>
      </c>
      <c r="BP24" s="37"/>
      <c r="BQ24" s="33"/>
      <c r="BR24" s="34"/>
      <c r="BS24" s="35" t="str">
        <f t="shared" si="16"/>
        <v/>
      </c>
      <c r="BT24" s="36" t="str">
        <f t="shared" si="17"/>
        <v/>
      </c>
      <c r="BU24" s="37"/>
      <c r="BV24" s="33"/>
      <c r="BW24" s="34"/>
      <c r="BX24" s="35" t="str">
        <f t="shared" si="18"/>
        <v/>
      </c>
      <c r="BY24" s="36" t="str">
        <f t="shared" si="19"/>
        <v/>
      </c>
      <c r="BZ24" s="37"/>
      <c r="CA24" s="33"/>
      <c r="CB24" s="34"/>
      <c r="CC24" s="35" t="str">
        <f t="shared" si="20"/>
        <v/>
      </c>
      <c r="CD24" s="36" t="str">
        <f t="shared" si="21"/>
        <v/>
      </c>
      <c r="CE24" s="37"/>
      <c r="CF24" s="33"/>
      <c r="CG24" s="34"/>
      <c r="CH24" s="35" t="str">
        <f t="shared" si="22"/>
        <v/>
      </c>
      <c r="CI24" s="36" t="str">
        <f t="shared" si="23"/>
        <v/>
      </c>
      <c r="CJ24" s="37"/>
      <c r="CK24" s="33"/>
      <c r="CL24" s="34"/>
      <c r="CM24" s="35" t="str">
        <f t="shared" si="24"/>
        <v/>
      </c>
      <c r="CN24" s="36" t="str">
        <f t="shared" si="25"/>
        <v/>
      </c>
      <c r="CO24" s="37"/>
      <c r="CP24" s="33"/>
      <c r="CQ24" s="34"/>
      <c r="CR24" s="35" t="str">
        <f t="shared" si="26"/>
        <v/>
      </c>
      <c r="CS24" s="36" t="str">
        <f t="shared" si="27"/>
        <v/>
      </c>
      <c r="CT24" s="37"/>
      <c r="CU24" s="33"/>
      <c r="CV24" s="34"/>
      <c r="CW24" s="35" t="str">
        <f t="shared" si="28"/>
        <v/>
      </c>
      <c r="CX24" s="36" t="str">
        <f t="shared" si="29"/>
        <v/>
      </c>
      <c r="CY24" s="37"/>
      <c r="CZ24" s="33"/>
      <c r="DA24" s="34"/>
      <c r="DB24" s="35" t="str">
        <f t="shared" si="30"/>
        <v/>
      </c>
      <c r="DC24" s="36" t="str">
        <f t="shared" si="31"/>
        <v/>
      </c>
      <c r="DD24" s="37"/>
      <c r="DE24" s="33"/>
      <c r="DF24" s="34"/>
      <c r="DG24" s="35" t="str">
        <f t="shared" si="32"/>
        <v/>
      </c>
      <c r="DH24" s="36" t="str">
        <f t="shared" si="33"/>
        <v/>
      </c>
      <c r="DI24" s="37"/>
      <c r="DJ24" s="33"/>
      <c r="DK24" s="34"/>
      <c r="DL24" s="35" t="str">
        <f t="shared" si="34"/>
        <v/>
      </c>
      <c r="DM24" s="36" t="str">
        <f t="shared" si="35"/>
        <v/>
      </c>
      <c r="DN24" s="37"/>
      <c r="DO24" s="33"/>
      <c r="DP24" s="34"/>
      <c r="DQ24" s="35" t="str">
        <f t="shared" si="36"/>
        <v/>
      </c>
      <c r="DR24" s="36" t="str">
        <f t="shared" si="37"/>
        <v/>
      </c>
      <c r="DS24" s="37"/>
      <c r="DT24" s="33"/>
      <c r="DU24" s="34"/>
      <c r="DV24" s="35" t="str">
        <f t="shared" si="38"/>
        <v/>
      </c>
      <c r="DW24" s="36" t="str">
        <f t="shared" si="39"/>
        <v/>
      </c>
      <c r="DX24" s="37"/>
      <c r="DY24" s="33"/>
      <c r="DZ24" s="34"/>
      <c r="EA24" s="35" t="str">
        <f t="shared" si="40"/>
        <v/>
      </c>
      <c r="EB24" s="36" t="str">
        <f t="shared" si="41"/>
        <v/>
      </c>
      <c r="EC24" s="37"/>
      <c r="ED24" s="33"/>
      <c r="EE24" s="34"/>
      <c r="EF24" s="35" t="str">
        <f t="shared" si="42"/>
        <v/>
      </c>
      <c r="EG24" s="36" t="str">
        <f t="shared" si="43"/>
        <v/>
      </c>
      <c r="EH24" s="37"/>
      <c r="EI24" s="33"/>
      <c r="EJ24" s="34"/>
      <c r="EK24" s="35" t="str">
        <f t="shared" si="44"/>
        <v/>
      </c>
      <c r="EL24" s="36" t="str">
        <f t="shared" si="45"/>
        <v/>
      </c>
      <c r="EM24" s="37"/>
      <c r="EN24" s="33"/>
      <c r="EO24" s="34"/>
      <c r="EP24" s="35" t="str">
        <f t="shared" si="46"/>
        <v/>
      </c>
      <c r="EQ24" s="36" t="str">
        <f t="shared" si="47"/>
        <v/>
      </c>
      <c r="ER24" s="37"/>
      <c r="ES24" s="33"/>
      <c r="ET24" s="34"/>
      <c r="EU24" s="35" t="str">
        <f t="shared" si="48"/>
        <v/>
      </c>
      <c r="EV24" s="36" t="str">
        <f t="shared" si="49"/>
        <v/>
      </c>
      <c r="EW24" s="37"/>
    </row>
    <row r="25" spans="1:153" ht="19.5" customHeight="1">
      <c r="A25" s="32">
        <f>IF(DAY(DATE(対象年度,3,22))&lt;&gt;22,"",22)</f>
        <v>22</v>
      </c>
      <c r="B25" s="32" t="str">
        <f>IF(DAY(DATE(対象年度,3,22))&lt;&gt;22,"",CHOOSE(WEEKDAY(DATE(対象年度,3,22),2),"月","火","水","木","金","土","日"))</f>
        <v>日</v>
      </c>
      <c r="C25" s="32" t="str">
        <f>IF(DAY(DATE(対象年度,3,22))&lt;&gt;22,"",IF(ISNUMBER(MATCH(DATE(対象年度,3,22),祝日リスト,0)),"祝",""))</f>
        <v/>
      </c>
      <c r="D25" s="33"/>
      <c r="E25" s="34"/>
      <c r="F25" s="35"/>
      <c r="G25" s="36"/>
      <c r="H25" s="37"/>
      <c r="I25" s="33"/>
      <c r="J25" s="34"/>
      <c r="K25" s="35"/>
      <c r="L25" s="36"/>
      <c r="M25" s="37"/>
      <c r="N25" s="33"/>
      <c r="O25" s="34"/>
      <c r="P25" s="35"/>
      <c r="Q25" s="36"/>
      <c r="R25" s="37"/>
      <c r="S25" s="33"/>
      <c r="T25" s="34"/>
      <c r="U25" s="35"/>
      <c r="V25" s="36"/>
      <c r="W25" s="37"/>
      <c r="X25" s="33"/>
      <c r="Y25" s="34"/>
      <c r="Z25" s="35"/>
      <c r="AA25" s="36"/>
      <c r="AB25" s="37"/>
      <c r="AC25" s="33"/>
      <c r="AD25" s="34"/>
      <c r="AE25" s="35" t="str">
        <f t="shared" si="0"/>
        <v/>
      </c>
      <c r="AF25" s="36" t="str">
        <f t="shared" si="1"/>
        <v/>
      </c>
      <c r="AG25" s="37"/>
      <c r="AH25" s="33"/>
      <c r="AI25" s="34"/>
      <c r="AJ25" s="35"/>
      <c r="AK25" s="36"/>
      <c r="AL25" s="37"/>
      <c r="AM25" s="33"/>
      <c r="AN25" s="34"/>
      <c r="AO25" s="35"/>
      <c r="AP25" s="36"/>
      <c r="AQ25" s="37"/>
      <c r="AR25" s="33"/>
      <c r="AS25" s="34"/>
      <c r="AT25" s="35"/>
      <c r="AU25" s="36"/>
      <c r="AV25" s="37"/>
      <c r="AW25" s="33"/>
      <c r="AX25" s="34"/>
      <c r="AY25" s="35"/>
      <c r="AZ25" s="36"/>
      <c r="BA25" s="37"/>
      <c r="BB25" s="33"/>
      <c r="BC25" s="34"/>
      <c r="BD25" s="35"/>
      <c r="BE25" s="36" t="str">
        <f t="shared" si="11"/>
        <v/>
      </c>
      <c r="BF25" s="37"/>
      <c r="BG25" s="33"/>
      <c r="BH25" s="34"/>
      <c r="BI25" s="35" t="str">
        <f t="shared" si="12"/>
        <v/>
      </c>
      <c r="BJ25" s="36" t="str">
        <f t="shared" si="13"/>
        <v/>
      </c>
      <c r="BK25" s="37"/>
      <c r="BL25" s="33"/>
      <c r="BM25" s="34"/>
      <c r="BN25" s="35" t="str">
        <f t="shared" si="14"/>
        <v/>
      </c>
      <c r="BO25" s="36" t="str">
        <f t="shared" si="15"/>
        <v/>
      </c>
      <c r="BP25" s="37"/>
      <c r="BQ25" s="33"/>
      <c r="BR25" s="34"/>
      <c r="BS25" s="35" t="str">
        <f t="shared" si="16"/>
        <v/>
      </c>
      <c r="BT25" s="36" t="str">
        <f t="shared" si="17"/>
        <v/>
      </c>
      <c r="BU25" s="37"/>
      <c r="BV25" s="33"/>
      <c r="BW25" s="34"/>
      <c r="BX25" s="35" t="str">
        <f t="shared" si="18"/>
        <v/>
      </c>
      <c r="BY25" s="36" t="str">
        <f t="shared" si="19"/>
        <v/>
      </c>
      <c r="BZ25" s="37"/>
      <c r="CA25" s="33"/>
      <c r="CB25" s="34"/>
      <c r="CC25" s="35" t="str">
        <f t="shared" si="20"/>
        <v/>
      </c>
      <c r="CD25" s="36" t="str">
        <f t="shared" si="21"/>
        <v/>
      </c>
      <c r="CE25" s="37"/>
      <c r="CF25" s="33"/>
      <c r="CG25" s="34"/>
      <c r="CH25" s="35" t="str">
        <f t="shared" si="22"/>
        <v/>
      </c>
      <c r="CI25" s="36" t="str">
        <f t="shared" si="23"/>
        <v/>
      </c>
      <c r="CJ25" s="37"/>
      <c r="CK25" s="33"/>
      <c r="CL25" s="34"/>
      <c r="CM25" s="35" t="str">
        <f t="shared" si="24"/>
        <v/>
      </c>
      <c r="CN25" s="36" t="str">
        <f t="shared" si="25"/>
        <v/>
      </c>
      <c r="CO25" s="37"/>
      <c r="CP25" s="33"/>
      <c r="CQ25" s="34"/>
      <c r="CR25" s="35" t="str">
        <f t="shared" si="26"/>
        <v/>
      </c>
      <c r="CS25" s="36" t="str">
        <f t="shared" si="27"/>
        <v/>
      </c>
      <c r="CT25" s="37"/>
      <c r="CU25" s="33"/>
      <c r="CV25" s="34"/>
      <c r="CW25" s="35" t="str">
        <f t="shared" si="28"/>
        <v/>
      </c>
      <c r="CX25" s="36" t="str">
        <f t="shared" si="29"/>
        <v/>
      </c>
      <c r="CY25" s="37"/>
      <c r="CZ25" s="33"/>
      <c r="DA25" s="34"/>
      <c r="DB25" s="35" t="str">
        <f t="shared" si="30"/>
        <v/>
      </c>
      <c r="DC25" s="36" t="str">
        <f t="shared" si="31"/>
        <v/>
      </c>
      <c r="DD25" s="37"/>
      <c r="DE25" s="33"/>
      <c r="DF25" s="34"/>
      <c r="DG25" s="35" t="str">
        <f t="shared" si="32"/>
        <v/>
      </c>
      <c r="DH25" s="36" t="str">
        <f t="shared" si="33"/>
        <v/>
      </c>
      <c r="DI25" s="37"/>
      <c r="DJ25" s="33"/>
      <c r="DK25" s="34"/>
      <c r="DL25" s="35" t="str">
        <f t="shared" si="34"/>
        <v/>
      </c>
      <c r="DM25" s="36" t="str">
        <f t="shared" si="35"/>
        <v/>
      </c>
      <c r="DN25" s="37"/>
      <c r="DO25" s="33"/>
      <c r="DP25" s="34"/>
      <c r="DQ25" s="35" t="str">
        <f t="shared" si="36"/>
        <v/>
      </c>
      <c r="DR25" s="36" t="str">
        <f t="shared" si="37"/>
        <v/>
      </c>
      <c r="DS25" s="37"/>
      <c r="DT25" s="33"/>
      <c r="DU25" s="34"/>
      <c r="DV25" s="35" t="str">
        <f t="shared" si="38"/>
        <v/>
      </c>
      <c r="DW25" s="36" t="str">
        <f t="shared" si="39"/>
        <v/>
      </c>
      <c r="DX25" s="37"/>
      <c r="DY25" s="33"/>
      <c r="DZ25" s="34"/>
      <c r="EA25" s="35" t="str">
        <f t="shared" si="40"/>
        <v/>
      </c>
      <c r="EB25" s="36" t="str">
        <f t="shared" si="41"/>
        <v/>
      </c>
      <c r="EC25" s="37"/>
      <c r="ED25" s="33"/>
      <c r="EE25" s="34"/>
      <c r="EF25" s="35" t="str">
        <f t="shared" si="42"/>
        <v/>
      </c>
      <c r="EG25" s="36" t="str">
        <f t="shared" si="43"/>
        <v/>
      </c>
      <c r="EH25" s="37"/>
      <c r="EI25" s="33"/>
      <c r="EJ25" s="34"/>
      <c r="EK25" s="35" t="str">
        <f t="shared" si="44"/>
        <v/>
      </c>
      <c r="EL25" s="36" t="str">
        <f t="shared" si="45"/>
        <v/>
      </c>
      <c r="EM25" s="37"/>
      <c r="EN25" s="33"/>
      <c r="EO25" s="34"/>
      <c r="EP25" s="35" t="str">
        <f t="shared" si="46"/>
        <v/>
      </c>
      <c r="EQ25" s="36" t="str">
        <f t="shared" si="47"/>
        <v/>
      </c>
      <c r="ER25" s="37"/>
      <c r="ES25" s="33"/>
      <c r="ET25" s="34"/>
      <c r="EU25" s="35" t="str">
        <f t="shared" si="48"/>
        <v/>
      </c>
      <c r="EV25" s="36" t="str">
        <f t="shared" si="49"/>
        <v/>
      </c>
      <c r="EW25" s="37"/>
    </row>
    <row r="26" spans="1:153" ht="19.5" customHeight="1">
      <c r="A26" s="32">
        <f>IF(DAY(DATE(対象年度,3,23))&lt;&gt;23,"",23)</f>
        <v>23</v>
      </c>
      <c r="B26" s="32" t="str">
        <f>IF(DAY(DATE(対象年度,3,23))&lt;&gt;23,"",CHOOSE(WEEKDAY(DATE(対象年度,3,23),2),"月","火","水","木","金","土","日"))</f>
        <v>月</v>
      </c>
      <c r="C26" s="32" t="str">
        <f>IF(DAY(DATE(対象年度,3,23))&lt;&gt;23,"",IF(ISNUMBER(MATCH(DATE(対象年度,3,23),祝日リスト,0)),"祝",""))</f>
        <v/>
      </c>
      <c r="D26" s="38"/>
      <c r="E26" s="34"/>
      <c r="F26" s="35"/>
      <c r="G26" s="36"/>
      <c r="H26" s="37"/>
      <c r="I26" s="33"/>
      <c r="J26" s="46"/>
      <c r="K26" s="35"/>
      <c r="L26" s="36"/>
      <c r="M26" s="37"/>
      <c r="N26" s="38"/>
      <c r="O26" s="34"/>
      <c r="P26" s="35"/>
      <c r="Q26" s="36"/>
      <c r="R26" s="37"/>
      <c r="S26" s="38"/>
      <c r="T26" s="34"/>
      <c r="U26" s="35"/>
      <c r="V26" s="36"/>
      <c r="W26" s="37"/>
      <c r="X26" s="38"/>
      <c r="Y26" s="34"/>
      <c r="Z26" s="35"/>
      <c r="AA26" s="36"/>
      <c r="AB26" s="37"/>
      <c r="AC26" s="38"/>
      <c r="AD26" s="34"/>
      <c r="AE26" s="35" t="str">
        <f t="shared" si="0"/>
        <v/>
      </c>
      <c r="AF26" s="36" t="str">
        <f t="shared" si="1"/>
        <v/>
      </c>
      <c r="AG26" s="37"/>
      <c r="AH26" s="33"/>
      <c r="AI26" s="34"/>
      <c r="AJ26" s="35"/>
      <c r="AK26" s="36"/>
      <c r="AL26" s="37"/>
      <c r="AM26" s="33"/>
      <c r="AN26" s="46"/>
      <c r="AO26" s="35"/>
      <c r="AP26" s="36"/>
      <c r="AQ26" s="37"/>
      <c r="AR26" s="38"/>
      <c r="AS26" s="34"/>
      <c r="AT26" s="35"/>
      <c r="AU26" s="36"/>
      <c r="AV26" s="37"/>
      <c r="AW26" s="38"/>
      <c r="AX26" s="34"/>
      <c r="AY26" s="35"/>
      <c r="AZ26" s="36"/>
      <c r="BA26" s="37"/>
      <c r="BB26" s="38"/>
      <c r="BC26" s="34"/>
      <c r="BD26" s="35"/>
      <c r="BE26" s="36" t="str">
        <f t="shared" si="11"/>
        <v/>
      </c>
      <c r="BF26" s="37"/>
      <c r="BG26" s="38"/>
      <c r="BH26" s="34"/>
      <c r="BI26" s="35" t="str">
        <f t="shared" si="12"/>
        <v/>
      </c>
      <c r="BJ26" s="36" t="str">
        <f t="shared" si="13"/>
        <v/>
      </c>
      <c r="BK26" s="37"/>
      <c r="BL26" s="33"/>
      <c r="BM26" s="34"/>
      <c r="BN26" s="35" t="str">
        <f t="shared" si="14"/>
        <v/>
      </c>
      <c r="BO26" s="36" t="str">
        <f t="shared" si="15"/>
        <v/>
      </c>
      <c r="BP26" s="37"/>
      <c r="BQ26" s="33"/>
      <c r="BR26" s="34"/>
      <c r="BS26" s="35" t="str">
        <f t="shared" si="16"/>
        <v/>
      </c>
      <c r="BT26" s="36" t="str">
        <f t="shared" si="17"/>
        <v/>
      </c>
      <c r="BU26" s="37"/>
      <c r="BV26" s="33"/>
      <c r="BW26" s="34"/>
      <c r="BX26" s="35" t="str">
        <f t="shared" si="18"/>
        <v/>
      </c>
      <c r="BY26" s="36" t="str">
        <f t="shared" si="19"/>
        <v/>
      </c>
      <c r="BZ26" s="37"/>
      <c r="CA26" s="33"/>
      <c r="CB26" s="34"/>
      <c r="CC26" s="35" t="str">
        <f t="shared" si="20"/>
        <v/>
      </c>
      <c r="CD26" s="36" t="str">
        <f t="shared" si="21"/>
        <v/>
      </c>
      <c r="CE26" s="37"/>
      <c r="CF26" s="33"/>
      <c r="CG26" s="34"/>
      <c r="CH26" s="35" t="str">
        <f t="shared" si="22"/>
        <v/>
      </c>
      <c r="CI26" s="36" t="str">
        <f t="shared" si="23"/>
        <v/>
      </c>
      <c r="CJ26" s="37"/>
      <c r="CK26" s="33"/>
      <c r="CL26" s="34"/>
      <c r="CM26" s="35" t="str">
        <f t="shared" si="24"/>
        <v/>
      </c>
      <c r="CN26" s="36" t="str">
        <f t="shared" si="25"/>
        <v/>
      </c>
      <c r="CO26" s="37"/>
      <c r="CP26" s="33"/>
      <c r="CQ26" s="34"/>
      <c r="CR26" s="35" t="str">
        <f t="shared" si="26"/>
        <v/>
      </c>
      <c r="CS26" s="36" t="str">
        <f t="shared" si="27"/>
        <v/>
      </c>
      <c r="CT26" s="37"/>
      <c r="CU26" s="33"/>
      <c r="CV26" s="34"/>
      <c r="CW26" s="35" t="str">
        <f t="shared" si="28"/>
        <v/>
      </c>
      <c r="CX26" s="36" t="str">
        <f t="shared" si="29"/>
        <v/>
      </c>
      <c r="CY26" s="37"/>
      <c r="CZ26" s="33"/>
      <c r="DA26" s="34"/>
      <c r="DB26" s="35" t="str">
        <f t="shared" si="30"/>
        <v/>
      </c>
      <c r="DC26" s="36" t="str">
        <f t="shared" si="31"/>
        <v/>
      </c>
      <c r="DD26" s="37"/>
      <c r="DE26" s="33"/>
      <c r="DF26" s="34"/>
      <c r="DG26" s="35" t="str">
        <f t="shared" si="32"/>
        <v/>
      </c>
      <c r="DH26" s="36" t="str">
        <f t="shared" si="33"/>
        <v/>
      </c>
      <c r="DI26" s="37"/>
      <c r="DJ26" s="33"/>
      <c r="DK26" s="34"/>
      <c r="DL26" s="35" t="str">
        <f t="shared" si="34"/>
        <v/>
      </c>
      <c r="DM26" s="36" t="str">
        <f t="shared" si="35"/>
        <v/>
      </c>
      <c r="DN26" s="37"/>
      <c r="DO26" s="33"/>
      <c r="DP26" s="34"/>
      <c r="DQ26" s="35" t="str">
        <f t="shared" si="36"/>
        <v/>
      </c>
      <c r="DR26" s="36" t="str">
        <f t="shared" si="37"/>
        <v/>
      </c>
      <c r="DS26" s="37"/>
      <c r="DT26" s="33"/>
      <c r="DU26" s="34"/>
      <c r="DV26" s="35" t="str">
        <f t="shared" si="38"/>
        <v/>
      </c>
      <c r="DW26" s="36" t="str">
        <f t="shared" si="39"/>
        <v/>
      </c>
      <c r="DX26" s="37"/>
      <c r="DY26" s="33"/>
      <c r="DZ26" s="34"/>
      <c r="EA26" s="35" t="str">
        <f t="shared" si="40"/>
        <v/>
      </c>
      <c r="EB26" s="36" t="str">
        <f t="shared" si="41"/>
        <v/>
      </c>
      <c r="EC26" s="37"/>
      <c r="ED26" s="33"/>
      <c r="EE26" s="34"/>
      <c r="EF26" s="35" t="str">
        <f t="shared" si="42"/>
        <v/>
      </c>
      <c r="EG26" s="36" t="str">
        <f t="shared" si="43"/>
        <v/>
      </c>
      <c r="EH26" s="37"/>
      <c r="EI26" s="33"/>
      <c r="EJ26" s="34"/>
      <c r="EK26" s="35" t="str">
        <f t="shared" si="44"/>
        <v/>
      </c>
      <c r="EL26" s="36" t="str">
        <f t="shared" si="45"/>
        <v/>
      </c>
      <c r="EM26" s="37"/>
      <c r="EN26" s="33"/>
      <c r="EO26" s="34"/>
      <c r="EP26" s="35" t="str">
        <f t="shared" si="46"/>
        <v/>
      </c>
      <c r="EQ26" s="36" t="str">
        <f t="shared" si="47"/>
        <v/>
      </c>
      <c r="ER26" s="37"/>
      <c r="ES26" s="33"/>
      <c r="ET26" s="34"/>
      <c r="EU26" s="35" t="str">
        <f t="shared" si="48"/>
        <v/>
      </c>
      <c r="EV26" s="36" t="str">
        <f t="shared" si="49"/>
        <v/>
      </c>
      <c r="EW26" s="37"/>
    </row>
    <row r="27" spans="1:153" ht="19.5" customHeight="1">
      <c r="A27" s="32">
        <f>IF(DAY(DATE(対象年度,3,24))&lt;&gt;24,"",24)</f>
        <v>24</v>
      </c>
      <c r="B27" s="32" t="str">
        <f>IF(DAY(DATE(対象年度,3,24))&lt;&gt;24,"",CHOOSE(WEEKDAY(DATE(対象年度,3,24),2),"月","火","水","木","金","土","日"))</f>
        <v>火</v>
      </c>
      <c r="C27" s="32" t="str">
        <f>IF(DAY(DATE(対象年度,3,24))&lt;&gt;24,"",IF(ISNUMBER(MATCH(DATE(対象年度,3,24),祝日リスト,0)),"祝",""))</f>
        <v/>
      </c>
      <c r="D27" s="33"/>
      <c r="E27" s="46"/>
      <c r="F27" s="35"/>
      <c r="G27" s="36"/>
      <c r="H27" s="37"/>
      <c r="I27" s="33"/>
      <c r="J27" s="46"/>
      <c r="K27" s="35"/>
      <c r="L27" s="36"/>
      <c r="M27" s="37"/>
      <c r="N27" s="38"/>
      <c r="O27" s="34"/>
      <c r="P27" s="35"/>
      <c r="Q27" s="36"/>
      <c r="R27" s="37"/>
      <c r="S27" s="38"/>
      <c r="T27" s="34"/>
      <c r="U27" s="35"/>
      <c r="V27" s="36"/>
      <c r="W27" s="37"/>
      <c r="X27" s="38"/>
      <c r="Y27" s="34"/>
      <c r="Z27" s="35"/>
      <c r="AA27" s="36"/>
      <c r="AB27" s="37"/>
      <c r="AC27" s="33"/>
      <c r="AD27" s="46"/>
      <c r="AE27" s="35" t="str">
        <f t="shared" si="0"/>
        <v/>
      </c>
      <c r="AF27" s="36" t="str">
        <f t="shared" si="1"/>
        <v/>
      </c>
      <c r="AG27" s="37"/>
      <c r="AH27" s="38"/>
      <c r="AI27" s="34"/>
      <c r="AJ27" s="35"/>
      <c r="AK27" s="36"/>
      <c r="AL27" s="37"/>
      <c r="AM27" s="33"/>
      <c r="AN27" s="46"/>
      <c r="AO27" s="35"/>
      <c r="AP27" s="36"/>
      <c r="AQ27" s="37"/>
      <c r="AR27" s="38"/>
      <c r="AS27" s="34"/>
      <c r="AT27" s="35"/>
      <c r="AU27" s="36"/>
      <c r="AV27" s="37"/>
      <c r="AW27" s="38"/>
      <c r="AX27" s="34"/>
      <c r="AY27" s="35"/>
      <c r="AZ27" s="36"/>
      <c r="BA27" s="37"/>
      <c r="BB27" s="38"/>
      <c r="BC27" s="34"/>
      <c r="BD27" s="35"/>
      <c r="BE27" s="36" t="str">
        <f t="shared" si="11"/>
        <v/>
      </c>
      <c r="BF27" s="37"/>
      <c r="BG27" s="38"/>
      <c r="BH27" s="34"/>
      <c r="BI27" s="35" t="str">
        <f t="shared" si="12"/>
        <v/>
      </c>
      <c r="BJ27" s="36" t="str">
        <f t="shared" si="13"/>
        <v/>
      </c>
      <c r="BK27" s="37"/>
      <c r="BL27" s="33"/>
      <c r="BM27" s="34"/>
      <c r="BN27" s="35" t="str">
        <f t="shared" si="14"/>
        <v/>
      </c>
      <c r="BO27" s="36" t="str">
        <f t="shared" si="15"/>
        <v/>
      </c>
      <c r="BP27" s="37"/>
      <c r="BQ27" s="33"/>
      <c r="BR27" s="34"/>
      <c r="BS27" s="35" t="str">
        <f t="shared" si="16"/>
        <v/>
      </c>
      <c r="BT27" s="36" t="str">
        <f t="shared" si="17"/>
        <v/>
      </c>
      <c r="BU27" s="37"/>
      <c r="BV27" s="33"/>
      <c r="BW27" s="34"/>
      <c r="BX27" s="35" t="str">
        <f t="shared" si="18"/>
        <v/>
      </c>
      <c r="BY27" s="36" t="str">
        <f t="shared" si="19"/>
        <v/>
      </c>
      <c r="BZ27" s="37"/>
      <c r="CA27" s="33"/>
      <c r="CB27" s="34"/>
      <c r="CC27" s="35" t="str">
        <f t="shared" si="20"/>
        <v/>
      </c>
      <c r="CD27" s="36" t="str">
        <f t="shared" si="21"/>
        <v/>
      </c>
      <c r="CE27" s="37"/>
      <c r="CF27" s="33"/>
      <c r="CG27" s="34"/>
      <c r="CH27" s="35" t="str">
        <f t="shared" si="22"/>
        <v/>
      </c>
      <c r="CI27" s="36" t="str">
        <f t="shared" si="23"/>
        <v/>
      </c>
      <c r="CJ27" s="37"/>
      <c r="CK27" s="33"/>
      <c r="CL27" s="34"/>
      <c r="CM27" s="35" t="str">
        <f t="shared" si="24"/>
        <v/>
      </c>
      <c r="CN27" s="36" t="str">
        <f t="shared" si="25"/>
        <v/>
      </c>
      <c r="CO27" s="37"/>
      <c r="CP27" s="33"/>
      <c r="CQ27" s="34"/>
      <c r="CR27" s="35" t="str">
        <f t="shared" si="26"/>
        <v/>
      </c>
      <c r="CS27" s="36" t="str">
        <f t="shared" si="27"/>
        <v/>
      </c>
      <c r="CT27" s="37"/>
      <c r="CU27" s="33"/>
      <c r="CV27" s="34"/>
      <c r="CW27" s="35" t="str">
        <f t="shared" si="28"/>
        <v/>
      </c>
      <c r="CX27" s="36" t="str">
        <f t="shared" si="29"/>
        <v/>
      </c>
      <c r="CY27" s="37"/>
      <c r="CZ27" s="33"/>
      <c r="DA27" s="34"/>
      <c r="DB27" s="35" t="str">
        <f t="shared" si="30"/>
        <v/>
      </c>
      <c r="DC27" s="36" t="str">
        <f t="shared" si="31"/>
        <v/>
      </c>
      <c r="DD27" s="37"/>
      <c r="DE27" s="33"/>
      <c r="DF27" s="34"/>
      <c r="DG27" s="35" t="str">
        <f t="shared" si="32"/>
        <v/>
      </c>
      <c r="DH27" s="36" t="str">
        <f t="shared" si="33"/>
        <v/>
      </c>
      <c r="DI27" s="37"/>
      <c r="DJ27" s="33"/>
      <c r="DK27" s="34"/>
      <c r="DL27" s="35" t="str">
        <f t="shared" si="34"/>
        <v/>
      </c>
      <c r="DM27" s="36" t="str">
        <f t="shared" si="35"/>
        <v/>
      </c>
      <c r="DN27" s="37"/>
      <c r="DO27" s="33"/>
      <c r="DP27" s="34"/>
      <c r="DQ27" s="35" t="str">
        <f t="shared" si="36"/>
        <v/>
      </c>
      <c r="DR27" s="36" t="str">
        <f t="shared" si="37"/>
        <v/>
      </c>
      <c r="DS27" s="37"/>
      <c r="DT27" s="33"/>
      <c r="DU27" s="34"/>
      <c r="DV27" s="35" t="str">
        <f t="shared" si="38"/>
        <v/>
      </c>
      <c r="DW27" s="36" t="str">
        <f t="shared" si="39"/>
        <v/>
      </c>
      <c r="DX27" s="37"/>
      <c r="DY27" s="33"/>
      <c r="DZ27" s="34"/>
      <c r="EA27" s="35" t="str">
        <f t="shared" si="40"/>
        <v/>
      </c>
      <c r="EB27" s="36" t="str">
        <f t="shared" si="41"/>
        <v/>
      </c>
      <c r="EC27" s="37"/>
      <c r="ED27" s="33"/>
      <c r="EE27" s="34"/>
      <c r="EF27" s="35" t="str">
        <f t="shared" si="42"/>
        <v/>
      </c>
      <c r="EG27" s="36" t="str">
        <f t="shared" si="43"/>
        <v/>
      </c>
      <c r="EH27" s="37"/>
      <c r="EI27" s="33"/>
      <c r="EJ27" s="34"/>
      <c r="EK27" s="35" t="str">
        <f t="shared" si="44"/>
        <v/>
      </c>
      <c r="EL27" s="36" t="str">
        <f t="shared" si="45"/>
        <v/>
      </c>
      <c r="EM27" s="37"/>
      <c r="EN27" s="33"/>
      <c r="EO27" s="34"/>
      <c r="EP27" s="35" t="str">
        <f t="shared" si="46"/>
        <v/>
      </c>
      <c r="EQ27" s="36" t="str">
        <f t="shared" si="47"/>
        <v/>
      </c>
      <c r="ER27" s="37"/>
      <c r="ES27" s="33"/>
      <c r="ET27" s="34"/>
      <c r="EU27" s="35" t="str">
        <f t="shared" si="48"/>
        <v/>
      </c>
      <c r="EV27" s="36" t="str">
        <f t="shared" si="49"/>
        <v/>
      </c>
      <c r="EW27" s="37"/>
    </row>
    <row r="28" spans="1:153" ht="19.5" customHeight="1">
      <c r="A28" s="32">
        <f>IF(DAY(DATE(対象年度,3,25))&lt;&gt;25,"",25)</f>
        <v>25</v>
      </c>
      <c r="B28" s="32" t="str">
        <f>IF(DAY(DATE(対象年度,3,25))&lt;&gt;25,"",CHOOSE(WEEKDAY(DATE(対象年度,3,25),2),"月","火","水","木","金","土","日"))</f>
        <v>水</v>
      </c>
      <c r="C28" s="32" t="str">
        <f>IF(DAY(DATE(対象年度,3,25))&lt;&gt;25,"",IF(ISNUMBER(MATCH(DATE(対象年度,3,25),祝日リスト,0)),"祝",""))</f>
        <v/>
      </c>
      <c r="D28" s="38"/>
      <c r="E28" s="34"/>
      <c r="F28" s="35"/>
      <c r="G28" s="36"/>
      <c r="H28" s="37"/>
      <c r="I28" s="33"/>
      <c r="J28" s="34"/>
      <c r="K28" s="35"/>
      <c r="L28" s="36"/>
      <c r="M28" s="37"/>
      <c r="N28" s="38"/>
      <c r="O28" s="34"/>
      <c r="P28" s="35"/>
      <c r="Q28" s="36"/>
      <c r="R28" s="37"/>
      <c r="S28" s="38"/>
      <c r="T28" s="34"/>
      <c r="U28" s="35"/>
      <c r="V28" s="36"/>
      <c r="W28" s="37"/>
      <c r="X28" s="38"/>
      <c r="Y28" s="34"/>
      <c r="Z28" s="35"/>
      <c r="AA28" s="36"/>
      <c r="AB28" s="37"/>
      <c r="AC28" s="33"/>
      <c r="AD28" s="34"/>
      <c r="AE28" s="35" t="str">
        <f t="shared" si="0"/>
        <v/>
      </c>
      <c r="AF28" s="36" t="str">
        <f t="shared" si="1"/>
        <v/>
      </c>
      <c r="AG28" s="37"/>
      <c r="AH28" s="38"/>
      <c r="AI28" s="34"/>
      <c r="AJ28" s="35"/>
      <c r="AK28" s="36"/>
      <c r="AL28" s="37"/>
      <c r="AM28" s="33"/>
      <c r="AN28" s="34"/>
      <c r="AO28" s="35"/>
      <c r="AP28" s="36"/>
      <c r="AQ28" s="37"/>
      <c r="AR28" s="38"/>
      <c r="AS28" s="34"/>
      <c r="AT28" s="35"/>
      <c r="AU28" s="36"/>
      <c r="AV28" s="37"/>
      <c r="AW28" s="38"/>
      <c r="AX28" s="34"/>
      <c r="AY28" s="35"/>
      <c r="AZ28" s="36"/>
      <c r="BA28" s="37"/>
      <c r="BB28" s="38"/>
      <c r="BC28" s="34"/>
      <c r="BD28" s="35"/>
      <c r="BE28" s="36" t="str">
        <f t="shared" si="11"/>
        <v/>
      </c>
      <c r="BF28" s="37"/>
      <c r="BG28" s="38"/>
      <c r="BH28" s="34"/>
      <c r="BI28" s="35" t="str">
        <f t="shared" si="12"/>
        <v/>
      </c>
      <c r="BJ28" s="36" t="str">
        <f t="shared" si="13"/>
        <v/>
      </c>
      <c r="BK28" s="37"/>
      <c r="BL28" s="33"/>
      <c r="BM28" s="34"/>
      <c r="BN28" s="35" t="str">
        <f t="shared" si="14"/>
        <v/>
      </c>
      <c r="BO28" s="36" t="str">
        <f t="shared" si="15"/>
        <v/>
      </c>
      <c r="BP28" s="37"/>
      <c r="BQ28" s="33"/>
      <c r="BR28" s="34"/>
      <c r="BS28" s="35" t="str">
        <f t="shared" si="16"/>
        <v/>
      </c>
      <c r="BT28" s="36" t="str">
        <f t="shared" si="17"/>
        <v/>
      </c>
      <c r="BU28" s="37"/>
      <c r="BV28" s="33"/>
      <c r="BW28" s="34"/>
      <c r="BX28" s="35" t="str">
        <f t="shared" si="18"/>
        <v/>
      </c>
      <c r="BY28" s="36" t="str">
        <f t="shared" si="19"/>
        <v/>
      </c>
      <c r="BZ28" s="37"/>
      <c r="CA28" s="33"/>
      <c r="CB28" s="34"/>
      <c r="CC28" s="35" t="str">
        <f t="shared" si="20"/>
        <v/>
      </c>
      <c r="CD28" s="36" t="str">
        <f t="shared" si="21"/>
        <v/>
      </c>
      <c r="CE28" s="37"/>
      <c r="CF28" s="33"/>
      <c r="CG28" s="34"/>
      <c r="CH28" s="35" t="str">
        <f t="shared" si="22"/>
        <v/>
      </c>
      <c r="CI28" s="36" t="str">
        <f t="shared" si="23"/>
        <v/>
      </c>
      <c r="CJ28" s="37"/>
      <c r="CK28" s="33"/>
      <c r="CL28" s="34"/>
      <c r="CM28" s="35" t="str">
        <f t="shared" si="24"/>
        <v/>
      </c>
      <c r="CN28" s="36" t="str">
        <f t="shared" si="25"/>
        <v/>
      </c>
      <c r="CO28" s="37"/>
      <c r="CP28" s="33"/>
      <c r="CQ28" s="34"/>
      <c r="CR28" s="35" t="str">
        <f t="shared" si="26"/>
        <v/>
      </c>
      <c r="CS28" s="36" t="str">
        <f t="shared" si="27"/>
        <v/>
      </c>
      <c r="CT28" s="37"/>
      <c r="CU28" s="33"/>
      <c r="CV28" s="34"/>
      <c r="CW28" s="35" t="str">
        <f t="shared" si="28"/>
        <v/>
      </c>
      <c r="CX28" s="36" t="str">
        <f t="shared" si="29"/>
        <v/>
      </c>
      <c r="CY28" s="37"/>
      <c r="CZ28" s="33"/>
      <c r="DA28" s="34"/>
      <c r="DB28" s="35" t="str">
        <f t="shared" si="30"/>
        <v/>
      </c>
      <c r="DC28" s="36" t="str">
        <f t="shared" si="31"/>
        <v/>
      </c>
      <c r="DD28" s="37"/>
      <c r="DE28" s="33"/>
      <c r="DF28" s="34"/>
      <c r="DG28" s="35" t="str">
        <f t="shared" si="32"/>
        <v/>
      </c>
      <c r="DH28" s="36" t="str">
        <f t="shared" si="33"/>
        <v/>
      </c>
      <c r="DI28" s="37"/>
      <c r="DJ28" s="33"/>
      <c r="DK28" s="34"/>
      <c r="DL28" s="35" t="str">
        <f t="shared" si="34"/>
        <v/>
      </c>
      <c r="DM28" s="36" t="str">
        <f t="shared" si="35"/>
        <v/>
      </c>
      <c r="DN28" s="37"/>
      <c r="DO28" s="33"/>
      <c r="DP28" s="34"/>
      <c r="DQ28" s="35" t="str">
        <f t="shared" si="36"/>
        <v/>
      </c>
      <c r="DR28" s="36" t="str">
        <f t="shared" si="37"/>
        <v/>
      </c>
      <c r="DS28" s="37"/>
      <c r="DT28" s="33"/>
      <c r="DU28" s="34"/>
      <c r="DV28" s="35" t="str">
        <f t="shared" si="38"/>
        <v/>
      </c>
      <c r="DW28" s="36" t="str">
        <f t="shared" si="39"/>
        <v/>
      </c>
      <c r="DX28" s="37"/>
      <c r="DY28" s="33"/>
      <c r="DZ28" s="34"/>
      <c r="EA28" s="35" t="str">
        <f t="shared" si="40"/>
        <v/>
      </c>
      <c r="EB28" s="36" t="str">
        <f t="shared" si="41"/>
        <v/>
      </c>
      <c r="EC28" s="37"/>
      <c r="ED28" s="33"/>
      <c r="EE28" s="34"/>
      <c r="EF28" s="35" t="str">
        <f t="shared" si="42"/>
        <v/>
      </c>
      <c r="EG28" s="36" t="str">
        <f t="shared" si="43"/>
        <v/>
      </c>
      <c r="EH28" s="37"/>
      <c r="EI28" s="33"/>
      <c r="EJ28" s="34"/>
      <c r="EK28" s="35" t="str">
        <f t="shared" si="44"/>
        <v/>
      </c>
      <c r="EL28" s="36" t="str">
        <f t="shared" si="45"/>
        <v/>
      </c>
      <c r="EM28" s="37"/>
      <c r="EN28" s="33"/>
      <c r="EO28" s="34"/>
      <c r="EP28" s="35" t="str">
        <f t="shared" si="46"/>
        <v/>
      </c>
      <c r="EQ28" s="36" t="str">
        <f t="shared" si="47"/>
        <v/>
      </c>
      <c r="ER28" s="37"/>
      <c r="ES28" s="33"/>
      <c r="ET28" s="34"/>
      <c r="EU28" s="35" t="str">
        <f t="shared" si="48"/>
        <v/>
      </c>
      <c r="EV28" s="36" t="str">
        <f t="shared" si="49"/>
        <v/>
      </c>
      <c r="EW28" s="37"/>
    </row>
    <row r="29" spans="1:153" ht="19.5" customHeight="1">
      <c r="A29" s="32">
        <f>IF(DAY(DATE(対象年度,3,26))&lt;&gt;26,"",26)</f>
        <v>26</v>
      </c>
      <c r="B29" s="32" t="str">
        <f>IF(DAY(DATE(対象年度,3,26))&lt;&gt;26,"",CHOOSE(WEEKDAY(DATE(対象年度,3,26),2),"月","火","水","木","金","土","日"))</f>
        <v>木</v>
      </c>
      <c r="C29" s="32" t="str">
        <f>IF(DAY(DATE(対象年度,3,26))&lt;&gt;26,"",IF(ISNUMBER(MATCH(DATE(対象年度,3,26),祝日リスト,0)),"祝",""))</f>
        <v/>
      </c>
      <c r="D29" s="38"/>
      <c r="E29" s="34"/>
      <c r="F29" s="35"/>
      <c r="G29" s="36"/>
      <c r="H29" s="37"/>
      <c r="I29" s="33"/>
      <c r="J29" s="46"/>
      <c r="K29" s="35"/>
      <c r="L29" s="36"/>
      <c r="M29" s="37"/>
      <c r="N29" s="38"/>
      <c r="O29" s="34"/>
      <c r="P29" s="35"/>
      <c r="Q29" s="36"/>
      <c r="R29" s="37"/>
      <c r="S29" s="38"/>
      <c r="T29" s="34"/>
      <c r="U29" s="35"/>
      <c r="V29" s="36"/>
      <c r="W29" s="37"/>
      <c r="X29" s="38"/>
      <c r="Y29" s="34"/>
      <c r="Z29" s="35"/>
      <c r="AA29" s="36"/>
      <c r="AB29" s="37"/>
      <c r="AC29" s="33"/>
      <c r="AD29" s="46"/>
      <c r="AE29" s="35" t="str">
        <f t="shared" si="0"/>
        <v/>
      </c>
      <c r="AF29" s="36" t="str">
        <f t="shared" si="1"/>
        <v/>
      </c>
      <c r="AG29" s="37"/>
      <c r="AH29" s="38"/>
      <c r="AI29" s="34"/>
      <c r="AJ29" s="35"/>
      <c r="AK29" s="36"/>
      <c r="AL29" s="37"/>
      <c r="AM29" s="33"/>
      <c r="AN29" s="46"/>
      <c r="AO29" s="35"/>
      <c r="AP29" s="36"/>
      <c r="AQ29" s="37"/>
      <c r="AR29" s="38"/>
      <c r="AS29" s="34"/>
      <c r="AT29" s="35"/>
      <c r="AU29" s="36"/>
      <c r="AV29" s="37"/>
      <c r="AW29" s="38"/>
      <c r="AX29" s="34"/>
      <c r="AY29" s="35"/>
      <c r="AZ29" s="36"/>
      <c r="BA29" s="37"/>
      <c r="BB29" s="38"/>
      <c r="BC29" s="34"/>
      <c r="BD29" s="35"/>
      <c r="BE29" s="36" t="str">
        <f t="shared" si="11"/>
        <v/>
      </c>
      <c r="BF29" s="37"/>
      <c r="BG29" s="38"/>
      <c r="BH29" s="34"/>
      <c r="BI29" s="35" t="str">
        <f t="shared" si="12"/>
        <v/>
      </c>
      <c r="BJ29" s="36" t="str">
        <f t="shared" si="13"/>
        <v/>
      </c>
      <c r="BK29" s="37"/>
      <c r="BL29" s="33"/>
      <c r="BM29" s="34"/>
      <c r="BN29" s="35" t="str">
        <f t="shared" si="14"/>
        <v/>
      </c>
      <c r="BO29" s="36" t="str">
        <f t="shared" si="15"/>
        <v/>
      </c>
      <c r="BP29" s="37"/>
      <c r="BQ29" s="33"/>
      <c r="BR29" s="34"/>
      <c r="BS29" s="35" t="str">
        <f t="shared" si="16"/>
        <v/>
      </c>
      <c r="BT29" s="36" t="str">
        <f t="shared" si="17"/>
        <v/>
      </c>
      <c r="BU29" s="37"/>
      <c r="BV29" s="33"/>
      <c r="BW29" s="34"/>
      <c r="BX29" s="35" t="str">
        <f t="shared" si="18"/>
        <v/>
      </c>
      <c r="BY29" s="36" t="str">
        <f t="shared" si="19"/>
        <v/>
      </c>
      <c r="BZ29" s="37"/>
      <c r="CA29" s="33"/>
      <c r="CB29" s="34"/>
      <c r="CC29" s="35" t="str">
        <f t="shared" si="20"/>
        <v/>
      </c>
      <c r="CD29" s="36" t="str">
        <f t="shared" si="21"/>
        <v/>
      </c>
      <c r="CE29" s="37"/>
      <c r="CF29" s="33"/>
      <c r="CG29" s="34"/>
      <c r="CH29" s="35" t="str">
        <f t="shared" si="22"/>
        <v/>
      </c>
      <c r="CI29" s="36" t="str">
        <f t="shared" si="23"/>
        <v/>
      </c>
      <c r="CJ29" s="37"/>
      <c r="CK29" s="33"/>
      <c r="CL29" s="34"/>
      <c r="CM29" s="35" t="str">
        <f t="shared" si="24"/>
        <v/>
      </c>
      <c r="CN29" s="36" t="str">
        <f t="shared" si="25"/>
        <v/>
      </c>
      <c r="CO29" s="37"/>
      <c r="CP29" s="33"/>
      <c r="CQ29" s="34"/>
      <c r="CR29" s="35" t="str">
        <f t="shared" si="26"/>
        <v/>
      </c>
      <c r="CS29" s="36" t="str">
        <f t="shared" si="27"/>
        <v/>
      </c>
      <c r="CT29" s="37"/>
      <c r="CU29" s="33"/>
      <c r="CV29" s="34"/>
      <c r="CW29" s="35" t="str">
        <f t="shared" si="28"/>
        <v/>
      </c>
      <c r="CX29" s="36" t="str">
        <f t="shared" si="29"/>
        <v/>
      </c>
      <c r="CY29" s="37"/>
      <c r="CZ29" s="33"/>
      <c r="DA29" s="34"/>
      <c r="DB29" s="35" t="str">
        <f t="shared" si="30"/>
        <v/>
      </c>
      <c r="DC29" s="36" t="str">
        <f t="shared" si="31"/>
        <v/>
      </c>
      <c r="DD29" s="37"/>
      <c r="DE29" s="33"/>
      <c r="DF29" s="34"/>
      <c r="DG29" s="35" t="str">
        <f t="shared" si="32"/>
        <v/>
      </c>
      <c r="DH29" s="36" t="str">
        <f t="shared" si="33"/>
        <v/>
      </c>
      <c r="DI29" s="37"/>
      <c r="DJ29" s="33"/>
      <c r="DK29" s="34"/>
      <c r="DL29" s="35" t="str">
        <f t="shared" si="34"/>
        <v/>
      </c>
      <c r="DM29" s="36" t="str">
        <f t="shared" si="35"/>
        <v/>
      </c>
      <c r="DN29" s="37"/>
      <c r="DO29" s="33"/>
      <c r="DP29" s="34"/>
      <c r="DQ29" s="35" t="str">
        <f t="shared" si="36"/>
        <v/>
      </c>
      <c r="DR29" s="36" t="str">
        <f t="shared" si="37"/>
        <v/>
      </c>
      <c r="DS29" s="37"/>
      <c r="DT29" s="33"/>
      <c r="DU29" s="34"/>
      <c r="DV29" s="35" t="str">
        <f t="shared" si="38"/>
        <v/>
      </c>
      <c r="DW29" s="36" t="str">
        <f t="shared" si="39"/>
        <v/>
      </c>
      <c r="DX29" s="37"/>
      <c r="DY29" s="33"/>
      <c r="DZ29" s="34"/>
      <c r="EA29" s="35" t="str">
        <f t="shared" si="40"/>
        <v/>
      </c>
      <c r="EB29" s="36" t="str">
        <f t="shared" si="41"/>
        <v/>
      </c>
      <c r="EC29" s="37"/>
      <c r="ED29" s="33"/>
      <c r="EE29" s="34"/>
      <c r="EF29" s="35" t="str">
        <f t="shared" si="42"/>
        <v/>
      </c>
      <c r="EG29" s="36" t="str">
        <f t="shared" si="43"/>
        <v/>
      </c>
      <c r="EH29" s="37"/>
      <c r="EI29" s="33"/>
      <c r="EJ29" s="34"/>
      <c r="EK29" s="35" t="str">
        <f t="shared" si="44"/>
        <v/>
      </c>
      <c r="EL29" s="36" t="str">
        <f t="shared" si="45"/>
        <v/>
      </c>
      <c r="EM29" s="37"/>
      <c r="EN29" s="33"/>
      <c r="EO29" s="34"/>
      <c r="EP29" s="35" t="str">
        <f t="shared" si="46"/>
        <v/>
      </c>
      <c r="EQ29" s="36" t="str">
        <f t="shared" si="47"/>
        <v/>
      </c>
      <c r="ER29" s="37"/>
      <c r="ES29" s="33"/>
      <c r="ET29" s="34"/>
      <c r="EU29" s="35" t="str">
        <f t="shared" si="48"/>
        <v/>
      </c>
      <c r="EV29" s="36" t="str">
        <f t="shared" si="49"/>
        <v/>
      </c>
      <c r="EW29" s="37"/>
    </row>
    <row r="30" spans="1:153" ht="19.5" customHeight="1">
      <c r="A30" s="32">
        <f>IF(DAY(DATE(対象年度,3,27))&lt;&gt;27,"",27)</f>
        <v>27</v>
      </c>
      <c r="B30" s="32" t="str">
        <f>IF(DAY(DATE(対象年度,3,27))&lt;&gt;27,"",CHOOSE(WEEKDAY(DATE(対象年度,3,27),2),"月","火","水","木","金","土","日"))</f>
        <v>金</v>
      </c>
      <c r="C30" s="32" t="str">
        <f>IF(DAY(DATE(対象年度,3,27))&lt;&gt;27,"",IF(ISNUMBER(MATCH(DATE(対象年度,3,27),祝日リスト,0)),"祝",""))</f>
        <v/>
      </c>
      <c r="D30" s="38"/>
      <c r="E30" s="34"/>
      <c r="F30" s="35"/>
      <c r="G30" s="36"/>
      <c r="H30" s="37"/>
      <c r="I30" s="33"/>
      <c r="J30" s="34"/>
      <c r="K30" s="35"/>
      <c r="L30" s="36"/>
      <c r="M30" s="37"/>
      <c r="N30" s="38"/>
      <c r="O30" s="34"/>
      <c r="P30" s="35"/>
      <c r="Q30" s="36"/>
      <c r="R30" s="37"/>
      <c r="S30" s="38"/>
      <c r="T30" s="34"/>
      <c r="U30" s="35"/>
      <c r="V30" s="36"/>
      <c r="W30" s="37"/>
      <c r="X30" s="38"/>
      <c r="Y30" s="34"/>
      <c r="Z30" s="35"/>
      <c r="AA30" s="36"/>
      <c r="AB30" s="37"/>
      <c r="AC30" s="38"/>
      <c r="AD30" s="34"/>
      <c r="AE30" s="35" t="str">
        <f t="shared" si="0"/>
        <v/>
      </c>
      <c r="AF30" s="36" t="str">
        <f t="shared" si="1"/>
        <v/>
      </c>
      <c r="AG30" s="37"/>
      <c r="AH30" s="38"/>
      <c r="AI30" s="34"/>
      <c r="AJ30" s="35"/>
      <c r="AK30" s="36"/>
      <c r="AL30" s="37"/>
      <c r="AM30" s="33"/>
      <c r="AN30" s="34"/>
      <c r="AO30" s="35"/>
      <c r="AP30" s="36"/>
      <c r="AQ30" s="37"/>
      <c r="AR30" s="38"/>
      <c r="AS30" s="34"/>
      <c r="AT30" s="35"/>
      <c r="AU30" s="36"/>
      <c r="AV30" s="37"/>
      <c r="AW30" s="38"/>
      <c r="AX30" s="34"/>
      <c r="AY30" s="35"/>
      <c r="AZ30" s="36"/>
      <c r="BA30" s="37"/>
      <c r="BB30" s="38"/>
      <c r="BC30" s="34"/>
      <c r="BD30" s="35"/>
      <c r="BE30" s="36" t="str">
        <f t="shared" si="11"/>
        <v/>
      </c>
      <c r="BF30" s="37"/>
      <c r="BG30" s="38"/>
      <c r="BH30" s="34"/>
      <c r="BI30" s="35" t="str">
        <f t="shared" si="12"/>
        <v/>
      </c>
      <c r="BJ30" s="36" t="str">
        <f t="shared" si="13"/>
        <v/>
      </c>
      <c r="BK30" s="37"/>
      <c r="BL30" s="33"/>
      <c r="BM30" s="34"/>
      <c r="BN30" s="35" t="str">
        <f t="shared" si="14"/>
        <v/>
      </c>
      <c r="BO30" s="36" t="str">
        <f t="shared" si="15"/>
        <v/>
      </c>
      <c r="BP30" s="37"/>
      <c r="BQ30" s="33"/>
      <c r="BR30" s="34"/>
      <c r="BS30" s="35" t="str">
        <f t="shared" si="16"/>
        <v/>
      </c>
      <c r="BT30" s="36" t="str">
        <f t="shared" si="17"/>
        <v/>
      </c>
      <c r="BU30" s="37"/>
      <c r="BV30" s="33"/>
      <c r="BW30" s="34"/>
      <c r="BX30" s="35" t="str">
        <f t="shared" si="18"/>
        <v/>
      </c>
      <c r="BY30" s="36" t="str">
        <f t="shared" si="19"/>
        <v/>
      </c>
      <c r="BZ30" s="37"/>
      <c r="CA30" s="33"/>
      <c r="CB30" s="34"/>
      <c r="CC30" s="35" t="str">
        <f t="shared" si="20"/>
        <v/>
      </c>
      <c r="CD30" s="36" t="str">
        <f t="shared" si="21"/>
        <v/>
      </c>
      <c r="CE30" s="37"/>
      <c r="CF30" s="33"/>
      <c r="CG30" s="34"/>
      <c r="CH30" s="35" t="str">
        <f t="shared" si="22"/>
        <v/>
      </c>
      <c r="CI30" s="36" t="str">
        <f t="shared" si="23"/>
        <v/>
      </c>
      <c r="CJ30" s="37"/>
      <c r="CK30" s="33"/>
      <c r="CL30" s="34"/>
      <c r="CM30" s="35" t="str">
        <f t="shared" si="24"/>
        <v/>
      </c>
      <c r="CN30" s="36" t="str">
        <f t="shared" si="25"/>
        <v/>
      </c>
      <c r="CO30" s="37"/>
      <c r="CP30" s="33"/>
      <c r="CQ30" s="34"/>
      <c r="CR30" s="35" t="str">
        <f t="shared" si="26"/>
        <v/>
      </c>
      <c r="CS30" s="36" t="str">
        <f t="shared" si="27"/>
        <v/>
      </c>
      <c r="CT30" s="37"/>
      <c r="CU30" s="33"/>
      <c r="CV30" s="34"/>
      <c r="CW30" s="35" t="str">
        <f t="shared" si="28"/>
        <v/>
      </c>
      <c r="CX30" s="36" t="str">
        <f t="shared" si="29"/>
        <v/>
      </c>
      <c r="CY30" s="37"/>
      <c r="CZ30" s="33"/>
      <c r="DA30" s="34"/>
      <c r="DB30" s="35" t="str">
        <f t="shared" si="30"/>
        <v/>
      </c>
      <c r="DC30" s="36" t="str">
        <f t="shared" si="31"/>
        <v/>
      </c>
      <c r="DD30" s="37"/>
      <c r="DE30" s="33"/>
      <c r="DF30" s="34"/>
      <c r="DG30" s="35" t="str">
        <f t="shared" si="32"/>
        <v/>
      </c>
      <c r="DH30" s="36" t="str">
        <f t="shared" si="33"/>
        <v/>
      </c>
      <c r="DI30" s="37"/>
      <c r="DJ30" s="33"/>
      <c r="DK30" s="34"/>
      <c r="DL30" s="35" t="str">
        <f t="shared" si="34"/>
        <v/>
      </c>
      <c r="DM30" s="36" t="str">
        <f t="shared" si="35"/>
        <v/>
      </c>
      <c r="DN30" s="37"/>
      <c r="DO30" s="33"/>
      <c r="DP30" s="34"/>
      <c r="DQ30" s="35" t="str">
        <f t="shared" si="36"/>
        <v/>
      </c>
      <c r="DR30" s="36" t="str">
        <f t="shared" si="37"/>
        <v/>
      </c>
      <c r="DS30" s="37"/>
      <c r="DT30" s="33"/>
      <c r="DU30" s="34"/>
      <c r="DV30" s="35" t="str">
        <f t="shared" si="38"/>
        <v/>
      </c>
      <c r="DW30" s="36" t="str">
        <f t="shared" si="39"/>
        <v/>
      </c>
      <c r="DX30" s="37"/>
      <c r="DY30" s="33"/>
      <c r="DZ30" s="34"/>
      <c r="EA30" s="35" t="str">
        <f t="shared" si="40"/>
        <v/>
      </c>
      <c r="EB30" s="36" t="str">
        <f t="shared" si="41"/>
        <v/>
      </c>
      <c r="EC30" s="37"/>
      <c r="ED30" s="33"/>
      <c r="EE30" s="34"/>
      <c r="EF30" s="35" t="str">
        <f t="shared" si="42"/>
        <v/>
      </c>
      <c r="EG30" s="36" t="str">
        <f t="shared" si="43"/>
        <v/>
      </c>
      <c r="EH30" s="37"/>
      <c r="EI30" s="33"/>
      <c r="EJ30" s="34"/>
      <c r="EK30" s="35" t="str">
        <f t="shared" si="44"/>
        <v/>
      </c>
      <c r="EL30" s="36" t="str">
        <f t="shared" si="45"/>
        <v/>
      </c>
      <c r="EM30" s="37"/>
      <c r="EN30" s="33"/>
      <c r="EO30" s="34"/>
      <c r="EP30" s="35" t="str">
        <f t="shared" si="46"/>
        <v/>
      </c>
      <c r="EQ30" s="36" t="str">
        <f t="shared" si="47"/>
        <v/>
      </c>
      <c r="ER30" s="37"/>
      <c r="ES30" s="33"/>
      <c r="ET30" s="34"/>
      <c r="EU30" s="35" t="str">
        <f t="shared" si="48"/>
        <v/>
      </c>
      <c r="EV30" s="36" t="str">
        <f t="shared" si="49"/>
        <v/>
      </c>
      <c r="EW30" s="37"/>
    </row>
    <row r="31" spans="1:153" ht="19.5" customHeight="1">
      <c r="A31" s="32">
        <f>IF(DAY(DATE(対象年度,3,28))&lt;&gt;28,"",28)</f>
        <v>28</v>
      </c>
      <c r="B31" s="32" t="str">
        <f>IF(DAY(DATE(対象年度,3,28))&lt;&gt;28,"",CHOOSE(WEEKDAY(DATE(対象年度,3,28),2),"月","火","水","木","金","土","日"))</f>
        <v>土</v>
      </c>
      <c r="C31" s="32" t="str">
        <f>IF(DAY(DATE(対象年度,3,28))&lt;&gt;28,"",IF(ISNUMBER(MATCH(DATE(対象年度,3,28),祝日リスト,0)),"祝",""))</f>
        <v/>
      </c>
      <c r="D31" s="33"/>
      <c r="E31" s="34"/>
      <c r="F31" s="35"/>
      <c r="G31" s="36"/>
      <c r="H31" s="37"/>
      <c r="I31" s="33"/>
      <c r="J31" s="34"/>
      <c r="K31" s="35"/>
      <c r="L31" s="36"/>
      <c r="M31" s="37"/>
      <c r="N31" s="38"/>
      <c r="O31" s="34"/>
      <c r="P31" s="35"/>
      <c r="Q31" s="36"/>
      <c r="R31" s="37"/>
      <c r="S31" s="38"/>
      <c r="T31" s="34"/>
      <c r="U31" s="35"/>
      <c r="V31" s="36"/>
      <c r="W31" s="37"/>
      <c r="X31" s="38"/>
      <c r="Y31" s="34"/>
      <c r="Z31" s="35"/>
      <c r="AA31" s="36"/>
      <c r="AB31" s="37"/>
      <c r="AC31" s="33"/>
      <c r="AD31" s="34"/>
      <c r="AE31" s="35" t="str">
        <f t="shared" si="0"/>
        <v/>
      </c>
      <c r="AF31" s="36" t="str">
        <f t="shared" si="1"/>
        <v/>
      </c>
      <c r="AG31" s="37"/>
      <c r="AH31" s="33"/>
      <c r="AI31" s="34"/>
      <c r="AJ31" s="35"/>
      <c r="AK31" s="36"/>
      <c r="AL31" s="37"/>
      <c r="AM31" s="33"/>
      <c r="AN31" s="34"/>
      <c r="AO31" s="35"/>
      <c r="AP31" s="36"/>
      <c r="AQ31" s="37"/>
      <c r="AR31" s="38"/>
      <c r="AS31" s="34"/>
      <c r="AT31" s="35"/>
      <c r="AU31" s="36"/>
      <c r="AV31" s="37"/>
      <c r="AW31" s="33"/>
      <c r="AX31" s="34"/>
      <c r="AY31" s="35"/>
      <c r="AZ31" s="36"/>
      <c r="BA31" s="37"/>
      <c r="BB31" s="33"/>
      <c r="BC31" s="34"/>
      <c r="BD31" s="35"/>
      <c r="BE31" s="36" t="str">
        <f t="shared" si="11"/>
        <v/>
      </c>
      <c r="BF31" s="37"/>
      <c r="BG31" s="38"/>
      <c r="BH31" s="34"/>
      <c r="BI31" s="35" t="str">
        <f t="shared" si="12"/>
        <v/>
      </c>
      <c r="BJ31" s="36" t="str">
        <f t="shared" si="13"/>
        <v/>
      </c>
      <c r="BK31" s="37"/>
      <c r="BL31" s="33"/>
      <c r="BM31" s="34"/>
      <c r="BN31" s="35" t="str">
        <f t="shared" si="14"/>
        <v/>
      </c>
      <c r="BO31" s="36" t="str">
        <f t="shared" si="15"/>
        <v/>
      </c>
      <c r="BP31" s="37"/>
      <c r="BQ31" s="33"/>
      <c r="BR31" s="34"/>
      <c r="BS31" s="35" t="str">
        <f t="shared" si="16"/>
        <v/>
      </c>
      <c r="BT31" s="36" t="str">
        <f t="shared" si="17"/>
        <v/>
      </c>
      <c r="BU31" s="37"/>
      <c r="BV31" s="33"/>
      <c r="BW31" s="34"/>
      <c r="BX31" s="35" t="str">
        <f t="shared" si="18"/>
        <v/>
      </c>
      <c r="BY31" s="36" t="str">
        <f t="shared" si="19"/>
        <v/>
      </c>
      <c r="BZ31" s="37"/>
      <c r="CA31" s="33"/>
      <c r="CB31" s="34"/>
      <c r="CC31" s="35" t="str">
        <f t="shared" si="20"/>
        <v/>
      </c>
      <c r="CD31" s="36" t="str">
        <f t="shared" si="21"/>
        <v/>
      </c>
      <c r="CE31" s="37"/>
      <c r="CF31" s="33"/>
      <c r="CG31" s="34"/>
      <c r="CH31" s="35" t="str">
        <f t="shared" si="22"/>
        <v/>
      </c>
      <c r="CI31" s="36" t="str">
        <f t="shared" si="23"/>
        <v/>
      </c>
      <c r="CJ31" s="37"/>
      <c r="CK31" s="33"/>
      <c r="CL31" s="34"/>
      <c r="CM31" s="35" t="str">
        <f t="shared" si="24"/>
        <v/>
      </c>
      <c r="CN31" s="36" t="str">
        <f t="shared" si="25"/>
        <v/>
      </c>
      <c r="CO31" s="37"/>
      <c r="CP31" s="33"/>
      <c r="CQ31" s="34"/>
      <c r="CR31" s="35" t="str">
        <f t="shared" si="26"/>
        <v/>
      </c>
      <c r="CS31" s="36" t="str">
        <f t="shared" si="27"/>
        <v/>
      </c>
      <c r="CT31" s="37"/>
      <c r="CU31" s="33"/>
      <c r="CV31" s="34"/>
      <c r="CW31" s="35" t="str">
        <f t="shared" si="28"/>
        <v/>
      </c>
      <c r="CX31" s="36" t="str">
        <f t="shared" si="29"/>
        <v/>
      </c>
      <c r="CY31" s="37"/>
      <c r="CZ31" s="33"/>
      <c r="DA31" s="34"/>
      <c r="DB31" s="35" t="str">
        <f t="shared" si="30"/>
        <v/>
      </c>
      <c r="DC31" s="36" t="str">
        <f t="shared" si="31"/>
        <v/>
      </c>
      <c r="DD31" s="37"/>
      <c r="DE31" s="33"/>
      <c r="DF31" s="34"/>
      <c r="DG31" s="35" t="str">
        <f t="shared" si="32"/>
        <v/>
      </c>
      <c r="DH31" s="36" t="str">
        <f t="shared" si="33"/>
        <v/>
      </c>
      <c r="DI31" s="37"/>
      <c r="DJ31" s="33"/>
      <c r="DK31" s="34"/>
      <c r="DL31" s="35" t="str">
        <f t="shared" si="34"/>
        <v/>
      </c>
      <c r="DM31" s="36" t="str">
        <f t="shared" si="35"/>
        <v/>
      </c>
      <c r="DN31" s="37"/>
      <c r="DO31" s="33"/>
      <c r="DP31" s="34"/>
      <c r="DQ31" s="35" t="str">
        <f t="shared" si="36"/>
        <v/>
      </c>
      <c r="DR31" s="36" t="str">
        <f t="shared" si="37"/>
        <v/>
      </c>
      <c r="DS31" s="37"/>
      <c r="DT31" s="33"/>
      <c r="DU31" s="34"/>
      <c r="DV31" s="35" t="str">
        <f t="shared" si="38"/>
        <v/>
      </c>
      <c r="DW31" s="36" t="str">
        <f t="shared" si="39"/>
        <v/>
      </c>
      <c r="DX31" s="37"/>
      <c r="DY31" s="33"/>
      <c r="DZ31" s="34"/>
      <c r="EA31" s="35" t="str">
        <f t="shared" si="40"/>
        <v/>
      </c>
      <c r="EB31" s="36" t="str">
        <f t="shared" si="41"/>
        <v/>
      </c>
      <c r="EC31" s="37"/>
      <c r="ED31" s="33"/>
      <c r="EE31" s="34"/>
      <c r="EF31" s="35" t="str">
        <f t="shared" si="42"/>
        <v/>
      </c>
      <c r="EG31" s="36" t="str">
        <f t="shared" si="43"/>
        <v/>
      </c>
      <c r="EH31" s="37"/>
      <c r="EI31" s="33"/>
      <c r="EJ31" s="34"/>
      <c r="EK31" s="35" t="str">
        <f t="shared" si="44"/>
        <v/>
      </c>
      <c r="EL31" s="36" t="str">
        <f t="shared" si="45"/>
        <v/>
      </c>
      <c r="EM31" s="37"/>
      <c r="EN31" s="33"/>
      <c r="EO31" s="34"/>
      <c r="EP31" s="35" t="str">
        <f t="shared" si="46"/>
        <v/>
      </c>
      <c r="EQ31" s="36" t="str">
        <f t="shared" si="47"/>
        <v/>
      </c>
      <c r="ER31" s="37"/>
      <c r="ES31" s="33"/>
      <c r="ET31" s="34"/>
      <c r="EU31" s="35" t="str">
        <f t="shared" si="48"/>
        <v/>
      </c>
      <c r="EV31" s="36" t="str">
        <f t="shared" si="49"/>
        <v/>
      </c>
      <c r="EW31" s="37"/>
    </row>
    <row r="32" spans="1:153" ht="19.5" customHeight="1">
      <c r="A32" s="32">
        <f>IF(DAY(DATE(対象年度,3,29))&lt;&gt;29,"",29)</f>
        <v>29</v>
      </c>
      <c r="B32" s="32" t="str">
        <f>IF(DAY(DATE(対象年度,3,29))&lt;&gt;29,"",CHOOSE(WEEKDAY(DATE(対象年度,3,29),2),"月","火","水","木","金","土","日"))</f>
        <v>日</v>
      </c>
      <c r="C32" s="32" t="str">
        <f>IF(DAY(DATE(対象年度,3,29))&lt;&gt;29,"",IF(ISNUMBER(MATCH(DATE(対象年度,3,29),祝日リスト,0)),"祝",""))</f>
        <v/>
      </c>
      <c r="D32" s="33"/>
      <c r="E32" s="34"/>
      <c r="F32" s="35"/>
      <c r="G32" s="36"/>
      <c r="H32" s="37"/>
      <c r="I32" s="33"/>
      <c r="J32" s="34"/>
      <c r="K32" s="35"/>
      <c r="L32" s="36"/>
      <c r="M32" s="37"/>
      <c r="N32" s="33"/>
      <c r="O32" s="34"/>
      <c r="P32" s="35"/>
      <c r="Q32" s="36"/>
      <c r="R32" s="37"/>
      <c r="S32" s="33"/>
      <c r="T32" s="34"/>
      <c r="U32" s="35"/>
      <c r="V32" s="36"/>
      <c r="W32" s="37"/>
      <c r="X32" s="33"/>
      <c r="Y32" s="34"/>
      <c r="Z32" s="35"/>
      <c r="AA32" s="36"/>
      <c r="AB32" s="37"/>
      <c r="AC32" s="33"/>
      <c r="AD32" s="34"/>
      <c r="AE32" s="35" t="str">
        <f t="shared" si="0"/>
        <v/>
      </c>
      <c r="AF32" s="36" t="str">
        <f t="shared" si="1"/>
        <v/>
      </c>
      <c r="AG32" s="37"/>
      <c r="AH32" s="33"/>
      <c r="AI32" s="34"/>
      <c r="AJ32" s="35"/>
      <c r="AK32" s="36"/>
      <c r="AL32" s="37"/>
      <c r="AM32" s="33"/>
      <c r="AN32" s="34"/>
      <c r="AO32" s="35"/>
      <c r="AP32" s="36"/>
      <c r="AQ32" s="37"/>
      <c r="AR32" s="33"/>
      <c r="AS32" s="34"/>
      <c r="AT32" s="35"/>
      <c r="AU32" s="36"/>
      <c r="AV32" s="37"/>
      <c r="AW32" s="33"/>
      <c r="AX32" s="34"/>
      <c r="AY32" s="35"/>
      <c r="AZ32" s="36"/>
      <c r="BA32" s="37"/>
      <c r="BB32" s="33"/>
      <c r="BC32" s="34"/>
      <c r="BD32" s="35"/>
      <c r="BE32" s="36" t="str">
        <f t="shared" si="11"/>
        <v/>
      </c>
      <c r="BF32" s="37"/>
      <c r="BG32" s="33"/>
      <c r="BH32" s="34"/>
      <c r="BI32" s="35" t="str">
        <f t="shared" si="12"/>
        <v/>
      </c>
      <c r="BJ32" s="36" t="str">
        <f t="shared" si="13"/>
        <v/>
      </c>
      <c r="BK32" s="37"/>
      <c r="BL32" s="33"/>
      <c r="BM32" s="34"/>
      <c r="BN32" s="35" t="str">
        <f t="shared" si="14"/>
        <v/>
      </c>
      <c r="BO32" s="36" t="str">
        <f t="shared" si="15"/>
        <v/>
      </c>
      <c r="BP32" s="37"/>
      <c r="BQ32" s="33"/>
      <c r="BR32" s="34"/>
      <c r="BS32" s="35" t="str">
        <f t="shared" si="16"/>
        <v/>
      </c>
      <c r="BT32" s="36" t="str">
        <f t="shared" si="17"/>
        <v/>
      </c>
      <c r="BU32" s="37"/>
      <c r="BV32" s="33"/>
      <c r="BW32" s="34"/>
      <c r="BX32" s="35" t="str">
        <f t="shared" si="18"/>
        <v/>
      </c>
      <c r="BY32" s="36" t="str">
        <f t="shared" si="19"/>
        <v/>
      </c>
      <c r="BZ32" s="37"/>
      <c r="CA32" s="33"/>
      <c r="CB32" s="34"/>
      <c r="CC32" s="35" t="str">
        <f t="shared" si="20"/>
        <v/>
      </c>
      <c r="CD32" s="36" t="str">
        <f t="shared" si="21"/>
        <v/>
      </c>
      <c r="CE32" s="37"/>
      <c r="CF32" s="33"/>
      <c r="CG32" s="34"/>
      <c r="CH32" s="35" t="str">
        <f t="shared" si="22"/>
        <v/>
      </c>
      <c r="CI32" s="36" t="str">
        <f t="shared" si="23"/>
        <v/>
      </c>
      <c r="CJ32" s="37"/>
      <c r="CK32" s="33"/>
      <c r="CL32" s="34"/>
      <c r="CM32" s="35" t="str">
        <f t="shared" si="24"/>
        <v/>
      </c>
      <c r="CN32" s="36" t="str">
        <f t="shared" si="25"/>
        <v/>
      </c>
      <c r="CO32" s="37"/>
      <c r="CP32" s="33"/>
      <c r="CQ32" s="34"/>
      <c r="CR32" s="35" t="str">
        <f t="shared" si="26"/>
        <v/>
      </c>
      <c r="CS32" s="36" t="str">
        <f t="shared" si="27"/>
        <v/>
      </c>
      <c r="CT32" s="37"/>
      <c r="CU32" s="33"/>
      <c r="CV32" s="34"/>
      <c r="CW32" s="35" t="str">
        <f t="shared" si="28"/>
        <v/>
      </c>
      <c r="CX32" s="36" t="str">
        <f t="shared" si="29"/>
        <v/>
      </c>
      <c r="CY32" s="37"/>
      <c r="CZ32" s="33"/>
      <c r="DA32" s="34"/>
      <c r="DB32" s="35" t="str">
        <f t="shared" si="30"/>
        <v/>
      </c>
      <c r="DC32" s="36" t="str">
        <f t="shared" si="31"/>
        <v/>
      </c>
      <c r="DD32" s="37"/>
      <c r="DE32" s="33"/>
      <c r="DF32" s="34"/>
      <c r="DG32" s="35" t="str">
        <f t="shared" si="32"/>
        <v/>
      </c>
      <c r="DH32" s="36" t="str">
        <f t="shared" si="33"/>
        <v/>
      </c>
      <c r="DI32" s="37"/>
      <c r="DJ32" s="33"/>
      <c r="DK32" s="34"/>
      <c r="DL32" s="35" t="str">
        <f t="shared" si="34"/>
        <v/>
      </c>
      <c r="DM32" s="36" t="str">
        <f t="shared" si="35"/>
        <v/>
      </c>
      <c r="DN32" s="37"/>
      <c r="DO32" s="33"/>
      <c r="DP32" s="34"/>
      <c r="DQ32" s="35" t="str">
        <f t="shared" si="36"/>
        <v/>
      </c>
      <c r="DR32" s="36" t="str">
        <f t="shared" si="37"/>
        <v/>
      </c>
      <c r="DS32" s="37"/>
      <c r="DT32" s="33"/>
      <c r="DU32" s="34"/>
      <c r="DV32" s="35" t="str">
        <f t="shared" si="38"/>
        <v/>
      </c>
      <c r="DW32" s="36" t="str">
        <f t="shared" si="39"/>
        <v/>
      </c>
      <c r="DX32" s="37"/>
      <c r="DY32" s="33"/>
      <c r="DZ32" s="34"/>
      <c r="EA32" s="35" t="str">
        <f t="shared" si="40"/>
        <v/>
      </c>
      <c r="EB32" s="36" t="str">
        <f t="shared" si="41"/>
        <v/>
      </c>
      <c r="EC32" s="37"/>
      <c r="ED32" s="33"/>
      <c r="EE32" s="34"/>
      <c r="EF32" s="35" t="str">
        <f t="shared" si="42"/>
        <v/>
      </c>
      <c r="EG32" s="36" t="str">
        <f t="shared" si="43"/>
        <v/>
      </c>
      <c r="EH32" s="37"/>
      <c r="EI32" s="33"/>
      <c r="EJ32" s="34"/>
      <c r="EK32" s="35" t="str">
        <f t="shared" si="44"/>
        <v/>
      </c>
      <c r="EL32" s="36" t="str">
        <f t="shared" si="45"/>
        <v/>
      </c>
      <c r="EM32" s="37"/>
      <c r="EN32" s="33"/>
      <c r="EO32" s="34"/>
      <c r="EP32" s="35" t="str">
        <f t="shared" si="46"/>
        <v/>
      </c>
      <c r="EQ32" s="36" t="str">
        <f t="shared" si="47"/>
        <v/>
      </c>
      <c r="ER32" s="37"/>
      <c r="ES32" s="33"/>
      <c r="ET32" s="34"/>
      <c r="EU32" s="35" t="str">
        <f t="shared" si="48"/>
        <v/>
      </c>
      <c r="EV32" s="36" t="str">
        <f t="shared" si="49"/>
        <v/>
      </c>
      <c r="EW32" s="37"/>
    </row>
    <row r="33" spans="1:153" ht="19.5" customHeight="1">
      <c r="A33" s="32">
        <f>IF(DAY(DATE(対象年度,3,30))&lt;&gt;30,"",30)</f>
        <v>30</v>
      </c>
      <c r="B33" s="32" t="str">
        <f>IF(DAY(DATE(対象年度,3,30))&lt;&gt;30,"",CHOOSE(WEEKDAY(DATE(対象年度,3,30),2),"月","火","水","木","金","土","日"))</f>
        <v>月</v>
      </c>
      <c r="C33" s="32" t="str">
        <f>IF(DAY(DATE(対象年度,3,30))&lt;&gt;30,"",IF(ISNUMBER(MATCH(DATE(対象年度,3,30),祝日リスト,0)),"祝",""))</f>
        <v/>
      </c>
      <c r="D33" s="38"/>
      <c r="E33" s="34"/>
      <c r="F33" s="35"/>
      <c r="G33" s="36"/>
      <c r="H33" s="37"/>
      <c r="I33" s="33"/>
      <c r="J33" s="46"/>
      <c r="K33" s="35"/>
      <c r="L33" s="36"/>
      <c r="M33" s="37"/>
      <c r="N33" s="38"/>
      <c r="O33" s="34"/>
      <c r="P33" s="35"/>
      <c r="Q33" s="36"/>
      <c r="R33" s="37"/>
      <c r="S33" s="38"/>
      <c r="T33" s="34"/>
      <c r="U33" s="35"/>
      <c r="V33" s="36"/>
      <c r="W33" s="37"/>
      <c r="X33" s="38"/>
      <c r="Y33" s="34"/>
      <c r="Z33" s="35"/>
      <c r="AA33" s="36"/>
      <c r="AB33" s="37"/>
      <c r="AC33" s="38"/>
      <c r="AD33" s="34"/>
      <c r="AE33" s="35" t="str">
        <f t="shared" si="0"/>
        <v/>
      </c>
      <c r="AF33" s="36" t="str">
        <f t="shared" si="1"/>
        <v/>
      </c>
      <c r="AG33" s="37"/>
      <c r="AH33" s="38"/>
      <c r="AI33" s="34"/>
      <c r="AJ33" s="35"/>
      <c r="AK33" s="36"/>
      <c r="AL33" s="37"/>
      <c r="AM33" s="33"/>
      <c r="AN33" s="46"/>
      <c r="AO33" s="35"/>
      <c r="AP33" s="36"/>
      <c r="AQ33" s="37"/>
      <c r="AR33" s="33"/>
      <c r="AS33" s="46"/>
      <c r="AT33" s="35"/>
      <c r="AU33" s="36"/>
      <c r="AV33" s="37"/>
      <c r="AW33" s="38"/>
      <c r="AX33" s="34"/>
      <c r="AY33" s="35"/>
      <c r="AZ33" s="36"/>
      <c r="BA33" s="37"/>
      <c r="BB33" s="38"/>
      <c r="BC33" s="34"/>
      <c r="BD33" s="35"/>
      <c r="BE33" s="36" t="str">
        <f t="shared" si="11"/>
        <v/>
      </c>
      <c r="BF33" s="37"/>
      <c r="BG33" s="38"/>
      <c r="BH33" s="34"/>
      <c r="BI33" s="35" t="str">
        <f t="shared" si="12"/>
        <v/>
      </c>
      <c r="BJ33" s="36" t="str">
        <f t="shared" si="13"/>
        <v/>
      </c>
      <c r="BK33" s="37"/>
      <c r="BL33" s="33"/>
      <c r="BM33" s="34"/>
      <c r="BN33" s="35" t="str">
        <f t="shared" si="14"/>
        <v/>
      </c>
      <c r="BO33" s="36" t="str">
        <f t="shared" si="15"/>
        <v/>
      </c>
      <c r="BP33" s="37"/>
      <c r="BQ33" s="33"/>
      <c r="BR33" s="34"/>
      <c r="BS33" s="35" t="str">
        <f t="shared" si="16"/>
        <v/>
      </c>
      <c r="BT33" s="36" t="str">
        <f t="shared" si="17"/>
        <v/>
      </c>
      <c r="BU33" s="37"/>
      <c r="BV33" s="33"/>
      <c r="BW33" s="34"/>
      <c r="BX33" s="35" t="str">
        <f t="shared" si="18"/>
        <v/>
      </c>
      <c r="BY33" s="36" t="str">
        <f t="shared" si="19"/>
        <v/>
      </c>
      <c r="BZ33" s="37"/>
      <c r="CA33" s="33"/>
      <c r="CB33" s="34"/>
      <c r="CC33" s="35" t="str">
        <f t="shared" si="20"/>
        <v/>
      </c>
      <c r="CD33" s="36" t="str">
        <f t="shared" si="21"/>
        <v/>
      </c>
      <c r="CE33" s="37"/>
      <c r="CF33" s="33"/>
      <c r="CG33" s="34"/>
      <c r="CH33" s="35" t="str">
        <f t="shared" si="22"/>
        <v/>
      </c>
      <c r="CI33" s="36" t="str">
        <f t="shared" si="23"/>
        <v/>
      </c>
      <c r="CJ33" s="37"/>
      <c r="CK33" s="33"/>
      <c r="CL33" s="34"/>
      <c r="CM33" s="35" t="str">
        <f t="shared" si="24"/>
        <v/>
      </c>
      <c r="CN33" s="36" t="str">
        <f t="shared" si="25"/>
        <v/>
      </c>
      <c r="CO33" s="37"/>
      <c r="CP33" s="33"/>
      <c r="CQ33" s="34"/>
      <c r="CR33" s="35" t="str">
        <f t="shared" si="26"/>
        <v/>
      </c>
      <c r="CS33" s="36" t="str">
        <f t="shared" si="27"/>
        <v/>
      </c>
      <c r="CT33" s="37"/>
      <c r="CU33" s="33"/>
      <c r="CV33" s="34"/>
      <c r="CW33" s="35" t="str">
        <f t="shared" si="28"/>
        <v/>
      </c>
      <c r="CX33" s="36" t="str">
        <f t="shared" si="29"/>
        <v/>
      </c>
      <c r="CY33" s="37"/>
      <c r="CZ33" s="33"/>
      <c r="DA33" s="34"/>
      <c r="DB33" s="35" t="str">
        <f t="shared" si="30"/>
        <v/>
      </c>
      <c r="DC33" s="36" t="str">
        <f t="shared" si="31"/>
        <v/>
      </c>
      <c r="DD33" s="37"/>
      <c r="DE33" s="33"/>
      <c r="DF33" s="34"/>
      <c r="DG33" s="35" t="str">
        <f t="shared" si="32"/>
        <v/>
      </c>
      <c r="DH33" s="36" t="str">
        <f t="shared" si="33"/>
        <v/>
      </c>
      <c r="DI33" s="37"/>
      <c r="DJ33" s="33"/>
      <c r="DK33" s="34"/>
      <c r="DL33" s="35" t="str">
        <f t="shared" si="34"/>
        <v/>
      </c>
      <c r="DM33" s="36" t="str">
        <f t="shared" si="35"/>
        <v/>
      </c>
      <c r="DN33" s="37"/>
      <c r="DO33" s="33"/>
      <c r="DP33" s="34"/>
      <c r="DQ33" s="35" t="str">
        <f t="shared" si="36"/>
        <v/>
      </c>
      <c r="DR33" s="36" t="str">
        <f t="shared" si="37"/>
        <v/>
      </c>
      <c r="DS33" s="37"/>
      <c r="DT33" s="33"/>
      <c r="DU33" s="34"/>
      <c r="DV33" s="35" t="str">
        <f t="shared" si="38"/>
        <v/>
      </c>
      <c r="DW33" s="36" t="str">
        <f t="shared" si="39"/>
        <v/>
      </c>
      <c r="DX33" s="37"/>
      <c r="DY33" s="33"/>
      <c r="DZ33" s="34"/>
      <c r="EA33" s="35" t="str">
        <f t="shared" si="40"/>
        <v/>
      </c>
      <c r="EB33" s="36" t="str">
        <f t="shared" si="41"/>
        <v/>
      </c>
      <c r="EC33" s="37"/>
      <c r="ED33" s="33"/>
      <c r="EE33" s="34"/>
      <c r="EF33" s="35" t="str">
        <f t="shared" si="42"/>
        <v/>
      </c>
      <c r="EG33" s="36" t="str">
        <f t="shared" si="43"/>
        <v/>
      </c>
      <c r="EH33" s="37"/>
      <c r="EI33" s="33"/>
      <c r="EJ33" s="34"/>
      <c r="EK33" s="35" t="str">
        <f t="shared" si="44"/>
        <v/>
      </c>
      <c r="EL33" s="36" t="str">
        <f t="shared" si="45"/>
        <v/>
      </c>
      <c r="EM33" s="37"/>
      <c r="EN33" s="33"/>
      <c r="EO33" s="34"/>
      <c r="EP33" s="35" t="str">
        <f t="shared" si="46"/>
        <v/>
      </c>
      <c r="EQ33" s="36" t="str">
        <f t="shared" si="47"/>
        <v/>
      </c>
      <c r="ER33" s="37"/>
      <c r="ES33" s="33"/>
      <c r="ET33" s="34"/>
      <c r="EU33" s="35" t="str">
        <f t="shared" si="48"/>
        <v/>
      </c>
      <c r="EV33" s="36" t="str">
        <f t="shared" si="49"/>
        <v/>
      </c>
      <c r="EW33" s="37"/>
    </row>
    <row r="34" spans="1:153" ht="19.5" customHeight="1">
      <c r="A34" s="39">
        <f>IF(DAY(DATE(対象年度,3,31))&lt;&gt;31,"",31)</f>
        <v>31</v>
      </c>
      <c r="B34" s="39" t="str">
        <f>IF(DAY(DATE(対象年度,3,31))&lt;&gt;31,"",CHOOSE(WEEKDAY(DATE(対象年度,3,31),2),"月","火","水","木","金","土","日"))</f>
        <v>火</v>
      </c>
      <c r="C34" s="39" t="str">
        <f>IF(DAY(DATE(対象年度,3,31))&lt;&gt;31,"",IF(ISNUMBER(MATCH(DATE(対象年度,3,31),祝日リスト,0)),"祝",""))</f>
        <v/>
      </c>
      <c r="D34" s="45"/>
      <c r="E34" s="41"/>
      <c r="F34" s="42"/>
      <c r="G34" s="43"/>
      <c r="H34" s="44"/>
      <c r="I34" s="40"/>
      <c r="J34" s="47"/>
      <c r="K34" s="42"/>
      <c r="L34" s="43"/>
      <c r="M34" s="44"/>
      <c r="N34" s="45"/>
      <c r="O34" s="41"/>
      <c r="P34" s="42"/>
      <c r="Q34" s="43"/>
      <c r="R34" s="44"/>
      <c r="S34" s="45"/>
      <c r="T34" s="41"/>
      <c r="U34" s="42"/>
      <c r="V34" s="43"/>
      <c r="W34" s="44"/>
      <c r="X34" s="45"/>
      <c r="Y34" s="41"/>
      <c r="Z34" s="42"/>
      <c r="AA34" s="43"/>
      <c r="AB34" s="44"/>
      <c r="AC34" s="45"/>
      <c r="AD34" s="41"/>
      <c r="AE34" s="42" t="str">
        <f t="shared" si="0"/>
        <v/>
      </c>
      <c r="AF34" s="43" t="str">
        <f t="shared" si="1"/>
        <v/>
      </c>
      <c r="AG34" s="44"/>
      <c r="AH34" s="45"/>
      <c r="AI34" s="41"/>
      <c r="AJ34" s="42"/>
      <c r="AK34" s="43"/>
      <c r="AL34" s="44"/>
      <c r="AM34" s="40"/>
      <c r="AN34" s="47"/>
      <c r="AO34" s="42"/>
      <c r="AP34" s="43"/>
      <c r="AQ34" s="44"/>
      <c r="AR34" s="40"/>
      <c r="AS34" s="41"/>
      <c r="AT34" s="42"/>
      <c r="AU34" s="43"/>
      <c r="AV34" s="44"/>
      <c r="AW34" s="45"/>
      <c r="AX34" s="41"/>
      <c r="AY34" s="42"/>
      <c r="AZ34" s="43"/>
      <c r="BA34" s="44"/>
      <c r="BB34" s="45"/>
      <c r="BC34" s="41"/>
      <c r="BD34" s="42"/>
      <c r="BE34" s="43" t="str">
        <f t="shared" si="11"/>
        <v/>
      </c>
      <c r="BF34" s="44"/>
      <c r="BG34" s="45"/>
      <c r="BH34" s="41"/>
      <c r="BI34" s="42" t="str">
        <f t="shared" si="12"/>
        <v/>
      </c>
      <c r="BJ34" s="43" t="str">
        <f t="shared" si="13"/>
        <v/>
      </c>
      <c r="BK34" s="44"/>
      <c r="BL34" s="40"/>
      <c r="BM34" s="41"/>
      <c r="BN34" s="42" t="str">
        <f t="shared" si="14"/>
        <v/>
      </c>
      <c r="BO34" s="43" t="str">
        <f t="shared" si="15"/>
        <v/>
      </c>
      <c r="BP34" s="44"/>
      <c r="BQ34" s="40"/>
      <c r="BR34" s="41"/>
      <c r="BS34" s="42" t="str">
        <f t="shared" si="16"/>
        <v/>
      </c>
      <c r="BT34" s="43" t="str">
        <f t="shared" si="17"/>
        <v/>
      </c>
      <c r="BU34" s="44"/>
      <c r="BV34" s="40"/>
      <c r="BW34" s="41"/>
      <c r="BX34" s="42" t="str">
        <f t="shared" si="18"/>
        <v/>
      </c>
      <c r="BY34" s="43" t="str">
        <f t="shared" si="19"/>
        <v/>
      </c>
      <c r="BZ34" s="44"/>
      <c r="CA34" s="40"/>
      <c r="CB34" s="41"/>
      <c r="CC34" s="42" t="str">
        <f t="shared" si="20"/>
        <v/>
      </c>
      <c r="CD34" s="43" t="str">
        <f t="shared" si="21"/>
        <v/>
      </c>
      <c r="CE34" s="44"/>
      <c r="CF34" s="40"/>
      <c r="CG34" s="41"/>
      <c r="CH34" s="42" t="str">
        <f t="shared" si="22"/>
        <v/>
      </c>
      <c r="CI34" s="43" t="str">
        <f t="shared" si="23"/>
        <v/>
      </c>
      <c r="CJ34" s="44"/>
      <c r="CK34" s="40"/>
      <c r="CL34" s="41"/>
      <c r="CM34" s="42" t="str">
        <f t="shared" si="24"/>
        <v/>
      </c>
      <c r="CN34" s="43" t="str">
        <f t="shared" si="25"/>
        <v/>
      </c>
      <c r="CO34" s="44"/>
      <c r="CP34" s="40"/>
      <c r="CQ34" s="41"/>
      <c r="CR34" s="42" t="str">
        <f t="shared" si="26"/>
        <v/>
      </c>
      <c r="CS34" s="43" t="str">
        <f t="shared" si="27"/>
        <v/>
      </c>
      <c r="CT34" s="44"/>
      <c r="CU34" s="40"/>
      <c r="CV34" s="41"/>
      <c r="CW34" s="42" t="str">
        <f t="shared" si="28"/>
        <v/>
      </c>
      <c r="CX34" s="43" t="str">
        <f t="shared" si="29"/>
        <v/>
      </c>
      <c r="CY34" s="44"/>
      <c r="CZ34" s="40"/>
      <c r="DA34" s="41"/>
      <c r="DB34" s="42" t="str">
        <f t="shared" si="30"/>
        <v/>
      </c>
      <c r="DC34" s="43" t="str">
        <f t="shared" si="31"/>
        <v/>
      </c>
      <c r="DD34" s="44"/>
      <c r="DE34" s="40"/>
      <c r="DF34" s="41"/>
      <c r="DG34" s="42" t="str">
        <f t="shared" si="32"/>
        <v/>
      </c>
      <c r="DH34" s="43" t="str">
        <f t="shared" si="33"/>
        <v/>
      </c>
      <c r="DI34" s="44"/>
      <c r="DJ34" s="40"/>
      <c r="DK34" s="41"/>
      <c r="DL34" s="42" t="str">
        <f t="shared" si="34"/>
        <v/>
      </c>
      <c r="DM34" s="43" t="str">
        <f t="shared" si="35"/>
        <v/>
      </c>
      <c r="DN34" s="44"/>
      <c r="DO34" s="40"/>
      <c r="DP34" s="41"/>
      <c r="DQ34" s="42" t="str">
        <f t="shared" si="36"/>
        <v/>
      </c>
      <c r="DR34" s="43" t="str">
        <f t="shared" si="37"/>
        <v/>
      </c>
      <c r="DS34" s="44"/>
      <c r="DT34" s="40"/>
      <c r="DU34" s="41"/>
      <c r="DV34" s="42" t="str">
        <f t="shared" si="38"/>
        <v/>
      </c>
      <c r="DW34" s="43" t="str">
        <f t="shared" si="39"/>
        <v/>
      </c>
      <c r="DX34" s="44"/>
      <c r="DY34" s="40"/>
      <c r="DZ34" s="41"/>
      <c r="EA34" s="42" t="str">
        <f t="shared" si="40"/>
        <v/>
      </c>
      <c r="EB34" s="43" t="str">
        <f t="shared" si="41"/>
        <v/>
      </c>
      <c r="EC34" s="44"/>
      <c r="ED34" s="40"/>
      <c r="EE34" s="41"/>
      <c r="EF34" s="42" t="str">
        <f t="shared" si="42"/>
        <v/>
      </c>
      <c r="EG34" s="43" t="str">
        <f t="shared" si="43"/>
        <v/>
      </c>
      <c r="EH34" s="44"/>
      <c r="EI34" s="40"/>
      <c r="EJ34" s="41"/>
      <c r="EK34" s="42" t="str">
        <f t="shared" si="44"/>
        <v/>
      </c>
      <c r="EL34" s="43" t="str">
        <f t="shared" si="45"/>
        <v/>
      </c>
      <c r="EM34" s="44"/>
      <c r="EN34" s="40"/>
      <c r="EO34" s="41"/>
      <c r="EP34" s="42" t="str">
        <f t="shared" si="46"/>
        <v/>
      </c>
      <c r="EQ34" s="43" t="str">
        <f t="shared" si="47"/>
        <v/>
      </c>
      <c r="ER34" s="44"/>
      <c r="ES34" s="40"/>
      <c r="ET34" s="41"/>
      <c r="EU34" s="42" t="str">
        <f t="shared" si="48"/>
        <v/>
      </c>
      <c r="EV34" s="43" t="str">
        <f t="shared" si="4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0</v>
      </c>
      <c r="E35" s="94"/>
      <c r="F35" s="94"/>
      <c r="G35" s="94"/>
      <c r="H35" s="94"/>
      <c r="I35" s="94">
        <f>COUNTIF(K4:K34,"○")</f>
        <v>0</v>
      </c>
      <c r="J35" s="94"/>
      <c r="K35" s="94"/>
      <c r="L35" s="94"/>
      <c r="M35" s="94"/>
      <c r="N35" s="94">
        <f>COUNTIF(P4:P34,"○")</f>
        <v>0</v>
      </c>
      <c r="O35" s="94"/>
      <c r="P35" s="94"/>
      <c r="Q35" s="94"/>
      <c r="R35" s="94"/>
      <c r="S35" s="94">
        <f>COUNTIF(U4:U34,"○")</f>
        <v>0</v>
      </c>
      <c r="T35" s="94"/>
      <c r="U35" s="94"/>
      <c r="V35" s="94"/>
      <c r="W35" s="94"/>
      <c r="X35" s="94">
        <f>COUNTIF(Z4:Z34,"○")</f>
        <v>0</v>
      </c>
      <c r="Y35" s="94"/>
      <c r="Z35" s="94"/>
      <c r="AA35" s="94"/>
      <c r="AB35" s="94"/>
      <c r="AC35" s="94">
        <f>COUNTIF(AE4:AE34,"○")</f>
        <v>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0</v>
      </c>
      <c r="E37" s="98"/>
      <c r="F37" s="98"/>
      <c r="G37" s="98"/>
      <c r="H37" s="98"/>
      <c r="I37" s="98">
        <f>I35+I36</f>
        <v>0</v>
      </c>
      <c r="J37" s="98"/>
      <c r="K37" s="98"/>
      <c r="L37" s="98"/>
      <c r="M37" s="98"/>
      <c r="N37" s="98">
        <f>N35+N36</f>
        <v>0</v>
      </c>
      <c r="O37" s="98"/>
      <c r="P37" s="98"/>
      <c r="Q37" s="98"/>
      <c r="R37" s="98"/>
      <c r="S37" s="98">
        <f>S35+S36</f>
        <v>0</v>
      </c>
      <c r="T37" s="98"/>
      <c r="U37" s="98"/>
      <c r="V37" s="98"/>
      <c r="W37" s="98"/>
      <c r="X37" s="98">
        <f>X35+X36</f>
        <v>0</v>
      </c>
      <c r="Y37" s="98"/>
      <c r="Z37" s="98"/>
      <c r="AA37" s="98"/>
      <c r="AB37" s="98"/>
      <c r="AC37" s="98">
        <f>AC35+AC36</f>
        <v>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0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694" priority="63">
      <formula>$B4="日"</formula>
    </cfRule>
    <cfRule type="expression" dxfId="693" priority="64">
      <formula>$B4="土"</formula>
    </cfRule>
    <cfRule type="expression" dxfId="692" priority="62">
      <formula>AND($A4&lt;&gt;"",ISNUMBER(MATCH(DATE(対象年度,3,$A4),祝日リスト,0)))</formula>
    </cfRule>
  </conditionalFormatting>
  <conditionalFormatting sqref="D4:D34">
    <cfRule type="expression" dxfId="691" priority="3">
      <formula>$D4="休業"</formula>
    </cfRule>
    <cfRule type="expression" dxfId="690" priority="2">
      <formula>$D4="有給"</formula>
    </cfRule>
  </conditionalFormatting>
  <conditionalFormatting sqref="I4:I34">
    <cfRule type="expression" dxfId="689" priority="4">
      <formula>$I4="有給"</formula>
    </cfRule>
    <cfRule type="expression" dxfId="688" priority="5">
      <formula>$I4="休業"</formula>
    </cfRule>
  </conditionalFormatting>
  <conditionalFormatting sqref="N4:N34">
    <cfRule type="expression" dxfId="687" priority="6">
      <formula>$N4="有給"</formula>
    </cfRule>
    <cfRule type="expression" dxfId="686" priority="7">
      <formula>$N4="休業"</formula>
    </cfRule>
  </conditionalFormatting>
  <conditionalFormatting sqref="S4:S34">
    <cfRule type="expression" dxfId="685" priority="8">
      <formula>$S4="有給"</formula>
    </cfRule>
    <cfRule type="expression" dxfId="684" priority="9">
      <formula>$S4="休業"</formula>
    </cfRule>
  </conditionalFormatting>
  <conditionalFormatting sqref="X4:X34">
    <cfRule type="expression" dxfId="683" priority="10">
      <formula>$X4="有給"</formula>
    </cfRule>
    <cfRule type="expression" dxfId="682" priority="11">
      <formula>$X4="休業"</formula>
    </cfRule>
  </conditionalFormatting>
  <conditionalFormatting sqref="AC4:AC34">
    <cfRule type="expression" dxfId="681" priority="12">
      <formula>$AC4="有給"</formula>
    </cfRule>
    <cfRule type="expression" dxfId="680" priority="13">
      <formula>$AC4="休業"</formula>
    </cfRule>
  </conditionalFormatting>
  <conditionalFormatting sqref="AH4:AH34">
    <cfRule type="expression" dxfId="679" priority="14">
      <formula>$AH4="有給"</formula>
    </cfRule>
    <cfRule type="expression" dxfId="678" priority="15">
      <formula>$AH4="休業"</formula>
    </cfRule>
  </conditionalFormatting>
  <conditionalFormatting sqref="AM4:AM34">
    <cfRule type="expression" dxfId="677" priority="17">
      <formula>$AM4="休業"</formula>
    </cfRule>
    <cfRule type="expression" dxfId="676" priority="16">
      <formula>$AM4="有給"</formula>
    </cfRule>
  </conditionalFormatting>
  <conditionalFormatting sqref="AR4:AR34">
    <cfRule type="expression" dxfId="675" priority="19">
      <formula>$AR4="休業"</formula>
    </cfRule>
    <cfRule type="expression" dxfId="674" priority="18">
      <formula>$AR4="有給"</formula>
    </cfRule>
  </conditionalFormatting>
  <conditionalFormatting sqref="AW4:AW34">
    <cfRule type="expression" dxfId="673" priority="20">
      <formula>$AW4="有給"</formula>
    </cfRule>
    <cfRule type="expression" dxfId="672" priority="21">
      <formula>$AW4="休業"</formula>
    </cfRule>
  </conditionalFormatting>
  <conditionalFormatting sqref="BB4:BB34">
    <cfRule type="expression" dxfId="671" priority="22">
      <formula>$BB4="有給"</formula>
    </cfRule>
    <cfRule type="expression" dxfId="670" priority="23">
      <formula>$BB4="休業"</formula>
    </cfRule>
  </conditionalFormatting>
  <conditionalFormatting sqref="BG4:BG34">
    <cfRule type="expression" dxfId="669" priority="24">
      <formula>$BG4="有給"</formula>
    </cfRule>
    <cfRule type="expression" dxfId="668" priority="25">
      <formula>$BG4="休業"</formula>
    </cfRule>
  </conditionalFormatting>
  <conditionalFormatting sqref="BL4:BL34">
    <cfRule type="expression" dxfId="667" priority="26">
      <formula>$BL4="有給"</formula>
    </cfRule>
    <cfRule type="expression" dxfId="666" priority="27">
      <formula>$BL4="休業"</formula>
    </cfRule>
  </conditionalFormatting>
  <conditionalFormatting sqref="BQ4:BQ34">
    <cfRule type="expression" dxfId="665" priority="28">
      <formula>$BQ4="有給"</formula>
    </cfRule>
    <cfRule type="expression" dxfId="664" priority="29">
      <formula>$BQ4="休業"</formula>
    </cfRule>
  </conditionalFormatting>
  <conditionalFormatting sqref="BV4:BV34">
    <cfRule type="expression" dxfId="663" priority="30">
      <formula>$BV4="有給"</formula>
    </cfRule>
    <cfRule type="expression" dxfId="662" priority="31">
      <formula>$BV4="休業"</formula>
    </cfRule>
  </conditionalFormatting>
  <conditionalFormatting sqref="CA4:CA34">
    <cfRule type="expression" dxfId="661" priority="33">
      <formula>$CA4="休業"</formula>
    </cfRule>
    <cfRule type="expression" dxfId="660" priority="32">
      <formula>$CA4="有給"</formula>
    </cfRule>
  </conditionalFormatting>
  <conditionalFormatting sqref="CF4:CF34">
    <cfRule type="expression" dxfId="659" priority="34">
      <formula>$CF4="有給"</formula>
    </cfRule>
    <cfRule type="expression" dxfId="658" priority="35">
      <formula>$CF4="休業"</formula>
    </cfRule>
  </conditionalFormatting>
  <conditionalFormatting sqref="CK4:CK34">
    <cfRule type="expression" dxfId="657" priority="37">
      <formula>$CK4="休業"</formula>
    </cfRule>
    <cfRule type="expression" dxfId="656" priority="36">
      <formula>$CK4="有給"</formula>
    </cfRule>
  </conditionalFormatting>
  <conditionalFormatting sqref="CP4:CP34">
    <cfRule type="expression" dxfId="655" priority="38">
      <formula>$CP4="有給"</formula>
    </cfRule>
    <cfRule type="expression" dxfId="654" priority="39">
      <formula>$CP4="休業"</formula>
    </cfRule>
  </conditionalFormatting>
  <conditionalFormatting sqref="CU4:CU34">
    <cfRule type="expression" dxfId="653" priority="40">
      <formula>$CU4="有給"</formula>
    </cfRule>
    <cfRule type="expression" dxfId="652" priority="41">
      <formula>$CU4="休業"</formula>
    </cfRule>
  </conditionalFormatting>
  <conditionalFormatting sqref="CZ4:CZ34">
    <cfRule type="expression" dxfId="651" priority="42">
      <formula>$CZ4="有給"</formula>
    </cfRule>
    <cfRule type="expression" dxfId="650" priority="43">
      <formula>$CZ4="休業"</formula>
    </cfRule>
  </conditionalFormatting>
  <conditionalFormatting sqref="DE4:DE34">
    <cfRule type="expression" dxfId="649" priority="44">
      <formula>$DE4="有給"</formula>
    </cfRule>
    <cfRule type="expression" dxfId="648" priority="45">
      <formula>$DE4="休業"</formula>
    </cfRule>
  </conditionalFormatting>
  <conditionalFormatting sqref="DJ4:DJ34">
    <cfRule type="expression" dxfId="647" priority="46">
      <formula>$DJ4="有給"</formula>
    </cfRule>
    <cfRule type="expression" dxfId="646" priority="47">
      <formula>$DJ4="休業"</formula>
    </cfRule>
  </conditionalFormatting>
  <conditionalFormatting sqref="DO4:DO34">
    <cfRule type="expression" dxfId="645" priority="48">
      <formula>$DO4="有給"</formula>
    </cfRule>
    <cfRule type="expression" dxfId="644" priority="49">
      <formula>$DO4="休業"</formula>
    </cfRule>
  </conditionalFormatting>
  <conditionalFormatting sqref="DT4:DT34">
    <cfRule type="expression" dxfId="643" priority="51">
      <formula>$DT4="休業"</formula>
    </cfRule>
    <cfRule type="expression" dxfId="642" priority="50">
      <formula>$DT4="有給"</formula>
    </cfRule>
  </conditionalFormatting>
  <conditionalFormatting sqref="DY4:DY34">
    <cfRule type="expression" dxfId="641" priority="52">
      <formula>$DY4="有給"</formula>
    </cfRule>
    <cfRule type="expression" dxfId="640" priority="53">
      <formula>$DY4="休業"</formula>
    </cfRule>
  </conditionalFormatting>
  <conditionalFormatting sqref="ED4:ED34">
    <cfRule type="expression" dxfId="639" priority="54">
      <formula>$ED4="有給"</formula>
    </cfRule>
    <cfRule type="expression" dxfId="638" priority="55">
      <formula>$ED4="休業"</formula>
    </cfRule>
  </conditionalFormatting>
  <conditionalFormatting sqref="EI4:EI34">
    <cfRule type="expression" dxfId="637" priority="56">
      <formula>$EI4="有給"</formula>
    </cfRule>
    <cfRule type="expression" dxfId="636" priority="57">
      <formula>$EI4="休業"</formula>
    </cfRule>
  </conditionalFormatting>
  <conditionalFormatting sqref="EN4:EN34">
    <cfRule type="expression" dxfId="635" priority="58">
      <formula>$EN4="有給"</formula>
    </cfRule>
    <cfRule type="expression" dxfId="634" priority="59">
      <formula>$EN4="休業"</formula>
    </cfRule>
  </conditionalFormatting>
  <conditionalFormatting sqref="ES4:ES34">
    <cfRule type="expression" dxfId="633" priority="60">
      <formula>$ES4="有給"</formula>
    </cfRule>
    <cfRule type="expression" dxfId="632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5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W40"/>
  <sheetViews>
    <sheetView zoomScaleNormal="100" workbookViewId="0">
      <pane xSplit="3" ySplit="3" topLeftCell="AI4" activePane="bottomRight" state="frozen"/>
      <selection pane="topRight" activeCell="D1" sqref="D1"/>
      <selection pane="bottomLeft" activeCell="A4" sqref="A4"/>
      <selection pane="bottomRight" activeCell="BC16" sqref="BC16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4月分　出面表　"</f>
        <v xml:space="preserve"> 2026年 4月分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IFERROR(IF(従業員マスタ!$C$4="","",対象年度&amp;"年4月　"&amp;従業員マスタ!$C$4),"")</f>
        <v>2026年4月　建設　太郎</v>
      </c>
      <c r="E2" s="92"/>
      <c r="F2" s="92"/>
      <c r="G2" s="92"/>
      <c r="H2" s="92"/>
      <c r="I2" s="92" t="str">
        <f>IFERROR(IF(従業員マスタ!$C$5="","",対象年度&amp;"年4月　"&amp;従業員マスタ!$C$5),"")</f>
        <v>2026年4月　配管　次郎</v>
      </c>
      <c r="J2" s="92"/>
      <c r="K2" s="92"/>
      <c r="L2" s="92"/>
      <c r="M2" s="92"/>
      <c r="N2" s="92" t="str">
        <f>IFERROR(IF(従業員マスタ!$C$6="","",対象年度&amp;"年4月　"&amp;従業員マスタ!$C$6),"")</f>
        <v>2026年4月　設備　一郎</v>
      </c>
      <c r="O2" s="92"/>
      <c r="P2" s="92"/>
      <c r="Q2" s="92"/>
      <c r="R2" s="92"/>
      <c r="S2" s="92" t="str">
        <f>IFERROR(IF(従業員マスタ!$C$7="","",対象年度&amp;"年4月　"&amp;従業員マスタ!$C$7),"")</f>
        <v>2026年4月　土木　三郎</v>
      </c>
      <c r="T2" s="92"/>
      <c r="U2" s="92"/>
      <c r="V2" s="92"/>
      <c r="W2" s="92"/>
      <c r="X2" s="92" t="str">
        <f>IFERROR(IF(従業員マスタ!$C$8="","",対象年度&amp;"年4月　"&amp;従業員マスタ!$C$8),"")</f>
        <v>2026年4月　塗装　史郎</v>
      </c>
      <c r="Y2" s="92"/>
      <c r="Z2" s="92"/>
      <c r="AA2" s="92"/>
      <c r="AB2" s="92"/>
      <c r="AC2" s="92" t="str">
        <f>IFERROR(IF(従業員マスタ!$C$9="","",対象年度&amp;"年4月　"&amp;従業員マスタ!$C$9),"")</f>
        <v>2026年4月　電工　五郎</v>
      </c>
      <c r="AD2" s="92"/>
      <c r="AE2" s="92"/>
      <c r="AF2" s="92"/>
      <c r="AG2" s="92"/>
      <c r="AH2" s="92" t="str">
        <f>IFERROR(IF(従業員マスタ!$C$10="","",対象年度&amp;"年4月　"&amp;従業員マスタ!$C$10),"")</f>
        <v>2026年4月　現場　花子</v>
      </c>
      <c r="AI2" s="92"/>
      <c r="AJ2" s="92"/>
      <c r="AK2" s="92"/>
      <c r="AL2" s="92"/>
      <c r="AM2" s="92" t="str">
        <f>IFERROR(IF(従業員マスタ!$C$11="","",対象年度&amp;"年4月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IFERROR(IF(従業員マスタ!$C$12="","",対象年度&amp;"年4月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IFERROR(IF(従業員マスタ!$C$13="","",対象年度&amp;"年4月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IFERROR(IF(従業員マスタ!$C$14="","",対象年度&amp;"年4月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IFERROR(IF(従業員マスタ!$C$15="","",対象年度&amp;"年4月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IFERROR(IF(従業員マスタ!$C$16="","",対象年度&amp;"年4月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IFERROR(IF(従業員マスタ!$C$17="","",対象年度&amp;"年4月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IFERROR(IF(従業員マスタ!$C$18="","",対象年度&amp;"年4月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IFERROR(IF(従業員マスタ!$C$19="","",対象年度&amp;"年4月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IFERROR(IF(従業員マスタ!$C$20="","",対象年度&amp;"年4月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IFERROR(IF(従業員マスタ!$C$21="","",対象年度&amp;"年4月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IFERROR(IF(従業員マスタ!$C$22="","",対象年度&amp;"年4月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IFERROR(IF(従業員マスタ!$C$23="","",対象年度&amp;"年4月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IFERROR(IF(従業員マスタ!$C$24="","",対象年度&amp;"年4月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IFERROR(IF(従業員マスタ!$C$25="","",対象年度&amp;"年4月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IFERROR(IF(従業員マスタ!$C$26="","",対象年度&amp;"年4月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IFERROR(IF(従業員マスタ!$C$27="","",対象年度&amp;"年4月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IFERROR(IF(従業員マスタ!$C$28="","",対象年度&amp;"年4月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IFERROR(IF(従業員マスタ!$C$29="","",対象年度&amp;"年4月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IFERROR(IF(従業員マスタ!$C$30="","",対象年度&amp;"年4月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IFERROR(IF(従業員マスタ!$C$31="","",対象年度&amp;"年4月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IFERROR(IF(従業員マスタ!$C$32="","",対象年度&amp;"年4月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IFERROR(IF(従業員マスタ!$C$33="","",対象年度&amp;"年4月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IF(DAY(DATE(対象年度,4,1))&lt;&gt;1,"",1)</f>
        <v>1</v>
      </c>
      <c r="B4" s="26" t="str">
        <f>IF(DAY(DATE(対象年度,4,1))&lt;&gt;1,"",CHOOSE(WEEKDAY(DATE(対象年度,4,1),2),"月","火","水","木","金","土","日"))</f>
        <v>水</v>
      </c>
      <c r="C4" s="26" t="str">
        <f>IF(DAY(DATE(対象年度,4,1))&lt;&gt;1,"",IF(ISNUMBER(MATCH(DATE(対象年度,4,1),祝日リスト,0)),"祝",""))</f>
        <v/>
      </c>
      <c r="D4" s="48"/>
      <c r="E4" s="28"/>
      <c r="F4" s="29"/>
      <c r="G4" s="30"/>
      <c r="H4" s="31"/>
      <c r="I4" s="48"/>
      <c r="J4" s="28"/>
      <c r="K4" s="29"/>
      <c r="L4" s="30"/>
      <c r="M4" s="31"/>
      <c r="N4" s="48"/>
      <c r="O4" s="28"/>
      <c r="P4" s="29"/>
      <c r="Q4" s="30"/>
      <c r="R4" s="31"/>
      <c r="S4" s="48"/>
      <c r="T4" s="28"/>
      <c r="U4" s="29"/>
      <c r="V4" s="30"/>
      <c r="W4" s="31"/>
      <c r="X4" s="48"/>
      <c r="Y4" s="28"/>
      <c r="Z4" s="29"/>
      <c r="AA4" s="30"/>
      <c r="AB4" s="31"/>
      <c r="AC4" s="48"/>
      <c r="AD4" s="28"/>
      <c r="AE4" s="29"/>
      <c r="AF4" s="30"/>
      <c r="AG4" s="31"/>
      <c r="AH4" s="48"/>
      <c r="AI4" s="28"/>
      <c r="AJ4" s="29" t="str">
        <f t="shared" ref="AJ4:AJ34" si="0">IF(AH4="","",IF(ISNUMBER(SEARCH("夜勤",AH4)),"",IF(A4="","","○")))</f>
        <v/>
      </c>
      <c r="AK4" s="30" t="str">
        <f t="shared" ref="AK4:AK34" si="1">IF(A4="","",IF(OR(AND(AI4&lt;&gt;"",NOT(OR(AI4="有給",AI4="休業"))),ISNUMBER(SEARCH("夜勤",AH4))),"○",""))</f>
        <v/>
      </c>
      <c r="AL4" s="31"/>
      <c r="AM4" s="48"/>
      <c r="AN4" s="28"/>
      <c r="AO4" s="29"/>
      <c r="AP4" s="30"/>
      <c r="AQ4" s="31"/>
      <c r="AR4" s="48"/>
      <c r="AS4" s="28"/>
      <c r="AT4" s="29"/>
      <c r="AU4" s="30"/>
      <c r="AV4" s="31"/>
      <c r="AW4" s="48"/>
      <c r="AX4" s="28"/>
      <c r="AY4" s="29"/>
      <c r="AZ4" s="30"/>
      <c r="BA4" s="31"/>
      <c r="BB4" s="48"/>
      <c r="BC4" s="28"/>
      <c r="BD4" s="29"/>
      <c r="BE4" s="30"/>
      <c r="BF4" s="31"/>
      <c r="BG4" s="27"/>
      <c r="BH4" s="28"/>
      <c r="BI4" s="29" t="str">
        <f t="shared" ref="BI4:BI34" si="2">IF(BG4="","",IF(ISNUMBER(SEARCH("夜勤",BG4)),"",IF(A4="","","○")))</f>
        <v/>
      </c>
      <c r="BJ4" s="30" t="str">
        <f t="shared" ref="BJ4:BJ34" si="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4">IF(BL4="","",IF(ISNUMBER(SEARCH("夜勤",BL4)),"",IF(A4="","","○")))</f>
        <v/>
      </c>
      <c r="BO4" s="30" t="str">
        <f t="shared" ref="BO4:BO34" si="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6">IF(BQ4="","",IF(ISNUMBER(SEARCH("夜勤",BQ4)),"",IF(A4="","","○")))</f>
        <v/>
      </c>
      <c r="BT4" s="30" t="str">
        <f t="shared" ref="BT4:BT34" si="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8">IF(BV4="","",IF(ISNUMBER(SEARCH("夜勤",BV4)),"",IF(A4="","","○")))</f>
        <v/>
      </c>
      <c r="BY4" s="30" t="str">
        <f t="shared" ref="BY4:BY34" si="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10">IF(CA4="","",IF(ISNUMBER(SEARCH("夜勤",CA4)),"",IF(A4="","","○")))</f>
        <v/>
      </c>
      <c r="CD4" s="30" t="str">
        <f t="shared" ref="CD4:CD34" si="1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12">IF(CF4="","",IF(ISNUMBER(SEARCH("夜勤",CF4)),"",IF(A4="","","○")))</f>
        <v/>
      </c>
      <c r="CI4" s="30" t="str">
        <f t="shared" ref="CI4:CI34" si="1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14">IF(CK4="","",IF(ISNUMBER(SEARCH("夜勤",CK4)),"",IF(A4="","","○")))</f>
        <v/>
      </c>
      <c r="CN4" s="30" t="str">
        <f t="shared" ref="CN4:CN34" si="1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16">IF(CP4="","",IF(ISNUMBER(SEARCH("夜勤",CP4)),"",IF(A4="","","○")))</f>
        <v/>
      </c>
      <c r="CS4" s="30" t="str">
        <f t="shared" ref="CS4:CS34" si="1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18">IF(CU4="","",IF(ISNUMBER(SEARCH("夜勤",CU4)),"",IF(A4="","","○")))</f>
        <v/>
      </c>
      <c r="CX4" s="30" t="str">
        <f t="shared" ref="CX4:CX34" si="1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20">IF(CZ4="","",IF(ISNUMBER(SEARCH("夜勤",CZ4)),"",IF(A4="","","○")))</f>
        <v/>
      </c>
      <c r="DC4" s="30" t="str">
        <f t="shared" ref="DC4:DC34" si="2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22">IF(DE4="","",IF(ISNUMBER(SEARCH("夜勤",DE4)),"",IF(A4="","","○")))</f>
        <v/>
      </c>
      <c r="DH4" s="30" t="str">
        <f t="shared" ref="DH4:DH34" si="2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24">IF(DJ4="","",IF(ISNUMBER(SEARCH("夜勤",DJ4)),"",IF(A4="","","○")))</f>
        <v/>
      </c>
      <c r="DM4" s="30" t="str">
        <f t="shared" ref="DM4:DM34" si="2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26">IF(DO4="","",IF(ISNUMBER(SEARCH("夜勤",DO4)),"",IF(A4="","","○")))</f>
        <v/>
      </c>
      <c r="DR4" s="30" t="str">
        <f t="shared" ref="DR4:DR34" si="2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28">IF(DT4="","",IF(ISNUMBER(SEARCH("夜勤",DT4)),"",IF(A4="","","○")))</f>
        <v/>
      </c>
      <c r="DW4" s="30" t="str">
        <f t="shared" ref="DW4:DW34" si="2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30">IF(DY4="","",IF(ISNUMBER(SEARCH("夜勤",DY4)),"",IF(A4="","","○")))</f>
        <v/>
      </c>
      <c r="EB4" s="30" t="str">
        <f t="shared" ref="EB4:EB34" si="3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32">IF(ED4="","",IF(ISNUMBER(SEARCH("夜勤",ED4)),"",IF(A4="","","○")))</f>
        <v/>
      </c>
      <c r="EG4" s="30" t="str">
        <f t="shared" ref="EG4:EG34" si="3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34">IF(EI4="","",IF(ISNUMBER(SEARCH("夜勤",EI4)),"",IF(A4="","","○")))</f>
        <v/>
      </c>
      <c r="EL4" s="30" t="str">
        <f t="shared" ref="EL4:EL34" si="3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36">IF(EN4="","",IF(ISNUMBER(SEARCH("夜勤",EN4)),"",IF(A4="","","○")))</f>
        <v/>
      </c>
      <c r="EQ4" s="30" t="str">
        <f t="shared" ref="EQ4:EQ34" si="3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38">IF(ES4="","",IF(ISNUMBER(SEARCH("夜勤",ES4)),"",IF(A4="","","○")))</f>
        <v/>
      </c>
      <c r="EV4" s="30" t="str">
        <f t="shared" ref="EV4:EV34" si="3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IF(DAY(DATE(対象年度,4,2))&lt;&gt;2,"",2)</f>
        <v>2</v>
      </c>
      <c r="B5" s="32" t="str">
        <f>IF(DAY(DATE(対象年度,4,2))&lt;&gt;2,"",CHOOSE(WEEKDAY(DATE(対象年度,4,2),2),"月","火","水","木","金","土","日"))</f>
        <v>木</v>
      </c>
      <c r="C5" s="32" t="str">
        <f>IF(DAY(DATE(対象年度,4,2))&lt;&gt;2,"",IF(ISNUMBER(MATCH(DATE(対象年度,4,2),祝日リスト,0)),"祝",""))</f>
        <v/>
      </c>
      <c r="D5" s="38"/>
      <c r="E5" s="34"/>
      <c r="F5" s="35"/>
      <c r="G5" s="36"/>
      <c r="H5" s="37"/>
      <c r="I5" s="38"/>
      <c r="J5" s="34"/>
      <c r="K5" s="35"/>
      <c r="L5" s="36"/>
      <c r="M5" s="37"/>
      <c r="N5" s="38"/>
      <c r="O5" s="34"/>
      <c r="P5" s="35"/>
      <c r="Q5" s="36"/>
      <c r="R5" s="37"/>
      <c r="S5" s="38"/>
      <c r="T5" s="34"/>
      <c r="U5" s="35"/>
      <c r="V5" s="36"/>
      <c r="W5" s="37"/>
      <c r="X5" s="38"/>
      <c r="Y5" s="34"/>
      <c r="Z5" s="35"/>
      <c r="AA5" s="36"/>
      <c r="AB5" s="37"/>
      <c r="AC5" s="38"/>
      <c r="AD5" s="34"/>
      <c r="AE5" s="35"/>
      <c r="AF5" s="36"/>
      <c r="AG5" s="37"/>
      <c r="AH5" s="38"/>
      <c r="AI5" s="34"/>
      <c r="AJ5" s="35" t="str">
        <f t="shared" si="0"/>
        <v/>
      </c>
      <c r="AK5" s="36" t="str">
        <f t="shared" si="1"/>
        <v/>
      </c>
      <c r="AL5" s="37"/>
      <c r="AM5" s="38"/>
      <c r="AN5" s="34"/>
      <c r="AO5" s="35"/>
      <c r="AP5" s="36"/>
      <c r="AQ5" s="37"/>
      <c r="AR5" s="38"/>
      <c r="AS5" s="34"/>
      <c r="AT5" s="35"/>
      <c r="AU5" s="36"/>
      <c r="AV5" s="37"/>
      <c r="AW5" s="38"/>
      <c r="AX5" s="34"/>
      <c r="AY5" s="35"/>
      <c r="AZ5" s="36"/>
      <c r="BA5" s="37"/>
      <c r="BB5" s="38"/>
      <c r="BC5" s="34"/>
      <c r="BD5" s="35"/>
      <c r="BE5" s="36"/>
      <c r="BF5" s="37"/>
      <c r="BG5" s="33"/>
      <c r="BH5" s="34"/>
      <c r="BI5" s="35" t="str">
        <f t="shared" si="2"/>
        <v/>
      </c>
      <c r="BJ5" s="36" t="str">
        <f t="shared" si="3"/>
        <v/>
      </c>
      <c r="BK5" s="37"/>
      <c r="BL5" s="33"/>
      <c r="BM5" s="34"/>
      <c r="BN5" s="35" t="str">
        <f t="shared" si="4"/>
        <v/>
      </c>
      <c r="BO5" s="36" t="str">
        <f t="shared" si="5"/>
        <v/>
      </c>
      <c r="BP5" s="37"/>
      <c r="BQ5" s="33"/>
      <c r="BR5" s="34"/>
      <c r="BS5" s="35" t="str">
        <f t="shared" si="6"/>
        <v/>
      </c>
      <c r="BT5" s="36" t="str">
        <f t="shared" si="7"/>
        <v/>
      </c>
      <c r="BU5" s="37"/>
      <c r="BV5" s="33"/>
      <c r="BW5" s="34"/>
      <c r="BX5" s="35" t="str">
        <f t="shared" si="8"/>
        <v/>
      </c>
      <c r="BY5" s="36" t="str">
        <f t="shared" si="9"/>
        <v/>
      </c>
      <c r="BZ5" s="37"/>
      <c r="CA5" s="33"/>
      <c r="CB5" s="34"/>
      <c r="CC5" s="35" t="str">
        <f t="shared" si="10"/>
        <v/>
      </c>
      <c r="CD5" s="36" t="str">
        <f t="shared" si="11"/>
        <v/>
      </c>
      <c r="CE5" s="37"/>
      <c r="CF5" s="33"/>
      <c r="CG5" s="34"/>
      <c r="CH5" s="35" t="str">
        <f t="shared" si="12"/>
        <v/>
      </c>
      <c r="CI5" s="36" t="str">
        <f t="shared" si="13"/>
        <v/>
      </c>
      <c r="CJ5" s="37"/>
      <c r="CK5" s="33"/>
      <c r="CL5" s="34"/>
      <c r="CM5" s="35" t="str">
        <f t="shared" si="14"/>
        <v/>
      </c>
      <c r="CN5" s="36" t="str">
        <f t="shared" si="15"/>
        <v/>
      </c>
      <c r="CO5" s="37"/>
      <c r="CP5" s="33"/>
      <c r="CQ5" s="34"/>
      <c r="CR5" s="35" t="str">
        <f t="shared" si="16"/>
        <v/>
      </c>
      <c r="CS5" s="36" t="str">
        <f t="shared" si="17"/>
        <v/>
      </c>
      <c r="CT5" s="37"/>
      <c r="CU5" s="33"/>
      <c r="CV5" s="34"/>
      <c r="CW5" s="35" t="str">
        <f t="shared" si="18"/>
        <v/>
      </c>
      <c r="CX5" s="36" t="str">
        <f t="shared" si="19"/>
        <v/>
      </c>
      <c r="CY5" s="37"/>
      <c r="CZ5" s="33"/>
      <c r="DA5" s="34"/>
      <c r="DB5" s="35" t="str">
        <f t="shared" si="20"/>
        <v/>
      </c>
      <c r="DC5" s="36" t="str">
        <f t="shared" si="21"/>
        <v/>
      </c>
      <c r="DD5" s="37"/>
      <c r="DE5" s="33"/>
      <c r="DF5" s="34"/>
      <c r="DG5" s="35" t="str">
        <f t="shared" si="22"/>
        <v/>
      </c>
      <c r="DH5" s="36" t="str">
        <f t="shared" si="23"/>
        <v/>
      </c>
      <c r="DI5" s="37"/>
      <c r="DJ5" s="33"/>
      <c r="DK5" s="34"/>
      <c r="DL5" s="35" t="str">
        <f t="shared" si="24"/>
        <v/>
      </c>
      <c r="DM5" s="36" t="str">
        <f t="shared" si="25"/>
        <v/>
      </c>
      <c r="DN5" s="37"/>
      <c r="DO5" s="33"/>
      <c r="DP5" s="34"/>
      <c r="DQ5" s="35" t="str">
        <f t="shared" si="26"/>
        <v/>
      </c>
      <c r="DR5" s="36" t="str">
        <f t="shared" si="27"/>
        <v/>
      </c>
      <c r="DS5" s="37"/>
      <c r="DT5" s="33"/>
      <c r="DU5" s="34"/>
      <c r="DV5" s="35" t="str">
        <f t="shared" si="28"/>
        <v/>
      </c>
      <c r="DW5" s="36" t="str">
        <f t="shared" si="29"/>
        <v/>
      </c>
      <c r="DX5" s="37"/>
      <c r="DY5" s="33"/>
      <c r="DZ5" s="34"/>
      <c r="EA5" s="35" t="str">
        <f t="shared" si="30"/>
        <v/>
      </c>
      <c r="EB5" s="36" t="str">
        <f t="shared" si="31"/>
        <v/>
      </c>
      <c r="EC5" s="37"/>
      <c r="ED5" s="33"/>
      <c r="EE5" s="34"/>
      <c r="EF5" s="35" t="str">
        <f t="shared" si="32"/>
        <v/>
      </c>
      <c r="EG5" s="36" t="str">
        <f t="shared" si="33"/>
        <v/>
      </c>
      <c r="EH5" s="37"/>
      <c r="EI5" s="33"/>
      <c r="EJ5" s="34"/>
      <c r="EK5" s="35" t="str">
        <f t="shared" si="34"/>
        <v/>
      </c>
      <c r="EL5" s="36" t="str">
        <f t="shared" si="35"/>
        <v/>
      </c>
      <c r="EM5" s="37"/>
      <c r="EN5" s="33"/>
      <c r="EO5" s="34"/>
      <c r="EP5" s="35" t="str">
        <f t="shared" si="36"/>
        <v/>
      </c>
      <c r="EQ5" s="36" t="str">
        <f t="shared" si="37"/>
        <v/>
      </c>
      <c r="ER5" s="37"/>
      <c r="ES5" s="33"/>
      <c r="ET5" s="34"/>
      <c r="EU5" s="35" t="str">
        <f t="shared" si="38"/>
        <v/>
      </c>
      <c r="EV5" s="36" t="str">
        <f t="shared" si="39"/>
        <v/>
      </c>
      <c r="EW5" s="37"/>
    </row>
    <row r="6" spans="1:153" ht="19.5" customHeight="1">
      <c r="A6" s="32">
        <f>IF(DAY(DATE(対象年度,4,3))&lt;&gt;3,"",3)</f>
        <v>3</v>
      </c>
      <c r="B6" s="32" t="str">
        <f>IF(DAY(DATE(対象年度,4,3))&lt;&gt;3,"",CHOOSE(WEEKDAY(DATE(対象年度,4,3),2),"月","火","水","木","金","土","日"))</f>
        <v>金</v>
      </c>
      <c r="C6" s="32" t="str">
        <f>IF(DAY(DATE(対象年度,4,3))&lt;&gt;3,"",IF(ISNUMBER(MATCH(DATE(対象年度,4,3),祝日リスト,0)),"祝",""))</f>
        <v/>
      </c>
      <c r="D6" s="38"/>
      <c r="E6" s="34"/>
      <c r="F6" s="35"/>
      <c r="G6" s="36"/>
      <c r="H6" s="37"/>
      <c r="I6" s="38"/>
      <c r="J6" s="34"/>
      <c r="K6" s="35"/>
      <c r="L6" s="36"/>
      <c r="M6" s="37"/>
      <c r="N6" s="38"/>
      <c r="O6" s="34"/>
      <c r="P6" s="35"/>
      <c r="Q6" s="36"/>
      <c r="R6" s="37"/>
      <c r="S6" s="38"/>
      <c r="T6" s="34"/>
      <c r="U6" s="35"/>
      <c r="V6" s="36"/>
      <c r="W6" s="37"/>
      <c r="X6" s="38"/>
      <c r="Y6" s="34"/>
      <c r="Z6" s="35"/>
      <c r="AA6" s="36"/>
      <c r="AB6" s="37"/>
      <c r="AC6" s="38"/>
      <c r="AD6" s="34"/>
      <c r="AE6" s="35"/>
      <c r="AF6" s="36"/>
      <c r="AG6" s="37"/>
      <c r="AH6" s="38"/>
      <c r="AI6" s="34"/>
      <c r="AJ6" s="35" t="str">
        <f t="shared" si="0"/>
        <v/>
      </c>
      <c r="AK6" s="36" t="str">
        <f t="shared" si="1"/>
        <v/>
      </c>
      <c r="AL6" s="37"/>
      <c r="AM6" s="38"/>
      <c r="AN6" s="34"/>
      <c r="AO6" s="35"/>
      <c r="AP6" s="36"/>
      <c r="AQ6" s="37"/>
      <c r="AR6" s="33"/>
      <c r="AS6" s="34"/>
      <c r="AT6" s="35"/>
      <c r="AU6" s="36"/>
      <c r="AV6" s="37"/>
      <c r="AW6" s="38"/>
      <c r="AX6" s="34"/>
      <c r="AY6" s="35"/>
      <c r="AZ6" s="36"/>
      <c r="BA6" s="37"/>
      <c r="BB6" s="38"/>
      <c r="BC6" s="34"/>
      <c r="BD6" s="35"/>
      <c r="BE6" s="36"/>
      <c r="BF6" s="37"/>
      <c r="BG6" s="33"/>
      <c r="BH6" s="34"/>
      <c r="BI6" s="35" t="str">
        <f t="shared" si="2"/>
        <v/>
      </c>
      <c r="BJ6" s="36" t="str">
        <f t="shared" si="3"/>
        <v/>
      </c>
      <c r="BK6" s="37"/>
      <c r="BL6" s="33"/>
      <c r="BM6" s="34"/>
      <c r="BN6" s="35" t="str">
        <f t="shared" si="4"/>
        <v/>
      </c>
      <c r="BO6" s="36" t="str">
        <f t="shared" si="5"/>
        <v/>
      </c>
      <c r="BP6" s="37"/>
      <c r="BQ6" s="33"/>
      <c r="BR6" s="34"/>
      <c r="BS6" s="35" t="str">
        <f t="shared" si="6"/>
        <v/>
      </c>
      <c r="BT6" s="36" t="str">
        <f t="shared" si="7"/>
        <v/>
      </c>
      <c r="BU6" s="37"/>
      <c r="BV6" s="33"/>
      <c r="BW6" s="34"/>
      <c r="BX6" s="35" t="str">
        <f t="shared" si="8"/>
        <v/>
      </c>
      <c r="BY6" s="36" t="str">
        <f t="shared" si="9"/>
        <v/>
      </c>
      <c r="BZ6" s="37"/>
      <c r="CA6" s="33"/>
      <c r="CB6" s="34"/>
      <c r="CC6" s="35" t="str">
        <f t="shared" si="10"/>
        <v/>
      </c>
      <c r="CD6" s="36" t="str">
        <f t="shared" si="11"/>
        <v/>
      </c>
      <c r="CE6" s="37"/>
      <c r="CF6" s="33"/>
      <c r="CG6" s="34"/>
      <c r="CH6" s="35" t="str">
        <f t="shared" si="12"/>
        <v/>
      </c>
      <c r="CI6" s="36" t="str">
        <f t="shared" si="13"/>
        <v/>
      </c>
      <c r="CJ6" s="37"/>
      <c r="CK6" s="33"/>
      <c r="CL6" s="34"/>
      <c r="CM6" s="35" t="str">
        <f t="shared" si="14"/>
        <v/>
      </c>
      <c r="CN6" s="36" t="str">
        <f t="shared" si="15"/>
        <v/>
      </c>
      <c r="CO6" s="37"/>
      <c r="CP6" s="33"/>
      <c r="CQ6" s="34"/>
      <c r="CR6" s="35" t="str">
        <f t="shared" si="16"/>
        <v/>
      </c>
      <c r="CS6" s="36" t="str">
        <f t="shared" si="17"/>
        <v/>
      </c>
      <c r="CT6" s="37"/>
      <c r="CU6" s="33"/>
      <c r="CV6" s="34"/>
      <c r="CW6" s="35" t="str">
        <f t="shared" si="18"/>
        <v/>
      </c>
      <c r="CX6" s="36" t="str">
        <f t="shared" si="19"/>
        <v/>
      </c>
      <c r="CY6" s="37"/>
      <c r="CZ6" s="33"/>
      <c r="DA6" s="34"/>
      <c r="DB6" s="35" t="str">
        <f t="shared" si="20"/>
        <v/>
      </c>
      <c r="DC6" s="36" t="str">
        <f t="shared" si="21"/>
        <v/>
      </c>
      <c r="DD6" s="37"/>
      <c r="DE6" s="33"/>
      <c r="DF6" s="34"/>
      <c r="DG6" s="35" t="str">
        <f t="shared" si="22"/>
        <v/>
      </c>
      <c r="DH6" s="36" t="str">
        <f t="shared" si="23"/>
        <v/>
      </c>
      <c r="DI6" s="37"/>
      <c r="DJ6" s="33"/>
      <c r="DK6" s="34"/>
      <c r="DL6" s="35" t="str">
        <f t="shared" si="24"/>
        <v/>
      </c>
      <c r="DM6" s="36" t="str">
        <f t="shared" si="25"/>
        <v/>
      </c>
      <c r="DN6" s="37"/>
      <c r="DO6" s="33"/>
      <c r="DP6" s="34"/>
      <c r="DQ6" s="35" t="str">
        <f t="shared" si="26"/>
        <v/>
      </c>
      <c r="DR6" s="36" t="str">
        <f t="shared" si="27"/>
        <v/>
      </c>
      <c r="DS6" s="37"/>
      <c r="DT6" s="33"/>
      <c r="DU6" s="34"/>
      <c r="DV6" s="35" t="str">
        <f t="shared" si="28"/>
        <v/>
      </c>
      <c r="DW6" s="36" t="str">
        <f t="shared" si="29"/>
        <v/>
      </c>
      <c r="DX6" s="37"/>
      <c r="DY6" s="33"/>
      <c r="DZ6" s="34"/>
      <c r="EA6" s="35" t="str">
        <f t="shared" si="30"/>
        <v/>
      </c>
      <c r="EB6" s="36" t="str">
        <f t="shared" si="31"/>
        <v/>
      </c>
      <c r="EC6" s="37"/>
      <c r="ED6" s="33"/>
      <c r="EE6" s="34"/>
      <c r="EF6" s="35" t="str">
        <f t="shared" si="32"/>
        <v/>
      </c>
      <c r="EG6" s="36" t="str">
        <f t="shared" si="33"/>
        <v/>
      </c>
      <c r="EH6" s="37"/>
      <c r="EI6" s="33"/>
      <c r="EJ6" s="34"/>
      <c r="EK6" s="35" t="str">
        <f t="shared" si="34"/>
        <v/>
      </c>
      <c r="EL6" s="36" t="str">
        <f t="shared" si="35"/>
        <v/>
      </c>
      <c r="EM6" s="37"/>
      <c r="EN6" s="33"/>
      <c r="EO6" s="34"/>
      <c r="EP6" s="35" t="str">
        <f t="shared" si="36"/>
        <v/>
      </c>
      <c r="EQ6" s="36" t="str">
        <f t="shared" si="37"/>
        <v/>
      </c>
      <c r="ER6" s="37"/>
      <c r="ES6" s="33"/>
      <c r="ET6" s="34"/>
      <c r="EU6" s="35" t="str">
        <f t="shared" si="38"/>
        <v/>
      </c>
      <c r="EV6" s="36" t="str">
        <f t="shared" si="39"/>
        <v/>
      </c>
      <c r="EW6" s="37"/>
    </row>
    <row r="7" spans="1:153" ht="19.5" customHeight="1">
      <c r="A7" s="32">
        <f>IF(DAY(DATE(対象年度,4,4))&lt;&gt;4,"",4)</f>
        <v>4</v>
      </c>
      <c r="B7" s="32" t="str">
        <f>IF(DAY(DATE(対象年度,4,4))&lt;&gt;4,"",CHOOSE(WEEKDAY(DATE(対象年度,4,4),2),"月","火","水","木","金","土","日"))</f>
        <v>土</v>
      </c>
      <c r="C7" s="32" t="str">
        <f>IF(DAY(DATE(対象年度,4,4))&lt;&gt;4,"",IF(ISNUMBER(MATCH(DATE(対象年度,4,4),祝日リスト,0)),"祝",""))</f>
        <v/>
      </c>
      <c r="D7" s="33"/>
      <c r="E7" s="34"/>
      <c r="F7" s="35"/>
      <c r="G7" s="36"/>
      <c r="H7" s="37"/>
      <c r="I7" s="33"/>
      <c r="J7" s="34"/>
      <c r="K7" s="35"/>
      <c r="L7" s="36"/>
      <c r="M7" s="37"/>
      <c r="N7" s="38"/>
      <c r="O7" s="34"/>
      <c r="P7" s="35"/>
      <c r="Q7" s="36"/>
      <c r="R7" s="37"/>
      <c r="S7" s="38"/>
      <c r="T7" s="34"/>
      <c r="U7" s="35"/>
      <c r="V7" s="36"/>
      <c r="W7" s="37"/>
      <c r="X7" s="38"/>
      <c r="Y7" s="34"/>
      <c r="Z7" s="35"/>
      <c r="AA7" s="36"/>
      <c r="AB7" s="37"/>
      <c r="AC7" s="38"/>
      <c r="AD7" s="34"/>
      <c r="AE7" s="35"/>
      <c r="AF7" s="36"/>
      <c r="AG7" s="37"/>
      <c r="AH7" s="33"/>
      <c r="AI7" s="34"/>
      <c r="AJ7" s="35" t="str">
        <f t="shared" si="0"/>
        <v/>
      </c>
      <c r="AK7" s="36" t="str">
        <f t="shared" si="1"/>
        <v/>
      </c>
      <c r="AL7" s="37"/>
      <c r="AM7" s="33"/>
      <c r="AN7" s="34"/>
      <c r="AO7" s="35"/>
      <c r="AP7" s="36"/>
      <c r="AQ7" s="37"/>
      <c r="AR7" s="38"/>
      <c r="AS7" s="34"/>
      <c r="AT7" s="35"/>
      <c r="AU7" s="36"/>
      <c r="AV7" s="37"/>
      <c r="AW7" s="33"/>
      <c r="AX7" s="34"/>
      <c r="AY7" s="35"/>
      <c r="AZ7" s="36"/>
      <c r="BA7" s="37"/>
      <c r="BB7" s="33"/>
      <c r="BC7" s="34"/>
      <c r="BD7" s="35"/>
      <c r="BE7" s="36"/>
      <c r="BF7" s="37"/>
      <c r="BG7" s="33"/>
      <c r="BH7" s="34"/>
      <c r="BI7" s="35" t="str">
        <f t="shared" si="2"/>
        <v/>
      </c>
      <c r="BJ7" s="36" t="str">
        <f t="shared" si="3"/>
        <v/>
      </c>
      <c r="BK7" s="37"/>
      <c r="BL7" s="33"/>
      <c r="BM7" s="34"/>
      <c r="BN7" s="35" t="str">
        <f t="shared" si="4"/>
        <v/>
      </c>
      <c r="BO7" s="36" t="str">
        <f t="shared" si="5"/>
        <v/>
      </c>
      <c r="BP7" s="37"/>
      <c r="BQ7" s="33"/>
      <c r="BR7" s="34"/>
      <c r="BS7" s="35" t="str">
        <f t="shared" si="6"/>
        <v/>
      </c>
      <c r="BT7" s="36" t="str">
        <f t="shared" si="7"/>
        <v/>
      </c>
      <c r="BU7" s="37"/>
      <c r="BV7" s="33"/>
      <c r="BW7" s="34"/>
      <c r="BX7" s="35" t="str">
        <f t="shared" si="8"/>
        <v/>
      </c>
      <c r="BY7" s="36" t="str">
        <f t="shared" si="9"/>
        <v/>
      </c>
      <c r="BZ7" s="37"/>
      <c r="CA7" s="33"/>
      <c r="CB7" s="34"/>
      <c r="CC7" s="35" t="str">
        <f t="shared" si="10"/>
        <v/>
      </c>
      <c r="CD7" s="36" t="str">
        <f t="shared" si="11"/>
        <v/>
      </c>
      <c r="CE7" s="37"/>
      <c r="CF7" s="33"/>
      <c r="CG7" s="34"/>
      <c r="CH7" s="35" t="str">
        <f t="shared" si="12"/>
        <v/>
      </c>
      <c r="CI7" s="36" t="str">
        <f t="shared" si="13"/>
        <v/>
      </c>
      <c r="CJ7" s="37"/>
      <c r="CK7" s="33"/>
      <c r="CL7" s="34"/>
      <c r="CM7" s="35" t="str">
        <f t="shared" si="14"/>
        <v/>
      </c>
      <c r="CN7" s="36" t="str">
        <f t="shared" si="15"/>
        <v/>
      </c>
      <c r="CO7" s="37"/>
      <c r="CP7" s="33"/>
      <c r="CQ7" s="34"/>
      <c r="CR7" s="35" t="str">
        <f t="shared" si="16"/>
        <v/>
      </c>
      <c r="CS7" s="36" t="str">
        <f t="shared" si="17"/>
        <v/>
      </c>
      <c r="CT7" s="37"/>
      <c r="CU7" s="33"/>
      <c r="CV7" s="34"/>
      <c r="CW7" s="35" t="str">
        <f t="shared" si="18"/>
        <v/>
      </c>
      <c r="CX7" s="36" t="str">
        <f t="shared" si="19"/>
        <v/>
      </c>
      <c r="CY7" s="37"/>
      <c r="CZ7" s="33"/>
      <c r="DA7" s="34"/>
      <c r="DB7" s="35" t="str">
        <f t="shared" si="20"/>
        <v/>
      </c>
      <c r="DC7" s="36" t="str">
        <f t="shared" si="21"/>
        <v/>
      </c>
      <c r="DD7" s="37"/>
      <c r="DE7" s="33"/>
      <c r="DF7" s="34"/>
      <c r="DG7" s="35" t="str">
        <f t="shared" si="22"/>
        <v/>
      </c>
      <c r="DH7" s="36" t="str">
        <f t="shared" si="23"/>
        <v/>
      </c>
      <c r="DI7" s="37"/>
      <c r="DJ7" s="33"/>
      <c r="DK7" s="34"/>
      <c r="DL7" s="35" t="str">
        <f t="shared" si="24"/>
        <v/>
      </c>
      <c r="DM7" s="36" t="str">
        <f t="shared" si="25"/>
        <v/>
      </c>
      <c r="DN7" s="37"/>
      <c r="DO7" s="33"/>
      <c r="DP7" s="34"/>
      <c r="DQ7" s="35" t="str">
        <f t="shared" si="26"/>
        <v/>
      </c>
      <c r="DR7" s="36" t="str">
        <f t="shared" si="27"/>
        <v/>
      </c>
      <c r="DS7" s="37"/>
      <c r="DT7" s="33"/>
      <c r="DU7" s="34"/>
      <c r="DV7" s="35" t="str">
        <f t="shared" si="28"/>
        <v/>
      </c>
      <c r="DW7" s="36" t="str">
        <f t="shared" si="29"/>
        <v/>
      </c>
      <c r="DX7" s="37"/>
      <c r="DY7" s="33"/>
      <c r="DZ7" s="34"/>
      <c r="EA7" s="35" t="str">
        <f t="shared" si="30"/>
        <v/>
      </c>
      <c r="EB7" s="36" t="str">
        <f t="shared" si="31"/>
        <v/>
      </c>
      <c r="EC7" s="37"/>
      <c r="ED7" s="33"/>
      <c r="EE7" s="34"/>
      <c r="EF7" s="35" t="str">
        <f t="shared" si="32"/>
        <v/>
      </c>
      <c r="EG7" s="36" t="str">
        <f t="shared" si="33"/>
        <v/>
      </c>
      <c r="EH7" s="37"/>
      <c r="EI7" s="33"/>
      <c r="EJ7" s="34"/>
      <c r="EK7" s="35" t="str">
        <f t="shared" si="34"/>
        <v/>
      </c>
      <c r="EL7" s="36" t="str">
        <f t="shared" si="35"/>
        <v/>
      </c>
      <c r="EM7" s="37"/>
      <c r="EN7" s="33"/>
      <c r="EO7" s="34"/>
      <c r="EP7" s="35" t="str">
        <f t="shared" si="36"/>
        <v/>
      </c>
      <c r="EQ7" s="36" t="str">
        <f t="shared" si="37"/>
        <v/>
      </c>
      <c r="ER7" s="37"/>
      <c r="ES7" s="33"/>
      <c r="ET7" s="34"/>
      <c r="EU7" s="35" t="str">
        <f t="shared" si="38"/>
        <v/>
      </c>
      <c r="EV7" s="36" t="str">
        <f t="shared" si="39"/>
        <v/>
      </c>
      <c r="EW7" s="37"/>
    </row>
    <row r="8" spans="1:153" ht="19.5" customHeight="1">
      <c r="A8" s="32">
        <f>IF(DAY(DATE(対象年度,4,5))&lt;&gt;5,"",5)</f>
        <v>5</v>
      </c>
      <c r="B8" s="32" t="str">
        <f>IF(DAY(DATE(対象年度,4,5))&lt;&gt;5,"",CHOOSE(WEEKDAY(DATE(対象年度,4,5),2),"月","火","水","木","金","土","日"))</f>
        <v>日</v>
      </c>
      <c r="C8" s="32" t="str">
        <f>IF(DAY(DATE(対象年度,4,5))&lt;&gt;5,"",IF(ISNUMBER(MATCH(DATE(対象年度,4,5),祝日リスト,0)),"祝",""))</f>
        <v/>
      </c>
      <c r="D8" s="33"/>
      <c r="E8" s="34"/>
      <c r="F8" s="35"/>
      <c r="G8" s="36"/>
      <c r="H8" s="37"/>
      <c r="I8" s="33"/>
      <c r="J8" s="34"/>
      <c r="K8" s="35"/>
      <c r="L8" s="36"/>
      <c r="M8" s="37"/>
      <c r="N8" s="33"/>
      <c r="O8" s="34"/>
      <c r="P8" s="35"/>
      <c r="Q8" s="36"/>
      <c r="R8" s="37"/>
      <c r="S8" s="33"/>
      <c r="T8" s="34"/>
      <c r="U8" s="35"/>
      <c r="V8" s="36"/>
      <c r="W8" s="37"/>
      <c r="X8" s="33"/>
      <c r="Y8" s="34"/>
      <c r="Z8" s="35"/>
      <c r="AA8" s="36"/>
      <c r="AB8" s="37"/>
      <c r="AC8" s="33"/>
      <c r="AD8" s="34"/>
      <c r="AE8" s="35"/>
      <c r="AF8" s="36"/>
      <c r="AG8" s="37"/>
      <c r="AH8" s="33"/>
      <c r="AI8" s="34"/>
      <c r="AJ8" s="35" t="str">
        <f t="shared" si="0"/>
        <v/>
      </c>
      <c r="AK8" s="36" t="str">
        <f t="shared" si="1"/>
        <v/>
      </c>
      <c r="AL8" s="37"/>
      <c r="AM8" s="33"/>
      <c r="AN8" s="34"/>
      <c r="AO8" s="35"/>
      <c r="AP8" s="36"/>
      <c r="AQ8" s="37"/>
      <c r="AR8" s="33"/>
      <c r="AS8" s="34"/>
      <c r="AT8" s="35"/>
      <c r="AU8" s="36"/>
      <c r="AV8" s="37"/>
      <c r="AW8" s="33"/>
      <c r="AX8" s="34"/>
      <c r="AY8" s="35"/>
      <c r="AZ8" s="36"/>
      <c r="BA8" s="37"/>
      <c r="BB8" s="33"/>
      <c r="BC8" s="34"/>
      <c r="BD8" s="35"/>
      <c r="BE8" s="36"/>
      <c r="BF8" s="37"/>
      <c r="BG8" s="33"/>
      <c r="BH8" s="34"/>
      <c r="BI8" s="35" t="str">
        <f t="shared" si="2"/>
        <v/>
      </c>
      <c r="BJ8" s="36" t="str">
        <f t="shared" si="3"/>
        <v/>
      </c>
      <c r="BK8" s="37"/>
      <c r="BL8" s="33"/>
      <c r="BM8" s="34"/>
      <c r="BN8" s="35" t="str">
        <f t="shared" si="4"/>
        <v/>
      </c>
      <c r="BO8" s="36" t="str">
        <f t="shared" si="5"/>
        <v/>
      </c>
      <c r="BP8" s="37"/>
      <c r="BQ8" s="33"/>
      <c r="BR8" s="34"/>
      <c r="BS8" s="35" t="str">
        <f t="shared" si="6"/>
        <v/>
      </c>
      <c r="BT8" s="36" t="str">
        <f t="shared" si="7"/>
        <v/>
      </c>
      <c r="BU8" s="37"/>
      <c r="BV8" s="33"/>
      <c r="BW8" s="34"/>
      <c r="BX8" s="35" t="str">
        <f t="shared" si="8"/>
        <v/>
      </c>
      <c r="BY8" s="36" t="str">
        <f t="shared" si="9"/>
        <v/>
      </c>
      <c r="BZ8" s="37"/>
      <c r="CA8" s="33"/>
      <c r="CB8" s="34"/>
      <c r="CC8" s="35" t="str">
        <f t="shared" si="10"/>
        <v/>
      </c>
      <c r="CD8" s="36" t="str">
        <f t="shared" si="11"/>
        <v/>
      </c>
      <c r="CE8" s="37"/>
      <c r="CF8" s="33"/>
      <c r="CG8" s="34"/>
      <c r="CH8" s="35" t="str">
        <f t="shared" si="12"/>
        <v/>
      </c>
      <c r="CI8" s="36" t="str">
        <f t="shared" si="13"/>
        <v/>
      </c>
      <c r="CJ8" s="37"/>
      <c r="CK8" s="33"/>
      <c r="CL8" s="34"/>
      <c r="CM8" s="35" t="str">
        <f t="shared" si="14"/>
        <v/>
      </c>
      <c r="CN8" s="36" t="str">
        <f t="shared" si="15"/>
        <v/>
      </c>
      <c r="CO8" s="37"/>
      <c r="CP8" s="33"/>
      <c r="CQ8" s="34"/>
      <c r="CR8" s="35" t="str">
        <f t="shared" si="16"/>
        <v/>
      </c>
      <c r="CS8" s="36" t="str">
        <f t="shared" si="17"/>
        <v/>
      </c>
      <c r="CT8" s="37"/>
      <c r="CU8" s="33"/>
      <c r="CV8" s="34"/>
      <c r="CW8" s="35" t="str">
        <f t="shared" si="18"/>
        <v/>
      </c>
      <c r="CX8" s="36" t="str">
        <f t="shared" si="19"/>
        <v/>
      </c>
      <c r="CY8" s="37"/>
      <c r="CZ8" s="33"/>
      <c r="DA8" s="34"/>
      <c r="DB8" s="35" t="str">
        <f t="shared" si="20"/>
        <v/>
      </c>
      <c r="DC8" s="36" t="str">
        <f t="shared" si="21"/>
        <v/>
      </c>
      <c r="DD8" s="37"/>
      <c r="DE8" s="33"/>
      <c r="DF8" s="34"/>
      <c r="DG8" s="35" t="str">
        <f t="shared" si="22"/>
        <v/>
      </c>
      <c r="DH8" s="36" t="str">
        <f t="shared" si="23"/>
        <v/>
      </c>
      <c r="DI8" s="37"/>
      <c r="DJ8" s="33"/>
      <c r="DK8" s="34"/>
      <c r="DL8" s="35" t="str">
        <f t="shared" si="24"/>
        <v/>
      </c>
      <c r="DM8" s="36" t="str">
        <f t="shared" si="25"/>
        <v/>
      </c>
      <c r="DN8" s="37"/>
      <c r="DO8" s="33"/>
      <c r="DP8" s="34"/>
      <c r="DQ8" s="35" t="str">
        <f t="shared" si="26"/>
        <v/>
      </c>
      <c r="DR8" s="36" t="str">
        <f t="shared" si="27"/>
        <v/>
      </c>
      <c r="DS8" s="37"/>
      <c r="DT8" s="33"/>
      <c r="DU8" s="34"/>
      <c r="DV8" s="35" t="str">
        <f t="shared" si="28"/>
        <v/>
      </c>
      <c r="DW8" s="36" t="str">
        <f t="shared" si="29"/>
        <v/>
      </c>
      <c r="DX8" s="37"/>
      <c r="DY8" s="33"/>
      <c r="DZ8" s="34"/>
      <c r="EA8" s="35" t="str">
        <f t="shared" si="30"/>
        <v/>
      </c>
      <c r="EB8" s="36" t="str">
        <f t="shared" si="31"/>
        <v/>
      </c>
      <c r="EC8" s="37"/>
      <c r="ED8" s="33"/>
      <c r="EE8" s="34"/>
      <c r="EF8" s="35" t="str">
        <f t="shared" si="32"/>
        <v/>
      </c>
      <c r="EG8" s="36" t="str">
        <f t="shared" si="33"/>
        <v/>
      </c>
      <c r="EH8" s="37"/>
      <c r="EI8" s="33"/>
      <c r="EJ8" s="34"/>
      <c r="EK8" s="35" t="str">
        <f t="shared" si="34"/>
        <v/>
      </c>
      <c r="EL8" s="36" t="str">
        <f t="shared" si="35"/>
        <v/>
      </c>
      <c r="EM8" s="37"/>
      <c r="EN8" s="33"/>
      <c r="EO8" s="34"/>
      <c r="EP8" s="35" t="str">
        <f t="shared" si="36"/>
        <v/>
      </c>
      <c r="EQ8" s="36" t="str">
        <f t="shared" si="37"/>
        <v/>
      </c>
      <c r="ER8" s="37"/>
      <c r="ES8" s="33"/>
      <c r="ET8" s="34"/>
      <c r="EU8" s="35" t="str">
        <f t="shared" si="38"/>
        <v/>
      </c>
      <c r="EV8" s="36" t="str">
        <f t="shared" si="39"/>
        <v/>
      </c>
      <c r="EW8" s="37"/>
    </row>
    <row r="9" spans="1:153" ht="19.5" customHeight="1">
      <c r="A9" s="32">
        <f>IF(DAY(DATE(対象年度,4,6))&lt;&gt;6,"",6)</f>
        <v>6</v>
      </c>
      <c r="B9" s="32" t="str">
        <f>IF(DAY(DATE(対象年度,4,6))&lt;&gt;6,"",CHOOSE(WEEKDAY(DATE(対象年度,4,6),2),"月","火","水","木","金","土","日"))</f>
        <v>月</v>
      </c>
      <c r="C9" s="32" t="str">
        <f>IF(DAY(DATE(対象年度,4,6))&lt;&gt;6,"",IF(ISNUMBER(MATCH(DATE(対象年度,4,6),祝日リスト,0)),"祝",""))</f>
        <v/>
      </c>
      <c r="D9" s="38"/>
      <c r="E9" s="34"/>
      <c r="F9" s="35"/>
      <c r="G9" s="36"/>
      <c r="H9" s="37"/>
      <c r="I9" s="38"/>
      <c r="J9" s="34"/>
      <c r="K9" s="35"/>
      <c r="L9" s="36"/>
      <c r="M9" s="37"/>
      <c r="N9" s="38"/>
      <c r="O9" s="34"/>
      <c r="P9" s="35"/>
      <c r="Q9" s="36"/>
      <c r="R9" s="37"/>
      <c r="S9" s="38"/>
      <c r="T9" s="34"/>
      <c r="U9" s="35"/>
      <c r="V9" s="36"/>
      <c r="W9" s="37"/>
      <c r="X9" s="38"/>
      <c r="Y9" s="34"/>
      <c r="Z9" s="35"/>
      <c r="AA9" s="36"/>
      <c r="AB9" s="37"/>
      <c r="AC9" s="38"/>
      <c r="AD9" s="34"/>
      <c r="AE9" s="35"/>
      <c r="AF9" s="36"/>
      <c r="AG9" s="37"/>
      <c r="AH9" s="38"/>
      <c r="AI9" s="34"/>
      <c r="AJ9" s="35" t="str">
        <f t="shared" si="0"/>
        <v/>
      </c>
      <c r="AK9" s="36" t="str">
        <f t="shared" si="1"/>
        <v/>
      </c>
      <c r="AL9" s="37"/>
      <c r="AM9" s="38"/>
      <c r="AN9" s="34"/>
      <c r="AO9" s="35"/>
      <c r="AP9" s="36"/>
      <c r="AQ9" s="37"/>
      <c r="AR9" s="38"/>
      <c r="AS9" s="34"/>
      <c r="AT9" s="35"/>
      <c r="AU9" s="36"/>
      <c r="AV9" s="37"/>
      <c r="AW9" s="38"/>
      <c r="AX9" s="34"/>
      <c r="AY9" s="35"/>
      <c r="AZ9" s="36"/>
      <c r="BA9" s="37"/>
      <c r="BB9" s="38"/>
      <c r="BC9" s="34"/>
      <c r="BD9" s="35"/>
      <c r="BE9" s="36"/>
      <c r="BF9" s="37"/>
      <c r="BG9" s="33"/>
      <c r="BH9" s="34"/>
      <c r="BI9" s="35" t="str">
        <f t="shared" si="2"/>
        <v/>
      </c>
      <c r="BJ9" s="36" t="str">
        <f t="shared" si="3"/>
        <v/>
      </c>
      <c r="BK9" s="37"/>
      <c r="BL9" s="33"/>
      <c r="BM9" s="34"/>
      <c r="BN9" s="35" t="str">
        <f t="shared" si="4"/>
        <v/>
      </c>
      <c r="BO9" s="36" t="str">
        <f t="shared" si="5"/>
        <v/>
      </c>
      <c r="BP9" s="37"/>
      <c r="BQ9" s="33"/>
      <c r="BR9" s="34"/>
      <c r="BS9" s="35" t="str">
        <f t="shared" si="6"/>
        <v/>
      </c>
      <c r="BT9" s="36" t="str">
        <f t="shared" si="7"/>
        <v/>
      </c>
      <c r="BU9" s="37"/>
      <c r="BV9" s="33"/>
      <c r="BW9" s="34"/>
      <c r="BX9" s="35" t="str">
        <f t="shared" si="8"/>
        <v/>
      </c>
      <c r="BY9" s="36" t="str">
        <f t="shared" si="9"/>
        <v/>
      </c>
      <c r="BZ9" s="37"/>
      <c r="CA9" s="33"/>
      <c r="CB9" s="34"/>
      <c r="CC9" s="35" t="str">
        <f t="shared" si="10"/>
        <v/>
      </c>
      <c r="CD9" s="36" t="str">
        <f t="shared" si="11"/>
        <v/>
      </c>
      <c r="CE9" s="37"/>
      <c r="CF9" s="33"/>
      <c r="CG9" s="34"/>
      <c r="CH9" s="35" t="str">
        <f t="shared" si="12"/>
        <v/>
      </c>
      <c r="CI9" s="36" t="str">
        <f t="shared" si="13"/>
        <v/>
      </c>
      <c r="CJ9" s="37"/>
      <c r="CK9" s="33"/>
      <c r="CL9" s="34"/>
      <c r="CM9" s="35" t="str">
        <f t="shared" si="14"/>
        <v/>
      </c>
      <c r="CN9" s="36" t="str">
        <f t="shared" si="15"/>
        <v/>
      </c>
      <c r="CO9" s="37"/>
      <c r="CP9" s="33"/>
      <c r="CQ9" s="34"/>
      <c r="CR9" s="35" t="str">
        <f t="shared" si="16"/>
        <v/>
      </c>
      <c r="CS9" s="36" t="str">
        <f t="shared" si="17"/>
        <v/>
      </c>
      <c r="CT9" s="37"/>
      <c r="CU9" s="33"/>
      <c r="CV9" s="34"/>
      <c r="CW9" s="35" t="str">
        <f t="shared" si="18"/>
        <v/>
      </c>
      <c r="CX9" s="36" t="str">
        <f t="shared" si="19"/>
        <v/>
      </c>
      <c r="CY9" s="37"/>
      <c r="CZ9" s="33"/>
      <c r="DA9" s="34"/>
      <c r="DB9" s="35" t="str">
        <f t="shared" si="20"/>
        <v/>
      </c>
      <c r="DC9" s="36" t="str">
        <f t="shared" si="21"/>
        <v/>
      </c>
      <c r="DD9" s="37"/>
      <c r="DE9" s="33"/>
      <c r="DF9" s="34"/>
      <c r="DG9" s="35" t="str">
        <f t="shared" si="22"/>
        <v/>
      </c>
      <c r="DH9" s="36" t="str">
        <f t="shared" si="23"/>
        <v/>
      </c>
      <c r="DI9" s="37"/>
      <c r="DJ9" s="33"/>
      <c r="DK9" s="34"/>
      <c r="DL9" s="35" t="str">
        <f t="shared" si="24"/>
        <v/>
      </c>
      <c r="DM9" s="36" t="str">
        <f t="shared" si="25"/>
        <v/>
      </c>
      <c r="DN9" s="37"/>
      <c r="DO9" s="33"/>
      <c r="DP9" s="34"/>
      <c r="DQ9" s="35" t="str">
        <f t="shared" si="26"/>
        <v/>
      </c>
      <c r="DR9" s="36" t="str">
        <f t="shared" si="27"/>
        <v/>
      </c>
      <c r="DS9" s="37"/>
      <c r="DT9" s="33"/>
      <c r="DU9" s="34"/>
      <c r="DV9" s="35" t="str">
        <f t="shared" si="28"/>
        <v/>
      </c>
      <c r="DW9" s="36" t="str">
        <f t="shared" si="29"/>
        <v/>
      </c>
      <c r="DX9" s="37"/>
      <c r="DY9" s="33"/>
      <c r="DZ9" s="34"/>
      <c r="EA9" s="35" t="str">
        <f t="shared" si="30"/>
        <v/>
      </c>
      <c r="EB9" s="36" t="str">
        <f t="shared" si="31"/>
        <v/>
      </c>
      <c r="EC9" s="37"/>
      <c r="ED9" s="33"/>
      <c r="EE9" s="34"/>
      <c r="EF9" s="35" t="str">
        <f t="shared" si="32"/>
        <v/>
      </c>
      <c r="EG9" s="36" t="str">
        <f t="shared" si="33"/>
        <v/>
      </c>
      <c r="EH9" s="37"/>
      <c r="EI9" s="33"/>
      <c r="EJ9" s="34"/>
      <c r="EK9" s="35" t="str">
        <f t="shared" si="34"/>
        <v/>
      </c>
      <c r="EL9" s="36" t="str">
        <f t="shared" si="35"/>
        <v/>
      </c>
      <c r="EM9" s="37"/>
      <c r="EN9" s="33"/>
      <c r="EO9" s="34"/>
      <c r="EP9" s="35" t="str">
        <f t="shared" si="36"/>
        <v/>
      </c>
      <c r="EQ9" s="36" t="str">
        <f t="shared" si="37"/>
        <v/>
      </c>
      <c r="ER9" s="37"/>
      <c r="ES9" s="33"/>
      <c r="ET9" s="34"/>
      <c r="EU9" s="35" t="str">
        <f t="shared" si="38"/>
        <v/>
      </c>
      <c r="EV9" s="36" t="str">
        <f t="shared" si="39"/>
        <v/>
      </c>
      <c r="EW9" s="37"/>
    </row>
    <row r="10" spans="1:153" ht="19.5" customHeight="1">
      <c r="A10" s="32">
        <f>IF(DAY(DATE(対象年度,4,7))&lt;&gt;7,"",7)</f>
        <v>7</v>
      </c>
      <c r="B10" s="32" t="str">
        <f>IF(DAY(DATE(対象年度,4,7))&lt;&gt;7,"",CHOOSE(WEEKDAY(DATE(対象年度,4,7),2),"月","火","水","木","金","土","日"))</f>
        <v>火</v>
      </c>
      <c r="C10" s="32" t="str">
        <f>IF(DAY(DATE(対象年度,4,7))&lt;&gt;7,"",IF(ISNUMBER(MATCH(DATE(対象年度,4,7),祝日リスト,0)),"祝",""))</f>
        <v/>
      </c>
      <c r="D10" s="38"/>
      <c r="E10" s="34"/>
      <c r="F10" s="35"/>
      <c r="G10" s="36"/>
      <c r="H10" s="37"/>
      <c r="I10" s="33"/>
      <c r="J10" s="46"/>
      <c r="K10" s="35"/>
      <c r="L10" s="36"/>
      <c r="M10" s="37"/>
      <c r="N10" s="33"/>
      <c r="O10" s="34"/>
      <c r="P10" s="35"/>
      <c r="Q10" s="36"/>
      <c r="R10" s="37"/>
      <c r="S10" s="33"/>
      <c r="T10" s="34"/>
      <c r="U10" s="35"/>
      <c r="V10" s="36"/>
      <c r="W10" s="37"/>
      <c r="X10" s="38"/>
      <c r="Y10" s="34"/>
      <c r="Z10" s="35"/>
      <c r="AA10" s="36"/>
      <c r="AB10" s="37"/>
      <c r="AC10" s="33"/>
      <c r="AD10" s="46"/>
      <c r="AE10" s="35"/>
      <c r="AF10" s="36"/>
      <c r="AG10" s="37"/>
      <c r="AH10" s="33"/>
      <c r="AI10" s="34"/>
      <c r="AJ10" s="35" t="str">
        <f t="shared" si="0"/>
        <v/>
      </c>
      <c r="AK10" s="36" t="str">
        <f t="shared" si="1"/>
        <v/>
      </c>
      <c r="AL10" s="37"/>
      <c r="AM10" s="33"/>
      <c r="AN10" s="46"/>
      <c r="AO10" s="35"/>
      <c r="AP10" s="36"/>
      <c r="AQ10" s="37"/>
      <c r="AR10" s="38"/>
      <c r="AS10" s="34"/>
      <c r="AT10" s="35"/>
      <c r="AU10" s="36"/>
      <c r="AV10" s="37"/>
      <c r="AW10" s="38"/>
      <c r="AX10" s="34"/>
      <c r="AY10" s="35"/>
      <c r="AZ10" s="36"/>
      <c r="BA10" s="37"/>
      <c r="BB10" s="38"/>
      <c r="BC10" s="34"/>
      <c r="BD10" s="35"/>
      <c r="BE10" s="36"/>
      <c r="BF10" s="37"/>
      <c r="BG10" s="33"/>
      <c r="BH10" s="34"/>
      <c r="BI10" s="35" t="str">
        <f t="shared" si="2"/>
        <v/>
      </c>
      <c r="BJ10" s="36" t="str">
        <f t="shared" si="3"/>
        <v/>
      </c>
      <c r="BK10" s="37"/>
      <c r="BL10" s="33"/>
      <c r="BM10" s="34"/>
      <c r="BN10" s="35" t="str">
        <f t="shared" si="4"/>
        <v/>
      </c>
      <c r="BO10" s="36" t="str">
        <f t="shared" si="5"/>
        <v/>
      </c>
      <c r="BP10" s="37"/>
      <c r="BQ10" s="33"/>
      <c r="BR10" s="34"/>
      <c r="BS10" s="35" t="str">
        <f t="shared" si="6"/>
        <v/>
      </c>
      <c r="BT10" s="36" t="str">
        <f t="shared" si="7"/>
        <v/>
      </c>
      <c r="BU10" s="37"/>
      <c r="BV10" s="33"/>
      <c r="BW10" s="34"/>
      <c r="BX10" s="35" t="str">
        <f t="shared" si="8"/>
        <v/>
      </c>
      <c r="BY10" s="36" t="str">
        <f t="shared" si="9"/>
        <v/>
      </c>
      <c r="BZ10" s="37"/>
      <c r="CA10" s="33"/>
      <c r="CB10" s="34"/>
      <c r="CC10" s="35" t="str">
        <f t="shared" si="10"/>
        <v/>
      </c>
      <c r="CD10" s="36" t="str">
        <f t="shared" si="11"/>
        <v/>
      </c>
      <c r="CE10" s="37"/>
      <c r="CF10" s="33"/>
      <c r="CG10" s="34"/>
      <c r="CH10" s="35" t="str">
        <f t="shared" si="12"/>
        <v/>
      </c>
      <c r="CI10" s="36" t="str">
        <f t="shared" si="13"/>
        <v/>
      </c>
      <c r="CJ10" s="37"/>
      <c r="CK10" s="33"/>
      <c r="CL10" s="34"/>
      <c r="CM10" s="35" t="str">
        <f t="shared" si="14"/>
        <v/>
      </c>
      <c r="CN10" s="36" t="str">
        <f t="shared" si="15"/>
        <v/>
      </c>
      <c r="CO10" s="37"/>
      <c r="CP10" s="33"/>
      <c r="CQ10" s="34"/>
      <c r="CR10" s="35" t="str">
        <f t="shared" si="16"/>
        <v/>
      </c>
      <c r="CS10" s="36" t="str">
        <f t="shared" si="17"/>
        <v/>
      </c>
      <c r="CT10" s="37"/>
      <c r="CU10" s="33"/>
      <c r="CV10" s="34"/>
      <c r="CW10" s="35" t="str">
        <f t="shared" si="18"/>
        <v/>
      </c>
      <c r="CX10" s="36" t="str">
        <f t="shared" si="19"/>
        <v/>
      </c>
      <c r="CY10" s="37"/>
      <c r="CZ10" s="33"/>
      <c r="DA10" s="34"/>
      <c r="DB10" s="35" t="str">
        <f t="shared" si="20"/>
        <v/>
      </c>
      <c r="DC10" s="36" t="str">
        <f t="shared" si="21"/>
        <v/>
      </c>
      <c r="DD10" s="37"/>
      <c r="DE10" s="33"/>
      <c r="DF10" s="34"/>
      <c r="DG10" s="35" t="str">
        <f t="shared" si="22"/>
        <v/>
      </c>
      <c r="DH10" s="36" t="str">
        <f t="shared" si="23"/>
        <v/>
      </c>
      <c r="DI10" s="37"/>
      <c r="DJ10" s="33"/>
      <c r="DK10" s="34"/>
      <c r="DL10" s="35" t="str">
        <f t="shared" si="24"/>
        <v/>
      </c>
      <c r="DM10" s="36" t="str">
        <f t="shared" si="25"/>
        <v/>
      </c>
      <c r="DN10" s="37"/>
      <c r="DO10" s="33"/>
      <c r="DP10" s="34"/>
      <c r="DQ10" s="35" t="str">
        <f t="shared" si="26"/>
        <v/>
      </c>
      <c r="DR10" s="36" t="str">
        <f t="shared" si="27"/>
        <v/>
      </c>
      <c r="DS10" s="37"/>
      <c r="DT10" s="33"/>
      <c r="DU10" s="34"/>
      <c r="DV10" s="35" t="str">
        <f t="shared" si="28"/>
        <v/>
      </c>
      <c r="DW10" s="36" t="str">
        <f t="shared" si="29"/>
        <v/>
      </c>
      <c r="DX10" s="37"/>
      <c r="DY10" s="33"/>
      <c r="DZ10" s="34"/>
      <c r="EA10" s="35" t="str">
        <f t="shared" si="30"/>
        <v/>
      </c>
      <c r="EB10" s="36" t="str">
        <f t="shared" si="31"/>
        <v/>
      </c>
      <c r="EC10" s="37"/>
      <c r="ED10" s="33"/>
      <c r="EE10" s="34"/>
      <c r="EF10" s="35" t="str">
        <f t="shared" si="32"/>
        <v/>
      </c>
      <c r="EG10" s="36" t="str">
        <f t="shared" si="33"/>
        <v/>
      </c>
      <c r="EH10" s="37"/>
      <c r="EI10" s="33"/>
      <c r="EJ10" s="34"/>
      <c r="EK10" s="35" t="str">
        <f t="shared" si="34"/>
        <v/>
      </c>
      <c r="EL10" s="36" t="str">
        <f t="shared" si="35"/>
        <v/>
      </c>
      <c r="EM10" s="37"/>
      <c r="EN10" s="33"/>
      <c r="EO10" s="34"/>
      <c r="EP10" s="35" t="str">
        <f t="shared" si="36"/>
        <v/>
      </c>
      <c r="EQ10" s="36" t="str">
        <f t="shared" si="37"/>
        <v/>
      </c>
      <c r="ER10" s="37"/>
      <c r="ES10" s="33"/>
      <c r="ET10" s="34"/>
      <c r="EU10" s="35" t="str">
        <f t="shared" si="38"/>
        <v/>
      </c>
      <c r="EV10" s="36" t="str">
        <f t="shared" si="39"/>
        <v/>
      </c>
      <c r="EW10" s="37"/>
    </row>
    <row r="11" spans="1:153" ht="19.5" customHeight="1">
      <c r="A11" s="32">
        <f>IF(DAY(DATE(対象年度,4,8))&lt;&gt;8,"",8)</f>
        <v>8</v>
      </c>
      <c r="B11" s="32" t="str">
        <f>IF(DAY(DATE(対象年度,4,8))&lt;&gt;8,"",CHOOSE(WEEKDAY(DATE(対象年度,4,8),2),"月","火","水","木","金","土","日"))</f>
        <v>水</v>
      </c>
      <c r="C11" s="32" t="str">
        <f>IF(DAY(DATE(対象年度,4,8))&lt;&gt;8,"",IF(ISNUMBER(MATCH(DATE(対象年度,4,8),祝日リスト,0)),"祝",""))</f>
        <v/>
      </c>
      <c r="D11" s="38"/>
      <c r="E11" s="34"/>
      <c r="F11" s="35"/>
      <c r="G11" s="36"/>
      <c r="H11" s="37"/>
      <c r="I11" s="33"/>
      <c r="J11" s="34"/>
      <c r="K11" s="35"/>
      <c r="L11" s="36"/>
      <c r="M11" s="37"/>
      <c r="N11" s="38"/>
      <c r="O11" s="34"/>
      <c r="P11" s="35"/>
      <c r="Q11" s="36"/>
      <c r="R11" s="37"/>
      <c r="S11" s="33"/>
      <c r="T11" s="34"/>
      <c r="U11" s="35"/>
      <c r="V11" s="36"/>
      <c r="W11" s="37"/>
      <c r="X11" s="38"/>
      <c r="Y11" s="34"/>
      <c r="Z11" s="35"/>
      <c r="AA11" s="36"/>
      <c r="AB11" s="37"/>
      <c r="AC11" s="33"/>
      <c r="AD11" s="34"/>
      <c r="AE11" s="35"/>
      <c r="AF11" s="36"/>
      <c r="AG11" s="37"/>
      <c r="AH11" s="38"/>
      <c r="AI11" s="34"/>
      <c r="AJ11" s="35" t="str">
        <f t="shared" si="0"/>
        <v/>
      </c>
      <c r="AK11" s="36" t="str">
        <f t="shared" si="1"/>
        <v/>
      </c>
      <c r="AL11" s="37"/>
      <c r="AM11" s="33"/>
      <c r="AN11" s="34"/>
      <c r="AO11" s="35"/>
      <c r="AP11" s="36"/>
      <c r="AQ11" s="37"/>
      <c r="AR11" s="38"/>
      <c r="AS11" s="34"/>
      <c r="AT11" s="35"/>
      <c r="AU11" s="36"/>
      <c r="AV11" s="37"/>
      <c r="AW11" s="38"/>
      <c r="AX11" s="34"/>
      <c r="AY11" s="35"/>
      <c r="AZ11" s="36"/>
      <c r="BA11" s="37"/>
      <c r="BB11" s="38"/>
      <c r="BC11" s="34"/>
      <c r="BD11" s="35"/>
      <c r="BE11" s="36"/>
      <c r="BF11" s="37"/>
      <c r="BG11" s="33"/>
      <c r="BH11" s="34"/>
      <c r="BI11" s="35" t="str">
        <f t="shared" si="2"/>
        <v/>
      </c>
      <c r="BJ11" s="36" t="str">
        <f t="shared" si="3"/>
        <v/>
      </c>
      <c r="BK11" s="37"/>
      <c r="BL11" s="33"/>
      <c r="BM11" s="34"/>
      <c r="BN11" s="35" t="str">
        <f t="shared" si="4"/>
        <v/>
      </c>
      <c r="BO11" s="36" t="str">
        <f t="shared" si="5"/>
        <v/>
      </c>
      <c r="BP11" s="37"/>
      <c r="BQ11" s="33"/>
      <c r="BR11" s="34"/>
      <c r="BS11" s="35" t="str">
        <f t="shared" si="6"/>
        <v/>
      </c>
      <c r="BT11" s="36" t="str">
        <f t="shared" si="7"/>
        <v/>
      </c>
      <c r="BU11" s="37"/>
      <c r="BV11" s="33"/>
      <c r="BW11" s="34"/>
      <c r="BX11" s="35" t="str">
        <f t="shared" si="8"/>
        <v/>
      </c>
      <c r="BY11" s="36" t="str">
        <f t="shared" si="9"/>
        <v/>
      </c>
      <c r="BZ11" s="37"/>
      <c r="CA11" s="33"/>
      <c r="CB11" s="34"/>
      <c r="CC11" s="35" t="str">
        <f t="shared" si="10"/>
        <v/>
      </c>
      <c r="CD11" s="36" t="str">
        <f t="shared" si="11"/>
        <v/>
      </c>
      <c r="CE11" s="37"/>
      <c r="CF11" s="33"/>
      <c r="CG11" s="34"/>
      <c r="CH11" s="35" t="str">
        <f t="shared" si="12"/>
        <v/>
      </c>
      <c r="CI11" s="36" t="str">
        <f t="shared" si="13"/>
        <v/>
      </c>
      <c r="CJ11" s="37"/>
      <c r="CK11" s="33"/>
      <c r="CL11" s="34"/>
      <c r="CM11" s="35" t="str">
        <f t="shared" si="14"/>
        <v/>
      </c>
      <c r="CN11" s="36" t="str">
        <f t="shared" si="15"/>
        <v/>
      </c>
      <c r="CO11" s="37"/>
      <c r="CP11" s="33"/>
      <c r="CQ11" s="34"/>
      <c r="CR11" s="35" t="str">
        <f t="shared" si="16"/>
        <v/>
      </c>
      <c r="CS11" s="36" t="str">
        <f t="shared" si="17"/>
        <v/>
      </c>
      <c r="CT11" s="37"/>
      <c r="CU11" s="33"/>
      <c r="CV11" s="34"/>
      <c r="CW11" s="35" t="str">
        <f t="shared" si="18"/>
        <v/>
      </c>
      <c r="CX11" s="36" t="str">
        <f t="shared" si="19"/>
        <v/>
      </c>
      <c r="CY11" s="37"/>
      <c r="CZ11" s="33"/>
      <c r="DA11" s="34"/>
      <c r="DB11" s="35" t="str">
        <f t="shared" si="20"/>
        <v/>
      </c>
      <c r="DC11" s="36" t="str">
        <f t="shared" si="21"/>
        <v/>
      </c>
      <c r="DD11" s="37"/>
      <c r="DE11" s="33"/>
      <c r="DF11" s="34"/>
      <c r="DG11" s="35" t="str">
        <f t="shared" si="22"/>
        <v/>
      </c>
      <c r="DH11" s="36" t="str">
        <f t="shared" si="23"/>
        <v/>
      </c>
      <c r="DI11" s="37"/>
      <c r="DJ11" s="33"/>
      <c r="DK11" s="34"/>
      <c r="DL11" s="35" t="str">
        <f t="shared" si="24"/>
        <v/>
      </c>
      <c r="DM11" s="36" t="str">
        <f t="shared" si="25"/>
        <v/>
      </c>
      <c r="DN11" s="37"/>
      <c r="DO11" s="33"/>
      <c r="DP11" s="34"/>
      <c r="DQ11" s="35" t="str">
        <f t="shared" si="26"/>
        <v/>
      </c>
      <c r="DR11" s="36" t="str">
        <f t="shared" si="27"/>
        <v/>
      </c>
      <c r="DS11" s="37"/>
      <c r="DT11" s="33"/>
      <c r="DU11" s="34"/>
      <c r="DV11" s="35" t="str">
        <f t="shared" si="28"/>
        <v/>
      </c>
      <c r="DW11" s="36" t="str">
        <f t="shared" si="29"/>
        <v/>
      </c>
      <c r="DX11" s="37"/>
      <c r="DY11" s="33"/>
      <c r="DZ11" s="34"/>
      <c r="EA11" s="35" t="str">
        <f t="shared" si="30"/>
        <v/>
      </c>
      <c r="EB11" s="36" t="str">
        <f t="shared" si="31"/>
        <v/>
      </c>
      <c r="EC11" s="37"/>
      <c r="ED11" s="33"/>
      <c r="EE11" s="34"/>
      <c r="EF11" s="35" t="str">
        <f t="shared" si="32"/>
        <v/>
      </c>
      <c r="EG11" s="36" t="str">
        <f t="shared" si="33"/>
        <v/>
      </c>
      <c r="EH11" s="37"/>
      <c r="EI11" s="33"/>
      <c r="EJ11" s="34"/>
      <c r="EK11" s="35" t="str">
        <f t="shared" si="34"/>
        <v/>
      </c>
      <c r="EL11" s="36" t="str">
        <f t="shared" si="35"/>
        <v/>
      </c>
      <c r="EM11" s="37"/>
      <c r="EN11" s="33"/>
      <c r="EO11" s="34"/>
      <c r="EP11" s="35" t="str">
        <f t="shared" si="36"/>
        <v/>
      </c>
      <c r="EQ11" s="36" t="str">
        <f t="shared" si="37"/>
        <v/>
      </c>
      <c r="ER11" s="37"/>
      <c r="ES11" s="33"/>
      <c r="ET11" s="34"/>
      <c r="EU11" s="35" t="str">
        <f t="shared" si="38"/>
        <v/>
      </c>
      <c r="EV11" s="36" t="str">
        <f t="shared" si="39"/>
        <v/>
      </c>
      <c r="EW11" s="37"/>
    </row>
    <row r="12" spans="1:153" ht="19.5" customHeight="1">
      <c r="A12" s="32">
        <f>IF(DAY(DATE(対象年度,4,9))&lt;&gt;9,"",9)</f>
        <v>9</v>
      </c>
      <c r="B12" s="32" t="str">
        <f>IF(DAY(DATE(対象年度,4,9))&lt;&gt;9,"",CHOOSE(WEEKDAY(DATE(対象年度,4,9),2),"月","火","水","木","金","土","日"))</f>
        <v>木</v>
      </c>
      <c r="C12" s="32" t="str">
        <f>IF(DAY(DATE(対象年度,4,9))&lt;&gt;9,"",IF(ISNUMBER(MATCH(DATE(対象年度,4,9),祝日リスト,0)),"祝",""))</f>
        <v/>
      </c>
      <c r="D12" s="38"/>
      <c r="E12" s="34"/>
      <c r="F12" s="35"/>
      <c r="G12" s="36"/>
      <c r="H12" s="37"/>
      <c r="I12" s="33"/>
      <c r="J12" s="46"/>
      <c r="K12" s="35"/>
      <c r="L12" s="36"/>
      <c r="M12" s="37"/>
      <c r="N12" s="38"/>
      <c r="O12" s="34"/>
      <c r="P12" s="35"/>
      <c r="Q12" s="36"/>
      <c r="R12" s="37"/>
      <c r="S12" s="33"/>
      <c r="T12" s="34"/>
      <c r="U12" s="35"/>
      <c r="V12" s="36"/>
      <c r="W12" s="37"/>
      <c r="X12" s="38"/>
      <c r="Y12" s="34"/>
      <c r="Z12" s="35"/>
      <c r="AA12" s="36"/>
      <c r="AB12" s="37"/>
      <c r="AC12" s="33"/>
      <c r="AD12" s="46"/>
      <c r="AE12" s="35"/>
      <c r="AF12" s="36"/>
      <c r="AG12" s="37"/>
      <c r="AH12" s="38"/>
      <c r="AI12" s="34"/>
      <c r="AJ12" s="35" t="str">
        <f t="shared" si="0"/>
        <v/>
      </c>
      <c r="AK12" s="36" t="str">
        <f t="shared" si="1"/>
        <v/>
      </c>
      <c r="AL12" s="37"/>
      <c r="AM12" s="33"/>
      <c r="AN12" s="46"/>
      <c r="AO12" s="35"/>
      <c r="AP12" s="36"/>
      <c r="AQ12" s="37"/>
      <c r="AR12" s="38"/>
      <c r="AS12" s="34"/>
      <c r="AT12" s="35"/>
      <c r="AU12" s="36"/>
      <c r="AV12" s="37"/>
      <c r="AW12" s="38"/>
      <c r="AX12" s="34"/>
      <c r="AY12" s="35"/>
      <c r="AZ12" s="36"/>
      <c r="BA12" s="37"/>
      <c r="BB12" s="38"/>
      <c r="BC12" s="34"/>
      <c r="BD12" s="35"/>
      <c r="BE12" s="36"/>
      <c r="BF12" s="37"/>
      <c r="BG12" s="33"/>
      <c r="BH12" s="34"/>
      <c r="BI12" s="35" t="str">
        <f t="shared" si="2"/>
        <v/>
      </c>
      <c r="BJ12" s="36" t="str">
        <f t="shared" si="3"/>
        <v/>
      </c>
      <c r="BK12" s="37"/>
      <c r="BL12" s="33"/>
      <c r="BM12" s="34"/>
      <c r="BN12" s="35" t="str">
        <f t="shared" si="4"/>
        <v/>
      </c>
      <c r="BO12" s="36" t="str">
        <f t="shared" si="5"/>
        <v/>
      </c>
      <c r="BP12" s="37"/>
      <c r="BQ12" s="33"/>
      <c r="BR12" s="34"/>
      <c r="BS12" s="35" t="str">
        <f t="shared" si="6"/>
        <v/>
      </c>
      <c r="BT12" s="36" t="str">
        <f t="shared" si="7"/>
        <v/>
      </c>
      <c r="BU12" s="37"/>
      <c r="BV12" s="33"/>
      <c r="BW12" s="34"/>
      <c r="BX12" s="35" t="str">
        <f t="shared" si="8"/>
        <v/>
      </c>
      <c r="BY12" s="36" t="str">
        <f t="shared" si="9"/>
        <v/>
      </c>
      <c r="BZ12" s="37"/>
      <c r="CA12" s="33"/>
      <c r="CB12" s="34"/>
      <c r="CC12" s="35" t="str">
        <f t="shared" si="10"/>
        <v/>
      </c>
      <c r="CD12" s="36" t="str">
        <f t="shared" si="11"/>
        <v/>
      </c>
      <c r="CE12" s="37"/>
      <c r="CF12" s="33"/>
      <c r="CG12" s="34"/>
      <c r="CH12" s="35" t="str">
        <f t="shared" si="12"/>
        <v/>
      </c>
      <c r="CI12" s="36" t="str">
        <f t="shared" si="13"/>
        <v/>
      </c>
      <c r="CJ12" s="37"/>
      <c r="CK12" s="33"/>
      <c r="CL12" s="34"/>
      <c r="CM12" s="35" t="str">
        <f t="shared" si="14"/>
        <v/>
      </c>
      <c r="CN12" s="36" t="str">
        <f t="shared" si="15"/>
        <v/>
      </c>
      <c r="CO12" s="37"/>
      <c r="CP12" s="33"/>
      <c r="CQ12" s="34"/>
      <c r="CR12" s="35" t="str">
        <f t="shared" si="16"/>
        <v/>
      </c>
      <c r="CS12" s="36" t="str">
        <f t="shared" si="17"/>
        <v/>
      </c>
      <c r="CT12" s="37"/>
      <c r="CU12" s="33"/>
      <c r="CV12" s="34"/>
      <c r="CW12" s="35" t="str">
        <f t="shared" si="18"/>
        <v/>
      </c>
      <c r="CX12" s="36" t="str">
        <f t="shared" si="19"/>
        <v/>
      </c>
      <c r="CY12" s="37"/>
      <c r="CZ12" s="33"/>
      <c r="DA12" s="34"/>
      <c r="DB12" s="35" t="str">
        <f t="shared" si="20"/>
        <v/>
      </c>
      <c r="DC12" s="36" t="str">
        <f t="shared" si="21"/>
        <v/>
      </c>
      <c r="DD12" s="37"/>
      <c r="DE12" s="33"/>
      <c r="DF12" s="34"/>
      <c r="DG12" s="35" t="str">
        <f t="shared" si="22"/>
        <v/>
      </c>
      <c r="DH12" s="36" t="str">
        <f t="shared" si="23"/>
        <v/>
      </c>
      <c r="DI12" s="37"/>
      <c r="DJ12" s="33"/>
      <c r="DK12" s="34"/>
      <c r="DL12" s="35" t="str">
        <f t="shared" si="24"/>
        <v/>
      </c>
      <c r="DM12" s="36" t="str">
        <f t="shared" si="25"/>
        <v/>
      </c>
      <c r="DN12" s="37"/>
      <c r="DO12" s="33"/>
      <c r="DP12" s="34"/>
      <c r="DQ12" s="35" t="str">
        <f t="shared" si="26"/>
        <v/>
      </c>
      <c r="DR12" s="36" t="str">
        <f t="shared" si="27"/>
        <v/>
      </c>
      <c r="DS12" s="37"/>
      <c r="DT12" s="33"/>
      <c r="DU12" s="34"/>
      <c r="DV12" s="35" t="str">
        <f t="shared" si="28"/>
        <v/>
      </c>
      <c r="DW12" s="36" t="str">
        <f t="shared" si="29"/>
        <v/>
      </c>
      <c r="DX12" s="37"/>
      <c r="DY12" s="33"/>
      <c r="DZ12" s="34"/>
      <c r="EA12" s="35" t="str">
        <f t="shared" si="30"/>
        <v/>
      </c>
      <c r="EB12" s="36" t="str">
        <f t="shared" si="31"/>
        <v/>
      </c>
      <c r="EC12" s="37"/>
      <c r="ED12" s="33"/>
      <c r="EE12" s="34"/>
      <c r="EF12" s="35" t="str">
        <f t="shared" si="32"/>
        <v/>
      </c>
      <c r="EG12" s="36" t="str">
        <f t="shared" si="33"/>
        <v/>
      </c>
      <c r="EH12" s="37"/>
      <c r="EI12" s="33"/>
      <c r="EJ12" s="34"/>
      <c r="EK12" s="35" t="str">
        <f t="shared" si="34"/>
        <v/>
      </c>
      <c r="EL12" s="36" t="str">
        <f t="shared" si="35"/>
        <v/>
      </c>
      <c r="EM12" s="37"/>
      <c r="EN12" s="33"/>
      <c r="EO12" s="34"/>
      <c r="EP12" s="35" t="str">
        <f t="shared" si="36"/>
        <v/>
      </c>
      <c r="EQ12" s="36" t="str">
        <f t="shared" si="37"/>
        <v/>
      </c>
      <c r="ER12" s="37"/>
      <c r="ES12" s="33"/>
      <c r="ET12" s="34"/>
      <c r="EU12" s="35" t="str">
        <f t="shared" si="38"/>
        <v/>
      </c>
      <c r="EV12" s="36" t="str">
        <f t="shared" si="39"/>
        <v/>
      </c>
      <c r="EW12" s="37"/>
    </row>
    <row r="13" spans="1:153" ht="19.5" customHeight="1">
      <c r="A13" s="32">
        <f>IF(DAY(DATE(対象年度,4,10))&lt;&gt;10,"",10)</f>
        <v>10</v>
      </c>
      <c r="B13" s="32" t="str">
        <f>IF(DAY(DATE(対象年度,4,10))&lt;&gt;10,"",CHOOSE(WEEKDAY(DATE(対象年度,4,10),2),"月","火","水","木","金","土","日"))</f>
        <v>金</v>
      </c>
      <c r="C13" s="32" t="str">
        <f>IF(DAY(DATE(対象年度,4,10))&lt;&gt;10,"",IF(ISNUMBER(MATCH(DATE(対象年度,4,10),祝日リスト,0)),"祝",""))</f>
        <v/>
      </c>
      <c r="D13" s="38"/>
      <c r="E13" s="34"/>
      <c r="F13" s="35"/>
      <c r="G13" s="36"/>
      <c r="H13" s="37"/>
      <c r="I13" s="33"/>
      <c r="J13" s="34"/>
      <c r="K13" s="35"/>
      <c r="L13" s="36"/>
      <c r="M13" s="37"/>
      <c r="N13" s="38"/>
      <c r="O13" s="34"/>
      <c r="P13" s="35"/>
      <c r="Q13" s="36"/>
      <c r="R13" s="37"/>
      <c r="S13" s="38"/>
      <c r="T13" s="34"/>
      <c r="U13" s="35"/>
      <c r="V13" s="36"/>
      <c r="W13" s="37"/>
      <c r="X13" s="38"/>
      <c r="Y13" s="34"/>
      <c r="Z13" s="35"/>
      <c r="AA13" s="36"/>
      <c r="AB13" s="37"/>
      <c r="AC13" s="33"/>
      <c r="AD13" s="34"/>
      <c r="AE13" s="35"/>
      <c r="AF13" s="36"/>
      <c r="AG13" s="37"/>
      <c r="AH13" s="38"/>
      <c r="AI13" s="34"/>
      <c r="AJ13" s="35" t="str">
        <f t="shared" si="0"/>
        <v/>
      </c>
      <c r="AK13" s="36" t="str">
        <f t="shared" si="1"/>
        <v/>
      </c>
      <c r="AL13" s="37"/>
      <c r="AM13" s="33"/>
      <c r="AN13" s="34"/>
      <c r="AO13" s="35"/>
      <c r="AP13" s="36"/>
      <c r="AQ13" s="37"/>
      <c r="AR13" s="38"/>
      <c r="AS13" s="34"/>
      <c r="AT13" s="35"/>
      <c r="AU13" s="36"/>
      <c r="AV13" s="37"/>
      <c r="AW13" s="38"/>
      <c r="AX13" s="34"/>
      <c r="AY13" s="35"/>
      <c r="AZ13" s="36"/>
      <c r="BA13" s="37"/>
      <c r="BB13" s="38"/>
      <c r="BC13" s="34"/>
      <c r="BD13" s="35"/>
      <c r="BE13" s="36"/>
      <c r="BF13" s="37"/>
      <c r="BG13" s="33"/>
      <c r="BH13" s="34"/>
      <c r="BI13" s="35" t="str">
        <f t="shared" si="2"/>
        <v/>
      </c>
      <c r="BJ13" s="36" t="str">
        <f t="shared" si="3"/>
        <v/>
      </c>
      <c r="BK13" s="37"/>
      <c r="BL13" s="33"/>
      <c r="BM13" s="34"/>
      <c r="BN13" s="35" t="str">
        <f t="shared" si="4"/>
        <v/>
      </c>
      <c r="BO13" s="36" t="str">
        <f t="shared" si="5"/>
        <v/>
      </c>
      <c r="BP13" s="37"/>
      <c r="BQ13" s="33"/>
      <c r="BR13" s="34"/>
      <c r="BS13" s="35" t="str">
        <f t="shared" si="6"/>
        <v/>
      </c>
      <c r="BT13" s="36" t="str">
        <f t="shared" si="7"/>
        <v/>
      </c>
      <c r="BU13" s="37"/>
      <c r="BV13" s="33"/>
      <c r="BW13" s="34"/>
      <c r="BX13" s="35" t="str">
        <f t="shared" si="8"/>
        <v/>
      </c>
      <c r="BY13" s="36" t="str">
        <f t="shared" si="9"/>
        <v/>
      </c>
      <c r="BZ13" s="37"/>
      <c r="CA13" s="33"/>
      <c r="CB13" s="34"/>
      <c r="CC13" s="35" t="str">
        <f t="shared" si="10"/>
        <v/>
      </c>
      <c r="CD13" s="36" t="str">
        <f t="shared" si="11"/>
        <v/>
      </c>
      <c r="CE13" s="37"/>
      <c r="CF13" s="33"/>
      <c r="CG13" s="34"/>
      <c r="CH13" s="35" t="str">
        <f t="shared" si="12"/>
        <v/>
      </c>
      <c r="CI13" s="36" t="str">
        <f t="shared" si="13"/>
        <v/>
      </c>
      <c r="CJ13" s="37"/>
      <c r="CK13" s="33"/>
      <c r="CL13" s="34"/>
      <c r="CM13" s="35" t="str">
        <f t="shared" si="14"/>
        <v/>
      </c>
      <c r="CN13" s="36" t="str">
        <f t="shared" si="15"/>
        <v/>
      </c>
      <c r="CO13" s="37"/>
      <c r="CP13" s="33"/>
      <c r="CQ13" s="34"/>
      <c r="CR13" s="35" t="str">
        <f t="shared" si="16"/>
        <v/>
      </c>
      <c r="CS13" s="36" t="str">
        <f t="shared" si="17"/>
        <v/>
      </c>
      <c r="CT13" s="37"/>
      <c r="CU13" s="33"/>
      <c r="CV13" s="34"/>
      <c r="CW13" s="35" t="str">
        <f t="shared" si="18"/>
        <v/>
      </c>
      <c r="CX13" s="36" t="str">
        <f t="shared" si="19"/>
        <v/>
      </c>
      <c r="CY13" s="37"/>
      <c r="CZ13" s="33"/>
      <c r="DA13" s="34"/>
      <c r="DB13" s="35" t="str">
        <f t="shared" si="20"/>
        <v/>
      </c>
      <c r="DC13" s="36" t="str">
        <f t="shared" si="21"/>
        <v/>
      </c>
      <c r="DD13" s="37"/>
      <c r="DE13" s="33"/>
      <c r="DF13" s="34"/>
      <c r="DG13" s="35" t="str">
        <f t="shared" si="22"/>
        <v/>
      </c>
      <c r="DH13" s="36" t="str">
        <f t="shared" si="23"/>
        <v/>
      </c>
      <c r="DI13" s="37"/>
      <c r="DJ13" s="33"/>
      <c r="DK13" s="34"/>
      <c r="DL13" s="35" t="str">
        <f t="shared" si="24"/>
        <v/>
      </c>
      <c r="DM13" s="36" t="str">
        <f t="shared" si="25"/>
        <v/>
      </c>
      <c r="DN13" s="37"/>
      <c r="DO13" s="33"/>
      <c r="DP13" s="34"/>
      <c r="DQ13" s="35" t="str">
        <f t="shared" si="26"/>
        <v/>
      </c>
      <c r="DR13" s="36" t="str">
        <f t="shared" si="27"/>
        <v/>
      </c>
      <c r="DS13" s="37"/>
      <c r="DT13" s="33"/>
      <c r="DU13" s="34"/>
      <c r="DV13" s="35" t="str">
        <f t="shared" si="28"/>
        <v/>
      </c>
      <c r="DW13" s="36" t="str">
        <f t="shared" si="29"/>
        <v/>
      </c>
      <c r="DX13" s="37"/>
      <c r="DY13" s="33"/>
      <c r="DZ13" s="34"/>
      <c r="EA13" s="35" t="str">
        <f t="shared" si="30"/>
        <v/>
      </c>
      <c r="EB13" s="36" t="str">
        <f t="shared" si="31"/>
        <v/>
      </c>
      <c r="EC13" s="37"/>
      <c r="ED13" s="33"/>
      <c r="EE13" s="34"/>
      <c r="EF13" s="35" t="str">
        <f t="shared" si="32"/>
        <v/>
      </c>
      <c r="EG13" s="36" t="str">
        <f t="shared" si="33"/>
        <v/>
      </c>
      <c r="EH13" s="37"/>
      <c r="EI13" s="33"/>
      <c r="EJ13" s="34"/>
      <c r="EK13" s="35" t="str">
        <f t="shared" si="34"/>
        <v/>
      </c>
      <c r="EL13" s="36" t="str">
        <f t="shared" si="35"/>
        <v/>
      </c>
      <c r="EM13" s="37"/>
      <c r="EN13" s="33"/>
      <c r="EO13" s="34"/>
      <c r="EP13" s="35" t="str">
        <f t="shared" si="36"/>
        <v/>
      </c>
      <c r="EQ13" s="36" t="str">
        <f t="shared" si="37"/>
        <v/>
      </c>
      <c r="ER13" s="37"/>
      <c r="ES13" s="33"/>
      <c r="ET13" s="34"/>
      <c r="EU13" s="35" t="str">
        <f t="shared" si="38"/>
        <v/>
      </c>
      <c r="EV13" s="36" t="str">
        <f t="shared" si="39"/>
        <v/>
      </c>
      <c r="EW13" s="37"/>
    </row>
    <row r="14" spans="1:153" ht="19.5" customHeight="1">
      <c r="A14" s="32">
        <f>IF(DAY(DATE(対象年度,4,11))&lt;&gt;11,"",11)</f>
        <v>11</v>
      </c>
      <c r="B14" s="32" t="str">
        <f>IF(DAY(DATE(対象年度,4,11))&lt;&gt;11,"",CHOOSE(WEEKDAY(DATE(対象年度,4,11),2),"月","火","水","木","金","土","日"))</f>
        <v>土</v>
      </c>
      <c r="C14" s="32" t="str">
        <f>IF(DAY(DATE(対象年度,4,11))&lt;&gt;11,"",IF(ISNUMBER(MATCH(DATE(対象年度,4,11),祝日リスト,0)),"祝",""))</f>
        <v/>
      </c>
      <c r="D14" s="33"/>
      <c r="E14" s="34"/>
      <c r="F14" s="35"/>
      <c r="G14" s="36"/>
      <c r="H14" s="37"/>
      <c r="I14" s="33"/>
      <c r="J14" s="34"/>
      <c r="K14" s="35"/>
      <c r="L14" s="36"/>
      <c r="M14" s="37"/>
      <c r="N14" s="38"/>
      <c r="O14" s="34"/>
      <c r="P14" s="35"/>
      <c r="Q14" s="36"/>
      <c r="R14" s="37"/>
      <c r="S14" s="38"/>
      <c r="T14" s="34"/>
      <c r="U14" s="35"/>
      <c r="V14" s="36"/>
      <c r="W14" s="37"/>
      <c r="X14" s="38"/>
      <c r="Y14" s="34"/>
      <c r="Z14" s="35"/>
      <c r="AA14" s="36"/>
      <c r="AB14" s="37"/>
      <c r="AC14" s="33"/>
      <c r="AD14" s="34"/>
      <c r="AE14" s="35"/>
      <c r="AF14" s="36"/>
      <c r="AG14" s="37"/>
      <c r="AH14" s="33"/>
      <c r="AI14" s="34"/>
      <c r="AJ14" s="35" t="str">
        <f t="shared" si="0"/>
        <v/>
      </c>
      <c r="AK14" s="36" t="str">
        <f t="shared" si="1"/>
        <v/>
      </c>
      <c r="AL14" s="37"/>
      <c r="AM14" s="33"/>
      <c r="AN14" s="34"/>
      <c r="AO14" s="35"/>
      <c r="AP14" s="36"/>
      <c r="AQ14" s="37"/>
      <c r="AR14" s="38"/>
      <c r="AS14" s="34"/>
      <c r="AT14" s="35"/>
      <c r="AU14" s="36"/>
      <c r="AV14" s="37"/>
      <c r="AW14" s="33"/>
      <c r="AX14" s="34"/>
      <c r="AY14" s="35"/>
      <c r="AZ14" s="36"/>
      <c r="BA14" s="37"/>
      <c r="BB14" s="33"/>
      <c r="BC14" s="34"/>
      <c r="BD14" s="35"/>
      <c r="BE14" s="36"/>
      <c r="BF14" s="37"/>
      <c r="BG14" s="33"/>
      <c r="BH14" s="34"/>
      <c r="BI14" s="35" t="str">
        <f t="shared" si="2"/>
        <v/>
      </c>
      <c r="BJ14" s="36" t="str">
        <f t="shared" si="3"/>
        <v/>
      </c>
      <c r="BK14" s="37"/>
      <c r="BL14" s="33"/>
      <c r="BM14" s="34"/>
      <c r="BN14" s="35" t="str">
        <f t="shared" si="4"/>
        <v/>
      </c>
      <c r="BO14" s="36" t="str">
        <f t="shared" si="5"/>
        <v/>
      </c>
      <c r="BP14" s="37"/>
      <c r="BQ14" s="33"/>
      <c r="BR14" s="34"/>
      <c r="BS14" s="35" t="str">
        <f t="shared" si="6"/>
        <v/>
      </c>
      <c r="BT14" s="36" t="str">
        <f t="shared" si="7"/>
        <v/>
      </c>
      <c r="BU14" s="37"/>
      <c r="BV14" s="33"/>
      <c r="BW14" s="34"/>
      <c r="BX14" s="35" t="str">
        <f t="shared" si="8"/>
        <v/>
      </c>
      <c r="BY14" s="36" t="str">
        <f t="shared" si="9"/>
        <v/>
      </c>
      <c r="BZ14" s="37"/>
      <c r="CA14" s="33"/>
      <c r="CB14" s="34"/>
      <c r="CC14" s="35" t="str">
        <f t="shared" si="10"/>
        <v/>
      </c>
      <c r="CD14" s="36" t="str">
        <f t="shared" si="11"/>
        <v/>
      </c>
      <c r="CE14" s="37"/>
      <c r="CF14" s="33"/>
      <c r="CG14" s="34"/>
      <c r="CH14" s="35" t="str">
        <f t="shared" si="12"/>
        <v/>
      </c>
      <c r="CI14" s="36" t="str">
        <f t="shared" si="13"/>
        <v/>
      </c>
      <c r="CJ14" s="37"/>
      <c r="CK14" s="33"/>
      <c r="CL14" s="34"/>
      <c r="CM14" s="35" t="str">
        <f t="shared" si="14"/>
        <v/>
      </c>
      <c r="CN14" s="36" t="str">
        <f t="shared" si="15"/>
        <v/>
      </c>
      <c r="CO14" s="37"/>
      <c r="CP14" s="33"/>
      <c r="CQ14" s="34"/>
      <c r="CR14" s="35" t="str">
        <f t="shared" si="16"/>
        <v/>
      </c>
      <c r="CS14" s="36" t="str">
        <f t="shared" si="17"/>
        <v/>
      </c>
      <c r="CT14" s="37"/>
      <c r="CU14" s="33"/>
      <c r="CV14" s="34"/>
      <c r="CW14" s="35" t="str">
        <f t="shared" si="18"/>
        <v/>
      </c>
      <c r="CX14" s="36" t="str">
        <f t="shared" si="19"/>
        <v/>
      </c>
      <c r="CY14" s="37"/>
      <c r="CZ14" s="33"/>
      <c r="DA14" s="34"/>
      <c r="DB14" s="35" t="str">
        <f t="shared" si="20"/>
        <v/>
      </c>
      <c r="DC14" s="36" t="str">
        <f t="shared" si="21"/>
        <v/>
      </c>
      <c r="DD14" s="37"/>
      <c r="DE14" s="33"/>
      <c r="DF14" s="34"/>
      <c r="DG14" s="35" t="str">
        <f t="shared" si="22"/>
        <v/>
      </c>
      <c r="DH14" s="36" t="str">
        <f t="shared" si="23"/>
        <v/>
      </c>
      <c r="DI14" s="37"/>
      <c r="DJ14" s="33"/>
      <c r="DK14" s="34"/>
      <c r="DL14" s="35" t="str">
        <f t="shared" si="24"/>
        <v/>
      </c>
      <c r="DM14" s="36" t="str">
        <f t="shared" si="25"/>
        <v/>
      </c>
      <c r="DN14" s="37"/>
      <c r="DO14" s="33"/>
      <c r="DP14" s="34"/>
      <c r="DQ14" s="35" t="str">
        <f t="shared" si="26"/>
        <v/>
      </c>
      <c r="DR14" s="36" t="str">
        <f t="shared" si="27"/>
        <v/>
      </c>
      <c r="DS14" s="37"/>
      <c r="DT14" s="33"/>
      <c r="DU14" s="34"/>
      <c r="DV14" s="35" t="str">
        <f t="shared" si="28"/>
        <v/>
      </c>
      <c r="DW14" s="36" t="str">
        <f t="shared" si="29"/>
        <v/>
      </c>
      <c r="DX14" s="37"/>
      <c r="DY14" s="33"/>
      <c r="DZ14" s="34"/>
      <c r="EA14" s="35" t="str">
        <f t="shared" si="30"/>
        <v/>
      </c>
      <c r="EB14" s="36" t="str">
        <f t="shared" si="31"/>
        <v/>
      </c>
      <c r="EC14" s="37"/>
      <c r="ED14" s="33"/>
      <c r="EE14" s="34"/>
      <c r="EF14" s="35" t="str">
        <f t="shared" si="32"/>
        <v/>
      </c>
      <c r="EG14" s="36" t="str">
        <f t="shared" si="33"/>
        <v/>
      </c>
      <c r="EH14" s="37"/>
      <c r="EI14" s="33"/>
      <c r="EJ14" s="34"/>
      <c r="EK14" s="35" t="str">
        <f t="shared" si="34"/>
        <v/>
      </c>
      <c r="EL14" s="36" t="str">
        <f t="shared" si="35"/>
        <v/>
      </c>
      <c r="EM14" s="37"/>
      <c r="EN14" s="33"/>
      <c r="EO14" s="34"/>
      <c r="EP14" s="35" t="str">
        <f t="shared" si="36"/>
        <v/>
      </c>
      <c r="EQ14" s="36" t="str">
        <f t="shared" si="37"/>
        <v/>
      </c>
      <c r="ER14" s="37"/>
      <c r="ES14" s="33"/>
      <c r="ET14" s="34"/>
      <c r="EU14" s="35" t="str">
        <f t="shared" si="38"/>
        <v/>
      </c>
      <c r="EV14" s="36" t="str">
        <f t="shared" si="39"/>
        <v/>
      </c>
      <c r="EW14" s="37"/>
    </row>
    <row r="15" spans="1:153" ht="19.5" customHeight="1">
      <c r="A15" s="32">
        <f>IF(DAY(DATE(対象年度,4,12))&lt;&gt;12,"",12)</f>
        <v>12</v>
      </c>
      <c r="B15" s="32" t="str">
        <f>IF(DAY(DATE(対象年度,4,12))&lt;&gt;12,"",CHOOSE(WEEKDAY(DATE(対象年度,4,12),2),"月","火","水","木","金","土","日"))</f>
        <v>日</v>
      </c>
      <c r="C15" s="32" t="str">
        <f>IF(DAY(DATE(対象年度,4,12))&lt;&gt;12,"",IF(ISNUMBER(MATCH(DATE(対象年度,4,12),祝日リスト,0)),"祝",""))</f>
        <v/>
      </c>
      <c r="D15" s="33"/>
      <c r="E15" s="34"/>
      <c r="F15" s="35"/>
      <c r="G15" s="36"/>
      <c r="H15" s="37"/>
      <c r="I15" s="33"/>
      <c r="J15" s="34"/>
      <c r="K15" s="35"/>
      <c r="L15" s="36"/>
      <c r="M15" s="37"/>
      <c r="N15" s="33"/>
      <c r="O15" s="34"/>
      <c r="P15" s="35"/>
      <c r="Q15" s="36"/>
      <c r="R15" s="37"/>
      <c r="S15" s="33"/>
      <c r="T15" s="34"/>
      <c r="U15" s="35"/>
      <c r="V15" s="36"/>
      <c r="W15" s="37"/>
      <c r="X15" s="33"/>
      <c r="Y15" s="34"/>
      <c r="Z15" s="35"/>
      <c r="AA15" s="36"/>
      <c r="AB15" s="37"/>
      <c r="AC15" s="33"/>
      <c r="AD15" s="34"/>
      <c r="AE15" s="35"/>
      <c r="AF15" s="36"/>
      <c r="AG15" s="37"/>
      <c r="AH15" s="33"/>
      <c r="AI15" s="34"/>
      <c r="AJ15" s="35" t="str">
        <f t="shared" si="0"/>
        <v/>
      </c>
      <c r="AK15" s="36" t="str">
        <f t="shared" si="1"/>
        <v/>
      </c>
      <c r="AL15" s="37"/>
      <c r="AM15" s="33"/>
      <c r="AN15" s="34"/>
      <c r="AO15" s="35"/>
      <c r="AP15" s="36"/>
      <c r="AQ15" s="37"/>
      <c r="AR15" s="33"/>
      <c r="AS15" s="34"/>
      <c r="AT15" s="35"/>
      <c r="AU15" s="36"/>
      <c r="AV15" s="37"/>
      <c r="AW15" s="33"/>
      <c r="AX15" s="34"/>
      <c r="AY15" s="35"/>
      <c r="AZ15" s="36"/>
      <c r="BA15" s="37"/>
      <c r="BB15" s="33"/>
      <c r="BC15" s="34"/>
      <c r="BD15" s="35"/>
      <c r="BE15" s="36"/>
      <c r="BF15" s="37"/>
      <c r="BG15" s="33"/>
      <c r="BH15" s="34"/>
      <c r="BI15" s="35" t="str">
        <f t="shared" si="2"/>
        <v/>
      </c>
      <c r="BJ15" s="36" t="str">
        <f t="shared" si="3"/>
        <v/>
      </c>
      <c r="BK15" s="37"/>
      <c r="BL15" s="33"/>
      <c r="BM15" s="34"/>
      <c r="BN15" s="35" t="str">
        <f t="shared" si="4"/>
        <v/>
      </c>
      <c r="BO15" s="36" t="str">
        <f t="shared" si="5"/>
        <v/>
      </c>
      <c r="BP15" s="37"/>
      <c r="BQ15" s="33"/>
      <c r="BR15" s="34"/>
      <c r="BS15" s="35" t="str">
        <f t="shared" si="6"/>
        <v/>
      </c>
      <c r="BT15" s="36" t="str">
        <f t="shared" si="7"/>
        <v/>
      </c>
      <c r="BU15" s="37"/>
      <c r="BV15" s="33"/>
      <c r="BW15" s="34"/>
      <c r="BX15" s="35" t="str">
        <f t="shared" si="8"/>
        <v/>
      </c>
      <c r="BY15" s="36" t="str">
        <f t="shared" si="9"/>
        <v/>
      </c>
      <c r="BZ15" s="37"/>
      <c r="CA15" s="33"/>
      <c r="CB15" s="34"/>
      <c r="CC15" s="35" t="str">
        <f t="shared" si="10"/>
        <v/>
      </c>
      <c r="CD15" s="36" t="str">
        <f t="shared" si="11"/>
        <v/>
      </c>
      <c r="CE15" s="37"/>
      <c r="CF15" s="33"/>
      <c r="CG15" s="34"/>
      <c r="CH15" s="35" t="str">
        <f t="shared" si="12"/>
        <v/>
      </c>
      <c r="CI15" s="36" t="str">
        <f t="shared" si="13"/>
        <v/>
      </c>
      <c r="CJ15" s="37"/>
      <c r="CK15" s="33"/>
      <c r="CL15" s="34"/>
      <c r="CM15" s="35" t="str">
        <f t="shared" si="14"/>
        <v/>
      </c>
      <c r="CN15" s="36" t="str">
        <f t="shared" si="15"/>
        <v/>
      </c>
      <c r="CO15" s="37"/>
      <c r="CP15" s="33"/>
      <c r="CQ15" s="34"/>
      <c r="CR15" s="35" t="str">
        <f t="shared" si="16"/>
        <v/>
      </c>
      <c r="CS15" s="36" t="str">
        <f t="shared" si="17"/>
        <v/>
      </c>
      <c r="CT15" s="37"/>
      <c r="CU15" s="33"/>
      <c r="CV15" s="34"/>
      <c r="CW15" s="35" t="str">
        <f t="shared" si="18"/>
        <v/>
      </c>
      <c r="CX15" s="36" t="str">
        <f t="shared" si="19"/>
        <v/>
      </c>
      <c r="CY15" s="37"/>
      <c r="CZ15" s="33"/>
      <c r="DA15" s="34"/>
      <c r="DB15" s="35" t="str">
        <f t="shared" si="20"/>
        <v/>
      </c>
      <c r="DC15" s="36" t="str">
        <f t="shared" si="21"/>
        <v/>
      </c>
      <c r="DD15" s="37"/>
      <c r="DE15" s="33"/>
      <c r="DF15" s="34"/>
      <c r="DG15" s="35" t="str">
        <f t="shared" si="22"/>
        <v/>
      </c>
      <c r="DH15" s="36" t="str">
        <f t="shared" si="23"/>
        <v/>
      </c>
      <c r="DI15" s="37"/>
      <c r="DJ15" s="33"/>
      <c r="DK15" s="34"/>
      <c r="DL15" s="35" t="str">
        <f t="shared" si="24"/>
        <v/>
      </c>
      <c r="DM15" s="36" t="str">
        <f t="shared" si="25"/>
        <v/>
      </c>
      <c r="DN15" s="37"/>
      <c r="DO15" s="33"/>
      <c r="DP15" s="34"/>
      <c r="DQ15" s="35" t="str">
        <f t="shared" si="26"/>
        <v/>
      </c>
      <c r="DR15" s="36" t="str">
        <f t="shared" si="27"/>
        <v/>
      </c>
      <c r="DS15" s="37"/>
      <c r="DT15" s="33"/>
      <c r="DU15" s="34"/>
      <c r="DV15" s="35" t="str">
        <f t="shared" si="28"/>
        <v/>
      </c>
      <c r="DW15" s="36" t="str">
        <f t="shared" si="29"/>
        <v/>
      </c>
      <c r="DX15" s="37"/>
      <c r="DY15" s="33"/>
      <c r="DZ15" s="34"/>
      <c r="EA15" s="35" t="str">
        <f t="shared" si="30"/>
        <v/>
      </c>
      <c r="EB15" s="36" t="str">
        <f t="shared" si="31"/>
        <v/>
      </c>
      <c r="EC15" s="37"/>
      <c r="ED15" s="33"/>
      <c r="EE15" s="34"/>
      <c r="EF15" s="35" t="str">
        <f t="shared" si="32"/>
        <v/>
      </c>
      <c r="EG15" s="36" t="str">
        <f t="shared" si="33"/>
        <v/>
      </c>
      <c r="EH15" s="37"/>
      <c r="EI15" s="33"/>
      <c r="EJ15" s="34"/>
      <c r="EK15" s="35" t="str">
        <f t="shared" si="34"/>
        <v/>
      </c>
      <c r="EL15" s="36" t="str">
        <f t="shared" si="35"/>
        <v/>
      </c>
      <c r="EM15" s="37"/>
      <c r="EN15" s="33"/>
      <c r="EO15" s="34"/>
      <c r="EP15" s="35" t="str">
        <f t="shared" si="36"/>
        <v/>
      </c>
      <c r="EQ15" s="36" t="str">
        <f t="shared" si="37"/>
        <v/>
      </c>
      <c r="ER15" s="37"/>
      <c r="ES15" s="33"/>
      <c r="ET15" s="34"/>
      <c r="EU15" s="35" t="str">
        <f t="shared" si="38"/>
        <v/>
      </c>
      <c r="EV15" s="36" t="str">
        <f t="shared" si="39"/>
        <v/>
      </c>
      <c r="EW15" s="37"/>
    </row>
    <row r="16" spans="1:153" ht="19.5" customHeight="1">
      <c r="A16" s="32">
        <f>IF(DAY(DATE(対象年度,4,13))&lt;&gt;13,"",13)</f>
        <v>13</v>
      </c>
      <c r="B16" s="32" t="str">
        <f>IF(DAY(DATE(対象年度,4,13))&lt;&gt;13,"",CHOOSE(WEEKDAY(DATE(対象年度,4,13),2),"月","火","水","木","金","土","日"))</f>
        <v>月</v>
      </c>
      <c r="C16" s="32" t="str">
        <f>IF(DAY(DATE(対象年度,4,13))&lt;&gt;13,"",IF(ISNUMBER(MATCH(DATE(対象年度,4,13),祝日リスト,0)),"祝",""))</f>
        <v/>
      </c>
      <c r="D16" s="38"/>
      <c r="E16" s="34"/>
      <c r="F16" s="35"/>
      <c r="G16" s="36"/>
      <c r="H16" s="37"/>
      <c r="I16" s="38"/>
      <c r="J16" s="34"/>
      <c r="K16" s="35"/>
      <c r="L16" s="36"/>
      <c r="M16" s="37"/>
      <c r="N16" s="38"/>
      <c r="O16" s="34"/>
      <c r="P16" s="35"/>
      <c r="Q16" s="36"/>
      <c r="R16" s="37"/>
      <c r="S16" s="38"/>
      <c r="T16" s="34"/>
      <c r="U16" s="35"/>
      <c r="V16" s="36"/>
      <c r="W16" s="37"/>
      <c r="X16" s="38"/>
      <c r="Y16" s="34"/>
      <c r="Z16" s="35"/>
      <c r="AA16" s="36"/>
      <c r="AB16" s="37"/>
      <c r="AC16" s="38"/>
      <c r="AD16" s="34"/>
      <c r="AE16" s="35"/>
      <c r="AF16" s="36"/>
      <c r="AG16" s="37"/>
      <c r="AH16" s="38"/>
      <c r="AI16" s="34"/>
      <c r="AJ16" s="35" t="str">
        <f t="shared" si="0"/>
        <v/>
      </c>
      <c r="AK16" s="36" t="str">
        <f t="shared" si="1"/>
        <v/>
      </c>
      <c r="AL16" s="37"/>
      <c r="AM16" s="38"/>
      <c r="AN16" s="34"/>
      <c r="AO16" s="35"/>
      <c r="AP16" s="36"/>
      <c r="AQ16" s="37"/>
      <c r="AR16" s="38"/>
      <c r="AS16" s="34"/>
      <c r="AT16" s="35"/>
      <c r="AU16" s="36"/>
      <c r="AV16" s="37"/>
      <c r="AW16" s="38"/>
      <c r="AX16" s="34"/>
      <c r="AY16" s="35"/>
      <c r="AZ16" s="36"/>
      <c r="BA16" s="37"/>
      <c r="BB16" s="38"/>
      <c r="BC16" s="34"/>
      <c r="BD16" s="35"/>
      <c r="BE16" s="36"/>
      <c r="BF16" s="37"/>
      <c r="BG16" s="33"/>
      <c r="BH16" s="34"/>
      <c r="BI16" s="35" t="str">
        <f t="shared" si="2"/>
        <v/>
      </c>
      <c r="BJ16" s="36" t="str">
        <f t="shared" si="3"/>
        <v/>
      </c>
      <c r="BK16" s="37"/>
      <c r="BL16" s="33"/>
      <c r="BM16" s="34"/>
      <c r="BN16" s="35" t="str">
        <f t="shared" si="4"/>
        <v/>
      </c>
      <c r="BO16" s="36" t="str">
        <f t="shared" si="5"/>
        <v/>
      </c>
      <c r="BP16" s="37"/>
      <c r="BQ16" s="33"/>
      <c r="BR16" s="34"/>
      <c r="BS16" s="35" t="str">
        <f t="shared" si="6"/>
        <v/>
      </c>
      <c r="BT16" s="36" t="str">
        <f t="shared" si="7"/>
        <v/>
      </c>
      <c r="BU16" s="37"/>
      <c r="BV16" s="33"/>
      <c r="BW16" s="34"/>
      <c r="BX16" s="35" t="str">
        <f t="shared" si="8"/>
        <v/>
      </c>
      <c r="BY16" s="36" t="str">
        <f t="shared" si="9"/>
        <v/>
      </c>
      <c r="BZ16" s="37"/>
      <c r="CA16" s="33"/>
      <c r="CB16" s="34"/>
      <c r="CC16" s="35" t="str">
        <f t="shared" si="10"/>
        <v/>
      </c>
      <c r="CD16" s="36" t="str">
        <f t="shared" si="11"/>
        <v/>
      </c>
      <c r="CE16" s="37"/>
      <c r="CF16" s="33"/>
      <c r="CG16" s="34"/>
      <c r="CH16" s="35" t="str">
        <f t="shared" si="12"/>
        <v/>
      </c>
      <c r="CI16" s="36" t="str">
        <f t="shared" si="13"/>
        <v/>
      </c>
      <c r="CJ16" s="37"/>
      <c r="CK16" s="33"/>
      <c r="CL16" s="34"/>
      <c r="CM16" s="35" t="str">
        <f t="shared" si="14"/>
        <v/>
      </c>
      <c r="CN16" s="36" t="str">
        <f t="shared" si="15"/>
        <v/>
      </c>
      <c r="CO16" s="37"/>
      <c r="CP16" s="33"/>
      <c r="CQ16" s="34"/>
      <c r="CR16" s="35" t="str">
        <f t="shared" si="16"/>
        <v/>
      </c>
      <c r="CS16" s="36" t="str">
        <f t="shared" si="17"/>
        <v/>
      </c>
      <c r="CT16" s="37"/>
      <c r="CU16" s="33"/>
      <c r="CV16" s="34"/>
      <c r="CW16" s="35" t="str">
        <f t="shared" si="18"/>
        <v/>
      </c>
      <c r="CX16" s="36" t="str">
        <f t="shared" si="19"/>
        <v/>
      </c>
      <c r="CY16" s="37"/>
      <c r="CZ16" s="33"/>
      <c r="DA16" s="34"/>
      <c r="DB16" s="35" t="str">
        <f t="shared" si="20"/>
        <v/>
      </c>
      <c r="DC16" s="36" t="str">
        <f t="shared" si="21"/>
        <v/>
      </c>
      <c r="DD16" s="37"/>
      <c r="DE16" s="33"/>
      <c r="DF16" s="34"/>
      <c r="DG16" s="35" t="str">
        <f t="shared" si="22"/>
        <v/>
      </c>
      <c r="DH16" s="36" t="str">
        <f t="shared" si="23"/>
        <v/>
      </c>
      <c r="DI16" s="37"/>
      <c r="DJ16" s="33"/>
      <c r="DK16" s="34"/>
      <c r="DL16" s="35" t="str">
        <f t="shared" si="24"/>
        <v/>
      </c>
      <c r="DM16" s="36" t="str">
        <f t="shared" si="25"/>
        <v/>
      </c>
      <c r="DN16" s="37"/>
      <c r="DO16" s="33"/>
      <c r="DP16" s="34"/>
      <c r="DQ16" s="35" t="str">
        <f t="shared" si="26"/>
        <v/>
      </c>
      <c r="DR16" s="36" t="str">
        <f t="shared" si="27"/>
        <v/>
      </c>
      <c r="DS16" s="37"/>
      <c r="DT16" s="33"/>
      <c r="DU16" s="34"/>
      <c r="DV16" s="35" t="str">
        <f t="shared" si="28"/>
        <v/>
      </c>
      <c r="DW16" s="36" t="str">
        <f t="shared" si="29"/>
        <v/>
      </c>
      <c r="DX16" s="37"/>
      <c r="DY16" s="33"/>
      <c r="DZ16" s="34"/>
      <c r="EA16" s="35" t="str">
        <f t="shared" si="30"/>
        <v/>
      </c>
      <c r="EB16" s="36" t="str">
        <f t="shared" si="31"/>
        <v/>
      </c>
      <c r="EC16" s="37"/>
      <c r="ED16" s="33"/>
      <c r="EE16" s="34"/>
      <c r="EF16" s="35" t="str">
        <f t="shared" si="32"/>
        <v/>
      </c>
      <c r="EG16" s="36" t="str">
        <f t="shared" si="33"/>
        <v/>
      </c>
      <c r="EH16" s="37"/>
      <c r="EI16" s="33"/>
      <c r="EJ16" s="34"/>
      <c r="EK16" s="35" t="str">
        <f t="shared" si="34"/>
        <v/>
      </c>
      <c r="EL16" s="36" t="str">
        <f t="shared" si="35"/>
        <v/>
      </c>
      <c r="EM16" s="37"/>
      <c r="EN16" s="33"/>
      <c r="EO16" s="34"/>
      <c r="EP16" s="35" t="str">
        <f t="shared" si="36"/>
        <v/>
      </c>
      <c r="EQ16" s="36" t="str">
        <f t="shared" si="37"/>
        <v/>
      </c>
      <c r="ER16" s="37"/>
      <c r="ES16" s="33"/>
      <c r="ET16" s="34"/>
      <c r="EU16" s="35" t="str">
        <f t="shared" si="38"/>
        <v/>
      </c>
      <c r="EV16" s="36" t="str">
        <f t="shared" si="39"/>
        <v/>
      </c>
      <c r="EW16" s="37"/>
    </row>
    <row r="17" spans="1:153" ht="19.5" customHeight="1">
      <c r="A17" s="32">
        <f>IF(DAY(DATE(対象年度,4,14))&lt;&gt;14,"",14)</f>
        <v>14</v>
      </c>
      <c r="B17" s="32" t="str">
        <f>IF(DAY(DATE(対象年度,4,14))&lt;&gt;14,"",CHOOSE(WEEKDAY(DATE(対象年度,4,14),2),"月","火","水","木","金","土","日"))</f>
        <v>火</v>
      </c>
      <c r="C17" s="32" t="str">
        <f>IF(DAY(DATE(対象年度,4,14))&lt;&gt;14,"",IF(ISNUMBER(MATCH(DATE(対象年度,4,14),祝日リスト,0)),"祝",""))</f>
        <v/>
      </c>
      <c r="D17" s="38"/>
      <c r="E17" s="34"/>
      <c r="F17" s="35"/>
      <c r="G17" s="36"/>
      <c r="H17" s="37"/>
      <c r="I17" s="38"/>
      <c r="J17" s="34"/>
      <c r="K17" s="35"/>
      <c r="L17" s="36"/>
      <c r="M17" s="37"/>
      <c r="N17" s="38"/>
      <c r="O17" s="34"/>
      <c r="P17" s="35"/>
      <c r="Q17" s="36"/>
      <c r="R17" s="37"/>
      <c r="S17" s="38"/>
      <c r="T17" s="34"/>
      <c r="U17" s="35"/>
      <c r="V17" s="36"/>
      <c r="W17" s="37"/>
      <c r="X17" s="38"/>
      <c r="Y17" s="34"/>
      <c r="Z17" s="35"/>
      <c r="AA17" s="36"/>
      <c r="AB17" s="37"/>
      <c r="AC17" s="38"/>
      <c r="AD17" s="34"/>
      <c r="AE17" s="35"/>
      <c r="AF17" s="36"/>
      <c r="AG17" s="37"/>
      <c r="AH17" s="33"/>
      <c r="AI17" s="34"/>
      <c r="AJ17" s="35" t="str">
        <f t="shared" si="0"/>
        <v/>
      </c>
      <c r="AK17" s="36" t="str">
        <f t="shared" si="1"/>
        <v/>
      </c>
      <c r="AL17" s="37"/>
      <c r="AM17" s="38"/>
      <c r="AN17" s="34"/>
      <c r="AO17" s="35"/>
      <c r="AP17" s="36"/>
      <c r="AQ17" s="37"/>
      <c r="AR17" s="38"/>
      <c r="AS17" s="34"/>
      <c r="AT17" s="35"/>
      <c r="AU17" s="36"/>
      <c r="AV17" s="37"/>
      <c r="AW17" s="38"/>
      <c r="AX17" s="34"/>
      <c r="AY17" s="35"/>
      <c r="AZ17" s="36"/>
      <c r="BA17" s="37"/>
      <c r="BB17" s="38"/>
      <c r="BC17" s="34"/>
      <c r="BD17" s="35"/>
      <c r="BE17" s="36"/>
      <c r="BF17" s="37"/>
      <c r="BG17" s="33"/>
      <c r="BH17" s="34"/>
      <c r="BI17" s="35" t="str">
        <f t="shared" si="2"/>
        <v/>
      </c>
      <c r="BJ17" s="36" t="str">
        <f t="shared" si="3"/>
        <v/>
      </c>
      <c r="BK17" s="37"/>
      <c r="BL17" s="33"/>
      <c r="BM17" s="34"/>
      <c r="BN17" s="35" t="str">
        <f t="shared" si="4"/>
        <v/>
      </c>
      <c r="BO17" s="36" t="str">
        <f t="shared" si="5"/>
        <v/>
      </c>
      <c r="BP17" s="37"/>
      <c r="BQ17" s="33"/>
      <c r="BR17" s="34"/>
      <c r="BS17" s="35" t="str">
        <f t="shared" si="6"/>
        <v/>
      </c>
      <c r="BT17" s="36" t="str">
        <f t="shared" si="7"/>
        <v/>
      </c>
      <c r="BU17" s="37"/>
      <c r="BV17" s="33"/>
      <c r="BW17" s="34"/>
      <c r="BX17" s="35" t="str">
        <f t="shared" si="8"/>
        <v/>
      </c>
      <c r="BY17" s="36" t="str">
        <f t="shared" si="9"/>
        <v/>
      </c>
      <c r="BZ17" s="37"/>
      <c r="CA17" s="33"/>
      <c r="CB17" s="34"/>
      <c r="CC17" s="35" t="str">
        <f t="shared" si="10"/>
        <v/>
      </c>
      <c r="CD17" s="36" t="str">
        <f t="shared" si="11"/>
        <v/>
      </c>
      <c r="CE17" s="37"/>
      <c r="CF17" s="33"/>
      <c r="CG17" s="34"/>
      <c r="CH17" s="35" t="str">
        <f t="shared" si="12"/>
        <v/>
      </c>
      <c r="CI17" s="36" t="str">
        <f t="shared" si="13"/>
        <v/>
      </c>
      <c r="CJ17" s="37"/>
      <c r="CK17" s="33"/>
      <c r="CL17" s="34"/>
      <c r="CM17" s="35" t="str">
        <f t="shared" si="14"/>
        <v/>
      </c>
      <c r="CN17" s="36" t="str">
        <f t="shared" si="15"/>
        <v/>
      </c>
      <c r="CO17" s="37"/>
      <c r="CP17" s="33"/>
      <c r="CQ17" s="34"/>
      <c r="CR17" s="35" t="str">
        <f t="shared" si="16"/>
        <v/>
      </c>
      <c r="CS17" s="36" t="str">
        <f t="shared" si="17"/>
        <v/>
      </c>
      <c r="CT17" s="37"/>
      <c r="CU17" s="33"/>
      <c r="CV17" s="34"/>
      <c r="CW17" s="35" t="str">
        <f t="shared" si="18"/>
        <v/>
      </c>
      <c r="CX17" s="36" t="str">
        <f t="shared" si="19"/>
        <v/>
      </c>
      <c r="CY17" s="37"/>
      <c r="CZ17" s="33"/>
      <c r="DA17" s="34"/>
      <c r="DB17" s="35" t="str">
        <f t="shared" si="20"/>
        <v/>
      </c>
      <c r="DC17" s="36" t="str">
        <f t="shared" si="21"/>
        <v/>
      </c>
      <c r="DD17" s="37"/>
      <c r="DE17" s="33"/>
      <c r="DF17" s="34"/>
      <c r="DG17" s="35" t="str">
        <f t="shared" si="22"/>
        <v/>
      </c>
      <c r="DH17" s="36" t="str">
        <f t="shared" si="23"/>
        <v/>
      </c>
      <c r="DI17" s="37"/>
      <c r="DJ17" s="33"/>
      <c r="DK17" s="34"/>
      <c r="DL17" s="35" t="str">
        <f t="shared" si="24"/>
        <v/>
      </c>
      <c r="DM17" s="36" t="str">
        <f t="shared" si="25"/>
        <v/>
      </c>
      <c r="DN17" s="37"/>
      <c r="DO17" s="33"/>
      <c r="DP17" s="34"/>
      <c r="DQ17" s="35" t="str">
        <f t="shared" si="26"/>
        <v/>
      </c>
      <c r="DR17" s="36" t="str">
        <f t="shared" si="27"/>
        <v/>
      </c>
      <c r="DS17" s="37"/>
      <c r="DT17" s="33"/>
      <c r="DU17" s="34"/>
      <c r="DV17" s="35" t="str">
        <f t="shared" si="28"/>
        <v/>
      </c>
      <c r="DW17" s="36" t="str">
        <f t="shared" si="29"/>
        <v/>
      </c>
      <c r="DX17" s="37"/>
      <c r="DY17" s="33"/>
      <c r="DZ17" s="34"/>
      <c r="EA17" s="35" t="str">
        <f t="shared" si="30"/>
        <v/>
      </c>
      <c r="EB17" s="36" t="str">
        <f t="shared" si="31"/>
        <v/>
      </c>
      <c r="EC17" s="37"/>
      <c r="ED17" s="33"/>
      <c r="EE17" s="34"/>
      <c r="EF17" s="35" t="str">
        <f t="shared" si="32"/>
        <v/>
      </c>
      <c r="EG17" s="36" t="str">
        <f t="shared" si="33"/>
        <v/>
      </c>
      <c r="EH17" s="37"/>
      <c r="EI17" s="33"/>
      <c r="EJ17" s="34"/>
      <c r="EK17" s="35" t="str">
        <f t="shared" si="34"/>
        <v/>
      </c>
      <c r="EL17" s="36" t="str">
        <f t="shared" si="35"/>
        <v/>
      </c>
      <c r="EM17" s="37"/>
      <c r="EN17" s="33"/>
      <c r="EO17" s="34"/>
      <c r="EP17" s="35" t="str">
        <f t="shared" si="36"/>
        <v/>
      </c>
      <c r="EQ17" s="36" t="str">
        <f t="shared" si="37"/>
        <v/>
      </c>
      <c r="ER17" s="37"/>
      <c r="ES17" s="33"/>
      <c r="ET17" s="34"/>
      <c r="EU17" s="35" t="str">
        <f t="shared" si="38"/>
        <v/>
      </c>
      <c r="EV17" s="36" t="str">
        <f t="shared" si="39"/>
        <v/>
      </c>
      <c r="EW17" s="37"/>
    </row>
    <row r="18" spans="1:153" ht="19.5" customHeight="1">
      <c r="A18" s="32">
        <f>IF(DAY(DATE(対象年度,4,15))&lt;&gt;15,"",15)</f>
        <v>15</v>
      </c>
      <c r="B18" s="32" t="str">
        <f>IF(DAY(DATE(対象年度,4,15))&lt;&gt;15,"",CHOOSE(WEEKDAY(DATE(対象年度,4,15),2),"月","火","水","木","金","土","日"))</f>
        <v>水</v>
      </c>
      <c r="C18" s="32" t="str">
        <f>IF(DAY(DATE(対象年度,4,15))&lt;&gt;15,"",IF(ISNUMBER(MATCH(DATE(対象年度,4,15),祝日リスト,0)),"祝",""))</f>
        <v/>
      </c>
      <c r="D18" s="38"/>
      <c r="E18" s="34"/>
      <c r="F18" s="35"/>
      <c r="G18" s="36"/>
      <c r="H18" s="37"/>
      <c r="I18" s="38"/>
      <c r="J18" s="34"/>
      <c r="K18" s="35"/>
      <c r="L18" s="36"/>
      <c r="M18" s="37"/>
      <c r="N18" s="38"/>
      <c r="O18" s="34"/>
      <c r="P18" s="35"/>
      <c r="Q18" s="36"/>
      <c r="R18" s="37"/>
      <c r="S18" s="38"/>
      <c r="T18" s="34"/>
      <c r="U18" s="35"/>
      <c r="V18" s="36"/>
      <c r="W18" s="37"/>
      <c r="X18" s="38"/>
      <c r="Y18" s="34"/>
      <c r="Z18" s="35"/>
      <c r="AA18" s="36"/>
      <c r="AB18" s="37"/>
      <c r="AC18" s="38"/>
      <c r="AD18" s="34"/>
      <c r="AE18" s="35"/>
      <c r="AF18" s="36"/>
      <c r="AG18" s="37"/>
      <c r="AH18" s="38"/>
      <c r="AI18" s="34"/>
      <c r="AJ18" s="35" t="str">
        <f t="shared" si="0"/>
        <v/>
      </c>
      <c r="AK18" s="36" t="str">
        <f t="shared" si="1"/>
        <v/>
      </c>
      <c r="AL18" s="37"/>
      <c r="AM18" s="38"/>
      <c r="AN18" s="34"/>
      <c r="AO18" s="35"/>
      <c r="AP18" s="36"/>
      <c r="AQ18" s="37"/>
      <c r="AR18" s="38"/>
      <c r="AS18" s="34"/>
      <c r="AT18" s="35"/>
      <c r="AU18" s="36"/>
      <c r="AV18" s="37"/>
      <c r="AW18" s="38"/>
      <c r="AX18" s="34"/>
      <c r="AY18" s="35"/>
      <c r="AZ18" s="36"/>
      <c r="BA18" s="37"/>
      <c r="BB18" s="38"/>
      <c r="BC18" s="34"/>
      <c r="BD18" s="35"/>
      <c r="BE18" s="36"/>
      <c r="BF18" s="37"/>
      <c r="BG18" s="33"/>
      <c r="BH18" s="34"/>
      <c r="BI18" s="35" t="str">
        <f t="shared" si="2"/>
        <v/>
      </c>
      <c r="BJ18" s="36" t="str">
        <f t="shared" si="3"/>
        <v/>
      </c>
      <c r="BK18" s="37"/>
      <c r="BL18" s="33"/>
      <c r="BM18" s="34"/>
      <c r="BN18" s="35" t="str">
        <f t="shared" si="4"/>
        <v/>
      </c>
      <c r="BO18" s="36" t="str">
        <f t="shared" si="5"/>
        <v/>
      </c>
      <c r="BP18" s="37"/>
      <c r="BQ18" s="33"/>
      <c r="BR18" s="34"/>
      <c r="BS18" s="35" t="str">
        <f t="shared" si="6"/>
        <v/>
      </c>
      <c r="BT18" s="36" t="str">
        <f t="shared" si="7"/>
        <v/>
      </c>
      <c r="BU18" s="37"/>
      <c r="BV18" s="33"/>
      <c r="BW18" s="34"/>
      <c r="BX18" s="35" t="str">
        <f t="shared" si="8"/>
        <v/>
      </c>
      <c r="BY18" s="36" t="str">
        <f t="shared" si="9"/>
        <v/>
      </c>
      <c r="BZ18" s="37"/>
      <c r="CA18" s="33"/>
      <c r="CB18" s="34"/>
      <c r="CC18" s="35" t="str">
        <f t="shared" si="10"/>
        <v/>
      </c>
      <c r="CD18" s="36" t="str">
        <f t="shared" si="11"/>
        <v/>
      </c>
      <c r="CE18" s="37"/>
      <c r="CF18" s="33"/>
      <c r="CG18" s="34"/>
      <c r="CH18" s="35" t="str">
        <f t="shared" si="12"/>
        <v/>
      </c>
      <c r="CI18" s="36" t="str">
        <f t="shared" si="13"/>
        <v/>
      </c>
      <c r="CJ18" s="37"/>
      <c r="CK18" s="33"/>
      <c r="CL18" s="34"/>
      <c r="CM18" s="35" t="str">
        <f t="shared" si="14"/>
        <v/>
      </c>
      <c r="CN18" s="36" t="str">
        <f t="shared" si="15"/>
        <v/>
      </c>
      <c r="CO18" s="37"/>
      <c r="CP18" s="33"/>
      <c r="CQ18" s="34"/>
      <c r="CR18" s="35" t="str">
        <f t="shared" si="16"/>
        <v/>
      </c>
      <c r="CS18" s="36" t="str">
        <f t="shared" si="17"/>
        <v/>
      </c>
      <c r="CT18" s="37"/>
      <c r="CU18" s="33"/>
      <c r="CV18" s="34"/>
      <c r="CW18" s="35" t="str">
        <f t="shared" si="18"/>
        <v/>
      </c>
      <c r="CX18" s="36" t="str">
        <f t="shared" si="19"/>
        <v/>
      </c>
      <c r="CY18" s="37"/>
      <c r="CZ18" s="33"/>
      <c r="DA18" s="34"/>
      <c r="DB18" s="35" t="str">
        <f t="shared" si="20"/>
        <v/>
      </c>
      <c r="DC18" s="36" t="str">
        <f t="shared" si="21"/>
        <v/>
      </c>
      <c r="DD18" s="37"/>
      <c r="DE18" s="33"/>
      <c r="DF18" s="34"/>
      <c r="DG18" s="35" t="str">
        <f t="shared" si="22"/>
        <v/>
      </c>
      <c r="DH18" s="36" t="str">
        <f t="shared" si="23"/>
        <v/>
      </c>
      <c r="DI18" s="37"/>
      <c r="DJ18" s="33"/>
      <c r="DK18" s="34"/>
      <c r="DL18" s="35" t="str">
        <f t="shared" si="24"/>
        <v/>
      </c>
      <c r="DM18" s="36" t="str">
        <f t="shared" si="25"/>
        <v/>
      </c>
      <c r="DN18" s="37"/>
      <c r="DO18" s="33"/>
      <c r="DP18" s="34"/>
      <c r="DQ18" s="35" t="str">
        <f t="shared" si="26"/>
        <v/>
      </c>
      <c r="DR18" s="36" t="str">
        <f t="shared" si="27"/>
        <v/>
      </c>
      <c r="DS18" s="37"/>
      <c r="DT18" s="33"/>
      <c r="DU18" s="34"/>
      <c r="DV18" s="35" t="str">
        <f t="shared" si="28"/>
        <v/>
      </c>
      <c r="DW18" s="36" t="str">
        <f t="shared" si="29"/>
        <v/>
      </c>
      <c r="DX18" s="37"/>
      <c r="DY18" s="33"/>
      <c r="DZ18" s="34"/>
      <c r="EA18" s="35" t="str">
        <f t="shared" si="30"/>
        <v/>
      </c>
      <c r="EB18" s="36" t="str">
        <f t="shared" si="31"/>
        <v/>
      </c>
      <c r="EC18" s="37"/>
      <c r="ED18" s="33"/>
      <c r="EE18" s="34"/>
      <c r="EF18" s="35" t="str">
        <f t="shared" si="32"/>
        <v/>
      </c>
      <c r="EG18" s="36" t="str">
        <f t="shared" si="33"/>
        <v/>
      </c>
      <c r="EH18" s="37"/>
      <c r="EI18" s="33"/>
      <c r="EJ18" s="34"/>
      <c r="EK18" s="35" t="str">
        <f t="shared" si="34"/>
        <v/>
      </c>
      <c r="EL18" s="36" t="str">
        <f t="shared" si="35"/>
        <v/>
      </c>
      <c r="EM18" s="37"/>
      <c r="EN18" s="33"/>
      <c r="EO18" s="34"/>
      <c r="EP18" s="35" t="str">
        <f t="shared" si="36"/>
        <v/>
      </c>
      <c r="EQ18" s="36" t="str">
        <f t="shared" si="37"/>
        <v/>
      </c>
      <c r="ER18" s="37"/>
      <c r="ES18" s="33"/>
      <c r="ET18" s="34"/>
      <c r="EU18" s="35" t="str">
        <f t="shared" si="38"/>
        <v/>
      </c>
      <c r="EV18" s="36" t="str">
        <f t="shared" si="39"/>
        <v/>
      </c>
      <c r="EW18" s="37"/>
    </row>
    <row r="19" spans="1:153" ht="19.5" customHeight="1">
      <c r="A19" s="32">
        <f>IF(DAY(DATE(対象年度,4,16))&lt;&gt;16,"",16)</f>
        <v>16</v>
      </c>
      <c r="B19" s="32" t="str">
        <f>IF(DAY(DATE(対象年度,4,16))&lt;&gt;16,"",CHOOSE(WEEKDAY(DATE(対象年度,4,16),2),"月","火","水","木","金","土","日"))</f>
        <v>木</v>
      </c>
      <c r="C19" s="32" t="str">
        <f>IF(DAY(DATE(対象年度,4,16))&lt;&gt;16,"",IF(ISNUMBER(MATCH(DATE(対象年度,4,16),祝日リスト,0)),"祝",""))</f>
        <v/>
      </c>
      <c r="D19" s="38"/>
      <c r="E19" s="34"/>
      <c r="F19" s="35"/>
      <c r="G19" s="36"/>
      <c r="H19" s="37"/>
      <c r="I19" s="38"/>
      <c r="J19" s="34"/>
      <c r="K19" s="35"/>
      <c r="L19" s="36"/>
      <c r="M19" s="37"/>
      <c r="N19" s="38"/>
      <c r="O19" s="34"/>
      <c r="P19" s="35"/>
      <c r="Q19" s="36"/>
      <c r="R19" s="37"/>
      <c r="S19" s="38"/>
      <c r="T19" s="34"/>
      <c r="U19" s="35"/>
      <c r="V19" s="36"/>
      <c r="W19" s="37"/>
      <c r="X19" s="38"/>
      <c r="Y19" s="34"/>
      <c r="Z19" s="35"/>
      <c r="AA19" s="36"/>
      <c r="AB19" s="37"/>
      <c r="AC19" s="33"/>
      <c r="AD19" s="34"/>
      <c r="AE19" s="35"/>
      <c r="AF19" s="36"/>
      <c r="AG19" s="37"/>
      <c r="AH19" s="38"/>
      <c r="AI19" s="34"/>
      <c r="AJ19" s="35" t="str">
        <f t="shared" si="0"/>
        <v/>
      </c>
      <c r="AK19" s="36" t="str">
        <f t="shared" si="1"/>
        <v/>
      </c>
      <c r="AL19" s="37"/>
      <c r="AM19" s="38"/>
      <c r="AN19" s="34"/>
      <c r="AO19" s="35"/>
      <c r="AP19" s="36"/>
      <c r="AQ19" s="37"/>
      <c r="AR19" s="38"/>
      <c r="AS19" s="34"/>
      <c r="AT19" s="35"/>
      <c r="AU19" s="36"/>
      <c r="AV19" s="37"/>
      <c r="AW19" s="38"/>
      <c r="AX19" s="34"/>
      <c r="AY19" s="35"/>
      <c r="AZ19" s="36"/>
      <c r="BA19" s="37"/>
      <c r="BB19" s="38"/>
      <c r="BC19" s="34"/>
      <c r="BD19" s="35"/>
      <c r="BE19" s="36"/>
      <c r="BF19" s="37"/>
      <c r="BG19" s="33"/>
      <c r="BH19" s="34"/>
      <c r="BI19" s="35" t="str">
        <f t="shared" si="2"/>
        <v/>
      </c>
      <c r="BJ19" s="36" t="str">
        <f t="shared" si="3"/>
        <v/>
      </c>
      <c r="BK19" s="37"/>
      <c r="BL19" s="33"/>
      <c r="BM19" s="34"/>
      <c r="BN19" s="35" t="str">
        <f t="shared" si="4"/>
        <v/>
      </c>
      <c r="BO19" s="36" t="str">
        <f t="shared" si="5"/>
        <v/>
      </c>
      <c r="BP19" s="37"/>
      <c r="BQ19" s="33"/>
      <c r="BR19" s="34"/>
      <c r="BS19" s="35" t="str">
        <f t="shared" si="6"/>
        <v/>
      </c>
      <c r="BT19" s="36" t="str">
        <f t="shared" si="7"/>
        <v/>
      </c>
      <c r="BU19" s="37"/>
      <c r="BV19" s="33"/>
      <c r="BW19" s="34"/>
      <c r="BX19" s="35" t="str">
        <f t="shared" si="8"/>
        <v/>
      </c>
      <c r="BY19" s="36" t="str">
        <f t="shared" si="9"/>
        <v/>
      </c>
      <c r="BZ19" s="37"/>
      <c r="CA19" s="33"/>
      <c r="CB19" s="34"/>
      <c r="CC19" s="35" t="str">
        <f t="shared" si="10"/>
        <v/>
      </c>
      <c r="CD19" s="36" t="str">
        <f t="shared" si="11"/>
        <v/>
      </c>
      <c r="CE19" s="37"/>
      <c r="CF19" s="33"/>
      <c r="CG19" s="34"/>
      <c r="CH19" s="35" t="str">
        <f t="shared" si="12"/>
        <v/>
      </c>
      <c r="CI19" s="36" t="str">
        <f t="shared" si="13"/>
        <v/>
      </c>
      <c r="CJ19" s="37"/>
      <c r="CK19" s="33"/>
      <c r="CL19" s="34"/>
      <c r="CM19" s="35" t="str">
        <f t="shared" si="14"/>
        <v/>
      </c>
      <c r="CN19" s="36" t="str">
        <f t="shared" si="15"/>
        <v/>
      </c>
      <c r="CO19" s="37"/>
      <c r="CP19" s="33"/>
      <c r="CQ19" s="34"/>
      <c r="CR19" s="35" t="str">
        <f t="shared" si="16"/>
        <v/>
      </c>
      <c r="CS19" s="36" t="str">
        <f t="shared" si="17"/>
        <v/>
      </c>
      <c r="CT19" s="37"/>
      <c r="CU19" s="33"/>
      <c r="CV19" s="34"/>
      <c r="CW19" s="35" t="str">
        <f t="shared" si="18"/>
        <v/>
      </c>
      <c r="CX19" s="36" t="str">
        <f t="shared" si="19"/>
        <v/>
      </c>
      <c r="CY19" s="37"/>
      <c r="CZ19" s="33"/>
      <c r="DA19" s="34"/>
      <c r="DB19" s="35" t="str">
        <f t="shared" si="20"/>
        <v/>
      </c>
      <c r="DC19" s="36" t="str">
        <f t="shared" si="21"/>
        <v/>
      </c>
      <c r="DD19" s="37"/>
      <c r="DE19" s="33"/>
      <c r="DF19" s="34"/>
      <c r="DG19" s="35" t="str">
        <f t="shared" si="22"/>
        <v/>
      </c>
      <c r="DH19" s="36" t="str">
        <f t="shared" si="23"/>
        <v/>
      </c>
      <c r="DI19" s="37"/>
      <c r="DJ19" s="33"/>
      <c r="DK19" s="34"/>
      <c r="DL19" s="35" t="str">
        <f t="shared" si="24"/>
        <v/>
      </c>
      <c r="DM19" s="36" t="str">
        <f t="shared" si="25"/>
        <v/>
      </c>
      <c r="DN19" s="37"/>
      <c r="DO19" s="33"/>
      <c r="DP19" s="34"/>
      <c r="DQ19" s="35" t="str">
        <f t="shared" si="26"/>
        <v/>
      </c>
      <c r="DR19" s="36" t="str">
        <f t="shared" si="27"/>
        <v/>
      </c>
      <c r="DS19" s="37"/>
      <c r="DT19" s="33"/>
      <c r="DU19" s="34"/>
      <c r="DV19" s="35" t="str">
        <f t="shared" si="28"/>
        <v/>
      </c>
      <c r="DW19" s="36" t="str">
        <f t="shared" si="29"/>
        <v/>
      </c>
      <c r="DX19" s="37"/>
      <c r="DY19" s="33"/>
      <c r="DZ19" s="34"/>
      <c r="EA19" s="35" t="str">
        <f t="shared" si="30"/>
        <v/>
      </c>
      <c r="EB19" s="36" t="str">
        <f t="shared" si="31"/>
        <v/>
      </c>
      <c r="EC19" s="37"/>
      <c r="ED19" s="33"/>
      <c r="EE19" s="34"/>
      <c r="EF19" s="35" t="str">
        <f t="shared" si="32"/>
        <v/>
      </c>
      <c r="EG19" s="36" t="str">
        <f t="shared" si="33"/>
        <v/>
      </c>
      <c r="EH19" s="37"/>
      <c r="EI19" s="33"/>
      <c r="EJ19" s="34"/>
      <c r="EK19" s="35" t="str">
        <f t="shared" si="34"/>
        <v/>
      </c>
      <c r="EL19" s="36" t="str">
        <f t="shared" si="35"/>
        <v/>
      </c>
      <c r="EM19" s="37"/>
      <c r="EN19" s="33"/>
      <c r="EO19" s="34"/>
      <c r="EP19" s="35" t="str">
        <f t="shared" si="36"/>
        <v/>
      </c>
      <c r="EQ19" s="36" t="str">
        <f t="shared" si="37"/>
        <v/>
      </c>
      <c r="ER19" s="37"/>
      <c r="ES19" s="33"/>
      <c r="ET19" s="34"/>
      <c r="EU19" s="35" t="str">
        <f t="shared" si="38"/>
        <v/>
      </c>
      <c r="EV19" s="36" t="str">
        <f t="shared" si="39"/>
        <v/>
      </c>
      <c r="EW19" s="37"/>
    </row>
    <row r="20" spans="1:153" ht="19.5" customHeight="1">
      <c r="A20" s="32">
        <f>IF(DAY(DATE(対象年度,4,17))&lt;&gt;17,"",17)</f>
        <v>17</v>
      </c>
      <c r="B20" s="32" t="str">
        <f>IF(DAY(DATE(対象年度,4,17))&lt;&gt;17,"",CHOOSE(WEEKDAY(DATE(対象年度,4,17),2),"月","火","水","木","金","土","日"))</f>
        <v>金</v>
      </c>
      <c r="C20" s="32" t="str">
        <f>IF(DAY(DATE(対象年度,4,17))&lt;&gt;17,"",IF(ISNUMBER(MATCH(DATE(対象年度,4,17),祝日リスト,0)),"祝",""))</f>
        <v/>
      </c>
      <c r="D20" s="38"/>
      <c r="E20" s="34"/>
      <c r="F20" s="35"/>
      <c r="G20" s="36"/>
      <c r="H20" s="37"/>
      <c r="I20" s="38"/>
      <c r="J20" s="34"/>
      <c r="K20" s="35"/>
      <c r="L20" s="36"/>
      <c r="M20" s="37"/>
      <c r="N20" s="38"/>
      <c r="O20" s="34"/>
      <c r="P20" s="35"/>
      <c r="Q20" s="36"/>
      <c r="R20" s="37"/>
      <c r="S20" s="38"/>
      <c r="T20" s="34"/>
      <c r="U20" s="35"/>
      <c r="V20" s="36"/>
      <c r="W20" s="37"/>
      <c r="X20" s="38"/>
      <c r="Y20" s="34"/>
      <c r="Z20" s="35"/>
      <c r="AA20" s="36"/>
      <c r="AB20" s="37"/>
      <c r="AC20" s="38"/>
      <c r="AD20" s="34"/>
      <c r="AE20" s="35"/>
      <c r="AF20" s="36"/>
      <c r="AG20" s="37"/>
      <c r="AH20" s="38"/>
      <c r="AI20" s="34"/>
      <c r="AJ20" s="35" t="str">
        <f t="shared" si="0"/>
        <v/>
      </c>
      <c r="AK20" s="36" t="str">
        <f t="shared" si="1"/>
        <v/>
      </c>
      <c r="AL20" s="37"/>
      <c r="AM20" s="38"/>
      <c r="AN20" s="34"/>
      <c r="AO20" s="35"/>
      <c r="AP20" s="36"/>
      <c r="AQ20" s="37"/>
      <c r="AR20" s="38"/>
      <c r="AS20" s="34"/>
      <c r="AT20" s="35"/>
      <c r="AU20" s="36"/>
      <c r="AV20" s="37"/>
      <c r="AW20" s="38"/>
      <c r="AX20" s="34"/>
      <c r="AY20" s="35"/>
      <c r="AZ20" s="36"/>
      <c r="BA20" s="37"/>
      <c r="BB20" s="38"/>
      <c r="BC20" s="34"/>
      <c r="BD20" s="35"/>
      <c r="BE20" s="36"/>
      <c r="BF20" s="37"/>
      <c r="BG20" s="33"/>
      <c r="BH20" s="34"/>
      <c r="BI20" s="35" t="str">
        <f t="shared" si="2"/>
        <v/>
      </c>
      <c r="BJ20" s="36" t="str">
        <f t="shared" si="3"/>
        <v/>
      </c>
      <c r="BK20" s="37"/>
      <c r="BL20" s="33"/>
      <c r="BM20" s="34"/>
      <c r="BN20" s="35" t="str">
        <f t="shared" si="4"/>
        <v/>
      </c>
      <c r="BO20" s="36" t="str">
        <f t="shared" si="5"/>
        <v/>
      </c>
      <c r="BP20" s="37"/>
      <c r="BQ20" s="33"/>
      <c r="BR20" s="34"/>
      <c r="BS20" s="35" t="str">
        <f t="shared" si="6"/>
        <v/>
      </c>
      <c r="BT20" s="36" t="str">
        <f t="shared" si="7"/>
        <v/>
      </c>
      <c r="BU20" s="37"/>
      <c r="BV20" s="33"/>
      <c r="BW20" s="34"/>
      <c r="BX20" s="35" t="str">
        <f t="shared" si="8"/>
        <v/>
      </c>
      <c r="BY20" s="36" t="str">
        <f t="shared" si="9"/>
        <v/>
      </c>
      <c r="BZ20" s="37"/>
      <c r="CA20" s="33"/>
      <c r="CB20" s="34"/>
      <c r="CC20" s="35" t="str">
        <f t="shared" si="10"/>
        <v/>
      </c>
      <c r="CD20" s="36" t="str">
        <f t="shared" si="11"/>
        <v/>
      </c>
      <c r="CE20" s="37"/>
      <c r="CF20" s="33"/>
      <c r="CG20" s="34"/>
      <c r="CH20" s="35" t="str">
        <f t="shared" si="12"/>
        <v/>
      </c>
      <c r="CI20" s="36" t="str">
        <f t="shared" si="13"/>
        <v/>
      </c>
      <c r="CJ20" s="37"/>
      <c r="CK20" s="33"/>
      <c r="CL20" s="34"/>
      <c r="CM20" s="35" t="str">
        <f t="shared" si="14"/>
        <v/>
      </c>
      <c r="CN20" s="36" t="str">
        <f t="shared" si="15"/>
        <v/>
      </c>
      <c r="CO20" s="37"/>
      <c r="CP20" s="33"/>
      <c r="CQ20" s="34"/>
      <c r="CR20" s="35" t="str">
        <f t="shared" si="16"/>
        <v/>
      </c>
      <c r="CS20" s="36" t="str">
        <f t="shared" si="17"/>
        <v/>
      </c>
      <c r="CT20" s="37"/>
      <c r="CU20" s="33"/>
      <c r="CV20" s="34"/>
      <c r="CW20" s="35" t="str">
        <f t="shared" si="18"/>
        <v/>
      </c>
      <c r="CX20" s="36" t="str">
        <f t="shared" si="19"/>
        <v/>
      </c>
      <c r="CY20" s="37"/>
      <c r="CZ20" s="33"/>
      <c r="DA20" s="34"/>
      <c r="DB20" s="35" t="str">
        <f t="shared" si="20"/>
        <v/>
      </c>
      <c r="DC20" s="36" t="str">
        <f t="shared" si="21"/>
        <v/>
      </c>
      <c r="DD20" s="37"/>
      <c r="DE20" s="33"/>
      <c r="DF20" s="34"/>
      <c r="DG20" s="35" t="str">
        <f t="shared" si="22"/>
        <v/>
      </c>
      <c r="DH20" s="36" t="str">
        <f t="shared" si="23"/>
        <v/>
      </c>
      <c r="DI20" s="37"/>
      <c r="DJ20" s="33"/>
      <c r="DK20" s="34"/>
      <c r="DL20" s="35" t="str">
        <f t="shared" si="24"/>
        <v/>
      </c>
      <c r="DM20" s="36" t="str">
        <f t="shared" si="25"/>
        <v/>
      </c>
      <c r="DN20" s="37"/>
      <c r="DO20" s="33"/>
      <c r="DP20" s="34"/>
      <c r="DQ20" s="35" t="str">
        <f t="shared" si="26"/>
        <v/>
      </c>
      <c r="DR20" s="36" t="str">
        <f t="shared" si="27"/>
        <v/>
      </c>
      <c r="DS20" s="37"/>
      <c r="DT20" s="33"/>
      <c r="DU20" s="34"/>
      <c r="DV20" s="35" t="str">
        <f t="shared" si="28"/>
        <v/>
      </c>
      <c r="DW20" s="36" t="str">
        <f t="shared" si="29"/>
        <v/>
      </c>
      <c r="DX20" s="37"/>
      <c r="DY20" s="33"/>
      <c r="DZ20" s="34"/>
      <c r="EA20" s="35" t="str">
        <f t="shared" si="30"/>
        <v/>
      </c>
      <c r="EB20" s="36" t="str">
        <f t="shared" si="31"/>
        <v/>
      </c>
      <c r="EC20" s="37"/>
      <c r="ED20" s="33"/>
      <c r="EE20" s="34"/>
      <c r="EF20" s="35" t="str">
        <f t="shared" si="32"/>
        <v/>
      </c>
      <c r="EG20" s="36" t="str">
        <f t="shared" si="33"/>
        <v/>
      </c>
      <c r="EH20" s="37"/>
      <c r="EI20" s="33"/>
      <c r="EJ20" s="34"/>
      <c r="EK20" s="35" t="str">
        <f t="shared" si="34"/>
        <v/>
      </c>
      <c r="EL20" s="36" t="str">
        <f t="shared" si="35"/>
        <v/>
      </c>
      <c r="EM20" s="37"/>
      <c r="EN20" s="33"/>
      <c r="EO20" s="34"/>
      <c r="EP20" s="35" t="str">
        <f t="shared" si="36"/>
        <v/>
      </c>
      <c r="EQ20" s="36" t="str">
        <f t="shared" si="37"/>
        <v/>
      </c>
      <c r="ER20" s="37"/>
      <c r="ES20" s="33"/>
      <c r="ET20" s="34"/>
      <c r="EU20" s="35" t="str">
        <f t="shared" si="38"/>
        <v/>
      </c>
      <c r="EV20" s="36" t="str">
        <f t="shared" si="39"/>
        <v/>
      </c>
      <c r="EW20" s="37"/>
    </row>
    <row r="21" spans="1:153" ht="19.5" customHeight="1">
      <c r="A21" s="32">
        <f>IF(DAY(DATE(対象年度,4,18))&lt;&gt;18,"",18)</f>
        <v>18</v>
      </c>
      <c r="B21" s="32" t="str">
        <f>IF(DAY(DATE(対象年度,4,18))&lt;&gt;18,"",CHOOSE(WEEKDAY(DATE(対象年度,4,18),2),"月","火","水","木","金","土","日"))</f>
        <v>土</v>
      </c>
      <c r="C21" s="32" t="str">
        <f>IF(DAY(DATE(対象年度,4,18))&lt;&gt;18,"",IF(ISNUMBER(MATCH(DATE(対象年度,4,18),祝日リスト,0)),"祝",""))</f>
        <v/>
      </c>
      <c r="D21" s="33"/>
      <c r="E21" s="34"/>
      <c r="F21" s="35"/>
      <c r="G21" s="36"/>
      <c r="H21" s="37"/>
      <c r="I21" s="38"/>
      <c r="J21" s="34"/>
      <c r="K21" s="35"/>
      <c r="L21" s="36"/>
      <c r="M21" s="37"/>
      <c r="N21" s="38"/>
      <c r="O21" s="34"/>
      <c r="P21" s="35"/>
      <c r="Q21" s="36"/>
      <c r="R21" s="37"/>
      <c r="S21" s="38"/>
      <c r="T21" s="34"/>
      <c r="U21" s="35"/>
      <c r="V21" s="36"/>
      <c r="W21" s="37"/>
      <c r="X21" s="38"/>
      <c r="Y21" s="34"/>
      <c r="Z21" s="35"/>
      <c r="AA21" s="36"/>
      <c r="AB21" s="37"/>
      <c r="AC21" s="38"/>
      <c r="AD21" s="34"/>
      <c r="AE21" s="35"/>
      <c r="AF21" s="36"/>
      <c r="AG21" s="37"/>
      <c r="AH21" s="33"/>
      <c r="AI21" s="34"/>
      <c r="AJ21" s="35" t="str">
        <f t="shared" si="0"/>
        <v/>
      </c>
      <c r="AK21" s="36" t="str">
        <f t="shared" si="1"/>
        <v/>
      </c>
      <c r="AL21" s="37"/>
      <c r="AM21" s="38"/>
      <c r="AN21" s="34"/>
      <c r="AO21" s="35"/>
      <c r="AP21" s="36"/>
      <c r="AQ21" s="37"/>
      <c r="AR21" s="38"/>
      <c r="AS21" s="34"/>
      <c r="AT21" s="35"/>
      <c r="AU21" s="36"/>
      <c r="AV21" s="37"/>
      <c r="AW21" s="33"/>
      <c r="AX21" s="34"/>
      <c r="AY21" s="35"/>
      <c r="AZ21" s="36"/>
      <c r="BA21" s="37"/>
      <c r="BB21" s="33"/>
      <c r="BC21" s="34"/>
      <c r="BD21" s="35"/>
      <c r="BE21" s="36"/>
      <c r="BF21" s="37"/>
      <c r="BG21" s="33"/>
      <c r="BH21" s="34"/>
      <c r="BI21" s="35" t="str">
        <f t="shared" si="2"/>
        <v/>
      </c>
      <c r="BJ21" s="36" t="str">
        <f t="shared" si="3"/>
        <v/>
      </c>
      <c r="BK21" s="37"/>
      <c r="BL21" s="33"/>
      <c r="BM21" s="34"/>
      <c r="BN21" s="35" t="str">
        <f t="shared" si="4"/>
        <v/>
      </c>
      <c r="BO21" s="36" t="str">
        <f t="shared" si="5"/>
        <v/>
      </c>
      <c r="BP21" s="37"/>
      <c r="BQ21" s="33"/>
      <c r="BR21" s="34"/>
      <c r="BS21" s="35" t="str">
        <f t="shared" si="6"/>
        <v/>
      </c>
      <c r="BT21" s="36" t="str">
        <f t="shared" si="7"/>
        <v/>
      </c>
      <c r="BU21" s="37"/>
      <c r="BV21" s="33"/>
      <c r="BW21" s="34"/>
      <c r="BX21" s="35" t="str">
        <f t="shared" si="8"/>
        <v/>
      </c>
      <c r="BY21" s="36" t="str">
        <f t="shared" si="9"/>
        <v/>
      </c>
      <c r="BZ21" s="37"/>
      <c r="CA21" s="33"/>
      <c r="CB21" s="34"/>
      <c r="CC21" s="35" t="str">
        <f t="shared" si="10"/>
        <v/>
      </c>
      <c r="CD21" s="36" t="str">
        <f t="shared" si="11"/>
        <v/>
      </c>
      <c r="CE21" s="37"/>
      <c r="CF21" s="33"/>
      <c r="CG21" s="34"/>
      <c r="CH21" s="35" t="str">
        <f t="shared" si="12"/>
        <v/>
      </c>
      <c r="CI21" s="36" t="str">
        <f t="shared" si="13"/>
        <v/>
      </c>
      <c r="CJ21" s="37"/>
      <c r="CK21" s="33"/>
      <c r="CL21" s="34"/>
      <c r="CM21" s="35" t="str">
        <f t="shared" si="14"/>
        <v/>
      </c>
      <c r="CN21" s="36" t="str">
        <f t="shared" si="15"/>
        <v/>
      </c>
      <c r="CO21" s="37"/>
      <c r="CP21" s="33"/>
      <c r="CQ21" s="34"/>
      <c r="CR21" s="35" t="str">
        <f t="shared" si="16"/>
        <v/>
      </c>
      <c r="CS21" s="36" t="str">
        <f t="shared" si="17"/>
        <v/>
      </c>
      <c r="CT21" s="37"/>
      <c r="CU21" s="33"/>
      <c r="CV21" s="34"/>
      <c r="CW21" s="35" t="str">
        <f t="shared" si="18"/>
        <v/>
      </c>
      <c r="CX21" s="36" t="str">
        <f t="shared" si="19"/>
        <v/>
      </c>
      <c r="CY21" s="37"/>
      <c r="CZ21" s="33"/>
      <c r="DA21" s="34"/>
      <c r="DB21" s="35" t="str">
        <f t="shared" si="20"/>
        <v/>
      </c>
      <c r="DC21" s="36" t="str">
        <f t="shared" si="21"/>
        <v/>
      </c>
      <c r="DD21" s="37"/>
      <c r="DE21" s="33"/>
      <c r="DF21" s="34"/>
      <c r="DG21" s="35" t="str">
        <f t="shared" si="22"/>
        <v/>
      </c>
      <c r="DH21" s="36" t="str">
        <f t="shared" si="23"/>
        <v/>
      </c>
      <c r="DI21" s="37"/>
      <c r="DJ21" s="33"/>
      <c r="DK21" s="34"/>
      <c r="DL21" s="35" t="str">
        <f t="shared" si="24"/>
        <v/>
      </c>
      <c r="DM21" s="36" t="str">
        <f t="shared" si="25"/>
        <v/>
      </c>
      <c r="DN21" s="37"/>
      <c r="DO21" s="33"/>
      <c r="DP21" s="34"/>
      <c r="DQ21" s="35" t="str">
        <f t="shared" si="26"/>
        <v/>
      </c>
      <c r="DR21" s="36" t="str">
        <f t="shared" si="27"/>
        <v/>
      </c>
      <c r="DS21" s="37"/>
      <c r="DT21" s="33"/>
      <c r="DU21" s="34"/>
      <c r="DV21" s="35" t="str">
        <f t="shared" si="28"/>
        <v/>
      </c>
      <c r="DW21" s="36" t="str">
        <f t="shared" si="29"/>
        <v/>
      </c>
      <c r="DX21" s="37"/>
      <c r="DY21" s="33"/>
      <c r="DZ21" s="34"/>
      <c r="EA21" s="35" t="str">
        <f t="shared" si="30"/>
        <v/>
      </c>
      <c r="EB21" s="36" t="str">
        <f t="shared" si="31"/>
        <v/>
      </c>
      <c r="EC21" s="37"/>
      <c r="ED21" s="33"/>
      <c r="EE21" s="34"/>
      <c r="EF21" s="35" t="str">
        <f t="shared" si="32"/>
        <v/>
      </c>
      <c r="EG21" s="36" t="str">
        <f t="shared" si="33"/>
        <v/>
      </c>
      <c r="EH21" s="37"/>
      <c r="EI21" s="33"/>
      <c r="EJ21" s="34"/>
      <c r="EK21" s="35" t="str">
        <f t="shared" si="34"/>
        <v/>
      </c>
      <c r="EL21" s="36" t="str">
        <f t="shared" si="35"/>
        <v/>
      </c>
      <c r="EM21" s="37"/>
      <c r="EN21" s="33"/>
      <c r="EO21" s="34"/>
      <c r="EP21" s="35" t="str">
        <f t="shared" si="36"/>
        <v/>
      </c>
      <c r="EQ21" s="36" t="str">
        <f t="shared" si="37"/>
        <v/>
      </c>
      <c r="ER21" s="37"/>
      <c r="ES21" s="33"/>
      <c r="ET21" s="34"/>
      <c r="EU21" s="35" t="str">
        <f t="shared" si="38"/>
        <v/>
      </c>
      <c r="EV21" s="36" t="str">
        <f t="shared" si="39"/>
        <v/>
      </c>
      <c r="EW21" s="37"/>
    </row>
    <row r="22" spans="1:153" ht="19.5" customHeight="1">
      <c r="A22" s="32">
        <f>IF(DAY(DATE(対象年度,4,19))&lt;&gt;19,"",19)</f>
        <v>19</v>
      </c>
      <c r="B22" s="32" t="str">
        <f>IF(DAY(DATE(対象年度,4,19))&lt;&gt;19,"",CHOOSE(WEEKDAY(DATE(対象年度,4,19),2),"月","火","水","木","金","土","日"))</f>
        <v>日</v>
      </c>
      <c r="C22" s="32" t="str">
        <f>IF(DAY(DATE(対象年度,4,19))&lt;&gt;19,"",IF(ISNUMBER(MATCH(DATE(対象年度,4,19),祝日リスト,0)),"祝",""))</f>
        <v/>
      </c>
      <c r="D22" s="33"/>
      <c r="E22" s="34"/>
      <c r="F22" s="35"/>
      <c r="G22" s="36"/>
      <c r="H22" s="37"/>
      <c r="I22" s="33"/>
      <c r="J22" s="34"/>
      <c r="K22" s="35"/>
      <c r="L22" s="36"/>
      <c r="M22" s="37"/>
      <c r="N22" s="33"/>
      <c r="O22" s="34"/>
      <c r="P22" s="35"/>
      <c r="Q22" s="36"/>
      <c r="R22" s="37"/>
      <c r="S22" s="33"/>
      <c r="T22" s="34"/>
      <c r="U22" s="35"/>
      <c r="V22" s="36"/>
      <c r="W22" s="37"/>
      <c r="X22" s="33"/>
      <c r="Y22" s="34"/>
      <c r="Z22" s="35"/>
      <c r="AA22" s="36"/>
      <c r="AB22" s="37"/>
      <c r="AC22" s="33"/>
      <c r="AD22" s="34"/>
      <c r="AE22" s="35"/>
      <c r="AF22" s="36"/>
      <c r="AG22" s="37"/>
      <c r="AH22" s="33"/>
      <c r="AI22" s="34"/>
      <c r="AJ22" s="35" t="str">
        <f t="shared" si="0"/>
        <v/>
      </c>
      <c r="AK22" s="36" t="str">
        <f t="shared" si="1"/>
        <v/>
      </c>
      <c r="AL22" s="37"/>
      <c r="AM22" s="33"/>
      <c r="AN22" s="34"/>
      <c r="AO22" s="35"/>
      <c r="AP22" s="36"/>
      <c r="AQ22" s="37"/>
      <c r="AR22" s="33"/>
      <c r="AS22" s="34"/>
      <c r="AT22" s="35"/>
      <c r="AU22" s="36"/>
      <c r="AV22" s="37"/>
      <c r="AW22" s="33"/>
      <c r="AX22" s="34"/>
      <c r="AY22" s="35"/>
      <c r="AZ22" s="36"/>
      <c r="BA22" s="37"/>
      <c r="BB22" s="33"/>
      <c r="BC22" s="34"/>
      <c r="BD22" s="35"/>
      <c r="BE22" s="36"/>
      <c r="BF22" s="37"/>
      <c r="BG22" s="33"/>
      <c r="BH22" s="34"/>
      <c r="BI22" s="35" t="str">
        <f t="shared" si="2"/>
        <v/>
      </c>
      <c r="BJ22" s="36" t="str">
        <f t="shared" si="3"/>
        <v/>
      </c>
      <c r="BK22" s="37"/>
      <c r="BL22" s="33"/>
      <c r="BM22" s="34"/>
      <c r="BN22" s="35" t="str">
        <f t="shared" si="4"/>
        <v/>
      </c>
      <c r="BO22" s="36" t="str">
        <f t="shared" si="5"/>
        <v/>
      </c>
      <c r="BP22" s="37"/>
      <c r="BQ22" s="33"/>
      <c r="BR22" s="34"/>
      <c r="BS22" s="35" t="str">
        <f t="shared" si="6"/>
        <v/>
      </c>
      <c r="BT22" s="36" t="str">
        <f t="shared" si="7"/>
        <v/>
      </c>
      <c r="BU22" s="37"/>
      <c r="BV22" s="33"/>
      <c r="BW22" s="34"/>
      <c r="BX22" s="35" t="str">
        <f t="shared" si="8"/>
        <v/>
      </c>
      <c r="BY22" s="36" t="str">
        <f t="shared" si="9"/>
        <v/>
      </c>
      <c r="BZ22" s="37"/>
      <c r="CA22" s="33"/>
      <c r="CB22" s="34"/>
      <c r="CC22" s="35" t="str">
        <f t="shared" si="10"/>
        <v/>
      </c>
      <c r="CD22" s="36" t="str">
        <f t="shared" si="11"/>
        <v/>
      </c>
      <c r="CE22" s="37"/>
      <c r="CF22" s="33"/>
      <c r="CG22" s="34"/>
      <c r="CH22" s="35" t="str">
        <f t="shared" si="12"/>
        <v/>
      </c>
      <c r="CI22" s="36" t="str">
        <f t="shared" si="13"/>
        <v/>
      </c>
      <c r="CJ22" s="37"/>
      <c r="CK22" s="33"/>
      <c r="CL22" s="34"/>
      <c r="CM22" s="35" t="str">
        <f t="shared" si="14"/>
        <v/>
      </c>
      <c r="CN22" s="36" t="str">
        <f t="shared" si="15"/>
        <v/>
      </c>
      <c r="CO22" s="37"/>
      <c r="CP22" s="33"/>
      <c r="CQ22" s="34"/>
      <c r="CR22" s="35" t="str">
        <f t="shared" si="16"/>
        <v/>
      </c>
      <c r="CS22" s="36" t="str">
        <f t="shared" si="17"/>
        <v/>
      </c>
      <c r="CT22" s="37"/>
      <c r="CU22" s="33"/>
      <c r="CV22" s="34"/>
      <c r="CW22" s="35" t="str">
        <f t="shared" si="18"/>
        <v/>
      </c>
      <c r="CX22" s="36" t="str">
        <f t="shared" si="19"/>
        <v/>
      </c>
      <c r="CY22" s="37"/>
      <c r="CZ22" s="33"/>
      <c r="DA22" s="34"/>
      <c r="DB22" s="35" t="str">
        <f t="shared" si="20"/>
        <v/>
      </c>
      <c r="DC22" s="36" t="str">
        <f t="shared" si="21"/>
        <v/>
      </c>
      <c r="DD22" s="37"/>
      <c r="DE22" s="33"/>
      <c r="DF22" s="34"/>
      <c r="DG22" s="35" t="str">
        <f t="shared" si="22"/>
        <v/>
      </c>
      <c r="DH22" s="36" t="str">
        <f t="shared" si="23"/>
        <v/>
      </c>
      <c r="DI22" s="37"/>
      <c r="DJ22" s="33"/>
      <c r="DK22" s="34"/>
      <c r="DL22" s="35" t="str">
        <f t="shared" si="24"/>
        <v/>
      </c>
      <c r="DM22" s="36" t="str">
        <f t="shared" si="25"/>
        <v/>
      </c>
      <c r="DN22" s="37"/>
      <c r="DO22" s="33"/>
      <c r="DP22" s="34"/>
      <c r="DQ22" s="35" t="str">
        <f t="shared" si="26"/>
        <v/>
      </c>
      <c r="DR22" s="36" t="str">
        <f t="shared" si="27"/>
        <v/>
      </c>
      <c r="DS22" s="37"/>
      <c r="DT22" s="33"/>
      <c r="DU22" s="34"/>
      <c r="DV22" s="35" t="str">
        <f t="shared" si="28"/>
        <v/>
      </c>
      <c r="DW22" s="36" t="str">
        <f t="shared" si="29"/>
        <v/>
      </c>
      <c r="DX22" s="37"/>
      <c r="DY22" s="33"/>
      <c r="DZ22" s="34"/>
      <c r="EA22" s="35" t="str">
        <f t="shared" si="30"/>
        <v/>
      </c>
      <c r="EB22" s="36" t="str">
        <f t="shared" si="31"/>
        <v/>
      </c>
      <c r="EC22" s="37"/>
      <c r="ED22" s="33"/>
      <c r="EE22" s="34"/>
      <c r="EF22" s="35" t="str">
        <f t="shared" si="32"/>
        <v/>
      </c>
      <c r="EG22" s="36" t="str">
        <f t="shared" si="33"/>
        <v/>
      </c>
      <c r="EH22" s="37"/>
      <c r="EI22" s="33"/>
      <c r="EJ22" s="34"/>
      <c r="EK22" s="35" t="str">
        <f t="shared" si="34"/>
        <v/>
      </c>
      <c r="EL22" s="36" t="str">
        <f t="shared" si="35"/>
        <v/>
      </c>
      <c r="EM22" s="37"/>
      <c r="EN22" s="33"/>
      <c r="EO22" s="34"/>
      <c r="EP22" s="35" t="str">
        <f t="shared" si="36"/>
        <v/>
      </c>
      <c r="EQ22" s="36" t="str">
        <f t="shared" si="37"/>
        <v/>
      </c>
      <c r="ER22" s="37"/>
      <c r="ES22" s="33"/>
      <c r="ET22" s="34"/>
      <c r="EU22" s="35" t="str">
        <f t="shared" si="38"/>
        <v/>
      </c>
      <c r="EV22" s="36" t="str">
        <f t="shared" si="39"/>
        <v/>
      </c>
      <c r="EW22" s="37"/>
    </row>
    <row r="23" spans="1:153" ht="19.5" customHeight="1">
      <c r="A23" s="32">
        <f>IF(DAY(DATE(対象年度,4,20))&lt;&gt;20,"",20)</f>
        <v>20</v>
      </c>
      <c r="B23" s="32" t="str">
        <f>IF(DAY(DATE(対象年度,4,20))&lt;&gt;20,"",CHOOSE(WEEKDAY(DATE(対象年度,4,20),2),"月","火","水","木","金","土","日"))</f>
        <v>月</v>
      </c>
      <c r="C23" s="32" t="str">
        <f>IF(DAY(DATE(対象年度,4,20))&lt;&gt;20,"",IF(ISNUMBER(MATCH(DATE(対象年度,4,20),祝日リスト,0)),"祝",""))</f>
        <v/>
      </c>
      <c r="D23" s="38"/>
      <c r="E23" s="34"/>
      <c r="F23" s="35"/>
      <c r="G23" s="36"/>
      <c r="H23" s="37"/>
      <c r="I23" s="38"/>
      <c r="J23" s="34"/>
      <c r="K23" s="35"/>
      <c r="L23" s="36"/>
      <c r="M23" s="37"/>
      <c r="N23" s="38"/>
      <c r="O23" s="34"/>
      <c r="P23" s="35"/>
      <c r="Q23" s="36"/>
      <c r="R23" s="37"/>
      <c r="S23" s="38"/>
      <c r="T23" s="34"/>
      <c r="U23" s="35"/>
      <c r="V23" s="36"/>
      <c r="W23" s="37"/>
      <c r="X23" s="38"/>
      <c r="Y23" s="34"/>
      <c r="Z23" s="35"/>
      <c r="AA23" s="36"/>
      <c r="AB23" s="37"/>
      <c r="AC23" s="38"/>
      <c r="AD23" s="34"/>
      <c r="AE23" s="35"/>
      <c r="AF23" s="36"/>
      <c r="AG23" s="37"/>
      <c r="AH23" s="38"/>
      <c r="AI23" s="34"/>
      <c r="AJ23" s="35" t="str">
        <f t="shared" si="0"/>
        <v/>
      </c>
      <c r="AK23" s="36" t="str">
        <f t="shared" si="1"/>
        <v/>
      </c>
      <c r="AL23" s="37"/>
      <c r="AM23" s="38"/>
      <c r="AN23" s="34"/>
      <c r="AO23" s="35"/>
      <c r="AP23" s="36"/>
      <c r="AQ23" s="37"/>
      <c r="AR23" s="38"/>
      <c r="AS23" s="34"/>
      <c r="AT23" s="35"/>
      <c r="AU23" s="36"/>
      <c r="AV23" s="37"/>
      <c r="AW23" s="38"/>
      <c r="AX23" s="34"/>
      <c r="AY23" s="35"/>
      <c r="AZ23" s="36"/>
      <c r="BA23" s="37"/>
      <c r="BB23" s="38"/>
      <c r="BC23" s="34"/>
      <c r="BD23" s="35"/>
      <c r="BE23" s="36"/>
      <c r="BF23" s="37"/>
      <c r="BG23" s="33"/>
      <c r="BH23" s="34"/>
      <c r="BI23" s="35" t="str">
        <f t="shared" si="2"/>
        <v/>
      </c>
      <c r="BJ23" s="36" t="str">
        <f t="shared" si="3"/>
        <v/>
      </c>
      <c r="BK23" s="37"/>
      <c r="BL23" s="33"/>
      <c r="BM23" s="34"/>
      <c r="BN23" s="35" t="str">
        <f t="shared" si="4"/>
        <v/>
      </c>
      <c r="BO23" s="36" t="str">
        <f t="shared" si="5"/>
        <v/>
      </c>
      <c r="BP23" s="37"/>
      <c r="BQ23" s="33"/>
      <c r="BR23" s="34"/>
      <c r="BS23" s="35" t="str">
        <f t="shared" si="6"/>
        <v/>
      </c>
      <c r="BT23" s="36" t="str">
        <f t="shared" si="7"/>
        <v/>
      </c>
      <c r="BU23" s="37"/>
      <c r="BV23" s="33"/>
      <c r="BW23" s="34"/>
      <c r="BX23" s="35" t="str">
        <f t="shared" si="8"/>
        <v/>
      </c>
      <c r="BY23" s="36" t="str">
        <f t="shared" si="9"/>
        <v/>
      </c>
      <c r="BZ23" s="37"/>
      <c r="CA23" s="33"/>
      <c r="CB23" s="34"/>
      <c r="CC23" s="35" t="str">
        <f t="shared" si="10"/>
        <v/>
      </c>
      <c r="CD23" s="36" t="str">
        <f t="shared" si="11"/>
        <v/>
      </c>
      <c r="CE23" s="37"/>
      <c r="CF23" s="33"/>
      <c r="CG23" s="34"/>
      <c r="CH23" s="35" t="str">
        <f t="shared" si="12"/>
        <v/>
      </c>
      <c r="CI23" s="36" t="str">
        <f t="shared" si="13"/>
        <v/>
      </c>
      <c r="CJ23" s="37"/>
      <c r="CK23" s="33"/>
      <c r="CL23" s="34"/>
      <c r="CM23" s="35" t="str">
        <f t="shared" si="14"/>
        <v/>
      </c>
      <c r="CN23" s="36" t="str">
        <f t="shared" si="15"/>
        <v/>
      </c>
      <c r="CO23" s="37"/>
      <c r="CP23" s="33"/>
      <c r="CQ23" s="34"/>
      <c r="CR23" s="35" t="str">
        <f t="shared" si="16"/>
        <v/>
      </c>
      <c r="CS23" s="36" t="str">
        <f t="shared" si="17"/>
        <v/>
      </c>
      <c r="CT23" s="37"/>
      <c r="CU23" s="33"/>
      <c r="CV23" s="34"/>
      <c r="CW23" s="35" t="str">
        <f t="shared" si="18"/>
        <v/>
      </c>
      <c r="CX23" s="36" t="str">
        <f t="shared" si="19"/>
        <v/>
      </c>
      <c r="CY23" s="37"/>
      <c r="CZ23" s="33"/>
      <c r="DA23" s="34"/>
      <c r="DB23" s="35" t="str">
        <f t="shared" si="20"/>
        <v/>
      </c>
      <c r="DC23" s="36" t="str">
        <f t="shared" si="21"/>
        <v/>
      </c>
      <c r="DD23" s="37"/>
      <c r="DE23" s="33"/>
      <c r="DF23" s="34"/>
      <c r="DG23" s="35" t="str">
        <f t="shared" si="22"/>
        <v/>
      </c>
      <c r="DH23" s="36" t="str">
        <f t="shared" si="23"/>
        <v/>
      </c>
      <c r="DI23" s="37"/>
      <c r="DJ23" s="33"/>
      <c r="DK23" s="34"/>
      <c r="DL23" s="35" t="str">
        <f t="shared" si="24"/>
        <v/>
      </c>
      <c r="DM23" s="36" t="str">
        <f t="shared" si="25"/>
        <v/>
      </c>
      <c r="DN23" s="37"/>
      <c r="DO23" s="33"/>
      <c r="DP23" s="34"/>
      <c r="DQ23" s="35" t="str">
        <f t="shared" si="26"/>
        <v/>
      </c>
      <c r="DR23" s="36" t="str">
        <f t="shared" si="27"/>
        <v/>
      </c>
      <c r="DS23" s="37"/>
      <c r="DT23" s="33"/>
      <c r="DU23" s="34"/>
      <c r="DV23" s="35" t="str">
        <f t="shared" si="28"/>
        <v/>
      </c>
      <c r="DW23" s="36" t="str">
        <f t="shared" si="29"/>
        <v/>
      </c>
      <c r="DX23" s="37"/>
      <c r="DY23" s="33"/>
      <c r="DZ23" s="34"/>
      <c r="EA23" s="35" t="str">
        <f t="shared" si="30"/>
        <v/>
      </c>
      <c r="EB23" s="36" t="str">
        <f t="shared" si="31"/>
        <v/>
      </c>
      <c r="EC23" s="37"/>
      <c r="ED23" s="33"/>
      <c r="EE23" s="34"/>
      <c r="EF23" s="35" t="str">
        <f t="shared" si="32"/>
        <v/>
      </c>
      <c r="EG23" s="36" t="str">
        <f t="shared" si="33"/>
        <v/>
      </c>
      <c r="EH23" s="37"/>
      <c r="EI23" s="33"/>
      <c r="EJ23" s="34"/>
      <c r="EK23" s="35" t="str">
        <f t="shared" si="34"/>
        <v/>
      </c>
      <c r="EL23" s="36" t="str">
        <f t="shared" si="35"/>
        <v/>
      </c>
      <c r="EM23" s="37"/>
      <c r="EN23" s="33"/>
      <c r="EO23" s="34"/>
      <c r="EP23" s="35" t="str">
        <f t="shared" si="36"/>
        <v/>
      </c>
      <c r="EQ23" s="36" t="str">
        <f t="shared" si="37"/>
        <v/>
      </c>
      <c r="ER23" s="37"/>
      <c r="ES23" s="33"/>
      <c r="ET23" s="34"/>
      <c r="EU23" s="35" t="str">
        <f t="shared" si="38"/>
        <v/>
      </c>
      <c r="EV23" s="36" t="str">
        <f t="shared" si="39"/>
        <v/>
      </c>
      <c r="EW23" s="37"/>
    </row>
    <row r="24" spans="1:153" ht="19.5" customHeight="1">
      <c r="A24" s="32">
        <f>IF(DAY(DATE(対象年度,4,21))&lt;&gt;21,"",21)</f>
        <v>21</v>
      </c>
      <c r="B24" s="32" t="str">
        <f>IF(DAY(DATE(対象年度,4,21))&lt;&gt;21,"",CHOOSE(WEEKDAY(DATE(対象年度,4,21),2),"月","火","水","木","金","土","日"))</f>
        <v>火</v>
      </c>
      <c r="C24" s="32" t="str">
        <f>IF(DAY(DATE(対象年度,4,21))&lt;&gt;21,"",IF(ISNUMBER(MATCH(DATE(対象年度,4,21),祝日リスト,0)),"祝",""))</f>
        <v/>
      </c>
      <c r="D24" s="38"/>
      <c r="E24" s="34"/>
      <c r="F24" s="35"/>
      <c r="G24" s="36"/>
      <c r="H24" s="37"/>
      <c r="I24" s="33"/>
      <c r="J24" s="34"/>
      <c r="K24" s="35"/>
      <c r="L24" s="36"/>
      <c r="M24" s="37"/>
      <c r="N24" s="33"/>
      <c r="O24" s="34"/>
      <c r="P24" s="35"/>
      <c r="Q24" s="36"/>
      <c r="R24" s="37"/>
      <c r="S24" s="33"/>
      <c r="T24" s="34"/>
      <c r="U24" s="35"/>
      <c r="V24" s="36"/>
      <c r="W24" s="37"/>
      <c r="X24" s="33"/>
      <c r="Y24" s="34"/>
      <c r="Z24" s="35"/>
      <c r="AA24" s="36"/>
      <c r="AB24" s="37"/>
      <c r="AC24" s="33"/>
      <c r="AD24" s="34"/>
      <c r="AE24" s="35"/>
      <c r="AF24" s="36"/>
      <c r="AG24" s="37"/>
      <c r="AH24" s="33"/>
      <c r="AI24" s="34"/>
      <c r="AJ24" s="35" t="str">
        <f t="shared" si="0"/>
        <v/>
      </c>
      <c r="AK24" s="36" t="str">
        <f t="shared" si="1"/>
        <v/>
      </c>
      <c r="AL24" s="37"/>
      <c r="AM24" s="33"/>
      <c r="AN24" s="34"/>
      <c r="AO24" s="35"/>
      <c r="AP24" s="36"/>
      <c r="AQ24" s="37"/>
      <c r="AR24" s="33"/>
      <c r="AS24" s="34"/>
      <c r="AT24" s="35"/>
      <c r="AU24" s="36"/>
      <c r="AV24" s="37"/>
      <c r="AW24" s="33"/>
      <c r="AX24" s="34"/>
      <c r="AY24" s="35"/>
      <c r="AZ24" s="36"/>
      <c r="BA24" s="37"/>
      <c r="BB24" s="38"/>
      <c r="BC24" s="34"/>
      <c r="BD24" s="35"/>
      <c r="BE24" s="36"/>
      <c r="BF24" s="37"/>
      <c r="BG24" s="33"/>
      <c r="BH24" s="34"/>
      <c r="BI24" s="35" t="str">
        <f t="shared" si="2"/>
        <v/>
      </c>
      <c r="BJ24" s="36" t="str">
        <f t="shared" si="3"/>
        <v/>
      </c>
      <c r="BK24" s="37"/>
      <c r="BL24" s="33"/>
      <c r="BM24" s="34"/>
      <c r="BN24" s="35" t="str">
        <f t="shared" si="4"/>
        <v/>
      </c>
      <c r="BO24" s="36" t="str">
        <f t="shared" si="5"/>
        <v/>
      </c>
      <c r="BP24" s="37"/>
      <c r="BQ24" s="33"/>
      <c r="BR24" s="34"/>
      <c r="BS24" s="35" t="str">
        <f t="shared" si="6"/>
        <v/>
      </c>
      <c r="BT24" s="36" t="str">
        <f t="shared" si="7"/>
        <v/>
      </c>
      <c r="BU24" s="37"/>
      <c r="BV24" s="33"/>
      <c r="BW24" s="34"/>
      <c r="BX24" s="35" t="str">
        <f t="shared" si="8"/>
        <v/>
      </c>
      <c r="BY24" s="36" t="str">
        <f t="shared" si="9"/>
        <v/>
      </c>
      <c r="BZ24" s="37"/>
      <c r="CA24" s="33"/>
      <c r="CB24" s="34"/>
      <c r="CC24" s="35" t="str">
        <f t="shared" si="10"/>
        <v/>
      </c>
      <c r="CD24" s="36" t="str">
        <f t="shared" si="11"/>
        <v/>
      </c>
      <c r="CE24" s="37"/>
      <c r="CF24" s="33"/>
      <c r="CG24" s="34"/>
      <c r="CH24" s="35" t="str">
        <f t="shared" si="12"/>
        <v/>
      </c>
      <c r="CI24" s="36" t="str">
        <f t="shared" si="13"/>
        <v/>
      </c>
      <c r="CJ24" s="37"/>
      <c r="CK24" s="33"/>
      <c r="CL24" s="34"/>
      <c r="CM24" s="35" t="str">
        <f t="shared" si="14"/>
        <v/>
      </c>
      <c r="CN24" s="36" t="str">
        <f t="shared" si="15"/>
        <v/>
      </c>
      <c r="CO24" s="37"/>
      <c r="CP24" s="33"/>
      <c r="CQ24" s="34"/>
      <c r="CR24" s="35" t="str">
        <f t="shared" si="16"/>
        <v/>
      </c>
      <c r="CS24" s="36" t="str">
        <f t="shared" si="17"/>
        <v/>
      </c>
      <c r="CT24" s="37"/>
      <c r="CU24" s="33"/>
      <c r="CV24" s="34"/>
      <c r="CW24" s="35" t="str">
        <f t="shared" si="18"/>
        <v/>
      </c>
      <c r="CX24" s="36" t="str">
        <f t="shared" si="19"/>
        <v/>
      </c>
      <c r="CY24" s="37"/>
      <c r="CZ24" s="33"/>
      <c r="DA24" s="34"/>
      <c r="DB24" s="35" t="str">
        <f t="shared" si="20"/>
        <v/>
      </c>
      <c r="DC24" s="36" t="str">
        <f t="shared" si="21"/>
        <v/>
      </c>
      <c r="DD24" s="37"/>
      <c r="DE24" s="33"/>
      <c r="DF24" s="34"/>
      <c r="DG24" s="35" t="str">
        <f t="shared" si="22"/>
        <v/>
      </c>
      <c r="DH24" s="36" t="str">
        <f t="shared" si="23"/>
        <v/>
      </c>
      <c r="DI24" s="37"/>
      <c r="DJ24" s="33"/>
      <c r="DK24" s="34"/>
      <c r="DL24" s="35" t="str">
        <f t="shared" si="24"/>
        <v/>
      </c>
      <c r="DM24" s="36" t="str">
        <f t="shared" si="25"/>
        <v/>
      </c>
      <c r="DN24" s="37"/>
      <c r="DO24" s="33"/>
      <c r="DP24" s="34"/>
      <c r="DQ24" s="35" t="str">
        <f t="shared" si="26"/>
        <v/>
      </c>
      <c r="DR24" s="36" t="str">
        <f t="shared" si="27"/>
        <v/>
      </c>
      <c r="DS24" s="37"/>
      <c r="DT24" s="33"/>
      <c r="DU24" s="34"/>
      <c r="DV24" s="35" t="str">
        <f t="shared" si="28"/>
        <v/>
      </c>
      <c r="DW24" s="36" t="str">
        <f t="shared" si="29"/>
        <v/>
      </c>
      <c r="DX24" s="37"/>
      <c r="DY24" s="33"/>
      <c r="DZ24" s="34"/>
      <c r="EA24" s="35" t="str">
        <f t="shared" si="30"/>
        <v/>
      </c>
      <c r="EB24" s="36" t="str">
        <f t="shared" si="31"/>
        <v/>
      </c>
      <c r="EC24" s="37"/>
      <c r="ED24" s="33"/>
      <c r="EE24" s="34"/>
      <c r="EF24" s="35" t="str">
        <f t="shared" si="32"/>
        <v/>
      </c>
      <c r="EG24" s="36" t="str">
        <f t="shared" si="33"/>
        <v/>
      </c>
      <c r="EH24" s="37"/>
      <c r="EI24" s="33"/>
      <c r="EJ24" s="34"/>
      <c r="EK24" s="35" t="str">
        <f t="shared" si="34"/>
        <v/>
      </c>
      <c r="EL24" s="36" t="str">
        <f t="shared" si="35"/>
        <v/>
      </c>
      <c r="EM24" s="37"/>
      <c r="EN24" s="33"/>
      <c r="EO24" s="34"/>
      <c r="EP24" s="35" t="str">
        <f t="shared" si="36"/>
        <v/>
      </c>
      <c r="EQ24" s="36" t="str">
        <f t="shared" si="37"/>
        <v/>
      </c>
      <c r="ER24" s="37"/>
      <c r="ES24" s="33"/>
      <c r="ET24" s="34"/>
      <c r="EU24" s="35" t="str">
        <f t="shared" si="38"/>
        <v/>
      </c>
      <c r="EV24" s="36" t="str">
        <f t="shared" si="39"/>
        <v/>
      </c>
      <c r="EW24" s="37"/>
    </row>
    <row r="25" spans="1:153" ht="19.5" customHeight="1">
      <c r="A25" s="32">
        <f>IF(DAY(DATE(対象年度,4,22))&lt;&gt;22,"",22)</f>
        <v>22</v>
      </c>
      <c r="B25" s="32" t="str">
        <f>IF(DAY(DATE(対象年度,4,22))&lt;&gt;22,"",CHOOSE(WEEKDAY(DATE(対象年度,4,22),2),"月","火","水","木","金","土","日"))</f>
        <v>水</v>
      </c>
      <c r="C25" s="32" t="str">
        <f>IF(DAY(DATE(対象年度,4,22))&lt;&gt;22,"",IF(ISNUMBER(MATCH(DATE(対象年度,4,22),祝日リスト,0)),"祝",""))</f>
        <v/>
      </c>
      <c r="D25" s="38"/>
      <c r="E25" s="34"/>
      <c r="F25" s="35"/>
      <c r="G25" s="36"/>
      <c r="H25" s="37"/>
      <c r="I25" s="33"/>
      <c r="J25" s="34"/>
      <c r="K25" s="35"/>
      <c r="L25" s="36"/>
      <c r="M25" s="37"/>
      <c r="N25" s="33"/>
      <c r="O25" s="34"/>
      <c r="P25" s="35"/>
      <c r="Q25" s="36"/>
      <c r="R25" s="37"/>
      <c r="S25" s="33"/>
      <c r="T25" s="34"/>
      <c r="U25" s="35"/>
      <c r="V25" s="36"/>
      <c r="W25" s="37"/>
      <c r="X25" s="33"/>
      <c r="Y25" s="34"/>
      <c r="Z25" s="35"/>
      <c r="AA25" s="36"/>
      <c r="AB25" s="37"/>
      <c r="AC25" s="33"/>
      <c r="AD25" s="34"/>
      <c r="AE25" s="35"/>
      <c r="AF25" s="36"/>
      <c r="AG25" s="37"/>
      <c r="AH25" s="33"/>
      <c r="AI25" s="34"/>
      <c r="AJ25" s="35" t="str">
        <f t="shared" si="0"/>
        <v/>
      </c>
      <c r="AK25" s="36" t="str">
        <f t="shared" si="1"/>
        <v/>
      </c>
      <c r="AL25" s="37"/>
      <c r="AM25" s="33"/>
      <c r="AN25" s="34"/>
      <c r="AO25" s="35"/>
      <c r="AP25" s="36"/>
      <c r="AQ25" s="37"/>
      <c r="AR25" s="33"/>
      <c r="AS25" s="34"/>
      <c r="AT25" s="35"/>
      <c r="AU25" s="36"/>
      <c r="AV25" s="37"/>
      <c r="AW25" s="33"/>
      <c r="AX25" s="34"/>
      <c r="AY25" s="35"/>
      <c r="AZ25" s="36"/>
      <c r="BA25" s="37"/>
      <c r="BB25" s="38"/>
      <c r="BC25" s="34"/>
      <c r="BD25" s="35"/>
      <c r="BE25" s="36"/>
      <c r="BF25" s="37"/>
      <c r="BG25" s="33"/>
      <c r="BH25" s="34"/>
      <c r="BI25" s="35" t="str">
        <f t="shared" si="2"/>
        <v/>
      </c>
      <c r="BJ25" s="36" t="str">
        <f t="shared" si="3"/>
        <v/>
      </c>
      <c r="BK25" s="37"/>
      <c r="BL25" s="33"/>
      <c r="BM25" s="34"/>
      <c r="BN25" s="35" t="str">
        <f t="shared" si="4"/>
        <v/>
      </c>
      <c r="BO25" s="36" t="str">
        <f t="shared" si="5"/>
        <v/>
      </c>
      <c r="BP25" s="37"/>
      <c r="BQ25" s="33"/>
      <c r="BR25" s="34"/>
      <c r="BS25" s="35" t="str">
        <f t="shared" si="6"/>
        <v/>
      </c>
      <c r="BT25" s="36" t="str">
        <f t="shared" si="7"/>
        <v/>
      </c>
      <c r="BU25" s="37"/>
      <c r="BV25" s="33"/>
      <c r="BW25" s="34"/>
      <c r="BX25" s="35" t="str">
        <f t="shared" si="8"/>
        <v/>
      </c>
      <c r="BY25" s="36" t="str">
        <f t="shared" si="9"/>
        <v/>
      </c>
      <c r="BZ25" s="37"/>
      <c r="CA25" s="33"/>
      <c r="CB25" s="34"/>
      <c r="CC25" s="35" t="str">
        <f t="shared" si="10"/>
        <v/>
      </c>
      <c r="CD25" s="36" t="str">
        <f t="shared" si="11"/>
        <v/>
      </c>
      <c r="CE25" s="37"/>
      <c r="CF25" s="33"/>
      <c r="CG25" s="34"/>
      <c r="CH25" s="35" t="str">
        <f t="shared" si="12"/>
        <v/>
      </c>
      <c r="CI25" s="36" t="str">
        <f t="shared" si="13"/>
        <v/>
      </c>
      <c r="CJ25" s="37"/>
      <c r="CK25" s="33"/>
      <c r="CL25" s="34"/>
      <c r="CM25" s="35" t="str">
        <f t="shared" si="14"/>
        <v/>
      </c>
      <c r="CN25" s="36" t="str">
        <f t="shared" si="15"/>
        <v/>
      </c>
      <c r="CO25" s="37"/>
      <c r="CP25" s="33"/>
      <c r="CQ25" s="34"/>
      <c r="CR25" s="35" t="str">
        <f t="shared" si="16"/>
        <v/>
      </c>
      <c r="CS25" s="36" t="str">
        <f t="shared" si="17"/>
        <v/>
      </c>
      <c r="CT25" s="37"/>
      <c r="CU25" s="33"/>
      <c r="CV25" s="34"/>
      <c r="CW25" s="35" t="str">
        <f t="shared" si="18"/>
        <v/>
      </c>
      <c r="CX25" s="36" t="str">
        <f t="shared" si="19"/>
        <v/>
      </c>
      <c r="CY25" s="37"/>
      <c r="CZ25" s="33"/>
      <c r="DA25" s="34"/>
      <c r="DB25" s="35" t="str">
        <f t="shared" si="20"/>
        <v/>
      </c>
      <c r="DC25" s="36" t="str">
        <f t="shared" si="21"/>
        <v/>
      </c>
      <c r="DD25" s="37"/>
      <c r="DE25" s="33"/>
      <c r="DF25" s="34"/>
      <c r="DG25" s="35" t="str">
        <f t="shared" si="22"/>
        <v/>
      </c>
      <c r="DH25" s="36" t="str">
        <f t="shared" si="23"/>
        <v/>
      </c>
      <c r="DI25" s="37"/>
      <c r="DJ25" s="33"/>
      <c r="DK25" s="34"/>
      <c r="DL25" s="35" t="str">
        <f t="shared" si="24"/>
        <v/>
      </c>
      <c r="DM25" s="36" t="str">
        <f t="shared" si="25"/>
        <v/>
      </c>
      <c r="DN25" s="37"/>
      <c r="DO25" s="33"/>
      <c r="DP25" s="34"/>
      <c r="DQ25" s="35" t="str">
        <f t="shared" si="26"/>
        <v/>
      </c>
      <c r="DR25" s="36" t="str">
        <f t="shared" si="27"/>
        <v/>
      </c>
      <c r="DS25" s="37"/>
      <c r="DT25" s="33"/>
      <c r="DU25" s="34"/>
      <c r="DV25" s="35" t="str">
        <f t="shared" si="28"/>
        <v/>
      </c>
      <c r="DW25" s="36" t="str">
        <f t="shared" si="29"/>
        <v/>
      </c>
      <c r="DX25" s="37"/>
      <c r="DY25" s="33"/>
      <c r="DZ25" s="34"/>
      <c r="EA25" s="35" t="str">
        <f t="shared" si="30"/>
        <v/>
      </c>
      <c r="EB25" s="36" t="str">
        <f t="shared" si="31"/>
        <v/>
      </c>
      <c r="EC25" s="37"/>
      <c r="ED25" s="33"/>
      <c r="EE25" s="34"/>
      <c r="EF25" s="35" t="str">
        <f t="shared" si="32"/>
        <v/>
      </c>
      <c r="EG25" s="36" t="str">
        <f t="shared" si="33"/>
        <v/>
      </c>
      <c r="EH25" s="37"/>
      <c r="EI25" s="33"/>
      <c r="EJ25" s="34"/>
      <c r="EK25" s="35" t="str">
        <f t="shared" si="34"/>
        <v/>
      </c>
      <c r="EL25" s="36" t="str">
        <f t="shared" si="35"/>
        <v/>
      </c>
      <c r="EM25" s="37"/>
      <c r="EN25" s="33"/>
      <c r="EO25" s="34"/>
      <c r="EP25" s="35" t="str">
        <f t="shared" si="36"/>
        <v/>
      </c>
      <c r="EQ25" s="36" t="str">
        <f t="shared" si="37"/>
        <v/>
      </c>
      <c r="ER25" s="37"/>
      <c r="ES25" s="33"/>
      <c r="ET25" s="34"/>
      <c r="EU25" s="35" t="str">
        <f t="shared" si="38"/>
        <v/>
      </c>
      <c r="EV25" s="36" t="str">
        <f t="shared" si="39"/>
        <v/>
      </c>
      <c r="EW25" s="37"/>
    </row>
    <row r="26" spans="1:153" ht="19.5" customHeight="1">
      <c r="A26" s="32">
        <f>IF(DAY(DATE(対象年度,4,23))&lt;&gt;23,"",23)</f>
        <v>23</v>
      </c>
      <c r="B26" s="32" t="str">
        <f>IF(DAY(DATE(対象年度,4,23))&lt;&gt;23,"",CHOOSE(WEEKDAY(DATE(対象年度,4,23),2),"月","火","水","木","金","土","日"))</f>
        <v>木</v>
      </c>
      <c r="C26" s="32" t="str">
        <f>IF(DAY(DATE(対象年度,4,23))&lt;&gt;23,"",IF(ISNUMBER(MATCH(DATE(対象年度,4,23),祝日リスト,0)),"祝",""))</f>
        <v/>
      </c>
      <c r="D26" s="38"/>
      <c r="E26" s="34"/>
      <c r="F26" s="35"/>
      <c r="G26" s="36"/>
      <c r="H26" s="37"/>
      <c r="I26" s="33"/>
      <c r="J26" s="34"/>
      <c r="K26" s="35"/>
      <c r="L26" s="36"/>
      <c r="M26" s="37"/>
      <c r="N26" s="33"/>
      <c r="O26" s="34"/>
      <c r="P26" s="35"/>
      <c r="Q26" s="36"/>
      <c r="R26" s="37"/>
      <c r="S26" s="33"/>
      <c r="T26" s="34"/>
      <c r="U26" s="35"/>
      <c r="V26" s="36"/>
      <c r="W26" s="37"/>
      <c r="X26" s="33"/>
      <c r="Y26" s="34"/>
      <c r="Z26" s="35"/>
      <c r="AA26" s="36"/>
      <c r="AB26" s="37"/>
      <c r="AC26" s="33"/>
      <c r="AD26" s="34"/>
      <c r="AE26" s="35"/>
      <c r="AF26" s="36"/>
      <c r="AG26" s="37"/>
      <c r="AH26" s="33"/>
      <c r="AI26" s="34"/>
      <c r="AJ26" s="35" t="str">
        <f t="shared" si="0"/>
        <v/>
      </c>
      <c r="AK26" s="36" t="str">
        <f t="shared" si="1"/>
        <v/>
      </c>
      <c r="AL26" s="37"/>
      <c r="AM26" s="33"/>
      <c r="AN26" s="34"/>
      <c r="AO26" s="35"/>
      <c r="AP26" s="36"/>
      <c r="AQ26" s="37"/>
      <c r="AR26" s="33"/>
      <c r="AS26" s="34"/>
      <c r="AT26" s="35"/>
      <c r="AU26" s="36"/>
      <c r="AV26" s="37"/>
      <c r="AW26" s="33"/>
      <c r="AX26" s="34"/>
      <c r="AY26" s="35"/>
      <c r="AZ26" s="36"/>
      <c r="BA26" s="37"/>
      <c r="BB26" s="38"/>
      <c r="BC26" s="34"/>
      <c r="BD26" s="35"/>
      <c r="BE26" s="36"/>
      <c r="BF26" s="37"/>
      <c r="BG26" s="33"/>
      <c r="BH26" s="34"/>
      <c r="BI26" s="35" t="str">
        <f t="shared" si="2"/>
        <v/>
      </c>
      <c r="BJ26" s="36" t="str">
        <f t="shared" si="3"/>
        <v/>
      </c>
      <c r="BK26" s="37"/>
      <c r="BL26" s="33"/>
      <c r="BM26" s="34"/>
      <c r="BN26" s="35" t="str">
        <f t="shared" si="4"/>
        <v/>
      </c>
      <c r="BO26" s="36" t="str">
        <f t="shared" si="5"/>
        <v/>
      </c>
      <c r="BP26" s="37"/>
      <c r="BQ26" s="33"/>
      <c r="BR26" s="34"/>
      <c r="BS26" s="35" t="str">
        <f t="shared" si="6"/>
        <v/>
      </c>
      <c r="BT26" s="36" t="str">
        <f t="shared" si="7"/>
        <v/>
      </c>
      <c r="BU26" s="37"/>
      <c r="BV26" s="33"/>
      <c r="BW26" s="34"/>
      <c r="BX26" s="35" t="str">
        <f t="shared" si="8"/>
        <v/>
      </c>
      <c r="BY26" s="36" t="str">
        <f t="shared" si="9"/>
        <v/>
      </c>
      <c r="BZ26" s="37"/>
      <c r="CA26" s="33"/>
      <c r="CB26" s="34"/>
      <c r="CC26" s="35" t="str">
        <f t="shared" si="10"/>
        <v/>
      </c>
      <c r="CD26" s="36" t="str">
        <f t="shared" si="11"/>
        <v/>
      </c>
      <c r="CE26" s="37"/>
      <c r="CF26" s="33"/>
      <c r="CG26" s="34"/>
      <c r="CH26" s="35" t="str">
        <f t="shared" si="12"/>
        <v/>
      </c>
      <c r="CI26" s="36" t="str">
        <f t="shared" si="13"/>
        <v/>
      </c>
      <c r="CJ26" s="37"/>
      <c r="CK26" s="33"/>
      <c r="CL26" s="34"/>
      <c r="CM26" s="35" t="str">
        <f t="shared" si="14"/>
        <v/>
      </c>
      <c r="CN26" s="36" t="str">
        <f t="shared" si="15"/>
        <v/>
      </c>
      <c r="CO26" s="37"/>
      <c r="CP26" s="33"/>
      <c r="CQ26" s="34"/>
      <c r="CR26" s="35" t="str">
        <f t="shared" si="16"/>
        <v/>
      </c>
      <c r="CS26" s="36" t="str">
        <f t="shared" si="17"/>
        <v/>
      </c>
      <c r="CT26" s="37"/>
      <c r="CU26" s="33"/>
      <c r="CV26" s="34"/>
      <c r="CW26" s="35" t="str">
        <f t="shared" si="18"/>
        <v/>
      </c>
      <c r="CX26" s="36" t="str">
        <f t="shared" si="19"/>
        <v/>
      </c>
      <c r="CY26" s="37"/>
      <c r="CZ26" s="33"/>
      <c r="DA26" s="34"/>
      <c r="DB26" s="35" t="str">
        <f t="shared" si="20"/>
        <v/>
      </c>
      <c r="DC26" s="36" t="str">
        <f t="shared" si="21"/>
        <v/>
      </c>
      <c r="DD26" s="37"/>
      <c r="DE26" s="33"/>
      <c r="DF26" s="34"/>
      <c r="DG26" s="35" t="str">
        <f t="shared" si="22"/>
        <v/>
      </c>
      <c r="DH26" s="36" t="str">
        <f t="shared" si="23"/>
        <v/>
      </c>
      <c r="DI26" s="37"/>
      <c r="DJ26" s="33"/>
      <c r="DK26" s="34"/>
      <c r="DL26" s="35" t="str">
        <f t="shared" si="24"/>
        <v/>
      </c>
      <c r="DM26" s="36" t="str">
        <f t="shared" si="25"/>
        <v/>
      </c>
      <c r="DN26" s="37"/>
      <c r="DO26" s="33"/>
      <c r="DP26" s="34"/>
      <c r="DQ26" s="35" t="str">
        <f t="shared" si="26"/>
        <v/>
      </c>
      <c r="DR26" s="36" t="str">
        <f t="shared" si="27"/>
        <v/>
      </c>
      <c r="DS26" s="37"/>
      <c r="DT26" s="33"/>
      <c r="DU26" s="34"/>
      <c r="DV26" s="35" t="str">
        <f t="shared" si="28"/>
        <v/>
      </c>
      <c r="DW26" s="36" t="str">
        <f t="shared" si="29"/>
        <v/>
      </c>
      <c r="DX26" s="37"/>
      <c r="DY26" s="33"/>
      <c r="DZ26" s="34"/>
      <c r="EA26" s="35" t="str">
        <f t="shared" si="30"/>
        <v/>
      </c>
      <c r="EB26" s="36" t="str">
        <f t="shared" si="31"/>
        <v/>
      </c>
      <c r="EC26" s="37"/>
      <c r="ED26" s="33"/>
      <c r="EE26" s="34"/>
      <c r="EF26" s="35" t="str">
        <f t="shared" si="32"/>
        <v/>
      </c>
      <c r="EG26" s="36" t="str">
        <f t="shared" si="33"/>
        <v/>
      </c>
      <c r="EH26" s="37"/>
      <c r="EI26" s="33"/>
      <c r="EJ26" s="34"/>
      <c r="EK26" s="35" t="str">
        <f t="shared" si="34"/>
        <v/>
      </c>
      <c r="EL26" s="36" t="str">
        <f t="shared" si="35"/>
        <v/>
      </c>
      <c r="EM26" s="37"/>
      <c r="EN26" s="33"/>
      <c r="EO26" s="34"/>
      <c r="EP26" s="35" t="str">
        <f t="shared" si="36"/>
        <v/>
      </c>
      <c r="EQ26" s="36" t="str">
        <f t="shared" si="37"/>
        <v/>
      </c>
      <c r="ER26" s="37"/>
      <c r="ES26" s="33"/>
      <c r="ET26" s="34"/>
      <c r="EU26" s="35" t="str">
        <f t="shared" si="38"/>
        <v/>
      </c>
      <c r="EV26" s="36" t="str">
        <f t="shared" si="39"/>
        <v/>
      </c>
      <c r="EW26" s="37"/>
    </row>
    <row r="27" spans="1:153" ht="19.5" customHeight="1">
      <c r="A27" s="32">
        <f>IF(DAY(DATE(対象年度,4,24))&lt;&gt;24,"",24)</f>
        <v>24</v>
      </c>
      <c r="B27" s="32" t="str">
        <f>IF(DAY(DATE(対象年度,4,24))&lt;&gt;24,"",CHOOSE(WEEKDAY(DATE(対象年度,4,24),2),"月","火","水","木","金","土","日"))</f>
        <v>金</v>
      </c>
      <c r="C27" s="32" t="str">
        <f>IF(DAY(DATE(対象年度,4,24))&lt;&gt;24,"",IF(ISNUMBER(MATCH(DATE(対象年度,4,24),祝日リスト,0)),"祝",""))</f>
        <v/>
      </c>
      <c r="D27" s="38"/>
      <c r="E27" s="34"/>
      <c r="F27" s="35"/>
      <c r="G27" s="36"/>
      <c r="H27" s="37"/>
      <c r="I27" s="33"/>
      <c r="J27" s="34"/>
      <c r="K27" s="35"/>
      <c r="L27" s="36"/>
      <c r="M27" s="37"/>
      <c r="N27" s="85"/>
      <c r="O27" s="34"/>
      <c r="P27" s="35"/>
      <c r="Q27" s="36"/>
      <c r="R27" s="37"/>
      <c r="S27" s="33"/>
      <c r="T27" s="34"/>
      <c r="U27" s="35"/>
      <c r="V27" s="36"/>
      <c r="W27" s="37"/>
      <c r="X27" s="33"/>
      <c r="Y27" s="34"/>
      <c r="Z27" s="35"/>
      <c r="AA27" s="36"/>
      <c r="AB27" s="37"/>
      <c r="AC27" s="33"/>
      <c r="AD27" s="34"/>
      <c r="AE27" s="35"/>
      <c r="AF27" s="36"/>
      <c r="AG27" s="37"/>
      <c r="AH27" s="33"/>
      <c r="AI27" s="34"/>
      <c r="AJ27" s="35" t="str">
        <f t="shared" si="0"/>
        <v/>
      </c>
      <c r="AK27" s="36" t="str">
        <f t="shared" si="1"/>
        <v/>
      </c>
      <c r="AL27" s="37"/>
      <c r="AM27" s="33"/>
      <c r="AN27" s="34"/>
      <c r="AO27" s="35"/>
      <c r="AP27" s="36"/>
      <c r="AQ27" s="37"/>
      <c r="AR27" s="33"/>
      <c r="AS27" s="34"/>
      <c r="AT27" s="35"/>
      <c r="AU27" s="36"/>
      <c r="AV27" s="37"/>
      <c r="AW27" s="33"/>
      <c r="AX27" s="34"/>
      <c r="AY27" s="35"/>
      <c r="AZ27" s="36"/>
      <c r="BA27" s="37"/>
      <c r="BB27" s="38"/>
      <c r="BC27" s="34"/>
      <c r="BD27" s="35"/>
      <c r="BE27" s="36"/>
      <c r="BF27" s="37"/>
      <c r="BG27" s="33"/>
      <c r="BH27" s="34"/>
      <c r="BI27" s="35" t="str">
        <f t="shared" si="2"/>
        <v/>
      </c>
      <c r="BJ27" s="36" t="str">
        <f t="shared" si="3"/>
        <v/>
      </c>
      <c r="BK27" s="37"/>
      <c r="BL27" s="33"/>
      <c r="BM27" s="34"/>
      <c r="BN27" s="35" t="str">
        <f t="shared" si="4"/>
        <v/>
      </c>
      <c r="BO27" s="36" t="str">
        <f t="shared" si="5"/>
        <v/>
      </c>
      <c r="BP27" s="37"/>
      <c r="BQ27" s="33"/>
      <c r="BR27" s="34"/>
      <c r="BS27" s="35" t="str">
        <f t="shared" si="6"/>
        <v/>
      </c>
      <c r="BT27" s="36" t="str">
        <f t="shared" si="7"/>
        <v/>
      </c>
      <c r="BU27" s="37"/>
      <c r="BV27" s="33"/>
      <c r="BW27" s="34"/>
      <c r="BX27" s="35" t="str">
        <f t="shared" si="8"/>
        <v/>
      </c>
      <c r="BY27" s="36" t="str">
        <f t="shared" si="9"/>
        <v/>
      </c>
      <c r="BZ27" s="37"/>
      <c r="CA27" s="33"/>
      <c r="CB27" s="34"/>
      <c r="CC27" s="35" t="str">
        <f t="shared" si="10"/>
        <v/>
      </c>
      <c r="CD27" s="36" t="str">
        <f t="shared" si="11"/>
        <v/>
      </c>
      <c r="CE27" s="37"/>
      <c r="CF27" s="33"/>
      <c r="CG27" s="34"/>
      <c r="CH27" s="35" t="str">
        <f t="shared" si="12"/>
        <v/>
      </c>
      <c r="CI27" s="36" t="str">
        <f t="shared" si="13"/>
        <v/>
      </c>
      <c r="CJ27" s="37"/>
      <c r="CK27" s="33"/>
      <c r="CL27" s="34"/>
      <c r="CM27" s="35" t="str">
        <f t="shared" si="14"/>
        <v/>
      </c>
      <c r="CN27" s="36" t="str">
        <f t="shared" si="15"/>
        <v/>
      </c>
      <c r="CO27" s="37"/>
      <c r="CP27" s="33"/>
      <c r="CQ27" s="34"/>
      <c r="CR27" s="35" t="str">
        <f t="shared" si="16"/>
        <v/>
      </c>
      <c r="CS27" s="36" t="str">
        <f t="shared" si="17"/>
        <v/>
      </c>
      <c r="CT27" s="37"/>
      <c r="CU27" s="33"/>
      <c r="CV27" s="34"/>
      <c r="CW27" s="35" t="str">
        <f t="shared" si="18"/>
        <v/>
      </c>
      <c r="CX27" s="36" t="str">
        <f t="shared" si="19"/>
        <v/>
      </c>
      <c r="CY27" s="37"/>
      <c r="CZ27" s="33"/>
      <c r="DA27" s="34"/>
      <c r="DB27" s="35" t="str">
        <f t="shared" si="20"/>
        <v/>
      </c>
      <c r="DC27" s="36" t="str">
        <f t="shared" si="21"/>
        <v/>
      </c>
      <c r="DD27" s="37"/>
      <c r="DE27" s="33"/>
      <c r="DF27" s="34"/>
      <c r="DG27" s="35" t="str">
        <f t="shared" si="22"/>
        <v/>
      </c>
      <c r="DH27" s="36" t="str">
        <f t="shared" si="23"/>
        <v/>
      </c>
      <c r="DI27" s="37"/>
      <c r="DJ27" s="33"/>
      <c r="DK27" s="34"/>
      <c r="DL27" s="35" t="str">
        <f t="shared" si="24"/>
        <v/>
      </c>
      <c r="DM27" s="36" t="str">
        <f t="shared" si="25"/>
        <v/>
      </c>
      <c r="DN27" s="37"/>
      <c r="DO27" s="33"/>
      <c r="DP27" s="34"/>
      <c r="DQ27" s="35" t="str">
        <f t="shared" si="26"/>
        <v/>
      </c>
      <c r="DR27" s="36" t="str">
        <f t="shared" si="27"/>
        <v/>
      </c>
      <c r="DS27" s="37"/>
      <c r="DT27" s="33"/>
      <c r="DU27" s="34"/>
      <c r="DV27" s="35" t="str">
        <f t="shared" si="28"/>
        <v/>
      </c>
      <c r="DW27" s="36" t="str">
        <f t="shared" si="29"/>
        <v/>
      </c>
      <c r="DX27" s="37"/>
      <c r="DY27" s="33"/>
      <c r="DZ27" s="34"/>
      <c r="EA27" s="35" t="str">
        <f t="shared" si="30"/>
        <v/>
      </c>
      <c r="EB27" s="36" t="str">
        <f t="shared" si="31"/>
        <v/>
      </c>
      <c r="EC27" s="37"/>
      <c r="ED27" s="33"/>
      <c r="EE27" s="34"/>
      <c r="EF27" s="35" t="str">
        <f t="shared" si="32"/>
        <v/>
      </c>
      <c r="EG27" s="36" t="str">
        <f t="shared" si="33"/>
        <v/>
      </c>
      <c r="EH27" s="37"/>
      <c r="EI27" s="33"/>
      <c r="EJ27" s="34"/>
      <c r="EK27" s="35" t="str">
        <f t="shared" si="34"/>
        <v/>
      </c>
      <c r="EL27" s="36" t="str">
        <f t="shared" si="35"/>
        <v/>
      </c>
      <c r="EM27" s="37"/>
      <c r="EN27" s="33"/>
      <c r="EO27" s="34"/>
      <c r="EP27" s="35" t="str">
        <f t="shared" si="36"/>
        <v/>
      </c>
      <c r="EQ27" s="36" t="str">
        <f t="shared" si="37"/>
        <v/>
      </c>
      <c r="ER27" s="37"/>
      <c r="ES27" s="33"/>
      <c r="ET27" s="34"/>
      <c r="EU27" s="35" t="str">
        <f t="shared" si="38"/>
        <v/>
      </c>
      <c r="EV27" s="36" t="str">
        <f t="shared" si="39"/>
        <v/>
      </c>
      <c r="EW27" s="37"/>
    </row>
    <row r="28" spans="1:153" ht="19.5" customHeight="1">
      <c r="A28" s="32">
        <f>IF(DAY(DATE(対象年度,4,25))&lt;&gt;25,"",25)</f>
        <v>25</v>
      </c>
      <c r="B28" s="32" t="str">
        <f>IF(DAY(DATE(対象年度,4,25))&lt;&gt;25,"",CHOOSE(WEEKDAY(DATE(対象年度,4,25),2),"月","火","水","木","金","土","日"))</f>
        <v>土</v>
      </c>
      <c r="C28" s="32" t="str">
        <f>IF(DAY(DATE(対象年度,4,25))&lt;&gt;25,"",IF(ISNUMBER(MATCH(DATE(対象年度,4,25),祝日リスト,0)),"祝",""))</f>
        <v/>
      </c>
      <c r="D28" s="33"/>
      <c r="E28" s="34"/>
      <c r="F28" s="35"/>
      <c r="G28" s="36"/>
      <c r="H28" s="37"/>
      <c r="I28" s="33"/>
      <c r="J28" s="34"/>
      <c r="K28" s="35"/>
      <c r="L28" s="36"/>
      <c r="M28" s="37"/>
      <c r="N28" s="33"/>
      <c r="O28" s="34"/>
      <c r="P28" s="35"/>
      <c r="Q28" s="36"/>
      <c r="R28" s="37"/>
      <c r="S28" s="33"/>
      <c r="T28" s="34"/>
      <c r="U28" s="35"/>
      <c r="V28" s="36"/>
      <c r="W28" s="37"/>
      <c r="X28" s="33"/>
      <c r="Y28" s="34"/>
      <c r="Z28" s="35"/>
      <c r="AA28" s="36"/>
      <c r="AB28" s="37"/>
      <c r="AC28" s="33"/>
      <c r="AD28" s="34"/>
      <c r="AE28" s="35"/>
      <c r="AF28" s="36"/>
      <c r="AG28" s="37"/>
      <c r="AH28" s="33"/>
      <c r="AI28" s="34"/>
      <c r="AJ28" s="35" t="str">
        <f t="shared" si="0"/>
        <v/>
      </c>
      <c r="AK28" s="36" t="str">
        <f t="shared" si="1"/>
        <v/>
      </c>
      <c r="AL28" s="37"/>
      <c r="AM28" s="33"/>
      <c r="AN28" s="34"/>
      <c r="AO28" s="35"/>
      <c r="AP28" s="36"/>
      <c r="AQ28" s="37"/>
      <c r="AR28" s="33"/>
      <c r="AS28" s="34"/>
      <c r="AT28" s="35"/>
      <c r="AU28" s="36"/>
      <c r="AV28" s="37"/>
      <c r="AW28" s="33"/>
      <c r="AX28" s="34"/>
      <c r="AY28" s="35"/>
      <c r="AZ28" s="36"/>
      <c r="BA28" s="37"/>
      <c r="BB28" s="33"/>
      <c r="BC28" s="34"/>
      <c r="BD28" s="35"/>
      <c r="BE28" s="36"/>
      <c r="BF28" s="37"/>
      <c r="BG28" s="33"/>
      <c r="BH28" s="34"/>
      <c r="BI28" s="35" t="str">
        <f t="shared" si="2"/>
        <v/>
      </c>
      <c r="BJ28" s="36" t="str">
        <f t="shared" si="3"/>
        <v/>
      </c>
      <c r="BK28" s="37"/>
      <c r="BL28" s="33"/>
      <c r="BM28" s="34"/>
      <c r="BN28" s="35" t="str">
        <f t="shared" si="4"/>
        <v/>
      </c>
      <c r="BO28" s="36" t="str">
        <f t="shared" si="5"/>
        <v/>
      </c>
      <c r="BP28" s="37"/>
      <c r="BQ28" s="33"/>
      <c r="BR28" s="34"/>
      <c r="BS28" s="35" t="str">
        <f t="shared" si="6"/>
        <v/>
      </c>
      <c r="BT28" s="36" t="str">
        <f t="shared" si="7"/>
        <v/>
      </c>
      <c r="BU28" s="37"/>
      <c r="BV28" s="33"/>
      <c r="BW28" s="34"/>
      <c r="BX28" s="35" t="str">
        <f t="shared" si="8"/>
        <v/>
      </c>
      <c r="BY28" s="36" t="str">
        <f t="shared" si="9"/>
        <v/>
      </c>
      <c r="BZ28" s="37"/>
      <c r="CA28" s="33"/>
      <c r="CB28" s="34"/>
      <c r="CC28" s="35" t="str">
        <f t="shared" si="10"/>
        <v/>
      </c>
      <c r="CD28" s="36" t="str">
        <f t="shared" si="11"/>
        <v/>
      </c>
      <c r="CE28" s="37"/>
      <c r="CF28" s="33"/>
      <c r="CG28" s="34"/>
      <c r="CH28" s="35" t="str">
        <f t="shared" si="12"/>
        <v/>
      </c>
      <c r="CI28" s="36" t="str">
        <f t="shared" si="13"/>
        <v/>
      </c>
      <c r="CJ28" s="37"/>
      <c r="CK28" s="33"/>
      <c r="CL28" s="34"/>
      <c r="CM28" s="35" t="str">
        <f t="shared" si="14"/>
        <v/>
      </c>
      <c r="CN28" s="36" t="str">
        <f t="shared" si="15"/>
        <v/>
      </c>
      <c r="CO28" s="37"/>
      <c r="CP28" s="33"/>
      <c r="CQ28" s="34"/>
      <c r="CR28" s="35" t="str">
        <f t="shared" si="16"/>
        <v/>
      </c>
      <c r="CS28" s="36" t="str">
        <f t="shared" si="17"/>
        <v/>
      </c>
      <c r="CT28" s="37"/>
      <c r="CU28" s="33"/>
      <c r="CV28" s="34"/>
      <c r="CW28" s="35" t="str">
        <f t="shared" si="18"/>
        <v/>
      </c>
      <c r="CX28" s="36" t="str">
        <f t="shared" si="19"/>
        <v/>
      </c>
      <c r="CY28" s="37"/>
      <c r="CZ28" s="33"/>
      <c r="DA28" s="34"/>
      <c r="DB28" s="35" t="str">
        <f t="shared" si="20"/>
        <v/>
      </c>
      <c r="DC28" s="36" t="str">
        <f t="shared" si="21"/>
        <v/>
      </c>
      <c r="DD28" s="37"/>
      <c r="DE28" s="33"/>
      <c r="DF28" s="34"/>
      <c r="DG28" s="35" t="str">
        <f t="shared" si="22"/>
        <v/>
      </c>
      <c r="DH28" s="36" t="str">
        <f t="shared" si="23"/>
        <v/>
      </c>
      <c r="DI28" s="37"/>
      <c r="DJ28" s="33"/>
      <c r="DK28" s="34"/>
      <c r="DL28" s="35" t="str">
        <f t="shared" si="24"/>
        <v/>
      </c>
      <c r="DM28" s="36" t="str">
        <f t="shared" si="25"/>
        <v/>
      </c>
      <c r="DN28" s="37"/>
      <c r="DO28" s="33"/>
      <c r="DP28" s="34"/>
      <c r="DQ28" s="35" t="str">
        <f t="shared" si="26"/>
        <v/>
      </c>
      <c r="DR28" s="36" t="str">
        <f t="shared" si="27"/>
        <v/>
      </c>
      <c r="DS28" s="37"/>
      <c r="DT28" s="33"/>
      <c r="DU28" s="34"/>
      <c r="DV28" s="35" t="str">
        <f t="shared" si="28"/>
        <v/>
      </c>
      <c r="DW28" s="36" t="str">
        <f t="shared" si="29"/>
        <v/>
      </c>
      <c r="DX28" s="37"/>
      <c r="DY28" s="33"/>
      <c r="DZ28" s="34"/>
      <c r="EA28" s="35" t="str">
        <f t="shared" si="30"/>
        <v/>
      </c>
      <c r="EB28" s="36" t="str">
        <f t="shared" si="31"/>
        <v/>
      </c>
      <c r="EC28" s="37"/>
      <c r="ED28" s="33"/>
      <c r="EE28" s="34"/>
      <c r="EF28" s="35" t="str">
        <f t="shared" si="32"/>
        <v/>
      </c>
      <c r="EG28" s="36" t="str">
        <f t="shared" si="33"/>
        <v/>
      </c>
      <c r="EH28" s="37"/>
      <c r="EI28" s="33"/>
      <c r="EJ28" s="34"/>
      <c r="EK28" s="35" t="str">
        <f t="shared" si="34"/>
        <v/>
      </c>
      <c r="EL28" s="36" t="str">
        <f t="shared" si="35"/>
        <v/>
      </c>
      <c r="EM28" s="37"/>
      <c r="EN28" s="33"/>
      <c r="EO28" s="34"/>
      <c r="EP28" s="35" t="str">
        <f t="shared" si="36"/>
        <v/>
      </c>
      <c r="EQ28" s="36" t="str">
        <f t="shared" si="37"/>
        <v/>
      </c>
      <c r="ER28" s="37"/>
      <c r="ES28" s="33"/>
      <c r="ET28" s="34"/>
      <c r="EU28" s="35" t="str">
        <f t="shared" si="38"/>
        <v/>
      </c>
      <c r="EV28" s="36" t="str">
        <f t="shared" si="39"/>
        <v/>
      </c>
      <c r="EW28" s="37"/>
    </row>
    <row r="29" spans="1:153" ht="19.5" customHeight="1">
      <c r="A29" s="32">
        <f>IF(DAY(DATE(対象年度,4,26))&lt;&gt;26,"",26)</f>
        <v>26</v>
      </c>
      <c r="B29" s="32" t="str">
        <f>IF(DAY(DATE(対象年度,4,26))&lt;&gt;26,"",CHOOSE(WEEKDAY(DATE(対象年度,4,26),2),"月","火","水","木","金","土","日"))</f>
        <v>日</v>
      </c>
      <c r="C29" s="32" t="str">
        <f>IF(DAY(DATE(対象年度,4,26))&lt;&gt;26,"",IF(ISNUMBER(MATCH(DATE(対象年度,4,26),祝日リスト,0)),"祝",""))</f>
        <v/>
      </c>
      <c r="D29" s="33"/>
      <c r="E29" s="34"/>
      <c r="F29" s="35"/>
      <c r="G29" s="36"/>
      <c r="H29" s="37"/>
      <c r="I29" s="33"/>
      <c r="J29" s="34"/>
      <c r="K29" s="35"/>
      <c r="L29" s="36"/>
      <c r="M29" s="37"/>
      <c r="N29" s="33"/>
      <c r="O29" s="34"/>
      <c r="P29" s="35"/>
      <c r="Q29" s="36"/>
      <c r="R29" s="37"/>
      <c r="S29" s="33"/>
      <c r="T29" s="34"/>
      <c r="U29" s="35"/>
      <c r="V29" s="36"/>
      <c r="W29" s="37"/>
      <c r="X29" s="33"/>
      <c r="Y29" s="34"/>
      <c r="Z29" s="35"/>
      <c r="AA29" s="36"/>
      <c r="AB29" s="37"/>
      <c r="AC29" s="33"/>
      <c r="AD29" s="34"/>
      <c r="AE29" s="35"/>
      <c r="AF29" s="36"/>
      <c r="AG29" s="37"/>
      <c r="AH29" s="33"/>
      <c r="AI29" s="34"/>
      <c r="AJ29" s="35" t="str">
        <f t="shared" si="0"/>
        <v/>
      </c>
      <c r="AK29" s="36" t="str">
        <f t="shared" si="1"/>
        <v/>
      </c>
      <c r="AL29" s="37"/>
      <c r="AM29" s="33"/>
      <c r="AN29" s="34"/>
      <c r="AO29" s="35"/>
      <c r="AP29" s="36"/>
      <c r="AQ29" s="37"/>
      <c r="AR29" s="33"/>
      <c r="AS29" s="34"/>
      <c r="AT29" s="35"/>
      <c r="AU29" s="36"/>
      <c r="AV29" s="37"/>
      <c r="AW29" s="33"/>
      <c r="AX29" s="34"/>
      <c r="AY29" s="35"/>
      <c r="AZ29" s="36"/>
      <c r="BA29" s="37"/>
      <c r="BB29" s="33"/>
      <c r="BC29" s="34"/>
      <c r="BD29" s="35"/>
      <c r="BE29" s="36"/>
      <c r="BF29" s="37"/>
      <c r="BG29" s="33"/>
      <c r="BH29" s="34"/>
      <c r="BI29" s="35" t="str">
        <f t="shared" si="2"/>
        <v/>
      </c>
      <c r="BJ29" s="36" t="str">
        <f t="shared" si="3"/>
        <v/>
      </c>
      <c r="BK29" s="37"/>
      <c r="BL29" s="33"/>
      <c r="BM29" s="34"/>
      <c r="BN29" s="35" t="str">
        <f t="shared" si="4"/>
        <v/>
      </c>
      <c r="BO29" s="36" t="str">
        <f t="shared" si="5"/>
        <v/>
      </c>
      <c r="BP29" s="37"/>
      <c r="BQ29" s="33"/>
      <c r="BR29" s="34"/>
      <c r="BS29" s="35" t="str">
        <f t="shared" si="6"/>
        <v/>
      </c>
      <c r="BT29" s="36" t="str">
        <f t="shared" si="7"/>
        <v/>
      </c>
      <c r="BU29" s="37"/>
      <c r="BV29" s="33"/>
      <c r="BW29" s="34"/>
      <c r="BX29" s="35" t="str">
        <f t="shared" si="8"/>
        <v/>
      </c>
      <c r="BY29" s="36" t="str">
        <f t="shared" si="9"/>
        <v/>
      </c>
      <c r="BZ29" s="37"/>
      <c r="CA29" s="33"/>
      <c r="CB29" s="34"/>
      <c r="CC29" s="35" t="str">
        <f t="shared" si="10"/>
        <v/>
      </c>
      <c r="CD29" s="36" t="str">
        <f t="shared" si="11"/>
        <v/>
      </c>
      <c r="CE29" s="37"/>
      <c r="CF29" s="33"/>
      <c r="CG29" s="34"/>
      <c r="CH29" s="35" t="str">
        <f t="shared" si="12"/>
        <v/>
      </c>
      <c r="CI29" s="36" t="str">
        <f t="shared" si="13"/>
        <v/>
      </c>
      <c r="CJ29" s="37"/>
      <c r="CK29" s="33"/>
      <c r="CL29" s="34"/>
      <c r="CM29" s="35" t="str">
        <f t="shared" si="14"/>
        <v/>
      </c>
      <c r="CN29" s="36" t="str">
        <f t="shared" si="15"/>
        <v/>
      </c>
      <c r="CO29" s="37"/>
      <c r="CP29" s="33"/>
      <c r="CQ29" s="34"/>
      <c r="CR29" s="35" t="str">
        <f t="shared" si="16"/>
        <v/>
      </c>
      <c r="CS29" s="36" t="str">
        <f t="shared" si="17"/>
        <v/>
      </c>
      <c r="CT29" s="37"/>
      <c r="CU29" s="33"/>
      <c r="CV29" s="34"/>
      <c r="CW29" s="35" t="str">
        <f t="shared" si="18"/>
        <v/>
      </c>
      <c r="CX29" s="36" t="str">
        <f t="shared" si="19"/>
        <v/>
      </c>
      <c r="CY29" s="37"/>
      <c r="CZ29" s="33"/>
      <c r="DA29" s="34"/>
      <c r="DB29" s="35" t="str">
        <f t="shared" si="20"/>
        <v/>
      </c>
      <c r="DC29" s="36" t="str">
        <f t="shared" si="21"/>
        <v/>
      </c>
      <c r="DD29" s="37"/>
      <c r="DE29" s="33"/>
      <c r="DF29" s="34"/>
      <c r="DG29" s="35" t="str">
        <f t="shared" si="22"/>
        <v/>
      </c>
      <c r="DH29" s="36" t="str">
        <f t="shared" si="23"/>
        <v/>
      </c>
      <c r="DI29" s="37"/>
      <c r="DJ29" s="33"/>
      <c r="DK29" s="34"/>
      <c r="DL29" s="35" t="str">
        <f t="shared" si="24"/>
        <v/>
      </c>
      <c r="DM29" s="36" t="str">
        <f t="shared" si="25"/>
        <v/>
      </c>
      <c r="DN29" s="37"/>
      <c r="DO29" s="33"/>
      <c r="DP29" s="34"/>
      <c r="DQ29" s="35" t="str">
        <f t="shared" si="26"/>
        <v/>
      </c>
      <c r="DR29" s="36" t="str">
        <f t="shared" si="27"/>
        <v/>
      </c>
      <c r="DS29" s="37"/>
      <c r="DT29" s="33"/>
      <c r="DU29" s="34"/>
      <c r="DV29" s="35" t="str">
        <f t="shared" si="28"/>
        <v/>
      </c>
      <c r="DW29" s="36" t="str">
        <f t="shared" si="29"/>
        <v/>
      </c>
      <c r="DX29" s="37"/>
      <c r="DY29" s="33"/>
      <c r="DZ29" s="34"/>
      <c r="EA29" s="35" t="str">
        <f t="shared" si="30"/>
        <v/>
      </c>
      <c r="EB29" s="36" t="str">
        <f t="shared" si="31"/>
        <v/>
      </c>
      <c r="EC29" s="37"/>
      <c r="ED29" s="33"/>
      <c r="EE29" s="34"/>
      <c r="EF29" s="35" t="str">
        <f t="shared" si="32"/>
        <v/>
      </c>
      <c r="EG29" s="36" t="str">
        <f t="shared" si="33"/>
        <v/>
      </c>
      <c r="EH29" s="37"/>
      <c r="EI29" s="33"/>
      <c r="EJ29" s="34"/>
      <c r="EK29" s="35" t="str">
        <f t="shared" si="34"/>
        <v/>
      </c>
      <c r="EL29" s="36" t="str">
        <f t="shared" si="35"/>
        <v/>
      </c>
      <c r="EM29" s="37"/>
      <c r="EN29" s="33"/>
      <c r="EO29" s="34"/>
      <c r="EP29" s="35" t="str">
        <f t="shared" si="36"/>
        <v/>
      </c>
      <c r="EQ29" s="36" t="str">
        <f t="shared" si="37"/>
        <v/>
      </c>
      <c r="ER29" s="37"/>
      <c r="ES29" s="33"/>
      <c r="ET29" s="34"/>
      <c r="EU29" s="35" t="str">
        <f t="shared" si="38"/>
        <v/>
      </c>
      <c r="EV29" s="36" t="str">
        <f t="shared" si="39"/>
        <v/>
      </c>
      <c r="EW29" s="37"/>
    </row>
    <row r="30" spans="1:153" ht="19.5" customHeight="1">
      <c r="A30" s="32">
        <f>IF(DAY(DATE(対象年度,4,27))&lt;&gt;27,"",27)</f>
        <v>27</v>
      </c>
      <c r="B30" s="32" t="str">
        <f>IF(DAY(DATE(対象年度,4,27))&lt;&gt;27,"",CHOOSE(WEEKDAY(DATE(対象年度,4,27),2),"月","火","水","木","金","土","日"))</f>
        <v>月</v>
      </c>
      <c r="C30" s="32" t="str">
        <f>IF(DAY(DATE(対象年度,4,27))&lt;&gt;27,"",IF(ISNUMBER(MATCH(DATE(対象年度,4,27),祝日リスト,0)),"祝",""))</f>
        <v/>
      </c>
      <c r="D30" s="38"/>
      <c r="E30" s="34"/>
      <c r="F30" s="35"/>
      <c r="G30" s="36"/>
      <c r="H30" s="37"/>
      <c r="I30" s="33"/>
      <c r="J30" s="34"/>
      <c r="K30" s="35"/>
      <c r="L30" s="36"/>
      <c r="M30" s="37"/>
      <c r="N30" s="33"/>
      <c r="O30" s="34"/>
      <c r="P30" s="35"/>
      <c r="Q30" s="36"/>
      <c r="R30" s="37"/>
      <c r="S30" s="33"/>
      <c r="T30" s="34"/>
      <c r="U30" s="35"/>
      <c r="V30" s="36"/>
      <c r="W30" s="37"/>
      <c r="X30" s="33"/>
      <c r="Y30" s="34"/>
      <c r="Z30" s="35"/>
      <c r="AA30" s="36"/>
      <c r="AB30" s="37"/>
      <c r="AC30" s="33"/>
      <c r="AD30" s="34"/>
      <c r="AE30" s="35"/>
      <c r="AF30" s="36"/>
      <c r="AG30" s="37"/>
      <c r="AH30" s="33"/>
      <c r="AI30" s="34"/>
      <c r="AJ30" s="35" t="str">
        <f t="shared" si="0"/>
        <v/>
      </c>
      <c r="AK30" s="36" t="str">
        <f t="shared" si="1"/>
        <v/>
      </c>
      <c r="AL30" s="37"/>
      <c r="AM30" s="33"/>
      <c r="AN30" s="34"/>
      <c r="AO30" s="35"/>
      <c r="AP30" s="36"/>
      <c r="AQ30" s="37"/>
      <c r="AR30" s="33"/>
      <c r="AS30" s="34"/>
      <c r="AT30" s="35"/>
      <c r="AU30" s="36"/>
      <c r="AV30" s="37"/>
      <c r="AW30" s="33"/>
      <c r="AX30" s="34"/>
      <c r="AY30" s="35"/>
      <c r="AZ30" s="36"/>
      <c r="BA30" s="37"/>
      <c r="BB30" s="38"/>
      <c r="BC30" s="34"/>
      <c r="BD30" s="35"/>
      <c r="BE30" s="36"/>
      <c r="BF30" s="37"/>
      <c r="BG30" s="33"/>
      <c r="BH30" s="34"/>
      <c r="BI30" s="35" t="str">
        <f t="shared" si="2"/>
        <v/>
      </c>
      <c r="BJ30" s="36" t="str">
        <f t="shared" si="3"/>
        <v/>
      </c>
      <c r="BK30" s="37"/>
      <c r="BL30" s="33"/>
      <c r="BM30" s="34"/>
      <c r="BN30" s="35" t="str">
        <f t="shared" si="4"/>
        <v/>
      </c>
      <c r="BO30" s="36" t="str">
        <f t="shared" si="5"/>
        <v/>
      </c>
      <c r="BP30" s="37"/>
      <c r="BQ30" s="33"/>
      <c r="BR30" s="34"/>
      <c r="BS30" s="35" t="str">
        <f t="shared" si="6"/>
        <v/>
      </c>
      <c r="BT30" s="36" t="str">
        <f t="shared" si="7"/>
        <v/>
      </c>
      <c r="BU30" s="37"/>
      <c r="BV30" s="33"/>
      <c r="BW30" s="34"/>
      <c r="BX30" s="35" t="str">
        <f t="shared" si="8"/>
        <v/>
      </c>
      <c r="BY30" s="36" t="str">
        <f t="shared" si="9"/>
        <v/>
      </c>
      <c r="BZ30" s="37"/>
      <c r="CA30" s="33"/>
      <c r="CB30" s="34"/>
      <c r="CC30" s="35" t="str">
        <f t="shared" si="10"/>
        <v/>
      </c>
      <c r="CD30" s="36" t="str">
        <f t="shared" si="11"/>
        <v/>
      </c>
      <c r="CE30" s="37"/>
      <c r="CF30" s="33"/>
      <c r="CG30" s="34"/>
      <c r="CH30" s="35" t="str">
        <f t="shared" si="12"/>
        <v/>
      </c>
      <c r="CI30" s="36" t="str">
        <f t="shared" si="13"/>
        <v/>
      </c>
      <c r="CJ30" s="37"/>
      <c r="CK30" s="33"/>
      <c r="CL30" s="34"/>
      <c r="CM30" s="35" t="str">
        <f t="shared" si="14"/>
        <v/>
      </c>
      <c r="CN30" s="36" t="str">
        <f t="shared" si="15"/>
        <v/>
      </c>
      <c r="CO30" s="37"/>
      <c r="CP30" s="33"/>
      <c r="CQ30" s="34"/>
      <c r="CR30" s="35" t="str">
        <f t="shared" si="16"/>
        <v/>
      </c>
      <c r="CS30" s="36" t="str">
        <f t="shared" si="17"/>
        <v/>
      </c>
      <c r="CT30" s="37"/>
      <c r="CU30" s="33"/>
      <c r="CV30" s="34"/>
      <c r="CW30" s="35" t="str">
        <f t="shared" si="18"/>
        <v/>
      </c>
      <c r="CX30" s="36" t="str">
        <f t="shared" si="19"/>
        <v/>
      </c>
      <c r="CY30" s="37"/>
      <c r="CZ30" s="33"/>
      <c r="DA30" s="34"/>
      <c r="DB30" s="35" t="str">
        <f t="shared" si="20"/>
        <v/>
      </c>
      <c r="DC30" s="36" t="str">
        <f t="shared" si="21"/>
        <v/>
      </c>
      <c r="DD30" s="37"/>
      <c r="DE30" s="33"/>
      <c r="DF30" s="34"/>
      <c r="DG30" s="35" t="str">
        <f t="shared" si="22"/>
        <v/>
      </c>
      <c r="DH30" s="36" t="str">
        <f t="shared" si="23"/>
        <v/>
      </c>
      <c r="DI30" s="37"/>
      <c r="DJ30" s="33"/>
      <c r="DK30" s="34"/>
      <c r="DL30" s="35" t="str">
        <f t="shared" si="24"/>
        <v/>
      </c>
      <c r="DM30" s="36" t="str">
        <f t="shared" si="25"/>
        <v/>
      </c>
      <c r="DN30" s="37"/>
      <c r="DO30" s="33"/>
      <c r="DP30" s="34"/>
      <c r="DQ30" s="35" t="str">
        <f t="shared" si="26"/>
        <v/>
      </c>
      <c r="DR30" s="36" t="str">
        <f t="shared" si="27"/>
        <v/>
      </c>
      <c r="DS30" s="37"/>
      <c r="DT30" s="33"/>
      <c r="DU30" s="34"/>
      <c r="DV30" s="35" t="str">
        <f t="shared" si="28"/>
        <v/>
      </c>
      <c r="DW30" s="36" t="str">
        <f t="shared" si="29"/>
        <v/>
      </c>
      <c r="DX30" s="37"/>
      <c r="DY30" s="33"/>
      <c r="DZ30" s="34"/>
      <c r="EA30" s="35" t="str">
        <f t="shared" si="30"/>
        <v/>
      </c>
      <c r="EB30" s="36" t="str">
        <f t="shared" si="31"/>
        <v/>
      </c>
      <c r="EC30" s="37"/>
      <c r="ED30" s="33"/>
      <c r="EE30" s="34"/>
      <c r="EF30" s="35" t="str">
        <f t="shared" si="32"/>
        <v/>
      </c>
      <c r="EG30" s="36" t="str">
        <f t="shared" si="33"/>
        <v/>
      </c>
      <c r="EH30" s="37"/>
      <c r="EI30" s="33"/>
      <c r="EJ30" s="34"/>
      <c r="EK30" s="35" t="str">
        <f t="shared" si="34"/>
        <v/>
      </c>
      <c r="EL30" s="36" t="str">
        <f t="shared" si="35"/>
        <v/>
      </c>
      <c r="EM30" s="37"/>
      <c r="EN30" s="33"/>
      <c r="EO30" s="34"/>
      <c r="EP30" s="35" t="str">
        <f t="shared" si="36"/>
        <v/>
      </c>
      <c r="EQ30" s="36" t="str">
        <f t="shared" si="37"/>
        <v/>
      </c>
      <c r="ER30" s="37"/>
      <c r="ES30" s="33"/>
      <c r="ET30" s="34"/>
      <c r="EU30" s="35" t="str">
        <f t="shared" si="38"/>
        <v/>
      </c>
      <c r="EV30" s="36" t="str">
        <f t="shared" si="39"/>
        <v/>
      </c>
      <c r="EW30" s="37"/>
    </row>
    <row r="31" spans="1:153" ht="19.5" customHeight="1">
      <c r="A31" s="32">
        <f>IF(DAY(DATE(対象年度,4,28))&lt;&gt;28,"",28)</f>
        <v>28</v>
      </c>
      <c r="B31" s="32" t="str">
        <f>IF(DAY(DATE(対象年度,4,28))&lt;&gt;28,"",CHOOSE(WEEKDAY(DATE(対象年度,4,28),2),"月","火","水","木","金","土","日"))</f>
        <v>火</v>
      </c>
      <c r="C31" s="32" t="str">
        <f>IF(DAY(DATE(対象年度,4,28))&lt;&gt;28,"",IF(ISNUMBER(MATCH(DATE(対象年度,4,28),祝日リスト,0)),"祝",""))</f>
        <v/>
      </c>
      <c r="D31" s="38"/>
      <c r="E31" s="34"/>
      <c r="F31" s="35"/>
      <c r="G31" s="36"/>
      <c r="H31" s="37"/>
      <c r="I31" s="33"/>
      <c r="J31" s="34"/>
      <c r="K31" s="35"/>
      <c r="L31" s="36"/>
      <c r="M31" s="37"/>
      <c r="N31" s="33"/>
      <c r="O31" s="34"/>
      <c r="P31" s="35"/>
      <c r="Q31" s="36"/>
      <c r="R31" s="37"/>
      <c r="S31" s="33"/>
      <c r="T31" s="34"/>
      <c r="U31" s="35"/>
      <c r="V31" s="36"/>
      <c r="W31" s="37"/>
      <c r="X31" s="33"/>
      <c r="Y31" s="34"/>
      <c r="Z31" s="35"/>
      <c r="AA31" s="36"/>
      <c r="AB31" s="37"/>
      <c r="AC31" s="33"/>
      <c r="AD31" s="34"/>
      <c r="AE31" s="35"/>
      <c r="AF31" s="36"/>
      <c r="AG31" s="37"/>
      <c r="AH31" s="33"/>
      <c r="AI31" s="34"/>
      <c r="AJ31" s="35" t="str">
        <f t="shared" si="0"/>
        <v/>
      </c>
      <c r="AK31" s="36" t="str">
        <f t="shared" si="1"/>
        <v/>
      </c>
      <c r="AL31" s="37"/>
      <c r="AM31" s="33"/>
      <c r="AN31" s="34"/>
      <c r="AO31" s="35"/>
      <c r="AP31" s="36"/>
      <c r="AQ31" s="37"/>
      <c r="AR31" s="33"/>
      <c r="AS31" s="34"/>
      <c r="AT31" s="35"/>
      <c r="AU31" s="36"/>
      <c r="AV31" s="37"/>
      <c r="AW31" s="33"/>
      <c r="AX31" s="34"/>
      <c r="AY31" s="35"/>
      <c r="AZ31" s="36"/>
      <c r="BA31" s="37"/>
      <c r="BB31" s="38"/>
      <c r="BC31" s="34"/>
      <c r="BD31" s="35"/>
      <c r="BE31" s="36"/>
      <c r="BF31" s="37"/>
      <c r="BG31" s="33"/>
      <c r="BH31" s="34"/>
      <c r="BI31" s="35" t="str">
        <f t="shared" si="2"/>
        <v/>
      </c>
      <c r="BJ31" s="36" t="str">
        <f t="shared" si="3"/>
        <v/>
      </c>
      <c r="BK31" s="37"/>
      <c r="BL31" s="33"/>
      <c r="BM31" s="34"/>
      <c r="BN31" s="35" t="str">
        <f t="shared" si="4"/>
        <v/>
      </c>
      <c r="BO31" s="36" t="str">
        <f t="shared" si="5"/>
        <v/>
      </c>
      <c r="BP31" s="37"/>
      <c r="BQ31" s="33"/>
      <c r="BR31" s="34"/>
      <c r="BS31" s="35" t="str">
        <f t="shared" si="6"/>
        <v/>
      </c>
      <c r="BT31" s="36" t="str">
        <f t="shared" si="7"/>
        <v/>
      </c>
      <c r="BU31" s="37"/>
      <c r="BV31" s="33"/>
      <c r="BW31" s="34"/>
      <c r="BX31" s="35" t="str">
        <f t="shared" si="8"/>
        <v/>
      </c>
      <c r="BY31" s="36" t="str">
        <f t="shared" si="9"/>
        <v/>
      </c>
      <c r="BZ31" s="37"/>
      <c r="CA31" s="33"/>
      <c r="CB31" s="34"/>
      <c r="CC31" s="35" t="str">
        <f t="shared" si="10"/>
        <v/>
      </c>
      <c r="CD31" s="36" t="str">
        <f t="shared" si="11"/>
        <v/>
      </c>
      <c r="CE31" s="37"/>
      <c r="CF31" s="33"/>
      <c r="CG31" s="34"/>
      <c r="CH31" s="35" t="str">
        <f t="shared" si="12"/>
        <v/>
      </c>
      <c r="CI31" s="36" t="str">
        <f t="shared" si="13"/>
        <v/>
      </c>
      <c r="CJ31" s="37"/>
      <c r="CK31" s="33"/>
      <c r="CL31" s="34"/>
      <c r="CM31" s="35" t="str">
        <f t="shared" si="14"/>
        <v/>
      </c>
      <c r="CN31" s="36" t="str">
        <f t="shared" si="15"/>
        <v/>
      </c>
      <c r="CO31" s="37"/>
      <c r="CP31" s="33"/>
      <c r="CQ31" s="34"/>
      <c r="CR31" s="35" t="str">
        <f t="shared" si="16"/>
        <v/>
      </c>
      <c r="CS31" s="36" t="str">
        <f t="shared" si="17"/>
        <v/>
      </c>
      <c r="CT31" s="37"/>
      <c r="CU31" s="33"/>
      <c r="CV31" s="34"/>
      <c r="CW31" s="35" t="str">
        <f t="shared" si="18"/>
        <v/>
      </c>
      <c r="CX31" s="36" t="str">
        <f t="shared" si="19"/>
        <v/>
      </c>
      <c r="CY31" s="37"/>
      <c r="CZ31" s="33"/>
      <c r="DA31" s="34"/>
      <c r="DB31" s="35" t="str">
        <f t="shared" si="20"/>
        <v/>
      </c>
      <c r="DC31" s="36" t="str">
        <f t="shared" si="21"/>
        <v/>
      </c>
      <c r="DD31" s="37"/>
      <c r="DE31" s="33"/>
      <c r="DF31" s="34"/>
      <c r="DG31" s="35" t="str">
        <f t="shared" si="22"/>
        <v/>
      </c>
      <c r="DH31" s="36" t="str">
        <f t="shared" si="23"/>
        <v/>
      </c>
      <c r="DI31" s="37"/>
      <c r="DJ31" s="33"/>
      <c r="DK31" s="34"/>
      <c r="DL31" s="35" t="str">
        <f t="shared" si="24"/>
        <v/>
      </c>
      <c r="DM31" s="36" t="str">
        <f t="shared" si="25"/>
        <v/>
      </c>
      <c r="DN31" s="37"/>
      <c r="DO31" s="33"/>
      <c r="DP31" s="34"/>
      <c r="DQ31" s="35" t="str">
        <f t="shared" si="26"/>
        <v/>
      </c>
      <c r="DR31" s="36" t="str">
        <f t="shared" si="27"/>
        <v/>
      </c>
      <c r="DS31" s="37"/>
      <c r="DT31" s="33"/>
      <c r="DU31" s="34"/>
      <c r="DV31" s="35" t="str">
        <f t="shared" si="28"/>
        <v/>
      </c>
      <c r="DW31" s="36" t="str">
        <f t="shared" si="29"/>
        <v/>
      </c>
      <c r="DX31" s="37"/>
      <c r="DY31" s="33"/>
      <c r="DZ31" s="34"/>
      <c r="EA31" s="35" t="str">
        <f t="shared" si="30"/>
        <v/>
      </c>
      <c r="EB31" s="36" t="str">
        <f t="shared" si="31"/>
        <v/>
      </c>
      <c r="EC31" s="37"/>
      <c r="ED31" s="33"/>
      <c r="EE31" s="34"/>
      <c r="EF31" s="35" t="str">
        <f t="shared" si="32"/>
        <v/>
      </c>
      <c r="EG31" s="36" t="str">
        <f t="shared" si="33"/>
        <v/>
      </c>
      <c r="EH31" s="37"/>
      <c r="EI31" s="33"/>
      <c r="EJ31" s="34"/>
      <c r="EK31" s="35" t="str">
        <f t="shared" si="34"/>
        <v/>
      </c>
      <c r="EL31" s="36" t="str">
        <f t="shared" si="35"/>
        <v/>
      </c>
      <c r="EM31" s="37"/>
      <c r="EN31" s="33"/>
      <c r="EO31" s="34"/>
      <c r="EP31" s="35" t="str">
        <f t="shared" si="36"/>
        <v/>
      </c>
      <c r="EQ31" s="36" t="str">
        <f t="shared" si="37"/>
        <v/>
      </c>
      <c r="ER31" s="37"/>
      <c r="ES31" s="33"/>
      <c r="ET31" s="34"/>
      <c r="EU31" s="35" t="str">
        <f t="shared" si="38"/>
        <v/>
      </c>
      <c r="EV31" s="36" t="str">
        <f t="shared" si="39"/>
        <v/>
      </c>
      <c r="EW31" s="37"/>
    </row>
    <row r="32" spans="1:153" ht="19.5" customHeight="1">
      <c r="A32" s="32">
        <f>IF(DAY(DATE(対象年度,4,29))&lt;&gt;29,"",29)</f>
        <v>29</v>
      </c>
      <c r="B32" s="32" t="str">
        <f>IF(DAY(DATE(対象年度,4,29))&lt;&gt;29,"",CHOOSE(WEEKDAY(DATE(対象年度,4,29),2),"月","火","水","木","金","土","日"))</f>
        <v>水</v>
      </c>
      <c r="C32" s="32" t="str">
        <f>IF(DAY(DATE(対象年度,4,29))&lt;&gt;29,"",IF(ISNUMBER(MATCH(DATE(対象年度,4,29),祝日リスト,0)),"祝",""))</f>
        <v>祝</v>
      </c>
      <c r="D32" s="33"/>
      <c r="E32" s="34"/>
      <c r="F32" s="35"/>
      <c r="G32" s="36"/>
      <c r="H32" s="37"/>
      <c r="I32" s="33"/>
      <c r="J32" s="34"/>
      <c r="K32" s="35"/>
      <c r="L32" s="36"/>
      <c r="M32" s="37"/>
      <c r="N32" s="33"/>
      <c r="O32" s="34"/>
      <c r="P32" s="35"/>
      <c r="Q32" s="36"/>
      <c r="R32" s="37"/>
      <c r="S32" s="33"/>
      <c r="T32" s="34"/>
      <c r="U32" s="35"/>
      <c r="V32" s="36"/>
      <c r="W32" s="37"/>
      <c r="X32" s="33"/>
      <c r="Y32" s="34"/>
      <c r="Z32" s="35"/>
      <c r="AA32" s="36"/>
      <c r="AB32" s="37"/>
      <c r="AC32" s="33"/>
      <c r="AD32" s="34"/>
      <c r="AE32" s="35"/>
      <c r="AF32" s="36"/>
      <c r="AG32" s="37"/>
      <c r="AH32" s="33"/>
      <c r="AI32" s="34"/>
      <c r="AJ32" s="35" t="str">
        <f t="shared" si="0"/>
        <v/>
      </c>
      <c r="AK32" s="36" t="str">
        <f t="shared" si="1"/>
        <v/>
      </c>
      <c r="AL32" s="37"/>
      <c r="AM32" s="33"/>
      <c r="AN32" s="34"/>
      <c r="AO32" s="35"/>
      <c r="AP32" s="36"/>
      <c r="AQ32" s="37"/>
      <c r="AR32" s="33"/>
      <c r="AS32" s="34"/>
      <c r="AT32" s="35"/>
      <c r="AU32" s="36"/>
      <c r="AV32" s="37"/>
      <c r="AW32" s="33"/>
      <c r="AX32" s="34"/>
      <c r="AY32" s="35"/>
      <c r="AZ32" s="36"/>
      <c r="BA32" s="37"/>
      <c r="BB32" s="33"/>
      <c r="BC32" s="34"/>
      <c r="BD32" s="35"/>
      <c r="BE32" s="36"/>
      <c r="BF32" s="37"/>
      <c r="BG32" s="33"/>
      <c r="BH32" s="34"/>
      <c r="BI32" s="35" t="str">
        <f t="shared" si="2"/>
        <v/>
      </c>
      <c r="BJ32" s="36" t="str">
        <f t="shared" si="3"/>
        <v/>
      </c>
      <c r="BK32" s="37"/>
      <c r="BL32" s="33"/>
      <c r="BM32" s="34"/>
      <c r="BN32" s="35" t="str">
        <f t="shared" si="4"/>
        <v/>
      </c>
      <c r="BO32" s="36" t="str">
        <f t="shared" si="5"/>
        <v/>
      </c>
      <c r="BP32" s="37"/>
      <c r="BQ32" s="33"/>
      <c r="BR32" s="34"/>
      <c r="BS32" s="35" t="str">
        <f t="shared" si="6"/>
        <v/>
      </c>
      <c r="BT32" s="36" t="str">
        <f t="shared" si="7"/>
        <v/>
      </c>
      <c r="BU32" s="37"/>
      <c r="BV32" s="33"/>
      <c r="BW32" s="34"/>
      <c r="BX32" s="35" t="str">
        <f t="shared" si="8"/>
        <v/>
      </c>
      <c r="BY32" s="36" t="str">
        <f t="shared" si="9"/>
        <v/>
      </c>
      <c r="BZ32" s="37"/>
      <c r="CA32" s="33"/>
      <c r="CB32" s="34"/>
      <c r="CC32" s="35" t="str">
        <f t="shared" si="10"/>
        <v/>
      </c>
      <c r="CD32" s="36" t="str">
        <f t="shared" si="11"/>
        <v/>
      </c>
      <c r="CE32" s="37"/>
      <c r="CF32" s="33"/>
      <c r="CG32" s="34"/>
      <c r="CH32" s="35" t="str">
        <f t="shared" si="12"/>
        <v/>
      </c>
      <c r="CI32" s="36" t="str">
        <f t="shared" si="13"/>
        <v/>
      </c>
      <c r="CJ32" s="37"/>
      <c r="CK32" s="33"/>
      <c r="CL32" s="34"/>
      <c r="CM32" s="35" t="str">
        <f t="shared" si="14"/>
        <v/>
      </c>
      <c r="CN32" s="36" t="str">
        <f t="shared" si="15"/>
        <v/>
      </c>
      <c r="CO32" s="37"/>
      <c r="CP32" s="33"/>
      <c r="CQ32" s="34"/>
      <c r="CR32" s="35" t="str">
        <f t="shared" si="16"/>
        <v/>
      </c>
      <c r="CS32" s="36" t="str">
        <f t="shared" si="17"/>
        <v/>
      </c>
      <c r="CT32" s="37"/>
      <c r="CU32" s="33"/>
      <c r="CV32" s="34"/>
      <c r="CW32" s="35" t="str">
        <f t="shared" si="18"/>
        <v/>
      </c>
      <c r="CX32" s="36" t="str">
        <f t="shared" si="19"/>
        <v/>
      </c>
      <c r="CY32" s="37"/>
      <c r="CZ32" s="33"/>
      <c r="DA32" s="34"/>
      <c r="DB32" s="35" t="str">
        <f t="shared" si="20"/>
        <v/>
      </c>
      <c r="DC32" s="36" t="str">
        <f t="shared" si="21"/>
        <v/>
      </c>
      <c r="DD32" s="37"/>
      <c r="DE32" s="33"/>
      <c r="DF32" s="34"/>
      <c r="DG32" s="35" t="str">
        <f t="shared" si="22"/>
        <v/>
      </c>
      <c r="DH32" s="36" t="str">
        <f t="shared" si="23"/>
        <v/>
      </c>
      <c r="DI32" s="37"/>
      <c r="DJ32" s="33"/>
      <c r="DK32" s="34"/>
      <c r="DL32" s="35" t="str">
        <f t="shared" si="24"/>
        <v/>
      </c>
      <c r="DM32" s="36" t="str">
        <f t="shared" si="25"/>
        <v/>
      </c>
      <c r="DN32" s="37"/>
      <c r="DO32" s="33"/>
      <c r="DP32" s="34"/>
      <c r="DQ32" s="35" t="str">
        <f t="shared" si="26"/>
        <v/>
      </c>
      <c r="DR32" s="36" t="str">
        <f t="shared" si="27"/>
        <v/>
      </c>
      <c r="DS32" s="37"/>
      <c r="DT32" s="33"/>
      <c r="DU32" s="34"/>
      <c r="DV32" s="35" t="str">
        <f t="shared" si="28"/>
        <v/>
      </c>
      <c r="DW32" s="36" t="str">
        <f t="shared" si="29"/>
        <v/>
      </c>
      <c r="DX32" s="37"/>
      <c r="DY32" s="33"/>
      <c r="DZ32" s="34"/>
      <c r="EA32" s="35" t="str">
        <f t="shared" si="30"/>
        <v/>
      </c>
      <c r="EB32" s="36" t="str">
        <f t="shared" si="31"/>
        <v/>
      </c>
      <c r="EC32" s="37"/>
      <c r="ED32" s="33"/>
      <c r="EE32" s="34"/>
      <c r="EF32" s="35" t="str">
        <f t="shared" si="32"/>
        <v/>
      </c>
      <c r="EG32" s="36" t="str">
        <f t="shared" si="33"/>
        <v/>
      </c>
      <c r="EH32" s="37"/>
      <c r="EI32" s="33"/>
      <c r="EJ32" s="34"/>
      <c r="EK32" s="35" t="str">
        <f t="shared" si="34"/>
        <v/>
      </c>
      <c r="EL32" s="36" t="str">
        <f t="shared" si="35"/>
        <v/>
      </c>
      <c r="EM32" s="37"/>
      <c r="EN32" s="33"/>
      <c r="EO32" s="34"/>
      <c r="EP32" s="35" t="str">
        <f t="shared" si="36"/>
        <v/>
      </c>
      <c r="EQ32" s="36" t="str">
        <f t="shared" si="37"/>
        <v/>
      </c>
      <c r="ER32" s="37"/>
      <c r="ES32" s="33"/>
      <c r="ET32" s="34"/>
      <c r="EU32" s="35" t="str">
        <f t="shared" si="38"/>
        <v/>
      </c>
      <c r="EV32" s="36" t="str">
        <f t="shared" si="39"/>
        <v/>
      </c>
      <c r="EW32" s="37"/>
    </row>
    <row r="33" spans="1:153" ht="19.5" customHeight="1">
      <c r="A33" s="32">
        <f>IF(DAY(DATE(対象年度,4,30))&lt;&gt;30,"",30)</f>
        <v>30</v>
      </c>
      <c r="B33" s="32" t="str">
        <f>IF(DAY(DATE(対象年度,4,30))&lt;&gt;30,"",CHOOSE(WEEKDAY(DATE(対象年度,4,30),2),"月","火","水","木","金","土","日"))</f>
        <v>木</v>
      </c>
      <c r="C33" s="32" t="str">
        <f>IF(DAY(DATE(対象年度,4,30))&lt;&gt;30,"",IF(ISNUMBER(MATCH(DATE(対象年度,4,30),祝日リスト,0)),"祝",""))</f>
        <v/>
      </c>
      <c r="D33" s="38"/>
      <c r="E33" s="34"/>
      <c r="F33" s="35"/>
      <c r="G33" s="36"/>
      <c r="H33" s="37"/>
      <c r="I33" s="33"/>
      <c r="J33" s="34"/>
      <c r="K33" s="35"/>
      <c r="L33" s="36"/>
      <c r="M33" s="37"/>
      <c r="N33" s="33"/>
      <c r="O33" s="34"/>
      <c r="P33" s="35"/>
      <c r="Q33" s="36"/>
      <c r="R33" s="37"/>
      <c r="S33" s="33"/>
      <c r="T33" s="34"/>
      <c r="U33" s="35"/>
      <c r="V33" s="36"/>
      <c r="W33" s="37"/>
      <c r="X33" s="33"/>
      <c r="Y33" s="34"/>
      <c r="Z33" s="35"/>
      <c r="AA33" s="36"/>
      <c r="AB33" s="37"/>
      <c r="AC33" s="33"/>
      <c r="AD33" s="34"/>
      <c r="AE33" s="35"/>
      <c r="AF33" s="36"/>
      <c r="AG33" s="37"/>
      <c r="AH33" s="33"/>
      <c r="AI33" s="34"/>
      <c r="AJ33" s="35" t="str">
        <f t="shared" si="0"/>
        <v/>
      </c>
      <c r="AK33" s="36" t="str">
        <f t="shared" si="1"/>
        <v/>
      </c>
      <c r="AL33" s="37"/>
      <c r="AM33" s="33"/>
      <c r="AN33" s="34"/>
      <c r="AO33" s="35"/>
      <c r="AP33" s="36"/>
      <c r="AQ33" s="37"/>
      <c r="AR33" s="33"/>
      <c r="AS33" s="34"/>
      <c r="AT33" s="35"/>
      <c r="AU33" s="36"/>
      <c r="AV33" s="37"/>
      <c r="AW33" s="33"/>
      <c r="AX33" s="34"/>
      <c r="AY33" s="35"/>
      <c r="AZ33" s="36"/>
      <c r="BA33" s="37"/>
      <c r="BB33" s="38"/>
      <c r="BC33" s="34"/>
      <c r="BD33" s="35"/>
      <c r="BE33" s="36"/>
      <c r="BF33" s="37"/>
      <c r="BG33" s="33"/>
      <c r="BH33" s="34"/>
      <c r="BI33" s="35" t="str">
        <f t="shared" si="2"/>
        <v/>
      </c>
      <c r="BJ33" s="36" t="str">
        <f t="shared" si="3"/>
        <v/>
      </c>
      <c r="BK33" s="37"/>
      <c r="BL33" s="33"/>
      <c r="BM33" s="34"/>
      <c r="BN33" s="35" t="str">
        <f t="shared" si="4"/>
        <v/>
      </c>
      <c r="BO33" s="36" t="str">
        <f t="shared" si="5"/>
        <v/>
      </c>
      <c r="BP33" s="37"/>
      <c r="BQ33" s="33"/>
      <c r="BR33" s="34"/>
      <c r="BS33" s="35" t="str">
        <f t="shared" si="6"/>
        <v/>
      </c>
      <c r="BT33" s="36" t="str">
        <f t="shared" si="7"/>
        <v/>
      </c>
      <c r="BU33" s="37"/>
      <c r="BV33" s="33"/>
      <c r="BW33" s="34"/>
      <c r="BX33" s="35" t="str">
        <f t="shared" si="8"/>
        <v/>
      </c>
      <c r="BY33" s="36" t="str">
        <f t="shared" si="9"/>
        <v/>
      </c>
      <c r="BZ33" s="37"/>
      <c r="CA33" s="33"/>
      <c r="CB33" s="34"/>
      <c r="CC33" s="35" t="str">
        <f t="shared" si="10"/>
        <v/>
      </c>
      <c r="CD33" s="36" t="str">
        <f t="shared" si="11"/>
        <v/>
      </c>
      <c r="CE33" s="37"/>
      <c r="CF33" s="33"/>
      <c r="CG33" s="34"/>
      <c r="CH33" s="35" t="str">
        <f t="shared" si="12"/>
        <v/>
      </c>
      <c r="CI33" s="36" t="str">
        <f t="shared" si="13"/>
        <v/>
      </c>
      <c r="CJ33" s="37"/>
      <c r="CK33" s="33"/>
      <c r="CL33" s="34"/>
      <c r="CM33" s="35" t="str">
        <f t="shared" si="14"/>
        <v/>
      </c>
      <c r="CN33" s="36" t="str">
        <f t="shared" si="15"/>
        <v/>
      </c>
      <c r="CO33" s="37"/>
      <c r="CP33" s="33"/>
      <c r="CQ33" s="34"/>
      <c r="CR33" s="35" t="str">
        <f t="shared" si="16"/>
        <v/>
      </c>
      <c r="CS33" s="36" t="str">
        <f t="shared" si="17"/>
        <v/>
      </c>
      <c r="CT33" s="37"/>
      <c r="CU33" s="33"/>
      <c r="CV33" s="34"/>
      <c r="CW33" s="35" t="str">
        <f t="shared" si="18"/>
        <v/>
      </c>
      <c r="CX33" s="36" t="str">
        <f t="shared" si="19"/>
        <v/>
      </c>
      <c r="CY33" s="37"/>
      <c r="CZ33" s="33"/>
      <c r="DA33" s="34"/>
      <c r="DB33" s="35" t="str">
        <f t="shared" si="20"/>
        <v/>
      </c>
      <c r="DC33" s="36" t="str">
        <f t="shared" si="21"/>
        <v/>
      </c>
      <c r="DD33" s="37"/>
      <c r="DE33" s="33"/>
      <c r="DF33" s="34"/>
      <c r="DG33" s="35" t="str">
        <f t="shared" si="22"/>
        <v/>
      </c>
      <c r="DH33" s="36" t="str">
        <f t="shared" si="23"/>
        <v/>
      </c>
      <c r="DI33" s="37"/>
      <c r="DJ33" s="33"/>
      <c r="DK33" s="34"/>
      <c r="DL33" s="35" t="str">
        <f t="shared" si="24"/>
        <v/>
      </c>
      <c r="DM33" s="36" t="str">
        <f t="shared" si="25"/>
        <v/>
      </c>
      <c r="DN33" s="37"/>
      <c r="DO33" s="33"/>
      <c r="DP33" s="34"/>
      <c r="DQ33" s="35" t="str">
        <f t="shared" si="26"/>
        <v/>
      </c>
      <c r="DR33" s="36" t="str">
        <f t="shared" si="27"/>
        <v/>
      </c>
      <c r="DS33" s="37"/>
      <c r="DT33" s="33"/>
      <c r="DU33" s="34"/>
      <c r="DV33" s="35" t="str">
        <f t="shared" si="28"/>
        <v/>
      </c>
      <c r="DW33" s="36" t="str">
        <f t="shared" si="29"/>
        <v/>
      </c>
      <c r="DX33" s="37"/>
      <c r="DY33" s="33"/>
      <c r="DZ33" s="34"/>
      <c r="EA33" s="35" t="str">
        <f t="shared" si="30"/>
        <v/>
      </c>
      <c r="EB33" s="36" t="str">
        <f t="shared" si="31"/>
        <v/>
      </c>
      <c r="EC33" s="37"/>
      <c r="ED33" s="33"/>
      <c r="EE33" s="34"/>
      <c r="EF33" s="35" t="str">
        <f t="shared" si="32"/>
        <v/>
      </c>
      <c r="EG33" s="36" t="str">
        <f t="shared" si="33"/>
        <v/>
      </c>
      <c r="EH33" s="37"/>
      <c r="EI33" s="33"/>
      <c r="EJ33" s="34"/>
      <c r="EK33" s="35" t="str">
        <f t="shared" si="34"/>
        <v/>
      </c>
      <c r="EL33" s="36" t="str">
        <f t="shared" si="35"/>
        <v/>
      </c>
      <c r="EM33" s="37"/>
      <c r="EN33" s="33"/>
      <c r="EO33" s="34"/>
      <c r="EP33" s="35" t="str">
        <f t="shared" si="36"/>
        <v/>
      </c>
      <c r="EQ33" s="36" t="str">
        <f t="shared" si="37"/>
        <v/>
      </c>
      <c r="ER33" s="37"/>
      <c r="ES33" s="33"/>
      <c r="ET33" s="34"/>
      <c r="EU33" s="35" t="str">
        <f t="shared" si="38"/>
        <v/>
      </c>
      <c r="EV33" s="36" t="str">
        <f t="shared" si="39"/>
        <v/>
      </c>
      <c r="EW33" s="37"/>
    </row>
    <row r="34" spans="1:153" ht="19.5" customHeight="1">
      <c r="A34" s="39" t="str">
        <f>IF(DAY(DATE(対象年度,4,31))&lt;&gt;31,"",31)</f>
        <v/>
      </c>
      <c r="B34" s="39" t="str">
        <f>IF(DAY(DATE(対象年度,4,31))&lt;&gt;31,"",CHOOSE(WEEKDAY(DATE(対象年度,4,31),2),"月","火","水","木","金","土","日"))</f>
        <v/>
      </c>
      <c r="C34" s="39" t="str">
        <f>IF(DAY(DATE(対象年度,4,31))&lt;&gt;31,"",IF(ISNUMBER(MATCH(DATE(対象年度,4,31),祝日リスト,0)),"祝",""))</f>
        <v/>
      </c>
      <c r="D34" s="40"/>
      <c r="E34" s="41"/>
      <c r="F34" s="42"/>
      <c r="G34" s="43"/>
      <c r="H34" s="44"/>
      <c r="I34" s="40"/>
      <c r="J34" s="41"/>
      <c r="K34" s="42"/>
      <c r="L34" s="43"/>
      <c r="M34" s="44"/>
      <c r="N34" s="40"/>
      <c r="O34" s="41"/>
      <c r="P34" s="42"/>
      <c r="Q34" s="43"/>
      <c r="R34" s="44"/>
      <c r="S34" s="40"/>
      <c r="T34" s="41"/>
      <c r="U34" s="42"/>
      <c r="V34" s="43"/>
      <c r="W34" s="44"/>
      <c r="X34" s="40"/>
      <c r="Y34" s="41"/>
      <c r="Z34" s="42"/>
      <c r="AA34" s="43"/>
      <c r="AB34" s="44"/>
      <c r="AC34" s="40"/>
      <c r="AD34" s="41"/>
      <c r="AE34" s="42"/>
      <c r="AF34" s="43"/>
      <c r="AG34" s="44"/>
      <c r="AH34" s="40"/>
      <c r="AI34" s="41"/>
      <c r="AJ34" s="42" t="str">
        <f t="shared" si="0"/>
        <v/>
      </c>
      <c r="AK34" s="43" t="str">
        <f t="shared" si="1"/>
        <v/>
      </c>
      <c r="AL34" s="44"/>
      <c r="AM34" s="40"/>
      <c r="AN34" s="41"/>
      <c r="AO34" s="42"/>
      <c r="AP34" s="43"/>
      <c r="AQ34" s="44"/>
      <c r="AR34" s="40"/>
      <c r="AS34" s="41"/>
      <c r="AT34" s="42"/>
      <c r="AU34" s="43"/>
      <c r="AV34" s="44"/>
      <c r="AW34" s="40"/>
      <c r="AX34" s="41"/>
      <c r="AY34" s="42"/>
      <c r="AZ34" s="43"/>
      <c r="BA34" s="44"/>
      <c r="BB34" s="40"/>
      <c r="BC34" s="41"/>
      <c r="BD34" s="42"/>
      <c r="BE34" s="43"/>
      <c r="BF34" s="44"/>
      <c r="BG34" s="40"/>
      <c r="BH34" s="41"/>
      <c r="BI34" s="42" t="str">
        <f t="shared" si="2"/>
        <v/>
      </c>
      <c r="BJ34" s="43" t="str">
        <f t="shared" si="3"/>
        <v/>
      </c>
      <c r="BK34" s="44"/>
      <c r="BL34" s="40"/>
      <c r="BM34" s="41"/>
      <c r="BN34" s="42" t="str">
        <f t="shared" si="4"/>
        <v/>
      </c>
      <c r="BO34" s="43" t="str">
        <f t="shared" si="5"/>
        <v/>
      </c>
      <c r="BP34" s="44"/>
      <c r="BQ34" s="40"/>
      <c r="BR34" s="41"/>
      <c r="BS34" s="42" t="str">
        <f t="shared" si="6"/>
        <v/>
      </c>
      <c r="BT34" s="43" t="str">
        <f t="shared" si="7"/>
        <v/>
      </c>
      <c r="BU34" s="44"/>
      <c r="BV34" s="40"/>
      <c r="BW34" s="41"/>
      <c r="BX34" s="42" t="str">
        <f t="shared" si="8"/>
        <v/>
      </c>
      <c r="BY34" s="43" t="str">
        <f t="shared" si="9"/>
        <v/>
      </c>
      <c r="BZ34" s="44"/>
      <c r="CA34" s="40"/>
      <c r="CB34" s="41"/>
      <c r="CC34" s="42" t="str">
        <f t="shared" si="10"/>
        <v/>
      </c>
      <c r="CD34" s="43" t="str">
        <f t="shared" si="11"/>
        <v/>
      </c>
      <c r="CE34" s="44"/>
      <c r="CF34" s="40"/>
      <c r="CG34" s="41"/>
      <c r="CH34" s="42" t="str">
        <f t="shared" si="12"/>
        <v/>
      </c>
      <c r="CI34" s="43" t="str">
        <f t="shared" si="13"/>
        <v/>
      </c>
      <c r="CJ34" s="44"/>
      <c r="CK34" s="40"/>
      <c r="CL34" s="41"/>
      <c r="CM34" s="42" t="str">
        <f t="shared" si="14"/>
        <v/>
      </c>
      <c r="CN34" s="43" t="str">
        <f t="shared" si="15"/>
        <v/>
      </c>
      <c r="CO34" s="44"/>
      <c r="CP34" s="40"/>
      <c r="CQ34" s="41"/>
      <c r="CR34" s="42" t="str">
        <f t="shared" si="16"/>
        <v/>
      </c>
      <c r="CS34" s="43" t="str">
        <f t="shared" si="17"/>
        <v/>
      </c>
      <c r="CT34" s="44"/>
      <c r="CU34" s="40"/>
      <c r="CV34" s="41"/>
      <c r="CW34" s="42" t="str">
        <f t="shared" si="18"/>
        <v/>
      </c>
      <c r="CX34" s="43" t="str">
        <f t="shared" si="19"/>
        <v/>
      </c>
      <c r="CY34" s="44"/>
      <c r="CZ34" s="40"/>
      <c r="DA34" s="41"/>
      <c r="DB34" s="42" t="str">
        <f t="shared" si="20"/>
        <v/>
      </c>
      <c r="DC34" s="43" t="str">
        <f t="shared" si="21"/>
        <v/>
      </c>
      <c r="DD34" s="44"/>
      <c r="DE34" s="40"/>
      <c r="DF34" s="41"/>
      <c r="DG34" s="42" t="str">
        <f t="shared" si="22"/>
        <v/>
      </c>
      <c r="DH34" s="43" t="str">
        <f t="shared" si="23"/>
        <v/>
      </c>
      <c r="DI34" s="44"/>
      <c r="DJ34" s="40"/>
      <c r="DK34" s="41"/>
      <c r="DL34" s="42" t="str">
        <f t="shared" si="24"/>
        <v/>
      </c>
      <c r="DM34" s="43" t="str">
        <f t="shared" si="25"/>
        <v/>
      </c>
      <c r="DN34" s="44"/>
      <c r="DO34" s="40"/>
      <c r="DP34" s="41"/>
      <c r="DQ34" s="42" t="str">
        <f t="shared" si="26"/>
        <v/>
      </c>
      <c r="DR34" s="43" t="str">
        <f t="shared" si="27"/>
        <v/>
      </c>
      <c r="DS34" s="44"/>
      <c r="DT34" s="40"/>
      <c r="DU34" s="41"/>
      <c r="DV34" s="42" t="str">
        <f t="shared" si="28"/>
        <v/>
      </c>
      <c r="DW34" s="43" t="str">
        <f t="shared" si="29"/>
        <v/>
      </c>
      <c r="DX34" s="44"/>
      <c r="DY34" s="40"/>
      <c r="DZ34" s="41"/>
      <c r="EA34" s="42" t="str">
        <f t="shared" si="30"/>
        <v/>
      </c>
      <c r="EB34" s="43" t="str">
        <f t="shared" si="31"/>
        <v/>
      </c>
      <c r="EC34" s="44"/>
      <c r="ED34" s="40"/>
      <c r="EE34" s="41"/>
      <c r="EF34" s="42" t="str">
        <f t="shared" si="32"/>
        <v/>
      </c>
      <c r="EG34" s="43" t="str">
        <f t="shared" si="33"/>
        <v/>
      </c>
      <c r="EH34" s="44"/>
      <c r="EI34" s="40"/>
      <c r="EJ34" s="41"/>
      <c r="EK34" s="42" t="str">
        <f t="shared" si="34"/>
        <v/>
      </c>
      <c r="EL34" s="43" t="str">
        <f t="shared" si="35"/>
        <v/>
      </c>
      <c r="EM34" s="44"/>
      <c r="EN34" s="40"/>
      <c r="EO34" s="41"/>
      <c r="EP34" s="42" t="str">
        <f t="shared" si="36"/>
        <v/>
      </c>
      <c r="EQ34" s="43" t="str">
        <f t="shared" si="37"/>
        <v/>
      </c>
      <c r="ER34" s="44"/>
      <c r="ES34" s="40"/>
      <c r="ET34" s="41"/>
      <c r="EU34" s="42" t="str">
        <f t="shared" si="38"/>
        <v/>
      </c>
      <c r="EV34" s="43" t="str">
        <f t="shared" si="3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0</v>
      </c>
      <c r="E35" s="94"/>
      <c r="F35" s="94"/>
      <c r="G35" s="94"/>
      <c r="H35" s="94"/>
      <c r="I35" s="94">
        <f>COUNTIF(K4:K34,"○")</f>
        <v>0</v>
      </c>
      <c r="J35" s="94"/>
      <c r="K35" s="94"/>
      <c r="L35" s="94"/>
      <c r="M35" s="94"/>
      <c r="N35" s="94">
        <f>COUNTIF(P4:P34,"○")</f>
        <v>0</v>
      </c>
      <c r="O35" s="94"/>
      <c r="P35" s="94"/>
      <c r="Q35" s="94"/>
      <c r="R35" s="94"/>
      <c r="S35" s="94">
        <f>COUNTIF(U4:U34,"○")</f>
        <v>0</v>
      </c>
      <c r="T35" s="94"/>
      <c r="U35" s="94"/>
      <c r="V35" s="94"/>
      <c r="W35" s="94"/>
      <c r="X35" s="94">
        <f>COUNTIF(Z4:Z34,"○")</f>
        <v>0</v>
      </c>
      <c r="Y35" s="94"/>
      <c r="Z35" s="94"/>
      <c r="AA35" s="94"/>
      <c r="AB35" s="94"/>
      <c r="AC35" s="94">
        <f>COUNTIF(AE4:AE34,"○")</f>
        <v>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0</v>
      </c>
      <c r="E37" s="98"/>
      <c r="F37" s="98"/>
      <c r="G37" s="98"/>
      <c r="H37" s="98"/>
      <c r="I37" s="98">
        <f>I35+I36</f>
        <v>0</v>
      </c>
      <c r="J37" s="98"/>
      <c r="K37" s="98"/>
      <c r="L37" s="98"/>
      <c r="M37" s="98"/>
      <c r="N37" s="98">
        <f>N35+N36</f>
        <v>0</v>
      </c>
      <c r="O37" s="98"/>
      <c r="P37" s="98"/>
      <c r="Q37" s="98"/>
      <c r="R37" s="98"/>
      <c r="S37" s="98">
        <f>S35+S36</f>
        <v>0</v>
      </c>
      <c r="T37" s="98"/>
      <c r="U37" s="98"/>
      <c r="V37" s="98"/>
      <c r="W37" s="98"/>
      <c r="X37" s="98">
        <f>X35+X36</f>
        <v>0</v>
      </c>
      <c r="Y37" s="98"/>
      <c r="Z37" s="98"/>
      <c r="AA37" s="98"/>
      <c r="AB37" s="98"/>
      <c r="AC37" s="98">
        <f>AC35+AC36</f>
        <v>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0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631" priority="63">
      <formula>$B4="日"</formula>
    </cfRule>
    <cfRule type="expression" dxfId="630" priority="64">
      <formula>$B4="土"</formula>
    </cfRule>
    <cfRule type="expression" dxfId="629" priority="62">
      <formula>AND($A4&lt;&gt;"",ISNUMBER(MATCH(DATE(対象年度,4,$A4),祝日リスト,0)))</formula>
    </cfRule>
  </conditionalFormatting>
  <conditionalFormatting sqref="D4:D34">
    <cfRule type="expression" dxfId="628" priority="3">
      <formula>$D4="休業"</formula>
    </cfRule>
    <cfRule type="expression" dxfId="627" priority="2">
      <formula>$D4="有給"</formula>
    </cfRule>
  </conditionalFormatting>
  <conditionalFormatting sqref="I4:I34">
    <cfRule type="expression" dxfId="626" priority="4">
      <formula>$I4="有給"</formula>
    </cfRule>
    <cfRule type="expression" dxfId="625" priority="5">
      <formula>$I4="休業"</formula>
    </cfRule>
  </conditionalFormatting>
  <conditionalFormatting sqref="N4:N34">
    <cfRule type="expression" dxfId="624" priority="6">
      <formula>$N4="有給"</formula>
    </cfRule>
    <cfRule type="expression" dxfId="623" priority="7">
      <formula>$N4="休業"</formula>
    </cfRule>
  </conditionalFormatting>
  <conditionalFormatting sqref="S4:S34">
    <cfRule type="expression" dxfId="622" priority="8">
      <formula>$S4="有給"</formula>
    </cfRule>
    <cfRule type="expression" dxfId="621" priority="9">
      <formula>$S4="休業"</formula>
    </cfRule>
  </conditionalFormatting>
  <conditionalFormatting sqref="X4:X34">
    <cfRule type="expression" dxfId="620" priority="10">
      <formula>$X4="有給"</formula>
    </cfRule>
    <cfRule type="expression" dxfId="619" priority="11">
      <formula>$X4="休業"</formula>
    </cfRule>
  </conditionalFormatting>
  <conditionalFormatting sqref="AC4:AC34">
    <cfRule type="expression" dxfId="618" priority="12">
      <formula>$AC4="有給"</formula>
    </cfRule>
    <cfRule type="expression" dxfId="617" priority="13">
      <formula>$AC4="休業"</formula>
    </cfRule>
  </conditionalFormatting>
  <conditionalFormatting sqref="AH4:AH34">
    <cfRule type="expression" dxfId="616" priority="14">
      <formula>$AH4="有給"</formula>
    </cfRule>
    <cfRule type="expression" dxfId="615" priority="15">
      <formula>$AH4="休業"</formula>
    </cfRule>
  </conditionalFormatting>
  <conditionalFormatting sqref="AM4:AM34">
    <cfRule type="expression" dxfId="614" priority="17">
      <formula>$AM4="休業"</formula>
    </cfRule>
    <cfRule type="expression" dxfId="613" priority="16">
      <formula>$AM4="有給"</formula>
    </cfRule>
  </conditionalFormatting>
  <conditionalFormatting sqref="AR4:AR34">
    <cfRule type="expression" dxfId="612" priority="19">
      <formula>$AR4="休業"</formula>
    </cfRule>
    <cfRule type="expression" dxfId="611" priority="18">
      <formula>$AR4="有給"</formula>
    </cfRule>
  </conditionalFormatting>
  <conditionalFormatting sqref="AW4:AW34">
    <cfRule type="expression" dxfId="610" priority="20">
      <formula>$AW4="有給"</formula>
    </cfRule>
    <cfRule type="expression" dxfId="609" priority="21">
      <formula>$AW4="休業"</formula>
    </cfRule>
  </conditionalFormatting>
  <conditionalFormatting sqref="BB4:BB34">
    <cfRule type="expression" dxfId="608" priority="22">
      <formula>$BB4="有給"</formula>
    </cfRule>
    <cfRule type="expression" dxfId="607" priority="23">
      <formula>$BB4="休業"</formula>
    </cfRule>
  </conditionalFormatting>
  <conditionalFormatting sqref="BG4:BG34">
    <cfRule type="expression" dxfId="606" priority="24">
      <formula>$BG4="有給"</formula>
    </cfRule>
    <cfRule type="expression" dxfId="605" priority="25">
      <formula>$BG4="休業"</formula>
    </cfRule>
  </conditionalFormatting>
  <conditionalFormatting sqref="BL4:BL34">
    <cfRule type="expression" dxfId="604" priority="26">
      <formula>$BL4="有給"</formula>
    </cfRule>
    <cfRule type="expression" dxfId="603" priority="27">
      <formula>$BL4="休業"</formula>
    </cfRule>
  </conditionalFormatting>
  <conditionalFormatting sqref="BQ4:BQ34">
    <cfRule type="expression" dxfId="602" priority="28">
      <formula>$BQ4="有給"</formula>
    </cfRule>
    <cfRule type="expression" dxfId="601" priority="29">
      <formula>$BQ4="休業"</formula>
    </cfRule>
  </conditionalFormatting>
  <conditionalFormatting sqref="BV4:BV34">
    <cfRule type="expression" dxfId="600" priority="30">
      <formula>$BV4="有給"</formula>
    </cfRule>
    <cfRule type="expression" dxfId="599" priority="31">
      <formula>$BV4="休業"</formula>
    </cfRule>
  </conditionalFormatting>
  <conditionalFormatting sqref="CA4:CA34">
    <cfRule type="expression" dxfId="598" priority="33">
      <formula>$CA4="休業"</formula>
    </cfRule>
    <cfRule type="expression" dxfId="597" priority="32">
      <formula>$CA4="有給"</formula>
    </cfRule>
  </conditionalFormatting>
  <conditionalFormatting sqref="CF4:CF34">
    <cfRule type="expression" dxfId="596" priority="34">
      <formula>$CF4="有給"</formula>
    </cfRule>
    <cfRule type="expression" dxfId="595" priority="35">
      <formula>$CF4="休業"</formula>
    </cfRule>
  </conditionalFormatting>
  <conditionalFormatting sqref="CK4:CK34">
    <cfRule type="expression" dxfId="594" priority="37">
      <formula>$CK4="休業"</formula>
    </cfRule>
    <cfRule type="expression" dxfId="593" priority="36">
      <formula>$CK4="有給"</formula>
    </cfRule>
  </conditionalFormatting>
  <conditionalFormatting sqref="CP4:CP34">
    <cfRule type="expression" dxfId="592" priority="38">
      <formula>$CP4="有給"</formula>
    </cfRule>
    <cfRule type="expression" dxfId="591" priority="39">
      <formula>$CP4="休業"</formula>
    </cfRule>
  </conditionalFormatting>
  <conditionalFormatting sqref="CU4:CU34">
    <cfRule type="expression" dxfId="590" priority="40">
      <formula>$CU4="有給"</formula>
    </cfRule>
    <cfRule type="expression" dxfId="589" priority="41">
      <formula>$CU4="休業"</formula>
    </cfRule>
  </conditionalFormatting>
  <conditionalFormatting sqref="CZ4:CZ34">
    <cfRule type="expression" dxfId="588" priority="42">
      <formula>$CZ4="有給"</formula>
    </cfRule>
    <cfRule type="expression" dxfId="587" priority="43">
      <formula>$CZ4="休業"</formula>
    </cfRule>
  </conditionalFormatting>
  <conditionalFormatting sqref="DE4:DE34">
    <cfRule type="expression" dxfId="586" priority="44">
      <formula>$DE4="有給"</formula>
    </cfRule>
    <cfRule type="expression" dxfId="585" priority="45">
      <formula>$DE4="休業"</formula>
    </cfRule>
  </conditionalFormatting>
  <conditionalFormatting sqref="DJ4:DJ34">
    <cfRule type="expression" dxfId="584" priority="46">
      <formula>$DJ4="有給"</formula>
    </cfRule>
    <cfRule type="expression" dxfId="583" priority="47">
      <formula>$DJ4="休業"</formula>
    </cfRule>
  </conditionalFormatting>
  <conditionalFormatting sqref="DO4:DO34">
    <cfRule type="expression" dxfId="582" priority="48">
      <formula>$DO4="有給"</formula>
    </cfRule>
    <cfRule type="expression" dxfId="581" priority="49">
      <formula>$DO4="休業"</formula>
    </cfRule>
  </conditionalFormatting>
  <conditionalFormatting sqref="DT4:DT34">
    <cfRule type="expression" dxfId="580" priority="51">
      <formula>$DT4="休業"</formula>
    </cfRule>
    <cfRule type="expression" dxfId="579" priority="50">
      <formula>$DT4="有給"</formula>
    </cfRule>
  </conditionalFormatting>
  <conditionalFormatting sqref="DY4:DY34">
    <cfRule type="expression" dxfId="578" priority="52">
      <formula>$DY4="有給"</formula>
    </cfRule>
    <cfRule type="expression" dxfId="577" priority="53">
      <formula>$DY4="休業"</formula>
    </cfRule>
  </conditionalFormatting>
  <conditionalFormatting sqref="ED4:ED34">
    <cfRule type="expression" dxfId="576" priority="54">
      <formula>$ED4="有給"</formula>
    </cfRule>
    <cfRule type="expression" dxfId="575" priority="55">
      <formula>$ED4="休業"</formula>
    </cfRule>
  </conditionalFormatting>
  <conditionalFormatting sqref="EI4:EI34">
    <cfRule type="expression" dxfId="574" priority="56">
      <formula>$EI4="有給"</formula>
    </cfRule>
    <cfRule type="expression" dxfId="573" priority="57">
      <formula>$EI4="休業"</formula>
    </cfRule>
  </conditionalFormatting>
  <conditionalFormatting sqref="EN4:EN34">
    <cfRule type="expression" dxfId="572" priority="58">
      <formula>$EN4="有給"</formula>
    </cfRule>
    <cfRule type="expression" dxfId="571" priority="59">
      <formula>$EN4="休業"</formula>
    </cfRule>
  </conditionalFormatting>
  <conditionalFormatting sqref="ES4:ES34">
    <cfRule type="expression" dxfId="570" priority="60">
      <formula>$ES4="有給"</formula>
    </cfRule>
    <cfRule type="expression" dxfId="569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6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W40"/>
  <sheetViews>
    <sheetView zoomScaleNormal="100" workbookViewId="0">
      <pane xSplit="3" ySplit="3" topLeftCell="D34" activePane="bottomRight" state="frozen"/>
      <selection pane="topRight" activeCell="D1" sqref="D1"/>
      <selection pane="bottomLeft" activeCell="A4" sqref="A4"/>
      <selection pane="bottomRight" activeCell="F44" sqref="F44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5月分　出面表　"</f>
        <v xml:space="preserve"> 2026年 5月分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IFERROR(IF(従業員マスタ!$C$4="","",対象年度&amp;"年5月　"&amp;従業員マスタ!$C$4),"")</f>
        <v>2026年5月　建設　太郎</v>
      </c>
      <c r="E2" s="92"/>
      <c r="F2" s="92"/>
      <c r="G2" s="92"/>
      <c r="H2" s="92"/>
      <c r="I2" s="92" t="str">
        <f>IFERROR(IF(従業員マスタ!$C$5="","",対象年度&amp;"年5月　"&amp;従業員マスタ!$C$5),"")</f>
        <v>2026年5月　配管　次郎</v>
      </c>
      <c r="J2" s="92"/>
      <c r="K2" s="92"/>
      <c r="L2" s="92"/>
      <c r="M2" s="92"/>
      <c r="N2" s="92" t="str">
        <f>IFERROR(IF(従業員マスタ!$C$6="","",対象年度&amp;"年5月　"&amp;従業員マスタ!$C$6),"")</f>
        <v>2026年5月　設備　一郎</v>
      </c>
      <c r="O2" s="92"/>
      <c r="P2" s="92"/>
      <c r="Q2" s="92"/>
      <c r="R2" s="92"/>
      <c r="S2" s="92" t="str">
        <f>IFERROR(IF(従業員マスタ!$C$7="","",対象年度&amp;"年5月　"&amp;従業員マスタ!$C$7),"")</f>
        <v>2026年5月　土木　三郎</v>
      </c>
      <c r="T2" s="92"/>
      <c r="U2" s="92"/>
      <c r="V2" s="92"/>
      <c r="W2" s="92"/>
      <c r="X2" s="92" t="str">
        <f>IFERROR(IF(従業員マスタ!$C$8="","",対象年度&amp;"年5月　"&amp;従業員マスタ!$C$8),"")</f>
        <v>2026年5月　塗装　史郎</v>
      </c>
      <c r="Y2" s="92"/>
      <c r="Z2" s="92"/>
      <c r="AA2" s="92"/>
      <c r="AB2" s="92"/>
      <c r="AC2" s="92" t="str">
        <f>IFERROR(IF(従業員マスタ!$C$9="","",対象年度&amp;"年5月　"&amp;従業員マスタ!$C$9),"")</f>
        <v>2026年5月　電工　五郎</v>
      </c>
      <c r="AD2" s="92"/>
      <c r="AE2" s="92"/>
      <c r="AF2" s="92"/>
      <c r="AG2" s="92"/>
      <c r="AH2" s="92" t="str">
        <f>IFERROR(IF(従業員マスタ!$C$10="","",対象年度&amp;"年5月　"&amp;従業員マスタ!$C$10),"")</f>
        <v>2026年5月　現場　花子</v>
      </c>
      <c r="AI2" s="92"/>
      <c r="AJ2" s="92"/>
      <c r="AK2" s="92"/>
      <c r="AL2" s="92"/>
      <c r="AM2" s="92" t="str">
        <f>IFERROR(IF(従業員マスタ!$C$11="","",対象年度&amp;"年5月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IFERROR(IF(従業員マスタ!$C$12="","",対象年度&amp;"年5月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IFERROR(IF(従業員マスタ!$C$13="","",対象年度&amp;"年5月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IFERROR(IF(従業員マスタ!$C$14="","",対象年度&amp;"年5月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IFERROR(IF(従業員マスタ!$C$15="","",対象年度&amp;"年5月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IFERROR(IF(従業員マスタ!$C$16="","",対象年度&amp;"年5月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IFERROR(IF(従業員マスタ!$C$17="","",対象年度&amp;"年5月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IFERROR(IF(従業員マスタ!$C$18="","",対象年度&amp;"年5月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IFERROR(IF(従業員マスタ!$C$19="","",対象年度&amp;"年5月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IFERROR(IF(従業員マスタ!$C$20="","",対象年度&amp;"年5月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IFERROR(IF(従業員マスタ!$C$21="","",対象年度&amp;"年5月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IFERROR(IF(従業員マスタ!$C$22="","",対象年度&amp;"年5月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IFERROR(IF(従業員マスタ!$C$23="","",対象年度&amp;"年5月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IFERROR(IF(従業員マスタ!$C$24="","",対象年度&amp;"年5月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IFERROR(IF(従業員マスタ!$C$25="","",対象年度&amp;"年5月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IFERROR(IF(従業員マスタ!$C$26="","",対象年度&amp;"年5月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IFERROR(IF(従業員マスタ!$C$27="","",対象年度&amp;"年5月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IFERROR(IF(従業員マスタ!$C$28="","",対象年度&amp;"年5月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IFERROR(IF(従業員マスタ!$C$29="","",対象年度&amp;"年5月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IFERROR(IF(従業員マスタ!$C$30="","",対象年度&amp;"年5月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IFERROR(IF(従業員マスタ!$C$31="","",対象年度&amp;"年5月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IFERROR(IF(従業員マスタ!$C$32="","",対象年度&amp;"年5月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IFERROR(IF(従業員マスタ!$C$33="","",対象年度&amp;"年5月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IF(DAY(DATE(対象年度,5,1))&lt;&gt;1,"",1)</f>
        <v>1</v>
      </c>
      <c r="B4" s="26" t="str">
        <f>IF(DAY(DATE(対象年度,5,1))&lt;&gt;1,"",CHOOSE(WEEKDAY(DATE(対象年度,5,1),2),"月","火","水","木","金","土","日"))</f>
        <v>金</v>
      </c>
      <c r="C4" s="26" t="str">
        <f>IF(DAY(DATE(対象年度,5,1))&lt;&gt;1,"",IF(ISNUMBER(MATCH(DATE(対象年度,5,1),祝日リスト,0)),"祝",""))</f>
        <v/>
      </c>
      <c r="D4" s="27"/>
      <c r="E4" s="28"/>
      <c r="F4" s="29" t="str">
        <f t="shared" ref="F4:F34" si="0">IF(D4="","",IF(ISNUMBER(SEARCH("夜勤",D4)),"",IF(A4="","","○")))</f>
        <v/>
      </c>
      <c r="G4" s="30" t="str">
        <f t="shared" ref="G4:G34" si="1">IF(A4="","",IF(OR(AND(E4&lt;&gt;"",NOT(OR(E4="有給",E4="休業"))),ISNUMBER(SEARCH("夜勤",D4))),"○",""))</f>
        <v/>
      </c>
      <c r="H4" s="31"/>
      <c r="I4" s="27"/>
      <c r="J4" s="28"/>
      <c r="K4" s="29" t="str">
        <f t="shared" ref="K4:K34" si="2">IF(I4="","",IF(ISNUMBER(SEARCH("夜勤",I4)),"",IF(A4="","","○")))</f>
        <v/>
      </c>
      <c r="L4" s="30" t="str">
        <f t="shared" ref="L4:L34" si="3">IF(A4="","",IF(OR(AND(J4&lt;&gt;"",NOT(OR(J4="有給",J4="休業"))),ISNUMBER(SEARCH("夜勤",I4))),"○",""))</f>
        <v/>
      </c>
      <c r="M4" s="31"/>
      <c r="N4" s="27"/>
      <c r="O4" s="28"/>
      <c r="P4" s="29" t="str">
        <f t="shared" ref="P4:P34" si="4">IF(N4="","",IF(ISNUMBER(SEARCH("夜勤",N4)),"",IF(A4="","","○")))</f>
        <v/>
      </c>
      <c r="Q4" s="30" t="str">
        <f t="shared" ref="Q4:Q34" si="5">IF(A4="","",IF(OR(AND(O4&lt;&gt;"",NOT(OR(O4="有給",O4="休業"))),ISNUMBER(SEARCH("夜勤",N4))),"○",""))</f>
        <v/>
      </c>
      <c r="R4" s="31"/>
      <c r="S4" s="27"/>
      <c r="T4" s="28"/>
      <c r="U4" s="29" t="str">
        <f t="shared" ref="U4:U34" si="6">IF(S4="","",IF(ISNUMBER(SEARCH("夜勤",S4)),"",IF(A4="","","○")))</f>
        <v/>
      </c>
      <c r="V4" s="30" t="str">
        <f t="shared" ref="V4:V34" si="7">IF(A4="","",IF(OR(AND(T4&lt;&gt;"",NOT(OR(T4="有給",T4="休業"))),ISNUMBER(SEARCH("夜勤",S4))),"○",""))</f>
        <v/>
      </c>
      <c r="W4" s="31"/>
      <c r="X4" s="27"/>
      <c r="Y4" s="28"/>
      <c r="Z4" s="29" t="str">
        <f t="shared" ref="Z4:Z34" si="8">IF(X4="","",IF(ISNUMBER(SEARCH("夜勤",X4)),"",IF(A4="","","○")))</f>
        <v/>
      </c>
      <c r="AA4" s="30" t="str">
        <f t="shared" ref="AA4:AA34" si="9">IF(A4="","",IF(OR(AND(Y4&lt;&gt;"",NOT(OR(Y4="有給",Y4="休業"))),ISNUMBER(SEARCH("夜勤",X4))),"○",""))</f>
        <v/>
      </c>
      <c r="AB4" s="31"/>
      <c r="AC4" s="27"/>
      <c r="AD4" s="28"/>
      <c r="AE4" s="29" t="str">
        <f t="shared" ref="AE4:AE34" si="10">IF(AC4="","",IF(ISNUMBER(SEARCH("夜勤",AC4)),"",IF(A4="","","○")))</f>
        <v/>
      </c>
      <c r="AF4" s="30" t="str">
        <f t="shared" ref="AF4:AF34" si="11">IF(A4="","",IF(OR(AND(AD4&lt;&gt;"",NOT(OR(AD4="有給",AD4="休業"))),ISNUMBER(SEARCH("夜勤",AC4))),"○",""))</f>
        <v/>
      </c>
      <c r="AG4" s="31"/>
      <c r="AH4" s="27"/>
      <c r="AI4" s="28"/>
      <c r="AJ4" s="29" t="str">
        <f t="shared" ref="AJ4:AJ34" si="12">IF(AH4="","",IF(ISNUMBER(SEARCH("夜勤",AH4)),"",IF(A4="","","○")))</f>
        <v/>
      </c>
      <c r="AK4" s="30" t="str">
        <f t="shared" ref="AK4:AK34" si="13">IF(A4="","",IF(OR(AND(AI4&lt;&gt;"",NOT(OR(AI4="有給",AI4="休業"))),ISNUMBER(SEARCH("夜勤",AH4))),"○",""))</f>
        <v/>
      </c>
      <c r="AL4" s="31"/>
      <c r="AM4" s="27"/>
      <c r="AN4" s="28"/>
      <c r="AO4" s="29" t="str">
        <f t="shared" ref="AO4:AO34" si="14">IF(AM4="","",IF(ISNUMBER(SEARCH("夜勤",AM4)),"",IF(A4="","","○")))</f>
        <v/>
      </c>
      <c r="AP4" s="30" t="str">
        <f t="shared" ref="AP4:AP34" si="15">IF(A4="","",IF(OR(AND(AN4&lt;&gt;"",NOT(OR(AN4="有給",AN4="休業"))),ISNUMBER(SEARCH("夜勤",AM4))),"○",""))</f>
        <v/>
      </c>
      <c r="AQ4" s="31"/>
      <c r="AR4" s="27"/>
      <c r="AS4" s="28"/>
      <c r="AT4" s="29" t="str">
        <f t="shared" ref="AT4:AT34" si="16">IF(AR4="","",IF(ISNUMBER(SEARCH("夜勤",AR4)),"",IF(A4="","","○")))</f>
        <v/>
      </c>
      <c r="AU4" s="30" t="str">
        <f t="shared" ref="AU4:AU34" si="17">IF(A4="","",IF(OR(AND(AS4&lt;&gt;"",NOT(OR(AS4="有給",AS4="休業"))),ISNUMBER(SEARCH("夜勤",AR4))),"○",""))</f>
        <v/>
      </c>
      <c r="AV4" s="31"/>
      <c r="AW4" s="27"/>
      <c r="AX4" s="28"/>
      <c r="AY4" s="29" t="str">
        <f t="shared" ref="AY4:AY34" si="18">IF(AW4="","",IF(ISNUMBER(SEARCH("夜勤",AW4)),"",IF(A4="","","○")))</f>
        <v/>
      </c>
      <c r="AZ4" s="30" t="str">
        <f t="shared" ref="AZ4:AZ34" si="19">IF(A4="","",IF(OR(AND(AX4&lt;&gt;"",NOT(OR(AX4="有給",AX4="休業"))),ISNUMBER(SEARCH("夜勤",AW4))),"○",""))</f>
        <v/>
      </c>
      <c r="BA4" s="31"/>
      <c r="BB4" s="27"/>
      <c r="BC4" s="28"/>
      <c r="BD4" s="29" t="str">
        <f t="shared" ref="BD4:BD34" si="20">IF(BB4="","",IF(ISNUMBER(SEARCH("夜勤",BB4)),"",IF(A4="","","○")))</f>
        <v/>
      </c>
      <c r="BE4" s="30" t="str">
        <f t="shared" ref="BE4:BE34" si="21">IF(A4="","",IF(OR(AND(BC4&lt;&gt;"",NOT(OR(BC4="有給",BC4="休業"))),ISNUMBER(SEARCH("夜勤",BB4))),"○",""))</f>
        <v/>
      </c>
      <c r="BF4" s="31"/>
      <c r="BG4" s="27"/>
      <c r="BH4" s="28"/>
      <c r="BI4" s="29" t="str">
        <f t="shared" ref="BI4:BI34" si="22">IF(BG4="","",IF(ISNUMBER(SEARCH("夜勤",BG4)),"",IF(A4="","","○")))</f>
        <v/>
      </c>
      <c r="BJ4" s="30" t="str">
        <f t="shared" ref="BJ4:BJ34" si="2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24">IF(BL4="","",IF(ISNUMBER(SEARCH("夜勤",BL4)),"",IF(A4="","","○")))</f>
        <v/>
      </c>
      <c r="BO4" s="30" t="str">
        <f t="shared" ref="BO4:BO34" si="2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26">IF(BQ4="","",IF(ISNUMBER(SEARCH("夜勤",BQ4)),"",IF(A4="","","○")))</f>
        <v/>
      </c>
      <c r="BT4" s="30" t="str">
        <f t="shared" ref="BT4:BT34" si="2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28">IF(BV4="","",IF(ISNUMBER(SEARCH("夜勤",BV4)),"",IF(A4="","","○")))</f>
        <v/>
      </c>
      <c r="BY4" s="30" t="str">
        <f t="shared" ref="BY4:BY34" si="2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30">IF(CA4="","",IF(ISNUMBER(SEARCH("夜勤",CA4)),"",IF(A4="","","○")))</f>
        <v/>
      </c>
      <c r="CD4" s="30" t="str">
        <f t="shared" ref="CD4:CD34" si="3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32">IF(CF4="","",IF(ISNUMBER(SEARCH("夜勤",CF4)),"",IF(A4="","","○")))</f>
        <v/>
      </c>
      <c r="CI4" s="30" t="str">
        <f t="shared" ref="CI4:CI34" si="3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34">IF(CK4="","",IF(ISNUMBER(SEARCH("夜勤",CK4)),"",IF(A4="","","○")))</f>
        <v/>
      </c>
      <c r="CN4" s="30" t="str">
        <f t="shared" ref="CN4:CN34" si="3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36">IF(CP4="","",IF(ISNUMBER(SEARCH("夜勤",CP4)),"",IF(A4="","","○")))</f>
        <v/>
      </c>
      <c r="CS4" s="30" t="str">
        <f t="shared" ref="CS4:CS34" si="3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38">IF(CU4="","",IF(ISNUMBER(SEARCH("夜勤",CU4)),"",IF(A4="","","○")))</f>
        <v/>
      </c>
      <c r="CX4" s="30" t="str">
        <f t="shared" ref="CX4:CX34" si="3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40">IF(CZ4="","",IF(ISNUMBER(SEARCH("夜勤",CZ4)),"",IF(A4="","","○")))</f>
        <v/>
      </c>
      <c r="DC4" s="30" t="str">
        <f t="shared" ref="DC4:DC34" si="4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42">IF(DE4="","",IF(ISNUMBER(SEARCH("夜勤",DE4)),"",IF(A4="","","○")))</f>
        <v/>
      </c>
      <c r="DH4" s="30" t="str">
        <f t="shared" ref="DH4:DH34" si="4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44">IF(DJ4="","",IF(ISNUMBER(SEARCH("夜勤",DJ4)),"",IF(A4="","","○")))</f>
        <v/>
      </c>
      <c r="DM4" s="30" t="str">
        <f t="shared" ref="DM4:DM34" si="4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46">IF(DO4="","",IF(ISNUMBER(SEARCH("夜勤",DO4)),"",IF(A4="","","○")))</f>
        <v/>
      </c>
      <c r="DR4" s="30" t="str">
        <f t="shared" ref="DR4:DR34" si="4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48">IF(DT4="","",IF(ISNUMBER(SEARCH("夜勤",DT4)),"",IF(A4="","","○")))</f>
        <v/>
      </c>
      <c r="DW4" s="30" t="str">
        <f t="shared" ref="DW4:DW34" si="4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50">IF(DY4="","",IF(ISNUMBER(SEARCH("夜勤",DY4)),"",IF(A4="","","○")))</f>
        <v/>
      </c>
      <c r="EB4" s="30" t="str">
        <f t="shared" ref="EB4:EB34" si="5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52">IF(ED4="","",IF(ISNUMBER(SEARCH("夜勤",ED4)),"",IF(A4="","","○")))</f>
        <v/>
      </c>
      <c r="EG4" s="30" t="str">
        <f t="shared" ref="EG4:EG34" si="5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54">IF(EI4="","",IF(ISNUMBER(SEARCH("夜勤",EI4)),"",IF(A4="","","○")))</f>
        <v/>
      </c>
      <c r="EL4" s="30" t="str">
        <f t="shared" ref="EL4:EL34" si="5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56">IF(EN4="","",IF(ISNUMBER(SEARCH("夜勤",EN4)),"",IF(A4="","","○")))</f>
        <v/>
      </c>
      <c r="EQ4" s="30" t="str">
        <f t="shared" ref="EQ4:EQ34" si="5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58">IF(ES4="","",IF(ISNUMBER(SEARCH("夜勤",ES4)),"",IF(A4="","","○")))</f>
        <v/>
      </c>
      <c r="EV4" s="30" t="str">
        <f t="shared" ref="EV4:EV34" si="5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IF(DAY(DATE(対象年度,5,2))&lt;&gt;2,"",2)</f>
        <v>2</v>
      </c>
      <c r="B5" s="32" t="str">
        <f>IF(DAY(DATE(対象年度,5,2))&lt;&gt;2,"",CHOOSE(WEEKDAY(DATE(対象年度,5,2),2),"月","火","水","木","金","土","日"))</f>
        <v>土</v>
      </c>
      <c r="C5" s="32" t="str">
        <f>IF(DAY(DATE(対象年度,5,2))&lt;&gt;2,"",IF(ISNUMBER(MATCH(DATE(対象年度,5,2),祝日リスト,0)),"祝",""))</f>
        <v/>
      </c>
      <c r="D5" s="33"/>
      <c r="E5" s="34"/>
      <c r="F5" s="35" t="str">
        <f t="shared" si="0"/>
        <v/>
      </c>
      <c r="G5" s="36" t="str">
        <f t="shared" si="1"/>
        <v/>
      </c>
      <c r="H5" s="37"/>
      <c r="I5" s="33"/>
      <c r="J5" s="34"/>
      <c r="K5" s="35" t="str">
        <f t="shared" si="2"/>
        <v/>
      </c>
      <c r="L5" s="36" t="str">
        <f t="shared" si="3"/>
        <v/>
      </c>
      <c r="M5" s="37"/>
      <c r="N5" s="33"/>
      <c r="O5" s="34"/>
      <c r="P5" s="35" t="str">
        <f t="shared" si="4"/>
        <v/>
      </c>
      <c r="Q5" s="36" t="str">
        <f t="shared" si="5"/>
        <v/>
      </c>
      <c r="R5" s="37"/>
      <c r="S5" s="33"/>
      <c r="T5" s="34"/>
      <c r="U5" s="35" t="str">
        <f t="shared" si="6"/>
        <v/>
      </c>
      <c r="V5" s="36" t="str">
        <f t="shared" si="7"/>
        <v/>
      </c>
      <c r="W5" s="37"/>
      <c r="X5" s="33"/>
      <c r="Y5" s="34"/>
      <c r="Z5" s="35" t="str">
        <f t="shared" si="8"/>
        <v/>
      </c>
      <c r="AA5" s="36" t="str">
        <f t="shared" si="9"/>
        <v/>
      </c>
      <c r="AB5" s="37"/>
      <c r="AC5" s="33"/>
      <c r="AD5" s="34"/>
      <c r="AE5" s="35" t="str">
        <f t="shared" si="10"/>
        <v/>
      </c>
      <c r="AF5" s="36" t="str">
        <f t="shared" si="11"/>
        <v/>
      </c>
      <c r="AG5" s="37"/>
      <c r="AH5" s="33"/>
      <c r="AI5" s="34"/>
      <c r="AJ5" s="35" t="str">
        <f t="shared" si="12"/>
        <v/>
      </c>
      <c r="AK5" s="36" t="str">
        <f t="shared" si="13"/>
        <v/>
      </c>
      <c r="AL5" s="37"/>
      <c r="AM5" s="33"/>
      <c r="AN5" s="34"/>
      <c r="AO5" s="35" t="str">
        <f t="shared" si="14"/>
        <v/>
      </c>
      <c r="AP5" s="36" t="str">
        <f t="shared" si="15"/>
        <v/>
      </c>
      <c r="AQ5" s="37"/>
      <c r="AR5" s="33"/>
      <c r="AS5" s="34"/>
      <c r="AT5" s="35" t="str">
        <f t="shared" si="16"/>
        <v/>
      </c>
      <c r="AU5" s="36" t="str">
        <f t="shared" si="17"/>
        <v/>
      </c>
      <c r="AV5" s="37"/>
      <c r="AW5" s="33"/>
      <c r="AX5" s="34"/>
      <c r="AY5" s="35" t="str">
        <f t="shared" si="18"/>
        <v/>
      </c>
      <c r="AZ5" s="36" t="str">
        <f t="shared" si="19"/>
        <v/>
      </c>
      <c r="BA5" s="37"/>
      <c r="BB5" s="33"/>
      <c r="BC5" s="34"/>
      <c r="BD5" s="35" t="str">
        <f t="shared" si="20"/>
        <v/>
      </c>
      <c r="BE5" s="36" t="str">
        <f t="shared" si="21"/>
        <v/>
      </c>
      <c r="BF5" s="37"/>
      <c r="BG5" s="33"/>
      <c r="BH5" s="34"/>
      <c r="BI5" s="35" t="str">
        <f t="shared" si="22"/>
        <v/>
      </c>
      <c r="BJ5" s="36" t="str">
        <f t="shared" si="23"/>
        <v/>
      </c>
      <c r="BK5" s="37"/>
      <c r="BL5" s="33"/>
      <c r="BM5" s="34"/>
      <c r="BN5" s="35" t="str">
        <f t="shared" si="24"/>
        <v/>
      </c>
      <c r="BO5" s="36" t="str">
        <f t="shared" si="25"/>
        <v/>
      </c>
      <c r="BP5" s="37"/>
      <c r="BQ5" s="33"/>
      <c r="BR5" s="34"/>
      <c r="BS5" s="35" t="str">
        <f t="shared" si="26"/>
        <v/>
      </c>
      <c r="BT5" s="36" t="str">
        <f t="shared" si="27"/>
        <v/>
      </c>
      <c r="BU5" s="37"/>
      <c r="BV5" s="33"/>
      <c r="BW5" s="34"/>
      <c r="BX5" s="35" t="str">
        <f t="shared" si="28"/>
        <v/>
      </c>
      <c r="BY5" s="36" t="str">
        <f t="shared" si="29"/>
        <v/>
      </c>
      <c r="BZ5" s="37"/>
      <c r="CA5" s="33"/>
      <c r="CB5" s="34"/>
      <c r="CC5" s="35" t="str">
        <f t="shared" si="30"/>
        <v/>
      </c>
      <c r="CD5" s="36" t="str">
        <f t="shared" si="31"/>
        <v/>
      </c>
      <c r="CE5" s="37"/>
      <c r="CF5" s="33"/>
      <c r="CG5" s="34"/>
      <c r="CH5" s="35" t="str">
        <f t="shared" si="32"/>
        <v/>
      </c>
      <c r="CI5" s="36" t="str">
        <f t="shared" si="33"/>
        <v/>
      </c>
      <c r="CJ5" s="37"/>
      <c r="CK5" s="33"/>
      <c r="CL5" s="34"/>
      <c r="CM5" s="35" t="str">
        <f t="shared" si="34"/>
        <v/>
      </c>
      <c r="CN5" s="36" t="str">
        <f t="shared" si="35"/>
        <v/>
      </c>
      <c r="CO5" s="37"/>
      <c r="CP5" s="33"/>
      <c r="CQ5" s="34"/>
      <c r="CR5" s="35" t="str">
        <f t="shared" si="36"/>
        <v/>
      </c>
      <c r="CS5" s="36" t="str">
        <f t="shared" si="37"/>
        <v/>
      </c>
      <c r="CT5" s="37"/>
      <c r="CU5" s="33"/>
      <c r="CV5" s="34"/>
      <c r="CW5" s="35" t="str">
        <f t="shared" si="38"/>
        <v/>
      </c>
      <c r="CX5" s="36" t="str">
        <f t="shared" si="39"/>
        <v/>
      </c>
      <c r="CY5" s="37"/>
      <c r="CZ5" s="33"/>
      <c r="DA5" s="34"/>
      <c r="DB5" s="35" t="str">
        <f t="shared" si="40"/>
        <v/>
      </c>
      <c r="DC5" s="36" t="str">
        <f t="shared" si="41"/>
        <v/>
      </c>
      <c r="DD5" s="37"/>
      <c r="DE5" s="33"/>
      <c r="DF5" s="34"/>
      <c r="DG5" s="35" t="str">
        <f t="shared" si="42"/>
        <v/>
      </c>
      <c r="DH5" s="36" t="str">
        <f t="shared" si="43"/>
        <v/>
      </c>
      <c r="DI5" s="37"/>
      <c r="DJ5" s="33"/>
      <c r="DK5" s="34"/>
      <c r="DL5" s="35" t="str">
        <f t="shared" si="44"/>
        <v/>
      </c>
      <c r="DM5" s="36" t="str">
        <f t="shared" si="45"/>
        <v/>
      </c>
      <c r="DN5" s="37"/>
      <c r="DO5" s="33"/>
      <c r="DP5" s="34"/>
      <c r="DQ5" s="35" t="str">
        <f t="shared" si="46"/>
        <v/>
      </c>
      <c r="DR5" s="36" t="str">
        <f t="shared" si="47"/>
        <v/>
      </c>
      <c r="DS5" s="37"/>
      <c r="DT5" s="33"/>
      <c r="DU5" s="34"/>
      <c r="DV5" s="35" t="str">
        <f t="shared" si="48"/>
        <v/>
      </c>
      <c r="DW5" s="36" t="str">
        <f t="shared" si="49"/>
        <v/>
      </c>
      <c r="DX5" s="37"/>
      <c r="DY5" s="33"/>
      <c r="DZ5" s="34"/>
      <c r="EA5" s="35" t="str">
        <f t="shared" si="50"/>
        <v/>
      </c>
      <c r="EB5" s="36" t="str">
        <f t="shared" si="51"/>
        <v/>
      </c>
      <c r="EC5" s="37"/>
      <c r="ED5" s="33"/>
      <c r="EE5" s="34"/>
      <c r="EF5" s="35" t="str">
        <f t="shared" si="52"/>
        <v/>
      </c>
      <c r="EG5" s="36" t="str">
        <f t="shared" si="53"/>
        <v/>
      </c>
      <c r="EH5" s="37"/>
      <c r="EI5" s="33"/>
      <c r="EJ5" s="34"/>
      <c r="EK5" s="35" t="str">
        <f t="shared" si="54"/>
        <v/>
      </c>
      <c r="EL5" s="36" t="str">
        <f t="shared" si="55"/>
        <v/>
      </c>
      <c r="EM5" s="37"/>
      <c r="EN5" s="33"/>
      <c r="EO5" s="34"/>
      <c r="EP5" s="35" t="str">
        <f t="shared" si="56"/>
        <v/>
      </c>
      <c r="EQ5" s="36" t="str">
        <f t="shared" si="57"/>
        <v/>
      </c>
      <c r="ER5" s="37"/>
      <c r="ES5" s="33"/>
      <c r="ET5" s="34"/>
      <c r="EU5" s="35" t="str">
        <f t="shared" si="58"/>
        <v/>
      </c>
      <c r="EV5" s="36" t="str">
        <f t="shared" si="59"/>
        <v/>
      </c>
      <c r="EW5" s="37"/>
    </row>
    <row r="6" spans="1:153" ht="19.5" customHeight="1">
      <c r="A6" s="32">
        <f>IF(DAY(DATE(対象年度,5,3))&lt;&gt;3,"",3)</f>
        <v>3</v>
      </c>
      <c r="B6" s="32" t="str">
        <f>IF(DAY(DATE(対象年度,5,3))&lt;&gt;3,"",CHOOSE(WEEKDAY(DATE(対象年度,5,3),2),"月","火","水","木","金","土","日"))</f>
        <v>日</v>
      </c>
      <c r="C6" s="32" t="str">
        <f>IF(DAY(DATE(対象年度,5,3))&lt;&gt;3,"",IF(ISNUMBER(MATCH(DATE(対象年度,5,3),祝日リスト,0)),"祝",""))</f>
        <v>祝</v>
      </c>
      <c r="D6" s="33"/>
      <c r="E6" s="34"/>
      <c r="F6" s="35" t="str">
        <f t="shared" si="0"/>
        <v/>
      </c>
      <c r="G6" s="36" t="str">
        <f t="shared" si="1"/>
        <v/>
      </c>
      <c r="H6" s="37"/>
      <c r="I6" s="33"/>
      <c r="J6" s="34"/>
      <c r="K6" s="35" t="str">
        <f t="shared" si="2"/>
        <v/>
      </c>
      <c r="L6" s="36" t="str">
        <f t="shared" si="3"/>
        <v/>
      </c>
      <c r="M6" s="37"/>
      <c r="N6" s="33"/>
      <c r="O6" s="34"/>
      <c r="P6" s="35" t="str">
        <f t="shared" si="4"/>
        <v/>
      </c>
      <c r="Q6" s="36" t="str">
        <f t="shared" si="5"/>
        <v/>
      </c>
      <c r="R6" s="37"/>
      <c r="S6" s="33"/>
      <c r="T6" s="34"/>
      <c r="U6" s="35" t="str">
        <f t="shared" si="6"/>
        <v/>
      </c>
      <c r="V6" s="36" t="str">
        <f t="shared" si="7"/>
        <v/>
      </c>
      <c r="W6" s="37"/>
      <c r="X6" s="33"/>
      <c r="Y6" s="34"/>
      <c r="Z6" s="35" t="str">
        <f t="shared" si="8"/>
        <v/>
      </c>
      <c r="AA6" s="36" t="str">
        <f t="shared" si="9"/>
        <v/>
      </c>
      <c r="AB6" s="37"/>
      <c r="AC6" s="33"/>
      <c r="AD6" s="34"/>
      <c r="AE6" s="35" t="str">
        <f t="shared" si="10"/>
        <v/>
      </c>
      <c r="AF6" s="36" t="str">
        <f t="shared" si="11"/>
        <v/>
      </c>
      <c r="AG6" s="37"/>
      <c r="AH6" s="33"/>
      <c r="AI6" s="34"/>
      <c r="AJ6" s="35" t="str">
        <f t="shared" si="12"/>
        <v/>
      </c>
      <c r="AK6" s="36" t="str">
        <f t="shared" si="13"/>
        <v/>
      </c>
      <c r="AL6" s="37"/>
      <c r="AM6" s="33"/>
      <c r="AN6" s="34"/>
      <c r="AO6" s="35" t="str">
        <f t="shared" si="14"/>
        <v/>
      </c>
      <c r="AP6" s="36" t="str">
        <f t="shared" si="15"/>
        <v/>
      </c>
      <c r="AQ6" s="37"/>
      <c r="AR6" s="33"/>
      <c r="AS6" s="34"/>
      <c r="AT6" s="35" t="str">
        <f t="shared" si="16"/>
        <v/>
      </c>
      <c r="AU6" s="36" t="str">
        <f t="shared" si="17"/>
        <v/>
      </c>
      <c r="AV6" s="37"/>
      <c r="AW6" s="33"/>
      <c r="AX6" s="34"/>
      <c r="AY6" s="35" t="str">
        <f t="shared" si="18"/>
        <v/>
      </c>
      <c r="AZ6" s="36" t="str">
        <f t="shared" si="19"/>
        <v/>
      </c>
      <c r="BA6" s="37"/>
      <c r="BB6" s="33"/>
      <c r="BC6" s="34"/>
      <c r="BD6" s="35" t="str">
        <f t="shared" si="20"/>
        <v/>
      </c>
      <c r="BE6" s="36" t="str">
        <f t="shared" si="21"/>
        <v/>
      </c>
      <c r="BF6" s="37"/>
      <c r="BG6" s="33"/>
      <c r="BH6" s="34"/>
      <c r="BI6" s="35" t="str">
        <f t="shared" si="22"/>
        <v/>
      </c>
      <c r="BJ6" s="36" t="str">
        <f t="shared" si="23"/>
        <v/>
      </c>
      <c r="BK6" s="37"/>
      <c r="BL6" s="33"/>
      <c r="BM6" s="34"/>
      <c r="BN6" s="35" t="str">
        <f t="shared" si="24"/>
        <v/>
      </c>
      <c r="BO6" s="36" t="str">
        <f t="shared" si="25"/>
        <v/>
      </c>
      <c r="BP6" s="37"/>
      <c r="BQ6" s="33"/>
      <c r="BR6" s="34"/>
      <c r="BS6" s="35" t="str">
        <f t="shared" si="26"/>
        <v/>
      </c>
      <c r="BT6" s="36" t="str">
        <f t="shared" si="27"/>
        <v/>
      </c>
      <c r="BU6" s="37"/>
      <c r="BV6" s="33"/>
      <c r="BW6" s="34"/>
      <c r="BX6" s="35" t="str">
        <f t="shared" si="28"/>
        <v/>
      </c>
      <c r="BY6" s="36" t="str">
        <f t="shared" si="29"/>
        <v/>
      </c>
      <c r="BZ6" s="37"/>
      <c r="CA6" s="33"/>
      <c r="CB6" s="34"/>
      <c r="CC6" s="35" t="str">
        <f t="shared" si="30"/>
        <v/>
      </c>
      <c r="CD6" s="36" t="str">
        <f t="shared" si="31"/>
        <v/>
      </c>
      <c r="CE6" s="37"/>
      <c r="CF6" s="33"/>
      <c r="CG6" s="34"/>
      <c r="CH6" s="35" t="str">
        <f t="shared" si="32"/>
        <v/>
      </c>
      <c r="CI6" s="36" t="str">
        <f t="shared" si="33"/>
        <v/>
      </c>
      <c r="CJ6" s="37"/>
      <c r="CK6" s="33"/>
      <c r="CL6" s="34"/>
      <c r="CM6" s="35" t="str">
        <f t="shared" si="34"/>
        <v/>
      </c>
      <c r="CN6" s="36" t="str">
        <f t="shared" si="35"/>
        <v/>
      </c>
      <c r="CO6" s="37"/>
      <c r="CP6" s="33"/>
      <c r="CQ6" s="34"/>
      <c r="CR6" s="35" t="str">
        <f t="shared" si="36"/>
        <v/>
      </c>
      <c r="CS6" s="36" t="str">
        <f t="shared" si="37"/>
        <v/>
      </c>
      <c r="CT6" s="37"/>
      <c r="CU6" s="33"/>
      <c r="CV6" s="34"/>
      <c r="CW6" s="35" t="str">
        <f t="shared" si="38"/>
        <v/>
      </c>
      <c r="CX6" s="36" t="str">
        <f t="shared" si="39"/>
        <v/>
      </c>
      <c r="CY6" s="37"/>
      <c r="CZ6" s="33"/>
      <c r="DA6" s="34"/>
      <c r="DB6" s="35" t="str">
        <f t="shared" si="40"/>
        <v/>
      </c>
      <c r="DC6" s="36" t="str">
        <f t="shared" si="41"/>
        <v/>
      </c>
      <c r="DD6" s="37"/>
      <c r="DE6" s="33"/>
      <c r="DF6" s="34"/>
      <c r="DG6" s="35" t="str">
        <f t="shared" si="42"/>
        <v/>
      </c>
      <c r="DH6" s="36" t="str">
        <f t="shared" si="43"/>
        <v/>
      </c>
      <c r="DI6" s="37"/>
      <c r="DJ6" s="33"/>
      <c r="DK6" s="34"/>
      <c r="DL6" s="35" t="str">
        <f t="shared" si="44"/>
        <v/>
      </c>
      <c r="DM6" s="36" t="str">
        <f t="shared" si="45"/>
        <v/>
      </c>
      <c r="DN6" s="37"/>
      <c r="DO6" s="33"/>
      <c r="DP6" s="34"/>
      <c r="DQ6" s="35" t="str">
        <f t="shared" si="46"/>
        <v/>
      </c>
      <c r="DR6" s="36" t="str">
        <f t="shared" si="47"/>
        <v/>
      </c>
      <c r="DS6" s="37"/>
      <c r="DT6" s="33"/>
      <c r="DU6" s="34"/>
      <c r="DV6" s="35" t="str">
        <f t="shared" si="48"/>
        <v/>
      </c>
      <c r="DW6" s="36" t="str">
        <f t="shared" si="49"/>
        <v/>
      </c>
      <c r="DX6" s="37"/>
      <c r="DY6" s="33"/>
      <c r="DZ6" s="34"/>
      <c r="EA6" s="35" t="str">
        <f t="shared" si="50"/>
        <v/>
      </c>
      <c r="EB6" s="36" t="str">
        <f t="shared" si="51"/>
        <v/>
      </c>
      <c r="EC6" s="37"/>
      <c r="ED6" s="33"/>
      <c r="EE6" s="34"/>
      <c r="EF6" s="35" t="str">
        <f t="shared" si="52"/>
        <v/>
      </c>
      <c r="EG6" s="36" t="str">
        <f t="shared" si="53"/>
        <v/>
      </c>
      <c r="EH6" s="37"/>
      <c r="EI6" s="33"/>
      <c r="EJ6" s="34"/>
      <c r="EK6" s="35" t="str">
        <f t="shared" si="54"/>
        <v/>
      </c>
      <c r="EL6" s="36" t="str">
        <f t="shared" si="55"/>
        <v/>
      </c>
      <c r="EM6" s="37"/>
      <c r="EN6" s="33"/>
      <c r="EO6" s="34"/>
      <c r="EP6" s="35" t="str">
        <f t="shared" si="56"/>
        <v/>
      </c>
      <c r="EQ6" s="36" t="str">
        <f t="shared" si="57"/>
        <v/>
      </c>
      <c r="ER6" s="37"/>
      <c r="ES6" s="33"/>
      <c r="ET6" s="34"/>
      <c r="EU6" s="35" t="str">
        <f t="shared" si="58"/>
        <v/>
      </c>
      <c r="EV6" s="36" t="str">
        <f t="shared" si="59"/>
        <v/>
      </c>
      <c r="EW6" s="37"/>
    </row>
    <row r="7" spans="1:153" ht="19.5" customHeight="1">
      <c r="A7" s="32">
        <f>IF(DAY(DATE(対象年度,5,4))&lt;&gt;4,"",4)</f>
        <v>4</v>
      </c>
      <c r="B7" s="32" t="str">
        <f>IF(DAY(DATE(対象年度,5,4))&lt;&gt;4,"",CHOOSE(WEEKDAY(DATE(対象年度,5,4),2),"月","火","水","木","金","土","日"))</f>
        <v>月</v>
      </c>
      <c r="C7" s="32" t="str">
        <f>IF(DAY(DATE(対象年度,5,4))&lt;&gt;4,"",IF(ISNUMBER(MATCH(DATE(対象年度,5,4),祝日リスト,0)),"祝",""))</f>
        <v>祝</v>
      </c>
      <c r="D7" s="33"/>
      <c r="E7" s="34"/>
      <c r="F7" s="35" t="str">
        <f t="shared" si="0"/>
        <v/>
      </c>
      <c r="G7" s="36" t="str">
        <f t="shared" si="1"/>
        <v/>
      </c>
      <c r="H7" s="37"/>
      <c r="I7" s="33"/>
      <c r="J7" s="34"/>
      <c r="K7" s="35" t="str">
        <f t="shared" si="2"/>
        <v/>
      </c>
      <c r="L7" s="36" t="str">
        <f t="shared" si="3"/>
        <v/>
      </c>
      <c r="M7" s="37"/>
      <c r="N7" s="33"/>
      <c r="O7" s="34"/>
      <c r="P7" s="35" t="str">
        <f t="shared" si="4"/>
        <v/>
      </c>
      <c r="Q7" s="36" t="str">
        <f t="shared" si="5"/>
        <v/>
      </c>
      <c r="R7" s="37"/>
      <c r="S7" s="33"/>
      <c r="T7" s="34"/>
      <c r="U7" s="35" t="str">
        <f t="shared" si="6"/>
        <v/>
      </c>
      <c r="V7" s="36" t="str">
        <f t="shared" si="7"/>
        <v/>
      </c>
      <c r="W7" s="37"/>
      <c r="X7" s="33"/>
      <c r="Y7" s="34"/>
      <c r="Z7" s="35" t="str">
        <f t="shared" si="8"/>
        <v/>
      </c>
      <c r="AA7" s="36" t="str">
        <f t="shared" si="9"/>
        <v/>
      </c>
      <c r="AB7" s="37"/>
      <c r="AC7" s="33"/>
      <c r="AD7" s="34"/>
      <c r="AE7" s="35" t="str">
        <f t="shared" si="10"/>
        <v/>
      </c>
      <c r="AF7" s="36" t="str">
        <f t="shared" si="11"/>
        <v/>
      </c>
      <c r="AG7" s="37"/>
      <c r="AH7" s="33"/>
      <c r="AI7" s="34"/>
      <c r="AJ7" s="35" t="str">
        <f t="shared" si="12"/>
        <v/>
      </c>
      <c r="AK7" s="36" t="str">
        <f t="shared" si="13"/>
        <v/>
      </c>
      <c r="AL7" s="37"/>
      <c r="AM7" s="33"/>
      <c r="AN7" s="34"/>
      <c r="AO7" s="35" t="str">
        <f t="shared" si="14"/>
        <v/>
      </c>
      <c r="AP7" s="36" t="str">
        <f t="shared" si="15"/>
        <v/>
      </c>
      <c r="AQ7" s="37"/>
      <c r="AR7" s="33"/>
      <c r="AS7" s="34"/>
      <c r="AT7" s="35" t="str">
        <f t="shared" si="16"/>
        <v/>
      </c>
      <c r="AU7" s="36" t="str">
        <f t="shared" si="17"/>
        <v/>
      </c>
      <c r="AV7" s="37"/>
      <c r="AW7" s="33"/>
      <c r="AX7" s="34"/>
      <c r="AY7" s="35" t="str">
        <f t="shared" si="18"/>
        <v/>
      </c>
      <c r="AZ7" s="36" t="str">
        <f t="shared" si="19"/>
        <v/>
      </c>
      <c r="BA7" s="37"/>
      <c r="BB7" s="33"/>
      <c r="BC7" s="34"/>
      <c r="BD7" s="35" t="str">
        <f t="shared" si="20"/>
        <v/>
      </c>
      <c r="BE7" s="36" t="str">
        <f t="shared" si="21"/>
        <v/>
      </c>
      <c r="BF7" s="37"/>
      <c r="BG7" s="33"/>
      <c r="BH7" s="34"/>
      <c r="BI7" s="35" t="str">
        <f t="shared" si="22"/>
        <v/>
      </c>
      <c r="BJ7" s="36" t="str">
        <f t="shared" si="23"/>
        <v/>
      </c>
      <c r="BK7" s="37"/>
      <c r="BL7" s="33"/>
      <c r="BM7" s="34"/>
      <c r="BN7" s="35" t="str">
        <f t="shared" si="24"/>
        <v/>
      </c>
      <c r="BO7" s="36" t="str">
        <f t="shared" si="25"/>
        <v/>
      </c>
      <c r="BP7" s="37"/>
      <c r="BQ7" s="33"/>
      <c r="BR7" s="34"/>
      <c r="BS7" s="35" t="str">
        <f t="shared" si="26"/>
        <v/>
      </c>
      <c r="BT7" s="36" t="str">
        <f t="shared" si="27"/>
        <v/>
      </c>
      <c r="BU7" s="37"/>
      <c r="BV7" s="33"/>
      <c r="BW7" s="34"/>
      <c r="BX7" s="35" t="str">
        <f t="shared" si="28"/>
        <v/>
      </c>
      <c r="BY7" s="36" t="str">
        <f t="shared" si="29"/>
        <v/>
      </c>
      <c r="BZ7" s="37"/>
      <c r="CA7" s="33"/>
      <c r="CB7" s="34"/>
      <c r="CC7" s="35" t="str">
        <f t="shared" si="30"/>
        <v/>
      </c>
      <c r="CD7" s="36" t="str">
        <f t="shared" si="31"/>
        <v/>
      </c>
      <c r="CE7" s="37"/>
      <c r="CF7" s="33"/>
      <c r="CG7" s="34"/>
      <c r="CH7" s="35" t="str">
        <f t="shared" si="32"/>
        <v/>
      </c>
      <c r="CI7" s="36" t="str">
        <f t="shared" si="33"/>
        <v/>
      </c>
      <c r="CJ7" s="37"/>
      <c r="CK7" s="33"/>
      <c r="CL7" s="34"/>
      <c r="CM7" s="35" t="str">
        <f t="shared" si="34"/>
        <v/>
      </c>
      <c r="CN7" s="36" t="str">
        <f t="shared" si="35"/>
        <v/>
      </c>
      <c r="CO7" s="37"/>
      <c r="CP7" s="33"/>
      <c r="CQ7" s="34"/>
      <c r="CR7" s="35" t="str">
        <f t="shared" si="36"/>
        <v/>
      </c>
      <c r="CS7" s="36" t="str">
        <f t="shared" si="37"/>
        <v/>
      </c>
      <c r="CT7" s="37"/>
      <c r="CU7" s="33"/>
      <c r="CV7" s="34"/>
      <c r="CW7" s="35" t="str">
        <f t="shared" si="38"/>
        <v/>
      </c>
      <c r="CX7" s="36" t="str">
        <f t="shared" si="39"/>
        <v/>
      </c>
      <c r="CY7" s="37"/>
      <c r="CZ7" s="33"/>
      <c r="DA7" s="34"/>
      <c r="DB7" s="35" t="str">
        <f t="shared" si="40"/>
        <v/>
      </c>
      <c r="DC7" s="36" t="str">
        <f t="shared" si="41"/>
        <v/>
      </c>
      <c r="DD7" s="37"/>
      <c r="DE7" s="33"/>
      <c r="DF7" s="34"/>
      <c r="DG7" s="35" t="str">
        <f t="shared" si="42"/>
        <v/>
      </c>
      <c r="DH7" s="36" t="str">
        <f t="shared" si="43"/>
        <v/>
      </c>
      <c r="DI7" s="37"/>
      <c r="DJ7" s="33"/>
      <c r="DK7" s="34"/>
      <c r="DL7" s="35" t="str">
        <f t="shared" si="44"/>
        <v/>
      </c>
      <c r="DM7" s="36" t="str">
        <f t="shared" si="45"/>
        <v/>
      </c>
      <c r="DN7" s="37"/>
      <c r="DO7" s="33"/>
      <c r="DP7" s="34"/>
      <c r="DQ7" s="35" t="str">
        <f t="shared" si="46"/>
        <v/>
      </c>
      <c r="DR7" s="36" t="str">
        <f t="shared" si="47"/>
        <v/>
      </c>
      <c r="DS7" s="37"/>
      <c r="DT7" s="33"/>
      <c r="DU7" s="34"/>
      <c r="DV7" s="35" t="str">
        <f t="shared" si="48"/>
        <v/>
      </c>
      <c r="DW7" s="36" t="str">
        <f t="shared" si="49"/>
        <v/>
      </c>
      <c r="DX7" s="37"/>
      <c r="DY7" s="33"/>
      <c r="DZ7" s="34"/>
      <c r="EA7" s="35" t="str">
        <f t="shared" si="50"/>
        <v/>
      </c>
      <c r="EB7" s="36" t="str">
        <f t="shared" si="51"/>
        <v/>
      </c>
      <c r="EC7" s="37"/>
      <c r="ED7" s="33"/>
      <c r="EE7" s="34"/>
      <c r="EF7" s="35" t="str">
        <f t="shared" si="52"/>
        <v/>
      </c>
      <c r="EG7" s="36" t="str">
        <f t="shared" si="53"/>
        <v/>
      </c>
      <c r="EH7" s="37"/>
      <c r="EI7" s="33"/>
      <c r="EJ7" s="34"/>
      <c r="EK7" s="35" t="str">
        <f t="shared" si="54"/>
        <v/>
      </c>
      <c r="EL7" s="36" t="str">
        <f t="shared" si="55"/>
        <v/>
      </c>
      <c r="EM7" s="37"/>
      <c r="EN7" s="33"/>
      <c r="EO7" s="34"/>
      <c r="EP7" s="35" t="str">
        <f t="shared" si="56"/>
        <v/>
      </c>
      <c r="EQ7" s="36" t="str">
        <f t="shared" si="57"/>
        <v/>
      </c>
      <c r="ER7" s="37"/>
      <c r="ES7" s="33"/>
      <c r="ET7" s="34"/>
      <c r="EU7" s="35" t="str">
        <f t="shared" si="58"/>
        <v/>
      </c>
      <c r="EV7" s="36" t="str">
        <f t="shared" si="59"/>
        <v/>
      </c>
      <c r="EW7" s="37"/>
    </row>
    <row r="8" spans="1:153" ht="19.5" customHeight="1">
      <c r="A8" s="32">
        <f>IF(DAY(DATE(対象年度,5,5))&lt;&gt;5,"",5)</f>
        <v>5</v>
      </c>
      <c r="B8" s="32" t="str">
        <f>IF(DAY(DATE(対象年度,5,5))&lt;&gt;5,"",CHOOSE(WEEKDAY(DATE(対象年度,5,5),2),"月","火","水","木","金","土","日"))</f>
        <v>火</v>
      </c>
      <c r="C8" s="32" t="str">
        <f>IF(DAY(DATE(対象年度,5,5))&lt;&gt;5,"",IF(ISNUMBER(MATCH(DATE(対象年度,5,5),祝日リスト,0)),"祝",""))</f>
        <v>祝</v>
      </c>
      <c r="D8" s="33"/>
      <c r="E8" s="34"/>
      <c r="F8" s="35" t="str">
        <f t="shared" si="0"/>
        <v/>
      </c>
      <c r="G8" s="36" t="str">
        <f t="shared" si="1"/>
        <v/>
      </c>
      <c r="H8" s="37"/>
      <c r="I8" s="33"/>
      <c r="J8" s="34"/>
      <c r="K8" s="35" t="str">
        <f t="shared" si="2"/>
        <v/>
      </c>
      <c r="L8" s="36" t="str">
        <f t="shared" si="3"/>
        <v/>
      </c>
      <c r="M8" s="37"/>
      <c r="N8" s="33"/>
      <c r="O8" s="34"/>
      <c r="P8" s="35" t="str">
        <f t="shared" si="4"/>
        <v/>
      </c>
      <c r="Q8" s="36" t="str">
        <f t="shared" si="5"/>
        <v/>
      </c>
      <c r="R8" s="37"/>
      <c r="S8" s="33"/>
      <c r="T8" s="34"/>
      <c r="U8" s="35" t="str">
        <f t="shared" si="6"/>
        <v/>
      </c>
      <c r="V8" s="36" t="str">
        <f t="shared" si="7"/>
        <v/>
      </c>
      <c r="W8" s="37"/>
      <c r="X8" s="33"/>
      <c r="Y8" s="34"/>
      <c r="Z8" s="35" t="str">
        <f t="shared" si="8"/>
        <v/>
      </c>
      <c r="AA8" s="36" t="str">
        <f t="shared" si="9"/>
        <v/>
      </c>
      <c r="AB8" s="37"/>
      <c r="AC8" s="33"/>
      <c r="AD8" s="34"/>
      <c r="AE8" s="35" t="str">
        <f t="shared" si="10"/>
        <v/>
      </c>
      <c r="AF8" s="36" t="str">
        <f t="shared" si="11"/>
        <v/>
      </c>
      <c r="AG8" s="37"/>
      <c r="AH8" s="33"/>
      <c r="AI8" s="34"/>
      <c r="AJ8" s="35" t="str">
        <f t="shared" si="12"/>
        <v/>
      </c>
      <c r="AK8" s="36" t="str">
        <f t="shared" si="13"/>
        <v/>
      </c>
      <c r="AL8" s="37"/>
      <c r="AM8" s="33"/>
      <c r="AN8" s="34"/>
      <c r="AO8" s="35" t="str">
        <f t="shared" si="14"/>
        <v/>
      </c>
      <c r="AP8" s="36" t="str">
        <f t="shared" si="15"/>
        <v/>
      </c>
      <c r="AQ8" s="37"/>
      <c r="AR8" s="33"/>
      <c r="AS8" s="34"/>
      <c r="AT8" s="35" t="str">
        <f t="shared" si="16"/>
        <v/>
      </c>
      <c r="AU8" s="36" t="str">
        <f t="shared" si="17"/>
        <v/>
      </c>
      <c r="AV8" s="37"/>
      <c r="AW8" s="33"/>
      <c r="AX8" s="34"/>
      <c r="AY8" s="35" t="str">
        <f t="shared" si="18"/>
        <v/>
      </c>
      <c r="AZ8" s="36" t="str">
        <f t="shared" si="19"/>
        <v/>
      </c>
      <c r="BA8" s="37"/>
      <c r="BB8" s="33"/>
      <c r="BC8" s="34"/>
      <c r="BD8" s="35" t="str">
        <f t="shared" si="20"/>
        <v/>
      </c>
      <c r="BE8" s="36" t="str">
        <f t="shared" si="21"/>
        <v/>
      </c>
      <c r="BF8" s="37"/>
      <c r="BG8" s="33"/>
      <c r="BH8" s="34"/>
      <c r="BI8" s="35" t="str">
        <f t="shared" si="22"/>
        <v/>
      </c>
      <c r="BJ8" s="36" t="str">
        <f t="shared" si="23"/>
        <v/>
      </c>
      <c r="BK8" s="37"/>
      <c r="BL8" s="33"/>
      <c r="BM8" s="34"/>
      <c r="BN8" s="35" t="str">
        <f t="shared" si="24"/>
        <v/>
      </c>
      <c r="BO8" s="36" t="str">
        <f t="shared" si="25"/>
        <v/>
      </c>
      <c r="BP8" s="37"/>
      <c r="BQ8" s="33"/>
      <c r="BR8" s="34"/>
      <c r="BS8" s="35" t="str">
        <f t="shared" si="26"/>
        <v/>
      </c>
      <c r="BT8" s="36" t="str">
        <f t="shared" si="27"/>
        <v/>
      </c>
      <c r="BU8" s="37"/>
      <c r="BV8" s="33"/>
      <c r="BW8" s="34"/>
      <c r="BX8" s="35" t="str">
        <f t="shared" si="28"/>
        <v/>
      </c>
      <c r="BY8" s="36" t="str">
        <f t="shared" si="29"/>
        <v/>
      </c>
      <c r="BZ8" s="37"/>
      <c r="CA8" s="33"/>
      <c r="CB8" s="34"/>
      <c r="CC8" s="35" t="str">
        <f t="shared" si="30"/>
        <v/>
      </c>
      <c r="CD8" s="36" t="str">
        <f t="shared" si="31"/>
        <v/>
      </c>
      <c r="CE8" s="37"/>
      <c r="CF8" s="33"/>
      <c r="CG8" s="34"/>
      <c r="CH8" s="35" t="str">
        <f t="shared" si="32"/>
        <v/>
      </c>
      <c r="CI8" s="36" t="str">
        <f t="shared" si="33"/>
        <v/>
      </c>
      <c r="CJ8" s="37"/>
      <c r="CK8" s="33"/>
      <c r="CL8" s="34"/>
      <c r="CM8" s="35" t="str">
        <f t="shared" si="34"/>
        <v/>
      </c>
      <c r="CN8" s="36" t="str">
        <f t="shared" si="35"/>
        <v/>
      </c>
      <c r="CO8" s="37"/>
      <c r="CP8" s="33"/>
      <c r="CQ8" s="34"/>
      <c r="CR8" s="35" t="str">
        <f t="shared" si="36"/>
        <v/>
      </c>
      <c r="CS8" s="36" t="str">
        <f t="shared" si="37"/>
        <v/>
      </c>
      <c r="CT8" s="37"/>
      <c r="CU8" s="33"/>
      <c r="CV8" s="34"/>
      <c r="CW8" s="35" t="str">
        <f t="shared" si="38"/>
        <v/>
      </c>
      <c r="CX8" s="36" t="str">
        <f t="shared" si="39"/>
        <v/>
      </c>
      <c r="CY8" s="37"/>
      <c r="CZ8" s="33"/>
      <c r="DA8" s="34"/>
      <c r="DB8" s="35" t="str">
        <f t="shared" si="40"/>
        <v/>
      </c>
      <c r="DC8" s="36" t="str">
        <f t="shared" si="41"/>
        <v/>
      </c>
      <c r="DD8" s="37"/>
      <c r="DE8" s="33"/>
      <c r="DF8" s="34"/>
      <c r="DG8" s="35" t="str">
        <f t="shared" si="42"/>
        <v/>
      </c>
      <c r="DH8" s="36" t="str">
        <f t="shared" si="43"/>
        <v/>
      </c>
      <c r="DI8" s="37"/>
      <c r="DJ8" s="33"/>
      <c r="DK8" s="34"/>
      <c r="DL8" s="35" t="str">
        <f t="shared" si="44"/>
        <v/>
      </c>
      <c r="DM8" s="36" t="str">
        <f t="shared" si="45"/>
        <v/>
      </c>
      <c r="DN8" s="37"/>
      <c r="DO8" s="33"/>
      <c r="DP8" s="34"/>
      <c r="DQ8" s="35" t="str">
        <f t="shared" si="46"/>
        <v/>
      </c>
      <c r="DR8" s="36" t="str">
        <f t="shared" si="47"/>
        <v/>
      </c>
      <c r="DS8" s="37"/>
      <c r="DT8" s="33"/>
      <c r="DU8" s="34"/>
      <c r="DV8" s="35" t="str">
        <f t="shared" si="48"/>
        <v/>
      </c>
      <c r="DW8" s="36" t="str">
        <f t="shared" si="49"/>
        <v/>
      </c>
      <c r="DX8" s="37"/>
      <c r="DY8" s="33"/>
      <c r="DZ8" s="34"/>
      <c r="EA8" s="35" t="str">
        <f t="shared" si="50"/>
        <v/>
      </c>
      <c r="EB8" s="36" t="str">
        <f t="shared" si="51"/>
        <v/>
      </c>
      <c r="EC8" s="37"/>
      <c r="ED8" s="33"/>
      <c r="EE8" s="34"/>
      <c r="EF8" s="35" t="str">
        <f t="shared" si="52"/>
        <v/>
      </c>
      <c r="EG8" s="36" t="str">
        <f t="shared" si="53"/>
        <v/>
      </c>
      <c r="EH8" s="37"/>
      <c r="EI8" s="33"/>
      <c r="EJ8" s="34"/>
      <c r="EK8" s="35" t="str">
        <f t="shared" si="54"/>
        <v/>
      </c>
      <c r="EL8" s="36" t="str">
        <f t="shared" si="55"/>
        <v/>
      </c>
      <c r="EM8" s="37"/>
      <c r="EN8" s="33"/>
      <c r="EO8" s="34"/>
      <c r="EP8" s="35" t="str">
        <f t="shared" si="56"/>
        <v/>
      </c>
      <c r="EQ8" s="36" t="str">
        <f t="shared" si="57"/>
        <v/>
      </c>
      <c r="ER8" s="37"/>
      <c r="ES8" s="33"/>
      <c r="ET8" s="34"/>
      <c r="EU8" s="35" t="str">
        <f t="shared" si="58"/>
        <v/>
      </c>
      <c r="EV8" s="36" t="str">
        <f t="shared" si="59"/>
        <v/>
      </c>
      <c r="EW8" s="37"/>
    </row>
    <row r="9" spans="1:153" ht="19.5" customHeight="1">
      <c r="A9" s="32">
        <f>IF(DAY(DATE(対象年度,5,6))&lt;&gt;6,"",6)</f>
        <v>6</v>
      </c>
      <c r="B9" s="32" t="str">
        <f>IF(DAY(DATE(対象年度,5,6))&lt;&gt;6,"",CHOOSE(WEEKDAY(DATE(対象年度,5,6),2),"月","火","水","木","金","土","日"))</f>
        <v>水</v>
      </c>
      <c r="C9" s="32" t="str">
        <f>IF(DAY(DATE(対象年度,5,6))&lt;&gt;6,"",IF(ISNUMBER(MATCH(DATE(対象年度,5,6),祝日リスト,0)),"祝",""))</f>
        <v>祝</v>
      </c>
      <c r="D9" s="33"/>
      <c r="E9" s="34"/>
      <c r="F9" s="35" t="str">
        <f t="shared" si="0"/>
        <v/>
      </c>
      <c r="G9" s="36" t="str">
        <f t="shared" si="1"/>
        <v/>
      </c>
      <c r="H9" s="37"/>
      <c r="I9" s="33"/>
      <c r="J9" s="34"/>
      <c r="K9" s="35" t="str">
        <f t="shared" si="2"/>
        <v/>
      </c>
      <c r="L9" s="36" t="str">
        <f t="shared" si="3"/>
        <v/>
      </c>
      <c r="M9" s="37"/>
      <c r="N9" s="33"/>
      <c r="O9" s="34"/>
      <c r="P9" s="35" t="str">
        <f t="shared" si="4"/>
        <v/>
      </c>
      <c r="Q9" s="36" t="str">
        <f t="shared" si="5"/>
        <v/>
      </c>
      <c r="R9" s="37"/>
      <c r="S9" s="33"/>
      <c r="T9" s="34"/>
      <c r="U9" s="35" t="str">
        <f t="shared" si="6"/>
        <v/>
      </c>
      <c r="V9" s="36" t="str">
        <f t="shared" si="7"/>
        <v/>
      </c>
      <c r="W9" s="37"/>
      <c r="X9" s="33"/>
      <c r="Y9" s="34"/>
      <c r="Z9" s="35" t="str">
        <f t="shared" si="8"/>
        <v/>
      </c>
      <c r="AA9" s="36" t="str">
        <f t="shared" si="9"/>
        <v/>
      </c>
      <c r="AB9" s="37"/>
      <c r="AC9" s="33"/>
      <c r="AD9" s="34"/>
      <c r="AE9" s="35" t="str">
        <f t="shared" si="10"/>
        <v/>
      </c>
      <c r="AF9" s="36" t="str">
        <f t="shared" si="11"/>
        <v/>
      </c>
      <c r="AG9" s="37"/>
      <c r="AH9" s="33"/>
      <c r="AI9" s="34"/>
      <c r="AJ9" s="35" t="str">
        <f t="shared" si="12"/>
        <v/>
      </c>
      <c r="AK9" s="36" t="str">
        <f t="shared" si="13"/>
        <v/>
      </c>
      <c r="AL9" s="37"/>
      <c r="AM9" s="33"/>
      <c r="AN9" s="34"/>
      <c r="AO9" s="35" t="str">
        <f t="shared" si="14"/>
        <v/>
      </c>
      <c r="AP9" s="36" t="str">
        <f t="shared" si="15"/>
        <v/>
      </c>
      <c r="AQ9" s="37"/>
      <c r="AR9" s="33"/>
      <c r="AS9" s="34"/>
      <c r="AT9" s="35" t="str">
        <f t="shared" si="16"/>
        <v/>
      </c>
      <c r="AU9" s="36" t="str">
        <f t="shared" si="17"/>
        <v/>
      </c>
      <c r="AV9" s="37"/>
      <c r="AW9" s="33"/>
      <c r="AX9" s="34"/>
      <c r="AY9" s="35" t="str">
        <f t="shared" si="18"/>
        <v/>
      </c>
      <c r="AZ9" s="36" t="str">
        <f t="shared" si="19"/>
        <v/>
      </c>
      <c r="BA9" s="37"/>
      <c r="BB9" s="33"/>
      <c r="BC9" s="34"/>
      <c r="BD9" s="35" t="str">
        <f t="shared" si="20"/>
        <v/>
      </c>
      <c r="BE9" s="36" t="str">
        <f t="shared" si="21"/>
        <v/>
      </c>
      <c r="BF9" s="37"/>
      <c r="BG9" s="33"/>
      <c r="BH9" s="34"/>
      <c r="BI9" s="35" t="str">
        <f t="shared" si="22"/>
        <v/>
      </c>
      <c r="BJ9" s="36" t="str">
        <f t="shared" si="23"/>
        <v/>
      </c>
      <c r="BK9" s="37"/>
      <c r="BL9" s="33"/>
      <c r="BM9" s="34"/>
      <c r="BN9" s="35" t="str">
        <f t="shared" si="24"/>
        <v/>
      </c>
      <c r="BO9" s="36" t="str">
        <f t="shared" si="25"/>
        <v/>
      </c>
      <c r="BP9" s="37"/>
      <c r="BQ9" s="33"/>
      <c r="BR9" s="34"/>
      <c r="BS9" s="35" t="str">
        <f t="shared" si="26"/>
        <v/>
      </c>
      <c r="BT9" s="36" t="str">
        <f t="shared" si="27"/>
        <v/>
      </c>
      <c r="BU9" s="37"/>
      <c r="BV9" s="33"/>
      <c r="BW9" s="34"/>
      <c r="BX9" s="35" t="str">
        <f t="shared" si="28"/>
        <v/>
      </c>
      <c r="BY9" s="36" t="str">
        <f t="shared" si="29"/>
        <v/>
      </c>
      <c r="BZ9" s="37"/>
      <c r="CA9" s="33"/>
      <c r="CB9" s="34"/>
      <c r="CC9" s="35" t="str">
        <f t="shared" si="30"/>
        <v/>
      </c>
      <c r="CD9" s="36" t="str">
        <f t="shared" si="31"/>
        <v/>
      </c>
      <c r="CE9" s="37"/>
      <c r="CF9" s="33"/>
      <c r="CG9" s="34"/>
      <c r="CH9" s="35" t="str">
        <f t="shared" si="32"/>
        <v/>
      </c>
      <c r="CI9" s="36" t="str">
        <f t="shared" si="33"/>
        <v/>
      </c>
      <c r="CJ9" s="37"/>
      <c r="CK9" s="33"/>
      <c r="CL9" s="34"/>
      <c r="CM9" s="35" t="str">
        <f t="shared" si="34"/>
        <v/>
      </c>
      <c r="CN9" s="36" t="str">
        <f t="shared" si="35"/>
        <v/>
      </c>
      <c r="CO9" s="37"/>
      <c r="CP9" s="33"/>
      <c r="CQ9" s="34"/>
      <c r="CR9" s="35" t="str">
        <f t="shared" si="36"/>
        <v/>
      </c>
      <c r="CS9" s="36" t="str">
        <f t="shared" si="37"/>
        <v/>
      </c>
      <c r="CT9" s="37"/>
      <c r="CU9" s="33"/>
      <c r="CV9" s="34"/>
      <c r="CW9" s="35" t="str">
        <f t="shared" si="38"/>
        <v/>
      </c>
      <c r="CX9" s="36" t="str">
        <f t="shared" si="39"/>
        <v/>
      </c>
      <c r="CY9" s="37"/>
      <c r="CZ9" s="33"/>
      <c r="DA9" s="34"/>
      <c r="DB9" s="35" t="str">
        <f t="shared" si="40"/>
        <v/>
      </c>
      <c r="DC9" s="36" t="str">
        <f t="shared" si="41"/>
        <v/>
      </c>
      <c r="DD9" s="37"/>
      <c r="DE9" s="33"/>
      <c r="DF9" s="34"/>
      <c r="DG9" s="35" t="str">
        <f t="shared" si="42"/>
        <v/>
      </c>
      <c r="DH9" s="36" t="str">
        <f t="shared" si="43"/>
        <v/>
      </c>
      <c r="DI9" s="37"/>
      <c r="DJ9" s="33"/>
      <c r="DK9" s="34"/>
      <c r="DL9" s="35" t="str">
        <f t="shared" si="44"/>
        <v/>
      </c>
      <c r="DM9" s="36" t="str">
        <f t="shared" si="45"/>
        <v/>
      </c>
      <c r="DN9" s="37"/>
      <c r="DO9" s="33"/>
      <c r="DP9" s="34"/>
      <c r="DQ9" s="35" t="str">
        <f t="shared" si="46"/>
        <v/>
      </c>
      <c r="DR9" s="36" t="str">
        <f t="shared" si="47"/>
        <v/>
      </c>
      <c r="DS9" s="37"/>
      <c r="DT9" s="33"/>
      <c r="DU9" s="34"/>
      <c r="DV9" s="35" t="str">
        <f t="shared" si="48"/>
        <v/>
      </c>
      <c r="DW9" s="36" t="str">
        <f t="shared" si="49"/>
        <v/>
      </c>
      <c r="DX9" s="37"/>
      <c r="DY9" s="33"/>
      <c r="DZ9" s="34"/>
      <c r="EA9" s="35" t="str">
        <f t="shared" si="50"/>
        <v/>
      </c>
      <c r="EB9" s="36" t="str">
        <f t="shared" si="51"/>
        <v/>
      </c>
      <c r="EC9" s="37"/>
      <c r="ED9" s="33"/>
      <c r="EE9" s="34"/>
      <c r="EF9" s="35" t="str">
        <f t="shared" si="52"/>
        <v/>
      </c>
      <c r="EG9" s="36" t="str">
        <f t="shared" si="53"/>
        <v/>
      </c>
      <c r="EH9" s="37"/>
      <c r="EI9" s="33"/>
      <c r="EJ9" s="34"/>
      <c r="EK9" s="35" t="str">
        <f t="shared" si="54"/>
        <v/>
      </c>
      <c r="EL9" s="36" t="str">
        <f t="shared" si="55"/>
        <v/>
      </c>
      <c r="EM9" s="37"/>
      <c r="EN9" s="33"/>
      <c r="EO9" s="34"/>
      <c r="EP9" s="35" t="str">
        <f t="shared" si="56"/>
        <v/>
      </c>
      <c r="EQ9" s="36" t="str">
        <f t="shared" si="57"/>
        <v/>
      </c>
      <c r="ER9" s="37"/>
      <c r="ES9" s="33"/>
      <c r="ET9" s="34"/>
      <c r="EU9" s="35" t="str">
        <f t="shared" si="58"/>
        <v/>
      </c>
      <c r="EV9" s="36" t="str">
        <f t="shared" si="59"/>
        <v/>
      </c>
      <c r="EW9" s="37"/>
    </row>
    <row r="10" spans="1:153" ht="19.5" customHeight="1">
      <c r="A10" s="32">
        <f>IF(DAY(DATE(対象年度,5,7))&lt;&gt;7,"",7)</f>
        <v>7</v>
      </c>
      <c r="B10" s="32" t="str">
        <f>IF(DAY(DATE(対象年度,5,7))&lt;&gt;7,"",CHOOSE(WEEKDAY(DATE(対象年度,5,7),2),"月","火","水","木","金","土","日"))</f>
        <v>木</v>
      </c>
      <c r="C10" s="32" t="str">
        <f>IF(DAY(DATE(対象年度,5,7))&lt;&gt;7,"",IF(ISNUMBER(MATCH(DATE(対象年度,5,7),祝日リスト,0)),"祝",""))</f>
        <v/>
      </c>
      <c r="D10" s="33"/>
      <c r="E10" s="34"/>
      <c r="F10" s="35" t="str">
        <f t="shared" si="0"/>
        <v/>
      </c>
      <c r="G10" s="36" t="str">
        <f t="shared" si="1"/>
        <v/>
      </c>
      <c r="H10" s="37"/>
      <c r="I10" s="33"/>
      <c r="J10" s="34"/>
      <c r="K10" s="35" t="str">
        <f t="shared" si="2"/>
        <v/>
      </c>
      <c r="L10" s="36" t="str">
        <f t="shared" si="3"/>
        <v/>
      </c>
      <c r="M10" s="37"/>
      <c r="N10" s="33"/>
      <c r="O10" s="34"/>
      <c r="P10" s="35" t="str">
        <f t="shared" si="4"/>
        <v/>
      </c>
      <c r="Q10" s="36" t="str">
        <f t="shared" si="5"/>
        <v/>
      </c>
      <c r="R10" s="37"/>
      <c r="S10" s="33"/>
      <c r="T10" s="34"/>
      <c r="U10" s="35" t="str">
        <f t="shared" si="6"/>
        <v/>
      </c>
      <c r="V10" s="36" t="str">
        <f t="shared" si="7"/>
        <v/>
      </c>
      <c r="W10" s="37"/>
      <c r="X10" s="33"/>
      <c r="Y10" s="34"/>
      <c r="Z10" s="35" t="str">
        <f t="shared" si="8"/>
        <v/>
      </c>
      <c r="AA10" s="36" t="str">
        <f t="shared" si="9"/>
        <v/>
      </c>
      <c r="AB10" s="37"/>
      <c r="AC10" s="33"/>
      <c r="AD10" s="34"/>
      <c r="AE10" s="35" t="str">
        <f t="shared" si="10"/>
        <v/>
      </c>
      <c r="AF10" s="36" t="str">
        <f t="shared" si="11"/>
        <v/>
      </c>
      <c r="AG10" s="37"/>
      <c r="AH10" s="33"/>
      <c r="AI10" s="34"/>
      <c r="AJ10" s="35" t="str">
        <f t="shared" si="12"/>
        <v/>
      </c>
      <c r="AK10" s="36" t="str">
        <f t="shared" si="13"/>
        <v/>
      </c>
      <c r="AL10" s="37"/>
      <c r="AM10" s="33"/>
      <c r="AN10" s="34"/>
      <c r="AO10" s="35" t="str">
        <f t="shared" si="14"/>
        <v/>
      </c>
      <c r="AP10" s="36" t="str">
        <f t="shared" si="15"/>
        <v/>
      </c>
      <c r="AQ10" s="37"/>
      <c r="AR10" s="33"/>
      <c r="AS10" s="34"/>
      <c r="AT10" s="35" t="str">
        <f t="shared" si="16"/>
        <v/>
      </c>
      <c r="AU10" s="36" t="str">
        <f t="shared" si="17"/>
        <v/>
      </c>
      <c r="AV10" s="37"/>
      <c r="AW10" s="33"/>
      <c r="AX10" s="34"/>
      <c r="AY10" s="35" t="str">
        <f t="shared" si="18"/>
        <v/>
      </c>
      <c r="AZ10" s="36" t="str">
        <f t="shared" si="19"/>
        <v/>
      </c>
      <c r="BA10" s="37"/>
      <c r="BB10" s="33"/>
      <c r="BC10" s="34"/>
      <c r="BD10" s="35" t="str">
        <f t="shared" si="20"/>
        <v/>
      </c>
      <c r="BE10" s="36" t="str">
        <f t="shared" si="21"/>
        <v/>
      </c>
      <c r="BF10" s="37"/>
      <c r="BG10" s="33"/>
      <c r="BH10" s="34"/>
      <c r="BI10" s="35" t="str">
        <f t="shared" si="22"/>
        <v/>
      </c>
      <c r="BJ10" s="36" t="str">
        <f t="shared" si="23"/>
        <v/>
      </c>
      <c r="BK10" s="37"/>
      <c r="BL10" s="33"/>
      <c r="BM10" s="34"/>
      <c r="BN10" s="35" t="str">
        <f t="shared" si="24"/>
        <v/>
      </c>
      <c r="BO10" s="36" t="str">
        <f t="shared" si="25"/>
        <v/>
      </c>
      <c r="BP10" s="37"/>
      <c r="BQ10" s="33"/>
      <c r="BR10" s="34"/>
      <c r="BS10" s="35" t="str">
        <f t="shared" si="26"/>
        <v/>
      </c>
      <c r="BT10" s="36" t="str">
        <f t="shared" si="27"/>
        <v/>
      </c>
      <c r="BU10" s="37"/>
      <c r="BV10" s="33"/>
      <c r="BW10" s="34"/>
      <c r="BX10" s="35" t="str">
        <f t="shared" si="28"/>
        <v/>
      </c>
      <c r="BY10" s="36" t="str">
        <f t="shared" si="29"/>
        <v/>
      </c>
      <c r="BZ10" s="37"/>
      <c r="CA10" s="33"/>
      <c r="CB10" s="34"/>
      <c r="CC10" s="35" t="str">
        <f t="shared" si="30"/>
        <v/>
      </c>
      <c r="CD10" s="36" t="str">
        <f t="shared" si="31"/>
        <v/>
      </c>
      <c r="CE10" s="37"/>
      <c r="CF10" s="33"/>
      <c r="CG10" s="34"/>
      <c r="CH10" s="35" t="str">
        <f t="shared" si="32"/>
        <v/>
      </c>
      <c r="CI10" s="36" t="str">
        <f t="shared" si="33"/>
        <v/>
      </c>
      <c r="CJ10" s="37"/>
      <c r="CK10" s="33"/>
      <c r="CL10" s="34"/>
      <c r="CM10" s="35" t="str">
        <f t="shared" si="34"/>
        <v/>
      </c>
      <c r="CN10" s="36" t="str">
        <f t="shared" si="35"/>
        <v/>
      </c>
      <c r="CO10" s="37"/>
      <c r="CP10" s="33"/>
      <c r="CQ10" s="34"/>
      <c r="CR10" s="35" t="str">
        <f t="shared" si="36"/>
        <v/>
      </c>
      <c r="CS10" s="36" t="str">
        <f t="shared" si="37"/>
        <v/>
      </c>
      <c r="CT10" s="37"/>
      <c r="CU10" s="33"/>
      <c r="CV10" s="34"/>
      <c r="CW10" s="35" t="str">
        <f t="shared" si="38"/>
        <v/>
      </c>
      <c r="CX10" s="36" t="str">
        <f t="shared" si="39"/>
        <v/>
      </c>
      <c r="CY10" s="37"/>
      <c r="CZ10" s="33"/>
      <c r="DA10" s="34"/>
      <c r="DB10" s="35" t="str">
        <f t="shared" si="40"/>
        <v/>
      </c>
      <c r="DC10" s="36" t="str">
        <f t="shared" si="41"/>
        <v/>
      </c>
      <c r="DD10" s="37"/>
      <c r="DE10" s="33"/>
      <c r="DF10" s="34"/>
      <c r="DG10" s="35" t="str">
        <f t="shared" si="42"/>
        <v/>
      </c>
      <c r="DH10" s="36" t="str">
        <f t="shared" si="43"/>
        <v/>
      </c>
      <c r="DI10" s="37"/>
      <c r="DJ10" s="33"/>
      <c r="DK10" s="34"/>
      <c r="DL10" s="35" t="str">
        <f t="shared" si="44"/>
        <v/>
      </c>
      <c r="DM10" s="36" t="str">
        <f t="shared" si="45"/>
        <v/>
      </c>
      <c r="DN10" s="37"/>
      <c r="DO10" s="33"/>
      <c r="DP10" s="34"/>
      <c r="DQ10" s="35" t="str">
        <f t="shared" si="46"/>
        <v/>
      </c>
      <c r="DR10" s="36" t="str">
        <f t="shared" si="47"/>
        <v/>
      </c>
      <c r="DS10" s="37"/>
      <c r="DT10" s="33"/>
      <c r="DU10" s="34"/>
      <c r="DV10" s="35" t="str">
        <f t="shared" si="48"/>
        <v/>
      </c>
      <c r="DW10" s="36" t="str">
        <f t="shared" si="49"/>
        <v/>
      </c>
      <c r="DX10" s="37"/>
      <c r="DY10" s="33"/>
      <c r="DZ10" s="34"/>
      <c r="EA10" s="35" t="str">
        <f t="shared" si="50"/>
        <v/>
      </c>
      <c r="EB10" s="36" t="str">
        <f t="shared" si="51"/>
        <v/>
      </c>
      <c r="EC10" s="37"/>
      <c r="ED10" s="33"/>
      <c r="EE10" s="34"/>
      <c r="EF10" s="35" t="str">
        <f t="shared" si="52"/>
        <v/>
      </c>
      <c r="EG10" s="36" t="str">
        <f t="shared" si="53"/>
        <v/>
      </c>
      <c r="EH10" s="37"/>
      <c r="EI10" s="33"/>
      <c r="EJ10" s="34"/>
      <c r="EK10" s="35" t="str">
        <f t="shared" si="54"/>
        <v/>
      </c>
      <c r="EL10" s="36" t="str">
        <f t="shared" si="55"/>
        <v/>
      </c>
      <c r="EM10" s="37"/>
      <c r="EN10" s="33"/>
      <c r="EO10" s="34"/>
      <c r="EP10" s="35" t="str">
        <f t="shared" si="56"/>
        <v/>
      </c>
      <c r="EQ10" s="36" t="str">
        <f t="shared" si="57"/>
        <v/>
      </c>
      <c r="ER10" s="37"/>
      <c r="ES10" s="33"/>
      <c r="ET10" s="34"/>
      <c r="EU10" s="35" t="str">
        <f t="shared" si="58"/>
        <v/>
      </c>
      <c r="EV10" s="36" t="str">
        <f t="shared" si="59"/>
        <v/>
      </c>
      <c r="EW10" s="37"/>
    </row>
    <row r="11" spans="1:153" ht="19.5" customHeight="1">
      <c r="A11" s="32">
        <f>IF(DAY(DATE(対象年度,5,8))&lt;&gt;8,"",8)</f>
        <v>8</v>
      </c>
      <c r="B11" s="32" t="str">
        <f>IF(DAY(DATE(対象年度,5,8))&lt;&gt;8,"",CHOOSE(WEEKDAY(DATE(対象年度,5,8),2),"月","火","水","木","金","土","日"))</f>
        <v>金</v>
      </c>
      <c r="C11" s="32" t="str">
        <f>IF(DAY(DATE(対象年度,5,8))&lt;&gt;8,"",IF(ISNUMBER(MATCH(DATE(対象年度,5,8),祝日リスト,0)),"祝",""))</f>
        <v/>
      </c>
      <c r="D11" s="33"/>
      <c r="E11" s="34"/>
      <c r="F11" s="35" t="str">
        <f t="shared" si="0"/>
        <v/>
      </c>
      <c r="G11" s="36" t="str">
        <f t="shared" si="1"/>
        <v/>
      </c>
      <c r="H11" s="37"/>
      <c r="I11" s="33"/>
      <c r="J11" s="34"/>
      <c r="K11" s="35" t="str">
        <f t="shared" si="2"/>
        <v/>
      </c>
      <c r="L11" s="36" t="str">
        <f t="shared" si="3"/>
        <v/>
      </c>
      <c r="M11" s="37"/>
      <c r="N11" s="33"/>
      <c r="O11" s="34"/>
      <c r="P11" s="35" t="str">
        <f t="shared" si="4"/>
        <v/>
      </c>
      <c r="Q11" s="36" t="str">
        <f t="shared" si="5"/>
        <v/>
      </c>
      <c r="R11" s="37"/>
      <c r="S11" s="33"/>
      <c r="T11" s="34"/>
      <c r="U11" s="35" t="str">
        <f t="shared" si="6"/>
        <v/>
      </c>
      <c r="V11" s="36" t="str">
        <f t="shared" si="7"/>
        <v/>
      </c>
      <c r="W11" s="37"/>
      <c r="X11" s="33"/>
      <c r="Y11" s="34"/>
      <c r="Z11" s="35" t="str">
        <f t="shared" si="8"/>
        <v/>
      </c>
      <c r="AA11" s="36" t="str">
        <f t="shared" si="9"/>
        <v/>
      </c>
      <c r="AB11" s="37"/>
      <c r="AC11" s="33"/>
      <c r="AD11" s="34"/>
      <c r="AE11" s="35" t="str">
        <f t="shared" si="10"/>
        <v/>
      </c>
      <c r="AF11" s="36" t="str">
        <f t="shared" si="11"/>
        <v/>
      </c>
      <c r="AG11" s="37"/>
      <c r="AH11" s="33"/>
      <c r="AI11" s="34"/>
      <c r="AJ11" s="35" t="str">
        <f t="shared" si="12"/>
        <v/>
      </c>
      <c r="AK11" s="36" t="str">
        <f t="shared" si="13"/>
        <v/>
      </c>
      <c r="AL11" s="37"/>
      <c r="AM11" s="33"/>
      <c r="AN11" s="34"/>
      <c r="AO11" s="35" t="str">
        <f t="shared" si="14"/>
        <v/>
      </c>
      <c r="AP11" s="36" t="str">
        <f t="shared" si="15"/>
        <v/>
      </c>
      <c r="AQ11" s="37"/>
      <c r="AR11" s="33"/>
      <c r="AS11" s="34"/>
      <c r="AT11" s="35" t="str">
        <f t="shared" si="16"/>
        <v/>
      </c>
      <c r="AU11" s="36" t="str">
        <f t="shared" si="17"/>
        <v/>
      </c>
      <c r="AV11" s="37"/>
      <c r="AW11" s="33"/>
      <c r="AX11" s="34"/>
      <c r="AY11" s="35" t="str">
        <f t="shared" si="18"/>
        <v/>
      </c>
      <c r="AZ11" s="36" t="str">
        <f t="shared" si="19"/>
        <v/>
      </c>
      <c r="BA11" s="37"/>
      <c r="BB11" s="33"/>
      <c r="BC11" s="34"/>
      <c r="BD11" s="35" t="str">
        <f t="shared" si="20"/>
        <v/>
      </c>
      <c r="BE11" s="36" t="str">
        <f t="shared" si="21"/>
        <v/>
      </c>
      <c r="BF11" s="37"/>
      <c r="BG11" s="33"/>
      <c r="BH11" s="34"/>
      <c r="BI11" s="35" t="str">
        <f t="shared" si="22"/>
        <v/>
      </c>
      <c r="BJ11" s="36" t="str">
        <f t="shared" si="23"/>
        <v/>
      </c>
      <c r="BK11" s="37"/>
      <c r="BL11" s="33"/>
      <c r="BM11" s="34"/>
      <c r="BN11" s="35" t="str">
        <f t="shared" si="24"/>
        <v/>
      </c>
      <c r="BO11" s="36" t="str">
        <f t="shared" si="25"/>
        <v/>
      </c>
      <c r="BP11" s="37"/>
      <c r="BQ11" s="33"/>
      <c r="BR11" s="34"/>
      <c r="BS11" s="35" t="str">
        <f t="shared" si="26"/>
        <v/>
      </c>
      <c r="BT11" s="36" t="str">
        <f t="shared" si="27"/>
        <v/>
      </c>
      <c r="BU11" s="37"/>
      <c r="BV11" s="33"/>
      <c r="BW11" s="34"/>
      <c r="BX11" s="35" t="str">
        <f t="shared" si="28"/>
        <v/>
      </c>
      <c r="BY11" s="36" t="str">
        <f t="shared" si="29"/>
        <v/>
      </c>
      <c r="BZ11" s="37"/>
      <c r="CA11" s="33"/>
      <c r="CB11" s="34"/>
      <c r="CC11" s="35" t="str">
        <f t="shared" si="30"/>
        <v/>
      </c>
      <c r="CD11" s="36" t="str">
        <f t="shared" si="31"/>
        <v/>
      </c>
      <c r="CE11" s="37"/>
      <c r="CF11" s="33"/>
      <c r="CG11" s="34"/>
      <c r="CH11" s="35" t="str">
        <f t="shared" si="32"/>
        <v/>
      </c>
      <c r="CI11" s="36" t="str">
        <f t="shared" si="33"/>
        <v/>
      </c>
      <c r="CJ11" s="37"/>
      <c r="CK11" s="33"/>
      <c r="CL11" s="34"/>
      <c r="CM11" s="35" t="str">
        <f t="shared" si="34"/>
        <v/>
      </c>
      <c r="CN11" s="36" t="str">
        <f t="shared" si="35"/>
        <v/>
      </c>
      <c r="CO11" s="37"/>
      <c r="CP11" s="33"/>
      <c r="CQ11" s="34"/>
      <c r="CR11" s="35" t="str">
        <f t="shared" si="36"/>
        <v/>
      </c>
      <c r="CS11" s="36" t="str">
        <f t="shared" si="37"/>
        <v/>
      </c>
      <c r="CT11" s="37"/>
      <c r="CU11" s="33"/>
      <c r="CV11" s="34"/>
      <c r="CW11" s="35" t="str">
        <f t="shared" si="38"/>
        <v/>
      </c>
      <c r="CX11" s="36" t="str">
        <f t="shared" si="39"/>
        <v/>
      </c>
      <c r="CY11" s="37"/>
      <c r="CZ11" s="33"/>
      <c r="DA11" s="34"/>
      <c r="DB11" s="35" t="str">
        <f t="shared" si="40"/>
        <v/>
      </c>
      <c r="DC11" s="36" t="str">
        <f t="shared" si="41"/>
        <v/>
      </c>
      <c r="DD11" s="37"/>
      <c r="DE11" s="33"/>
      <c r="DF11" s="34"/>
      <c r="DG11" s="35" t="str">
        <f t="shared" si="42"/>
        <v/>
      </c>
      <c r="DH11" s="36" t="str">
        <f t="shared" si="43"/>
        <v/>
      </c>
      <c r="DI11" s="37"/>
      <c r="DJ11" s="33"/>
      <c r="DK11" s="34"/>
      <c r="DL11" s="35" t="str">
        <f t="shared" si="44"/>
        <v/>
      </c>
      <c r="DM11" s="36" t="str">
        <f t="shared" si="45"/>
        <v/>
      </c>
      <c r="DN11" s="37"/>
      <c r="DO11" s="33"/>
      <c r="DP11" s="34"/>
      <c r="DQ11" s="35" t="str">
        <f t="shared" si="46"/>
        <v/>
      </c>
      <c r="DR11" s="36" t="str">
        <f t="shared" si="47"/>
        <v/>
      </c>
      <c r="DS11" s="37"/>
      <c r="DT11" s="33"/>
      <c r="DU11" s="34"/>
      <c r="DV11" s="35" t="str">
        <f t="shared" si="48"/>
        <v/>
      </c>
      <c r="DW11" s="36" t="str">
        <f t="shared" si="49"/>
        <v/>
      </c>
      <c r="DX11" s="37"/>
      <c r="DY11" s="33"/>
      <c r="DZ11" s="34"/>
      <c r="EA11" s="35" t="str">
        <f t="shared" si="50"/>
        <v/>
      </c>
      <c r="EB11" s="36" t="str">
        <f t="shared" si="51"/>
        <v/>
      </c>
      <c r="EC11" s="37"/>
      <c r="ED11" s="33"/>
      <c r="EE11" s="34"/>
      <c r="EF11" s="35" t="str">
        <f t="shared" si="52"/>
        <v/>
      </c>
      <c r="EG11" s="36" t="str">
        <f t="shared" si="53"/>
        <v/>
      </c>
      <c r="EH11" s="37"/>
      <c r="EI11" s="33"/>
      <c r="EJ11" s="34"/>
      <c r="EK11" s="35" t="str">
        <f t="shared" si="54"/>
        <v/>
      </c>
      <c r="EL11" s="36" t="str">
        <f t="shared" si="55"/>
        <v/>
      </c>
      <c r="EM11" s="37"/>
      <c r="EN11" s="33"/>
      <c r="EO11" s="34"/>
      <c r="EP11" s="35" t="str">
        <f t="shared" si="56"/>
        <v/>
      </c>
      <c r="EQ11" s="36" t="str">
        <f t="shared" si="57"/>
        <v/>
      </c>
      <c r="ER11" s="37"/>
      <c r="ES11" s="33"/>
      <c r="ET11" s="34"/>
      <c r="EU11" s="35" t="str">
        <f t="shared" si="58"/>
        <v/>
      </c>
      <c r="EV11" s="36" t="str">
        <f t="shared" si="59"/>
        <v/>
      </c>
      <c r="EW11" s="37"/>
    </row>
    <row r="12" spans="1:153" ht="19.5" customHeight="1">
      <c r="A12" s="32">
        <f>IF(DAY(DATE(対象年度,5,9))&lt;&gt;9,"",9)</f>
        <v>9</v>
      </c>
      <c r="B12" s="32" t="str">
        <f>IF(DAY(DATE(対象年度,5,9))&lt;&gt;9,"",CHOOSE(WEEKDAY(DATE(対象年度,5,9),2),"月","火","水","木","金","土","日"))</f>
        <v>土</v>
      </c>
      <c r="C12" s="32" t="str">
        <f>IF(DAY(DATE(対象年度,5,9))&lt;&gt;9,"",IF(ISNUMBER(MATCH(DATE(対象年度,5,9),祝日リスト,0)),"祝",""))</f>
        <v/>
      </c>
      <c r="D12" s="33"/>
      <c r="E12" s="34"/>
      <c r="F12" s="35" t="str">
        <f t="shared" si="0"/>
        <v/>
      </c>
      <c r="G12" s="36" t="str">
        <f t="shared" si="1"/>
        <v/>
      </c>
      <c r="H12" s="37"/>
      <c r="I12" s="33"/>
      <c r="J12" s="34"/>
      <c r="K12" s="35" t="str">
        <f t="shared" si="2"/>
        <v/>
      </c>
      <c r="L12" s="36" t="str">
        <f t="shared" si="3"/>
        <v/>
      </c>
      <c r="M12" s="37"/>
      <c r="N12" s="33"/>
      <c r="O12" s="34"/>
      <c r="P12" s="35" t="str">
        <f t="shared" si="4"/>
        <v/>
      </c>
      <c r="Q12" s="36" t="str">
        <f t="shared" si="5"/>
        <v/>
      </c>
      <c r="R12" s="37"/>
      <c r="S12" s="33"/>
      <c r="T12" s="34"/>
      <c r="U12" s="35" t="str">
        <f t="shared" si="6"/>
        <v/>
      </c>
      <c r="V12" s="36" t="str">
        <f t="shared" si="7"/>
        <v/>
      </c>
      <c r="W12" s="37"/>
      <c r="X12" s="33"/>
      <c r="Y12" s="34"/>
      <c r="Z12" s="35" t="str">
        <f t="shared" si="8"/>
        <v/>
      </c>
      <c r="AA12" s="36" t="str">
        <f t="shared" si="9"/>
        <v/>
      </c>
      <c r="AB12" s="37"/>
      <c r="AC12" s="33"/>
      <c r="AD12" s="34"/>
      <c r="AE12" s="35" t="str">
        <f t="shared" si="10"/>
        <v/>
      </c>
      <c r="AF12" s="36" t="str">
        <f t="shared" si="11"/>
        <v/>
      </c>
      <c r="AG12" s="37"/>
      <c r="AH12" s="33"/>
      <c r="AI12" s="34"/>
      <c r="AJ12" s="35" t="str">
        <f t="shared" si="12"/>
        <v/>
      </c>
      <c r="AK12" s="36" t="str">
        <f t="shared" si="13"/>
        <v/>
      </c>
      <c r="AL12" s="37"/>
      <c r="AM12" s="33"/>
      <c r="AN12" s="34"/>
      <c r="AO12" s="35" t="str">
        <f t="shared" si="14"/>
        <v/>
      </c>
      <c r="AP12" s="36" t="str">
        <f t="shared" si="15"/>
        <v/>
      </c>
      <c r="AQ12" s="37"/>
      <c r="AR12" s="33"/>
      <c r="AS12" s="34"/>
      <c r="AT12" s="35" t="str">
        <f t="shared" si="16"/>
        <v/>
      </c>
      <c r="AU12" s="36" t="str">
        <f t="shared" si="17"/>
        <v/>
      </c>
      <c r="AV12" s="37"/>
      <c r="AW12" s="33"/>
      <c r="AX12" s="34"/>
      <c r="AY12" s="35" t="str">
        <f t="shared" si="18"/>
        <v/>
      </c>
      <c r="AZ12" s="36" t="str">
        <f t="shared" si="19"/>
        <v/>
      </c>
      <c r="BA12" s="37"/>
      <c r="BB12" s="33"/>
      <c r="BC12" s="34"/>
      <c r="BD12" s="35" t="str">
        <f t="shared" si="20"/>
        <v/>
      </c>
      <c r="BE12" s="36" t="str">
        <f t="shared" si="21"/>
        <v/>
      </c>
      <c r="BF12" s="37"/>
      <c r="BG12" s="33"/>
      <c r="BH12" s="34"/>
      <c r="BI12" s="35" t="str">
        <f t="shared" si="22"/>
        <v/>
      </c>
      <c r="BJ12" s="36" t="str">
        <f t="shared" si="23"/>
        <v/>
      </c>
      <c r="BK12" s="37"/>
      <c r="BL12" s="33"/>
      <c r="BM12" s="34"/>
      <c r="BN12" s="35" t="str">
        <f t="shared" si="24"/>
        <v/>
      </c>
      <c r="BO12" s="36" t="str">
        <f t="shared" si="25"/>
        <v/>
      </c>
      <c r="BP12" s="37"/>
      <c r="BQ12" s="33"/>
      <c r="BR12" s="34"/>
      <c r="BS12" s="35" t="str">
        <f t="shared" si="26"/>
        <v/>
      </c>
      <c r="BT12" s="36" t="str">
        <f t="shared" si="27"/>
        <v/>
      </c>
      <c r="BU12" s="37"/>
      <c r="BV12" s="33"/>
      <c r="BW12" s="34"/>
      <c r="BX12" s="35" t="str">
        <f t="shared" si="28"/>
        <v/>
      </c>
      <c r="BY12" s="36" t="str">
        <f t="shared" si="29"/>
        <v/>
      </c>
      <c r="BZ12" s="37"/>
      <c r="CA12" s="33"/>
      <c r="CB12" s="34"/>
      <c r="CC12" s="35" t="str">
        <f t="shared" si="30"/>
        <v/>
      </c>
      <c r="CD12" s="36" t="str">
        <f t="shared" si="31"/>
        <v/>
      </c>
      <c r="CE12" s="37"/>
      <c r="CF12" s="33"/>
      <c r="CG12" s="34"/>
      <c r="CH12" s="35" t="str">
        <f t="shared" si="32"/>
        <v/>
      </c>
      <c r="CI12" s="36" t="str">
        <f t="shared" si="33"/>
        <v/>
      </c>
      <c r="CJ12" s="37"/>
      <c r="CK12" s="33"/>
      <c r="CL12" s="34"/>
      <c r="CM12" s="35" t="str">
        <f t="shared" si="34"/>
        <v/>
      </c>
      <c r="CN12" s="36" t="str">
        <f t="shared" si="35"/>
        <v/>
      </c>
      <c r="CO12" s="37"/>
      <c r="CP12" s="33"/>
      <c r="CQ12" s="34"/>
      <c r="CR12" s="35" t="str">
        <f t="shared" si="36"/>
        <v/>
      </c>
      <c r="CS12" s="36" t="str">
        <f t="shared" si="37"/>
        <v/>
      </c>
      <c r="CT12" s="37"/>
      <c r="CU12" s="33"/>
      <c r="CV12" s="34"/>
      <c r="CW12" s="35" t="str">
        <f t="shared" si="38"/>
        <v/>
      </c>
      <c r="CX12" s="36" t="str">
        <f t="shared" si="39"/>
        <v/>
      </c>
      <c r="CY12" s="37"/>
      <c r="CZ12" s="33"/>
      <c r="DA12" s="34"/>
      <c r="DB12" s="35" t="str">
        <f t="shared" si="40"/>
        <v/>
      </c>
      <c r="DC12" s="36" t="str">
        <f t="shared" si="41"/>
        <v/>
      </c>
      <c r="DD12" s="37"/>
      <c r="DE12" s="33"/>
      <c r="DF12" s="34"/>
      <c r="DG12" s="35" t="str">
        <f t="shared" si="42"/>
        <v/>
      </c>
      <c r="DH12" s="36" t="str">
        <f t="shared" si="43"/>
        <v/>
      </c>
      <c r="DI12" s="37"/>
      <c r="DJ12" s="33"/>
      <c r="DK12" s="34"/>
      <c r="DL12" s="35" t="str">
        <f t="shared" si="44"/>
        <v/>
      </c>
      <c r="DM12" s="36" t="str">
        <f t="shared" si="45"/>
        <v/>
      </c>
      <c r="DN12" s="37"/>
      <c r="DO12" s="33"/>
      <c r="DP12" s="34"/>
      <c r="DQ12" s="35" t="str">
        <f t="shared" si="46"/>
        <v/>
      </c>
      <c r="DR12" s="36" t="str">
        <f t="shared" si="47"/>
        <v/>
      </c>
      <c r="DS12" s="37"/>
      <c r="DT12" s="33"/>
      <c r="DU12" s="34"/>
      <c r="DV12" s="35" t="str">
        <f t="shared" si="48"/>
        <v/>
      </c>
      <c r="DW12" s="36" t="str">
        <f t="shared" si="49"/>
        <v/>
      </c>
      <c r="DX12" s="37"/>
      <c r="DY12" s="33"/>
      <c r="DZ12" s="34"/>
      <c r="EA12" s="35" t="str">
        <f t="shared" si="50"/>
        <v/>
      </c>
      <c r="EB12" s="36" t="str">
        <f t="shared" si="51"/>
        <v/>
      </c>
      <c r="EC12" s="37"/>
      <c r="ED12" s="33"/>
      <c r="EE12" s="34"/>
      <c r="EF12" s="35" t="str">
        <f t="shared" si="52"/>
        <v/>
      </c>
      <c r="EG12" s="36" t="str">
        <f t="shared" si="53"/>
        <v/>
      </c>
      <c r="EH12" s="37"/>
      <c r="EI12" s="33"/>
      <c r="EJ12" s="34"/>
      <c r="EK12" s="35" t="str">
        <f t="shared" si="54"/>
        <v/>
      </c>
      <c r="EL12" s="36" t="str">
        <f t="shared" si="55"/>
        <v/>
      </c>
      <c r="EM12" s="37"/>
      <c r="EN12" s="33"/>
      <c r="EO12" s="34"/>
      <c r="EP12" s="35" t="str">
        <f t="shared" si="56"/>
        <v/>
      </c>
      <c r="EQ12" s="36" t="str">
        <f t="shared" si="57"/>
        <v/>
      </c>
      <c r="ER12" s="37"/>
      <c r="ES12" s="33"/>
      <c r="ET12" s="34"/>
      <c r="EU12" s="35" t="str">
        <f t="shared" si="58"/>
        <v/>
      </c>
      <c r="EV12" s="36" t="str">
        <f t="shared" si="59"/>
        <v/>
      </c>
      <c r="EW12" s="37"/>
    </row>
    <row r="13" spans="1:153" ht="19.5" customHeight="1">
      <c r="A13" s="32">
        <f>IF(DAY(DATE(対象年度,5,10))&lt;&gt;10,"",10)</f>
        <v>10</v>
      </c>
      <c r="B13" s="32" t="str">
        <f>IF(DAY(DATE(対象年度,5,10))&lt;&gt;10,"",CHOOSE(WEEKDAY(DATE(対象年度,5,10),2),"月","火","水","木","金","土","日"))</f>
        <v>日</v>
      </c>
      <c r="C13" s="32" t="str">
        <f>IF(DAY(DATE(対象年度,5,10))&lt;&gt;10,"",IF(ISNUMBER(MATCH(DATE(対象年度,5,10),祝日リスト,0)),"祝",""))</f>
        <v/>
      </c>
      <c r="D13" s="33"/>
      <c r="E13" s="34"/>
      <c r="F13" s="35" t="str">
        <f t="shared" si="0"/>
        <v/>
      </c>
      <c r="G13" s="36" t="str">
        <f t="shared" si="1"/>
        <v/>
      </c>
      <c r="H13" s="37"/>
      <c r="I13" s="33"/>
      <c r="J13" s="34"/>
      <c r="K13" s="35" t="str">
        <f t="shared" si="2"/>
        <v/>
      </c>
      <c r="L13" s="36" t="str">
        <f t="shared" si="3"/>
        <v/>
      </c>
      <c r="M13" s="37"/>
      <c r="N13" s="33"/>
      <c r="O13" s="34"/>
      <c r="P13" s="35" t="str">
        <f t="shared" si="4"/>
        <v/>
      </c>
      <c r="Q13" s="36" t="str">
        <f t="shared" si="5"/>
        <v/>
      </c>
      <c r="R13" s="37"/>
      <c r="S13" s="33"/>
      <c r="T13" s="34"/>
      <c r="U13" s="35" t="str">
        <f t="shared" si="6"/>
        <v/>
      </c>
      <c r="V13" s="36" t="str">
        <f t="shared" si="7"/>
        <v/>
      </c>
      <c r="W13" s="37"/>
      <c r="X13" s="33"/>
      <c r="Y13" s="34"/>
      <c r="Z13" s="35" t="str">
        <f t="shared" si="8"/>
        <v/>
      </c>
      <c r="AA13" s="36" t="str">
        <f t="shared" si="9"/>
        <v/>
      </c>
      <c r="AB13" s="37"/>
      <c r="AC13" s="33"/>
      <c r="AD13" s="34"/>
      <c r="AE13" s="35" t="str">
        <f t="shared" si="10"/>
        <v/>
      </c>
      <c r="AF13" s="36" t="str">
        <f t="shared" si="11"/>
        <v/>
      </c>
      <c r="AG13" s="37"/>
      <c r="AH13" s="33"/>
      <c r="AI13" s="34"/>
      <c r="AJ13" s="35" t="str">
        <f t="shared" si="12"/>
        <v/>
      </c>
      <c r="AK13" s="36" t="str">
        <f t="shared" si="13"/>
        <v/>
      </c>
      <c r="AL13" s="37"/>
      <c r="AM13" s="33"/>
      <c r="AN13" s="34"/>
      <c r="AO13" s="35" t="str">
        <f t="shared" si="14"/>
        <v/>
      </c>
      <c r="AP13" s="36" t="str">
        <f t="shared" si="15"/>
        <v/>
      </c>
      <c r="AQ13" s="37"/>
      <c r="AR13" s="33"/>
      <c r="AS13" s="34"/>
      <c r="AT13" s="35" t="str">
        <f t="shared" si="16"/>
        <v/>
      </c>
      <c r="AU13" s="36" t="str">
        <f t="shared" si="17"/>
        <v/>
      </c>
      <c r="AV13" s="37"/>
      <c r="AW13" s="33"/>
      <c r="AX13" s="34"/>
      <c r="AY13" s="35" t="str">
        <f t="shared" si="18"/>
        <v/>
      </c>
      <c r="AZ13" s="36" t="str">
        <f t="shared" si="19"/>
        <v/>
      </c>
      <c r="BA13" s="37"/>
      <c r="BB13" s="33"/>
      <c r="BC13" s="34"/>
      <c r="BD13" s="35" t="str">
        <f t="shared" si="20"/>
        <v/>
      </c>
      <c r="BE13" s="36" t="str">
        <f t="shared" si="21"/>
        <v/>
      </c>
      <c r="BF13" s="37"/>
      <c r="BG13" s="33"/>
      <c r="BH13" s="34"/>
      <c r="BI13" s="35" t="str">
        <f t="shared" si="22"/>
        <v/>
      </c>
      <c r="BJ13" s="36" t="str">
        <f t="shared" si="23"/>
        <v/>
      </c>
      <c r="BK13" s="37"/>
      <c r="BL13" s="33"/>
      <c r="BM13" s="34"/>
      <c r="BN13" s="35" t="str">
        <f t="shared" si="24"/>
        <v/>
      </c>
      <c r="BO13" s="36" t="str">
        <f t="shared" si="25"/>
        <v/>
      </c>
      <c r="BP13" s="37"/>
      <c r="BQ13" s="33"/>
      <c r="BR13" s="34"/>
      <c r="BS13" s="35" t="str">
        <f t="shared" si="26"/>
        <v/>
      </c>
      <c r="BT13" s="36" t="str">
        <f t="shared" si="27"/>
        <v/>
      </c>
      <c r="BU13" s="37"/>
      <c r="BV13" s="33"/>
      <c r="BW13" s="34"/>
      <c r="BX13" s="35" t="str">
        <f t="shared" si="28"/>
        <v/>
      </c>
      <c r="BY13" s="36" t="str">
        <f t="shared" si="29"/>
        <v/>
      </c>
      <c r="BZ13" s="37"/>
      <c r="CA13" s="33"/>
      <c r="CB13" s="34"/>
      <c r="CC13" s="35" t="str">
        <f t="shared" si="30"/>
        <v/>
      </c>
      <c r="CD13" s="36" t="str">
        <f t="shared" si="31"/>
        <v/>
      </c>
      <c r="CE13" s="37"/>
      <c r="CF13" s="33"/>
      <c r="CG13" s="34"/>
      <c r="CH13" s="35" t="str">
        <f t="shared" si="32"/>
        <v/>
      </c>
      <c r="CI13" s="36" t="str">
        <f t="shared" si="33"/>
        <v/>
      </c>
      <c r="CJ13" s="37"/>
      <c r="CK13" s="33"/>
      <c r="CL13" s="34"/>
      <c r="CM13" s="35" t="str">
        <f t="shared" si="34"/>
        <v/>
      </c>
      <c r="CN13" s="36" t="str">
        <f t="shared" si="35"/>
        <v/>
      </c>
      <c r="CO13" s="37"/>
      <c r="CP13" s="33"/>
      <c r="CQ13" s="34"/>
      <c r="CR13" s="35" t="str">
        <f t="shared" si="36"/>
        <v/>
      </c>
      <c r="CS13" s="36" t="str">
        <f t="shared" si="37"/>
        <v/>
      </c>
      <c r="CT13" s="37"/>
      <c r="CU13" s="33"/>
      <c r="CV13" s="34"/>
      <c r="CW13" s="35" t="str">
        <f t="shared" si="38"/>
        <v/>
      </c>
      <c r="CX13" s="36" t="str">
        <f t="shared" si="39"/>
        <v/>
      </c>
      <c r="CY13" s="37"/>
      <c r="CZ13" s="33"/>
      <c r="DA13" s="34"/>
      <c r="DB13" s="35" t="str">
        <f t="shared" si="40"/>
        <v/>
      </c>
      <c r="DC13" s="36" t="str">
        <f t="shared" si="41"/>
        <v/>
      </c>
      <c r="DD13" s="37"/>
      <c r="DE13" s="33"/>
      <c r="DF13" s="34"/>
      <c r="DG13" s="35" t="str">
        <f t="shared" si="42"/>
        <v/>
      </c>
      <c r="DH13" s="36" t="str">
        <f t="shared" si="43"/>
        <v/>
      </c>
      <c r="DI13" s="37"/>
      <c r="DJ13" s="33"/>
      <c r="DK13" s="34"/>
      <c r="DL13" s="35" t="str">
        <f t="shared" si="44"/>
        <v/>
      </c>
      <c r="DM13" s="36" t="str">
        <f t="shared" si="45"/>
        <v/>
      </c>
      <c r="DN13" s="37"/>
      <c r="DO13" s="33"/>
      <c r="DP13" s="34"/>
      <c r="DQ13" s="35" t="str">
        <f t="shared" si="46"/>
        <v/>
      </c>
      <c r="DR13" s="36" t="str">
        <f t="shared" si="47"/>
        <v/>
      </c>
      <c r="DS13" s="37"/>
      <c r="DT13" s="33"/>
      <c r="DU13" s="34"/>
      <c r="DV13" s="35" t="str">
        <f t="shared" si="48"/>
        <v/>
      </c>
      <c r="DW13" s="36" t="str">
        <f t="shared" si="49"/>
        <v/>
      </c>
      <c r="DX13" s="37"/>
      <c r="DY13" s="33"/>
      <c r="DZ13" s="34"/>
      <c r="EA13" s="35" t="str">
        <f t="shared" si="50"/>
        <v/>
      </c>
      <c r="EB13" s="36" t="str">
        <f t="shared" si="51"/>
        <v/>
      </c>
      <c r="EC13" s="37"/>
      <c r="ED13" s="33"/>
      <c r="EE13" s="34"/>
      <c r="EF13" s="35" t="str">
        <f t="shared" si="52"/>
        <v/>
      </c>
      <c r="EG13" s="36" t="str">
        <f t="shared" si="53"/>
        <v/>
      </c>
      <c r="EH13" s="37"/>
      <c r="EI13" s="33"/>
      <c r="EJ13" s="34"/>
      <c r="EK13" s="35" t="str">
        <f t="shared" si="54"/>
        <v/>
      </c>
      <c r="EL13" s="36" t="str">
        <f t="shared" si="55"/>
        <v/>
      </c>
      <c r="EM13" s="37"/>
      <c r="EN13" s="33"/>
      <c r="EO13" s="34"/>
      <c r="EP13" s="35" t="str">
        <f t="shared" si="56"/>
        <v/>
      </c>
      <c r="EQ13" s="36" t="str">
        <f t="shared" si="57"/>
        <v/>
      </c>
      <c r="ER13" s="37"/>
      <c r="ES13" s="33"/>
      <c r="ET13" s="34"/>
      <c r="EU13" s="35" t="str">
        <f t="shared" si="58"/>
        <v/>
      </c>
      <c r="EV13" s="36" t="str">
        <f t="shared" si="59"/>
        <v/>
      </c>
      <c r="EW13" s="37"/>
    </row>
    <row r="14" spans="1:153" ht="19.5" customHeight="1">
      <c r="A14" s="32">
        <f>IF(DAY(DATE(対象年度,5,11))&lt;&gt;11,"",11)</f>
        <v>11</v>
      </c>
      <c r="B14" s="32" t="str">
        <f>IF(DAY(DATE(対象年度,5,11))&lt;&gt;11,"",CHOOSE(WEEKDAY(DATE(対象年度,5,11),2),"月","火","水","木","金","土","日"))</f>
        <v>月</v>
      </c>
      <c r="C14" s="32" t="str">
        <f>IF(DAY(DATE(対象年度,5,11))&lt;&gt;11,"",IF(ISNUMBER(MATCH(DATE(対象年度,5,11),祝日リスト,0)),"祝",""))</f>
        <v/>
      </c>
      <c r="D14" s="33"/>
      <c r="E14" s="34"/>
      <c r="F14" s="35" t="str">
        <f t="shared" si="0"/>
        <v/>
      </c>
      <c r="G14" s="36" t="str">
        <f t="shared" si="1"/>
        <v/>
      </c>
      <c r="H14" s="37"/>
      <c r="I14" s="33"/>
      <c r="J14" s="34"/>
      <c r="K14" s="35" t="str">
        <f t="shared" si="2"/>
        <v/>
      </c>
      <c r="L14" s="36" t="str">
        <f t="shared" si="3"/>
        <v/>
      </c>
      <c r="M14" s="37"/>
      <c r="N14" s="33"/>
      <c r="O14" s="34"/>
      <c r="P14" s="35" t="str">
        <f t="shared" si="4"/>
        <v/>
      </c>
      <c r="Q14" s="36" t="str">
        <f t="shared" si="5"/>
        <v/>
      </c>
      <c r="R14" s="37"/>
      <c r="S14" s="33"/>
      <c r="T14" s="34"/>
      <c r="U14" s="35" t="str">
        <f t="shared" si="6"/>
        <v/>
      </c>
      <c r="V14" s="36" t="str">
        <f t="shared" si="7"/>
        <v/>
      </c>
      <c r="W14" s="37"/>
      <c r="X14" s="33"/>
      <c r="Y14" s="34"/>
      <c r="Z14" s="35" t="str">
        <f t="shared" si="8"/>
        <v/>
      </c>
      <c r="AA14" s="36" t="str">
        <f t="shared" si="9"/>
        <v/>
      </c>
      <c r="AB14" s="37"/>
      <c r="AC14" s="33"/>
      <c r="AD14" s="34"/>
      <c r="AE14" s="35" t="str">
        <f t="shared" si="10"/>
        <v/>
      </c>
      <c r="AF14" s="36" t="str">
        <f t="shared" si="11"/>
        <v/>
      </c>
      <c r="AG14" s="37"/>
      <c r="AH14" s="33"/>
      <c r="AI14" s="34"/>
      <c r="AJ14" s="35" t="str">
        <f t="shared" si="12"/>
        <v/>
      </c>
      <c r="AK14" s="36" t="str">
        <f t="shared" si="13"/>
        <v/>
      </c>
      <c r="AL14" s="37"/>
      <c r="AM14" s="33"/>
      <c r="AN14" s="34"/>
      <c r="AO14" s="35" t="str">
        <f t="shared" si="14"/>
        <v/>
      </c>
      <c r="AP14" s="36" t="str">
        <f t="shared" si="15"/>
        <v/>
      </c>
      <c r="AQ14" s="37"/>
      <c r="AR14" s="33"/>
      <c r="AS14" s="34"/>
      <c r="AT14" s="35" t="str">
        <f t="shared" si="16"/>
        <v/>
      </c>
      <c r="AU14" s="36" t="str">
        <f t="shared" si="17"/>
        <v/>
      </c>
      <c r="AV14" s="37"/>
      <c r="AW14" s="33"/>
      <c r="AX14" s="34"/>
      <c r="AY14" s="35" t="str">
        <f t="shared" si="18"/>
        <v/>
      </c>
      <c r="AZ14" s="36" t="str">
        <f t="shared" si="19"/>
        <v/>
      </c>
      <c r="BA14" s="37"/>
      <c r="BB14" s="33"/>
      <c r="BC14" s="34"/>
      <c r="BD14" s="35" t="str">
        <f t="shared" si="20"/>
        <v/>
      </c>
      <c r="BE14" s="36" t="str">
        <f t="shared" si="21"/>
        <v/>
      </c>
      <c r="BF14" s="37"/>
      <c r="BG14" s="33"/>
      <c r="BH14" s="34"/>
      <c r="BI14" s="35" t="str">
        <f t="shared" si="22"/>
        <v/>
      </c>
      <c r="BJ14" s="36" t="str">
        <f t="shared" si="23"/>
        <v/>
      </c>
      <c r="BK14" s="37"/>
      <c r="BL14" s="33"/>
      <c r="BM14" s="34"/>
      <c r="BN14" s="35" t="str">
        <f t="shared" si="24"/>
        <v/>
      </c>
      <c r="BO14" s="36" t="str">
        <f t="shared" si="25"/>
        <v/>
      </c>
      <c r="BP14" s="37"/>
      <c r="BQ14" s="33"/>
      <c r="BR14" s="34"/>
      <c r="BS14" s="35" t="str">
        <f t="shared" si="26"/>
        <v/>
      </c>
      <c r="BT14" s="36" t="str">
        <f t="shared" si="27"/>
        <v/>
      </c>
      <c r="BU14" s="37"/>
      <c r="BV14" s="33"/>
      <c r="BW14" s="34"/>
      <c r="BX14" s="35" t="str">
        <f t="shared" si="28"/>
        <v/>
      </c>
      <c r="BY14" s="36" t="str">
        <f t="shared" si="29"/>
        <v/>
      </c>
      <c r="BZ14" s="37"/>
      <c r="CA14" s="33"/>
      <c r="CB14" s="34"/>
      <c r="CC14" s="35" t="str">
        <f t="shared" si="30"/>
        <v/>
      </c>
      <c r="CD14" s="36" t="str">
        <f t="shared" si="31"/>
        <v/>
      </c>
      <c r="CE14" s="37"/>
      <c r="CF14" s="33"/>
      <c r="CG14" s="34"/>
      <c r="CH14" s="35" t="str">
        <f t="shared" si="32"/>
        <v/>
      </c>
      <c r="CI14" s="36" t="str">
        <f t="shared" si="33"/>
        <v/>
      </c>
      <c r="CJ14" s="37"/>
      <c r="CK14" s="33"/>
      <c r="CL14" s="34"/>
      <c r="CM14" s="35" t="str">
        <f t="shared" si="34"/>
        <v/>
      </c>
      <c r="CN14" s="36" t="str">
        <f t="shared" si="35"/>
        <v/>
      </c>
      <c r="CO14" s="37"/>
      <c r="CP14" s="33"/>
      <c r="CQ14" s="34"/>
      <c r="CR14" s="35" t="str">
        <f t="shared" si="36"/>
        <v/>
      </c>
      <c r="CS14" s="36" t="str">
        <f t="shared" si="37"/>
        <v/>
      </c>
      <c r="CT14" s="37"/>
      <c r="CU14" s="33"/>
      <c r="CV14" s="34"/>
      <c r="CW14" s="35" t="str">
        <f t="shared" si="38"/>
        <v/>
      </c>
      <c r="CX14" s="36" t="str">
        <f t="shared" si="39"/>
        <v/>
      </c>
      <c r="CY14" s="37"/>
      <c r="CZ14" s="33"/>
      <c r="DA14" s="34"/>
      <c r="DB14" s="35" t="str">
        <f t="shared" si="40"/>
        <v/>
      </c>
      <c r="DC14" s="36" t="str">
        <f t="shared" si="41"/>
        <v/>
      </c>
      <c r="DD14" s="37"/>
      <c r="DE14" s="33"/>
      <c r="DF14" s="34"/>
      <c r="DG14" s="35" t="str">
        <f t="shared" si="42"/>
        <v/>
      </c>
      <c r="DH14" s="36" t="str">
        <f t="shared" si="43"/>
        <v/>
      </c>
      <c r="DI14" s="37"/>
      <c r="DJ14" s="33"/>
      <c r="DK14" s="34"/>
      <c r="DL14" s="35" t="str">
        <f t="shared" si="44"/>
        <v/>
      </c>
      <c r="DM14" s="36" t="str">
        <f t="shared" si="45"/>
        <v/>
      </c>
      <c r="DN14" s="37"/>
      <c r="DO14" s="33"/>
      <c r="DP14" s="34"/>
      <c r="DQ14" s="35" t="str">
        <f t="shared" si="46"/>
        <v/>
      </c>
      <c r="DR14" s="36" t="str">
        <f t="shared" si="47"/>
        <v/>
      </c>
      <c r="DS14" s="37"/>
      <c r="DT14" s="33"/>
      <c r="DU14" s="34"/>
      <c r="DV14" s="35" t="str">
        <f t="shared" si="48"/>
        <v/>
      </c>
      <c r="DW14" s="36" t="str">
        <f t="shared" si="49"/>
        <v/>
      </c>
      <c r="DX14" s="37"/>
      <c r="DY14" s="33"/>
      <c r="DZ14" s="34"/>
      <c r="EA14" s="35" t="str">
        <f t="shared" si="50"/>
        <v/>
      </c>
      <c r="EB14" s="36" t="str">
        <f t="shared" si="51"/>
        <v/>
      </c>
      <c r="EC14" s="37"/>
      <c r="ED14" s="33"/>
      <c r="EE14" s="34"/>
      <c r="EF14" s="35" t="str">
        <f t="shared" si="52"/>
        <v/>
      </c>
      <c r="EG14" s="36" t="str">
        <f t="shared" si="53"/>
        <v/>
      </c>
      <c r="EH14" s="37"/>
      <c r="EI14" s="33"/>
      <c r="EJ14" s="34"/>
      <c r="EK14" s="35" t="str">
        <f t="shared" si="54"/>
        <v/>
      </c>
      <c r="EL14" s="36" t="str">
        <f t="shared" si="55"/>
        <v/>
      </c>
      <c r="EM14" s="37"/>
      <c r="EN14" s="33"/>
      <c r="EO14" s="34"/>
      <c r="EP14" s="35" t="str">
        <f t="shared" si="56"/>
        <v/>
      </c>
      <c r="EQ14" s="36" t="str">
        <f t="shared" si="57"/>
        <v/>
      </c>
      <c r="ER14" s="37"/>
      <c r="ES14" s="33"/>
      <c r="ET14" s="34"/>
      <c r="EU14" s="35" t="str">
        <f t="shared" si="58"/>
        <v/>
      </c>
      <c r="EV14" s="36" t="str">
        <f t="shared" si="59"/>
        <v/>
      </c>
      <c r="EW14" s="37"/>
    </row>
    <row r="15" spans="1:153" ht="19.5" customHeight="1">
      <c r="A15" s="32">
        <f>IF(DAY(DATE(対象年度,5,12))&lt;&gt;12,"",12)</f>
        <v>12</v>
      </c>
      <c r="B15" s="32" t="str">
        <f>IF(DAY(DATE(対象年度,5,12))&lt;&gt;12,"",CHOOSE(WEEKDAY(DATE(対象年度,5,12),2),"月","火","水","木","金","土","日"))</f>
        <v>火</v>
      </c>
      <c r="C15" s="32" t="str">
        <f>IF(DAY(DATE(対象年度,5,12))&lt;&gt;12,"",IF(ISNUMBER(MATCH(DATE(対象年度,5,12),祝日リスト,0)),"祝",""))</f>
        <v/>
      </c>
      <c r="D15" s="33"/>
      <c r="E15" s="34"/>
      <c r="F15" s="35" t="str">
        <f t="shared" si="0"/>
        <v/>
      </c>
      <c r="G15" s="36" t="str">
        <f t="shared" si="1"/>
        <v/>
      </c>
      <c r="H15" s="37"/>
      <c r="I15" s="33"/>
      <c r="J15" s="34"/>
      <c r="K15" s="35" t="str">
        <f t="shared" si="2"/>
        <v/>
      </c>
      <c r="L15" s="36" t="str">
        <f t="shared" si="3"/>
        <v/>
      </c>
      <c r="M15" s="37"/>
      <c r="N15" s="33"/>
      <c r="O15" s="34"/>
      <c r="P15" s="35" t="str">
        <f t="shared" si="4"/>
        <v/>
      </c>
      <c r="Q15" s="36" t="str">
        <f t="shared" si="5"/>
        <v/>
      </c>
      <c r="R15" s="37"/>
      <c r="S15" s="33"/>
      <c r="T15" s="34"/>
      <c r="U15" s="35" t="str">
        <f t="shared" si="6"/>
        <v/>
      </c>
      <c r="V15" s="36" t="str">
        <f t="shared" si="7"/>
        <v/>
      </c>
      <c r="W15" s="37"/>
      <c r="X15" s="33"/>
      <c r="Y15" s="34"/>
      <c r="Z15" s="35" t="str">
        <f t="shared" si="8"/>
        <v/>
      </c>
      <c r="AA15" s="36" t="str">
        <f t="shared" si="9"/>
        <v/>
      </c>
      <c r="AB15" s="37"/>
      <c r="AC15" s="33"/>
      <c r="AD15" s="34"/>
      <c r="AE15" s="35" t="str">
        <f t="shared" si="10"/>
        <v/>
      </c>
      <c r="AF15" s="36" t="str">
        <f t="shared" si="11"/>
        <v/>
      </c>
      <c r="AG15" s="37"/>
      <c r="AH15" s="33"/>
      <c r="AI15" s="34"/>
      <c r="AJ15" s="35" t="str">
        <f t="shared" si="12"/>
        <v/>
      </c>
      <c r="AK15" s="36" t="str">
        <f t="shared" si="13"/>
        <v/>
      </c>
      <c r="AL15" s="37"/>
      <c r="AM15" s="33"/>
      <c r="AN15" s="34"/>
      <c r="AO15" s="35" t="str">
        <f t="shared" si="14"/>
        <v/>
      </c>
      <c r="AP15" s="36" t="str">
        <f t="shared" si="15"/>
        <v/>
      </c>
      <c r="AQ15" s="37"/>
      <c r="AR15" s="33"/>
      <c r="AS15" s="34"/>
      <c r="AT15" s="35" t="str">
        <f t="shared" si="16"/>
        <v/>
      </c>
      <c r="AU15" s="36" t="str">
        <f t="shared" si="17"/>
        <v/>
      </c>
      <c r="AV15" s="37"/>
      <c r="AW15" s="33"/>
      <c r="AX15" s="34"/>
      <c r="AY15" s="35" t="str">
        <f t="shared" si="18"/>
        <v/>
      </c>
      <c r="AZ15" s="36" t="str">
        <f t="shared" si="19"/>
        <v/>
      </c>
      <c r="BA15" s="37"/>
      <c r="BB15" s="33"/>
      <c r="BC15" s="34"/>
      <c r="BD15" s="35" t="str">
        <f t="shared" si="20"/>
        <v/>
      </c>
      <c r="BE15" s="36" t="str">
        <f t="shared" si="21"/>
        <v/>
      </c>
      <c r="BF15" s="37"/>
      <c r="BG15" s="33"/>
      <c r="BH15" s="34"/>
      <c r="BI15" s="35" t="str">
        <f t="shared" si="22"/>
        <v/>
      </c>
      <c r="BJ15" s="36" t="str">
        <f t="shared" si="23"/>
        <v/>
      </c>
      <c r="BK15" s="37"/>
      <c r="BL15" s="33"/>
      <c r="BM15" s="34"/>
      <c r="BN15" s="35" t="str">
        <f t="shared" si="24"/>
        <v/>
      </c>
      <c r="BO15" s="36" t="str">
        <f t="shared" si="25"/>
        <v/>
      </c>
      <c r="BP15" s="37"/>
      <c r="BQ15" s="33"/>
      <c r="BR15" s="34"/>
      <c r="BS15" s="35" t="str">
        <f t="shared" si="26"/>
        <v/>
      </c>
      <c r="BT15" s="36" t="str">
        <f t="shared" si="27"/>
        <v/>
      </c>
      <c r="BU15" s="37"/>
      <c r="BV15" s="33"/>
      <c r="BW15" s="34"/>
      <c r="BX15" s="35" t="str">
        <f t="shared" si="28"/>
        <v/>
      </c>
      <c r="BY15" s="36" t="str">
        <f t="shared" si="29"/>
        <v/>
      </c>
      <c r="BZ15" s="37"/>
      <c r="CA15" s="33"/>
      <c r="CB15" s="34"/>
      <c r="CC15" s="35" t="str">
        <f t="shared" si="30"/>
        <v/>
      </c>
      <c r="CD15" s="36" t="str">
        <f t="shared" si="31"/>
        <v/>
      </c>
      <c r="CE15" s="37"/>
      <c r="CF15" s="33"/>
      <c r="CG15" s="34"/>
      <c r="CH15" s="35" t="str">
        <f t="shared" si="32"/>
        <v/>
      </c>
      <c r="CI15" s="36" t="str">
        <f t="shared" si="33"/>
        <v/>
      </c>
      <c r="CJ15" s="37"/>
      <c r="CK15" s="33"/>
      <c r="CL15" s="34"/>
      <c r="CM15" s="35" t="str">
        <f t="shared" si="34"/>
        <v/>
      </c>
      <c r="CN15" s="36" t="str">
        <f t="shared" si="35"/>
        <v/>
      </c>
      <c r="CO15" s="37"/>
      <c r="CP15" s="33"/>
      <c r="CQ15" s="34"/>
      <c r="CR15" s="35" t="str">
        <f t="shared" si="36"/>
        <v/>
      </c>
      <c r="CS15" s="36" t="str">
        <f t="shared" si="37"/>
        <v/>
      </c>
      <c r="CT15" s="37"/>
      <c r="CU15" s="33"/>
      <c r="CV15" s="34"/>
      <c r="CW15" s="35" t="str">
        <f t="shared" si="38"/>
        <v/>
      </c>
      <c r="CX15" s="36" t="str">
        <f t="shared" si="39"/>
        <v/>
      </c>
      <c r="CY15" s="37"/>
      <c r="CZ15" s="33"/>
      <c r="DA15" s="34"/>
      <c r="DB15" s="35" t="str">
        <f t="shared" si="40"/>
        <v/>
      </c>
      <c r="DC15" s="36" t="str">
        <f t="shared" si="41"/>
        <v/>
      </c>
      <c r="DD15" s="37"/>
      <c r="DE15" s="33"/>
      <c r="DF15" s="34"/>
      <c r="DG15" s="35" t="str">
        <f t="shared" si="42"/>
        <v/>
      </c>
      <c r="DH15" s="36" t="str">
        <f t="shared" si="43"/>
        <v/>
      </c>
      <c r="DI15" s="37"/>
      <c r="DJ15" s="33"/>
      <c r="DK15" s="34"/>
      <c r="DL15" s="35" t="str">
        <f t="shared" si="44"/>
        <v/>
      </c>
      <c r="DM15" s="36" t="str">
        <f t="shared" si="45"/>
        <v/>
      </c>
      <c r="DN15" s="37"/>
      <c r="DO15" s="33"/>
      <c r="DP15" s="34"/>
      <c r="DQ15" s="35" t="str">
        <f t="shared" si="46"/>
        <v/>
      </c>
      <c r="DR15" s="36" t="str">
        <f t="shared" si="47"/>
        <v/>
      </c>
      <c r="DS15" s="37"/>
      <c r="DT15" s="33"/>
      <c r="DU15" s="34"/>
      <c r="DV15" s="35" t="str">
        <f t="shared" si="48"/>
        <v/>
      </c>
      <c r="DW15" s="36" t="str">
        <f t="shared" si="49"/>
        <v/>
      </c>
      <c r="DX15" s="37"/>
      <c r="DY15" s="33"/>
      <c r="DZ15" s="34"/>
      <c r="EA15" s="35" t="str">
        <f t="shared" si="50"/>
        <v/>
      </c>
      <c r="EB15" s="36" t="str">
        <f t="shared" si="51"/>
        <v/>
      </c>
      <c r="EC15" s="37"/>
      <c r="ED15" s="33"/>
      <c r="EE15" s="34"/>
      <c r="EF15" s="35" t="str">
        <f t="shared" si="52"/>
        <v/>
      </c>
      <c r="EG15" s="36" t="str">
        <f t="shared" si="53"/>
        <v/>
      </c>
      <c r="EH15" s="37"/>
      <c r="EI15" s="33"/>
      <c r="EJ15" s="34"/>
      <c r="EK15" s="35" t="str">
        <f t="shared" si="54"/>
        <v/>
      </c>
      <c r="EL15" s="36" t="str">
        <f t="shared" si="55"/>
        <v/>
      </c>
      <c r="EM15" s="37"/>
      <c r="EN15" s="33"/>
      <c r="EO15" s="34"/>
      <c r="EP15" s="35" t="str">
        <f t="shared" si="56"/>
        <v/>
      </c>
      <c r="EQ15" s="36" t="str">
        <f t="shared" si="57"/>
        <v/>
      </c>
      <c r="ER15" s="37"/>
      <c r="ES15" s="33"/>
      <c r="ET15" s="34"/>
      <c r="EU15" s="35" t="str">
        <f t="shared" si="58"/>
        <v/>
      </c>
      <c r="EV15" s="36" t="str">
        <f t="shared" si="59"/>
        <v/>
      </c>
      <c r="EW15" s="37"/>
    </row>
    <row r="16" spans="1:153" ht="19.5" customHeight="1">
      <c r="A16" s="32">
        <f>IF(DAY(DATE(対象年度,5,13))&lt;&gt;13,"",13)</f>
        <v>13</v>
      </c>
      <c r="B16" s="32" t="str">
        <f>IF(DAY(DATE(対象年度,5,13))&lt;&gt;13,"",CHOOSE(WEEKDAY(DATE(対象年度,5,13),2),"月","火","水","木","金","土","日"))</f>
        <v>水</v>
      </c>
      <c r="C16" s="32" t="str">
        <f>IF(DAY(DATE(対象年度,5,13))&lt;&gt;13,"",IF(ISNUMBER(MATCH(DATE(対象年度,5,13),祝日リスト,0)),"祝",""))</f>
        <v/>
      </c>
      <c r="D16" s="33"/>
      <c r="E16" s="34"/>
      <c r="F16" s="35" t="str">
        <f t="shared" si="0"/>
        <v/>
      </c>
      <c r="G16" s="36" t="str">
        <f t="shared" si="1"/>
        <v/>
      </c>
      <c r="H16" s="37"/>
      <c r="I16" s="33"/>
      <c r="J16" s="34"/>
      <c r="K16" s="35" t="str">
        <f t="shared" si="2"/>
        <v/>
      </c>
      <c r="L16" s="36" t="str">
        <f t="shared" si="3"/>
        <v/>
      </c>
      <c r="M16" s="37"/>
      <c r="N16" s="33"/>
      <c r="O16" s="34"/>
      <c r="P16" s="35" t="str">
        <f t="shared" si="4"/>
        <v/>
      </c>
      <c r="Q16" s="36" t="str">
        <f t="shared" si="5"/>
        <v/>
      </c>
      <c r="R16" s="37"/>
      <c r="S16" s="33"/>
      <c r="T16" s="34"/>
      <c r="U16" s="35" t="str">
        <f t="shared" si="6"/>
        <v/>
      </c>
      <c r="V16" s="36" t="str">
        <f t="shared" si="7"/>
        <v/>
      </c>
      <c r="W16" s="37"/>
      <c r="X16" s="33"/>
      <c r="Y16" s="34"/>
      <c r="Z16" s="35" t="str">
        <f t="shared" si="8"/>
        <v/>
      </c>
      <c r="AA16" s="36" t="str">
        <f t="shared" si="9"/>
        <v/>
      </c>
      <c r="AB16" s="37"/>
      <c r="AC16" s="33"/>
      <c r="AD16" s="34"/>
      <c r="AE16" s="35" t="str">
        <f t="shared" si="10"/>
        <v/>
      </c>
      <c r="AF16" s="36" t="str">
        <f t="shared" si="11"/>
        <v/>
      </c>
      <c r="AG16" s="37"/>
      <c r="AH16" s="33"/>
      <c r="AI16" s="34"/>
      <c r="AJ16" s="35" t="str">
        <f t="shared" si="12"/>
        <v/>
      </c>
      <c r="AK16" s="36" t="str">
        <f t="shared" si="13"/>
        <v/>
      </c>
      <c r="AL16" s="37"/>
      <c r="AM16" s="33"/>
      <c r="AN16" s="34"/>
      <c r="AO16" s="35" t="str">
        <f t="shared" si="14"/>
        <v/>
      </c>
      <c r="AP16" s="36" t="str">
        <f t="shared" si="15"/>
        <v/>
      </c>
      <c r="AQ16" s="37"/>
      <c r="AR16" s="33"/>
      <c r="AS16" s="34"/>
      <c r="AT16" s="35" t="str">
        <f t="shared" si="16"/>
        <v/>
      </c>
      <c r="AU16" s="36" t="str">
        <f t="shared" si="17"/>
        <v/>
      </c>
      <c r="AV16" s="37"/>
      <c r="AW16" s="33"/>
      <c r="AX16" s="34"/>
      <c r="AY16" s="35" t="str">
        <f t="shared" si="18"/>
        <v/>
      </c>
      <c r="AZ16" s="36" t="str">
        <f t="shared" si="19"/>
        <v/>
      </c>
      <c r="BA16" s="37"/>
      <c r="BB16" s="33"/>
      <c r="BC16" s="34"/>
      <c r="BD16" s="35" t="str">
        <f t="shared" si="20"/>
        <v/>
      </c>
      <c r="BE16" s="36" t="str">
        <f t="shared" si="21"/>
        <v/>
      </c>
      <c r="BF16" s="37"/>
      <c r="BG16" s="33"/>
      <c r="BH16" s="34"/>
      <c r="BI16" s="35" t="str">
        <f t="shared" si="22"/>
        <v/>
      </c>
      <c r="BJ16" s="36" t="str">
        <f t="shared" si="23"/>
        <v/>
      </c>
      <c r="BK16" s="37"/>
      <c r="BL16" s="33"/>
      <c r="BM16" s="34"/>
      <c r="BN16" s="35" t="str">
        <f t="shared" si="24"/>
        <v/>
      </c>
      <c r="BO16" s="36" t="str">
        <f t="shared" si="25"/>
        <v/>
      </c>
      <c r="BP16" s="37"/>
      <c r="BQ16" s="33"/>
      <c r="BR16" s="34"/>
      <c r="BS16" s="35" t="str">
        <f t="shared" si="26"/>
        <v/>
      </c>
      <c r="BT16" s="36" t="str">
        <f t="shared" si="27"/>
        <v/>
      </c>
      <c r="BU16" s="37"/>
      <c r="BV16" s="33"/>
      <c r="BW16" s="34"/>
      <c r="BX16" s="35" t="str">
        <f t="shared" si="28"/>
        <v/>
      </c>
      <c r="BY16" s="36" t="str">
        <f t="shared" si="29"/>
        <v/>
      </c>
      <c r="BZ16" s="37"/>
      <c r="CA16" s="33"/>
      <c r="CB16" s="34"/>
      <c r="CC16" s="35" t="str">
        <f t="shared" si="30"/>
        <v/>
      </c>
      <c r="CD16" s="36" t="str">
        <f t="shared" si="31"/>
        <v/>
      </c>
      <c r="CE16" s="37"/>
      <c r="CF16" s="33"/>
      <c r="CG16" s="34"/>
      <c r="CH16" s="35" t="str">
        <f t="shared" si="32"/>
        <v/>
      </c>
      <c r="CI16" s="36" t="str">
        <f t="shared" si="33"/>
        <v/>
      </c>
      <c r="CJ16" s="37"/>
      <c r="CK16" s="33"/>
      <c r="CL16" s="34"/>
      <c r="CM16" s="35" t="str">
        <f t="shared" si="34"/>
        <v/>
      </c>
      <c r="CN16" s="36" t="str">
        <f t="shared" si="35"/>
        <v/>
      </c>
      <c r="CO16" s="37"/>
      <c r="CP16" s="33"/>
      <c r="CQ16" s="34"/>
      <c r="CR16" s="35" t="str">
        <f t="shared" si="36"/>
        <v/>
      </c>
      <c r="CS16" s="36" t="str">
        <f t="shared" si="37"/>
        <v/>
      </c>
      <c r="CT16" s="37"/>
      <c r="CU16" s="33"/>
      <c r="CV16" s="34"/>
      <c r="CW16" s="35" t="str">
        <f t="shared" si="38"/>
        <v/>
      </c>
      <c r="CX16" s="36" t="str">
        <f t="shared" si="39"/>
        <v/>
      </c>
      <c r="CY16" s="37"/>
      <c r="CZ16" s="33"/>
      <c r="DA16" s="34"/>
      <c r="DB16" s="35" t="str">
        <f t="shared" si="40"/>
        <v/>
      </c>
      <c r="DC16" s="36" t="str">
        <f t="shared" si="41"/>
        <v/>
      </c>
      <c r="DD16" s="37"/>
      <c r="DE16" s="33"/>
      <c r="DF16" s="34"/>
      <c r="DG16" s="35" t="str">
        <f t="shared" si="42"/>
        <v/>
      </c>
      <c r="DH16" s="36" t="str">
        <f t="shared" si="43"/>
        <v/>
      </c>
      <c r="DI16" s="37"/>
      <c r="DJ16" s="33"/>
      <c r="DK16" s="34"/>
      <c r="DL16" s="35" t="str">
        <f t="shared" si="44"/>
        <v/>
      </c>
      <c r="DM16" s="36" t="str">
        <f t="shared" si="45"/>
        <v/>
      </c>
      <c r="DN16" s="37"/>
      <c r="DO16" s="33"/>
      <c r="DP16" s="34"/>
      <c r="DQ16" s="35" t="str">
        <f t="shared" si="46"/>
        <v/>
      </c>
      <c r="DR16" s="36" t="str">
        <f t="shared" si="47"/>
        <v/>
      </c>
      <c r="DS16" s="37"/>
      <c r="DT16" s="33"/>
      <c r="DU16" s="34"/>
      <c r="DV16" s="35" t="str">
        <f t="shared" si="48"/>
        <v/>
      </c>
      <c r="DW16" s="36" t="str">
        <f t="shared" si="49"/>
        <v/>
      </c>
      <c r="DX16" s="37"/>
      <c r="DY16" s="33"/>
      <c r="DZ16" s="34"/>
      <c r="EA16" s="35" t="str">
        <f t="shared" si="50"/>
        <v/>
      </c>
      <c r="EB16" s="36" t="str">
        <f t="shared" si="51"/>
        <v/>
      </c>
      <c r="EC16" s="37"/>
      <c r="ED16" s="33"/>
      <c r="EE16" s="34"/>
      <c r="EF16" s="35" t="str">
        <f t="shared" si="52"/>
        <v/>
      </c>
      <c r="EG16" s="36" t="str">
        <f t="shared" si="53"/>
        <v/>
      </c>
      <c r="EH16" s="37"/>
      <c r="EI16" s="33"/>
      <c r="EJ16" s="34"/>
      <c r="EK16" s="35" t="str">
        <f t="shared" si="54"/>
        <v/>
      </c>
      <c r="EL16" s="36" t="str">
        <f t="shared" si="55"/>
        <v/>
      </c>
      <c r="EM16" s="37"/>
      <c r="EN16" s="33"/>
      <c r="EO16" s="34"/>
      <c r="EP16" s="35" t="str">
        <f t="shared" si="56"/>
        <v/>
      </c>
      <c r="EQ16" s="36" t="str">
        <f t="shared" si="57"/>
        <v/>
      </c>
      <c r="ER16" s="37"/>
      <c r="ES16" s="33"/>
      <c r="ET16" s="34"/>
      <c r="EU16" s="35" t="str">
        <f t="shared" si="58"/>
        <v/>
      </c>
      <c r="EV16" s="36" t="str">
        <f t="shared" si="59"/>
        <v/>
      </c>
      <c r="EW16" s="37"/>
    </row>
    <row r="17" spans="1:153" ht="19.5" customHeight="1">
      <c r="A17" s="32">
        <f>IF(DAY(DATE(対象年度,5,14))&lt;&gt;14,"",14)</f>
        <v>14</v>
      </c>
      <c r="B17" s="32" t="str">
        <f>IF(DAY(DATE(対象年度,5,14))&lt;&gt;14,"",CHOOSE(WEEKDAY(DATE(対象年度,5,14),2),"月","火","水","木","金","土","日"))</f>
        <v>木</v>
      </c>
      <c r="C17" s="32" t="str">
        <f>IF(DAY(DATE(対象年度,5,14))&lt;&gt;14,"",IF(ISNUMBER(MATCH(DATE(対象年度,5,14),祝日リスト,0)),"祝",""))</f>
        <v/>
      </c>
      <c r="D17" s="33"/>
      <c r="E17" s="34"/>
      <c r="F17" s="35" t="str">
        <f t="shared" si="0"/>
        <v/>
      </c>
      <c r="G17" s="36" t="str">
        <f t="shared" si="1"/>
        <v/>
      </c>
      <c r="H17" s="37"/>
      <c r="I17" s="33"/>
      <c r="J17" s="34"/>
      <c r="K17" s="35" t="str">
        <f t="shared" si="2"/>
        <v/>
      </c>
      <c r="L17" s="36" t="str">
        <f t="shared" si="3"/>
        <v/>
      </c>
      <c r="M17" s="37"/>
      <c r="N17" s="33"/>
      <c r="O17" s="34"/>
      <c r="P17" s="35" t="str">
        <f t="shared" si="4"/>
        <v/>
      </c>
      <c r="Q17" s="36" t="str">
        <f t="shared" si="5"/>
        <v/>
      </c>
      <c r="R17" s="37"/>
      <c r="S17" s="33"/>
      <c r="T17" s="34"/>
      <c r="U17" s="35" t="str">
        <f t="shared" si="6"/>
        <v/>
      </c>
      <c r="V17" s="36" t="str">
        <f t="shared" si="7"/>
        <v/>
      </c>
      <c r="W17" s="37"/>
      <c r="X17" s="33"/>
      <c r="Y17" s="34"/>
      <c r="Z17" s="35" t="str">
        <f t="shared" si="8"/>
        <v/>
      </c>
      <c r="AA17" s="36" t="str">
        <f t="shared" si="9"/>
        <v/>
      </c>
      <c r="AB17" s="37"/>
      <c r="AC17" s="33"/>
      <c r="AD17" s="34"/>
      <c r="AE17" s="35" t="str">
        <f t="shared" si="10"/>
        <v/>
      </c>
      <c r="AF17" s="36" t="str">
        <f t="shared" si="11"/>
        <v/>
      </c>
      <c r="AG17" s="37"/>
      <c r="AH17" s="33"/>
      <c r="AI17" s="34"/>
      <c r="AJ17" s="35" t="str">
        <f t="shared" si="12"/>
        <v/>
      </c>
      <c r="AK17" s="36" t="str">
        <f t="shared" si="13"/>
        <v/>
      </c>
      <c r="AL17" s="37"/>
      <c r="AM17" s="33"/>
      <c r="AN17" s="34"/>
      <c r="AO17" s="35" t="str">
        <f t="shared" si="14"/>
        <v/>
      </c>
      <c r="AP17" s="36" t="str">
        <f t="shared" si="15"/>
        <v/>
      </c>
      <c r="AQ17" s="37"/>
      <c r="AR17" s="33"/>
      <c r="AS17" s="34"/>
      <c r="AT17" s="35" t="str">
        <f t="shared" si="16"/>
        <v/>
      </c>
      <c r="AU17" s="36" t="str">
        <f t="shared" si="17"/>
        <v/>
      </c>
      <c r="AV17" s="37"/>
      <c r="AW17" s="33"/>
      <c r="AX17" s="34"/>
      <c r="AY17" s="35" t="str">
        <f t="shared" si="18"/>
        <v/>
      </c>
      <c r="AZ17" s="36" t="str">
        <f t="shared" si="19"/>
        <v/>
      </c>
      <c r="BA17" s="37"/>
      <c r="BB17" s="33"/>
      <c r="BC17" s="34"/>
      <c r="BD17" s="35" t="str">
        <f t="shared" si="20"/>
        <v/>
      </c>
      <c r="BE17" s="36" t="str">
        <f t="shared" si="21"/>
        <v/>
      </c>
      <c r="BF17" s="37"/>
      <c r="BG17" s="33"/>
      <c r="BH17" s="34"/>
      <c r="BI17" s="35" t="str">
        <f t="shared" si="22"/>
        <v/>
      </c>
      <c r="BJ17" s="36" t="str">
        <f t="shared" si="23"/>
        <v/>
      </c>
      <c r="BK17" s="37"/>
      <c r="BL17" s="33"/>
      <c r="BM17" s="34"/>
      <c r="BN17" s="35" t="str">
        <f t="shared" si="24"/>
        <v/>
      </c>
      <c r="BO17" s="36" t="str">
        <f t="shared" si="25"/>
        <v/>
      </c>
      <c r="BP17" s="37"/>
      <c r="BQ17" s="33"/>
      <c r="BR17" s="34"/>
      <c r="BS17" s="35" t="str">
        <f t="shared" si="26"/>
        <v/>
      </c>
      <c r="BT17" s="36" t="str">
        <f t="shared" si="27"/>
        <v/>
      </c>
      <c r="BU17" s="37"/>
      <c r="BV17" s="33"/>
      <c r="BW17" s="34"/>
      <c r="BX17" s="35" t="str">
        <f t="shared" si="28"/>
        <v/>
      </c>
      <c r="BY17" s="36" t="str">
        <f t="shared" si="29"/>
        <v/>
      </c>
      <c r="BZ17" s="37"/>
      <c r="CA17" s="33"/>
      <c r="CB17" s="34"/>
      <c r="CC17" s="35" t="str">
        <f t="shared" si="30"/>
        <v/>
      </c>
      <c r="CD17" s="36" t="str">
        <f t="shared" si="31"/>
        <v/>
      </c>
      <c r="CE17" s="37"/>
      <c r="CF17" s="33"/>
      <c r="CG17" s="34"/>
      <c r="CH17" s="35" t="str">
        <f t="shared" si="32"/>
        <v/>
      </c>
      <c r="CI17" s="36" t="str">
        <f t="shared" si="33"/>
        <v/>
      </c>
      <c r="CJ17" s="37"/>
      <c r="CK17" s="33"/>
      <c r="CL17" s="34"/>
      <c r="CM17" s="35" t="str">
        <f t="shared" si="34"/>
        <v/>
      </c>
      <c r="CN17" s="36" t="str">
        <f t="shared" si="35"/>
        <v/>
      </c>
      <c r="CO17" s="37"/>
      <c r="CP17" s="33"/>
      <c r="CQ17" s="34"/>
      <c r="CR17" s="35" t="str">
        <f t="shared" si="36"/>
        <v/>
      </c>
      <c r="CS17" s="36" t="str">
        <f t="shared" si="37"/>
        <v/>
      </c>
      <c r="CT17" s="37"/>
      <c r="CU17" s="33"/>
      <c r="CV17" s="34"/>
      <c r="CW17" s="35" t="str">
        <f t="shared" si="38"/>
        <v/>
      </c>
      <c r="CX17" s="36" t="str">
        <f t="shared" si="39"/>
        <v/>
      </c>
      <c r="CY17" s="37"/>
      <c r="CZ17" s="33"/>
      <c r="DA17" s="34"/>
      <c r="DB17" s="35" t="str">
        <f t="shared" si="40"/>
        <v/>
      </c>
      <c r="DC17" s="36" t="str">
        <f t="shared" si="41"/>
        <v/>
      </c>
      <c r="DD17" s="37"/>
      <c r="DE17" s="33"/>
      <c r="DF17" s="34"/>
      <c r="DG17" s="35" t="str">
        <f t="shared" si="42"/>
        <v/>
      </c>
      <c r="DH17" s="36" t="str">
        <f t="shared" si="43"/>
        <v/>
      </c>
      <c r="DI17" s="37"/>
      <c r="DJ17" s="33"/>
      <c r="DK17" s="34"/>
      <c r="DL17" s="35" t="str">
        <f t="shared" si="44"/>
        <v/>
      </c>
      <c r="DM17" s="36" t="str">
        <f t="shared" si="45"/>
        <v/>
      </c>
      <c r="DN17" s="37"/>
      <c r="DO17" s="33"/>
      <c r="DP17" s="34"/>
      <c r="DQ17" s="35" t="str">
        <f t="shared" si="46"/>
        <v/>
      </c>
      <c r="DR17" s="36" t="str">
        <f t="shared" si="47"/>
        <v/>
      </c>
      <c r="DS17" s="37"/>
      <c r="DT17" s="33"/>
      <c r="DU17" s="34"/>
      <c r="DV17" s="35" t="str">
        <f t="shared" si="48"/>
        <v/>
      </c>
      <c r="DW17" s="36" t="str">
        <f t="shared" si="49"/>
        <v/>
      </c>
      <c r="DX17" s="37"/>
      <c r="DY17" s="33"/>
      <c r="DZ17" s="34"/>
      <c r="EA17" s="35" t="str">
        <f t="shared" si="50"/>
        <v/>
      </c>
      <c r="EB17" s="36" t="str">
        <f t="shared" si="51"/>
        <v/>
      </c>
      <c r="EC17" s="37"/>
      <c r="ED17" s="33"/>
      <c r="EE17" s="34"/>
      <c r="EF17" s="35" t="str">
        <f t="shared" si="52"/>
        <v/>
      </c>
      <c r="EG17" s="36" t="str">
        <f t="shared" si="53"/>
        <v/>
      </c>
      <c r="EH17" s="37"/>
      <c r="EI17" s="33"/>
      <c r="EJ17" s="34"/>
      <c r="EK17" s="35" t="str">
        <f t="shared" si="54"/>
        <v/>
      </c>
      <c r="EL17" s="36" t="str">
        <f t="shared" si="55"/>
        <v/>
      </c>
      <c r="EM17" s="37"/>
      <c r="EN17" s="33"/>
      <c r="EO17" s="34"/>
      <c r="EP17" s="35" t="str">
        <f t="shared" si="56"/>
        <v/>
      </c>
      <c r="EQ17" s="36" t="str">
        <f t="shared" si="57"/>
        <v/>
      </c>
      <c r="ER17" s="37"/>
      <c r="ES17" s="33"/>
      <c r="ET17" s="34"/>
      <c r="EU17" s="35" t="str">
        <f t="shared" si="58"/>
        <v/>
      </c>
      <c r="EV17" s="36" t="str">
        <f t="shared" si="59"/>
        <v/>
      </c>
      <c r="EW17" s="37"/>
    </row>
    <row r="18" spans="1:153" ht="19.5" customHeight="1">
      <c r="A18" s="32">
        <f>IF(DAY(DATE(対象年度,5,15))&lt;&gt;15,"",15)</f>
        <v>15</v>
      </c>
      <c r="B18" s="32" t="str">
        <f>IF(DAY(DATE(対象年度,5,15))&lt;&gt;15,"",CHOOSE(WEEKDAY(DATE(対象年度,5,15),2),"月","火","水","木","金","土","日"))</f>
        <v>金</v>
      </c>
      <c r="C18" s="32" t="str">
        <f>IF(DAY(DATE(対象年度,5,15))&lt;&gt;15,"",IF(ISNUMBER(MATCH(DATE(対象年度,5,15),祝日リスト,0)),"祝",""))</f>
        <v/>
      </c>
      <c r="D18" s="33"/>
      <c r="E18" s="34"/>
      <c r="F18" s="35" t="str">
        <f t="shared" si="0"/>
        <v/>
      </c>
      <c r="G18" s="36" t="str">
        <f t="shared" si="1"/>
        <v/>
      </c>
      <c r="H18" s="37"/>
      <c r="I18" s="33"/>
      <c r="J18" s="34"/>
      <c r="K18" s="35" t="str">
        <f t="shared" si="2"/>
        <v/>
      </c>
      <c r="L18" s="36" t="str">
        <f t="shared" si="3"/>
        <v/>
      </c>
      <c r="M18" s="37"/>
      <c r="N18" s="33"/>
      <c r="O18" s="34"/>
      <c r="P18" s="35" t="str">
        <f t="shared" si="4"/>
        <v/>
      </c>
      <c r="Q18" s="36" t="str">
        <f t="shared" si="5"/>
        <v/>
      </c>
      <c r="R18" s="37"/>
      <c r="S18" s="33"/>
      <c r="T18" s="34"/>
      <c r="U18" s="35" t="str">
        <f t="shared" si="6"/>
        <v/>
      </c>
      <c r="V18" s="36" t="str">
        <f t="shared" si="7"/>
        <v/>
      </c>
      <c r="W18" s="37"/>
      <c r="X18" s="33"/>
      <c r="Y18" s="34"/>
      <c r="Z18" s="35" t="str">
        <f t="shared" si="8"/>
        <v/>
      </c>
      <c r="AA18" s="36" t="str">
        <f t="shared" si="9"/>
        <v/>
      </c>
      <c r="AB18" s="37"/>
      <c r="AC18" s="33"/>
      <c r="AD18" s="34"/>
      <c r="AE18" s="35" t="str">
        <f t="shared" si="10"/>
        <v/>
      </c>
      <c r="AF18" s="36" t="str">
        <f t="shared" si="11"/>
        <v/>
      </c>
      <c r="AG18" s="37"/>
      <c r="AH18" s="33"/>
      <c r="AI18" s="34"/>
      <c r="AJ18" s="35" t="str">
        <f t="shared" si="12"/>
        <v/>
      </c>
      <c r="AK18" s="36" t="str">
        <f t="shared" si="13"/>
        <v/>
      </c>
      <c r="AL18" s="37"/>
      <c r="AM18" s="33"/>
      <c r="AN18" s="34"/>
      <c r="AO18" s="35" t="str">
        <f t="shared" si="14"/>
        <v/>
      </c>
      <c r="AP18" s="36" t="str">
        <f t="shared" si="15"/>
        <v/>
      </c>
      <c r="AQ18" s="37"/>
      <c r="AR18" s="33"/>
      <c r="AS18" s="34"/>
      <c r="AT18" s="35" t="str">
        <f t="shared" si="16"/>
        <v/>
      </c>
      <c r="AU18" s="36" t="str">
        <f t="shared" si="17"/>
        <v/>
      </c>
      <c r="AV18" s="37"/>
      <c r="AW18" s="33"/>
      <c r="AX18" s="34"/>
      <c r="AY18" s="35" t="str">
        <f t="shared" si="18"/>
        <v/>
      </c>
      <c r="AZ18" s="36" t="str">
        <f t="shared" si="19"/>
        <v/>
      </c>
      <c r="BA18" s="37"/>
      <c r="BB18" s="33"/>
      <c r="BC18" s="34"/>
      <c r="BD18" s="35" t="str">
        <f t="shared" si="20"/>
        <v/>
      </c>
      <c r="BE18" s="36" t="str">
        <f t="shared" si="21"/>
        <v/>
      </c>
      <c r="BF18" s="37"/>
      <c r="BG18" s="33"/>
      <c r="BH18" s="34"/>
      <c r="BI18" s="35" t="str">
        <f t="shared" si="22"/>
        <v/>
      </c>
      <c r="BJ18" s="36" t="str">
        <f t="shared" si="23"/>
        <v/>
      </c>
      <c r="BK18" s="37"/>
      <c r="BL18" s="33"/>
      <c r="BM18" s="34"/>
      <c r="BN18" s="35" t="str">
        <f t="shared" si="24"/>
        <v/>
      </c>
      <c r="BO18" s="36" t="str">
        <f t="shared" si="25"/>
        <v/>
      </c>
      <c r="BP18" s="37"/>
      <c r="BQ18" s="33"/>
      <c r="BR18" s="34"/>
      <c r="BS18" s="35" t="str">
        <f t="shared" si="26"/>
        <v/>
      </c>
      <c r="BT18" s="36" t="str">
        <f t="shared" si="27"/>
        <v/>
      </c>
      <c r="BU18" s="37"/>
      <c r="BV18" s="33"/>
      <c r="BW18" s="34"/>
      <c r="BX18" s="35" t="str">
        <f t="shared" si="28"/>
        <v/>
      </c>
      <c r="BY18" s="36" t="str">
        <f t="shared" si="29"/>
        <v/>
      </c>
      <c r="BZ18" s="37"/>
      <c r="CA18" s="33"/>
      <c r="CB18" s="34"/>
      <c r="CC18" s="35" t="str">
        <f t="shared" si="30"/>
        <v/>
      </c>
      <c r="CD18" s="36" t="str">
        <f t="shared" si="31"/>
        <v/>
      </c>
      <c r="CE18" s="37"/>
      <c r="CF18" s="33"/>
      <c r="CG18" s="34"/>
      <c r="CH18" s="35" t="str">
        <f t="shared" si="32"/>
        <v/>
      </c>
      <c r="CI18" s="36" t="str">
        <f t="shared" si="33"/>
        <v/>
      </c>
      <c r="CJ18" s="37"/>
      <c r="CK18" s="33"/>
      <c r="CL18" s="34"/>
      <c r="CM18" s="35" t="str">
        <f t="shared" si="34"/>
        <v/>
      </c>
      <c r="CN18" s="36" t="str">
        <f t="shared" si="35"/>
        <v/>
      </c>
      <c r="CO18" s="37"/>
      <c r="CP18" s="33"/>
      <c r="CQ18" s="34"/>
      <c r="CR18" s="35" t="str">
        <f t="shared" si="36"/>
        <v/>
      </c>
      <c r="CS18" s="36" t="str">
        <f t="shared" si="37"/>
        <v/>
      </c>
      <c r="CT18" s="37"/>
      <c r="CU18" s="33"/>
      <c r="CV18" s="34"/>
      <c r="CW18" s="35" t="str">
        <f t="shared" si="38"/>
        <v/>
      </c>
      <c r="CX18" s="36" t="str">
        <f t="shared" si="39"/>
        <v/>
      </c>
      <c r="CY18" s="37"/>
      <c r="CZ18" s="33"/>
      <c r="DA18" s="34"/>
      <c r="DB18" s="35" t="str">
        <f t="shared" si="40"/>
        <v/>
      </c>
      <c r="DC18" s="36" t="str">
        <f t="shared" si="41"/>
        <v/>
      </c>
      <c r="DD18" s="37"/>
      <c r="DE18" s="33"/>
      <c r="DF18" s="34"/>
      <c r="DG18" s="35" t="str">
        <f t="shared" si="42"/>
        <v/>
      </c>
      <c r="DH18" s="36" t="str">
        <f t="shared" si="43"/>
        <v/>
      </c>
      <c r="DI18" s="37"/>
      <c r="DJ18" s="33"/>
      <c r="DK18" s="34"/>
      <c r="DL18" s="35" t="str">
        <f t="shared" si="44"/>
        <v/>
      </c>
      <c r="DM18" s="36" t="str">
        <f t="shared" si="45"/>
        <v/>
      </c>
      <c r="DN18" s="37"/>
      <c r="DO18" s="33"/>
      <c r="DP18" s="34"/>
      <c r="DQ18" s="35" t="str">
        <f t="shared" si="46"/>
        <v/>
      </c>
      <c r="DR18" s="36" t="str">
        <f t="shared" si="47"/>
        <v/>
      </c>
      <c r="DS18" s="37"/>
      <c r="DT18" s="33"/>
      <c r="DU18" s="34"/>
      <c r="DV18" s="35" t="str">
        <f t="shared" si="48"/>
        <v/>
      </c>
      <c r="DW18" s="36" t="str">
        <f t="shared" si="49"/>
        <v/>
      </c>
      <c r="DX18" s="37"/>
      <c r="DY18" s="33"/>
      <c r="DZ18" s="34"/>
      <c r="EA18" s="35" t="str">
        <f t="shared" si="50"/>
        <v/>
      </c>
      <c r="EB18" s="36" t="str">
        <f t="shared" si="51"/>
        <v/>
      </c>
      <c r="EC18" s="37"/>
      <c r="ED18" s="33"/>
      <c r="EE18" s="34"/>
      <c r="EF18" s="35" t="str">
        <f t="shared" si="52"/>
        <v/>
      </c>
      <c r="EG18" s="36" t="str">
        <f t="shared" si="53"/>
        <v/>
      </c>
      <c r="EH18" s="37"/>
      <c r="EI18" s="33"/>
      <c r="EJ18" s="34"/>
      <c r="EK18" s="35" t="str">
        <f t="shared" si="54"/>
        <v/>
      </c>
      <c r="EL18" s="36" t="str">
        <f t="shared" si="55"/>
        <v/>
      </c>
      <c r="EM18" s="37"/>
      <c r="EN18" s="33"/>
      <c r="EO18" s="34"/>
      <c r="EP18" s="35" t="str">
        <f t="shared" si="56"/>
        <v/>
      </c>
      <c r="EQ18" s="36" t="str">
        <f t="shared" si="57"/>
        <v/>
      </c>
      <c r="ER18" s="37"/>
      <c r="ES18" s="33"/>
      <c r="ET18" s="34"/>
      <c r="EU18" s="35" t="str">
        <f t="shared" si="58"/>
        <v/>
      </c>
      <c r="EV18" s="36" t="str">
        <f t="shared" si="59"/>
        <v/>
      </c>
      <c r="EW18" s="37"/>
    </row>
    <row r="19" spans="1:153" ht="19.5" customHeight="1">
      <c r="A19" s="32">
        <f>IF(DAY(DATE(対象年度,5,16))&lt;&gt;16,"",16)</f>
        <v>16</v>
      </c>
      <c r="B19" s="32" t="str">
        <f>IF(DAY(DATE(対象年度,5,16))&lt;&gt;16,"",CHOOSE(WEEKDAY(DATE(対象年度,5,16),2),"月","火","水","木","金","土","日"))</f>
        <v>土</v>
      </c>
      <c r="C19" s="32" t="str">
        <f>IF(DAY(DATE(対象年度,5,16))&lt;&gt;16,"",IF(ISNUMBER(MATCH(DATE(対象年度,5,16),祝日リスト,0)),"祝",""))</f>
        <v/>
      </c>
      <c r="D19" s="33"/>
      <c r="E19" s="34"/>
      <c r="F19" s="35" t="str">
        <f t="shared" si="0"/>
        <v/>
      </c>
      <c r="G19" s="36" t="str">
        <f t="shared" si="1"/>
        <v/>
      </c>
      <c r="H19" s="37"/>
      <c r="I19" s="33"/>
      <c r="J19" s="34"/>
      <c r="K19" s="35" t="str">
        <f t="shared" si="2"/>
        <v/>
      </c>
      <c r="L19" s="36" t="str">
        <f t="shared" si="3"/>
        <v/>
      </c>
      <c r="M19" s="37"/>
      <c r="N19" s="33"/>
      <c r="O19" s="34"/>
      <c r="P19" s="35" t="str">
        <f t="shared" si="4"/>
        <v/>
      </c>
      <c r="Q19" s="36" t="str">
        <f t="shared" si="5"/>
        <v/>
      </c>
      <c r="R19" s="37"/>
      <c r="S19" s="33"/>
      <c r="T19" s="34"/>
      <c r="U19" s="35" t="str">
        <f t="shared" si="6"/>
        <v/>
      </c>
      <c r="V19" s="36" t="str">
        <f t="shared" si="7"/>
        <v/>
      </c>
      <c r="W19" s="37"/>
      <c r="X19" s="33"/>
      <c r="Y19" s="34"/>
      <c r="Z19" s="35" t="str">
        <f t="shared" si="8"/>
        <v/>
      </c>
      <c r="AA19" s="36" t="str">
        <f t="shared" si="9"/>
        <v/>
      </c>
      <c r="AB19" s="37"/>
      <c r="AC19" s="33"/>
      <c r="AD19" s="34"/>
      <c r="AE19" s="35" t="str">
        <f t="shared" si="10"/>
        <v/>
      </c>
      <c r="AF19" s="36" t="str">
        <f t="shared" si="11"/>
        <v/>
      </c>
      <c r="AG19" s="37"/>
      <c r="AH19" s="33"/>
      <c r="AI19" s="34"/>
      <c r="AJ19" s="35" t="str">
        <f t="shared" si="12"/>
        <v/>
      </c>
      <c r="AK19" s="36" t="str">
        <f t="shared" si="13"/>
        <v/>
      </c>
      <c r="AL19" s="37"/>
      <c r="AM19" s="33"/>
      <c r="AN19" s="34"/>
      <c r="AO19" s="35" t="str">
        <f t="shared" si="14"/>
        <v/>
      </c>
      <c r="AP19" s="36" t="str">
        <f t="shared" si="15"/>
        <v/>
      </c>
      <c r="AQ19" s="37"/>
      <c r="AR19" s="33"/>
      <c r="AS19" s="34"/>
      <c r="AT19" s="35" t="str">
        <f t="shared" si="16"/>
        <v/>
      </c>
      <c r="AU19" s="36" t="str">
        <f t="shared" si="17"/>
        <v/>
      </c>
      <c r="AV19" s="37"/>
      <c r="AW19" s="33"/>
      <c r="AX19" s="34"/>
      <c r="AY19" s="35" t="str">
        <f t="shared" si="18"/>
        <v/>
      </c>
      <c r="AZ19" s="36" t="str">
        <f t="shared" si="19"/>
        <v/>
      </c>
      <c r="BA19" s="37"/>
      <c r="BB19" s="33"/>
      <c r="BC19" s="34"/>
      <c r="BD19" s="35" t="str">
        <f t="shared" si="20"/>
        <v/>
      </c>
      <c r="BE19" s="36" t="str">
        <f t="shared" si="21"/>
        <v/>
      </c>
      <c r="BF19" s="37"/>
      <c r="BG19" s="33"/>
      <c r="BH19" s="34"/>
      <c r="BI19" s="35" t="str">
        <f t="shared" si="22"/>
        <v/>
      </c>
      <c r="BJ19" s="36" t="str">
        <f t="shared" si="23"/>
        <v/>
      </c>
      <c r="BK19" s="37"/>
      <c r="BL19" s="33"/>
      <c r="BM19" s="34"/>
      <c r="BN19" s="35" t="str">
        <f t="shared" si="24"/>
        <v/>
      </c>
      <c r="BO19" s="36" t="str">
        <f t="shared" si="25"/>
        <v/>
      </c>
      <c r="BP19" s="37"/>
      <c r="BQ19" s="33"/>
      <c r="BR19" s="34"/>
      <c r="BS19" s="35" t="str">
        <f t="shared" si="26"/>
        <v/>
      </c>
      <c r="BT19" s="36" t="str">
        <f t="shared" si="27"/>
        <v/>
      </c>
      <c r="BU19" s="37"/>
      <c r="BV19" s="33"/>
      <c r="BW19" s="34"/>
      <c r="BX19" s="35" t="str">
        <f t="shared" si="28"/>
        <v/>
      </c>
      <c r="BY19" s="36" t="str">
        <f t="shared" si="29"/>
        <v/>
      </c>
      <c r="BZ19" s="37"/>
      <c r="CA19" s="33"/>
      <c r="CB19" s="34"/>
      <c r="CC19" s="35" t="str">
        <f t="shared" si="30"/>
        <v/>
      </c>
      <c r="CD19" s="36" t="str">
        <f t="shared" si="31"/>
        <v/>
      </c>
      <c r="CE19" s="37"/>
      <c r="CF19" s="33"/>
      <c r="CG19" s="34"/>
      <c r="CH19" s="35" t="str">
        <f t="shared" si="32"/>
        <v/>
      </c>
      <c r="CI19" s="36" t="str">
        <f t="shared" si="33"/>
        <v/>
      </c>
      <c r="CJ19" s="37"/>
      <c r="CK19" s="33"/>
      <c r="CL19" s="34"/>
      <c r="CM19" s="35" t="str">
        <f t="shared" si="34"/>
        <v/>
      </c>
      <c r="CN19" s="36" t="str">
        <f t="shared" si="35"/>
        <v/>
      </c>
      <c r="CO19" s="37"/>
      <c r="CP19" s="33"/>
      <c r="CQ19" s="34"/>
      <c r="CR19" s="35" t="str">
        <f t="shared" si="36"/>
        <v/>
      </c>
      <c r="CS19" s="36" t="str">
        <f t="shared" si="37"/>
        <v/>
      </c>
      <c r="CT19" s="37"/>
      <c r="CU19" s="33"/>
      <c r="CV19" s="34"/>
      <c r="CW19" s="35" t="str">
        <f t="shared" si="38"/>
        <v/>
      </c>
      <c r="CX19" s="36" t="str">
        <f t="shared" si="39"/>
        <v/>
      </c>
      <c r="CY19" s="37"/>
      <c r="CZ19" s="33"/>
      <c r="DA19" s="34"/>
      <c r="DB19" s="35" t="str">
        <f t="shared" si="40"/>
        <v/>
      </c>
      <c r="DC19" s="36" t="str">
        <f t="shared" si="41"/>
        <v/>
      </c>
      <c r="DD19" s="37"/>
      <c r="DE19" s="33"/>
      <c r="DF19" s="34"/>
      <c r="DG19" s="35" t="str">
        <f t="shared" si="42"/>
        <v/>
      </c>
      <c r="DH19" s="36" t="str">
        <f t="shared" si="43"/>
        <v/>
      </c>
      <c r="DI19" s="37"/>
      <c r="DJ19" s="33"/>
      <c r="DK19" s="34"/>
      <c r="DL19" s="35" t="str">
        <f t="shared" si="44"/>
        <v/>
      </c>
      <c r="DM19" s="36" t="str">
        <f t="shared" si="45"/>
        <v/>
      </c>
      <c r="DN19" s="37"/>
      <c r="DO19" s="33"/>
      <c r="DP19" s="34"/>
      <c r="DQ19" s="35" t="str">
        <f t="shared" si="46"/>
        <v/>
      </c>
      <c r="DR19" s="36" t="str">
        <f t="shared" si="47"/>
        <v/>
      </c>
      <c r="DS19" s="37"/>
      <c r="DT19" s="33"/>
      <c r="DU19" s="34"/>
      <c r="DV19" s="35" t="str">
        <f t="shared" si="48"/>
        <v/>
      </c>
      <c r="DW19" s="36" t="str">
        <f t="shared" si="49"/>
        <v/>
      </c>
      <c r="DX19" s="37"/>
      <c r="DY19" s="33"/>
      <c r="DZ19" s="34"/>
      <c r="EA19" s="35" t="str">
        <f t="shared" si="50"/>
        <v/>
      </c>
      <c r="EB19" s="36" t="str">
        <f t="shared" si="51"/>
        <v/>
      </c>
      <c r="EC19" s="37"/>
      <c r="ED19" s="33"/>
      <c r="EE19" s="34"/>
      <c r="EF19" s="35" t="str">
        <f t="shared" si="52"/>
        <v/>
      </c>
      <c r="EG19" s="36" t="str">
        <f t="shared" si="53"/>
        <v/>
      </c>
      <c r="EH19" s="37"/>
      <c r="EI19" s="33"/>
      <c r="EJ19" s="34"/>
      <c r="EK19" s="35" t="str">
        <f t="shared" si="54"/>
        <v/>
      </c>
      <c r="EL19" s="36" t="str">
        <f t="shared" si="55"/>
        <v/>
      </c>
      <c r="EM19" s="37"/>
      <c r="EN19" s="33"/>
      <c r="EO19" s="34"/>
      <c r="EP19" s="35" t="str">
        <f t="shared" si="56"/>
        <v/>
      </c>
      <c r="EQ19" s="36" t="str">
        <f t="shared" si="57"/>
        <v/>
      </c>
      <c r="ER19" s="37"/>
      <c r="ES19" s="33"/>
      <c r="ET19" s="34"/>
      <c r="EU19" s="35" t="str">
        <f t="shared" si="58"/>
        <v/>
      </c>
      <c r="EV19" s="36" t="str">
        <f t="shared" si="59"/>
        <v/>
      </c>
      <c r="EW19" s="37"/>
    </row>
    <row r="20" spans="1:153" ht="19.5" customHeight="1">
      <c r="A20" s="32">
        <f>IF(DAY(DATE(対象年度,5,17))&lt;&gt;17,"",17)</f>
        <v>17</v>
      </c>
      <c r="B20" s="32" t="str">
        <f>IF(DAY(DATE(対象年度,5,17))&lt;&gt;17,"",CHOOSE(WEEKDAY(DATE(対象年度,5,17),2),"月","火","水","木","金","土","日"))</f>
        <v>日</v>
      </c>
      <c r="C20" s="32" t="str">
        <f>IF(DAY(DATE(対象年度,5,17))&lt;&gt;17,"",IF(ISNUMBER(MATCH(DATE(対象年度,5,17),祝日リスト,0)),"祝",""))</f>
        <v/>
      </c>
      <c r="D20" s="33"/>
      <c r="E20" s="34"/>
      <c r="F20" s="35" t="str">
        <f t="shared" si="0"/>
        <v/>
      </c>
      <c r="G20" s="36" t="str">
        <f t="shared" si="1"/>
        <v/>
      </c>
      <c r="H20" s="37"/>
      <c r="I20" s="33"/>
      <c r="J20" s="34"/>
      <c r="K20" s="35" t="str">
        <f t="shared" si="2"/>
        <v/>
      </c>
      <c r="L20" s="36" t="str">
        <f t="shared" si="3"/>
        <v/>
      </c>
      <c r="M20" s="37"/>
      <c r="N20" s="33"/>
      <c r="O20" s="34"/>
      <c r="P20" s="35" t="str">
        <f t="shared" si="4"/>
        <v/>
      </c>
      <c r="Q20" s="36" t="str">
        <f t="shared" si="5"/>
        <v/>
      </c>
      <c r="R20" s="37"/>
      <c r="S20" s="33"/>
      <c r="T20" s="34"/>
      <c r="U20" s="35" t="str">
        <f t="shared" si="6"/>
        <v/>
      </c>
      <c r="V20" s="36" t="str">
        <f t="shared" si="7"/>
        <v/>
      </c>
      <c r="W20" s="37"/>
      <c r="X20" s="33"/>
      <c r="Y20" s="34"/>
      <c r="Z20" s="35" t="str">
        <f t="shared" si="8"/>
        <v/>
      </c>
      <c r="AA20" s="36" t="str">
        <f t="shared" si="9"/>
        <v/>
      </c>
      <c r="AB20" s="37"/>
      <c r="AC20" s="33"/>
      <c r="AD20" s="34"/>
      <c r="AE20" s="35" t="str">
        <f t="shared" si="10"/>
        <v/>
      </c>
      <c r="AF20" s="36" t="str">
        <f t="shared" si="11"/>
        <v/>
      </c>
      <c r="AG20" s="37"/>
      <c r="AH20" s="33"/>
      <c r="AI20" s="34"/>
      <c r="AJ20" s="35" t="str">
        <f t="shared" si="12"/>
        <v/>
      </c>
      <c r="AK20" s="36" t="str">
        <f t="shared" si="13"/>
        <v/>
      </c>
      <c r="AL20" s="37"/>
      <c r="AM20" s="33"/>
      <c r="AN20" s="34"/>
      <c r="AO20" s="35" t="str">
        <f t="shared" si="14"/>
        <v/>
      </c>
      <c r="AP20" s="36" t="str">
        <f t="shared" si="15"/>
        <v/>
      </c>
      <c r="AQ20" s="37"/>
      <c r="AR20" s="33"/>
      <c r="AS20" s="34"/>
      <c r="AT20" s="35" t="str">
        <f t="shared" si="16"/>
        <v/>
      </c>
      <c r="AU20" s="36" t="str">
        <f t="shared" si="17"/>
        <v/>
      </c>
      <c r="AV20" s="37"/>
      <c r="AW20" s="33"/>
      <c r="AX20" s="34"/>
      <c r="AY20" s="35" t="str">
        <f t="shared" si="18"/>
        <v/>
      </c>
      <c r="AZ20" s="36" t="str">
        <f t="shared" si="19"/>
        <v/>
      </c>
      <c r="BA20" s="37"/>
      <c r="BB20" s="33"/>
      <c r="BC20" s="34"/>
      <c r="BD20" s="35" t="str">
        <f t="shared" si="20"/>
        <v/>
      </c>
      <c r="BE20" s="36" t="str">
        <f t="shared" si="21"/>
        <v/>
      </c>
      <c r="BF20" s="37"/>
      <c r="BG20" s="33"/>
      <c r="BH20" s="34"/>
      <c r="BI20" s="35" t="str">
        <f t="shared" si="22"/>
        <v/>
      </c>
      <c r="BJ20" s="36" t="str">
        <f t="shared" si="23"/>
        <v/>
      </c>
      <c r="BK20" s="37"/>
      <c r="BL20" s="33"/>
      <c r="BM20" s="34"/>
      <c r="BN20" s="35" t="str">
        <f t="shared" si="24"/>
        <v/>
      </c>
      <c r="BO20" s="36" t="str">
        <f t="shared" si="25"/>
        <v/>
      </c>
      <c r="BP20" s="37"/>
      <c r="BQ20" s="33"/>
      <c r="BR20" s="34"/>
      <c r="BS20" s="35" t="str">
        <f t="shared" si="26"/>
        <v/>
      </c>
      <c r="BT20" s="36" t="str">
        <f t="shared" si="27"/>
        <v/>
      </c>
      <c r="BU20" s="37"/>
      <c r="BV20" s="33"/>
      <c r="BW20" s="34"/>
      <c r="BX20" s="35" t="str">
        <f t="shared" si="28"/>
        <v/>
      </c>
      <c r="BY20" s="36" t="str">
        <f t="shared" si="29"/>
        <v/>
      </c>
      <c r="BZ20" s="37"/>
      <c r="CA20" s="33"/>
      <c r="CB20" s="34"/>
      <c r="CC20" s="35" t="str">
        <f t="shared" si="30"/>
        <v/>
      </c>
      <c r="CD20" s="36" t="str">
        <f t="shared" si="31"/>
        <v/>
      </c>
      <c r="CE20" s="37"/>
      <c r="CF20" s="33"/>
      <c r="CG20" s="34"/>
      <c r="CH20" s="35" t="str">
        <f t="shared" si="32"/>
        <v/>
      </c>
      <c r="CI20" s="36" t="str">
        <f t="shared" si="33"/>
        <v/>
      </c>
      <c r="CJ20" s="37"/>
      <c r="CK20" s="33"/>
      <c r="CL20" s="34"/>
      <c r="CM20" s="35" t="str">
        <f t="shared" si="34"/>
        <v/>
      </c>
      <c r="CN20" s="36" t="str">
        <f t="shared" si="35"/>
        <v/>
      </c>
      <c r="CO20" s="37"/>
      <c r="CP20" s="33"/>
      <c r="CQ20" s="34"/>
      <c r="CR20" s="35" t="str">
        <f t="shared" si="36"/>
        <v/>
      </c>
      <c r="CS20" s="36" t="str">
        <f t="shared" si="37"/>
        <v/>
      </c>
      <c r="CT20" s="37"/>
      <c r="CU20" s="33"/>
      <c r="CV20" s="34"/>
      <c r="CW20" s="35" t="str">
        <f t="shared" si="38"/>
        <v/>
      </c>
      <c r="CX20" s="36" t="str">
        <f t="shared" si="39"/>
        <v/>
      </c>
      <c r="CY20" s="37"/>
      <c r="CZ20" s="33"/>
      <c r="DA20" s="34"/>
      <c r="DB20" s="35" t="str">
        <f t="shared" si="40"/>
        <v/>
      </c>
      <c r="DC20" s="36" t="str">
        <f t="shared" si="41"/>
        <v/>
      </c>
      <c r="DD20" s="37"/>
      <c r="DE20" s="33"/>
      <c r="DF20" s="34"/>
      <c r="DG20" s="35" t="str">
        <f t="shared" si="42"/>
        <v/>
      </c>
      <c r="DH20" s="36" t="str">
        <f t="shared" si="43"/>
        <v/>
      </c>
      <c r="DI20" s="37"/>
      <c r="DJ20" s="33"/>
      <c r="DK20" s="34"/>
      <c r="DL20" s="35" t="str">
        <f t="shared" si="44"/>
        <v/>
      </c>
      <c r="DM20" s="36" t="str">
        <f t="shared" si="45"/>
        <v/>
      </c>
      <c r="DN20" s="37"/>
      <c r="DO20" s="33"/>
      <c r="DP20" s="34"/>
      <c r="DQ20" s="35" t="str">
        <f t="shared" si="46"/>
        <v/>
      </c>
      <c r="DR20" s="36" t="str">
        <f t="shared" si="47"/>
        <v/>
      </c>
      <c r="DS20" s="37"/>
      <c r="DT20" s="33"/>
      <c r="DU20" s="34"/>
      <c r="DV20" s="35" t="str">
        <f t="shared" si="48"/>
        <v/>
      </c>
      <c r="DW20" s="36" t="str">
        <f t="shared" si="49"/>
        <v/>
      </c>
      <c r="DX20" s="37"/>
      <c r="DY20" s="33"/>
      <c r="DZ20" s="34"/>
      <c r="EA20" s="35" t="str">
        <f t="shared" si="50"/>
        <v/>
      </c>
      <c r="EB20" s="36" t="str">
        <f t="shared" si="51"/>
        <v/>
      </c>
      <c r="EC20" s="37"/>
      <c r="ED20" s="33"/>
      <c r="EE20" s="34"/>
      <c r="EF20" s="35" t="str">
        <f t="shared" si="52"/>
        <v/>
      </c>
      <c r="EG20" s="36" t="str">
        <f t="shared" si="53"/>
        <v/>
      </c>
      <c r="EH20" s="37"/>
      <c r="EI20" s="33"/>
      <c r="EJ20" s="34"/>
      <c r="EK20" s="35" t="str">
        <f t="shared" si="54"/>
        <v/>
      </c>
      <c r="EL20" s="36" t="str">
        <f t="shared" si="55"/>
        <v/>
      </c>
      <c r="EM20" s="37"/>
      <c r="EN20" s="33"/>
      <c r="EO20" s="34"/>
      <c r="EP20" s="35" t="str">
        <f t="shared" si="56"/>
        <v/>
      </c>
      <c r="EQ20" s="36" t="str">
        <f t="shared" si="57"/>
        <v/>
      </c>
      <c r="ER20" s="37"/>
      <c r="ES20" s="33"/>
      <c r="ET20" s="34"/>
      <c r="EU20" s="35" t="str">
        <f t="shared" si="58"/>
        <v/>
      </c>
      <c r="EV20" s="36" t="str">
        <f t="shared" si="59"/>
        <v/>
      </c>
      <c r="EW20" s="37"/>
    </row>
    <row r="21" spans="1:153" ht="19.5" customHeight="1">
      <c r="A21" s="32">
        <f>IF(DAY(DATE(対象年度,5,18))&lt;&gt;18,"",18)</f>
        <v>18</v>
      </c>
      <c r="B21" s="32" t="str">
        <f>IF(DAY(DATE(対象年度,5,18))&lt;&gt;18,"",CHOOSE(WEEKDAY(DATE(対象年度,5,18),2),"月","火","水","木","金","土","日"))</f>
        <v>月</v>
      </c>
      <c r="C21" s="32" t="str">
        <f>IF(DAY(DATE(対象年度,5,18))&lt;&gt;18,"",IF(ISNUMBER(MATCH(DATE(対象年度,5,18),祝日リスト,0)),"祝",""))</f>
        <v/>
      </c>
      <c r="D21" s="33"/>
      <c r="E21" s="34"/>
      <c r="F21" s="35" t="str">
        <f t="shared" si="0"/>
        <v/>
      </c>
      <c r="G21" s="36" t="str">
        <f t="shared" si="1"/>
        <v/>
      </c>
      <c r="H21" s="37"/>
      <c r="I21" s="33"/>
      <c r="J21" s="34"/>
      <c r="K21" s="35" t="str">
        <f t="shared" si="2"/>
        <v/>
      </c>
      <c r="L21" s="36" t="str">
        <f t="shared" si="3"/>
        <v/>
      </c>
      <c r="M21" s="37"/>
      <c r="N21" s="33"/>
      <c r="O21" s="34"/>
      <c r="P21" s="35" t="str">
        <f t="shared" si="4"/>
        <v/>
      </c>
      <c r="Q21" s="36" t="str">
        <f t="shared" si="5"/>
        <v/>
      </c>
      <c r="R21" s="37"/>
      <c r="S21" s="33"/>
      <c r="T21" s="34"/>
      <c r="U21" s="35" t="str">
        <f t="shared" si="6"/>
        <v/>
      </c>
      <c r="V21" s="36" t="str">
        <f t="shared" si="7"/>
        <v/>
      </c>
      <c r="W21" s="37"/>
      <c r="X21" s="33"/>
      <c r="Y21" s="34"/>
      <c r="Z21" s="35" t="str">
        <f t="shared" si="8"/>
        <v/>
      </c>
      <c r="AA21" s="36" t="str">
        <f t="shared" si="9"/>
        <v/>
      </c>
      <c r="AB21" s="37"/>
      <c r="AC21" s="33"/>
      <c r="AD21" s="34"/>
      <c r="AE21" s="35" t="str">
        <f t="shared" si="10"/>
        <v/>
      </c>
      <c r="AF21" s="36" t="str">
        <f t="shared" si="11"/>
        <v/>
      </c>
      <c r="AG21" s="37"/>
      <c r="AH21" s="33"/>
      <c r="AI21" s="34"/>
      <c r="AJ21" s="35" t="str">
        <f t="shared" si="12"/>
        <v/>
      </c>
      <c r="AK21" s="36" t="str">
        <f t="shared" si="13"/>
        <v/>
      </c>
      <c r="AL21" s="37"/>
      <c r="AM21" s="33"/>
      <c r="AN21" s="34"/>
      <c r="AO21" s="35" t="str">
        <f t="shared" si="14"/>
        <v/>
      </c>
      <c r="AP21" s="36" t="str">
        <f t="shared" si="15"/>
        <v/>
      </c>
      <c r="AQ21" s="37"/>
      <c r="AR21" s="33"/>
      <c r="AS21" s="34"/>
      <c r="AT21" s="35" t="str">
        <f t="shared" si="16"/>
        <v/>
      </c>
      <c r="AU21" s="36" t="str">
        <f t="shared" si="17"/>
        <v/>
      </c>
      <c r="AV21" s="37"/>
      <c r="AW21" s="33"/>
      <c r="AX21" s="34"/>
      <c r="AY21" s="35" t="str">
        <f t="shared" si="18"/>
        <v/>
      </c>
      <c r="AZ21" s="36" t="str">
        <f t="shared" si="19"/>
        <v/>
      </c>
      <c r="BA21" s="37"/>
      <c r="BB21" s="33"/>
      <c r="BC21" s="34"/>
      <c r="BD21" s="35" t="str">
        <f t="shared" si="20"/>
        <v/>
      </c>
      <c r="BE21" s="36" t="str">
        <f t="shared" si="21"/>
        <v/>
      </c>
      <c r="BF21" s="37"/>
      <c r="BG21" s="33"/>
      <c r="BH21" s="34"/>
      <c r="BI21" s="35" t="str">
        <f t="shared" si="22"/>
        <v/>
      </c>
      <c r="BJ21" s="36" t="str">
        <f t="shared" si="23"/>
        <v/>
      </c>
      <c r="BK21" s="37"/>
      <c r="BL21" s="33"/>
      <c r="BM21" s="34"/>
      <c r="BN21" s="35" t="str">
        <f t="shared" si="24"/>
        <v/>
      </c>
      <c r="BO21" s="36" t="str">
        <f t="shared" si="25"/>
        <v/>
      </c>
      <c r="BP21" s="37"/>
      <c r="BQ21" s="33"/>
      <c r="BR21" s="34"/>
      <c r="BS21" s="35" t="str">
        <f t="shared" si="26"/>
        <v/>
      </c>
      <c r="BT21" s="36" t="str">
        <f t="shared" si="27"/>
        <v/>
      </c>
      <c r="BU21" s="37"/>
      <c r="BV21" s="33"/>
      <c r="BW21" s="34"/>
      <c r="BX21" s="35" t="str">
        <f t="shared" si="28"/>
        <v/>
      </c>
      <c r="BY21" s="36" t="str">
        <f t="shared" si="29"/>
        <v/>
      </c>
      <c r="BZ21" s="37"/>
      <c r="CA21" s="33"/>
      <c r="CB21" s="34"/>
      <c r="CC21" s="35" t="str">
        <f t="shared" si="30"/>
        <v/>
      </c>
      <c r="CD21" s="36" t="str">
        <f t="shared" si="31"/>
        <v/>
      </c>
      <c r="CE21" s="37"/>
      <c r="CF21" s="33"/>
      <c r="CG21" s="34"/>
      <c r="CH21" s="35" t="str">
        <f t="shared" si="32"/>
        <v/>
      </c>
      <c r="CI21" s="36" t="str">
        <f t="shared" si="33"/>
        <v/>
      </c>
      <c r="CJ21" s="37"/>
      <c r="CK21" s="33"/>
      <c r="CL21" s="34"/>
      <c r="CM21" s="35" t="str">
        <f t="shared" si="34"/>
        <v/>
      </c>
      <c r="CN21" s="36" t="str">
        <f t="shared" si="35"/>
        <v/>
      </c>
      <c r="CO21" s="37"/>
      <c r="CP21" s="33"/>
      <c r="CQ21" s="34"/>
      <c r="CR21" s="35" t="str">
        <f t="shared" si="36"/>
        <v/>
      </c>
      <c r="CS21" s="36" t="str">
        <f t="shared" si="37"/>
        <v/>
      </c>
      <c r="CT21" s="37"/>
      <c r="CU21" s="33"/>
      <c r="CV21" s="34"/>
      <c r="CW21" s="35" t="str">
        <f t="shared" si="38"/>
        <v/>
      </c>
      <c r="CX21" s="36" t="str">
        <f t="shared" si="39"/>
        <v/>
      </c>
      <c r="CY21" s="37"/>
      <c r="CZ21" s="33"/>
      <c r="DA21" s="34"/>
      <c r="DB21" s="35" t="str">
        <f t="shared" si="40"/>
        <v/>
      </c>
      <c r="DC21" s="36" t="str">
        <f t="shared" si="41"/>
        <v/>
      </c>
      <c r="DD21" s="37"/>
      <c r="DE21" s="33"/>
      <c r="DF21" s="34"/>
      <c r="DG21" s="35" t="str">
        <f t="shared" si="42"/>
        <v/>
      </c>
      <c r="DH21" s="36" t="str">
        <f t="shared" si="43"/>
        <v/>
      </c>
      <c r="DI21" s="37"/>
      <c r="DJ21" s="33"/>
      <c r="DK21" s="34"/>
      <c r="DL21" s="35" t="str">
        <f t="shared" si="44"/>
        <v/>
      </c>
      <c r="DM21" s="36" t="str">
        <f t="shared" si="45"/>
        <v/>
      </c>
      <c r="DN21" s="37"/>
      <c r="DO21" s="33"/>
      <c r="DP21" s="34"/>
      <c r="DQ21" s="35" t="str">
        <f t="shared" si="46"/>
        <v/>
      </c>
      <c r="DR21" s="36" t="str">
        <f t="shared" si="47"/>
        <v/>
      </c>
      <c r="DS21" s="37"/>
      <c r="DT21" s="33"/>
      <c r="DU21" s="34"/>
      <c r="DV21" s="35" t="str">
        <f t="shared" si="48"/>
        <v/>
      </c>
      <c r="DW21" s="36" t="str">
        <f t="shared" si="49"/>
        <v/>
      </c>
      <c r="DX21" s="37"/>
      <c r="DY21" s="33"/>
      <c r="DZ21" s="34"/>
      <c r="EA21" s="35" t="str">
        <f t="shared" si="50"/>
        <v/>
      </c>
      <c r="EB21" s="36" t="str">
        <f t="shared" si="51"/>
        <v/>
      </c>
      <c r="EC21" s="37"/>
      <c r="ED21" s="33"/>
      <c r="EE21" s="34"/>
      <c r="EF21" s="35" t="str">
        <f t="shared" si="52"/>
        <v/>
      </c>
      <c r="EG21" s="36" t="str">
        <f t="shared" si="53"/>
        <v/>
      </c>
      <c r="EH21" s="37"/>
      <c r="EI21" s="33"/>
      <c r="EJ21" s="34"/>
      <c r="EK21" s="35" t="str">
        <f t="shared" si="54"/>
        <v/>
      </c>
      <c r="EL21" s="36" t="str">
        <f t="shared" si="55"/>
        <v/>
      </c>
      <c r="EM21" s="37"/>
      <c r="EN21" s="33"/>
      <c r="EO21" s="34"/>
      <c r="EP21" s="35" t="str">
        <f t="shared" si="56"/>
        <v/>
      </c>
      <c r="EQ21" s="36" t="str">
        <f t="shared" si="57"/>
        <v/>
      </c>
      <c r="ER21" s="37"/>
      <c r="ES21" s="33"/>
      <c r="ET21" s="34"/>
      <c r="EU21" s="35" t="str">
        <f t="shared" si="58"/>
        <v/>
      </c>
      <c r="EV21" s="36" t="str">
        <f t="shared" si="59"/>
        <v/>
      </c>
      <c r="EW21" s="37"/>
    </row>
    <row r="22" spans="1:153" ht="19.5" customHeight="1">
      <c r="A22" s="32">
        <f>IF(DAY(DATE(対象年度,5,19))&lt;&gt;19,"",19)</f>
        <v>19</v>
      </c>
      <c r="B22" s="32" t="str">
        <f>IF(DAY(DATE(対象年度,5,19))&lt;&gt;19,"",CHOOSE(WEEKDAY(DATE(対象年度,5,19),2),"月","火","水","木","金","土","日"))</f>
        <v>火</v>
      </c>
      <c r="C22" s="32" t="str">
        <f>IF(DAY(DATE(対象年度,5,19))&lt;&gt;19,"",IF(ISNUMBER(MATCH(DATE(対象年度,5,19),祝日リスト,0)),"祝",""))</f>
        <v/>
      </c>
      <c r="D22" s="33"/>
      <c r="E22" s="34"/>
      <c r="F22" s="35" t="str">
        <f t="shared" si="0"/>
        <v/>
      </c>
      <c r="G22" s="36" t="str">
        <f t="shared" si="1"/>
        <v/>
      </c>
      <c r="H22" s="37"/>
      <c r="I22" s="33"/>
      <c r="J22" s="34"/>
      <c r="K22" s="35" t="str">
        <f t="shared" si="2"/>
        <v/>
      </c>
      <c r="L22" s="36" t="str">
        <f t="shared" si="3"/>
        <v/>
      </c>
      <c r="M22" s="37"/>
      <c r="N22" s="33"/>
      <c r="O22" s="34"/>
      <c r="P22" s="35" t="str">
        <f t="shared" si="4"/>
        <v/>
      </c>
      <c r="Q22" s="36" t="str">
        <f t="shared" si="5"/>
        <v/>
      </c>
      <c r="R22" s="37"/>
      <c r="S22" s="33"/>
      <c r="T22" s="34"/>
      <c r="U22" s="35" t="str">
        <f t="shared" si="6"/>
        <v/>
      </c>
      <c r="V22" s="36" t="str">
        <f t="shared" si="7"/>
        <v/>
      </c>
      <c r="W22" s="37"/>
      <c r="X22" s="33"/>
      <c r="Y22" s="34"/>
      <c r="Z22" s="35" t="str">
        <f t="shared" si="8"/>
        <v/>
      </c>
      <c r="AA22" s="36" t="str">
        <f t="shared" si="9"/>
        <v/>
      </c>
      <c r="AB22" s="37"/>
      <c r="AC22" s="33"/>
      <c r="AD22" s="34"/>
      <c r="AE22" s="35" t="str">
        <f t="shared" si="10"/>
        <v/>
      </c>
      <c r="AF22" s="36" t="str">
        <f t="shared" si="11"/>
        <v/>
      </c>
      <c r="AG22" s="37"/>
      <c r="AH22" s="33"/>
      <c r="AI22" s="34"/>
      <c r="AJ22" s="35" t="str">
        <f t="shared" si="12"/>
        <v/>
      </c>
      <c r="AK22" s="36" t="str">
        <f t="shared" si="13"/>
        <v/>
      </c>
      <c r="AL22" s="37"/>
      <c r="AM22" s="33"/>
      <c r="AN22" s="34"/>
      <c r="AO22" s="35" t="str">
        <f t="shared" si="14"/>
        <v/>
      </c>
      <c r="AP22" s="36" t="str">
        <f t="shared" si="15"/>
        <v/>
      </c>
      <c r="AQ22" s="37"/>
      <c r="AR22" s="33"/>
      <c r="AS22" s="34"/>
      <c r="AT22" s="35" t="str">
        <f t="shared" si="16"/>
        <v/>
      </c>
      <c r="AU22" s="36" t="str">
        <f t="shared" si="17"/>
        <v/>
      </c>
      <c r="AV22" s="37"/>
      <c r="AW22" s="33"/>
      <c r="AX22" s="34"/>
      <c r="AY22" s="35" t="str">
        <f t="shared" si="18"/>
        <v/>
      </c>
      <c r="AZ22" s="36" t="str">
        <f t="shared" si="19"/>
        <v/>
      </c>
      <c r="BA22" s="37"/>
      <c r="BB22" s="33"/>
      <c r="BC22" s="34"/>
      <c r="BD22" s="35" t="str">
        <f t="shared" si="20"/>
        <v/>
      </c>
      <c r="BE22" s="36" t="str">
        <f t="shared" si="21"/>
        <v/>
      </c>
      <c r="BF22" s="37"/>
      <c r="BG22" s="33"/>
      <c r="BH22" s="34"/>
      <c r="BI22" s="35" t="str">
        <f t="shared" si="22"/>
        <v/>
      </c>
      <c r="BJ22" s="36" t="str">
        <f t="shared" si="23"/>
        <v/>
      </c>
      <c r="BK22" s="37"/>
      <c r="BL22" s="33"/>
      <c r="BM22" s="34"/>
      <c r="BN22" s="35" t="str">
        <f t="shared" si="24"/>
        <v/>
      </c>
      <c r="BO22" s="36" t="str">
        <f t="shared" si="25"/>
        <v/>
      </c>
      <c r="BP22" s="37"/>
      <c r="BQ22" s="33"/>
      <c r="BR22" s="34"/>
      <c r="BS22" s="35" t="str">
        <f t="shared" si="26"/>
        <v/>
      </c>
      <c r="BT22" s="36" t="str">
        <f t="shared" si="27"/>
        <v/>
      </c>
      <c r="BU22" s="37"/>
      <c r="BV22" s="33"/>
      <c r="BW22" s="34"/>
      <c r="BX22" s="35" t="str">
        <f t="shared" si="28"/>
        <v/>
      </c>
      <c r="BY22" s="36" t="str">
        <f t="shared" si="29"/>
        <v/>
      </c>
      <c r="BZ22" s="37"/>
      <c r="CA22" s="33"/>
      <c r="CB22" s="34"/>
      <c r="CC22" s="35" t="str">
        <f t="shared" si="30"/>
        <v/>
      </c>
      <c r="CD22" s="36" t="str">
        <f t="shared" si="31"/>
        <v/>
      </c>
      <c r="CE22" s="37"/>
      <c r="CF22" s="33"/>
      <c r="CG22" s="34"/>
      <c r="CH22" s="35" t="str">
        <f t="shared" si="32"/>
        <v/>
      </c>
      <c r="CI22" s="36" t="str">
        <f t="shared" si="33"/>
        <v/>
      </c>
      <c r="CJ22" s="37"/>
      <c r="CK22" s="33"/>
      <c r="CL22" s="34"/>
      <c r="CM22" s="35" t="str">
        <f t="shared" si="34"/>
        <v/>
      </c>
      <c r="CN22" s="36" t="str">
        <f t="shared" si="35"/>
        <v/>
      </c>
      <c r="CO22" s="37"/>
      <c r="CP22" s="33"/>
      <c r="CQ22" s="34"/>
      <c r="CR22" s="35" t="str">
        <f t="shared" si="36"/>
        <v/>
      </c>
      <c r="CS22" s="36" t="str">
        <f t="shared" si="37"/>
        <v/>
      </c>
      <c r="CT22" s="37"/>
      <c r="CU22" s="33"/>
      <c r="CV22" s="34"/>
      <c r="CW22" s="35" t="str">
        <f t="shared" si="38"/>
        <v/>
      </c>
      <c r="CX22" s="36" t="str">
        <f t="shared" si="39"/>
        <v/>
      </c>
      <c r="CY22" s="37"/>
      <c r="CZ22" s="33"/>
      <c r="DA22" s="34"/>
      <c r="DB22" s="35" t="str">
        <f t="shared" si="40"/>
        <v/>
      </c>
      <c r="DC22" s="36" t="str">
        <f t="shared" si="41"/>
        <v/>
      </c>
      <c r="DD22" s="37"/>
      <c r="DE22" s="33"/>
      <c r="DF22" s="34"/>
      <c r="DG22" s="35" t="str">
        <f t="shared" si="42"/>
        <v/>
      </c>
      <c r="DH22" s="36" t="str">
        <f t="shared" si="43"/>
        <v/>
      </c>
      <c r="DI22" s="37"/>
      <c r="DJ22" s="33"/>
      <c r="DK22" s="34"/>
      <c r="DL22" s="35" t="str">
        <f t="shared" si="44"/>
        <v/>
      </c>
      <c r="DM22" s="36" t="str">
        <f t="shared" si="45"/>
        <v/>
      </c>
      <c r="DN22" s="37"/>
      <c r="DO22" s="33"/>
      <c r="DP22" s="34"/>
      <c r="DQ22" s="35" t="str">
        <f t="shared" si="46"/>
        <v/>
      </c>
      <c r="DR22" s="36" t="str">
        <f t="shared" si="47"/>
        <v/>
      </c>
      <c r="DS22" s="37"/>
      <c r="DT22" s="33"/>
      <c r="DU22" s="34"/>
      <c r="DV22" s="35" t="str">
        <f t="shared" si="48"/>
        <v/>
      </c>
      <c r="DW22" s="36" t="str">
        <f t="shared" si="49"/>
        <v/>
      </c>
      <c r="DX22" s="37"/>
      <c r="DY22" s="33"/>
      <c r="DZ22" s="34"/>
      <c r="EA22" s="35" t="str">
        <f t="shared" si="50"/>
        <v/>
      </c>
      <c r="EB22" s="36" t="str">
        <f t="shared" si="51"/>
        <v/>
      </c>
      <c r="EC22" s="37"/>
      <c r="ED22" s="33"/>
      <c r="EE22" s="34"/>
      <c r="EF22" s="35" t="str">
        <f t="shared" si="52"/>
        <v/>
      </c>
      <c r="EG22" s="36" t="str">
        <f t="shared" si="53"/>
        <v/>
      </c>
      <c r="EH22" s="37"/>
      <c r="EI22" s="33"/>
      <c r="EJ22" s="34"/>
      <c r="EK22" s="35" t="str">
        <f t="shared" si="54"/>
        <v/>
      </c>
      <c r="EL22" s="36" t="str">
        <f t="shared" si="55"/>
        <v/>
      </c>
      <c r="EM22" s="37"/>
      <c r="EN22" s="33"/>
      <c r="EO22" s="34"/>
      <c r="EP22" s="35" t="str">
        <f t="shared" si="56"/>
        <v/>
      </c>
      <c r="EQ22" s="36" t="str">
        <f t="shared" si="57"/>
        <v/>
      </c>
      <c r="ER22" s="37"/>
      <c r="ES22" s="33"/>
      <c r="ET22" s="34"/>
      <c r="EU22" s="35" t="str">
        <f t="shared" si="58"/>
        <v/>
      </c>
      <c r="EV22" s="36" t="str">
        <f t="shared" si="59"/>
        <v/>
      </c>
      <c r="EW22" s="37"/>
    </row>
    <row r="23" spans="1:153" ht="19.5" customHeight="1">
      <c r="A23" s="32">
        <f>IF(DAY(DATE(対象年度,5,20))&lt;&gt;20,"",20)</f>
        <v>20</v>
      </c>
      <c r="B23" s="32" t="str">
        <f>IF(DAY(DATE(対象年度,5,20))&lt;&gt;20,"",CHOOSE(WEEKDAY(DATE(対象年度,5,20),2),"月","火","水","木","金","土","日"))</f>
        <v>水</v>
      </c>
      <c r="C23" s="32" t="str">
        <f>IF(DAY(DATE(対象年度,5,20))&lt;&gt;20,"",IF(ISNUMBER(MATCH(DATE(対象年度,5,20),祝日リスト,0)),"祝",""))</f>
        <v/>
      </c>
      <c r="D23" s="33"/>
      <c r="E23" s="34"/>
      <c r="F23" s="35" t="str">
        <f t="shared" si="0"/>
        <v/>
      </c>
      <c r="G23" s="36" t="str">
        <f t="shared" si="1"/>
        <v/>
      </c>
      <c r="H23" s="37"/>
      <c r="I23" s="33"/>
      <c r="J23" s="34"/>
      <c r="K23" s="35" t="str">
        <f t="shared" si="2"/>
        <v/>
      </c>
      <c r="L23" s="36" t="str">
        <f t="shared" si="3"/>
        <v/>
      </c>
      <c r="M23" s="37"/>
      <c r="N23" s="33"/>
      <c r="O23" s="34"/>
      <c r="P23" s="35" t="str">
        <f t="shared" si="4"/>
        <v/>
      </c>
      <c r="Q23" s="36" t="str">
        <f t="shared" si="5"/>
        <v/>
      </c>
      <c r="R23" s="37"/>
      <c r="S23" s="33"/>
      <c r="T23" s="34"/>
      <c r="U23" s="35" t="str">
        <f t="shared" si="6"/>
        <v/>
      </c>
      <c r="V23" s="36" t="str">
        <f t="shared" si="7"/>
        <v/>
      </c>
      <c r="W23" s="37"/>
      <c r="X23" s="33"/>
      <c r="Y23" s="34"/>
      <c r="Z23" s="35" t="str">
        <f t="shared" si="8"/>
        <v/>
      </c>
      <c r="AA23" s="36" t="str">
        <f t="shared" si="9"/>
        <v/>
      </c>
      <c r="AB23" s="37"/>
      <c r="AC23" s="33"/>
      <c r="AD23" s="34"/>
      <c r="AE23" s="35" t="str">
        <f t="shared" si="10"/>
        <v/>
      </c>
      <c r="AF23" s="36" t="str">
        <f t="shared" si="11"/>
        <v/>
      </c>
      <c r="AG23" s="37"/>
      <c r="AH23" s="33"/>
      <c r="AI23" s="34"/>
      <c r="AJ23" s="35" t="str">
        <f t="shared" si="12"/>
        <v/>
      </c>
      <c r="AK23" s="36" t="str">
        <f t="shared" si="13"/>
        <v/>
      </c>
      <c r="AL23" s="37"/>
      <c r="AM23" s="33"/>
      <c r="AN23" s="34"/>
      <c r="AO23" s="35" t="str">
        <f t="shared" si="14"/>
        <v/>
      </c>
      <c r="AP23" s="36" t="str">
        <f t="shared" si="15"/>
        <v/>
      </c>
      <c r="AQ23" s="37"/>
      <c r="AR23" s="33"/>
      <c r="AS23" s="34"/>
      <c r="AT23" s="35" t="str">
        <f t="shared" si="16"/>
        <v/>
      </c>
      <c r="AU23" s="36" t="str">
        <f t="shared" si="17"/>
        <v/>
      </c>
      <c r="AV23" s="37"/>
      <c r="AW23" s="33"/>
      <c r="AX23" s="34"/>
      <c r="AY23" s="35" t="str">
        <f t="shared" si="18"/>
        <v/>
      </c>
      <c r="AZ23" s="36" t="str">
        <f t="shared" si="19"/>
        <v/>
      </c>
      <c r="BA23" s="37"/>
      <c r="BB23" s="33"/>
      <c r="BC23" s="34"/>
      <c r="BD23" s="35" t="str">
        <f t="shared" si="20"/>
        <v/>
      </c>
      <c r="BE23" s="36" t="str">
        <f t="shared" si="21"/>
        <v/>
      </c>
      <c r="BF23" s="37"/>
      <c r="BG23" s="33"/>
      <c r="BH23" s="34"/>
      <c r="BI23" s="35" t="str">
        <f t="shared" si="22"/>
        <v/>
      </c>
      <c r="BJ23" s="36" t="str">
        <f t="shared" si="23"/>
        <v/>
      </c>
      <c r="BK23" s="37"/>
      <c r="BL23" s="33"/>
      <c r="BM23" s="34"/>
      <c r="BN23" s="35" t="str">
        <f t="shared" si="24"/>
        <v/>
      </c>
      <c r="BO23" s="36" t="str">
        <f t="shared" si="25"/>
        <v/>
      </c>
      <c r="BP23" s="37"/>
      <c r="BQ23" s="33"/>
      <c r="BR23" s="34"/>
      <c r="BS23" s="35" t="str">
        <f t="shared" si="26"/>
        <v/>
      </c>
      <c r="BT23" s="36" t="str">
        <f t="shared" si="27"/>
        <v/>
      </c>
      <c r="BU23" s="37"/>
      <c r="BV23" s="33"/>
      <c r="BW23" s="34"/>
      <c r="BX23" s="35" t="str">
        <f t="shared" si="28"/>
        <v/>
      </c>
      <c r="BY23" s="36" t="str">
        <f t="shared" si="29"/>
        <v/>
      </c>
      <c r="BZ23" s="37"/>
      <c r="CA23" s="33"/>
      <c r="CB23" s="34"/>
      <c r="CC23" s="35" t="str">
        <f t="shared" si="30"/>
        <v/>
      </c>
      <c r="CD23" s="36" t="str">
        <f t="shared" si="31"/>
        <v/>
      </c>
      <c r="CE23" s="37"/>
      <c r="CF23" s="33"/>
      <c r="CG23" s="34"/>
      <c r="CH23" s="35" t="str">
        <f t="shared" si="32"/>
        <v/>
      </c>
      <c r="CI23" s="36" t="str">
        <f t="shared" si="33"/>
        <v/>
      </c>
      <c r="CJ23" s="37"/>
      <c r="CK23" s="33"/>
      <c r="CL23" s="34"/>
      <c r="CM23" s="35" t="str">
        <f t="shared" si="34"/>
        <v/>
      </c>
      <c r="CN23" s="36" t="str">
        <f t="shared" si="35"/>
        <v/>
      </c>
      <c r="CO23" s="37"/>
      <c r="CP23" s="33"/>
      <c r="CQ23" s="34"/>
      <c r="CR23" s="35" t="str">
        <f t="shared" si="36"/>
        <v/>
      </c>
      <c r="CS23" s="36" t="str">
        <f t="shared" si="37"/>
        <v/>
      </c>
      <c r="CT23" s="37"/>
      <c r="CU23" s="33"/>
      <c r="CV23" s="34"/>
      <c r="CW23" s="35" t="str">
        <f t="shared" si="38"/>
        <v/>
      </c>
      <c r="CX23" s="36" t="str">
        <f t="shared" si="39"/>
        <v/>
      </c>
      <c r="CY23" s="37"/>
      <c r="CZ23" s="33"/>
      <c r="DA23" s="34"/>
      <c r="DB23" s="35" t="str">
        <f t="shared" si="40"/>
        <v/>
      </c>
      <c r="DC23" s="36" t="str">
        <f t="shared" si="41"/>
        <v/>
      </c>
      <c r="DD23" s="37"/>
      <c r="DE23" s="33"/>
      <c r="DF23" s="34"/>
      <c r="DG23" s="35" t="str">
        <f t="shared" si="42"/>
        <v/>
      </c>
      <c r="DH23" s="36" t="str">
        <f t="shared" si="43"/>
        <v/>
      </c>
      <c r="DI23" s="37"/>
      <c r="DJ23" s="33"/>
      <c r="DK23" s="34"/>
      <c r="DL23" s="35" t="str">
        <f t="shared" si="44"/>
        <v/>
      </c>
      <c r="DM23" s="36" t="str">
        <f t="shared" si="45"/>
        <v/>
      </c>
      <c r="DN23" s="37"/>
      <c r="DO23" s="33"/>
      <c r="DP23" s="34"/>
      <c r="DQ23" s="35" t="str">
        <f t="shared" si="46"/>
        <v/>
      </c>
      <c r="DR23" s="36" t="str">
        <f t="shared" si="47"/>
        <v/>
      </c>
      <c r="DS23" s="37"/>
      <c r="DT23" s="33"/>
      <c r="DU23" s="34"/>
      <c r="DV23" s="35" t="str">
        <f t="shared" si="48"/>
        <v/>
      </c>
      <c r="DW23" s="36" t="str">
        <f t="shared" si="49"/>
        <v/>
      </c>
      <c r="DX23" s="37"/>
      <c r="DY23" s="33"/>
      <c r="DZ23" s="34"/>
      <c r="EA23" s="35" t="str">
        <f t="shared" si="50"/>
        <v/>
      </c>
      <c r="EB23" s="36" t="str">
        <f t="shared" si="51"/>
        <v/>
      </c>
      <c r="EC23" s="37"/>
      <c r="ED23" s="33"/>
      <c r="EE23" s="34"/>
      <c r="EF23" s="35" t="str">
        <f t="shared" si="52"/>
        <v/>
      </c>
      <c r="EG23" s="36" t="str">
        <f t="shared" si="53"/>
        <v/>
      </c>
      <c r="EH23" s="37"/>
      <c r="EI23" s="33"/>
      <c r="EJ23" s="34"/>
      <c r="EK23" s="35" t="str">
        <f t="shared" si="54"/>
        <v/>
      </c>
      <c r="EL23" s="36" t="str">
        <f t="shared" si="55"/>
        <v/>
      </c>
      <c r="EM23" s="37"/>
      <c r="EN23" s="33"/>
      <c r="EO23" s="34"/>
      <c r="EP23" s="35" t="str">
        <f t="shared" si="56"/>
        <v/>
      </c>
      <c r="EQ23" s="36" t="str">
        <f t="shared" si="57"/>
        <v/>
      </c>
      <c r="ER23" s="37"/>
      <c r="ES23" s="33"/>
      <c r="ET23" s="34"/>
      <c r="EU23" s="35" t="str">
        <f t="shared" si="58"/>
        <v/>
      </c>
      <c r="EV23" s="36" t="str">
        <f t="shared" si="59"/>
        <v/>
      </c>
      <c r="EW23" s="37"/>
    </row>
    <row r="24" spans="1:153" ht="19.5" customHeight="1">
      <c r="A24" s="32">
        <f>IF(DAY(DATE(対象年度,5,21))&lt;&gt;21,"",21)</f>
        <v>21</v>
      </c>
      <c r="B24" s="32" t="str">
        <f>IF(DAY(DATE(対象年度,5,21))&lt;&gt;21,"",CHOOSE(WEEKDAY(DATE(対象年度,5,21),2),"月","火","水","木","金","土","日"))</f>
        <v>木</v>
      </c>
      <c r="C24" s="32" t="str">
        <f>IF(DAY(DATE(対象年度,5,21))&lt;&gt;21,"",IF(ISNUMBER(MATCH(DATE(対象年度,5,21),祝日リスト,0)),"祝",""))</f>
        <v/>
      </c>
      <c r="D24" s="33"/>
      <c r="E24" s="34"/>
      <c r="F24" s="35" t="str">
        <f t="shared" si="0"/>
        <v/>
      </c>
      <c r="G24" s="36" t="str">
        <f t="shared" si="1"/>
        <v/>
      </c>
      <c r="H24" s="37"/>
      <c r="I24" s="33"/>
      <c r="J24" s="34"/>
      <c r="K24" s="35" t="str">
        <f t="shared" si="2"/>
        <v/>
      </c>
      <c r="L24" s="36" t="str">
        <f t="shared" si="3"/>
        <v/>
      </c>
      <c r="M24" s="37"/>
      <c r="N24" s="33"/>
      <c r="O24" s="34"/>
      <c r="P24" s="35" t="str">
        <f t="shared" si="4"/>
        <v/>
      </c>
      <c r="Q24" s="36" t="str">
        <f t="shared" si="5"/>
        <v/>
      </c>
      <c r="R24" s="37"/>
      <c r="S24" s="33"/>
      <c r="T24" s="34"/>
      <c r="U24" s="35" t="str">
        <f t="shared" si="6"/>
        <v/>
      </c>
      <c r="V24" s="36" t="str">
        <f t="shared" si="7"/>
        <v/>
      </c>
      <c r="W24" s="37"/>
      <c r="X24" s="33"/>
      <c r="Y24" s="34"/>
      <c r="Z24" s="35" t="str">
        <f t="shared" si="8"/>
        <v/>
      </c>
      <c r="AA24" s="36" t="str">
        <f t="shared" si="9"/>
        <v/>
      </c>
      <c r="AB24" s="37"/>
      <c r="AC24" s="33"/>
      <c r="AD24" s="34"/>
      <c r="AE24" s="35" t="str">
        <f t="shared" si="10"/>
        <v/>
      </c>
      <c r="AF24" s="36" t="str">
        <f t="shared" si="11"/>
        <v/>
      </c>
      <c r="AG24" s="37"/>
      <c r="AH24" s="33"/>
      <c r="AI24" s="34"/>
      <c r="AJ24" s="35" t="str">
        <f t="shared" si="12"/>
        <v/>
      </c>
      <c r="AK24" s="36" t="str">
        <f t="shared" si="13"/>
        <v/>
      </c>
      <c r="AL24" s="37"/>
      <c r="AM24" s="33"/>
      <c r="AN24" s="34"/>
      <c r="AO24" s="35" t="str">
        <f t="shared" si="14"/>
        <v/>
      </c>
      <c r="AP24" s="36" t="str">
        <f t="shared" si="15"/>
        <v/>
      </c>
      <c r="AQ24" s="37"/>
      <c r="AR24" s="33"/>
      <c r="AS24" s="34"/>
      <c r="AT24" s="35" t="str">
        <f t="shared" si="16"/>
        <v/>
      </c>
      <c r="AU24" s="36" t="str">
        <f t="shared" si="17"/>
        <v/>
      </c>
      <c r="AV24" s="37"/>
      <c r="AW24" s="33"/>
      <c r="AX24" s="34"/>
      <c r="AY24" s="35" t="str">
        <f t="shared" si="18"/>
        <v/>
      </c>
      <c r="AZ24" s="36" t="str">
        <f t="shared" si="19"/>
        <v/>
      </c>
      <c r="BA24" s="37"/>
      <c r="BB24" s="33"/>
      <c r="BC24" s="34"/>
      <c r="BD24" s="35" t="str">
        <f t="shared" si="20"/>
        <v/>
      </c>
      <c r="BE24" s="36" t="str">
        <f t="shared" si="21"/>
        <v/>
      </c>
      <c r="BF24" s="37"/>
      <c r="BG24" s="33"/>
      <c r="BH24" s="34"/>
      <c r="BI24" s="35" t="str">
        <f t="shared" si="22"/>
        <v/>
      </c>
      <c r="BJ24" s="36" t="str">
        <f t="shared" si="23"/>
        <v/>
      </c>
      <c r="BK24" s="37"/>
      <c r="BL24" s="33"/>
      <c r="BM24" s="34"/>
      <c r="BN24" s="35" t="str">
        <f t="shared" si="24"/>
        <v/>
      </c>
      <c r="BO24" s="36" t="str">
        <f t="shared" si="25"/>
        <v/>
      </c>
      <c r="BP24" s="37"/>
      <c r="BQ24" s="33"/>
      <c r="BR24" s="34"/>
      <c r="BS24" s="35" t="str">
        <f t="shared" si="26"/>
        <v/>
      </c>
      <c r="BT24" s="36" t="str">
        <f t="shared" si="27"/>
        <v/>
      </c>
      <c r="BU24" s="37"/>
      <c r="BV24" s="33"/>
      <c r="BW24" s="34"/>
      <c r="BX24" s="35" t="str">
        <f t="shared" si="28"/>
        <v/>
      </c>
      <c r="BY24" s="36" t="str">
        <f t="shared" si="29"/>
        <v/>
      </c>
      <c r="BZ24" s="37"/>
      <c r="CA24" s="33"/>
      <c r="CB24" s="34"/>
      <c r="CC24" s="35" t="str">
        <f t="shared" si="30"/>
        <v/>
      </c>
      <c r="CD24" s="36" t="str">
        <f t="shared" si="31"/>
        <v/>
      </c>
      <c r="CE24" s="37"/>
      <c r="CF24" s="33"/>
      <c r="CG24" s="34"/>
      <c r="CH24" s="35" t="str">
        <f t="shared" si="32"/>
        <v/>
      </c>
      <c r="CI24" s="36" t="str">
        <f t="shared" si="33"/>
        <v/>
      </c>
      <c r="CJ24" s="37"/>
      <c r="CK24" s="33"/>
      <c r="CL24" s="34"/>
      <c r="CM24" s="35" t="str">
        <f t="shared" si="34"/>
        <v/>
      </c>
      <c r="CN24" s="36" t="str">
        <f t="shared" si="35"/>
        <v/>
      </c>
      <c r="CO24" s="37"/>
      <c r="CP24" s="33"/>
      <c r="CQ24" s="34"/>
      <c r="CR24" s="35" t="str">
        <f t="shared" si="36"/>
        <v/>
      </c>
      <c r="CS24" s="36" t="str">
        <f t="shared" si="37"/>
        <v/>
      </c>
      <c r="CT24" s="37"/>
      <c r="CU24" s="33"/>
      <c r="CV24" s="34"/>
      <c r="CW24" s="35" t="str">
        <f t="shared" si="38"/>
        <v/>
      </c>
      <c r="CX24" s="36" t="str">
        <f t="shared" si="39"/>
        <v/>
      </c>
      <c r="CY24" s="37"/>
      <c r="CZ24" s="33"/>
      <c r="DA24" s="34"/>
      <c r="DB24" s="35" t="str">
        <f t="shared" si="40"/>
        <v/>
      </c>
      <c r="DC24" s="36" t="str">
        <f t="shared" si="41"/>
        <v/>
      </c>
      <c r="DD24" s="37"/>
      <c r="DE24" s="33"/>
      <c r="DF24" s="34"/>
      <c r="DG24" s="35" t="str">
        <f t="shared" si="42"/>
        <v/>
      </c>
      <c r="DH24" s="36" t="str">
        <f t="shared" si="43"/>
        <v/>
      </c>
      <c r="DI24" s="37"/>
      <c r="DJ24" s="33"/>
      <c r="DK24" s="34"/>
      <c r="DL24" s="35" t="str">
        <f t="shared" si="44"/>
        <v/>
      </c>
      <c r="DM24" s="36" t="str">
        <f t="shared" si="45"/>
        <v/>
      </c>
      <c r="DN24" s="37"/>
      <c r="DO24" s="33"/>
      <c r="DP24" s="34"/>
      <c r="DQ24" s="35" t="str">
        <f t="shared" si="46"/>
        <v/>
      </c>
      <c r="DR24" s="36" t="str">
        <f t="shared" si="47"/>
        <v/>
      </c>
      <c r="DS24" s="37"/>
      <c r="DT24" s="33"/>
      <c r="DU24" s="34"/>
      <c r="DV24" s="35" t="str">
        <f t="shared" si="48"/>
        <v/>
      </c>
      <c r="DW24" s="36" t="str">
        <f t="shared" si="49"/>
        <v/>
      </c>
      <c r="DX24" s="37"/>
      <c r="DY24" s="33"/>
      <c r="DZ24" s="34"/>
      <c r="EA24" s="35" t="str">
        <f t="shared" si="50"/>
        <v/>
      </c>
      <c r="EB24" s="36" t="str">
        <f t="shared" si="51"/>
        <v/>
      </c>
      <c r="EC24" s="37"/>
      <c r="ED24" s="33"/>
      <c r="EE24" s="34"/>
      <c r="EF24" s="35" t="str">
        <f t="shared" si="52"/>
        <v/>
      </c>
      <c r="EG24" s="36" t="str">
        <f t="shared" si="53"/>
        <v/>
      </c>
      <c r="EH24" s="37"/>
      <c r="EI24" s="33"/>
      <c r="EJ24" s="34"/>
      <c r="EK24" s="35" t="str">
        <f t="shared" si="54"/>
        <v/>
      </c>
      <c r="EL24" s="36" t="str">
        <f t="shared" si="55"/>
        <v/>
      </c>
      <c r="EM24" s="37"/>
      <c r="EN24" s="33"/>
      <c r="EO24" s="34"/>
      <c r="EP24" s="35" t="str">
        <f t="shared" si="56"/>
        <v/>
      </c>
      <c r="EQ24" s="36" t="str">
        <f t="shared" si="57"/>
        <v/>
      </c>
      <c r="ER24" s="37"/>
      <c r="ES24" s="33"/>
      <c r="ET24" s="34"/>
      <c r="EU24" s="35" t="str">
        <f t="shared" si="58"/>
        <v/>
      </c>
      <c r="EV24" s="36" t="str">
        <f t="shared" si="59"/>
        <v/>
      </c>
      <c r="EW24" s="37"/>
    </row>
    <row r="25" spans="1:153" ht="19.5" customHeight="1">
      <c r="A25" s="32">
        <f>IF(DAY(DATE(対象年度,5,22))&lt;&gt;22,"",22)</f>
        <v>22</v>
      </c>
      <c r="B25" s="32" t="str">
        <f>IF(DAY(DATE(対象年度,5,22))&lt;&gt;22,"",CHOOSE(WEEKDAY(DATE(対象年度,5,22),2),"月","火","水","木","金","土","日"))</f>
        <v>金</v>
      </c>
      <c r="C25" s="32" t="str">
        <f>IF(DAY(DATE(対象年度,5,22))&lt;&gt;22,"",IF(ISNUMBER(MATCH(DATE(対象年度,5,22),祝日リスト,0)),"祝",""))</f>
        <v/>
      </c>
      <c r="D25" s="33"/>
      <c r="E25" s="34"/>
      <c r="F25" s="35" t="str">
        <f t="shared" si="0"/>
        <v/>
      </c>
      <c r="G25" s="36" t="str">
        <f t="shared" si="1"/>
        <v/>
      </c>
      <c r="H25" s="37"/>
      <c r="I25" s="33"/>
      <c r="J25" s="34"/>
      <c r="K25" s="35" t="str">
        <f t="shared" si="2"/>
        <v/>
      </c>
      <c r="L25" s="36" t="str">
        <f t="shared" si="3"/>
        <v/>
      </c>
      <c r="M25" s="37"/>
      <c r="N25" s="33"/>
      <c r="O25" s="34"/>
      <c r="P25" s="35" t="str">
        <f t="shared" si="4"/>
        <v/>
      </c>
      <c r="Q25" s="36" t="str">
        <f t="shared" si="5"/>
        <v/>
      </c>
      <c r="R25" s="37"/>
      <c r="S25" s="33"/>
      <c r="T25" s="34"/>
      <c r="U25" s="35" t="str">
        <f t="shared" si="6"/>
        <v/>
      </c>
      <c r="V25" s="36" t="str">
        <f t="shared" si="7"/>
        <v/>
      </c>
      <c r="W25" s="37"/>
      <c r="X25" s="33"/>
      <c r="Y25" s="34"/>
      <c r="Z25" s="35" t="str">
        <f t="shared" si="8"/>
        <v/>
      </c>
      <c r="AA25" s="36" t="str">
        <f t="shared" si="9"/>
        <v/>
      </c>
      <c r="AB25" s="37"/>
      <c r="AC25" s="33"/>
      <c r="AD25" s="34"/>
      <c r="AE25" s="35" t="str">
        <f t="shared" si="10"/>
        <v/>
      </c>
      <c r="AF25" s="36" t="str">
        <f t="shared" si="11"/>
        <v/>
      </c>
      <c r="AG25" s="37"/>
      <c r="AH25" s="33"/>
      <c r="AI25" s="34"/>
      <c r="AJ25" s="35" t="str">
        <f t="shared" si="12"/>
        <v/>
      </c>
      <c r="AK25" s="36" t="str">
        <f t="shared" si="13"/>
        <v/>
      </c>
      <c r="AL25" s="37"/>
      <c r="AM25" s="33"/>
      <c r="AN25" s="34"/>
      <c r="AO25" s="35" t="str">
        <f t="shared" si="14"/>
        <v/>
      </c>
      <c r="AP25" s="36" t="str">
        <f t="shared" si="15"/>
        <v/>
      </c>
      <c r="AQ25" s="37"/>
      <c r="AR25" s="33"/>
      <c r="AS25" s="34"/>
      <c r="AT25" s="35" t="str">
        <f t="shared" si="16"/>
        <v/>
      </c>
      <c r="AU25" s="36" t="str">
        <f t="shared" si="17"/>
        <v/>
      </c>
      <c r="AV25" s="37"/>
      <c r="AW25" s="33"/>
      <c r="AX25" s="34"/>
      <c r="AY25" s="35" t="str">
        <f t="shared" si="18"/>
        <v/>
      </c>
      <c r="AZ25" s="36" t="str">
        <f t="shared" si="19"/>
        <v/>
      </c>
      <c r="BA25" s="37"/>
      <c r="BB25" s="33"/>
      <c r="BC25" s="34"/>
      <c r="BD25" s="35" t="str">
        <f t="shared" si="20"/>
        <v/>
      </c>
      <c r="BE25" s="36" t="str">
        <f t="shared" si="21"/>
        <v/>
      </c>
      <c r="BF25" s="37"/>
      <c r="BG25" s="33"/>
      <c r="BH25" s="34"/>
      <c r="BI25" s="35" t="str">
        <f t="shared" si="22"/>
        <v/>
      </c>
      <c r="BJ25" s="36" t="str">
        <f t="shared" si="23"/>
        <v/>
      </c>
      <c r="BK25" s="37"/>
      <c r="BL25" s="33"/>
      <c r="BM25" s="34"/>
      <c r="BN25" s="35" t="str">
        <f t="shared" si="24"/>
        <v/>
      </c>
      <c r="BO25" s="36" t="str">
        <f t="shared" si="25"/>
        <v/>
      </c>
      <c r="BP25" s="37"/>
      <c r="BQ25" s="33"/>
      <c r="BR25" s="34"/>
      <c r="BS25" s="35" t="str">
        <f t="shared" si="26"/>
        <v/>
      </c>
      <c r="BT25" s="36" t="str">
        <f t="shared" si="27"/>
        <v/>
      </c>
      <c r="BU25" s="37"/>
      <c r="BV25" s="33"/>
      <c r="BW25" s="34"/>
      <c r="BX25" s="35" t="str">
        <f t="shared" si="28"/>
        <v/>
      </c>
      <c r="BY25" s="36" t="str">
        <f t="shared" si="29"/>
        <v/>
      </c>
      <c r="BZ25" s="37"/>
      <c r="CA25" s="33"/>
      <c r="CB25" s="34"/>
      <c r="CC25" s="35" t="str">
        <f t="shared" si="30"/>
        <v/>
      </c>
      <c r="CD25" s="36" t="str">
        <f t="shared" si="31"/>
        <v/>
      </c>
      <c r="CE25" s="37"/>
      <c r="CF25" s="33"/>
      <c r="CG25" s="34"/>
      <c r="CH25" s="35" t="str">
        <f t="shared" si="32"/>
        <v/>
      </c>
      <c r="CI25" s="36" t="str">
        <f t="shared" si="33"/>
        <v/>
      </c>
      <c r="CJ25" s="37"/>
      <c r="CK25" s="33"/>
      <c r="CL25" s="34"/>
      <c r="CM25" s="35" t="str">
        <f t="shared" si="34"/>
        <v/>
      </c>
      <c r="CN25" s="36" t="str">
        <f t="shared" si="35"/>
        <v/>
      </c>
      <c r="CO25" s="37"/>
      <c r="CP25" s="33"/>
      <c r="CQ25" s="34"/>
      <c r="CR25" s="35" t="str">
        <f t="shared" si="36"/>
        <v/>
      </c>
      <c r="CS25" s="36" t="str">
        <f t="shared" si="37"/>
        <v/>
      </c>
      <c r="CT25" s="37"/>
      <c r="CU25" s="33"/>
      <c r="CV25" s="34"/>
      <c r="CW25" s="35" t="str">
        <f t="shared" si="38"/>
        <v/>
      </c>
      <c r="CX25" s="36" t="str">
        <f t="shared" si="39"/>
        <v/>
      </c>
      <c r="CY25" s="37"/>
      <c r="CZ25" s="33"/>
      <c r="DA25" s="34"/>
      <c r="DB25" s="35" t="str">
        <f t="shared" si="40"/>
        <v/>
      </c>
      <c r="DC25" s="36" t="str">
        <f t="shared" si="41"/>
        <v/>
      </c>
      <c r="DD25" s="37"/>
      <c r="DE25" s="33"/>
      <c r="DF25" s="34"/>
      <c r="DG25" s="35" t="str">
        <f t="shared" si="42"/>
        <v/>
      </c>
      <c r="DH25" s="36" t="str">
        <f t="shared" si="43"/>
        <v/>
      </c>
      <c r="DI25" s="37"/>
      <c r="DJ25" s="33"/>
      <c r="DK25" s="34"/>
      <c r="DL25" s="35" t="str">
        <f t="shared" si="44"/>
        <v/>
      </c>
      <c r="DM25" s="36" t="str">
        <f t="shared" si="45"/>
        <v/>
      </c>
      <c r="DN25" s="37"/>
      <c r="DO25" s="33"/>
      <c r="DP25" s="34"/>
      <c r="DQ25" s="35" t="str">
        <f t="shared" si="46"/>
        <v/>
      </c>
      <c r="DR25" s="36" t="str">
        <f t="shared" si="47"/>
        <v/>
      </c>
      <c r="DS25" s="37"/>
      <c r="DT25" s="33"/>
      <c r="DU25" s="34"/>
      <c r="DV25" s="35" t="str">
        <f t="shared" si="48"/>
        <v/>
      </c>
      <c r="DW25" s="36" t="str">
        <f t="shared" si="49"/>
        <v/>
      </c>
      <c r="DX25" s="37"/>
      <c r="DY25" s="33"/>
      <c r="DZ25" s="34"/>
      <c r="EA25" s="35" t="str">
        <f t="shared" si="50"/>
        <v/>
      </c>
      <c r="EB25" s="36" t="str">
        <f t="shared" si="51"/>
        <v/>
      </c>
      <c r="EC25" s="37"/>
      <c r="ED25" s="33"/>
      <c r="EE25" s="34"/>
      <c r="EF25" s="35" t="str">
        <f t="shared" si="52"/>
        <v/>
      </c>
      <c r="EG25" s="36" t="str">
        <f t="shared" si="53"/>
        <v/>
      </c>
      <c r="EH25" s="37"/>
      <c r="EI25" s="33"/>
      <c r="EJ25" s="34"/>
      <c r="EK25" s="35" t="str">
        <f t="shared" si="54"/>
        <v/>
      </c>
      <c r="EL25" s="36" t="str">
        <f t="shared" si="55"/>
        <v/>
      </c>
      <c r="EM25" s="37"/>
      <c r="EN25" s="33"/>
      <c r="EO25" s="34"/>
      <c r="EP25" s="35" t="str">
        <f t="shared" si="56"/>
        <v/>
      </c>
      <c r="EQ25" s="36" t="str">
        <f t="shared" si="57"/>
        <v/>
      </c>
      <c r="ER25" s="37"/>
      <c r="ES25" s="33"/>
      <c r="ET25" s="34"/>
      <c r="EU25" s="35" t="str">
        <f t="shared" si="58"/>
        <v/>
      </c>
      <c r="EV25" s="36" t="str">
        <f t="shared" si="59"/>
        <v/>
      </c>
      <c r="EW25" s="37"/>
    </row>
    <row r="26" spans="1:153" ht="19.5" customHeight="1">
      <c r="A26" s="32">
        <f>IF(DAY(DATE(対象年度,5,23))&lt;&gt;23,"",23)</f>
        <v>23</v>
      </c>
      <c r="B26" s="32" t="str">
        <f>IF(DAY(DATE(対象年度,5,23))&lt;&gt;23,"",CHOOSE(WEEKDAY(DATE(対象年度,5,23),2),"月","火","水","木","金","土","日"))</f>
        <v>土</v>
      </c>
      <c r="C26" s="32" t="str">
        <f>IF(DAY(DATE(対象年度,5,23))&lt;&gt;23,"",IF(ISNUMBER(MATCH(DATE(対象年度,5,23),祝日リスト,0)),"祝",""))</f>
        <v/>
      </c>
      <c r="D26" s="33"/>
      <c r="E26" s="34"/>
      <c r="F26" s="35" t="str">
        <f t="shared" si="0"/>
        <v/>
      </c>
      <c r="G26" s="36" t="str">
        <f t="shared" si="1"/>
        <v/>
      </c>
      <c r="H26" s="37"/>
      <c r="I26" s="33"/>
      <c r="J26" s="34"/>
      <c r="K26" s="35" t="str">
        <f t="shared" si="2"/>
        <v/>
      </c>
      <c r="L26" s="36" t="str">
        <f t="shared" si="3"/>
        <v/>
      </c>
      <c r="M26" s="37"/>
      <c r="N26" s="33"/>
      <c r="O26" s="34"/>
      <c r="P26" s="35" t="str">
        <f t="shared" si="4"/>
        <v/>
      </c>
      <c r="Q26" s="36" t="str">
        <f t="shared" si="5"/>
        <v/>
      </c>
      <c r="R26" s="37"/>
      <c r="S26" s="33"/>
      <c r="T26" s="34"/>
      <c r="U26" s="35" t="str">
        <f t="shared" si="6"/>
        <v/>
      </c>
      <c r="V26" s="36" t="str">
        <f t="shared" si="7"/>
        <v/>
      </c>
      <c r="W26" s="37"/>
      <c r="X26" s="33"/>
      <c r="Y26" s="34"/>
      <c r="Z26" s="35" t="str">
        <f t="shared" si="8"/>
        <v/>
      </c>
      <c r="AA26" s="36" t="str">
        <f t="shared" si="9"/>
        <v/>
      </c>
      <c r="AB26" s="37"/>
      <c r="AC26" s="33"/>
      <c r="AD26" s="34"/>
      <c r="AE26" s="35" t="str">
        <f t="shared" si="10"/>
        <v/>
      </c>
      <c r="AF26" s="36" t="str">
        <f t="shared" si="11"/>
        <v/>
      </c>
      <c r="AG26" s="37"/>
      <c r="AH26" s="33"/>
      <c r="AI26" s="34"/>
      <c r="AJ26" s="35" t="str">
        <f t="shared" si="12"/>
        <v/>
      </c>
      <c r="AK26" s="36" t="str">
        <f t="shared" si="13"/>
        <v/>
      </c>
      <c r="AL26" s="37"/>
      <c r="AM26" s="33"/>
      <c r="AN26" s="34"/>
      <c r="AO26" s="35" t="str">
        <f t="shared" si="14"/>
        <v/>
      </c>
      <c r="AP26" s="36" t="str">
        <f t="shared" si="15"/>
        <v/>
      </c>
      <c r="AQ26" s="37"/>
      <c r="AR26" s="33"/>
      <c r="AS26" s="34"/>
      <c r="AT26" s="35" t="str">
        <f t="shared" si="16"/>
        <v/>
      </c>
      <c r="AU26" s="36" t="str">
        <f t="shared" si="17"/>
        <v/>
      </c>
      <c r="AV26" s="37"/>
      <c r="AW26" s="33"/>
      <c r="AX26" s="34"/>
      <c r="AY26" s="35" t="str">
        <f t="shared" si="18"/>
        <v/>
      </c>
      <c r="AZ26" s="36" t="str">
        <f t="shared" si="19"/>
        <v/>
      </c>
      <c r="BA26" s="37"/>
      <c r="BB26" s="33"/>
      <c r="BC26" s="34"/>
      <c r="BD26" s="35" t="str">
        <f t="shared" si="20"/>
        <v/>
      </c>
      <c r="BE26" s="36" t="str">
        <f t="shared" si="21"/>
        <v/>
      </c>
      <c r="BF26" s="37"/>
      <c r="BG26" s="33"/>
      <c r="BH26" s="34"/>
      <c r="BI26" s="35" t="str">
        <f t="shared" si="22"/>
        <v/>
      </c>
      <c r="BJ26" s="36" t="str">
        <f t="shared" si="23"/>
        <v/>
      </c>
      <c r="BK26" s="37"/>
      <c r="BL26" s="33"/>
      <c r="BM26" s="34"/>
      <c r="BN26" s="35" t="str">
        <f t="shared" si="24"/>
        <v/>
      </c>
      <c r="BO26" s="36" t="str">
        <f t="shared" si="25"/>
        <v/>
      </c>
      <c r="BP26" s="37"/>
      <c r="BQ26" s="33"/>
      <c r="BR26" s="34"/>
      <c r="BS26" s="35" t="str">
        <f t="shared" si="26"/>
        <v/>
      </c>
      <c r="BT26" s="36" t="str">
        <f t="shared" si="27"/>
        <v/>
      </c>
      <c r="BU26" s="37"/>
      <c r="BV26" s="33"/>
      <c r="BW26" s="34"/>
      <c r="BX26" s="35" t="str">
        <f t="shared" si="28"/>
        <v/>
      </c>
      <c r="BY26" s="36" t="str">
        <f t="shared" si="29"/>
        <v/>
      </c>
      <c r="BZ26" s="37"/>
      <c r="CA26" s="33"/>
      <c r="CB26" s="34"/>
      <c r="CC26" s="35" t="str">
        <f t="shared" si="30"/>
        <v/>
      </c>
      <c r="CD26" s="36" t="str">
        <f t="shared" si="31"/>
        <v/>
      </c>
      <c r="CE26" s="37"/>
      <c r="CF26" s="33"/>
      <c r="CG26" s="34"/>
      <c r="CH26" s="35" t="str">
        <f t="shared" si="32"/>
        <v/>
      </c>
      <c r="CI26" s="36" t="str">
        <f t="shared" si="33"/>
        <v/>
      </c>
      <c r="CJ26" s="37"/>
      <c r="CK26" s="33"/>
      <c r="CL26" s="34"/>
      <c r="CM26" s="35" t="str">
        <f t="shared" si="34"/>
        <v/>
      </c>
      <c r="CN26" s="36" t="str">
        <f t="shared" si="35"/>
        <v/>
      </c>
      <c r="CO26" s="37"/>
      <c r="CP26" s="33"/>
      <c r="CQ26" s="34"/>
      <c r="CR26" s="35" t="str">
        <f t="shared" si="36"/>
        <v/>
      </c>
      <c r="CS26" s="36" t="str">
        <f t="shared" si="37"/>
        <v/>
      </c>
      <c r="CT26" s="37"/>
      <c r="CU26" s="33"/>
      <c r="CV26" s="34"/>
      <c r="CW26" s="35" t="str">
        <f t="shared" si="38"/>
        <v/>
      </c>
      <c r="CX26" s="36" t="str">
        <f t="shared" si="39"/>
        <v/>
      </c>
      <c r="CY26" s="37"/>
      <c r="CZ26" s="33"/>
      <c r="DA26" s="34"/>
      <c r="DB26" s="35" t="str">
        <f t="shared" si="40"/>
        <v/>
      </c>
      <c r="DC26" s="36" t="str">
        <f t="shared" si="41"/>
        <v/>
      </c>
      <c r="DD26" s="37"/>
      <c r="DE26" s="33"/>
      <c r="DF26" s="34"/>
      <c r="DG26" s="35" t="str">
        <f t="shared" si="42"/>
        <v/>
      </c>
      <c r="DH26" s="36" t="str">
        <f t="shared" si="43"/>
        <v/>
      </c>
      <c r="DI26" s="37"/>
      <c r="DJ26" s="33"/>
      <c r="DK26" s="34"/>
      <c r="DL26" s="35" t="str">
        <f t="shared" si="44"/>
        <v/>
      </c>
      <c r="DM26" s="36" t="str">
        <f t="shared" si="45"/>
        <v/>
      </c>
      <c r="DN26" s="37"/>
      <c r="DO26" s="33"/>
      <c r="DP26" s="34"/>
      <c r="DQ26" s="35" t="str">
        <f t="shared" si="46"/>
        <v/>
      </c>
      <c r="DR26" s="36" t="str">
        <f t="shared" si="47"/>
        <v/>
      </c>
      <c r="DS26" s="37"/>
      <c r="DT26" s="33"/>
      <c r="DU26" s="34"/>
      <c r="DV26" s="35" t="str">
        <f t="shared" si="48"/>
        <v/>
      </c>
      <c r="DW26" s="36" t="str">
        <f t="shared" si="49"/>
        <v/>
      </c>
      <c r="DX26" s="37"/>
      <c r="DY26" s="33"/>
      <c r="DZ26" s="34"/>
      <c r="EA26" s="35" t="str">
        <f t="shared" si="50"/>
        <v/>
      </c>
      <c r="EB26" s="36" t="str">
        <f t="shared" si="51"/>
        <v/>
      </c>
      <c r="EC26" s="37"/>
      <c r="ED26" s="33"/>
      <c r="EE26" s="34"/>
      <c r="EF26" s="35" t="str">
        <f t="shared" si="52"/>
        <v/>
      </c>
      <c r="EG26" s="36" t="str">
        <f t="shared" si="53"/>
        <v/>
      </c>
      <c r="EH26" s="37"/>
      <c r="EI26" s="33"/>
      <c r="EJ26" s="34"/>
      <c r="EK26" s="35" t="str">
        <f t="shared" si="54"/>
        <v/>
      </c>
      <c r="EL26" s="36" t="str">
        <f t="shared" si="55"/>
        <v/>
      </c>
      <c r="EM26" s="37"/>
      <c r="EN26" s="33"/>
      <c r="EO26" s="34"/>
      <c r="EP26" s="35" t="str">
        <f t="shared" si="56"/>
        <v/>
      </c>
      <c r="EQ26" s="36" t="str">
        <f t="shared" si="57"/>
        <v/>
      </c>
      <c r="ER26" s="37"/>
      <c r="ES26" s="33"/>
      <c r="ET26" s="34"/>
      <c r="EU26" s="35" t="str">
        <f t="shared" si="58"/>
        <v/>
      </c>
      <c r="EV26" s="36" t="str">
        <f t="shared" si="59"/>
        <v/>
      </c>
      <c r="EW26" s="37"/>
    </row>
    <row r="27" spans="1:153" ht="19.5" customHeight="1">
      <c r="A27" s="32">
        <f>IF(DAY(DATE(対象年度,5,24))&lt;&gt;24,"",24)</f>
        <v>24</v>
      </c>
      <c r="B27" s="32" t="str">
        <f>IF(DAY(DATE(対象年度,5,24))&lt;&gt;24,"",CHOOSE(WEEKDAY(DATE(対象年度,5,24),2),"月","火","水","木","金","土","日"))</f>
        <v>日</v>
      </c>
      <c r="C27" s="32" t="str">
        <f>IF(DAY(DATE(対象年度,5,24))&lt;&gt;24,"",IF(ISNUMBER(MATCH(DATE(対象年度,5,24),祝日リスト,0)),"祝",""))</f>
        <v/>
      </c>
      <c r="D27" s="33"/>
      <c r="E27" s="34"/>
      <c r="F27" s="35" t="str">
        <f t="shared" si="0"/>
        <v/>
      </c>
      <c r="G27" s="36" t="str">
        <f t="shared" si="1"/>
        <v/>
      </c>
      <c r="H27" s="37"/>
      <c r="I27" s="33"/>
      <c r="J27" s="34"/>
      <c r="K27" s="35" t="str">
        <f t="shared" si="2"/>
        <v/>
      </c>
      <c r="L27" s="36" t="str">
        <f t="shared" si="3"/>
        <v/>
      </c>
      <c r="M27" s="37"/>
      <c r="N27" s="33"/>
      <c r="O27" s="34"/>
      <c r="P27" s="35" t="str">
        <f t="shared" si="4"/>
        <v/>
      </c>
      <c r="Q27" s="36" t="str">
        <f t="shared" si="5"/>
        <v/>
      </c>
      <c r="R27" s="37"/>
      <c r="S27" s="33"/>
      <c r="T27" s="34"/>
      <c r="U27" s="35" t="str">
        <f t="shared" si="6"/>
        <v/>
      </c>
      <c r="V27" s="36" t="str">
        <f t="shared" si="7"/>
        <v/>
      </c>
      <c r="W27" s="37"/>
      <c r="X27" s="33"/>
      <c r="Y27" s="34"/>
      <c r="Z27" s="35" t="str">
        <f t="shared" si="8"/>
        <v/>
      </c>
      <c r="AA27" s="36" t="str">
        <f t="shared" si="9"/>
        <v/>
      </c>
      <c r="AB27" s="37"/>
      <c r="AC27" s="33"/>
      <c r="AD27" s="34"/>
      <c r="AE27" s="35" t="str">
        <f t="shared" si="10"/>
        <v/>
      </c>
      <c r="AF27" s="36" t="str">
        <f t="shared" si="11"/>
        <v/>
      </c>
      <c r="AG27" s="37"/>
      <c r="AH27" s="33"/>
      <c r="AI27" s="34"/>
      <c r="AJ27" s="35" t="str">
        <f t="shared" si="12"/>
        <v/>
      </c>
      <c r="AK27" s="36" t="str">
        <f t="shared" si="13"/>
        <v/>
      </c>
      <c r="AL27" s="37"/>
      <c r="AM27" s="33"/>
      <c r="AN27" s="34"/>
      <c r="AO27" s="35" t="str">
        <f t="shared" si="14"/>
        <v/>
      </c>
      <c r="AP27" s="36" t="str">
        <f t="shared" si="15"/>
        <v/>
      </c>
      <c r="AQ27" s="37"/>
      <c r="AR27" s="33"/>
      <c r="AS27" s="34"/>
      <c r="AT27" s="35" t="str">
        <f t="shared" si="16"/>
        <v/>
      </c>
      <c r="AU27" s="36" t="str">
        <f t="shared" si="17"/>
        <v/>
      </c>
      <c r="AV27" s="37"/>
      <c r="AW27" s="33"/>
      <c r="AX27" s="34"/>
      <c r="AY27" s="35" t="str">
        <f t="shared" si="18"/>
        <v/>
      </c>
      <c r="AZ27" s="36" t="str">
        <f t="shared" si="19"/>
        <v/>
      </c>
      <c r="BA27" s="37"/>
      <c r="BB27" s="33"/>
      <c r="BC27" s="34"/>
      <c r="BD27" s="35" t="str">
        <f t="shared" si="20"/>
        <v/>
      </c>
      <c r="BE27" s="36" t="str">
        <f t="shared" si="21"/>
        <v/>
      </c>
      <c r="BF27" s="37"/>
      <c r="BG27" s="33"/>
      <c r="BH27" s="34"/>
      <c r="BI27" s="35" t="str">
        <f t="shared" si="22"/>
        <v/>
      </c>
      <c r="BJ27" s="36" t="str">
        <f t="shared" si="23"/>
        <v/>
      </c>
      <c r="BK27" s="37"/>
      <c r="BL27" s="33"/>
      <c r="BM27" s="34"/>
      <c r="BN27" s="35" t="str">
        <f t="shared" si="24"/>
        <v/>
      </c>
      <c r="BO27" s="36" t="str">
        <f t="shared" si="25"/>
        <v/>
      </c>
      <c r="BP27" s="37"/>
      <c r="BQ27" s="33"/>
      <c r="BR27" s="34"/>
      <c r="BS27" s="35" t="str">
        <f t="shared" si="26"/>
        <v/>
      </c>
      <c r="BT27" s="36" t="str">
        <f t="shared" si="27"/>
        <v/>
      </c>
      <c r="BU27" s="37"/>
      <c r="BV27" s="33"/>
      <c r="BW27" s="34"/>
      <c r="BX27" s="35" t="str">
        <f t="shared" si="28"/>
        <v/>
      </c>
      <c r="BY27" s="36" t="str">
        <f t="shared" si="29"/>
        <v/>
      </c>
      <c r="BZ27" s="37"/>
      <c r="CA27" s="33"/>
      <c r="CB27" s="34"/>
      <c r="CC27" s="35" t="str">
        <f t="shared" si="30"/>
        <v/>
      </c>
      <c r="CD27" s="36" t="str">
        <f t="shared" si="31"/>
        <v/>
      </c>
      <c r="CE27" s="37"/>
      <c r="CF27" s="33"/>
      <c r="CG27" s="34"/>
      <c r="CH27" s="35" t="str">
        <f t="shared" si="32"/>
        <v/>
      </c>
      <c r="CI27" s="36" t="str">
        <f t="shared" si="33"/>
        <v/>
      </c>
      <c r="CJ27" s="37"/>
      <c r="CK27" s="33"/>
      <c r="CL27" s="34"/>
      <c r="CM27" s="35" t="str">
        <f t="shared" si="34"/>
        <v/>
      </c>
      <c r="CN27" s="36" t="str">
        <f t="shared" si="35"/>
        <v/>
      </c>
      <c r="CO27" s="37"/>
      <c r="CP27" s="33"/>
      <c r="CQ27" s="34"/>
      <c r="CR27" s="35" t="str">
        <f t="shared" si="36"/>
        <v/>
      </c>
      <c r="CS27" s="36" t="str">
        <f t="shared" si="37"/>
        <v/>
      </c>
      <c r="CT27" s="37"/>
      <c r="CU27" s="33"/>
      <c r="CV27" s="34"/>
      <c r="CW27" s="35" t="str">
        <f t="shared" si="38"/>
        <v/>
      </c>
      <c r="CX27" s="36" t="str">
        <f t="shared" si="39"/>
        <v/>
      </c>
      <c r="CY27" s="37"/>
      <c r="CZ27" s="33"/>
      <c r="DA27" s="34"/>
      <c r="DB27" s="35" t="str">
        <f t="shared" si="40"/>
        <v/>
      </c>
      <c r="DC27" s="36" t="str">
        <f t="shared" si="41"/>
        <v/>
      </c>
      <c r="DD27" s="37"/>
      <c r="DE27" s="33"/>
      <c r="DF27" s="34"/>
      <c r="DG27" s="35" t="str">
        <f t="shared" si="42"/>
        <v/>
      </c>
      <c r="DH27" s="36" t="str">
        <f t="shared" si="43"/>
        <v/>
      </c>
      <c r="DI27" s="37"/>
      <c r="DJ27" s="33"/>
      <c r="DK27" s="34"/>
      <c r="DL27" s="35" t="str">
        <f t="shared" si="44"/>
        <v/>
      </c>
      <c r="DM27" s="36" t="str">
        <f t="shared" si="45"/>
        <v/>
      </c>
      <c r="DN27" s="37"/>
      <c r="DO27" s="33"/>
      <c r="DP27" s="34"/>
      <c r="DQ27" s="35" t="str">
        <f t="shared" si="46"/>
        <v/>
      </c>
      <c r="DR27" s="36" t="str">
        <f t="shared" si="47"/>
        <v/>
      </c>
      <c r="DS27" s="37"/>
      <c r="DT27" s="33"/>
      <c r="DU27" s="34"/>
      <c r="DV27" s="35" t="str">
        <f t="shared" si="48"/>
        <v/>
      </c>
      <c r="DW27" s="36" t="str">
        <f t="shared" si="49"/>
        <v/>
      </c>
      <c r="DX27" s="37"/>
      <c r="DY27" s="33"/>
      <c r="DZ27" s="34"/>
      <c r="EA27" s="35" t="str">
        <f t="shared" si="50"/>
        <v/>
      </c>
      <c r="EB27" s="36" t="str">
        <f t="shared" si="51"/>
        <v/>
      </c>
      <c r="EC27" s="37"/>
      <c r="ED27" s="33"/>
      <c r="EE27" s="34"/>
      <c r="EF27" s="35" t="str">
        <f t="shared" si="52"/>
        <v/>
      </c>
      <c r="EG27" s="36" t="str">
        <f t="shared" si="53"/>
        <v/>
      </c>
      <c r="EH27" s="37"/>
      <c r="EI27" s="33"/>
      <c r="EJ27" s="34"/>
      <c r="EK27" s="35" t="str">
        <f t="shared" si="54"/>
        <v/>
      </c>
      <c r="EL27" s="36" t="str">
        <f t="shared" si="55"/>
        <v/>
      </c>
      <c r="EM27" s="37"/>
      <c r="EN27" s="33"/>
      <c r="EO27" s="34"/>
      <c r="EP27" s="35" t="str">
        <f t="shared" si="56"/>
        <v/>
      </c>
      <c r="EQ27" s="36" t="str">
        <f t="shared" si="57"/>
        <v/>
      </c>
      <c r="ER27" s="37"/>
      <c r="ES27" s="33"/>
      <c r="ET27" s="34"/>
      <c r="EU27" s="35" t="str">
        <f t="shared" si="58"/>
        <v/>
      </c>
      <c r="EV27" s="36" t="str">
        <f t="shared" si="59"/>
        <v/>
      </c>
      <c r="EW27" s="37"/>
    </row>
    <row r="28" spans="1:153" ht="19.5" customHeight="1">
      <c r="A28" s="32">
        <f>IF(DAY(DATE(対象年度,5,25))&lt;&gt;25,"",25)</f>
        <v>25</v>
      </c>
      <c r="B28" s="32" t="str">
        <f>IF(DAY(DATE(対象年度,5,25))&lt;&gt;25,"",CHOOSE(WEEKDAY(DATE(対象年度,5,25),2),"月","火","水","木","金","土","日"))</f>
        <v>月</v>
      </c>
      <c r="C28" s="32" t="str">
        <f>IF(DAY(DATE(対象年度,5,25))&lt;&gt;25,"",IF(ISNUMBER(MATCH(DATE(対象年度,5,25),祝日リスト,0)),"祝",""))</f>
        <v/>
      </c>
      <c r="D28" s="33"/>
      <c r="E28" s="34"/>
      <c r="F28" s="35" t="str">
        <f t="shared" si="0"/>
        <v/>
      </c>
      <c r="G28" s="36" t="str">
        <f t="shared" si="1"/>
        <v/>
      </c>
      <c r="H28" s="37"/>
      <c r="I28" s="33"/>
      <c r="J28" s="34"/>
      <c r="K28" s="35" t="str">
        <f t="shared" si="2"/>
        <v/>
      </c>
      <c r="L28" s="36" t="str">
        <f t="shared" si="3"/>
        <v/>
      </c>
      <c r="M28" s="37"/>
      <c r="N28" s="33"/>
      <c r="O28" s="34"/>
      <c r="P28" s="35" t="str">
        <f t="shared" si="4"/>
        <v/>
      </c>
      <c r="Q28" s="36" t="str">
        <f t="shared" si="5"/>
        <v/>
      </c>
      <c r="R28" s="37"/>
      <c r="S28" s="33"/>
      <c r="T28" s="34"/>
      <c r="U28" s="35" t="str">
        <f t="shared" si="6"/>
        <v/>
      </c>
      <c r="V28" s="36" t="str">
        <f t="shared" si="7"/>
        <v/>
      </c>
      <c r="W28" s="37"/>
      <c r="X28" s="33"/>
      <c r="Y28" s="34"/>
      <c r="Z28" s="35" t="str">
        <f t="shared" si="8"/>
        <v/>
      </c>
      <c r="AA28" s="36" t="str">
        <f t="shared" si="9"/>
        <v/>
      </c>
      <c r="AB28" s="37"/>
      <c r="AC28" s="33"/>
      <c r="AD28" s="34"/>
      <c r="AE28" s="35" t="str">
        <f t="shared" si="10"/>
        <v/>
      </c>
      <c r="AF28" s="36" t="str">
        <f t="shared" si="11"/>
        <v/>
      </c>
      <c r="AG28" s="37"/>
      <c r="AH28" s="33"/>
      <c r="AI28" s="34"/>
      <c r="AJ28" s="35" t="str">
        <f t="shared" si="12"/>
        <v/>
      </c>
      <c r="AK28" s="36" t="str">
        <f t="shared" si="13"/>
        <v/>
      </c>
      <c r="AL28" s="37"/>
      <c r="AM28" s="33"/>
      <c r="AN28" s="34"/>
      <c r="AO28" s="35" t="str">
        <f t="shared" si="14"/>
        <v/>
      </c>
      <c r="AP28" s="36" t="str">
        <f t="shared" si="15"/>
        <v/>
      </c>
      <c r="AQ28" s="37"/>
      <c r="AR28" s="33"/>
      <c r="AS28" s="34"/>
      <c r="AT28" s="35" t="str">
        <f t="shared" si="16"/>
        <v/>
      </c>
      <c r="AU28" s="36" t="str">
        <f t="shared" si="17"/>
        <v/>
      </c>
      <c r="AV28" s="37"/>
      <c r="AW28" s="33"/>
      <c r="AX28" s="34"/>
      <c r="AY28" s="35" t="str">
        <f t="shared" si="18"/>
        <v/>
      </c>
      <c r="AZ28" s="36" t="str">
        <f t="shared" si="19"/>
        <v/>
      </c>
      <c r="BA28" s="37"/>
      <c r="BB28" s="33"/>
      <c r="BC28" s="34"/>
      <c r="BD28" s="35" t="str">
        <f t="shared" si="20"/>
        <v/>
      </c>
      <c r="BE28" s="36" t="str">
        <f t="shared" si="21"/>
        <v/>
      </c>
      <c r="BF28" s="37"/>
      <c r="BG28" s="33"/>
      <c r="BH28" s="34"/>
      <c r="BI28" s="35" t="str">
        <f t="shared" si="22"/>
        <v/>
      </c>
      <c r="BJ28" s="36" t="str">
        <f t="shared" si="23"/>
        <v/>
      </c>
      <c r="BK28" s="37"/>
      <c r="BL28" s="33"/>
      <c r="BM28" s="34"/>
      <c r="BN28" s="35" t="str">
        <f t="shared" si="24"/>
        <v/>
      </c>
      <c r="BO28" s="36" t="str">
        <f t="shared" si="25"/>
        <v/>
      </c>
      <c r="BP28" s="37"/>
      <c r="BQ28" s="33"/>
      <c r="BR28" s="34"/>
      <c r="BS28" s="35" t="str">
        <f t="shared" si="26"/>
        <v/>
      </c>
      <c r="BT28" s="36" t="str">
        <f t="shared" si="27"/>
        <v/>
      </c>
      <c r="BU28" s="37"/>
      <c r="BV28" s="33"/>
      <c r="BW28" s="34"/>
      <c r="BX28" s="35" t="str">
        <f t="shared" si="28"/>
        <v/>
      </c>
      <c r="BY28" s="36" t="str">
        <f t="shared" si="29"/>
        <v/>
      </c>
      <c r="BZ28" s="37"/>
      <c r="CA28" s="33"/>
      <c r="CB28" s="34"/>
      <c r="CC28" s="35" t="str">
        <f t="shared" si="30"/>
        <v/>
      </c>
      <c r="CD28" s="36" t="str">
        <f t="shared" si="31"/>
        <v/>
      </c>
      <c r="CE28" s="37"/>
      <c r="CF28" s="33"/>
      <c r="CG28" s="34"/>
      <c r="CH28" s="35" t="str">
        <f t="shared" si="32"/>
        <v/>
      </c>
      <c r="CI28" s="36" t="str">
        <f t="shared" si="33"/>
        <v/>
      </c>
      <c r="CJ28" s="37"/>
      <c r="CK28" s="33"/>
      <c r="CL28" s="34"/>
      <c r="CM28" s="35" t="str">
        <f t="shared" si="34"/>
        <v/>
      </c>
      <c r="CN28" s="36" t="str">
        <f t="shared" si="35"/>
        <v/>
      </c>
      <c r="CO28" s="37"/>
      <c r="CP28" s="33"/>
      <c r="CQ28" s="34"/>
      <c r="CR28" s="35" t="str">
        <f t="shared" si="36"/>
        <v/>
      </c>
      <c r="CS28" s="36" t="str">
        <f t="shared" si="37"/>
        <v/>
      </c>
      <c r="CT28" s="37"/>
      <c r="CU28" s="33"/>
      <c r="CV28" s="34"/>
      <c r="CW28" s="35" t="str">
        <f t="shared" si="38"/>
        <v/>
      </c>
      <c r="CX28" s="36" t="str">
        <f t="shared" si="39"/>
        <v/>
      </c>
      <c r="CY28" s="37"/>
      <c r="CZ28" s="33"/>
      <c r="DA28" s="34"/>
      <c r="DB28" s="35" t="str">
        <f t="shared" si="40"/>
        <v/>
      </c>
      <c r="DC28" s="36" t="str">
        <f t="shared" si="41"/>
        <v/>
      </c>
      <c r="DD28" s="37"/>
      <c r="DE28" s="33"/>
      <c r="DF28" s="34"/>
      <c r="DG28" s="35" t="str">
        <f t="shared" si="42"/>
        <v/>
      </c>
      <c r="DH28" s="36" t="str">
        <f t="shared" si="43"/>
        <v/>
      </c>
      <c r="DI28" s="37"/>
      <c r="DJ28" s="33"/>
      <c r="DK28" s="34"/>
      <c r="DL28" s="35" t="str">
        <f t="shared" si="44"/>
        <v/>
      </c>
      <c r="DM28" s="36" t="str">
        <f t="shared" si="45"/>
        <v/>
      </c>
      <c r="DN28" s="37"/>
      <c r="DO28" s="33"/>
      <c r="DP28" s="34"/>
      <c r="DQ28" s="35" t="str">
        <f t="shared" si="46"/>
        <v/>
      </c>
      <c r="DR28" s="36" t="str">
        <f t="shared" si="47"/>
        <v/>
      </c>
      <c r="DS28" s="37"/>
      <c r="DT28" s="33"/>
      <c r="DU28" s="34"/>
      <c r="DV28" s="35" t="str">
        <f t="shared" si="48"/>
        <v/>
      </c>
      <c r="DW28" s="36" t="str">
        <f t="shared" si="49"/>
        <v/>
      </c>
      <c r="DX28" s="37"/>
      <c r="DY28" s="33"/>
      <c r="DZ28" s="34"/>
      <c r="EA28" s="35" t="str">
        <f t="shared" si="50"/>
        <v/>
      </c>
      <c r="EB28" s="36" t="str">
        <f t="shared" si="51"/>
        <v/>
      </c>
      <c r="EC28" s="37"/>
      <c r="ED28" s="33"/>
      <c r="EE28" s="34"/>
      <c r="EF28" s="35" t="str">
        <f t="shared" si="52"/>
        <v/>
      </c>
      <c r="EG28" s="36" t="str">
        <f t="shared" si="53"/>
        <v/>
      </c>
      <c r="EH28" s="37"/>
      <c r="EI28" s="33"/>
      <c r="EJ28" s="34"/>
      <c r="EK28" s="35" t="str">
        <f t="shared" si="54"/>
        <v/>
      </c>
      <c r="EL28" s="36" t="str">
        <f t="shared" si="55"/>
        <v/>
      </c>
      <c r="EM28" s="37"/>
      <c r="EN28" s="33"/>
      <c r="EO28" s="34"/>
      <c r="EP28" s="35" t="str">
        <f t="shared" si="56"/>
        <v/>
      </c>
      <c r="EQ28" s="36" t="str">
        <f t="shared" si="57"/>
        <v/>
      </c>
      <c r="ER28" s="37"/>
      <c r="ES28" s="33"/>
      <c r="ET28" s="34"/>
      <c r="EU28" s="35" t="str">
        <f t="shared" si="58"/>
        <v/>
      </c>
      <c r="EV28" s="36" t="str">
        <f t="shared" si="59"/>
        <v/>
      </c>
      <c r="EW28" s="37"/>
    </row>
    <row r="29" spans="1:153" ht="19.5" customHeight="1">
      <c r="A29" s="32">
        <f>IF(DAY(DATE(対象年度,5,26))&lt;&gt;26,"",26)</f>
        <v>26</v>
      </c>
      <c r="B29" s="32" t="str">
        <f>IF(DAY(DATE(対象年度,5,26))&lt;&gt;26,"",CHOOSE(WEEKDAY(DATE(対象年度,5,26),2),"月","火","水","木","金","土","日"))</f>
        <v>火</v>
      </c>
      <c r="C29" s="32" t="str">
        <f>IF(DAY(DATE(対象年度,5,26))&lt;&gt;26,"",IF(ISNUMBER(MATCH(DATE(対象年度,5,26),祝日リスト,0)),"祝",""))</f>
        <v/>
      </c>
      <c r="D29" s="33"/>
      <c r="E29" s="34"/>
      <c r="F29" s="35" t="str">
        <f t="shared" si="0"/>
        <v/>
      </c>
      <c r="G29" s="36" t="str">
        <f t="shared" si="1"/>
        <v/>
      </c>
      <c r="H29" s="37"/>
      <c r="I29" s="33"/>
      <c r="J29" s="34"/>
      <c r="K29" s="35" t="str">
        <f t="shared" si="2"/>
        <v/>
      </c>
      <c r="L29" s="36" t="str">
        <f t="shared" si="3"/>
        <v/>
      </c>
      <c r="M29" s="37"/>
      <c r="N29" s="33"/>
      <c r="O29" s="34"/>
      <c r="P29" s="35" t="str">
        <f t="shared" si="4"/>
        <v/>
      </c>
      <c r="Q29" s="36" t="str">
        <f t="shared" si="5"/>
        <v/>
      </c>
      <c r="R29" s="37"/>
      <c r="S29" s="33"/>
      <c r="T29" s="34"/>
      <c r="U29" s="35" t="str">
        <f t="shared" si="6"/>
        <v/>
      </c>
      <c r="V29" s="36" t="str">
        <f t="shared" si="7"/>
        <v/>
      </c>
      <c r="W29" s="37"/>
      <c r="X29" s="33"/>
      <c r="Y29" s="34"/>
      <c r="Z29" s="35" t="str">
        <f t="shared" si="8"/>
        <v/>
      </c>
      <c r="AA29" s="36" t="str">
        <f t="shared" si="9"/>
        <v/>
      </c>
      <c r="AB29" s="37"/>
      <c r="AC29" s="33"/>
      <c r="AD29" s="34"/>
      <c r="AE29" s="35" t="str">
        <f t="shared" si="10"/>
        <v/>
      </c>
      <c r="AF29" s="36" t="str">
        <f t="shared" si="11"/>
        <v/>
      </c>
      <c r="AG29" s="37"/>
      <c r="AH29" s="33"/>
      <c r="AI29" s="34"/>
      <c r="AJ29" s="35" t="str">
        <f t="shared" si="12"/>
        <v/>
      </c>
      <c r="AK29" s="36" t="str">
        <f t="shared" si="13"/>
        <v/>
      </c>
      <c r="AL29" s="37"/>
      <c r="AM29" s="33"/>
      <c r="AN29" s="34"/>
      <c r="AO29" s="35" t="str">
        <f t="shared" si="14"/>
        <v/>
      </c>
      <c r="AP29" s="36" t="str">
        <f t="shared" si="15"/>
        <v/>
      </c>
      <c r="AQ29" s="37"/>
      <c r="AR29" s="33"/>
      <c r="AS29" s="34"/>
      <c r="AT29" s="35" t="str">
        <f t="shared" si="16"/>
        <v/>
      </c>
      <c r="AU29" s="36" t="str">
        <f t="shared" si="17"/>
        <v/>
      </c>
      <c r="AV29" s="37"/>
      <c r="AW29" s="33"/>
      <c r="AX29" s="34"/>
      <c r="AY29" s="35" t="str">
        <f t="shared" si="18"/>
        <v/>
      </c>
      <c r="AZ29" s="36" t="str">
        <f t="shared" si="19"/>
        <v/>
      </c>
      <c r="BA29" s="37"/>
      <c r="BB29" s="33"/>
      <c r="BC29" s="34"/>
      <c r="BD29" s="35" t="str">
        <f t="shared" si="20"/>
        <v/>
      </c>
      <c r="BE29" s="36" t="str">
        <f t="shared" si="21"/>
        <v/>
      </c>
      <c r="BF29" s="37"/>
      <c r="BG29" s="33"/>
      <c r="BH29" s="34"/>
      <c r="BI29" s="35" t="str">
        <f t="shared" si="22"/>
        <v/>
      </c>
      <c r="BJ29" s="36" t="str">
        <f t="shared" si="23"/>
        <v/>
      </c>
      <c r="BK29" s="37"/>
      <c r="BL29" s="33"/>
      <c r="BM29" s="34"/>
      <c r="BN29" s="35" t="str">
        <f t="shared" si="24"/>
        <v/>
      </c>
      <c r="BO29" s="36" t="str">
        <f t="shared" si="25"/>
        <v/>
      </c>
      <c r="BP29" s="37"/>
      <c r="BQ29" s="33"/>
      <c r="BR29" s="34"/>
      <c r="BS29" s="35" t="str">
        <f t="shared" si="26"/>
        <v/>
      </c>
      <c r="BT29" s="36" t="str">
        <f t="shared" si="27"/>
        <v/>
      </c>
      <c r="BU29" s="37"/>
      <c r="BV29" s="33"/>
      <c r="BW29" s="34"/>
      <c r="BX29" s="35" t="str">
        <f t="shared" si="28"/>
        <v/>
      </c>
      <c r="BY29" s="36" t="str">
        <f t="shared" si="29"/>
        <v/>
      </c>
      <c r="BZ29" s="37"/>
      <c r="CA29" s="33"/>
      <c r="CB29" s="34"/>
      <c r="CC29" s="35" t="str">
        <f t="shared" si="30"/>
        <v/>
      </c>
      <c r="CD29" s="36" t="str">
        <f t="shared" si="31"/>
        <v/>
      </c>
      <c r="CE29" s="37"/>
      <c r="CF29" s="33"/>
      <c r="CG29" s="34"/>
      <c r="CH29" s="35" t="str">
        <f t="shared" si="32"/>
        <v/>
      </c>
      <c r="CI29" s="36" t="str">
        <f t="shared" si="33"/>
        <v/>
      </c>
      <c r="CJ29" s="37"/>
      <c r="CK29" s="33"/>
      <c r="CL29" s="34"/>
      <c r="CM29" s="35" t="str">
        <f t="shared" si="34"/>
        <v/>
      </c>
      <c r="CN29" s="36" t="str">
        <f t="shared" si="35"/>
        <v/>
      </c>
      <c r="CO29" s="37"/>
      <c r="CP29" s="33"/>
      <c r="CQ29" s="34"/>
      <c r="CR29" s="35" t="str">
        <f t="shared" si="36"/>
        <v/>
      </c>
      <c r="CS29" s="36" t="str">
        <f t="shared" si="37"/>
        <v/>
      </c>
      <c r="CT29" s="37"/>
      <c r="CU29" s="33"/>
      <c r="CV29" s="34"/>
      <c r="CW29" s="35" t="str">
        <f t="shared" si="38"/>
        <v/>
      </c>
      <c r="CX29" s="36" t="str">
        <f t="shared" si="39"/>
        <v/>
      </c>
      <c r="CY29" s="37"/>
      <c r="CZ29" s="33"/>
      <c r="DA29" s="34"/>
      <c r="DB29" s="35" t="str">
        <f t="shared" si="40"/>
        <v/>
      </c>
      <c r="DC29" s="36" t="str">
        <f t="shared" si="41"/>
        <v/>
      </c>
      <c r="DD29" s="37"/>
      <c r="DE29" s="33"/>
      <c r="DF29" s="34"/>
      <c r="DG29" s="35" t="str">
        <f t="shared" si="42"/>
        <v/>
      </c>
      <c r="DH29" s="36" t="str">
        <f t="shared" si="43"/>
        <v/>
      </c>
      <c r="DI29" s="37"/>
      <c r="DJ29" s="33"/>
      <c r="DK29" s="34"/>
      <c r="DL29" s="35" t="str">
        <f t="shared" si="44"/>
        <v/>
      </c>
      <c r="DM29" s="36" t="str">
        <f t="shared" si="45"/>
        <v/>
      </c>
      <c r="DN29" s="37"/>
      <c r="DO29" s="33"/>
      <c r="DP29" s="34"/>
      <c r="DQ29" s="35" t="str">
        <f t="shared" si="46"/>
        <v/>
      </c>
      <c r="DR29" s="36" t="str">
        <f t="shared" si="47"/>
        <v/>
      </c>
      <c r="DS29" s="37"/>
      <c r="DT29" s="33"/>
      <c r="DU29" s="34"/>
      <c r="DV29" s="35" t="str">
        <f t="shared" si="48"/>
        <v/>
      </c>
      <c r="DW29" s="36" t="str">
        <f t="shared" si="49"/>
        <v/>
      </c>
      <c r="DX29" s="37"/>
      <c r="DY29" s="33"/>
      <c r="DZ29" s="34"/>
      <c r="EA29" s="35" t="str">
        <f t="shared" si="50"/>
        <v/>
      </c>
      <c r="EB29" s="36" t="str">
        <f t="shared" si="51"/>
        <v/>
      </c>
      <c r="EC29" s="37"/>
      <c r="ED29" s="33"/>
      <c r="EE29" s="34"/>
      <c r="EF29" s="35" t="str">
        <f t="shared" si="52"/>
        <v/>
      </c>
      <c r="EG29" s="36" t="str">
        <f t="shared" si="53"/>
        <v/>
      </c>
      <c r="EH29" s="37"/>
      <c r="EI29" s="33"/>
      <c r="EJ29" s="34"/>
      <c r="EK29" s="35" t="str">
        <f t="shared" si="54"/>
        <v/>
      </c>
      <c r="EL29" s="36" t="str">
        <f t="shared" si="55"/>
        <v/>
      </c>
      <c r="EM29" s="37"/>
      <c r="EN29" s="33"/>
      <c r="EO29" s="34"/>
      <c r="EP29" s="35" t="str">
        <f t="shared" si="56"/>
        <v/>
      </c>
      <c r="EQ29" s="36" t="str">
        <f t="shared" si="57"/>
        <v/>
      </c>
      <c r="ER29" s="37"/>
      <c r="ES29" s="33"/>
      <c r="ET29" s="34"/>
      <c r="EU29" s="35" t="str">
        <f t="shared" si="58"/>
        <v/>
      </c>
      <c r="EV29" s="36" t="str">
        <f t="shared" si="59"/>
        <v/>
      </c>
      <c r="EW29" s="37"/>
    </row>
    <row r="30" spans="1:153" ht="19.5" customHeight="1">
      <c r="A30" s="32">
        <f>IF(DAY(DATE(対象年度,5,27))&lt;&gt;27,"",27)</f>
        <v>27</v>
      </c>
      <c r="B30" s="32" t="str">
        <f>IF(DAY(DATE(対象年度,5,27))&lt;&gt;27,"",CHOOSE(WEEKDAY(DATE(対象年度,5,27),2),"月","火","水","木","金","土","日"))</f>
        <v>水</v>
      </c>
      <c r="C30" s="32" t="str">
        <f>IF(DAY(DATE(対象年度,5,27))&lt;&gt;27,"",IF(ISNUMBER(MATCH(DATE(対象年度,5,27),祝日リスト,0)),"祝",""))</f>
        <v/>
      </c>
      <c r="D30" s="33"/>
      <c r="E30" s="34"/>
      <c r="F30" s="35" t="str">
        <f t="shared" si="0"/>
        <v/>
      </c>
      <c r="G30" s="36" t="str">
        <f t="shared" si="1"/>
        <v/>
      </c>
      <c r="H30" s="37"/>
      <c r="I30" s="33"/>
      <c r="J30" s="34"/>
      <c r="K30" s="35" t="str">
        <f t="shared" si="2"/>
        <v/>
      </c>
      <c r="L30" s="36" t="str">
        <f t="shared" si="3"/>
        <v/>
      </c>
      <c r="M30" s="37"/>
      <c r="N30" s="33"/>
      <c r="O30" s="34"/>
      <c r="P30" s="35" t="str">
        <f t="shared" si="4"/>
        <v/>
      </c>
      <c r="Q30" s="36" t="str">
        <f t="shared" si="5"/>
        <v/>
      </c>
      <c r="R30" s="37"/>
      <c r="S30" s="33"/>
      <c r="T30" s="34"/>
      <c r="U30" s="35" t="str">
        <f t="shared" si="6"/>
        <v/>
      </c>
      <c r="V30" s="36" t="str">
        <f t="shared" si="7"/>
        <v/>
      </c>
      <c r="W30" s="37"/>
      <c r="X30" s="33"/>
      <c r="Y30" s="34"/>
      <c r="Z30" s="35" t="str">
        <f t="shared" si="8"/>
        <v/>
      </c>
      <c r="AA30" s="36" t="str">
        <f t="shared" si="9"/>
        <v/>
      </c>
      <c r="AB30" s="37"/>
      <c r="AC30" s="33"/>
      <c r="AD30" s="34"/>
      <c r="AE30" s="35" t="str">
        <f t="shared" si="10"/>
        <v/>
      </c>
      <c r="AF30" s="36" t="str">
        <f t="shared" si="11"/>
        <v/>
      </c>
      <c r="AG30" s="37"/>
      <c r="AH30" s="33"/>
      <c r="AI30" s="34"/>
      <c r="AJ30" s="35" t="str">
        <f t="shared" si="12"/>
        <v/>
      </c>
      <c r="AK30" s="36" t="str">
        <f t="shared" si="13"/>
        <v/>
      </c>
      <c r="AL30" s="37"/>
      <c r="AM30" s="33"/>
      <c r="AN30" s="34"/>
      <c r="AO30" s="35" t="str">
        <f t="shared" si="14"/>
        <v/>
      </c>
      <c r="AP30" s="36" t="str">
        <f t="shared" si="15"/>
        <v/>
      </c>
      <c r="AQ30" s="37"/>
      <c r="AR30" s="33"/>
      <c r="AS30" s="34"/>
      <c r="AT30" s="35" t="str">
        <f t="shared" si="16"/>
        <v/>
      </c>
      <c r="AU30" s="36" t="str">
        <f t="shared" si="17"/>
        <v/>
      </c>
      <c r="AV30" s="37"/>
      <c r="AW30" s="33"/>
      <c r="AX30" s="34"/>
      <c r="AY30" s="35" t="str">
        <f t="shared" si="18"/>
        <v/>
      </c>
      <c r="AZ30" s="36" t="str">
        <f t="shared" si="19"/>
        <v/>
      </c>
      <c r="BA30" s="37"/>
      <c r="BB30" s="33"/>
      <c r="BC30" s="34"/>
      <c r="BD30" s="35" t="str">
        <f t="shared" si="20"/>
        <v/>
      </c>
      <c r="BE30" s="36" t="str">
        <f t="shared" si="21"/>
        <v/>
      </c>
      <c r="BF30" s="37"/>
      <c r="BG30" s="33"/>
      <c r="BH30" s="34"/>
      <c r="BI30" s="35" t="str">
        <f t="shared" si="22"/>
        <v/>
      </c>
      <c r="BJ30" s="36" t="str">
        <f t="shared" si="23"/>
        <v/>
      </c>
      <c r="BK30" s="37"/>
      <c r="BL30" s="33"/>
      <c r="BM30" s="34"/>
      <c r="BN30" s="35" t="str">
        <f t="shared" si="24"/>
        <v/>
      </c>
      <c r="BO30" s="36" t="str">
        <f t="shared" si="25"/>
        <v/>
      </c>
      <c r="BP30" s="37"/>
      <c r="BQ30" s="33"/>
      <c r="BR30" s="34"/>
      <c r="BS30" s="35" t="str">
        <f t="shared" si="26"/>
        <v/>
      </c>
      <c r="BT30" s="36" t="str">
        <f t="shared" si="27"/>
        <v/>
      </c>
      <c r="BU30" s="37"/>
      <c r="BV30" s="33"/>
      <c r="BW30" s="34"/>
      <c r="BX30" s="35" t="str">
        <f t="shared" si="28"/>
        <v/>
      </c>
      <c r="BY30" s="36" t="str">
        <f t="shared" si="29"/>
        <v/>
      </c>
      <c r="BZ30" s="37"/>
      <c r="CA30" s="33"/>
      <c r="CB30" s="34"/>
      <c r="CC30" s="35" t="str">
        <f t="shared" si="30"/>
        <v/>
      </c>
      <c r="CD30" s="36" t="str">
        <f t="shared" si="31"/>
        <v/>
      </c>
      <c r="CE30" s="37"/>
      <c r="CF30" s="33"/>
      <c r="CG30" s="34"/>
      <c r="CH30" s="35" t="str">
        <f t="shared" si="32"/>
        <v/>
      </c>
      <c r="CI30" s="36" t="str">
        <f t="shared" si="33"/>
        <v/>
      </c>
      <c r="CJ30" s="37"/>
      <c r="CK30" s="33"/>
      <c r="CL30" s="34"/>
      <c r="CM30" s="35" t="str">
        <f t="shared" si="34"/>
        <v/>
      </c>
      <c r="CN30" s="36" t="str">
        <f t="shared" si="35"/>
        <v/>
      </c>
      <c r="CO30" s="37"/>
      <c r="CP30" s="33"/>
      <c r="CQ30" s="34"/>
      <c r="CR30" s="35" t="str">
        <f t="shared" si="36"/>
        <v/>
      </c>
      <c r="CS30" s="36" t="str">
        <f t="shared" si="37"/>
        <v/>
      </c>
      <c r="CT30" s="37"/>
      <c r="CU30" s="33"/>
      <c r="CV30" s="34"/>
      <c r="CW30" s="35" t="str">
        <f t="shared" si="38"/>
        <v/>
      </c>
      <c r="CX30" s="36" t="str">
        <f t="shared" si="39"/>
        <v/>
      </c>
      <c r="CY30" s="37"/>
      <c r="CZ30" s="33"/>
      <c r="DA30" s="34"/>
      <c r="DB30" s="35" t="str">
        <f t="shared" si="40"/>
        <v/>
      </c>
      <c r="DC30" s="36" t="str">
        <f t="shared" si="41"/>
        <v/>
      </c>
      <c r="DD30" s="37"/>
      <c r="DE30" s="33"/>
      <c r="DF30" s="34"/>
      <c r="DG30" s="35" t="str">
        <f t="shared" si="42"/>
        <v/>
      </c>
      <c r="DH30" s="36" t="str">
        <f t="shared" si="43"/>
        <v/>
      </c>
      <c r="DI30" s="37"/>
      <c r="DJ30" s="33"/>
      <c r="DK30" s="34"/>
      <c r="DL30" s="35" t="str">
        <f t="shared" si="44"/>
        <v/>
      </c>
      <c r="DM30" s="36" t="str">
        <f t="shared" si="45"/>
        <v/>
      </c>
      <c r="DN30" s="37"/>
      <c r="DO30" s="33"/>
      <c r="DP30" s="34"/>
      <c r="DQ30" s="35" t="str">
        <f t="shared" si="46"/>
        <v/>
      </c>
      <c r="DR30" s="36" t="str">
        <f t="shared" si="47"/>
        <v/>
      </c>
      <c r="DS30" s="37"/>
      <c r="DT30" s="33"/>
      <c r="DU30" s="34"/>
      <c r="DV30" s="35" t="str">
        <f t="shared" si="48"/>
        <v/>
      </c>
      <c r="DW30" s="36" t="str">
        <f t="shared" si="49"/>
        <v/>
      </c>
      <c r="DX30" s="37"/>
      <c r="DY30" s="33"/>
      <c r="DZ30" s="34"/>
      <c r="EA30" s="35" t="str">
        <f t="shared" si="50"/>
        <v/>
      </c>
      <c r="EB30" s="36" t="str">
        <f t="shared" si="51"/>
        <v/>
      </c>
      <c r="EC30" s="37"/>
      <c r="ED30" s="33"/>
      <c r="EE30" s="34"/>
      <c r="EF30" s="35" t="str">
        <f t="shared" si="52"/>
        <v/>
      </c>
      <c r="EG30" s="36" t="str">
        <f t="shared" si="53"/>
        <v/>
      </c>
      <c r="EH30" s="37"/>
      <c r="EI30" s="33"/>
      <c r="EJ30" s="34"/>
      <c r="EK30" s="35" t="str">
        <f t="shared" si="54"/>
        <v/>
      </c>
      <c r="EL30" s="36" t="str">
        <f t="shared" si="55"/>
        <v/>
      </c>
      <c r="EM30" s="37"/>
      <c r="EN30" s="33"/>
      <c r="EO30" s="34"/>
      <c r="EP30" s="35" t="str">
        <f t="shared" si="56"/>
        <v/>
      </c>
      <c r="EQ30" s="36" t="str">
        <f t="shared" si="57"/>
        <v/>
      </c>
      <c r="ER30" s="37"/>
      <c r="ES30" s="33"/>
      <c r="ET30" s="34"/>
      <c r="EU30" s="35" t="str">
        <f t="shared" si="58"/>
        <v/>
      </c>
      <c r="EV30" s="36" t="str">
        <f t="shared" si="59"/>
        <v/>
      </c>
      <c r="EW30" s="37"/>
    </row>
    <row r="31" spans="1:153" ht="19.5" customHeight="1">
      <c r="A31" s="32">
        <f>IF(DAY(DATE(対象年度,5,28))&lt;&gt;28,"",28)</f>
        <v>28</v>
      </c>
      <c r="B31" s="32" t="str">
        <f>IF(DAY(DATE(対象年度,5,28))&lt;&gt;28,"",CHOOSE(WEEKDAY(DATE(対象年度,5,28),2),"月","火","水","木","金","土","日"))</f>
        <v>木</v>
      </c>
      <c r="C31" s="32" t="str">
        <f>IF(DAY(DATE(対象年度,5,28))&lt;&gt;28,"",IF(ISNUMBER(MATCH(DATE(対象年度,5,28),祝日リスト,0)),"祝",""))</f>
        <v/>
      </c>
      <c r="D31" s="33"/>
      <c r="E31" s="34"/>
      <c r="F31" s="35" t="str">
        <f t="shared" si="0"/>
        <v/>
      </c>
      <c r="G31" s="36" t="str">
        <f t="shared" si="1"/>
        <v/>
      </c>
      <c r="H31" s="37"/>
      <c r="I31" s="33"/>
      <c r="J31" s="34"/>
      <c r="K31" s="35" t="str">
        <f t="shared" si="2"/>
        <v/>
      </c>
      <c r="L31" s="36" t="str">
        <f t="shared" si="3"/>
        <v/>
      </c>
      <c r="M31" s="37"/>
      <c r="N31" s="33"/>
      <c r="O31" s="34"/>
      <c r="P31" s="35" t="str">
        <f t="shared" si="4"/>
        <v/>
      </c>
      <c r="Q31" s="36" t="str">
        <f t="shared" si="5"/>
        <v/>
      </c>
      <c r="R31" s="37"/>
      <c r="S31" s="33"/>
      <c r="T31" s="34"/>
      <c r="U31" s="35" t="str">
        <f t="shared" si="6"/>
        <v/>
      </c>
      <c r="V31" s="36" t="str">
        <f t="shared" si="7"/>
        <v/>
      </c>
      <c r="W31" s="37"/>
      <c r="X31" s="33"/>
      <c r="Y31" s="34"/>
      <c r="Z31" s="35" t="str">
        <f t="shared" si="8"/>
        <v/>
      </c>
      <c r="AA31" s="36" t="str">
        <f t="shared" si="9"/>
        <v/>
      </c>
      <c r="AB31" s="37"/>
      <c r="AC31" s="33"/>
      <c r="AD31" s="34"/>
      <c r="AE31" s="35" t="str">
        <f t="shared" si="10"/>
        <v/>
      </c>
      <c r="AF31" s="36" t="str">
        <f t="shared" si="11"/>
        <v/>
      </c>
      <c r="AG31" s="37"/>
      <c r="AH31" s="33"/>
      <c r="AI31" s="34"/>
      <c r="AJ31" s="35" t="str">
        <f t="shared" si="12"/>
        <v/>
      </c>
      <c r="AK31" s="36" t="str">
        <f t="shared" si="13"/>
        <v/>
      </c>
      <c r="AL31" s="37"/>
      <c r="AM31" s="33"/>
      <c r="AN31" s="34"/>
      <c r="AO31" s="35" t="str">
        <f t="shared" si="14"/>
        <v/>
      </c>
      <c r="AP31" s="36" t="str">
        <f t="shared" si="15"/>
        <v/>
      </c>
      <c r="AQ31" s="37"/>
      <c r="AR31" s="33"/>
      <c r="AS31" s="34"/>
      <c r="AT31" s="35" t="str">
        <f t="shared" si="16"/>
        <v/>
      </c>
      <c r="AU31" s="36" t="str">
        <f t="shared" si="17"/>
        <v/>
      </c>
      <c r="AV31" s="37"/>
      <c r="AW31" s="33"/>
      <c r="AX31" s="34"/>
      <c r="AY31" s="35" t="str">
        <f t="shared" si="18"/>
        <v/>
      </c>
      <c r="AZ31" s="36" t="str">
        <f t="shared" si="19"/>
        <v/>
      </c>
      <c r="BA31" s="37"/>
      <c r="BB31" s="33"/>
      <c r="BC31" s="34"/>
      <c r="BD31" s="35" t="str">
        <f t="shared" si="20"/>
        <v/>
      </c>
      <c r="BE31" s="36" t="str">
        <f t="shared" si="21"/>
        <v/>
      </c>
      <c r="BF31" s="37"/>
      <c r="BG31" s="33"/>
      <c r="BH31" s="34"/>
      <c r="BI31" s="35" t="str">
        <f t="shared" si="22"/>
        <v/>
      </c>
      <c r="BJ31" s="36" t="str">
        <f t="shared" si="23"/>
        <v/>
      </c>
      <c r="BK31" s="37"/>
      <c r="BL31" s="33"/>
      <c r="BM31" s="34"/>
      <c r="BN31" s="35" t="str">
        <f t="shared" si="24"/>
        <v/>
      </c>
      <c r="BO31" s="36" t="str">
        <f t="shared" si="25"/>
        <v/>
      </c>
      <c r="BP31" s="37"/>
      <c r="BQ31" s="33"/>
      <c r="BR31" s="34"/>
      <c r="BS31" s="35" t="str">
        <f t="shared" si="26"/>
        <v/>
      </c>
      <c r="BT31" s="36" t="str">
        <f t="shared" si="27"/>
        <v/>
      </c>
      <c r="BU31" s="37"/>
      <c r="BV31" s="33"/>
      <c r="BW31" s="34"/>
      <c r="BX31" s="35" t="str">
        <f t="shared" si="28"/>
        <v/>
      </c>
      <c r="BY31" s="36" t="str">
        <f t="shared" si="29"/>
        <v/>
      </c>
      <c r="BZ31" s="37"/>
      <c r="CA31" s="33"/>
      <c r="CB31" s="34"/>
      <c r="CC31" s="35" t="str">
        <f t="shared" si="30"/>
        <v/>
      </c>
      <c r="CD31" s="36" t="str">
        <f t="shared" si="31"/>
        <v/>
      </c>
      <c r="CE31" s="37"/>
      <c r="CF31" s="33"/>
      <c r="CG31" s="34"/>
      <c r="CH31" s="35" t="str">
        <f t="shared" si="32"/>
        <v/>
      </c>
      <c r="CI31" s="36" t="str">
        <f t="shared" si="33"/>
        <v/>
      </c>
      <c r="CJ31" s="37"/>
      <c r="CK31" s="33"/>
      <c r="CL31" s="34"/>
      <c r="CM31" s="35" t="str">
        <f t="shared" si="34"/>
        <v/>
      </c>
      <c r="CN31" s="36" t="str">
        <f t="shared" si="35"/>
        <v/>
      </c>
      <c r="CO31" s="37"/>
      <c r="CP31" s="33"/>
      <c r="CQ31" s="34"/>
      <c r="CR31" s="35" t="str">
        <f t="shared" si="36"/>
        <v/>
      </c>
      <c r="CS31" s="36" t="str">
        <f t="shared" si="37"/>
        <v/>
      </c>
      <c r="CT31" s="37"/>
      <c r="CU31" s="33"/>
      <c r="CV31" s="34"/>
      <c r="CW31" s="35" t="str">
        <f t="shared" si="38"/>
        <v/>
      </c>
      <c r="CX31" s="36" t="str">
        <f t="shared" si="39"/>
        <v/>
      </c>
      <c r="CY31" s="37"/>
      <c r="CZ31" s="33"/>
      <c r="DA31" s="34"/>
      <c r="DB31" s="35" t="str">
        <f t="shared" si="40"/>
        <v/>
      </c>
      <c r="DC31" s="36" t="str">
        <f t="shared" si="41"/>
        <v/>
      </c>
      <c r="DD31" s="37"/>
      <c r="DE31" s="33"/>
      <c r="DF31" s="34"/>
      <c r="DG31" s="35" t="str">
        <f t="shared" si="42"/>
        <v/>
      </c>
      <c r="DH31" s="36" t="str">
        <f t="shared" si="43"/>
        <v/>
      </c>
      <c r="DI31" s="37"/>
      <c r="DJ31" s="33"/>
      <c r="DK31" s="34"/>
      <c r="DL31" s="35" t="str">
        <f t="shared" si="44"/>
        <v/>
      </c>
      <c r="DM31" s="36" t="str">
        <f t="shared" si="45"/>
        <v/>
      </c>
      <c r="DN31" s="37"/>
      <c r="DO31" s="33"/>
      <c r="DP31" s="34"/>
      <c r="DQ31" s="35" t="str">
        <f t="shared" si="46"/>
        <v/>
      </c>
      <c r="DR31" s="36" t="str">
        <f t="shared" si="47"/>
        <v/>
      </c>
      <c r="DS31" s="37"/>
      <c r="DT31" s="33"/>
      <c r="DU31" s="34"/>
      <c r="DV31" s="35" t="str">
        <f t="shared" si="48"/>
        <v/>
      </c>
      <c r="DW31" s="36" t="str">
        <f t="shared" si="49"/>
        <v/>
      </c>
      <c r="DX31" s="37"/>
      <c r="DY31" s="33"/>
      <c r="DZ31" s="34"/>
      <c r="EA31" s="35" t="str">
        <f t="shared" si="50"/>
        <v/>
      </c>
      <c r="EB31" s="36" t="str">
        <f t="shared" si="51"/>
        <v/>
      </c>
      <c r="EC31" s="37"/>
      <c r="ED31" s="33"/>
      <c r="EE31" s="34"/>
      <c r="EF31" s="35" t="str">
        <f t="shared" si="52"/>
        <v/>
      </c>
      <c r="EG31" s="36" t="str">
        <f t="shared" si="53"/>
        <v/>
      </c>
      <c r="EH31" s="37"/>
      <c r="EI31" s="33"/>
      <c r="EJ31" s="34"/>
      <c r="EK31" s="35" t="str">
        <f t="shared" si="54"/>
        <v/>
      </c>
      <c r="EL31" s="36" t="str">
        <f t="shared" si="55"/>
        <v/>
      </c>
      <c r="EM31" s="37"/>
      <c r="EN31" s="33"/>
      <c r="EO31" s="34"/>
      <c r="EP31" s="35" t="str">
        <f t="shared" si="56"/>
        <v/>
      </c>
      <c r="EQ31" s="36" t="str">
        <f t="shared" si="57"/>
        <v/>
      </c>
      <c r="ER31" s="37"/>
      <c r="ES31" s="33"/>
      <c r="ET31" s="34"/>
      <c r="EU31" s="35" t="str">
        <f t="shared" si="58"/>
        <v/>
      </c>
      <c r="EV31" s="36" t="str">
        <f t="shared" si="59"/>
        <v/>
      </c>
      <c r="EW31" s="37"/>
    </row>
    <row r="32" spans="1:153" ht="19.5" customHeight="1">
      <c r="A32" s="32">
        <f>IF(DAY(DATE(対象年度,5,29))&lt;&gt;29,"",29)</f>
        <v>29</v>
      </c>
      <c r="B32" s="32" t="str">
        <f>IF(DAY(DATE(対象年度,5,29))&lt;&gt;29,"",CHOOSE(WEEKDAY(DATE(対象年度,5,29),2),"月","火","水","木","金","土","日"))</f>
        <v>金</v>
      </c>
      <c r="C32" s="32" t="str">
        <f>IF(DAY(DATE(対象年度,5,29))&lt;&gt;29,"",IF(ISNUMBER(MATCH(DATE(対象年度,5,29),祝日リスト,0)),"祝",""))</f>
        <v/>
      </c>
      <c r="D32" s="33"/>
      <c r="E32" s="34"/>
      <c r="F32" s="35" t="str">
        <f t="shared" si="0"/>
        <v/>
      </c>
      <c r="G32" s="36" t="str">
        <f t="shared" si="1"/>
        <v/>
      </c>
      <c r="H32" s="37"/>
      <c r="I32" s="33"/>
      <c r="J32" s="34"/>
      <c r="K32" s="35" t="str">
        <f t="shared" si="2"/>
        <v/>
      </c>
      <c r="L32" s="36" t="str">
        <f t="shared" si="3"/>
        <v/>
      </c>
      <c r="M32" s="37"/>
      <c r="N32" s="33"/>
      <c r="O32" s="34"/>
      <c r="P32" s="35" t="str">
        <f t="shared" si="4"/>
        <v/>
      </c>
      <c r="Q32" s="36" t="str">
        <f t="shared" si="5"/>
        <v/>
      </c>
      <c r="R32" s="37"/>
      <c r="S32" s="33"/>
      <c r="T32" s="34"/>
      <c r="U32" s="35" t="str">
        <f t="shared" si="6"/>
        <v/>
      </c>
      <c r="V32" s="36" t="str">
        <f t="shared" si="7"/>
        <v/>
      </c>
      <c r="W32" s="37"/>
      <c r="X32" s="33"/>
      <c r="Y32" s="34"/>
      <c r="Z32" s="35" t="str">
        <f t="shared" si="8"/>
        <v/>
      </c>
      <c r="AA32" s="36" t="str">
        <f t="shared" si="9"/>
        <v/>
      </c>
      <c r="AB32" s="37"/>
      <c r="AC32" s="33"/>
      <c r="AD32" s="34"/>
      <c r="AE32" s="35" t="str">
        <f t="shared" si="10"/>
        <v/>
      </c>
      <c r="AF32" s="36" t="str">
        <f t="shared" si="11"/>
        <v/>
      </c>
      <c r="AG32" s="37"/>
      <c r="AH32" s="33"/>
      <c r="AI32" s="34"/>
      <c r="AJ32" s="35" t="str">
        <f t="shared" si="12"/>
        <v/>
      </c>
      <c r="AK32" s="36" t="str">
        <f t="shared" si="13"/>
        <v/>
      </c>
      <c r="AL32" s="37"/>
      <c r="AM32" s="33"/>
      <c r="AN32" s="34"/>
      <c r="AO32" s="35" t="str">
        <f t="shared" si="14"/>
        <v/>
      </c>
      <c r="AP32" s="36" t="str">
        <f t="shared" si="15"/>
        <v/>
      </c>
      <c r="AQ32" s="37"/>
      <c r="AR32" s="33"/>
      <c r="AS32" s="34"/>
      <c r="AT32" s="35" t="str">
        <f t="shared" si="16"/>
        <v/>
      </c>
      <c r="AU32" s="36" t="str">
        <f t="shared" si="17"/>
        <v/>
      </c>
      <c r="AV32" s="37"/>
      <c r="AW32" s="33"/>
      <c r="AX32" s="34"/>
      <c r="AY32" s="35" t="str">
        <f t="shared" si="18"/>
        <v/>
      </c>
      <c r="AZ32" s="36" t="str">
        <f t="shared" si="19"/>
        <v/>
      </c>
      <c r="BA32" s="37"/>
      <c r="BB32" s="33"/>
      <c r="BC32" s="34"/>
      <c r="BD32" s="35" t="str">
        <f t="shared" si="20"/>
        <v/>
      </c>
      <c r="BE32" s="36" t="str">
        <f t="shared" si="21"/>
        <v/>
      </c>
      <c r="BF32" s="37"/>
      <c r="BG32" s="33"/>
      <c r="BH32" s="34"/>
      <c r="BI32" s="35" t="str">
        <f t="shared" si="22"/>
        <v/>
      </c>
      <c r="BJ32" s="36" t="str">
        <f t="shared" si="23"/>
        <v/>
      </c>
      <c r="BK32" s="37"/>
      <c r="BL32" s="33"/>
      <c r="BM32" s="34"/>
      <c r="BN32" s="35" t="str">
        <f t="shared" si="24"/>
        <v/>
      </c>
      <c r="BO32" s="36" t="str">
        <f t="shared" si="25"/>
        <v/>
      </c>
      <c r="BP32" s="37"/>
      <c r="BQ32" s="33"/>
      <c r="BR32" s="34"/>
      <c r="BS32" s="35" t="str">
        <f t="shared" si="26"/>
        <v/>
      </c>
      <c r="BT32" s="36" t="str">
        <f t="shared" si="27"/>
        <v/>
      </c>
      <c r="BU32" s="37"/>
      <c r="BV32" s="33"/>
      <c r="BW32" s="34"/>
      <c r="BX32" s="35" t="str">
        <f t="shared" si="28"/>
        <v/>
      </c>
      <c r="BY32" s="36" t="str">
        <f t="shared" si="29"/>
        <v/>
      </c>
      <c r="BZ32" s="37"/>
      <c r="CA32" s="33"/>
      <c r="CB32" s="34"/>
      <c r="CC32" s="35" t="str">
        <f t="shared" si="30"/>
        <v/>
      </c>
      <c r="CD32" s="36" t="str">
        <f t="shared" si="31"/>
        <v/>
      </c>
      <c r="CE32" s="37"/>
      <c r="CF32" s="33"/>
      <c r="CG32" s="34"/>
      <c r="CH32" s="35" t="str">
        <f t="shared" si="32"/>
        <v/>
      </c>
      <c r="CI32" s="36" t="str">
        <f t="shared" si="33"/>
        <v/>
      </c>
      <c r="CJ32" s="37"/>
      <c r="CK32" s="33"/>
      <c r="CL32" s="34"/>
      <c r="CM32" s="35" t="str">
        <f t="shared" si="34"/>
        <v/>
      </c>
      <c r="CN32" s="36" t="str">
        <f t="shared" si="35"/>
        <v/>
      </c>
      <c r="CO32" s="37"/>
      <c r="CP32" s="33"/>
      <c r="CQ32" s="34"/>
      <c r="CR32" s="35" t="str">
        <f t="shared" si="36"/>
        <v/>
      </c>
      <c r="CS32" s="36" t="str">
        <f t="shared" si="37"/>
        <v/>
      </c>
      <c r="CT32" s="37"/>
      <c r="CU32" s="33"/>
      <c r="CV32" s="34"/>
      <c r="CW32" s="35" t="str">
        <f t="shared" si="38"/>
        <v/>
      </c>
      <c r="CX32" s="36" t="str">
        <f t="shared" si="39"/>
        <v/>
      </c>
      <c r="CY32" s="37"/>
      <c r="CZ32" s="33"/>
      <c r="DA32" s="34"/>
      <c r="DB32" s="35" t="str">
        <f t="shared" si="40"/>
        <v/>
      </c>
      <c r="DC32" s="36" t="str">
        <f t="shared" si="41"/>
        <v/>
      </c>
      <c r="DD32" s="37"/>
      <c r="DE32" s="33"/>
      <c r="DF32" s="34"/>
      <c r="DG32" s="35" t="str">
        <f t="shared" si="42"/>
        <v/>
      </c>
      <c r="DH32" s="36" t="str">
        <f t="shared" si="43"/>
        <v/>
      </c>
      <c r="DI32" s="37"/>
      <c r="DJ32" s="33"/>
      <c r="DK32" s="34"/>
      <c r="DL32" s="35" t="str">
        <f t="shared" si="44"/>
        <v/>
      </c>
      <c r="DM32" s="36" t="str">
        <f t="shared" si="45"/>
        <v/>
      </c>
      <c r="DN32" s="37"/>
      <c r="DO32" s="33"/>
      <c r="DP32" s="34"/>
      <c r="DQ32" s="35" t="str">
        <f t="shared" si="46"/>
        <v/>
      </c>
      <c r="DR32" s="36" t="str">
        <f t="shared" si="47"/>
        <v/>
      </c>
      <c r="DS32" s="37"/>
      <c r="DT32" s="33"/>
      <c r="DU32" s="34"/>
      <c r="DV32" s="35" t="str">
        <f t="shared" si="48"/>
        <v/>
      </c>
      <c r="DW32" s="36" t="str">
        <f t="shared" si="49"/>
        <v/>
      </c>
      <c r="DX32" s="37"/>
      <c r="DY32" s="33"/>
      <c r="DZ32" s="34"/>
      <c r="EA32" s="35" t="str">
        <f t="shared" si="50"/>
        <v/>
      </c>
      <c r="EB32" s="36" t="str">
        <f t="shared" si="51"/>
        <v/>
      </c>
      <c r="EC32" s="37"/>
      <c r="ED32" s="33"/>
      <c r="EE32" s="34"/>
      <c r="EF32" s="35" t="str">
        <f t="shared" si="52"/>
        <v/>
      </c>
      <c r="EG32" s="36" t="str">
        <f t="shared" si="53"/>
        <v/>
      </c>
      <c r="EH32" s="37"/>
      <c r="EI32" s="33"/>
      <c r="EJ32" s="34"/>
      <c r="EK32" s="35" t="str">
        <f t="shared" si="54"/>
        <v/>
      </c>
      <c r="EL32" s="36" t="str">
        <f t="shared" si="55"/>
        <v/>
      </c>
      <c r="EM32" s="37"/>
      <c r="EN32" s="33"/>
      <c r="EO32" s="34"/>
      <c r="EP32" s="35" t="str">
        <f t="shared" si="56"/>
        <v/>
      </c>
      <c r="EQ32" s="36" t="str">
        <f t="shared" si="57"/>
        <v/>
      </c>
      <c r="ER32" s="37"/>
      <c r="ES32" s="33"/>
      <c r="ET32" s="34"/>
      <c r="EU32" s="35" t="str">
        <f t="shared" si="58"/>
        <v/>
      </c>
      <c r="EV32" s="36" t="str">
        <f t="shared" si="59"/>
        <v/>
      </c>
      <c r="EW32" s="37"/>
    </row>
    <row r="33" spans="1:153" ht="19.5" customHeight="1">
      <c r="A33" s="32">
        <f>IF(DAY(DATE(対象年度,5,30))&lt;&gt;30,"",30)</f>
        <v>30</v>
      </c>
      <c r="B33" s="32" t="str">
        <f>IF(DAY(DATE(対象年度,5,30))&lt;&gt;30,"",CHOOSE(WEEKDAY(DATE(対象年度,5,30),2),"月","火","水","木","金","土","日"))</f>
        <v>土</v>
      </c>
      <c r="C33" s="32" t="str">
        <f>IF(DAY(DATE(対象年度,5,30))&lt;&gt;30,"",IF(ISNUMBER(MATCH(DATE(対象年度,5,30),祝日リスト,0)),"祝",""))</f>
        <v/>
      </c>
      <c r="D33" s="33"/>
      <c r="E33" s="34"/>
      <c r="F33" s="35" t="str">
        <f t="shared" si="0"/>
        <v/>
      </c>
      <c r="G33" s="36" t="str">
        <f t="shared" si="1"/>
        <v/>
      </c>
      <c r="H33" s="37"/>
      <c r="I33" s="33"/>
      <c r="J33" s="34"/>
      <c r="K33" s="35" t="str">
        <f t="shared" si="2"/>
        <v/>
      </c>
      <c r="L33" s="36" t="str">
        <f t="shared" si="3"/>
        <v/>
      </c>
      <c r="M33" s="37"/>
      <c r="N33" s="33"/>
      <c r="O33" s="34"/>
      <c r="P33" s="35" t="str">
        <f t="shared" si="4"/>
        <v/>
      </c>
      <c r="Q33" s="36" t="str">
        <f t="shared" si="5"/>
        <v/>
      </c>
      <c r="R33" s="37"/>
      <c r="S33" s="33"/>
      <c r="T33" s="34"/>
      <c r="U33" s="35" t="str">
        <f t="shared" si="6"/>
        <v/>
      </c>
      <c r="V33" s="36" t="str">
        <f t="shared" si="7"/>
        <v/>
      </c>
      <c r="W33" s="37"/>
      <c r="X33" s="33"/>
      <c r="Y33" s="34"/>
      <c r="Z33" s="35" t="str">
        <f t="shared" si="8"/>
        <v/>
      </c>
      <c r="AA33" s="36" t="str">
        <f t="shared" si="9"/>
        <v/>
      </c>
      <c r="AB33" s="37"/>
      <c r="AC33" s="33"/>
      <c r="AD33" s="34"/>
      <c r="AE33" s="35" t="str">
        <f t="shared" si="10"/>
        <v/>
      </c>
      <c r="AF33" s="36" t="str">
        <f t="shared" si="11"/>
        <v/>
      </c>
      <c r="AG33" s="37"/>
      <c r="AH33" s="33"/>
      <c r="AI33" s="34"/>
      <c r="AJ33" s="35" t="str">
        <f t="shared" si="12"/>
        <v/>
      </c>
      <c r="AK33" s="36" t="str">
        <f t="shared" si="13"/>
        <v/>
      </c>
      <c r="AL33" s="37"/>
      <c r="AM33" s="33"/>
      <c r="AN33" s="34"/>
      <c r="AO33" s="35" t="str">
        <f t="shared" si="14"/>
        <v/>
      </c>
      <c r="AP33" s="36" t="str">
        <f t="shared" si="15"/>
        <v/>
      </c>
      <c r="AQ33" s="37"/>
      <c r="AR33" s="33"/>
      <c r="AS33" s="34"/>
      <c r="AT33" s="35" t="str">
        <f t="shared" si="16"/>
        <v/>
      </c>
      <c r="AU33" s="36" t="str">
        <f t="shared" si="17"/>
        <v/>
      </c>
      <c r="AV33" s="37"/>
      <c r="AW33" s="33"/>
      <c r="AX33" s="34"/>
      <c r="AY33" s="35" t="str">
        <f t="shared" si="18"/>
        <v/>
      </c>
      <c r="AZ33" s="36" t="str">
        <f t="shared" si="19"/>
        <v/>
      </c>
      <c r="BA33" s="37"/>
      <c r="BB33" s="33"/>
      <c r="BC33" s="34"/>
      <c r="BD33" s="35" t="str">
        <f t="shared" si="20"/>
        <v/>
      </c>
      <c r="BE33" s="36" t="str">
        <f t="shared" si="21"/>
        <v/>
      </c>
      <c r="BF33" s="37"/>
      <c r="BG33" s="33"/>
      <c r="BH33" s="34"/>
      <c r="BI33" s="35" t="str">
        <f t="shared" si="22"/>
        <v/>
      </c>
      <c r="BJ33" s="36" t="str">
        <f t="shared" si="23"/>
        <v/>
      </c>
      <c r="BK33" s="37"/>
      <c r="BL33" s="33"/>
      <c r="BM33" s="34"/>
      <c r="BN33" s="35" t="str">
        <f t="shared" si="24"/>
        <v/>
      </c>
      <c r="BO33" s="36" t="str">
        <f t="shared" si="25"/>
        <v/>
      </c>
      <c r="BP33" s="37"/>
      <c r="BQ33" s="33"/>
      <c r="BR33" s="34"/>
      <c r="BS33" s="35" t="str">
        <f t="shared" si="26"/>
        <v/>
      </c>
      <c r="BT33" s="36" t="str">
        <f t="shared" si="27"/>
        <v/>
      </c>
      <c r="BU33" s="37"/>
      <c r="BV33" s="33"/>
      <c r="BW33" s="34"/>
      <c r="BX33" s="35" t="str">
        <f t="shared" si="28"/>
        <v/>
      </c>
      <c r="BY33" s="36" t="str">
        <f t="shared" si="29"/>
        <v/>
      </c>
      <c r="BZ33" s="37"/>
      <c r="CA33" s="33"/>
      <c r="CB33" s="34"/>
      <c r="CC33" s="35" t="str">
        <f t="shared" si="30"/>
        <v/>
      </c>
      <c r="CD33" s="36" t="str">
        <f t="shared" si="31"/>
        <v/>
      </c>
      <c r="CE33" s="37"/>
      <c r="CF33" s="33"/>
      <c r="CG33" s="34"/>
      <c r="CH33" s="35" t="str">
        <f t="shared" si="32"/>
        <v/>
      </c>
      <c r="CI33" s="36" t="str">
        <f t="shared" si="33"/>
        <v/>
      </c>
      <c r="CJ33" s="37"/>
      <c r="CK33" s="33"/>
      <c r="CL33" s="34"/>
      <c r="CM33" s="35" t="str">
        <f t="shared" si="34"/>
        <v/>
      </c>
      <c r="CN33" s="36" t="str">
        <f t="shared" si="35"/>
        <v/>
      </c>
      <c r="CO33" s="37"/>
      <c r="CP33" s="33"/>
      <c r="CQ33" s="34"/>
      <c r="CR33" s="35" t="str">
        <f t="shared" si="36"/>
        <v/>
      </c>
      <c r="CS33" s="36" t="str">
        <f t="shared" si="37"/>
        <v/>
      </c>
      <c r="CT33" s="37"/>
      <c r="CU33" s="33"/>
      <c r="CV33" s="34"/>
      <c r="CW33" s="35" t="str">
        <f t="shared" si="38"/>
        <v/>
      </c>
      <c r="CX33" s="36" t="str">
        <f t="shared" si="39"/>
        <v/>
      </c>
      <c r="CY33" s="37"/>
      <c r="CZ33" s="33"/>
      <c r="DA33" s="34"/>
      <c r="DB33" s="35" t="str">
        <f t="shared" si="40"/>
        <v/>
      </c>
      <c r="DC33" s="36" t="str">
        <f t="shared" si="41"/>
        <v/>
      </c>
      <c r="DD33" s="37"/>
      <c r="DE33" s="33"/>
      <c r="DF33" s="34"/>
      <c r="DG33" s="35" t="str">
        <f t="shared" si="42"/>
        <v/>
      </c>
      <c r="DH33" s="36" t="str">
        <f t="shared" si="43"/>
        <v/>
      </c>
      <c r="DI33" s="37"/>
      <c r="DJ33" s="33"/>
      <c r="DK33" s="34"/>
      <c r="DL33" s="35" t="str">
        <f t="shared" si="44"/>
        <v/>
      </c>
      <c r="DM33" s="36" t="str">
        <f t="shared" si="45"/>
        <v/>
      </c>
      <c r="DN33" s="37"/>
      <c r="DO33" s="33"/>
      <c r="DP33" s="34"/>
      <c r="DQ33" s="35" t="str">
        <f t="shared" si="46"/>
        <v/>
      </c>
      <c r="DR33" s="36" t="str">
        <f t="shared" si="47"/>
        <v/>
      </c>
      <c r="DS33" s="37"/>
      <c r="DT33" s="33"/>
      <c r="DU33" s="34"/>
      <c r="DV33" s="35" t="str">
        <f t="shared" si="48"/>
        <v/>
      </c>
      <c r="DW33" s="36" t="str">
        <f t="shared" si="49"/>
        <v/>
      </c>
      <c r="DX33" s="37"/>
      <c r="DY33" s="33"/>
      <c r="DZ33" s="34"/>
      <c r="EA33" s="35" t="str">
        <f t="shared" si="50"/>
        <v/>
      </c>
      <c r="EB33" s="36" t="str">
        <f t="shared" si="51"/>
        <v/>
      </c>
      <c r="EC33" s="37"/>
      <c r="ED33" s="33"/>
      <c r="EE33" s="34"/>
      <c r="EF33" s="35" t="str">
        <f t="shared" si="52"/>
        <v/>
      </c>
      <c r="EG33" s="36" t="str">
        <f t="shared" si="53"/>
        <v/>
      </c>
      <c r="EH33" s="37"/>
      <c r="EI33" s="33"/>
      <c r="EJ33" s="34"/>
      <c r="EK33" s="35" t="str">
        <f t="shared" si="54"/>
        <v/>
      </c>
      <c r="EL33" s="36" t="str">
        <f t="shared" si="55"/>
        <v/>
      </c>
      <c r="EM33" s="37"/>
      <c r="EN33" s="33"/>
      <c r="EO33" s="34"/>
      <c r="EP33" s="35" t="str">
        <f t="shared" si="56"/>
        <v/>
      </c>
      <c r="EQ33" s="36" t="str">
        <f t="shared" si="57"/>
        <v/>
      </c>
      <c r="ER33" s="37"/>
      <c r="ES33" s="33"/>
      <c r="ET33" s="34"/>
      <c r="EU33" s="35" t="str">
        <f t="shared" si="58"/>
        <v/>
      </c>
      <c r="EV33" s="36" t="str">
        <f t="shared" si="59"/>
        <v/>
      </c>
      <c r="EW33" s="37"/>
    </row>
    <row r="34" spans="1:153" ht="19.5" customHeight="1">
      <c r="A34" s="39">
        <f>IF(DAY(DATE(対象年度,5,31))&lt;&gt;31,"",31)</f>
        <v>31</v>
      </c>
      <c r="B34" s="39" t="str">
        <f>IF(DAY(DATE(対象年度,5,31))&lt;&gt;31,"",CHOOSE(WEEKDAY(DATE(対象年度,5,31),2),"月","火","水","木","金","土","日"))</f>
        <v>日</v>
      </c>
      <c r="C34" s="39" t="str">
        <f>IF(DAY(DATE(対象年度,5,31))&lt;&gt;31,"",IF(ISNUMBER(MATCH(DATE(対象年度,5,31),祝日リスト,0)),"祝",""))</f>
        <v/>
      </c>
      <c r="D34" s="40"/>
      <c r="E34" s="41"/>
      <c r="F34" s="42" t="str">
        <f t="shared" si="0"/>
        <v/>
      </c>
      <c r="G34" s="43" t="str">
        <f t="shared" si="1"/>
        <v/>
      </c>
      <c r="H34" s="44"/>
      <c r="I34" s="40"/>
      <c r="J34" s="41"/>
      <c r="K34" s="42" t="str">
        <f t="shared" si="2"/>
        <v/>
      </c>
      <c r="L34" s="43" t="str">
        <f t="shared" si="3"/>
        <v/>
      </c>
      <c r="M34" s="44"/>
      <c r="N34" s="40"/>
      <c r="O34" s="41"/>
      <c r="P34" s="42" t="str">
        <f t="shared" si="4"/>
        <v/>
      </c>
      <c r="Q34" s="43" t="str">
        <f t="shared" si="5"/>
        <v/>
      </c>
      <c r="R34" s="44"/>
      <c r="S34" s="40"/>
      <c r="T34" s="41"/>
      <c r="U34" s="42" t="str">
        <f t="shared" si="6"/>
        <v/>
      </c>
      <c r="V34" s="43" t="str">
        <f t="shared" si="7"/>
        <v/>
      </c>
      <c r="W34" s="44"/>
      <c r="X34" s="40"/>
      <c r="Y34" s="41"/>
      <c r="Z34" s="42" t="str">
        <f t="shared" si="8"/>
        <v/>
      </c>
      <c r="AA34" s="43" t="str">
        <f t="shared" si="9"/>
        <v/>
      </c>
      <c r="AB34" s="44"/>
      <c r="AC34" s="40"/>
      <c r="AD34" s="41"/>
      <c r="AE34" s="42" t="str">
        <f t="shared" si="10"/>
        <v/>
      </c>
      <c r="AF34" s="43" t="str">
        <f t="shared" si="11"/>
        <v/>
      </c>
      <c r="AG34" s="44"/>
      <c r="AH34" s="40"/>
      <c r="AI34" s="41"/>
      <c r="AJ34" s="42" t="str">
        <f t="shared" si="12"/>
        <v/>
      </c>
      <c r="AK34" s="43" t="str">
        <f t="shared" si="13"/>
        <v/>
      </c>
      <c r="AL34" s="44"/>
      <c r="AM34" s="40"/>
      <c r="AN34" s="41"/>
      <c r="AO34" s="42" t="str">
        <f t="shared" si="14"/>
        <v/>
      </c>
      <c r="AP34" s="43" t="str">
        <f t="shared" si="15"/>
        <v/>
      </c>
      <c r="AQ34" s="44"/>
      <c r="AR34" s="40"/>
      <c r="AS34" s="41"/>
      <c r="AT34" s="42" t="str">
        <f t="shared" si="16"/>
        <v/>
      </c>
      <c r="AU34" s="43" t="str">
        <f t="shared" si="17"/>
        <v/>
      </c>
      <c r="AV34" s="44"/>
      <c r="AW34" s="40"/>
      <c r="AX34" s="41"/>
      <c r="AY34" s="42" t="str">
        <f t="shared" si="18"/>
        <v/>
      </c>
      <c r="AZ34" s="43" t="str">
        <f t="shared" si="19"/>
        <v/>
      </c>
      <c r="BA34" s="44"/>
      <c r="BB34" s="40"/>
      <c r="BC34" s="41"/>
      <c r="BD34" s="42" t="str">
        <f t="shared" si="20"/>
        <v/>
      </c>
      <c r="BE34" s="43" t="str">
        <f t="shared" si="21"/>
        <v/>
      </c>
      <c r="BF34" s="44"/>
      <c r="BG34" s="40"/>
      <c r="BH34" s="41"/>
      <c r="BI34" s="42" t="str">
        <f t="shared" si="22"/>
        <v/>
      </c>
      <c r="BJ34" s="43" t="str">
        <f t="shared" si="23"/>
        <v/>
      </c>
      <c r="BK34" s="44"/>
      <c r="BL34" s="40"/>
      <c r="BM34" s="41"/>
      <c r="BN34" s="42" t="str">
        <f t="shared" si="24"/>
        <v/>
      </c>
      <c r="BO34" s="43" t="str">
        <f t="shared" si="25"/>
        <v/>
      </c>
      <c r="BP34" s="44"/>
      <c r="BQ34" s="40"/>
      <c r="BR34" s="41"/>
      <c r="BS34" s="42" t="str">
        <f t="shared" si="26"/>
        <v/>
      </c>
      <c r="BT34" s="43" t="str">
        <f t="shared" si="27"/>
        <v/>
      </c>
      <c r="BU34" s="44"/>
      <c r="BV34" s="40"/>
      <c r="BW34" s="41"/>
      <c r="BX34" s="42" t="str">
        <f t="shared" si="28"/>
        <v/>
      </c>
      <c r="BY34" s="43" t="str">
        <f t="shared" si="29"/>
        <v/>
      </c>
      <c r="BZ34" s="44"/>
      <c r="CA34" s="40"/>
      <c r="CB34" s="41"/>
      <c r="CC34" s="42" t="str">
        <f t="shared" si="30"/>
        <v/>
      </c>
      <c r="CD34" s="43" t="str">
        <f t="shared" si="31"/>
        <v/>
      </c>
      <c r="CE34" s="44"/>
      <c r="CF34" s="40"/>
      <c r="CG34" s="41"/>
      <c r="CH34" s="42" t="str">
        <f t="shared" si="32"/>
        <v/>
      </c>
      <c r="CI34" s="43" t="str">
        <f t="shared" si="33"/>
        <v/>
      </c>
      <c r="CJ34" s="44"/>
      <c r="CK34" s="40"/>
      <c r="CL34" s="41"/>
      <c r="CM34" s="42" t="str">
        <f t="shared" si="34"/>
        <v/>
      </c>
      <c r="CN34" s="43" t="str">
        <f t="shared" si="35"/>
        <v/>
      </c>
      <c r="CO34" s="44"/>
      <c r="CP34" s="40"/>
      <c r="CQ34" s="41"/>
      <c r="CR34" s="42" t="str">
        <f t="shared" si="36"/>
        <v/>
      </c>
      <c r="CS34" s="43" t="str">
        <f t="shared" si="37"/>
        <v/>
      </c>
      <c r="CT34" s="44"/>
      <c r="CU34" s="40"/>
      <c r="CV34" s="41"/>
      <c r="CW34" s="42" t="str">
        <f t="shared" si="38"/>
        <v/>
      </c>
      <c r="CX34" s="43" t="str">
        <f t="shared" si="39"/>
        <v/>
      </c>
      <c r="CY34" s="44"/>
      <c r="CZ34" s="40"/>
      <c r="DA34" s="41"/>
      <c r="DB34" s="42" t="str">
        <f t="shared" si="40"/>
        <v/>
      </c>
      <c r="DC34" s="43" t="str">
        <f t="shared" si="41"/>
        <v/>
      </c>
      <c r="DD34" s="44"/>
      <c r="DE34" s="40"/>
      <c r="DF34" s="41"/>
      <c r="DG34" s="42" t="str">
        <f t="shared" si="42"/>
        <v/>
      </c>
      <c r="DH34" s="43" t="str">
        <f t="shared" si="43"/>
        <v/>
      </c>
      <c r="DI34" s="44"/>
      <c r="DJ34" s="40"/>
      <c r="DK34" s="41"/>
      <c r="DL34" s="42" t="str">
        <f t="shared" si="44"/>
        <v/>
      </c>
      <c r="DM34" s="43" t="str">
        <f t="shared" si="45"/>
        <v/>
      </c>
      <c r="DN34" s="44"/>
      <c r="DO34" s="40"/>
      <c r="DP34" s="41"/>
      <c r="DQ34" s="42" t="str">
        <f t="shared" si="46"/>
        <v/>
      </c>
      <c r="DR34" s="43" t="str">
        <f t="shared" si="47"/>
        <v/>
      </c>
      <c r="DS34" s="44"/>
      <c r="DT34" s="40"/>
      <c r="DU34" s="41"/>
      <c r="DV34" s="42" t="str">
        <f t="shared" si="48"/>
        <v/>
      </c>
      <c r="DW34" s="43" t="str">
        <f t="shared" si="49"/>
        <v/>
      </c>
      <c r="DX34" s="44"/>
      <c r="DY34" s="40"/>
      <c r="DZ34" s="41"/>
      <c r="EA34" s="42" t="str">
        <f t="shared" si="50"/>
        <v/>
      </c>
      <c r="EB34" s="43" t="str">
        <f t="shared" si="51"/>
        <v/>
      </c>
      <c r="EC34" s="44"/>
      <c r="ED34" s="40"/>
      <c r="EE34" s="41"/>
      <c r="EF34" s="42" t="str">
        <f t="shared" si="52"/>
        <v/>
      </c>
      <c r="EG34" s="43" t="str">
        <f t="shared" si="53"/>
        <v/>
      </c>
      <c r="EH34" s="44"/>
      <c r="EI34" s="40"/>
      <c r="EJ34" s="41"/>
      <c r="EK34" s="42" t="str">
        <f t="shared" si="54"/>
        <v/>
      </c>
      <c r="EL34" s="43" t="str">
        <f t="shared" si="55"/>
        <v/>
      </c>
      <c r="EM34" s="44"/>
      <c r="EN34" s="40"/>
      <c r="EO34" s="41"/>
      <c r="EP34" s="42" t="str">
        <f t="shared" si="56"/>
        <v/>
      </c>
      <c r="EQ34" s="43" t="str">
        <f t="shared" si="57"/>
        <v/>
      </c>
      <c r="ER34" s="44"/>
      <c r="ES34" s="40"/>
      <c r="ET34" s="41"/>
      <c r="EU34" s="42" t="str">
        <f t="shared" si="58"/>
        <v/>
      </c>
      <c r="EV34" s="43" t="str">
        <f t="shared" si="5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0</v>
      </c>
      <c r="E35" s="94"/>
      <c r="F35" s="94"/>
      <c r="G35" s="94"/>
      <c r="H35" s="94"/>
      <c r="I35" s="94">
        <f>COUNTIF(K4:K34,"○")</f>
        <v>0</v>
      </c>
      <c r="J35" s="94"/>
      <c r="K35" s="94"/>
      <c r="L35" s="94"/>
      <c r="M35" s="94"/>
      <c r="N35" s="94">
        <f>COUNTIF(P4:P34,"○")</f>
        <v>0</v>
      </c>
      <c r="O35" s="94"/>
      <c r="P35" s="94"/>
      <c r="Q35" s="94"/>
      <c r="R35" s="94"/>
      <c r="S35" s="94">
        <f>COUNTIF(U4:U34,"○")</f>
        <v>0</v>
      </c>
      <c r="T35" s="94"/>
      <c r="U35" s="94"/>
      <c r="V35" s="94"/>
      <c r="W35" s="94"/>
      <c r="X35" s="94">
        <f>COUNTIF(Z4:Z34,"○")</f>
        <v>0</v>
      </c>
      <c r="Y35" s="94"/>
      <c r="Z35" s="94"/>
      <c r="AA35" s="94"/>
      <c r="AB35" s="94"/>
      <c r="AC35" s="94">
        <f>COUNTIF(AE4:AE34,"○")</f>
        <v>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0</v>
      </c>
      <c r="E37" s="98"/>
      <c r="F37" s="98"/>
      <c r="G37" s="98"/>
      <c r="H37" s="98"/>
      <c r="I37" s="98">
        <f>I35+I36</f>
        <v>0</v>
      </c>
      <c r="J37" s="98"/>
      <c r="K37" s="98"/>
      <c r="L37" s="98"/>
      <c r="M37" s="98"/>
      <c r="N37" s="98">
        <f>N35+N36</f>
        <v>0</v>
      </c>
      <c r="O37" s="98"/>
      <c r="P37" s="98"/>
      <c r="Q37" s="98"/>
      <c r="R37" s="98"/>
      <c r="S37" s="98">
        <f>S35+S36</f>
        <v>0</v>
      </c>
      <c r="T37" s="98"/>
      <c r="U37" s="98"/>
      <c r="V37" s="98"/>
      <c r="W37" s="98"/>
      <c r="X37" s="98">
        <f>X35+X36</f>
        <v>0</v>
      </c>
      <c r="Y37" s="98"/>
      <c r="Z37" s="98"/>
      <c r="AA37" s="98"/>
      <c r="AB37" s="98"/>
      <c r="AC37" s="98">
        <f>AC35+AC36</f>
        <v>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0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568" priority="63">
      <formula>$B4="日"</formula>
    </cfRule>
    <cfRule type="expression" dxfId="567" priority="64">
      <formula>$B4="土"</formula>
    </cfRule>
    <cfRule type="expression" dxfId="566" priority="62">
      <formula>AND($A4&lt;&gt;"",ISNUMBER(MATCH(DATE(対象年度,5,$A4),祝日リスト,0)))</formula>
    </cfRule>
  </conditionalFormatting>
  <conditionalFormatting sqref="D4:D34">
    <cfRule type="expression" dxfId="565" priority="3">
      <formula>$D4="休業"</formula>
    </cfRule>
    <cfRule type="expression" dxfId="564" priority="2">
      <formula>$D4="有給"</formula>
    </cfRule>
  </conditionalFormatting>
  <conditionalFormatting sqref="I4:I34">
    <cfRule type="expression" dxfId="563" priority="4">
      <formula>$I4="有給"</formula>
    </cfRule>
    <cfRule type="expression" dxfId="562" priority="5">
      <formula>$I4="休業"</formula>
    </cfRule>
  </conditionalFormatting>
  <conditionalFormatting sqref="N4:N34">
    <cfRule type="expression" dxfId="561" priority="6">
      <formula>$N4="有給"</formula>
    </cfRule>
    <cfRule type="expression" dxfId="560" priority="7">
      <formula>$N4="休業"</formula>
    </cfRule>
  </conditionalFormatting>
  <conditionalFormatting sqref="S4:S34">
    <cfRule type="expression" dxfId="559" priority="8">
      <formula>$S4="有給"</formula>
    </cfRule>
    <cfRule type="expression" dxfId="558" priority="9">
      <formula>$S4="休業"</formula>
    </cfRule>
  </conditionalFormatting>
  <conditionalFormatting sqref="X4:X34">
    <cfRule type="expression" dxfId="557" priority="10">
      <formula>$X4="有給"</formula>
    </cfRule>
    <cfRule type="expression" dxfId="556" priority="11">
      <formula>$X4="休業"</formula>
    </cfRule>
  </conditionalFormatting>
  <conditionalFormatting sqref="AC4:AC34">
    <cfRule type="expression" dxfId="555" priority="12">
      <formula>$AC4="有給"</formula>
    </cfRule>
    <cfRule type="expression" dxfId="554" priority="13">
      <formula>$AC4="休業"</formula>
    </cfRule>
  </conditionalFormatting>
  <conditionalFormatting sqref="AH4:AH34">
    <cfRule type="expression" dxfId="553" priority="14">
      <formula>$AH4="有給"</formula>
    </cfRule>
    <cfRule type="expression" dxfId="552" priority="15">
      <formula>$AH4="休業"</formula>
    </cfRule>
  </conditionalFormatting>
  <conditionalFormatting sqref="AM4:AM34">
    <cfRule type="expression" dxfId="551" priority="17">
      <formula>$AM4="休業"</formula>
    </cfRule>
    <cfRule type="expression" dxfId="550" priority="16">
      <formula>$AM4="有給"</formula>
    </cfRule>
  </conditionalFormatting>
  <conditionalFormatting sqref="AR4:AR34">
    <cfRule type="expression" dxfId="549" priority="19">
      <formula>$AR4="休業"</formula>
    </cfRule>
    <cfRule type="expression" dxfId="548" priority="18">
      <formula>$AR4="有給"</formula>
    </cfRule>
  </conditionalFormatting>
  <conditionalFormatting sqref="AW4:AW34">
    <cfRule type="expression" dxfId="547" priority="20">
      <formula>$AW4="有給"</formula>
    </cfRule>
    <cfRule type="expression" dxfId="546" priority="21">
      <formula>$AW4="休業"</formula>
    </cfRule>
  </conditionalFormatting>
  <conditionalFormatting sqref="BB4:BB34">
    <cfRule type="expression" dxfId="545" priority="22">
      <formula>$BB4="有給"</formula>
    </cfRule>
    <cfRule type="expression" dxfId="544" priority="23">
      <formula>$BB4="休業"</formula>
    </cfRule>
  </conditionalFormatting>
  <conditionalFormatting sqref="BG4:BG34">
    <cfRule type="expression" dxfId="543" priority="24">
      <formula>$BG4="有給"</formula>
    </cfRule>
    <cfRule type="expression" dxfId="542" priority="25">
      <formula>$BG4="休業"</formula>
    </cfRule>
  </conditionalFormatting>
  <conditionalFormatting sqref="BL4:BL34">
    <cfRule type="expression" dxfId="541" priority="26">
      <formula>$BL4="有給"</formula>
    </cfRule>
    <cfRule type="expression" dxfId="540" priority="27">
      <formula>$BL4="休業"</formula>
    </cfRule>
  </conditionalFormatting>
  <conditionalFormatting sqref="BQ4:BQ34">
    <cfRule type="expression" dxfId="539" priority="28">
      <formula>$BQ4="有給"</formula>
    </cfRule>
    <cfRule type="expression" dxfId="538" priority="29">
      <formula>$BQ4="休業"</formula>
    </cfRule>
  </conditionalFormatting>
  <conditionalFormatting sqref="BV4:BV34">
    <cfRule type="expression" dxfId="537" priority="30">
      <formula>$BV4="有給"</formula>
    </cfRule>
    <cfRule type="expression" dxfId="536" priority="31">
      <formula>$BV4="休業"</formula>
    </cfRule>
  </conditionalFormatting>
  <conditionalFormatting sqref="CA4:CA34">
    <cfRule type="expression" dxfId="535" priority="33">
      <formula>$CA4="休業"</formula>
    </cfRule>
    <cfRule type="expression" dxfId="534" priority="32">
      <formula>$CA4="有給"</formula>
    </cfRule>
  </conditionalFormatting>
  <conditionalFormatting sqref="CF4:CF34">
    <cfRule type="expression" dxfId="533" priority="34">
      <formula>$CF4="有給"</formula>
    </cfRule>
    <cfRule type="expression" dxfId="532" priority="35">
      <formula>$CF4="休業"</formula>
    </cfRule>
  </conditionalFormatting>
  <conditionalFormatting sqref="CK4:CK34">
    <cfRule type="expression" dxfId="531" priority="37">
      <formula>$CK4="休業"</formula>
    </cfRule>
    <cfRule type="expression" dxfId="530" priority="36">
      <formula>$CK4="有給"</formula>
    </cfRule>
  </conditionalFormatting>
  <conditionalFormatting sqref="CP4:CP34">
    <cfRule type="expression" dxfId="529" priority="38">
      <formula>$CP4="有給"</formula>
    </cfRule>
    <cfRule type="expression" dxfId="528" priority="39">
      <formula>$CP4="休業"</formula>
    </cfRule>
  </conditionalFormatting>
  <conditionalFormatting sqref="CU4:CU34">
    <cfRule type="expression" dxfId="527" priority="40">
      <formula>$CU4="有給"</formula>
    </cfRule>
    <cfRule type="expression" dxfId="526" priority="41">
      <formula>$CU4="休業"</formula>
    </cfRule>
  </conditionalFormatting>
  <conditionalFormatting sqref="CZ4:CZ34">
    <cfRule type="expression" dxfId="525" priority="42">
      <formula>$CZ4="有給"</formula>
    </cfRule>
    <cfRule type="expression" dxfId="524" priority="43">
      <formula>$CZ4="休業"</formula>
    </cfRule>
  </conditionalFormatting>
  <conditionalFormatting sqref="DE4:DE34">
    <cfRule type="expression" dxfId="523" priority="44">
      <formula>$DE4="有給"</formula>
    </cfRule>
    <cfRule type="expression" dxfId="522" priority="45">
      <formula>$DE4="休業"</formula>
    </cfRule>
  </conditionalFormatting>
  <conditionalFormatting sqref="DJ4:DJ34">
    <cfRule type="expression" dxfId="521" priority="46">
      <formula>$DJ4="有給"</formula>
    </cfRule>
    <cfRule type="expression" dxfId="520" priority="47">
      <formula>$DJ4="休業"</formula>
    </cfRule>
  </conditionalFormatting>
  <conditionalFormatting sqref="DO4:DO34">
    <cfRule type="expression" dxfId="519" priority="48">
      <formula>$DO4="有給"</formula>
    </cfRule>
    <cfRule type="expression" dxfId="518" priority="49">
      <formula>$DO4="休業"</formula>
    </cfRule>
  </conditionalFormatting>
  <conditionalFormatting sqref="DT4:DT34">
    <cfRule type="expression" dxfId="517" priority="51">
      <formula>$DT4="休業"</formula>
    </cfRule>
    <cfRule type="expression" dxfId="516" priority="50">
      <formula>$DT4="有給"</formula>
    </cfRule>
  </conditionalFormatting>
  <conditionalFormatting sqref="DY4:DY34">
    <cfRule type="expression" dxfId="515" priority="52">
      <formula>$DY4="有給"</formula>
    </cfRule>
    <cfRule type="expression" dxfId="514" priority="53">
      <formula>$DY4="休業"</formula>
    </cfRule>
  </conditionalFormatting>
  <conditionalFormatting sqref="ED4:ED34">
    <cfRule type="expression" dxfId="513" priority="54">
      <formula>$ED4="有給"</formula>
    </cfRule>
    <cfRule type="expression" dxfId="512" priority="55">
      <formula>$ED4="休業"</formula>
    </cfRule>
  </conditionalFormatting>
  <conditionalFormatting sqref="EI4:EI34">
    <cfRule type="expression" dxfId="511" priority="56">
      <formula>$EI4="有給"</formula>
    </cfRule>
    <cfRule type="expression" dxfId="510" priority="57">
      <formula>$EI4="休業"</formula>
    </cfRule>
  </conditionalFormatting>
  <conditionalFormatting sqref="EN4:EN34">
    <cfRule type="expression" dxfId="509" priority="58">
      <formula>$EN4="有給"</formula>
    </cfRule>
    <cfRule type="expression" dxfId="508" priority="59">
      <formula>$EN4="休業"</formula>
    </cfRule>
  </conditionalFormatting>
  <conditionalFormatting sqref="ES4:ES34">
    <cfRule type="expression" dxfId="507" priority="60">
      <formula>$ES4="有給"</formula>
    </cfRule>
    <cfRule type="expression" dxfId="506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7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W4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7109375" defaultRowHeight="15"/>
  <cols>
    <col min="1" max="1" width="5" customWidth="1"/>
    <col min="2" max="3" width="4" customWidth="1"/>
    <col min="4" max="5" width="13" customWidth="1"/>
    <col min="6" max="7" width="6" customWidth="1"/>
    <col min="8" max="8" width="7" customWidth="1"/>
    <col min="9" max="10" width="13" customWidth="1"/>
    <col min="11" max="12" width="6" customWidth="1"/>
    <col min="13" max="13" width="7" customWidth="1"/>
    <col min="14" max="15" width="13" customWidth="1"/>
    <col min="16" max="17" width="6" customWidth="1"/>
    <col min="18" max="18" width="7" customWidth="1"/>
    <col min="19" max="20" width="13" customWidth="1"/>
    <col min="21" max="22" width="6" customWidth="1"/>
    <col min="23" max="23" width="7" customWidth="1"/>
    <col min="24" max="25" width="13" customWidth="1"/>
    <col min="26" max="27" width="6" customWidth="1"/>
    <col min="28" max="28" width="7" customWidth="1"/>
    <col min="29" max="30" width="13" customWidth="1"/>
    <col min="31" max="32" width="6" customWidth="1"/>
    <col min="33" max="33" width="7" customWidth="1"/>
    <col min="34" max="35" width="13" customWidth="1"/>
    <col min="36" max="37" width="6" customWidth="1"/>
    <col min="38" max="38" width="7" customWidth="1"/>
    <col min="39" max="40" width="13" customWidth="1"/>
    <col min="41" max="42" width="6" customWidth="1"/>
    <col min="43" max="43" width="7" customWidth="1"/>
    <col min="44" max="45" width="13" customWidth="1"/>
    <col min="46" max="47" width="6" customWidth="1"/>
    <col min="48" max="48" width="7" customWidth="1"/>
    <col min="49" max="50" width="13" customWidth="1"/>
    <col min="51" max="52" width="6" customWidth="1"/>
    <col min="53" max="53" width="7" customWidth="1"/>
    <col min="54" max="55" width="13" customWidth="1"/>
    <col min="56" max="57" width="6" customWidth="1"/>
    <col min="58" max="58" width="7" customWidth="1"/>
    <col min="59" max="60" width="13" customWidth="1"/>
    <col min="61" max="62" width="6" customWidth="1"/>
    <col min="63" max="63" width="7" customWidth="1"/>
    <col min="64" max="65" width="13" customWidth="1"/>
    <col min="66" max="67" width="6" customWidth="1"/>
    <col min="68" max="68" width="7" customWidth="1"/>
    <col min="69" max="70" width="13" customWidth="1"/>
    <col min="71" max="72" width="6" customWidth="1"/>
    <col min="73" max="73" width="7" customWidth="1"/>
    <col min="74" max="75" width="13" customWidth="1"/>
    <col min="76" max="77" width="6" customWidth="1"/>
    <col min="78" max="78" width="7" customWidth="1"/>
    <col min="79" max="80" width="13" customWidth="1"/>
    <col min="81" max="82" width="6" customWidth="1"/>
    <col min="83" max="83" width="7" customWidth="1"/>
    <col min="84" max="85" width="13" customWidth="1"/>
    <col min="86" max="87" width="6" customWidth="1"/>
    <col min="88" max="88" width="7" customWidth="1"/>
    <col min="89" max="90" width="13" customWidth="1"/>
    <col min="91" max="92" width="6" customWidth="1"/>
    <col min="93" max="93" width="7" customWidth="1"/>
    <col min="94" max="95" width="13" customWidth="1"/>
    <col min="96" max="97" width="6" customWidth="1"/>
    <col min="98" max="98" width="7" customWidth="1"/>
    <col min="99" max="100" width="13" customWidth="1"/>
    <col min="101" max="102" width="6" customWidth="1"/>
    <col min="103" max="103" width="7" customWidth="1"/>
    <col min="104" max="105" width="13" customWidth="1"/>
    <col min="106" max="107" width="6" customWidth="1"/>
    <col min="108" max="108" width="7" customWidth="1"/>
    <col min="109" max="110" width="13" customWidth="1"/>
    <col min="111" max="112" width="6" customWidth="1"/>
    <col min="113" max="113" width="7" customWidth="1"/>
    <col min="114" max="115" width="13" customWidth="1"/>
    <col min="116" max="117" width="6" customWidth="1"/>
    <col min="118" max="118" width="7" customWidth="1"/>
    <col min="119" max="120" width="13" customWidth="1"/>
    <col min="121" max="122" width="6" customWidth="1"/>
    <col min="123" max="123" width="7" customWidth="1"/>
    <col min="124" max="125" width="13" customWidth="1"/>
    <col min="126" max="127" width="6" customWidth="1"/>
    <col min="128" max="128" width="7" customWidth="1"/>
    <col min="129" max="130" width="13" customWidth="1"/>
    <col min="131" max="132" width="6" customWidth="1"/>
    <col min="133" max="133" width="7" customWidth="1"/>
    <col min="134" max="135" width="13" customWidth="1"/>
    <col min="136" max="137" width="6" customWidth="1"/>
    <col min="138" max="138" width="7" customWidth="1"/>
    <col min="139" max="140" width="13" customWidth="1"/>
    <col min="141" max="142" width="6" customWidth="1"/>
    <col min="143" max="143" width="7" customWidth="1"/>
    <col min="144" max="145" width="13" customWidth="1"/>
    <col min="146" max="147" width="6" customWidth="1"/>
    <col min="148" max="148" width="7" customWidth="1"/>
    <col min="149" max="150" width="13" customWidth="1"/>
    <col min="151" max="152" width="6" customWidth="1"/>
    <col min="153" max="153" width="7" customWidth="1"/>
  </cols>
  <sheetData>
    <row r="1" spans="1:153" ht="36" customHeight="1">
      <c r="A1" s="91" t="str">
        <f>" "&amp;対象年度&amp;"年 6月分　出面表　"</f>
        <v xml:space="preserve"> 2026年 6月分　出面表　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</row>
    <row r="2" spans="1:153" ht="25.5" customHeight="1">
      <c r="A2" s="21"/>
      <c r="B2" s="21"/>
      <c r="C2" s="21"/>
      <c r="D2" s="92" t="str">
        <f>IFERROR(IF(従業員マスタ!$C$4="","",対象年度&amp;"年6月　"&amp;従業員マスタ!$C$4),"")</f>
        <v>2026年6月　建設　太郎</v>
      </c>
      <c r="E2" s="92"/>
      <c r="F2" s="92"/>
      <c r="G2" s="92"/>
      <c r="H2" s="92"/>
      <c r="I2" s="92" t="str">
        <f>IFERROR(IF(従業員マスタ!$C$5="","",対象年度&amp;"年6月　"&amp;従業員マスタ!$C$5),"")</f>
        <v>2026年6月　配管　次郎</v>
      </c>
      <c r="J2" s="92"/>
      <c r="K2" s="92"/>
      <c r="L2" s="92"/>
      <c r="M2" s="92"/>
      <c r="N2" s="92" t="str">
        <f>IFERROR(IF(従業員マスタ!$C$6="","",対象年度&amp;"年6月　"&amp;従業員マスタ!$C$6),"")</f>
        <v>2026年6月　設備　一郎</v>
      </c>
      <c r="O2" s="92"/>
      <c r="P2" s="92"/>
      <c r="Q2" s="92"/>
      <c r="R2" s="92"/>
      <c r="S2" s="92" t="str">
        <f>IFERROR(IF(従業員マスタ!$C$7="","",対象年度&amp;"年6月　"&amp;従業員マスタ!$C$7),"")</f>
        <v>2026年6月　土木　三郎</v>
      </c>
      <c r="T2" s="92"/>
      <c r="U2" s="92"/>
      <c r="V2" s="92"/>
      <c r="W2" s="92"/>
      <c r="X2" s="92" t="str">
        <f>IFERROR(IF(従業員マスタ!$C$8="","",対象年度&amp;"年6月　"&amp;従業員マスタ!$C$8),"")</f>
        <v>2026年6月　塗装　史郎</v>
      </c>
      <c r="Y2" s="92"/>
      <c r="Z2" s="92"/>
      <c r="AA2" s="92"/>
      <c r="AB2" s="92"/>
      <c r="AC2" s="92" t="str">
        <f>IFERROR(IF(従業員マスタ!$C$9="","",対象年度&amp;"年6月　"&amp;従業員マスタ!$C$9),"")</f>
        <v>2026年6月　電工　五郎</v>
      </c>
      <c r="AD2" s="92"/>
      <c r="AE2" s="92"/>
      <c r="AF2" s="92"/>
      <c r="AG2" s="92"/>
      <c r="AH2" s="92" t="str">
        <f>IFERROR(IF(従業員マスタ!$C$10="","",対象年度&amp;"年6月　"&amp;従業員マスタ!$C$10),"")</f>
        <v>2026年6月　現場　花子</v>
      </c>
      <c r="AI2" s="92"/>
      <c r="AJ2" s="92"/>
      <c r="AK2" s="92"/>
      <c r="AL2" s="92"/>
      <c r="AM2" s="92" t="str">
        <f>IFERROR(IF(従業員マスタ!$C$11="","",対象年度&amp;"年6月　"&amp;従業員マスタ!$C$11),"")</f>
        <v/>
      </c>
      <c r="AN2" s="92"/>
      <c r="AO2" s="92"/>
      <c r="AP2" s="92"/>
      <c r="AQ2" s="92"/>
      <c r="AR2" s="92" t="str">
        <f>IFERROR(IF(従業員マスタ!$C$12="","",対象年度&amp;"年6月　"&amp;従業員マスタ!$C$12),"")</f>
        <v/>
      </c>
      <c r="AS2" s="92"/>
      <c r="AT2" s="92"/>
      <c r="AU2" s="92"/>
      <c r="AV2" s="92"/>
      <c r="AW2" s="92" t="str">
        <f>IFERROR(IF(従業員マスタ!$C$13="","",対象年度&amp;"年6月　"&amp;従業員マスタ!$C$13),"")</f>
        <v/>
      </c>
      <c r="AX2" s="92"/>
      <c r="AY2" s="92"/>
      <c r="AZ2" s="92"/>
      <c r="BA2" s="92"/>
      <c r="BB2" s="92" t="str">
        <f>IFERROR(IF(従業員マスタ!$C$14="","",対象年度&amp;"年6月　"&amp;従業員マスタ!$C$14),"")</f>
        <v/>
      </c>
      <c r="BC2" s="92"/>
      <c r="BD2" s="92"/>
      <c r="BE2" s="92"/>
      <c r="BF2" s="92"/>
      <c r="BG2" s="92" t="str">
        <f>IFERROR(IF(従業員マスタ!$C$15="","",対象年度&amp;"年6月　"&amp;従業員マスタ!$C$15),"")</f>
        <v/>
      </c>
      <c r="BH2" s="92"/>
      <c r="BI2" s="92"/>
      <c r="BJ2" s="92"/>
      <c r="BK2" s="92"/>
      <c r="BL2" s="92" t="str">
        <f>IFERROR(IF(従業員マスタ!$C$16="","",対象年度&amp;"年6月　"&amp;従業員マスタ!$C$16),"")</f>
        <v/>
      </c>
      <c r="BM2" s="92"/>
      <c r="BN2" s="92"/>
      <c r="BO2" s="92"/>
      <c r="BP2" s="92"/>
      <c r="BQ2" s="92" t="str">
        <f>IFERROR(IF(従業員マスタ!$C$17="","",対象年度&amp;"年6月　"&amp;従業員マスタ!$C$17),"")</f>
        <v/>
      </c>
      <c r="BR2" s="92"/>
      <c r="BS2" s="92"/>
      <c r="BT2" s="92"/>
      <c r="BU2" s="92"/>
      <c r="BV2" s="92" t="str">
        <f>IFERROR(IF(従業員マスタ!$C$18="","",対象年度&amp;"年6月　"&amp;従業員マスタ!$C$18),"")</f>
        <v/>
      </c>
      <c r="BW2" s="92"/>
      <c r="BX2" s="92"/>
      <c r="BY2" s="92"/>
      <c r="BZ2" s="92"/>
      <c r="CA2" s="92" t="str">
        <f>IFERROR(IF(従業員マスタ!$C$19="","",対象年度&amp;"年6月　"&amp;従業員マスタ!$C$19),"")</f>
        <v/>
      </c>
      <c r="CB2" s="92"/>
      <c r="CC2" s="92"/>
      <c r="CD2" s="92"/>
      <c r="CE2" s="92"/>
      <c r="CF2" s="92" t="str">
        <f>IFERROR(IF(従業員マスタ!$C$20="","",対象年度&amp;"年6月　"&amp;従業員マスタ!$C$20),"")</f>
        <v/>
      </c>
      <c r="CG2" s="92"/>
      <c r="CH2" s="92"/>
      <c r="CI2" s="92"/>
      <c r="CJ2" s="92"/>
      <c r="CK2" s="92" t="str">
        <f>IFERROR(IF(従業員マスタ!$C$21="","",対象年度&amp;"年6月　"&amp;従業員マスタ!$C$21),"")</f>
        <v/>
      </c>
      <c r="CL2" s="92"/>
      <c r="CM2" s="92"/>
      <c r="CN2" s="92"/>
      <c r="CO2" s="92"/>
      <c r="CP2" s="92" t="str">
        <f>IFERROR(IF(従業員マスタ!$C$22="","",対象年度&amp;"年6月　"&amp;従業員マスタ!$C$22),"")</f>
        <v/>
      </c>
      <c r="CQ2" s="92"/>
      <c r="CR2" s="92"/>
      <c r="CS2" s="92"/>
      <c r="CT2" s="92"/>
      <c r="CU2" s="92" t="str">
        <f>IFERROR(IF(従業員マスタ!$C$23="","",対象年度&amp;"年6月　"&amp;従業員マスタ!$C$23),"")</f>
        <v/>
      </c>
      <c r="CV2" s="92"/>
      <c r="CW2" s="92"/>
      <c r="CX2" s="92"/>
      <c r="CY2" s="92"/>
      <c r="CZ2" s="92" t="str">
        <f>IFERROR(IF(従業員マスタ!$C$24="","",対象年度&amp;"年6月　"&amp;従業員マスタ!$C$24),"")</f>
        <v/>
      </c>
      <c r="DA2" s="92"/>
      <c r="DB2" s="92"/>
      <c r="DC2" s="92"/>
      <c r="DD2" s="92"/>
      <c r="DE2" s="92" t="str">
        <f>IFERROR(IF(従業員マスタ!$C$25="","",対象年度&amp;"年6月　"&amp;従業員マスタ!$C$25),"")</f>
        <v/>
      </c>
      <c r="DF2" s="92"/>
      <c r="DG2" s="92"/>
      <c r="DH2" s="92"/>
      <c r="DI2" s="92"/>
      <c r="DJ2" s="92" t="str">
        <f>IFERROR(IF(従業員マスタ!$C$26="","",対象年度&amp;"年6月　"&amp;従業員マスタ!$C$26),"")</f>
        <v/>
      </c>
      <c r="DK2" s="92"/>
      <c r="DL2" s="92"/>
      <c r="DM2" s="92"/>
      <c r="DN2" s="92"/>
      <c r="DO2" s="92" t="str">
        <f>IFERROR(IF(従業員マスタ!$C$27="","",対象年度&amp;"年6月　"&amp;従業員マスタ!$C$27),"")</f>
        <v/>
      </c>
      <c r="DP2" s="92"/>
      <c r="DQ2" s="92"/>
      <c r="DR2" s="92"/>
      <c r="DS2" s="92"/>
      <c r="DT2" s="92" t="str">
        <f>IFERROR(IF(従業員マスタ!$C$28="","",対象年度&amp;"年6月　"&amp;従業員マスタ!$C$28),"")</f>
        <v/>
      </c>
      <c r="DU2" s="92"/>
      <c r="DV2" s="92"/>
      <c r="DW2" s="92"/>
      <c r="DX2" s="92"/>
      <c r="DY2" s="92" t="str">
        <f>IFERROR(IF(従業員マスタ!$C$29="","",対象年度&amp;"年6月　"&amp;従業員マスタ!$C$29),"")</f>
        <v/>
      </c>
      <c r="DZ2" s="92"/>
      <c r="EA2" s="92"/>
      <c r="EB2" s="92"/>
      <c r="EC2" s="92"/>
      <c r="ED2" s="92" t="str">
        <f>IFERROR(IF(従業員マスタ!$C$30="","",対象年度&amp;"年6月　"&amp;従業員マスタ!$C$30),"")</f>
        <v/>
      </c>
      <c r="EE2" s="92"/>
      <c r="EF2" s="92"/>
      <c r="EG2" s="92"/>
      <c r="EH2" s="92"/>
      <c r="EI2" s="92" t="str">
        <f>IFERROR(IF(従業員マスタ!$C$31="","",対象年度&amp;"年6月　"&amp;従業員マスタ!$C$31),"")</f>
        <v/>
      </c>
      <c r="EJ2" s="92"/>
      <c r="EK2" s="92"/>
      <c r="EL2" s="92"/>
      <c r="EM2" s="92"/>
      <c r="EN2" s="92" t="str">
        <f>IFERROR(IF(従業員マスタ!$C$32="","",対象年度&amp;"年6月　"&amp;従業員マスタ!$C$32),"")</f>
        <v/>
      </c>
      <c r="EO2" s="92"/>
      <c r="EP2" s="92"/>
      <c r="EQ2" s="92"/>
      <c r="ER2" s="92"/>
      <c r="ES2" s="92" t="str">
        <f>IFERROR(IF(従業員マスタ!$C$33="","",対象年度&amp;"年6月　"&amp;従業員マスタ!$C$33),"")</f>
        <v/>
      </c>
      <c r="ET2" s="92"/>
      <c r="EU2" s="92"/>
      <c r="EV2" s="92"/>
      <c r="EW2" s="92"/>
    </row>
    <row r="3" spans="1:153" ht="24" customHeight="1">
      <c r="A3" s="22" t="s">
        <v>66</v>
      </c>
      <c r="B3" s="22" t="s">
        <v>67</v>
      </c>
      <c r="C3" s="22" t="s">
        <v>68</v>
      </c>
      <c r="D3" s="23" t="s">
        <v>69</v>
      </c>
      <c r="E3" s="24" t="s">
        <v>70</v>
      </c>
      <c r="F3" s="22" t="s">
        <v>71</v>
      </c>
      <c r="G3" s="22" t="s">
        <v>72</v>
      </c>
      <c r="H3" s="25" t="s">
        <v>73</v>
      </c>
      <c r="I3" s="23" t="s">
        <v>69</v>
      </c>
      <c r="J3" s="24" t="s">
        <v>70</v>
      </c>
      <c r="K3" s="22" t="s">
        <v>71</v>
      </c>
      <c r="L3" s="22" t="s">
        <v>72</v>
      </c>
      <c r="M3" s="25" t="s">
        <v>73</v>
      </c>
      <c r="N3" s="23" t="s">
        <v>69</v>
      </c>
      <c r="O3" s="24" t="s">
        <v>70</v>
      </c>
      <c r="P3" s="22" t="s">
        <v>71</v>
      </c>
      <c r="Q3" s="22" t="s">
        <v>72</v>
      </c>
      <c r="R3" s="25" t="s">
        <v>73</v>
      </c>
      <c r="S3" s="23" t="s">
        <v>69</v>
      </c>
      <c r="T3" s="24" t="s">
        <v>70</v>
      </c>
      <c r="U3" s="22" t="s">
        <v>71</v>
      </c>
      <c r="V3" s="22" t="s">
        <v>72</v>
      </c>
      <c r="W3" s="25" t="s">
        <v>73</v>
      </c>
      <c r="X3" s="23" t="s">
        <v>69</v>
      </c>
      <c r="Y3" s="24" t="s">
        <v>70</v>
      </c>
      <c r="Z3" s="22" t="s">
        <v>71</v>
      </c>
      <c r="AA3" s="22" t="s">
        <v>72</v>
      </c>
      <c r="AB3" s="25" t="s">
        <v>73</v>
      </c>
      <c r="AC3" s="23" t="s">
        <v>69</v>
      </c>
      <c r="AD3" s="24" t="s">
        <v>70</v>
      </c>
      <c r="AE3" s="22" t="s">
        <v>71</v>
      </c>
      <c r="AF3" s="22" t="s">
        <v>72</v>
      </c>
      <c r="AG3" s="25" t="s">
        <v>73</v>
      </c>
      <c r="AH3" s="23" t="s">
        <v>69</v>
      </c>
      <c r="AI3" s="24" t="s">
        <v>70</v>
      </c>
      <c r="AJ3" s="22" t="s">
        <v>71</v>
      </c>
      <c r="AK3" s="22" t="s">
        <v>72</v>
      </c>
      <c r="AL3" s="25" t="s">
        <v>73</v>
      </c>
      <c r="AM3" s="23" t="s">
        <v>69</v>
      </c>
      <c r="AN3" s="24" t="s">
        <v>70</v>
      </c>
      <c r="AO3" s="22" t="s">
        <v>71</v>
      </c>
      <c r="AP3" s="22" t="s">
        <v>72</v>
      </c>
      <c r="AQ3" s="25" t="s">
        <v>73</v>
      </c>
      <c r="AR3" s="23" t="s">
        <v>69</v>
      </c>
      <c r="AS3" s="24" t="s">
        <v>70</v>
      </c>
      <c r="AT3" s="22" t="s">
        <v>71</v>
      </c>
      <c r="AU3" s="22" t="s">
        <v>72</v>
      </c>
      <c r="AV3" s="25" t="s">
        <v>73</v>
      </c>
      <c r="AW3" s="23" t="s">
        <v>69</v>
      </c>
      <c r="AX3" s="24" t="s">
        <v>70</v>
      </c>
      <c r="AY3" s="22" t="s">
        <v>71</v>
      </c>
      <c r="AZ3" s="22" t="s">
        <v>72</v>
      </c>
      <c r="BA3" s="25" t="s">
        <v>73</v>
      </c>
      <c r="BB3" s="23" t="s">
        <v>69</v>
      </c>
      <c r="BC3" s="24" t="s">
        <v>70</v>
      </c>
      <c r="BD3" s="22" t="s">
        <v>71</v>
      </c>
      <c r="BE3" s="22" t="s">
        <v>72</v>
      </c>
      <c r="BF3" s="25" t="s">
        <v>73</v>
      </c>
      <c r="BG3" s="23" t="s">
        <v>69</v>
      </c>
      <c r="BH3" s="24" t="s">
        <v>70</v>
      </c>
      <c r="BI3" s="22" t="s">
        <v>71</v>
      </c>
      <c r="BJ3" s="22" t="s">
        <v>72</v>
      </c>
      <c r="BK3" s="25" t="s">
        <v>73</v>
      </c>
      <c r="BL3" s="23" t="s">
        <v>69</v>
      </c>
      <c r="BM3" s="24" t="s">
        <v>70</v>
      </c>
      <c r="BN3" s="22" t="s">
        <v>71</v>
      </c>
      <c r="BO3" s="22" t="s">
        <v>72</v>
      </c>
      <c r="BP3" s="25" t="s">
        <v>73</v>
      </c>
      <c r="BQ3" s="23" t="s">
        <v>69</v>
      </c>
      <c r="BR3" s="24" t="s">
        <v>70</v>
      </c>
      <c r="BS3" s="22" t="s">
        <v>71</v>
      </c>
      <c r="BT3" s="22" t="s">
        <v>72</v>
      </c>
      <c r="BU3" s="25" t="s">
        <v>73</v>
      </c>
      <c r="BV3" s="23" t="s">
        <v>69</v>
      </c>
      <c r="BW3" s="24" t="s">
        <v>70</v>
      </c>
      <c r="BX3" s="22" t="s">
        <v>71</v>
      </c>
      <c r="BY3" s="22" t="s">
        <v>72</v>
      </c>
      <c r="BZ3" s="25" t="s">
        <v>73</v>
      </c>
      <c r="CA3" s="23" t="s">
        <v>69</v>
      </c>
      <c r="CB3" s="24" t="s">
        <v>70</v>
      </c>
      <c r="CC3" s="22" t="s">
        <v>71</v>
      </c>
      <c r="CD3" s="22" t="s">
        <v>72</v>
      </c>
      <c r="CE3" s="25" t="s">
        <v>73</v>
      </c>
      <c r="CF3" s="23" t="s">
        <v>69</v>
      </c>
      <c r="CG3" s="24" t="s">
        <v>70</v>
      </c>
      <c r="CH3" s="22" t="s">
        <v>71</v>
      </c>
      <c r="CI3" s="22" t="s">
        <v>72</v>
      </c>
      <c r="CJ3" s="25" t="s">
        <v>73</v>
      </c>
      <c r="CK3" s="23" t="s">
        <v>69</v>
      </c>
      <c r="CL3" s="24" t="s">
        <v>70</v>
      </c>
      <c r="CM3" s="22" t="s">
        <v>71</v>
      </c>
      <c r="CN3" s="22" t="s">
        <v>72</v>
      </c>
      <c r="CO3" s="25" t="s">
        <v>73</v>
      </c>
      <c r="CP3" s="23" t="s">
        <v>69</v>
      </c>
      <c r="CQ3" s="24" t="s">
        <v>70</v>
      </c>
      <c r="CR3" s="22" t="s">
        <v>71</v>
      </c>
      <c r="CS3" s="22" t="s">
        <v>72</v>
      </c>
      <c r="CT3" s="25" t="s">
        <v>73</v>
      </c>
      <c r="CU3" s="23" t="s">
        <v>69</v>
      </c>
      <c r="CV3" s="24" t="s">
        <v>70</v>
      </c>
      <c r="CW3" s="22" t="s">
        <v>71</v>
      </c>
      <c r="CX3" s="22" t="s">
        <v>72</v>
      </c>
      <c r="CY3" s="25" t="s">
        <v>73</v>
      </c>
      <c r="CZ3" s="23" t="s">
        <v>69</v>
      </c>
      <c r="DA3" s="24" t="s">
        <v>70</v>
      </c>
      <c r="DB3" s="22" t="s">
        <v>71</v>
      </c>
      <c r="DC3" s="22" t="s">
        <v>72</v>
      </c>
      <c r="DD3" s="25" t="s">
        <v>73</v>
      </c>
      <c r="DE3" s="23" t="s">
        <v>69</v>
      </c>
      <c r="DF3" s="24" t="s">
        <v>70</v>
      </c>
      <c r="DG3" s="22" t="s">
        <v>71</v>
      </c>
      <c r="DH3" s="22" t="s">
        <v>72</v>
      </c>
      <c r="DI3" s="25" t="s">
        <v>73</v>
      </c>
      <c r="DJ3" s="23" t="s">
        <v>69</v>
      </c>
      <c r="DK3" s="24" t="s">
        <v>70</v>
      </c>
      <c r="DL3" s="22" t="s">
        <v>71</v>
      </c>
      <c r="DM3" s="22" t="s">
        <v>72</v>
      </c>
      <c r="DN3" s="25" t="s">
        <v>73</v>
      </c>
      <c r="DO3" s="23" t="s">
        <v>69</v>
      </c>
      <c r="DP3" s="24" t="s">
        <v>70</v>
      </c>
      <c r="DQ3" s="22" t="s">
        <v>71</v>
      </c>
      <c r="DR3" s="22" t="s">
        <v>72</v>
      </c>
      <c r="DS3" s="25" t="s">
        <v>73</v>
      </c>
      <c r="DT3" s="23" t="s">
        <v>69</v>
      </c>
      <c r="DU3" s="24" t="s">
        <v>70</v>
      </c>
      <c r="DV3" s="22" t="s">
        <v>71</v>
      </c>
      <c r="DW3" s="22" t="s">
        <v>72</v>
      </c>
      <c r="DX3" s="25" t="s">
        <v>73</v>
      </c>
      <c r="DY3" s="23" t="s">
        <v>69</v>
      </c>
      <c r="DZ3" s="24" t="s">
        <v>70</v>
      </c>
      <c r="EA3" s="22" t="s">
        <v>71</v>
      </c>
      <c r="EB3" s="22" t="s">
        <v>72</v>
      </c>
      <c r="EC3" s="25" t="s">
        <v>73</v>
      </c>
      <c r="ED3" s="23" t="s">
        <v>69</v>
      </c>
      <c r="EE3" s="24" t="s">
        <v>70</v>
      </c>
      <c r="EF3" s="22" t="s">
        <v>71</v>
      </c>
      <c r="EG3" s="22" t="s">
        <v>72</v>
      </c>
      <c r="EH3" s="25" t="s">
        <v>73</v>
      </c>
      <c r="EI3" s="23" t="s">
        <v>69</v>
      </c>
      <c r="EJ3" s="24" t="s">
        <v>70</v>
      </c>
      <c r="EK3" s="22" t="s">
        <v>71</v>
      </c>
      <c r="EL3" s="22" t="s">
        <v>72</v>
      </c>
      <c r="EM3" s="25" t="s">
        <v>73</v>
      </c>
      <c r="EN3" s="23" t="s">
        <v>69</v>
      </c>
      <c r="EO3" s="24" t="s">
        <v>70</v>
      </c>
      <c r="EP3" s="22" t="s">
        <v>71</v>
      </c>
      <c r="EQ3" s="22" t="s">
        <v>72</v>
      </c>
      <c r="ER3" s="25" t="s">
        <v>73</v>
      </c>
      <c r="ES3" s="23" t="s">
        <v>69</v>
      </c>
      <c r="ET3" s="24" t="s">
        <v>70</v>
      </c>
      <c r="EU3" s="22" t="s">
        <v>71</v>
      </c>
      <c r="EV3" s="22" t="s">
        <v>72</v>
      </c>
      <c r="EW3" s="25" t="s">
        <v>73</v>
      </c>
    </row>
    <row r="4" spans="1:153" ht="19.5" customHeight="1">
      <c r="A4" s="26">
        <f>IF(DAY(DATE(対象年度,6,1))&lt;&gt;1,"",1)</f>
        <v>1</v>
      </c>
      <c r="B4" s="26" t="str">
        <f>IF(DAY(DATE(対象年度,6,1))&lt;&gt;1,"",CHOOSE(WEEKDAY(DATE(対象年度,6,1),2),"月","火","水","木","金","土","日"))</f>
        <v>月</v>
      </c>
      <c r="C4" s="26" t="str">
        <f>IF(DAY(DATE(対象年度,6,1))&lt;&gt;1,"",IF(ISNUMBER(MATCH(DATE(対象年度,6,1),祝日リスト,0)),"祝",""))</f>
        <v/>
      </c>
      <c r="D4" s="27"/>
      <c r="E4" s="28"/>
      <c r="F4" s="29" t="str">
        <f t="shared" ref="F4:F34" si="0">IF(D4="","",IF(ISNUMBER(SEARCH("夜勤",D4)),"",IF(A4="","","○")))</f>
        <v/>
      </c>
      <c r="G4" s="30" t="str">
        <f t="shared" ref="G4:G34" si="1">IF(A4="","",IF(OR(AND(E4&lt;&gt;"",NOT(OR(E4="有給",E4="休業"))),ISNUMBER(SEARCH("夜勤",D4))),"○",""))</f>
        <v/>
      </c>
      <c r="H4" s="31"/>
      <c r="I4" s="27"/>
      <c r="J4" s="28"/>
      <c r="K4" s="29" t="str">
        <f t="shared" ref="K4:K34" si="2">IF(I4="","",IF(ISNUMBER(SEARCH("夜勤",I4)),"",IF(A4="","","○")))</f>
        <v/>
      </c>
      <c r="L4" s="30" t="str">
        <f t="shared" ref="L4:L34" si="3">IF(A4="","",IF(OR(AND(J4&lt;&gt;"",NOT(OR(J4="有給",J4="休業"))),ISNUMBER(SEARCH("夜勤",I4))),"○",""))</f>
        <v/>
      </c>
      <c r="M4" s="31"/>
      <c r="N4" s="27"/>
      <c r="O4" s="28"/>
      <c r="P4" s="29" t="str">
        <f t="shared" ref="P4:P34" si="4">IF(N4="","",IF(ISNUMBER(SEARCH("夜勤",N4)),"",IF(A4="","","○")))</f>
        <v/>
      </c>
      <c r="Q4" s="30" t="str">
        <f t="shared" ref="Q4:Q34" si="5">IF(A4="","",IF(OR(AND(O4&lt;&gt;"",NOT(OR(O4="有給",O4="休業"))),ISNUMBER(SEARCH("夜勤",N4))),"○",""))</f>
        <v/>
      </c>
      <c r="R4" s="31"/>
      <c r="S4" s="27"/>
      <c r="T4" s="28"/>
      <c r="U4" s="29" t="str">
        <f t="shared" ref="U4:U34" si="6">IF(S4="","",IF(ISNUMBER(SEARCH("夜勤",S4)),"",IF(A4="","","○")))</f>
        <v/>
      </c>
      <c r="V4" s="30" t="str">
        <f t="shared" ref="V4:V34" si="7">IF(A4="","",IF(OR(AND(T4&lt;&gt;"",NOT(OR(T4="有給",T4="休業"))),ISNUMBER(SEARCH("夜勤",S4))),"○",""))</f>
        <v/>
      </c>
      <c r="W4" s="31"/>
      <c r="X4" s="27"/>
      <c r="Y4" s="28"/>
      <c r="Z4" s="29" t="str">
        <f t="shared" ref="Z4:Z34" si="8">IF(X4="","",IF(ISNUMBER(SEARCH("夜勤",X4)),"",IF(A4="","","○")))</f>
        <v/>
      </c>
      <c r="AA4" s="30" t="str">
        <f t="shared" ref="AA4:AA34" si="9">IF(A4="","",IF(OR(AND(Y4&lt;&gt;"",NOT(OR(Y4="有給",Y4="休業"))),ISNUMBER(SEARCH("夜勤",X4))),"○",""))</f>
        <v/>
      </c>
      <c r="AB4" s="31"/>
      <c r="AC4" s="27"/>
      <c r="AD4" s="28"/>
      <c r="AE4" s="29" t="str">
        <f t="shared" ref="AE4:AE34" si="10">IF(AC4="","",IF(ISNUMBER(SEARCH("夜勤",AC4)),"",IF(A4="","","○")))</f>
        <v/>
      </c>
      <c r="AF4" s="30" t="str">
        <f t="shared" ref="AF4:AF34" si="11">IF(A4="","",IF(OR(AND(AD4&lt;&gt;"",NOT(OR(AD4="有給",AD4="休業"))),ISNUMBER(SEARCH("夜勤",AC4))),"○",""))</f>
        <v/>
      </c>
      <c r="AG4" s="31"/>
      <c r="AH4" s="27"/>
      <c r="AI4" s="28"/>
      <c r="AJ4" s="29" t="str">
        <f t="shared" ref="AJ4:AJ34" si="12">IF(AH4="","",IF(ISNUMBER(SEARCH("夜勤",AH4)),"",IF(A4="","","○")))</f>
        <v/>
      </c>
      <c r="AK4" s="30" t="str">
        <f t="shared" ref="AK4:AK34" si="13">IF(A4="","",IF(OR(AND(AI4&lt;&gt;"",NOT(OR(AI4="有給",AI4="休業"))),ISNUMBER(SEARCH("夜勤",AH4))),"○",""))</f>
        <v/>
      </c>
      <c r="AL4" s="31"/>
      <c r="AM4" s="27"/>
      <c r="AN4" s="28"/>
      <c r="AO4" s="29" t="str">
        <f t="shared" ref="AO4:AO34" si="14">IF(AM4="","",IF(ISNUMBER(SEARCH("夜勤",AM4)),"",IF(A4="","","○")))</f>
        <v/>
      </c>
      <c r="AP4" s="30" t="str">
        <f t="shared" ref="AP4:AP34" si="15">IF(A4="","",IF(OR(AND(AN4&lt;&gt;"",NOT(OR(AN4="有給",AN4="休業"))),ISNUMBER(SEARCH("夜勤",AM4))),"○",""))</f>
        <v/>
      </c>
      <c r="AQ4" s="31"/>
      <c r="AR4" s="27"/>
      <c r="AS4" s="28"/>
      <c r="AT4" s="29" t="str">
        <f t="shared" ref="AT4:AT34" si="16">IF(AR4="","",IF(ISNUMBER(SEARCH("夜勤",AR4)),"",IF(A4="","","○")))</f>
        <v/>
      </c>
      <c r="AU4" s="30" t="str">
        <f t="shared" ref="AU4:AU34" si="17">IF(A4="","",IF(OR(AND(AS4&lt;&gt;"",NOT(OR(AS4="有給",AS4="休業"))),ISNUMBER(SEARCH("夜勤",AR4))),"○",""))</f>
        <v/>
      </c>
      <c r="AV4" s="31"/>
      <c r="AW4" s="27"/>
      <c r="AX4" s="28"/>
      <c r="AY4" s="29" t="str">
        <f t="shared" ref="AY4:AY34" si="18">IF(AW4="","",IF(ISNUMBER(SEARCH("夜勤",AW4)),"",IF(A4="","","○")))</f>
        <v/>
      </c>
      <c r="AZ4" s="30" t="str">
        <f t="shared" ref="AZ4:AZ34" si="19">IF(A4="","",IF(OR(AND(AX4&lt;&gt;"",NOT(OR(AX4="有給",AX4="休業"))),ISNUMBER(SEARCH("夜勤",AW4))),"○",""))</f>
        <v/>
      </c>
      <c r="BA4" s="31"/>
      <c r="BB4" s="27"/>
      <c r="BC4" s="28"/>
      <c r="BD4" s="29" t="str">
        <f t="shared" ref="BD4:BD34" si="20">IF(BB4="","",IF(ISNUMBER(SEARCH("夜勤",BB4)),"",IF(A4="","","○")))</f>
        <v/>
      </c>
      <c r="BE4" s="30" t="str">
        <f t="shared" ref="BE4:BE34" si="21">IF(A4="","",IF(OR(AND(BC4&lt;&gt;"",NOT(OR(BC4="有給",BC4="休業"))),ISNUMBER(SEARCH("夜勤",BB4))),"○",""))</f>
        <v/>
      </c>
      <c r="BF4" s="31"/>
      <c r="BG4" s="27"/>
      <c r="BH4" s="28"/>
      <c r="BI4" s="29" t="str">
        <f t="shared" ref="BI4:BI34" si="22">IF(BG4="","",IF(ISNUMBER(SEARCH("夜勤",BG4)),"",IF(A4="","","○")))</f>
        <v/>
      </c>
      <c r="BJ4" s="30" t="str">
        <f t="shared" ref="BJ4:BJ34" si="23">IF(A4="","",IF(OR(AND(BH4&lt;&gt;"",NOT(OR(BH4="有給",BH4="休業"))),ISNUMBER(SEARCH("夜勤",BG4))),"○",""))</f>
        <v/>
      </c>
      <c r="BK4" s="31"/>
      <c r="BL4" s="27"/>
      <c r="BM4" s="28"/>
      <c r="BN4" s="29" t="str">
        <f t="shared" ref="BN4:BN34" si="24">IF(BL4="","",IF(ISNUMBER(SEARCH("夜勤",BL4)),"",IF(A4="","","○")))</f>
        <v/>
      </c>
      <c r="BO4" s="30" t="str">
        <f t="shared" ref="BO4:BO34" si="25">IF(A4="","",IF(OR(AND(BM4&lt;&gt;"",NOT(OR(BM4="有給",BM4="休業"))),ISNUMBER(SEARCH("夜勤",BL4))),"○",""))</f>
        <v/>
      </c>
      <c r="BP4" s="31"/>
      <c r="BQ4" s="27"/>
      <c r="BR4" s="28"/>
      <c r="BS4" s="29" t="str">
        <f t="shared" ref="BS4:BS34" si="26">IF(BQ4="","",IF(ISNUMBER(SEARCH("夜勤",BQ4)),"",IF(A4="","","○")))</f>
        <v/>
      </c>
      <c r="BT4" s="30" t="str">
        <f t="shared" ref="BT4:BT34" si="27">IF(A4="","",IF(OR(AND(BR4&lt;&gt;"",NOT(OR(BR4="有給",BR4="休業"))),ISNUMBER(SEARCH("夜勤",BQ4))),"○",""))</f>
        <v/>
      </c>
      <c r="BU4" s="31"/>
      <c r="BV4" s="27"/>
      <c r="BW4" s="28"/>
      <c r="BX4" s="29" t="str">
        <f t="shared" ref="BX4:BX34" si="28">IF(BV4="","",IF(ISNUMBER(SEARCH("夜勤",BV4)),"",IF(A4="","","○")))</f>
        <v/>
      </c>
      <c r="BY4" s="30" t="str">
        <f t="shared" ref="BY4:BY34" si="29">IF(A4="","",IF(OR(AND(BW4&lt;&gt;"",NOT(OR(BW4="有給",BW4="休業"))),ISNUMBER(SEARCH("夜勤",BV4))),"○",""))</f>
        <v/>
      </c>
      <c r="BZ4" s="31"/>
      <c r="CA4" s="27"/>
      <c r="CB4" s="28"/>
      <c r="CC4" s="29" t="str">
        <f t="shared" ref="CC4:CC34" si="30">IF(CA4="","",IF(ISNUMBER(SEARCH("夜勤",CA4)),"",IF(A4="","","○")))</f>
        <v/>
      </c>
      <c r="CD4" s="30" t="str">
        <f t="shared" ref="CD4:CD34" si="31">IF(A4="","",IF(OR(AND(CB4&lt;&gt;"",NOT(OR(CB4="有給",CB4="休業"))),ISNUMBER(SEARCH("夜勤",CA4))),"○",""))</f>
        <v/>
      </c>
      <c r="CE4" s="31"/>
      <c r="CF4" s="27"/>
      <c r="CG4" s="28"/>
      <c r="CH4" s="29" t="str">
        <f t="shared" ref="CH4:CH34" si="32">IF(CF4="","",IF(ISNUMBER(SEARCH("夜勤",CF4)),"",IF(A4="","","○")))</f>
        <v/>
      </c>
      <c r="CI4" s="30" t="str">
        <f t="shared" ref="CI4:CI34" si="33">IF(A4="","",IF(OR(AND(CG4&lt;&gt;"",NOT(OR(CG4="有給",CG4="休業"))),ISNUMBER(SEARCH("夜勤",CF4))),"○",""))</f>
        <v/>
      </c>
      <c r="CJ4" s="31"/>
      <c r="CK4" s="27"/>
      <c r="CL4" s="28"/>
      <c r="CM4" s="29" t="str">
        <f t="shared" ref="CM4:CM34" si="34">IF(CK4="","",IF(ISNUMBER(SEARCH("夜勤",CK4)),"",IF(A4="","","○")))</f>
        <v/>
      </c>
      <c r="CN4" s="30" t="str">
        <f t="shared" ref="CN4:CN34" si="35">IF(A4="","",IF(OR(AND(CL4&lt;&gt;"",NOT(OR(CL4="有給",CL4="休業"))),ISNUMBER(SEARCH("夜勤",CK4))),"○",""))</f>
        <v/>
      </c>
      <c r="CO4" s="31"/>
      <c r="CP4" s="27"/>
      <c r="CQ4" s="28"/>
      <c r="CR4" s="29" t="str">
        <f t="shared" ref="CR4:CR34" si="36">IF(CP4="","",IF(ISNUMBER(SEARCH("夜勤",CP4)),"",IF(A4="","","○")))</f>
        <v/>
      </c>
      <c r="CS4" s="30" t="str">
        <f t="shared" ref="CS4:CS34" si="37">IF(A4="","",IF(OR(AND(CQ4&lt;&gt;"",NOT(OR(CQ4="有給",CQ4="休業"))),ISNUMBER(SEARCH("夜勤",CP4))),"○",""))</f>
        <v/>
      </c>
      <c r="CT4" s="31"/>
      <c r="CU4" s="27"/>
      <c r="CV4" s="28"/>
      <c r="CW4" s="29" t="str">
        <f t="shared" ref="CW4:CW34" si="38">IF(CU4="","",IF(ISNUMBER(SEARCH("夜勤",CU4)),"",IF(A4="","","○")))</f>
        <v/>
      </c>
      <c r="CX4" s="30" t="str">
        <f t="shared" ref="CX4:CX34" si="39">IF(A4="","",IF(OR(AND(CV4&lt;&gt;"",NOT(OR(CV4="有給",CV4="休業"))),ISNUMBER(SEARCH("夜勤",CU4))),"○",""))</f>
        <v/>
      </c>
      <c r="CY4" s="31"/>
      <c r="CZ4" s="27"/>
      <c r="DA4" s="28"/>
      <c r="DB4" s="29" t="str">
        <f t="shared" ref="DB4:DB34" si="40">IF(CZ4="","",IF(ISNUMBER(SEARCH("夜勤",CZ4)),"",IF(A4="","","○")))</f>
        <v/>
      </c>
      <c r="DC4" s="30" t="str">
        <f t="shared" ref="DC4:DC34" si="41">IF(A4="","",IF(OR(AND(DA4&lt;&gt;"",NOT(OR(DA4="有給",DA4="休業"))),ISNUMBER(SEARCH("夜勤",CZ4))),"○",""))</f>
        <v/>
      </c>
      <c r="DD4" s="31"/>
      <c r="DE4" s="27"/>
      <c r="DF4" s="28"/>
      <c r="DG4" s="29" t="str">
        <f t="shared" ref="DG4:DG34" si="42">IF(DE4="","",IF(ISNUMBER(SEARCH("夜勤",DE4)),"",IF(A4="","","○")))</f>
        <v/>
      </c>
      <c r="DH4" s="30" t="str">
        <f t="shared" ref="DH4:DH34" si="43">IF(A4="","",IF(OR(AND(DF4&lt;&gt;"",NOT(OR(DF4="有給",DF4="休業"))),ISNUMBER(SEARCH("夜勤",DE4))),"○",""))</f>
        <v/>
      </c>
      <c r="DI4" s="31"/>
      <c r="DJ4" s="27"/>
      <c r="DK4" s="28"/>
      <c r="DL4" s="29" t="str">
        <f t="shared" ref="DL4:DL34" si="44">IF(DJ4="","",IF(ISNUMBER(SEARCH("夜勤",DJ4)),"",IF(A4="","","○")))</f>
        <v/>
      </c>
      <c r="DM4" s="30" t="str">
        <f t="shared" ref="DM4:DM34" si="45">IF(A4="","",IF(OR(AND(DK4&lt;&gt;"",NOT(OR(DK4="有給",DK4="休業"))),ISNUMBER(SEARCH("夜勤",DJ4))),"○",""))</f>
        <v/>
      </c>
      <c r="DN4" s="31"/>
      <c r="DO4" s="27"/>
      <c r="DP4" s="28"/>
      <c r="DQ4" s="29" t="str">
        <f t="shared" ref="DQ4:DQ34" si="46">IF(DO4="","",IF(ISNUMBER(SEARCH("夜勤",DO4)),"",IF(A4="","","○")))</f>
        <v/>
      </c>
      <c r="DR4" s="30" t="str">
        <f t="shared" ref="DR4:DR34" si="47">IF(A4="","",IF(OR(AND(DP4&lt;&gt;"",NOT(OR(DP4="有給",DP4="休業"))),ISNUMBER(SEARCH("夜勤",DO4))),"○",""))</f>
        <v/>
      </c>
      <c r="DS4" s="31"/>
      <c r="DT4" s="27"/>
      <c r="DU4" s="28"/>
      <c r="DV4" s="29" t="str">
        <f t="shared" ref="DV4:DV34" si="48">IF(DT4="","",IF(ISNUMBER(SEARCH("夜勤",DT4)),"",IF(A4="","","○")))</f>
        <v/>
      </c>
      <c r="DW4" s="30" t="str">
        <f t="shared" ref="DW4:DW34" si="49">IF(A4="","",IF(OR(AND(DU4&lt;&gt;"",NOT(OR(DU4="有給",DU4="休業"))),ISNUMBER(SEARCH("夜勤",DT4))),"○",""))</f>
        <v/>
      </c>
      <c r="DX4" s="31"/>
      <c r="DY4" s="27"/>
      <c r="DZ4" s="28"/>
      <c r="EA4" s="29" t="str">
        <f t="shared" ref="EA4:EA34" si="50">IF(DY4="","",IF(ISNUMBER(SEARCH("夜勤",DY4)),"",IF(A4="","","○")))</f>
        <v/>
      </c>
      <c r="EB4" s="30" t="str">
        <f t="shared" ref="EB4:EB34" si="51">IF(A4="","",IF(OR(AND(DZ4&lt;&gt;"",NOT(OR(DZ4="有給",DZ4="休業"))),ISNUMBER(SEARCH("夜勤",DY4))),"○",""))</f>
        <v/>
      </c>
      <c r="EC4" s="31"/>
      <c r="ED4" s="27"/>
      <c r="EE4" s="28"/>
      <c r="EF4" s="29" t="str">
        <f t="shared" ref="EF4:EF34" si="52">IF(ED4="","",IF(ISNUMBER(SEARCH("夜勤",ED4)),"",IF(A4="","","○")))</f>
        <v/>
      </c>
      <c r="EG4" s="30" t="str">
        <f t="shared" ref="EG4:EG34" si="53">IF(A4="","",IF(OR(AND(EE4&lt;&gt;"",NOT(OR(EE4="有給",EE4="休業"))),ISNUMBER(SEARCH("夜勤",ED4))),"○",""))</f>
        <v/>
      </c>
      <c r="EH4" s="31"/>
      <c r="EI4" s="27"/>
      <c r="EJ4" s="28"/>
      <c r="EK4" s="29" t="str">
        <f t="shared" ref="EK4:EK34" si="54">IF(EI4="","",IF(ISNUMBER(SEARCH("夜勤",EI4)),"",IF(A4="","","○")))</f>
        <v/>
      </c>
      <c r="EL4" s="30" t="str">
        <f t="shared" ref="EL4:EL34" si="55">IF(A4="","",IF(OR(AND(EJ4&lt;&gt;"",NOT(OR(EJ4="有給",EJ4="休業"))),ISNUMBER(SEARCH("夜勤",EI4))),"○",""))</f>
        <v/>
      </c>
      <c r="EM4" s="31"/>
      <c r="EN4" s="27"/>
      <c r="EO4" s="28"/>
      <c r="EP4" s="29" t="str">
        <f t="shared" ref="EP4:EP34" si="56">IF(EN4="","",IF(ISNUMBER(SEARCH("夜勤",EN4)),"",IF(A4="","","○")))</f>
        <v/>
      </c>
      <c r="EQ4" s="30" t="str">
        <f t="shared" ref="EQ4:EQ34" si="57">IF(A4="","",IF(OR(AND(EO4&lt;&gt;"",NOT(OR(EO4="有給",EO4="休業"))),ISNUMBER(SEARCH("夜勤",EN4))),"○",""))</f>
        <v/>
      </c>
      <c r="ER4" s="31"/>
      <c r="ES4" s="27"/>
      <c r="ET4" s="28"/>
      <c r="EU4" s="29" t="str">
        <f t="shared" ref="EU4:EU34" si="58">IF(ES4="","",IF(ISNUMBER(SEARCH("夜勤",ES4)),"",IF(A4="","","○")))</f>
        <v/>
      </c>
      <c r="EV4" s="30" t="str">
        <f t="shared" ref="EV4:EV34" si="59">IF(A4="","",IF(OR(AND(ET4&lt;&gt;"",NOT(OR(ET4="有給",ET4="休業"))),ISNUMBER(SEARCH("夜勤",ES4))),"○",""))</f>
        <v/>
      </c>
      <c r="EW4" s="31"/>
    </row>
    <row r="5" spans="1:153" ht="19.5" customHeight="1">
      <c r="A5" s="32">
        <f>IF(DAY(DATE(対象年度,6,2))&lt;&gt;2,"",2)</f>
        <v>2</v>
      </c>
      <c r="B5" s="32" t="str">
        <f>IF(DAY(DATE(対象年度,6,2))&lt;&gt;2,"",CHOOSE(WEEKDAY(DATE(対象年度,6,2),2),"月","火","水","木","金","土","日"))</f>
        <v>火</v>
      </c>
      <c r="C5" s="32" t="str">
        <f>IF(DAY(DATE(対象年度,6,2))&lt;&gt;2,"",IF(ISNUMBER(MATCH(DATE(対象年度,6,2),祝日リスト,0)),"祝",""))</f>
        <v/>
      </c>
      <c r="D5" s="33"/>
      <c r="E5" s="34"/>
      <c r="F5" s="35" t="str">
        <f t="shared" si="0"/>
        <v/>
      </c>
      <c r="G5" s="36" t="str">
        <f t="shared" si="1"/>
        <v/>
      </c>
      <c r="H5" s="37"/>
      <c r="I5" s="33"/>
      <c r="J5" s="34"/>
      <c r="K5" s="35" t="str">
        <f t="shared" si="2"/>
        <v/>
      </c>
      <c r="L5" s="36" t="str">
        <f t="shared" si="3"/>
        <v/>
      </c>
      <c r="M5" s="37"/>
      <c r="N5" s="33"/>
      <c r="O5" s="34"/>
      <c r="P5" s="35" t="str">
        <f t="shared" si="4"/>
        <v/>
      </c>
      <c r="Q5" s="36" t="str">
        <f t="shared" si="5"/>
        <v/>
      </c>
      <c r="R5" s="37"/>
      <c r="S5" s="33"/>
      <c r="T5" s="34"/>
      <c r="U5" s="35" t="str">
        <f t="shared" si="6"/>
        <v/>
      </c>
      <c r="V5" s="36" t="str">
        <f t="shared" si="7"/>
        <v/>
      </c>
      <c r="W5" s="37"/>
      <c r="X5" s="33"/>
      <c r="Y5" s="34"/>
      <c r="Z5" s="35" t="str">
        <f t="shared" si="8"/>
        <v/>
      </c>
      <c r="AA5" s="36" t="str">
        <f t="shared" si="9"/>
        <v/>
      </c>
      <c r="AB5" s="37"/>
      <c r="AC5" s="33"/>
      <c r="AD5" s="34"/>
      <c r="AE5" s="35" t="str">
        <f t="shared" si="10"/>
        <v/>
      </c>
      <c r="AF5" s="36" t="str">
        <f t="shared" si="11"/>
        <v/>
      </c>
      <c r="AG5" s="37"/>
      <c r="AH5" s="33"/>
      <c r="AI5" s="34"/>
      <c r="AJ5" s="35" t="str">
        <f t="shared" si="12"/>
        <v/>
      </c>
      <c r="AK5" s="36" t="str">
        <f t="shared" si="13"/>
        <v/>
      </c>
      <c r="AL5" s="37"/>
      <c r="AM5" s="33"/>
      <c r="AN5" s="34"/>
      <c r="AO5" s="35" t="str">
        <f t="shared" si="14"/>
        <v/>
      </c>
      <c r="AP5" s="36" t="str">
        <f t="shared" si="15"/>
        <v/>
      </c>
      <c r="AQ5" s="37"/>
      <c r="AR5" s="33"/>
      <c r="AS5" s="34"/>
      <c r="AT5" s="35" t="str">
        <f t="shared" si="16"/>
        <v/>
      </c>
      <c r="AU5" s="36" t="str">
        <f t="shared" si="17"/>
        <v/>
      </c>
      <c r="AV5" s="37"/>
      <c r="AW5" s="33"/>
      <c r="AX5" s="34"/>
      <c r="AY5" s="35" t="str">
        <f t="shared" si="18"/>
        <v/>
      </c>
      <c r="AZ5" s="36" t="str">
        <f t="shared" si="19"/>
        <v/>
      </c>
      <c r="BA5" s="37"/>
      <c r="BB5" s="33"/>
      <c r="BC5" s="34"/>
      <c r="BD5" s="35" t="str">
        <f t="shared" si="20"/>
        <v/>
      </c>
      <c r="BE5" s="36" t="str">
        <f t="shared" si="21"/>
        <v/>
      </c>
      <c r="BF5" s="37"/>
      <c r="BG5" s="33"/>
      <c r="BH5" s="34"/>
      <c r="BI5" s="35" t="str">
        <f t="shared" si="22"/>
        <v/>
      </c>
      <c r="BJ5" s="36" t="str">
        <f t="shared" si="23"/>
        <v/>
      </c>
      <c r="BK5" s="37"/>
      <c r="BL5" s="33"/>
      <c r="BM5" s="34"/>
      <c r="BN5" s="35" t="str">
        <f t="shared" si="24"/>
        <v/>
      </c>
      <c r="BO5" s="36" t="str">
        <f t="shared" si="25"/>
        <v/>
      </c>
      <c r="BP5" s="37"/>
      <c r="BQ5" s="33"/>
      <c r="BR5" s="34"/>
      <c r="BS5" s="35" t="str">
        <f t="shared" si="26"/>
        <v/>
      </c>
      <c r="BT5" s="36" t="str">
        <f t="shared" si="27"/>
        <v/>
      </c>
      <c r="BU5" s="37"/>
      <c r="BV5" s="33"/>
      <c r="BW5" s="34"/>
      <c r="BX5" s="35" t="str">
        <f t="shared" si="28"/>
        <v/>
      </c>
      <c r="BY5" s="36" t="str">
        <f t="shared" si="29"/>
        <v/>
      </c>
      <c r="BZ5" s="37"/>
      <c r="CA5" s="33"/>
      <c r="CB5" s="34"/>
      <c r="CC5" s="35" t="str">
        <f t="shared" si="30"/>
        <v/>
      </c>
      <c r="CD5" s="36" t="str">
        <f t="shared" si="31"/>
        <v/>
      </c>
      <c r="CE5" s="37"/>
      <c r="CF5" s="33"/>
      <c r="CG5" s="34"/>
      <c r="CH5" s="35" t="str">
        <f t="shared" si="32"/>
        <v/>
      </c>
      <c r="CI5" s="36" t="str">
        <f t="shared" si="33"/>
        <v/>
      </c>
      <c r="CJ5" s="37"/>
      <c r="CK5" s="33"/>
      <c r="CL5" s="34"/>
      <c r="CM5" s="35" t="str">
        <f t="shared" si="34"/>
        <v/>
      </c>
      <c r="CN5" s="36" t="str">
        <f t="shared" si="35"/>
        <v/>
      </c>
      <c r="CO5" s="37"/>
      <c r="CP5" s="33"/>
      <c r="CQ5" s="34"/>
      <c r="CR5" s="35" t="str">
        <f t="shared" si="36"/>
        <v/>
      </c>
      <c r="CS5" s="36" t="str">
        <f t="shared" si="37"/>
        <v/>
      </c>
      <c r="CT5" s="37"/>
      <c r="CU5" s="33"/>
      <c r="CV5" s="34"/>
      <c r="CW5" s="35" t="str">
        <f t="shared" si="38"/>
        <v/>
      </c>
      <c r="CX5" s="36" t="str">
        <f t="shared" si="39"/>
        <v/>
      </c>
      <c r="CY5" s="37"/>
      <c r="CZ5" s="33"/>
      <c r="DA5" s="34"/>
      <c r="DB5" s="35" t="str">
        <f t="shared" si="40"/>
        <v/>
      </c>
      <c r="DC5" s="36" t="str">
        <f t="shared" si="41"/>
        <v/>
      </c>
      <c r="DD5" s="37"/>
      <c r="DE5" s="33"/>
      <c r="DF5" s="34"/>
      <c r="DG5" s="35" t="str">
        <f t="shared" si="42"/>
        <v/>
      </c>
      <c r="DH5" s="36" t="str">
        <f t="shared" si="43"/>
        <v/>
      </c>
      <c r="DI5" s="37"/>
      <c r="DJ5" s="33"/>
      <c r="DK5" s="34"/>
      <c r="DL5" s="35" t="str">
        <f t="shared" si="44"/>
        <v/>
      </c>
      <c r="DM5" s="36" t="str">
        <f t="shared" si="45"/>
        <v/>
      </c>
      <c r="DN5" s="37"/>
      <c r="DO5" s="33"/>
      <c r="DP5" s="34"/>
      <c r="DQ5" s="35" t="str">
        <f t="shared" si="46"/>
        <v/>
      </c>
      <c r="DR5" s="36" t="str">
        <f t="shared" si="47"/>
        <v/>
      </c>
      <c r="DS5" s="37"/>
      <c r="DT5" s="33"/>
      <c r="DU5" s="34"/>
      <c r="DV5" s="35" t="str">
        <f t="shared" si="48"/>
        <v/>
      </c>
      <c r="DW5" s="36" t="str">
        <f t="shared" si="49"/>
        <v/>
      </c>
      <c r="DX5" s="37"/>
      <c r="DY5" s="33"/>
      <c r="DZ5" s="34"/>
      <c r="EA5" s="35" t="str">
        <f t="shared" si="50"/>
        <v/>
      </c>
      <c r="EB5" s="36" t="str">
        <f t="shared" si="51"/>
        <v/>
      </c>
      <c r="EC5" s="37"/>
      <c r="ED5" s="33"/>
      <c r="EE5" s="34"/>
      <c r="EF5" s="35" t="str">
        <f t="shared" si="52"/>
        <v/>
      </c>
      <c r="EG5" s="36" t="str">
        <f t="shared" si="53"/>
        <v/>
      </c>
      <c r="EH5" s="37"/>
      <c r="EI5" s="33"/>
      <c r="EJ5" s="34"/>
      <c r="EK5" s="35" t="str">
        <f t="shared" si="54"/>
        <v/>
      </c>
      <c r="EL5" s="36" t="str">
        <f t="shared" si="55"/>
        <v/>
      </c>
      <c r="EM5" s="37"/>
      <c r="EN5" s="33"/>
      <c r="EO5" s="34"/>
      <c r="EP5" s="35" t="str">
        <f t="shared" si="56"/>
        <v/>
      </c>
      <c r="EQ5" s="36" t="str">
        <f t="shared" si="57"/>
        <v/>
      </c>
      <c r="ER5" s="37"/>
      <c r="ES5" s="33"/>
      <c r="ET5" s="34"/>
      <c r="EU5" s="35" t="str">
        <f t="shared" si="58"/>
        <v/>
      </c>
      <c r="EV5" s="36" t="str">
        <f t="shared" si="59"/>
        <v/>
      </c>
      <c r="EW5" s="37"/>
    </row>
    <row r="6" spans="1:153" ht="19.5" customHeight="1">
      <c r="A6" s="32">
        <f>IF(DAY(DATE(対象年度,6,3))&lt;&gt;3,"",3)</f>
        <v>3</v>
      </c>
      <c r="B6" s="32" t="str">
        <f>IF(DAY(DATE(対象年度,6,3))&lt;&gt;3,"",CHOOSE(WEEKDAY(DATE(対象年度,6,3),2),"月","火","水","木","金","土","日"))</f>
        <v>水</v>
      </c>
      <c r="C6" s="32" t="str">
        <f>IF(DAY(DATE(対象年度,6,3))&lt;&gt;3,"",IF(ISNUMBER(MATCH(DATE(対象年度,6,3),祝日リスト,0)),"祝",""))</f>
        <v/>
      </c>
      <c r="D6" s="33"/>
      <c r="E6" s="34"/>
      <c r="F6" s="35" t="str">
        <f t="shared" si="0"/>
        <v/>
      </c>
      <c r="G6" s="36" t="str">
        <f t="shared" si="1"/>
        <v/>
      </c>
      <c r="H6" s="37"/>
      <c r="I6" s="33"/>
      <c r="J6" s="34"/>
      <c r="K6" s="35" t="str">
        <f t="shared" si="2"/>
        <v/>
      </c>
      <c r="L6" s="36" t="str">
        <f t="shared" si="3"/>
        <v/>
      </c>
      <c r="M6" s="37"/>
      <c r="N6" s="33"/>
      <c r="O6" s="34"/>
      <c r="P6" s="35" t="str">
        <f t="shared" si="4"/>
        <v/>
      </c>
      <c r="Q6" s="36" t="str">
        <f t="shared" si="5"/>
        <v/>
      </c>
      <c r="R6" s="37"/>
      <c r="S6" s="33"/>
      <c r="T6" s="34"/>
      <c r="U6" s="35" t="str">
        <f t="shared" si="6"/>
        <v/>
      </c>
      <c r="V6" s="36" t="str">
        <f t="shared" si="7"/>
        <v/>
      </c>
      <c r="W6" s="37"/>
      <c r="X6" s="33"/>
      <c r="Y6" s="34"/>
      <c r="Z6" s="35" t="str">
        <f t="shared" si="8"/>
        <v/>
      </c>
      <c r="AA6" s="36" t="str">
        <f t="shared" si="9"/>
        <v/>
      </c>
      <c r="AB6" s="37"/>
      <c r="AC6" s="33"/>
      <c r="AD6" s="34"/>
      <c r="AE6" s="35" t="str">
        <f t="shared" si="10"/>
        <v/>
      </c>
      <c r="AF6" s="36" t="str">
        <f t="shared" si="11"/>
        <v/>
      </c>
      <c r="AG6" s="37"/>
      <c r="AH6" s="33"/>
      <c r="AI6" s="34"/>
      <c r="AJ6" s="35" t="str">
        <f t="shared" si="12"/>
        <v/>
      </c>
      <c r="AK6" s="36" t="str">
        <f t="shared" si="13"/>
        <v/>
      </c>
      <c r="AL6" s="37"/>
      <c r="AM6" s="33"/>
      <c r="AN6" s="34"/>
      <c r="AO6" s="35" t="str">
        <f t="shared" si="14"/>
        <v/>
      </c>
      <c r="AP6" s="36" t="str">
        <f t="shared" si="15"/>
        <v/>
      </c>
      <c r="AQ6" s="37"/>
      <c r="AR6" s="33"/>
      <c r="AS6" s="34"/>
      <c r="AT6" s="35" t="str">
        <f t="shared" si="16"/>
        <v/>
      </c>
      <c r="AU6" s="36" t="str">
        <f t="shared" si="17"/>
        <v/>
      </c>
      <c r="AV6" s="37"/>
      <c r="AW6" s="33"/>
      <c r="AX6" s="34"/>
      <c r="AY6" s="35" t="str">
        <f t="shared" si="18"/>
        <v/>
      </c>
      <c r="AZ6" s="36" t="str">
        <f t="shared" si="19"/>
        <v/>
      </c>
      <c r="BA6" s="37"/>
      <c r="BB6" s="33"/>
      <c r="BC6" s="34"/>
      <c r="BD6" s="35" t="str">
        <f t="shared" si="20"/>
        <v/>
      </c>
      <c r="BE6" s="36" t="str">
        <f t="shared" si="21"/>
        <v/>
      </c>
      <c r="BF6" s="37"/>
      <c r="BG6" s="33"/>
      <c r="BH6" s="34"/>
      <c r="BI6" s="35" t="str">
        <f t="shared" si="22"/>
        <v/>
      </c>
      <c r="BJ6" s="36" t="str">
        <f t="shared" si="23"/>
        <v/>
      </c>
      <c r="BK6" s="37"/>
      <c r="BL6" s="33"/>
      <c r="BM6" s="34"/>
      <c r="BN6" s="35" t="str">
        <f t="shared" si="24"/>
        <v/>
      </c>
      <c r="BO6" s="36" t="str">
        <f t="shared" si="25"/>
        <v/>
      </c>
      <c r="BP6" s="37"/>
      <c r="BQ6" s="33"/>
      <c r="BR6" s="34"/>
      <c r="BS6" s="35" t="str">
        <f t="shared" si="26"/>
        <v/>
      </c>
      <c r="BT6" s="36" t="str">
        <f t="shared" si="27"/>
        <v/>
      </c>
      <c r="BU6" s="37"/>
      <c r="BV6" s="33"/>
      <c r="BW6" s="34"/>
      <c r="BX6" s="35" t="str">
        <f t="shared" si="28"/>
        <v/>
      </c>
      <c r="BY6" s="36" t="str">
        <f t="shared" si="29"/>
        <v/>
      </c>
      <c r="BZ6" s="37"/>
      <c r="CA6" s="33"/>
      <c r="CB6" s="34"/>
      <c r="CC6" s="35" t="str">
        <f t="shared" si="30"/>
        <v/>
      </c>
      <c r="CD6" s="36" t="str">
        <f t="shared" si="31"/>
        <v/>
      </c>
      <c r="CE6" s="37"/>
      <c r="CF6" s="33"/>
      <c r="CG6" s="34"/>
      <c r="CH6" s="35" t="str">
        <f t="shared" si="32"/>
        <v/>
      </c>
      <c r="CI6" s="36" t="str">
        <f t="shared" si="33"/>
        <v/>
      </c>
      <c r="CJ6" s="37"/>
      <c r="CK6" s="33"/>
      <c r="CL6" s="34"/>
      <c r="CM6" s="35" t="str">
        <f t="shared" si="34"/>
        <v/>
      </c>
      <c r="CN6" s="36" t="str">
        <f t="shared" si="35"/>
        <v/>
      </c>
      <c r="CO6" s="37"/>
      <c r="CP6" s="33"/>
      <c r="CQ6" s="34"/>
      <c r="CR6" s="35" t="str">
        <f t="shared" si="36"/>
        <v/>
      </c>
      <c r="CS6" s="36" t="str">
        <f t="shared" si="37"/>
        <v/>
      </c>
      <c r="CT6" s="37"/>
      <c r="CU6" s="33"/>
      <c r="CV6" s="34"/>
      <c r="CW6" s="35" t="str">
        <f t="shared" si="38"/>
        <v/>
      </c>
      <c r="CX6" s="36" t="str">
        <f t="shared" si="39"/>
        <v/>
      </c>
      <c r="CY6" s="37"/>
      <c r="CZ6" s="33"/>
      <c r="DA6" s="34"/>
      <c r="DB6" s="35" t="str">
        <f t="shared" si="40"/>
        <v/>
      </c>
      <c r="DC6" s="36" t="str">
        <f t="shared" si="41"/>
        <v/>
      </c>
      <c r="DD6" s="37"/>
      <c r="DE6" s="33"/>
      <c r="DF6" s="34"/>
      <c r="DG6" s="35" t="str">
        <f t="shared" si="42"/>
        <v/>
      </c>
      <c r="DH6" s="36" t="str">
        <f t="shared" si="43"/>
        <v/>
      </c>
      <c r="DI6" s="37"/>
      <c r="DJ6" s="33"/>
      <c r="DK6" s="34"/>
      <c r="DL6" s="35" t="str">
        <f t="shared" si="44"/>
        <v/>
      </c>
      <c r="DM6" s="36" t="str">
        <f t="shared" si="45"/>
        <v/>
      </c>
      <c r="DN6" s="37"/>
      <c r="DO6" s="33"/>
      <c r="DP6" s="34"/>
      <c r="DQ6" s="35" t="str">
        <f t="shared" si="46"/>
        <v/>
      </c>
      <c r="DR6" s="36" t="str">
        <f t="shared" si="47"/>
        <v/>
      </c>
      <c r="DS6" s="37"/>
      <c r="DT6" s="33"/>
      <c r="DU6" s="34"/>
      <c r="DV6" s="35" t="str">
        <f t="shared" si="48"/>
        <v/>
      </c>
      <c r="DW6" s="36" t="str">
        <f t="shared" si="49"/>
        <v/>
      </c>
      <c r="DX6" s="37"/>
      <c r="DY6" s="33"/>
      <c r="DZ6" s="34"/>
      <c r="EA6" s="35" t="str">
        <f t="shared" si="50"/>
        <v/>
      </c>
      <c r="EB6" s="36" t="str">
        <f t="shared" si="51"/>
        <v/>
      </c>
      <c r="EC6" s="37"/>
      <c r="ED6" s="33"/>
      <c r="EE6" s="34"/>
      <c r="EF6" s="35" t="str">
        <f t="shared" si="52"/>
        <v/>
      </c>
      <c r="EG6" s="36" t="str">
        <f t="shared" si="53"/>
        <v/>
      </c>
      <c r="EH6" s="37"/>
      <c r="EI6" s="33"/>
      <c r="EJ6" s="34"/>
      <c r="EK6" s="35" t="str">
        <f t="shared" si="54"/>
        <v/>
      </c>
      <c r="EL6" s="36" t="str">
        <f t="shared" si="55"/>
        <v/>
      </c>
      <c r="EM6" s="37"/>
      <c r="EN6" s="33"/>
      <c r="EO6" s="34"/>
      <c r="EP6" s="35" t="str">
        <f t="shared" si="56"/>
        <v/>
      </c>
      <c r="EQ6" s="36" t="str">
        <f t="shared" si="57"/>
        <v/>
      </c>
      <c r="ER6" s="37"/>
      <c r="ES6" s="33"/>
      <c r="ET6" s="34"/>
      <c r="EU6" s="35" t="str">
        <f t="shared" si="58"/>
        <v/>
      </c>
      <c r="EV6" s="36" t="str">
        <f t="shared" si="59"/>
        <v/>
      </c>
      <c r="EW6" s="37"/>
    </row>
    <row r="7" spans="1:153" ht="19.5" customHeight="1">
      <c r="A7" s="32">
        <f>IF(DAY(DATE(対象年度,6,4))&lt;&gt;4,"",4)</f>
        <v>4</v>
      </c>
      <c r="B7" s="32" t="str">
        <f>IF(DAY(DATE(対象年度,6,4))&lt;&gt;4,"",CHOOSE(WEEKDAY(DATE(対象年度,6,4),2),"月","火","水","木","金","土","日"))</f>
        <v>木</v>
      </c>
      <c r="C7" s="32" t="str">
        <f>IF(DAY(DATE(対象年度,6,4))&lt;&gt;4,"",IF(ISNUMBER(MATCH(DATE(対象年度,6,4),祝日リスト,0)),"祝",""))</f>
        <v/>
      </c>
      <c r="D7" s="33"/>
      <c r="E7" s="34"/>
      <c r="F7" s="35" t="str">
        <f t="shared" si="0"/>
        <v/>
      </c>
      <c r="G7" s="36" t="str">
        <f t="shared" si="1"/>
        <v/>
      </c>
      <c r="H7" s="37"/>
      <c r="I7" s="33"/>
      <c r="J7" s="34"/>
      <c r="K7" s="35" t="str">
        <f t="shared" si="2"/>
        <v/>
      </c>
      <c r="L7" s="36" t="str">
        <f t="shared" si="3"/>
        <v/>
      </c>
      <c r="M7" s="37"/>
      <c r="N7" s="33"/>
      <c r="O7" s="34"/>
      <c r="P7" s="35" t="str">
        <f t="shared" si="4"/>
        <v/>
      </c>
      <c r="Q7" s="36" t="str">
        <f t="shared" si="5"/>
        <v/>
      </c>
      <c r="R7" s="37"/>
      <c r="S7" s="33"/>
      <c r="T7" s="34"/>
      <c r="U7" s="35" t="str">
        <f t="shared" si="6"/>
        <v/>
      </c>
      <c r="V7" s="36" t="str">
        <f t="shared" si="7"/>
        <v/>
      </c>
      <c r="W7" s="37"/>
      <c r="X7" s="33"/>
      <c r="Y7" s="34"/>
      <c r="Z7" s="35" t="str">
        <f t="shared" si="8"/>
        <v/>
      </c>
      <c r="AA7" s="36" t="str">
        <f t="shared" si="9"/>
        <v/>
      </c>
      <c r="AB7" s="37"/>
      <c r="AC7" s="33"/>
      <c r="AD7" s="34"/>
      <c r="AE7" s="35" t="str">
        <f t="shared" si="10"/>
        <v/>
      </c>
      <c r="AF7" s="36" t="str">
        <f t="shared" si="11"/>
        <v/>
      </c>
      <c r="AG7" s="37"/>
      <c r="AH7" s="33"/>
      <c r="AI7" s="34"/>
      <c r="AJ7" s="35" t="str">
        <f t="shared" si="12"/>
        <v/>
      </c>
      <c r="AK7" s="36" t="str">
        <f t="shared" si="13"/>
        <v/>
      </c>
      <c r="AL7" s="37"/>
      <c r="AM7" s="33"/>
      <c r="AN7" s="34"/>
      <c r="AO7" s="35" t="str">
        <f t="shared" si="14"/>
        <v/>
      </c>
      <c r="AP7" s="36" t="str">
        <f t="shared" si="15"/>
        <v/>
      </c>
      <c r="AQ7" s="37"/>
      <c r="AR7" s="33"/>
      <c r="AS7" s="34"/>
      <c r="AT7" s="35" t="str">
        <f t="shared" si="16"/>
        <v/>
      </c>
      <c r="AU7" s="36" t="str">
        <f t="shared" si="17"/>
        <v/>
      </c>
      <c r="AV7" s="37"/>
      <c r="AW7" s="33"/>
      <c r="AX7" s="34"/>
      <c r="AY7" s="35" t="str">
        <f t="shared" si="18"/>
        <v/>
      </c>
      <c r="AZ7" s="36" t="str">
        <f t="shared" si="19"/>
        <v/>
      </c>
      <c r="BA7" s="37"/>
      <c r="BB7" s="33"/>
      <c r="BC7" s="34"/>
      <c r="BD7" s="35" t="str">
        <f t="shared" si="20"/>
        <v/>
      </c>
      <c r="BE7" s="36" t="str">
        <f t="shared" si="21"/>
        <v/>
      </c>
      <c r="BF7" s="37"/>
      <c r="BG7" s="33"/>
      <c r="BH7" s="34"/>
      <c r="BI7" s="35" t="str">
        <f t="shared" si="22"/>
        <v/>
      </c>
      <c r="BJ7" s="36" t="str">
        <f t="shared" si="23"/>
        <v/>
      </c>
      <c r="BK7" s="37"/>
      <c r="BL7" s="33"/>
      <c r="BM7" s="34"/>
      <c r="BN7" s="35" t="str">
        <f t="shared" si="24"/>
        <v/>
      </c>
      <c r="BO7" s="36" t="str">
        <f t="shared" si="25"/>
        <v/>
      </c>
      <c r="BP7" s="37"/>
      <c r="BQ7" s="33"/>
      <c r="BR7" s="34"/>
      <c r="BS7" s="35" t="str">
        <f t="shared" si="26"/>
        <v/>
      </c>
      <c r="BT7" s="36" t="str">
        <f t="shared" si="27"/>
        <v/>
      </c>
      <c r="BU7" s="37"/>
      <c r="BV7" s="33"/>
      <c r="BW7" s="34"/>
      <c r="BX7" s="35" t="str">
        <f t="shared" si="28"/>
        <v/>
      </c>
      <c r="BY7" s="36" t="str">
        <f t="shared" si="29"/>
        <v/>
      </c>
      <c r="BZ7" s="37"/>
      <c r="CA7" s="33"/>
      <c r="CB7" s="34"/>
      <c r="CC7" s="35" t="str">
        <f t="shared" si="30"/>
        <v/>
      </c>
      <c r="CD7" s="36" t="str">
        <f t="shared" si="31"/>
        <v/>
      </c>
      <c r="CE7" s="37"/>
      <c r="CF7" s="33"/>
      <c r="CG7" s="34"/>
      <c r="CH7" s="35" t="str">
        <f t="shared" si="32"/>
        <v/>
      </c>
      <c r="CI7" s="36" t="str">
        <f t="shared" si="33"/>
        <v/>
      </c>
      <c r="CJ7" s="37"/>
      <c r="CK7" s="33"/>
      <c r="CL7" s="34"/>
      <c r="CM7" s="35" t="str">
        <f t="shared" si="34"/>
        <v/>
      </c>
      <c r="CN7" s="36" t="str">
        <f t="shared" si="35"/>
        <v/>
      </c>
      <c r="CO7" s="37"/>
      <c r="CP7" s="33"/>
      <c r="CQ7" s="34"/>
      <c r="CR7" s="35" t="str">
        <f t="shared" si="36"/>
        <v/>
      </c>
      <c r="CS7" s="36" t="str">
        <f t="shared" si="37"/>
        <v/>
      </c>
      <c r="CT7" s="37"/>
      <c r="CU7" s="33"/>
      <c r="CV7" s="34"/>
      <c r="CW7" s="35" t="str">
        <f t="shared" si="38"/>
        <v/>
      </c>
      <c r="CX7" s="36" t="str">
        <f t="shared" si="39"/>
        <v/>
      </c>
      <c r="CY7" s="37"/>
      <c r="CZ7" s="33"/>
      <c r="DA7" s="34"/>
      <c r="DB7" s="35" t="str">
        <f t="shared" si="40"/>
        <v/>
      </c>
      <c r="DC7" s="36" t="str">
        <f t="shared" si="41"/>
        <v/>
      </c>
      <c r="DD7" s="37"/>
      <c r="DE7" s="33"/>
      <c r="DF7" s="34"/>
      <c r="DG7" s="35" t="str">
        <f t="shared" si="42"/>
        <v/>
      </c>
      <c r="DH7" s="36" t="str">
        <f t="shared" si="43"/>
        <v/>
      </c>
      <c r="DI7" s="37"/>
      <c r="DJ7" s="33"/>
      <c r="DK7" s="34"/>
      <c r="DL7" s="35" t="str">
        <f t="shared" si="44"/>
        <v/>
      </c>
      <c r="DM7" s="36" t="str">
        <f t="shared" si="45"/>
        <v/>
      </c>
      <c r="DN7" s="37"/>
      <c r="DO7" s="33"/>
      <c r="DP7" s="34"/>
      <c r="DQ7" s="35" t="str">
        <f t="shared" si="46"/>
        <v/>
      </c>
      <c r="DR7" s="36" t="str">
        <f t="shared" si="47"/>
        <v/>
      </c>
      <c r="DS7" s="37"/>
      <c r="DT7" s="33"/>
      <c r="DU7" s="34"/>
      <c r="DV7" s="35" t="str">
        <f t="shared" si="48"/>
        <v/>
      </c>
      <c r="DW7" s="36" t="str">
        <f t="shared" si="49"/>
        <v/>
      </c>
      <c r="DX7" s="37"/>
      <c r="DY7" s="33"/>
      <c r="DZ7" s="34"/>
      <c r="EA7" s="35" t="str">
        <f t="shared" si="50"/>
        <v/>
      </c>
      <c r="EB7" s="36" t="str">
        <f t="shared" si="51"/>
        <v/>
      </c>
      <c r="EC7" s="37"/>
      <c r="ED7" s="33"/>
      <c r="EE7" s="34"/>
      <c r="EF7" s="35" t="str">
        <f t="shared" si="52"/>
        <v/>
      </c>
      <c r="EG7" s="36" t="str">
        <f t="shared" si="53"/>
        <v/>
      </c>
      <c r="EH7" s="37"/>
      <c r="EI7" s="33"/>
      <c r="EJ7" s="34"/>
      <c r="EK7" s="35" t="str">
        <f t="shared" si="54"/>
        <v/>
      </c>
      <c r="EL7" s="36" t="str">
        <f t="shared" si="55"/>
        <v/>
      </c>
      <c r="EM7" s="37"/>
      <c r="EN7" s="33"/>
      <c r="EO7" s="34"/>
      <c r="EP7" s="35" t="str">
        <f t="shared" si="56"/>
        <v/>
      </c>
      <c r="EQ7" s="36" t="str">
        <f t="shared" si="57"/>
        <v/>
      </c>
      <c r="ER7" s="37"/>
      <c r="ES7" s="33"/>
      <c r="ET7" s="34"/>
      <c r="EU7" s="35" t="str">
        <f t="shared" si="58"/>
        <v/>
      </c>
      <c r="EV7" s="36" t="str">
        <f t="shared" si="59"/>
        <v/>
      </c>
      <c r="EW7" s="37"/>
    </row>
    <row r="8" spans="1:153" ht="19.5" customHeight="1">
      <c r="A8" s="32">
        <f>IF(DAY(DATE(対象年度,6,5))&lt;&gt;5,"",5)</f>
        <v>5</v>
      </c>
      <c r="B8" s="32" t="str">
        <f>IF(DAY(DATE(対象年度,6,5))&lt;&gt;5,"",CHOOSE(WEEKDAY(DATE(対象年度,6,5),2),"月","火","水","木","金","土","日"))</f>
        <v>金</v>
      </c>
      <c r="C8" s="32" t="str">
        <f>IF(DAY(DATE(対象年度,6,5))&lt;&gt;5,"",IF(ISNUMBER(MATCH(DATE(対象年度,6,5),祝日リスト,0)),"祝",""))</f>
        <v/>
      </c>
      <c r="D8" s="33"/>
      <c r="E8" s="34"/>
      <c r="F8" s="35" t="str">
        <f t="shared" si="0"/>
        <v/>
      </c>
      <c r="G8" s="36" t="str">
        <f t="shared" si="1"/>
        <v/>
      </c>
      <c r="H8" s="37"/>
      <c r="I8" s="33"/>
      <c r="J8" s="34"/>
      <c r="K8" s="35" t="str">
        <f t="shared" si="2"/>
        <v/>
      </c>
      <c r="L8" s="36" t="str">
        <f t="shared" si="3"/>
        <v/>
      </c>
      <c r="M8" s="37"/>
      <c r="N8" s="33"/>
      <c r="O8" s="34"/>
      <c r="P8" s="35" t="str">
        <f t="shared" si="4"/>
        <v/>
      </c>
      <c r="Q8" s="36" t="str">
        <f t="shared" si="5"/>
        <v/>
      </c>
      <c r="R8" s="37"/>
      <c r="S8" s="33"/>
      <c r="T8" s="34"/>
      <c r="U8" s="35" t="str">
        <f t="shared" si="6"/>
        <v/>
      </c>
      <c r="V8" s="36" t="str">
        <f t="shared" si="7"/>
        <v/>
      </c>
      <c r="W8" s="37"/>
      <c r="X8" s="33"/>
      <c r="Y8" s="34"/>
      <c r="Z8" s="35" t="str">
        <f t="shared" si="8"/>
        <v/>
      </c>
      <c r="AA8" s="36" t="str">
        <f t="shared" si="9"/>
        <v/>
      </c>
      <c r="AB8" s="37"/>
      <c r="AC8" s="33"/>
      <c r="AD8" s="34"/>
      <c r="AE8" s="35" t="str">
        <f t="shared" si="10"/>
        <v/>
      </c>
      <c r="AF8" s="36" t="str">
        <f t="shared" si="11"/>
        <v/>
      </c>
      <c r="AG8" s="37"/>
      <c r="AH8" s="33"/>
      <c r="AI8" s="34"/>
      <c r="AJ8" s="35" t="str">
        <f t="shared" si="12"/>
        <v/>
      </c>
      <c r="AK8" s="36" t="str">
        <f t="shared" si="13"/>
        <v/>
      </c>
      <c r="AL8" s="37"/>
      <c r="AM8" s="33"/>
      <c r="AN8" s="34"/>
      <c r="AO8" s="35" t="str">
        <f t="shared" si="14"/>
        <v/>
      </c>
      <c r="AP8" s="36" t="str">
        <f t="shared" si="15"/>
        <v/>
      </c>
      <c r="AQ8" s="37"/>
      <c r="AR8" s="33"/>
      <c r="AS8" s="34"/>
      <c r="AT8" s="35" t="str">
        <f t="shared" si="16"/>
        <v/>
      </c>
      <c r="AU8" s="36" t="str">
        <f t="shared" si="17"/>
        <v/>
      </c>
      <c r="AV8" s="37"/>
      <c r="AW8" s="33"/>
      <c r="AX8" s="34"/>
      <c r="AY8" s="35" t="str">
        <f t="shared" si="18"/>
        <v/>
      </c>
      <c r="AZ8" s="36" t="str">
        <f t="shared" si="19"/>
        <v/>
      </c>
      <c r="BA8" s="37"/>
      <c r="BB8" s="33"/>
      <c r="BC8" s="34"/>
      <c r="BD8" s="35" t="str">
        <f t="shared" si="20"/>
        <v/>
      </c>
      <c r="BE8" s="36" t="str">
        <f t="shared" si="21"/>
        <v/>
      </c>
      <c r="BF8" s="37"/>
      <c r="BG8" s="33"/>
      <c r="BH8" s="34"/>
      <c r="BI8" s="35" t="str">
        <f t="shared" si="22"/>
        <v/>
      </c>
      <c r="BJ8" s="36" t="str">
        <f t="shared" si="23"/>
        <v/>
      </c>
      <c r="BK8" s="37"/>
      <c r="BL8" s="33"/>
      <c r="BM8" s="34"/>
      <c r="BN8" s="35" t="str">
        <f t="shared" si="24"/>
        <v/>
      </c>
      <c r="BO8" s="36" t="str">
        <f t="shared" si="25"/>
        <v/>
      </c>
      <c r="BP8" s="37"/>
      <c r="BQ8" s="33"/>
      <c r="BR8" s="34"/>
      <c r="BS8" s="35" t="str">
        <f t="shared" si="26"/>
        <v/>
      </c>
      <c r="BT8" s="36" t="str">
        <f t="shared" si="27"/>
        <v/>
      </c>
      <c r="BU8" s="37"/>
      <c r="BV8" s="33"/>
      <c r="BW8" s="34"/>
      <c r="BX8" s="35" t="str">
        <f t="shared" si="28"/>
        <v/>
      </c>
      <c r="BY8" s="36" t="str">
        <f t="shared" si="29"/>
        <v/>
      </c>
      <c r="BZ8" s="37"/>
      <c r="CA8" s="33"/>
      <c r="CB8" s="34"/>
      <c r="CC8" s="35" t="str">
        <f t="shared" si="30"/>
        <v/>
      </c>
      <c r="CD8" s="36" t="str">
        <f t="shared" si="31"/>
        <v/>
      </c>
      <c r="CE8" s="37"/>
      <c r="CF8" s="33"/>
      <c r="CG8" s="34"/>
      <c r="CH8" s="35" t="str">
        <f t="shared" si="32"/>
        <v/>
      </c>
      <c r="CI8" s="36" t="str">
        <f t="shared" si="33"/>
        <v/>
      </c>
      <c r="CJ8" s="37"/>
      <c r="CK8" s="33"/>
      <c r="CL8" s="34"/>
      <c r="CM8" s="35" t="str">
        <f t="shared" si="34"/>
        <v/>
      </c>
      <c r="CN8" s="36" t="str">
        <f t="shared" si="35"/>
        <v/>
      </c>
      <c r="CO8" s="37"/>
      <c r="CP8" s="33"/>
      <c r="CQ8" s="34"/>
      <c r="CR8" s="35" t="str">
        <f t="shared" si="36"/>
        <v/>
      </c>
      <c r="CS8" s="36" t="str">
        <f t="shared" si="37"/>
        <v/>
      </c>
      <c r="CT8" s="37"/>
      <c r="CU8" s="33"/>
      <c r="CV8" s="34"/>
      <c r="CW8" s="35" t="str">
        <f t="shared" si="38"/>
        <v/>
      </c>
      <c r="CX8" s="36" t="str">
        <f t="shared" si="39"/>
        <v/>
      </c>
      <c r="CY8" s="37"/>
      <c r="CZ8" s="33"/>
      <c r="DA8" s="34"/>
      <c r="DB8" s="35" t="str">
        <f t="shared" si="40"/>
        <v/>
      </c>
      <c r="DC8" s="36" t="str">
        <f t="shared" si="41"/>
        <v/>
      </c>
      <c r="DD8" s="37"/>
      <c r="DE8" s="33"/>
      <c r="DF8" s="34"/>
      <c r="DG8" s="35" t="str">
        <f t="shared" si="42"/>
        <v/>
      </c>
      <c r="DH8" s="36" t="str">
        <f t="shared" si="43"/>
        <v/>
      </c>
      <c r="DI8" s="37"/>
      <c r="DJ8" s="33"/>
      <c r="DK8" s="34"/>
      <c r="DL8" s="35" t="str">
        <f t="shared" si="44"/>
        <v/>
      </c>
      <c r="DM8" s="36" t="str">
        <f t="shared" si="45"/>
        <v/>
      </c>
      <c r="DN8" s="37"/>
      <c r="DO8" s="33"/>
      <c r="DP8" s="34"/>
      <c r="DQ8" s="35" t="str">
        <f t="shared" si="46"/>
        <v/>
      </c>
      <c r="DR8" s="36" t="str">
        <f t="shared" si="47"/>
        <v/>
      </c>
      <c r="DS8" s="37"/>
      <c r="DT8" s="33"/>
      <c r="DU8" s="34"/>
      <c r="DV8" s="35" t="str">
        <f t="shared" si="48"/>
        <v/>
      </c>
      <c r="DW8" s="36" t="str">
        <f t="shared" si="49"/>
        <v/>
      </c>
      <c r="DX8" s="37"/>
      <c r="DY8" s="33"/>
      <c r="DZ8" s="34"/>
      <c r="EA8" s="35" t="str">
        <f t="shared" si="50"/>
        <v/>
      </c>
      <c r="EB8" s="36" t="str">
        <f t="shared" si="51"/>
        <v/>
      </c>
      <c r="EC8" s="37"/>
      <c r="ED8" s="33"/>
      <c r="EE8" s="34"/>
      <c r="EF8" s="35" t="str">
        <f t="shared" si="52"/>
        <v/>
      </c>
      <c r="EG8" s="36" t="str">
        <f t="shared" si="53"/>
        <v/>
      </c>
      <c r="EH8" s="37"/>
      <c r="EI8" s="33"/>
      <c r="EJ8" s="34"/>
      <c r="EK8" s="35" t="str">
        <f t="shared" si="54"/>
        <v/>
      </c>
      <c r="EL8" s="36" t="str">
        <f t="shared" si="55"/>
        <v/>
      </c>
      <c r="EM8" s="37"/>
      <c r="EN8" s="33"/>
      <c r="EO8" s="34"/>
      <c r="EP8" s="35" t="str">
        <f t="shared" si="56"/>
        <v/>
      </c>
      <c r="EQ8" s="36" t="str">
        <f t="shared" si="57"/>
        <v/>
      </c>
      <c r="ER8" s="37"/>
      <c r="ES8" s="33"/>
      <c r="ET8" s="34"/>
      <c r="EU8" s="35" t="str">
        <f t="shared" si="58"/>
        <v/>
      </c>
      <c r="EV8" s="36" t="str">
        <f t="shared" si="59"/>
        <v/>
      </c>
      <c r="EW8" s="37"/>
    </row>
    <row r="9" spans="1:153" ht="19.5" customHeight="1">
      <c r="A9" s="32">
        <f>IF(DAY(DATE(対象年度,6,6))&lt;&gt;6,"",6)</f>
        <v>6</v>
      </c>
      <c r="B9" s="32" t="str">
        <f>IF(DAY(DATE(対象年度,6,6))&lt;&gt;6,"",CHOOSE(WEEKDAY(DATE(対象年度,6,6),2),"月","火","水","木","金","土","日"))</f>
        <v>土</v>
      </c>
      <c r="C9" s="32" t="str">
        <f>IF(DAY(DATE(対象年度,6,6))&lt;&gt;6,"",IF(ISNUMBER(MATCH(DATE(対象年度,6,6),祝日リスト,0)),"祝",""))</f>
        <v/>
      </c>
      <c r="D9" s="33"/>
      <c r="E9" s="34"/>
      <c r="F9" s="35" t="str">
        <f t="shared" si="0"/>
        <v/>
      </c>
      <c r="G9" s="36" t="str">
        <f t="shared" si="1"/>
        <v/>
      </c>
      <c r="H9" s="37"/>
      <c r="I9" s="33"/>
      <c r="J9" s="34"/>
      <c r="K9" s="35" t="str">
        <f t="shared" si="2"/>
        <v/>
      </c>
      <c r="L9" s="36" t="str">
        <f t="shared" si="3"/>
        <v/>
      </c>
      <c r="M9" s="37"/>
      <c r="N9" s="33"/>
      <c r="O9" s="34"/>
      <c r="P9" s="35" t="str">
        <f t="shared" si="4"/>
        <v/>
      </c>
      <c r="Q9" s="36" t="str">
        <f t="shared" si="5"/>
        <v/>
      </c>
      <c r="R9" s="37"/>
      <c r="S9" s="33"/>
      <c r="T9" s="34"/>
      <c r="U9" s="35" t="str">
        <f t="shared" si="6"/>
        <v/>
      </c>
      <c r="V9" s="36" t="str">
        <f t="shared" si="7"/>
        <v/>
      </c>
      <c r="W9" s="37"/>
      <c r="X9" s="33"/>
      <c r="Y9" s="34"/>
      <c r="Z9" s="35" t="str">
        <f t="shared" si="8"/>
        <v/>
      </c>
      <c r="AA9" s="36" t="str">
        <f t="shared" si="9"/>
        <v/>
      </c>
      <c r="AB9" s="37"/>
      <c r="AC9" s="33"/>
      <c r="AD9" s="34"/>
      <c r="AE9" s="35" t="str">
        <f t="shared" si="10"/>
        <v/>
      </c>
      <c r="AF9" s="36" t="str">
        <f t="shared" si="11"/>
        <v/>
      </c>
      <c r="AG9" s="37"/>
      <c r="AH9" s="33"/>
      <c r="AI9" s="34"/>
      <c r="AJ9" s="35" t="str">
        <f t="shared" si="12"/>
        <v/>
      </c>
      <c r="AK9" s="36" t="str">
        <f t="shared" si="13"/>
        <v/>
      </c>
      <c r="AL9" s="37"/>
      <c r="AM9" s="33"/>
      <c r="AN9" s="34"/>
      <c r="AO9" s="35" t="str">
        <f t="shared" si="14"/>
        <v/>
      </c>
      <c r="AP9" s="36" t="str">
        <f t="shared" si="15"/>
        <v/>
      </c>
      <c r="AQ9" s="37"/>
      <c r="AR9" s="33"/>
      <c r="AS9" s="34"/>
      <c r="AT9" s="35" t="str">
        <f t="shared" si="16"/>
        <v/>
      </c>
      <c r="AU9" s="36" t="str">
        <f t="shared" si="17"/>
        <v/>
      </c>
      <c r="AV9" s="37"/>
      <c r="AW9" s="33"/>
      <c r="AX9" s="34"/>
      <c r="AY9" s="35" t="str">
        <f t="shared" si="18"/>
        <v/>
      </c>
      <c r="AZ9" s="36" t="str">
        <f t="shared" si="19"/>
        <v/>
      </c>
      <c r="BA9" s="37"/>
      <c r="BB9" s="33"/>
      <c r="BC9" s="34"/>
      <c r="BD9" s="35" t="str">
        <f t="shared" si="20"/>
        <v/>
      </c>
      <c r="BE9" s="36" t="str">
        <f t="shared" si="21"/>
        <v/>
      </c>
      <c r="BF9" s="37"/>
      <c r="BG9" s="33"/>
      <c r="BH9" s="34"/>
      <c r="BI9" s="35" t="str">
        <f t="shared" si="22"/>
        <v/>
      </c>
      <c r="BJ9" s="36" t="str">
        <f t="shared" si="23"/>
        <v/>
      </c>
      <c r="BK9" s="37"/>
      <c r="BL9" s="33"/>
      <c r="BM9" s="34"/>
      <c r="BN9" s="35" t="str">
        <f t="shared" si="24"/>
        <v/>
      </c>
      <c r="BO9" s="36" t="str">
        <f t="shared" si="25"/>
        <v/>
      </c>
      <c r="BP9" s="37"/>
      <c r="BQ9" s="33"/>
      <c r="BR9" s="34"/>
      <c r="BS9" s="35" t="str">
        <f t="shared" si="26"/>
        <v/>
      </c>
      <c r="BT9" s="36" t="str">
        <f t="shared" si="27"/>
        <v/>
      </c>
      <c r="BU9" s="37"/>
      <c r="BV9" s="33"/>
      <c r="BW9" s="34"/>
      <c r="BX9" s="35" t="str">
        <f t="shared" si="28"/>
        <v/>
      </c>
      <c r="BY9" s="36" t="str">
        <f t="shared" si="29"/>
        <v/>
      </c>
      <c r="BZ9" s="37"/>
      <c r="CA9" s="33"/>
      <c r="CB9" s="34"/>
      <c r="CC9" s="35" t="str">
        <f t="shared" si="30"/>
        <v/>
      </c>
      <c r="CD9" s="36" t="str">
        <f t="shared" si="31"/>
        <v/>
      </c>
      <c r="CE9" s="37"/>
      <c r="CF9" s="33"/>
      <c r="CG9" s="34"/>
      <c r="CH9" s="35" t="str">
        <f t="shared" si="32"/>
        <v/>
      </c>
      <c r="CI9" s="36" t="str">
        <f t="shared" si="33"/>
        <v/>
      </c>
      <c r="CJ9" s="37"/>
      <c r="CK9" s="33"/>
      <c r="CL9" s="34"/>
      <c r="CM9" s="35" t="str">
        <f t="shared" si="34"/>
        <v/>
      </c>
      <c r="CN9" s="36" t="str">
        <f t="shared" si="35"/>
        <v/>
      </c>
      <c r="CO9" s="37"/>
      <c r="CP9" s="33"/>
      <c r="CQ9" s="34"/>
      <c r="CR9" s="35" t="str">
        <f t="shared" si="36"/>
        <v/>
      </c>
      <c r="CS9" s="36" t="str">
        <f t="shared" si="37"/>
        <v/>
      </c>
      <c r="CT9" s="37"/>
      <c r="CU9" s="33"/>
      <c r="CV9" s="34"/>
      <c r="CW9" s="35" t="str">
        <f t="shared" si="38"/>
        <v/>
      </c>
      <c r="CX9" s="36" t="str">
        <f t="shared" si="39"/>
        <v/>
      </c>
      <c r="CY9" s="37"/>
      <c r="CZ9" s="33"/>
      <c r="DA9" s="34"/>
      <c r="DB9" s="35" t="str">
        <f t="shared" si="40"/>
        <v/>
      </c>
      <c r="DC9" s="36" t="str">
        <f t="shared" si="41"/>
        <v/>
      </c>
      <c r="DD9" s="37"/>
      <c r="DE9" s="33"/>
      <c r="DF9" s="34"/>
      <c r="DG9" s="35" t="str">
        <f t="shared" si="42"/>
        <v/>
      </c>
      <c r="DH9" s="36" t="str">
        <f t="shared" si="43"/>
        <v/>
      </c>
      <c r="DI9" s="37"/>
      <c r="DJ9" s="33"/>
      <c r="DK9" s="34"/>
      <c r="DL9" s="35" t="str">
        <f t="shared" si="44"/>
        <v/>
      </c>
      <c r="DM9" s="36" t="str">
        <f t="shared" si="45"/>
        <v/>
      </c>
      <c r="DN9" s="37"/>
      <c r="DO9" s="33"/>
      <c r="DP9" s="34"/>
      <c r="DQ9" s="35" t="str">
        <f t="shared" si="46"/>
        <v/>
      </c>
      <c r="DR9" s="36" t="str">
        <f t="shared" si="47"/>
        <v/>
      </c>
      <c r="DS9" s="37"/>
      <c r="DT9" s="33"/>
      <c r="DU9" s="34"/>
      <c r="DV9" s="35" t="str">
        <f t="shared" si="48"/>
        <v/>
      </c>
      <c r="DW9" s="36" t="str">
        <f t="shared" si="49"/>
        <v/>
      </c>
      <c r="DX9" s="37"/>
      <c r="DY9" s="33"/>
      <c r="DZ9" s="34"/>
      <c r="EA9" s="35" t="str">
        <f t="shared" si="50"/>
        <v/>
      </c>
      <c r="EB9" s="36" t="str">
        <f t="shared" si="51"/>
        <v/>
      </c>
      <c r="EC9" s="37"/>
      <c r="ED9" s="33"/>
      <c r="EE9" s="34"/>
      <c r="EF9" s="35" t="str">
        <f t="shared" si="52"/>
        <v/>
      </c>
      <c r="EG9" s="36" t="str">
        <f t="shared" si="53"/>
        <v/>
      </c>
      <c r="EH9" s="37"/>
      <c r="EI9" s="33"/>
      <c r="EJ9" s="34"/>
      <c r="EK9" s="35" t="str">
        <f t="shared" si="54"/>
        <v/>
      </c>
      <c r="EL9" s="36" t="str">
        <f t="shared" si="55"/>
        <v/>
      </c>
      <c r="EM9" s="37"/>
      <c r="EN9" s="33"/>
      <c r="EO9" s="34"/>
      <c r="EP9" s="35" t="str">
        <f t="shared" si="56"/>
        <v/>
      </c>
      <c r="EQ9" s="36" t="str">
        <f t="shared" si="57"/>
        <v/>
      </c>
      <c r="ER9" s="37"/>
      <c r="ES9" s="33"/>
      <c r="ET9" s="34"/>
      <c r="EU9" s="35" t="str">
        <f t="shared" si="58"/>
        <v/>
      </c>
      <c r="EV9" s="36" t="str">
        <f t="shared" si="59"/>
        <v/>
      </c>
      <c r="EW9" s="37"/>
    </row>
    <row r="10" spans="1:153" ht="19.5" customHeight="1">
      <c r="A10" s="32">
        <f>IF(DAY(DATE(対象年度,6,7))&lt;&gt;7,"",7)</f>
        <v>7</v>
      </c>
      <c r="B10" s="32" t="str">
        <f>IF(DAY(DATE(対象年度,6,7))&lt;&gt;7,"",CHOOSE(WEEKDAY(DATE(対象年度,6,7),2),"月","火","水","木","金","土","日"))</f>
        <v>日</v>
      </c>
      <c r="C10" s="32" t="str">
        <f>IF(DAY(DATE(対象年度,6,7))&lt;&gt;7,"",IF(ISNUMBER(MATCH(DATE(対象年度,6,7),祝日リスト,0)),"祝",""))</f>
        <v/>
      </c>
      <c r="D10" s="33"/>
      <c r="E10" s="34"/>
      <c r="F10" s="35" t="str">
        <f t="shared" si="0"/>
        <v/>
      </c>
      <c r="G10" s="36" t="str">
        <f t="shared" si="1"/>
        <v/>
      </c>
      <c r="H10" s="37"/>
      <c r="I10" s="33"/>
      <c r="J10" s="34"/>
      <c r="K10" s="35" t="str">
        <f t="shared" si="2"/>
        <v/>
      </c>
      <c r="L10" s="36" t="str">
        <f t="shared" si="3"/>
        <v/>
      </c>
      <c r="M10" s="37"/>
      <c r="N10" s="33"/>
      <c r="O10" s="34"/>
      <c r="P10" s="35" t="str">
        <f t="shared" si="4"/>
        <v/>
      </c>
      <c r="Q10" s="36" t="str">
        <f t="shared" si="5"/>
        <v/>
      </c>
      <c r="R10" s="37"/>
      <c r="S10" s="33"/>
      <c r="T10" s="34"/>
      <c r="U10" s="35" t="str">
        <f t="shared" si="6"/>
        <v/>
      </c>
      <c r="V10" s="36" t="str">
        <f t="shared" si="7"/>
        <v/>
      </c>
      <c r="W10" s="37"/>
      <c r="X10" s="33"/>
      <c r="Y10" s="34"/>
      <c r="Z10" s="35" t="str">
        <f t="shared" si="8"/>
        <v/>
      </c>
      <c r="AA10" s="36" t="str">
        <f t="shared" si="9"/>
        <v/>
      </c>
      <c r="AB10" s="37"/>
      <c r="AC10" s="33"/>
      <c r="AD10" s="34"/>
      <c r="AE10" s="35" t="str">
        <f t="shared" si="10"/>
        <v/>
      </c>
      <c r="AF10" s="36" t="str">
        <f t="shared" si="11"/>
        <v/>
      </c>
      <c r="AG10" s="37"/>
      <c r="AH10" s="33"/>
      <c r="AI10" s="34"/>
      <c r="AJ10" s="35" t="str">
        <f t="shared" si="12"/>
        <v/>
      </c>
      <c r="AK10" s="36" t="str">
        <f t="shared" si="13"/>
        <v/>
      </c>
      <c r="AL10" s="37"/>
      <c r="AM10" s="33"/>
      <c r="AN10" s="34"/>
      <c r="AO10" s="35" t="str">
        <f t="shared" si="14"/>
        <v/>
      </c>
      <c r="AP10" s="36" t="str">
        <f t="shared" si="15"/>
        <v/>
      </c>
      <c r="AQ10" s="37"/>
      <c r="AR10" s="33"/>
      <c r="AS10" s="34"/>
      <c r="AT10" s="35" t="str">
        <f t="shared" si="16"/>
        <v/>
      </c>
      <c r="AU10" s="36" t="str">
        <f t="shared" si="17"/>
        <v/>
      </c>
      <c r="AV10" s="37"/>
      <c r="AW10" s="33"/>
      <c r="AX10" s="34"/>
      <c r="AY10" s="35" t="str">
        <f t="shared" si="18"/>
        <v/>
      </c>
      <c r="AZ10" s="36" t="str">
        <f t="shared" si="19"/>
        <v/>
      </c>
      <c r="BA10" s="37"/>
      <c r="BB10" s="33"/>
      <c r="BC10" s="34"/>
      <c r="BD10" s="35" t="str">
        <f t="shared" si="20"/>
        <v/>
      </c>
      <c r="BE10" s="36" t="str">
        <f t="shared" si="21"/>
        <v/>
      </c>
      <c r="BF10" s="37"/>
      <c r="BG10" s="33"/>
      <c r="BH10" s="34"/>
      <c r="BI10" s="35" t="str">
        <f t="shared" si="22"/>
        <v/>
      </c>
      <c r="BJ10" s="36" t="str">
        <f t="shared" si="23"/>
        <v/>
      </c>
      <c r="BK10" s="37"/>
      <c r="BL10" s="33"/>
      <c r="BM10" s="34"/>
      <c r="BN10" s="35" t="str">
        <f t="shared" si="24"/>
        <v/>
      </c>
      <c r="BO10" s="36" t="str">
        <f t="shared" si="25"/>
        <v/>
      </c>
      <c r="BP10" s="37"/>
      <c r="BQ10" s="33"/>
      <c r="BR10" s="34"/>
      <c r="BS10" s="35" t="str">
        <f t="shared" si="26"/>
        <v/>
      </c>
      <c r="BT10" s="36" t="str">
        <f t="shared" si="27"/>
        <v/>
      </c>
      <c r="BU10" s="37"/>
      <c r="BV10" s="33"/>
      <c r="BW10" s="34"/>
      <c r="BX10" s="35" t="str">
        <f t="shared" si="28"/>
        <v/>
      </c>
      <c r="BY10" s="36" t="str">
        <f t="shared" si="29"/>
        <v/>
      </c>
      <c r="BZ10" s="37"/>
      <c r="CA10" s="33"/>
      <c r="CB10" s="34"/>
      <c r="CC10" s="35" t="str">
        <f t="shared" si="30"/>
        <v/>
      </c>
      <c r="CD10" s="36" t="str">
        <f t="shared" si="31"/>
        <v/>
      </c>
      <c r="CE10" s="37"/>
      <c r="CF10" s="33"/>
      <c r="CG10" s="34"/>
      <c r="CH10" s="35" t="str">
        <f t="shared" si="32"/>
        <v/>
      </c>
      <c r="CI10" s="36" t="str">
        <f t="shared" si="33"/>
        <v/>
      </c>
      <c r="CJ10" s="37"/>
      <c r="CK10" s="33"/>
      <c r="CL10" s="34"/>
      <c r="CM10" s="35" t="str">
        <f t="shared" si="34"/>
        <v/>
      </c>
      <c r="CN10" s="36" t="str">
        <f t="shared" si="35"/>
        <v/>
      </c>
      <c r="CO10" s="37"/>
      <c r="CP10" s="33"/>
      <c r="CQ10" s="34"/>
      <c r="CR10" s="35" t="str">
        <f t="shared" si="36"/>
        <v/>
      </c>
      <c r="CS10" s="36" t="str">
        <f t="shared" si="37"/>
        <v/>
      </c>
      <c r="CT10" s="37"/>
      <c r="CU10" s="33"/>
      <c r="CV10" s="34"/>
      <c r="CW10" s="35" t="str">
        <f t="shared" si="38"/>
        <v/>
      </c>
      <c r="CX10" s="36" t="str">
        <f t="shared" si="39"/>
        <v/>
      </c>
      <c r="CY10" s="37"/>
      <c r="CZ10" s="33"/>
      <c r="DA10" s="34"/>
      <c r="DB10" s="35" t="str">
        <f t="shared" si="40"/>
        <v/>
      </c>
      <c r="DC10" s="36" t="str">
        <f t="shared" si="41"/>
        <v/>
      </c>
      <c r="DD10" s="37"/>
      <c r="DE10" s="33"/>
      <c r="DF10" s="34"/>
      <c r="DG10" s="35" t="str">
        <f t="shared" si="42"/>
        <v/>
      </c>
      <c r="DH10" s="36" t="str">
        <f t="shared" si="43"/>
        <v/>
      </c>
      <c r="DI10" s="37"/>
      <c r="DJ10" s="33"/>
      <c r="DK10" s="34"/>
      <c r="DL10" s="35" t="str">
        <f t="shared" si="44"/>
        <v/>
      </c>
      <c r="DM10" s="36" t="str">
        <f t="shared" si="45"/>
        <v/>
      </c>
      <c r="DN10" s="37"/>
      <c r="DO10" s="33"/>
      <c r="DP10" s="34"/>
      <c r="DQ10" s="35" t="str">
        <f t="shared" si="46"/>
        <v/>
      </c>
      <c r="DR10" s="36" t="str">
        <f t="shared" si="47"/>
        <v/>
      </c>
      <c r="DS10" s="37"/>
      <c r="DT10" s="33"/>
      <c r="DU10" s="34"/>
      <c r="DV10" s="35" t="str">
        <f t="shared" si="48"/>
        <v/>
      </c>
      <c r="DW10" s="36" t="str">
        <f t="shared" si="49"/>
        <v/>
      </c>
      <c r="DX10" s="37"/>
      <c r="DY10" s="33"/>
      <c r="DZ10" s="34"/>
      <c r="EA10" s="35" t="str">
        <f t="shared" si="50"/>
        <v/>
      </c>
      <c r="EB10" s="36" t="str">
        <f t="shared" si="51"/>
        <v/>
      </c>
      <c r="EC10" s="37"/>
      <c r="ED10" s="33"/>
      <c r="EE10" s="34"/>
      <c r="EF10" s="35" t="str">
        <f t="shared" si="52"/>
        <v/>
      </c>
      <c r="EG10" s="36" t="str">
        <f t="shared" si="53"/>
        <v/>
      </c>
      <c r="EH10" s="37"/>
      <c r="EI10" s="33"/>
      <c r="EJ10" s="34"/>
      <c r="EK10" s="35" t="str">
        <f t="shared" si="54"/>
        <v/>
      </c>
      <c r="EL10" s="36" t="str">
        <f t="shared" si="55"/>
        <v/>
      </c>
      <c r="EM10" s="37"/>
      <c r="EN10" s="33"/>
      <c r="EO10" s="34"/>
      <c r="EP10" s="35" t="str">
        <f t="shared" si="56"/>
        <v/>
      </c>
      <c r="EQ10" s="36" t="str">
        <f t="shared" si="57"/>
        <v/>
      </c>
      <c r="ER10" s="37"/>
      <c r="ES10" s="33"/>
      <c r="ET10" s="34"/>
      <c r="EU10" s="35" t="str">
        <f t="shared" si="58"/>
        <v/>
      </c>
      <c r="EV10" s="36" t="str">
        <f t="shared" si="59"/>
        <v/>
      </c>
      <c r="EW10" s="37"/>
    </row>
    <row r="11" spans="1:153" ht="19.5" customHeight="1">
      <c r="A11" s="32">
        <f>IF(DAY(DATE(対象年度,6,8))&lt;&gt;8,"",8)</f>
        <v>8</v>
      </c>
      <c r="B11" s="32" t="str">
        <f>IF(DAY(DATE(対象年度,6,8))&lt;&gt;8,"",CHOOSE(WEEKDAY(DATE(対象年度,6,8),2),"月","火","水","木","金","土","日"))</f>
        <v>月</v>
      </c>
      <c r="C11" s="32" t="str">
        <f>IF(DAY(DATE(対象年度,6,8))&lt;&gt;8,"",IF(ISNUMBER(MATCH(DATE(対象年度,6,8),祝日リスト,0)),"祝",""))</f>
        <v/>
      </c>
      <c r="D11" s="33"/>
      <c r="E11" s="34"/>
      <c r="F11" s="35" t="str">
        <f t="shared" si="0"/>
        <v/>
      </c>
      <c r="G11" s="36" t="str">
        <f t="shared" si="1"/>
        <v/>
      </c>
      <c r="H11" s="37"/>
      <c r="I11" s="33"/>
      <c r="J11" s="34"/>
      <c r="K11" s="35" t="str">
        <f t="shared" si="2"/>
        <v/>
      </c>
      <c r="L11" s="36" t="str">
        <f t="shared" si="3"/>
        <v/>
      </c>
      <c r="M11" s="37"/>
      <c r="N11" s="33"/>
      <c r="O11" s="34"/>
      <c r="P11" s="35" t="str">
        <f t="shared" si="4"/>
        <v/>
      </c>
      <c r="Q11" s="36" t="str">
        <f t="shared" si="5"/>
        <v/>
      </c>
      <c r="R11" s="37"/>
      <c r="S11" s="33"/>
      <c r="T11" s="34"/>
      <c r="U11" s="35" t="str">
        <f t="shared" si="6"/>
        <v/>
      </c>
      <c r="V11" s="36" t="str">
        <f t="shared" si="7"/>
        <v/>
      </c>
      <c r="W11" s="37"/>
      <c r="X11" s="33"/>
      <c r="Y11" s="34"/>
      <c r="Z11" s="35" t="str">
        <f t="shared" si="8"/>
        <v/>
      </c>
      <c r="AA11" s="36" t="str">
        <f t="shared" si="9"/>
        <v/>
      </c>
      <c r="AB11" s="37"/>
      <c r="AC11" s="33"/>
      <c r="AD11" s="34"/>
      <c r="AE11" s="35" t="str">
        <f t="shared" si="10"/>
        <v/>
      </c>
      <c r="AF11" s="36" t="str">
        <f t="shared" si="11"/>
        <v/>
      </c>
      <c r="AG11" s="37"/>
      <c r="AH11" s="33"/>
      <c r="AI11" s="34"/>
      <c r="AJ11" s="35" t="str">
        <f t="shared" si="12"/>
        <v/>
      </c>
      <c r="AK11" s="36" t="str">
        <f t="shared" si="13"/>
        <v/>
      </c>
      <c r="AL11" s="37"/>
      <c r="AM11" s="33"/>
      <c r="AN11" s="34"/>
      <c r="AO11" s="35" t="str">
        <f t="shared" si="14"/>
        <v/>
      </c>
      <c r="AP11" s="36" t="str">
        <f t="shared" si="15"/>
        <v/>
      </c>
      <c r="AQ11" s="37"/>
      <c r="AR11" s="33"/>
      <c r="AS11" s="34"/>
      <c r="AT11" s="35" t="str">
        <f t="shared" si="16"/>
        <v/>
      </c>
      <c r="AU11" s="36" t="str">
        <f t="shared" si="17"/>
        <v/>
      </c>
      <c r="AV11" s="37"/>
      <c r="AW11" s="33"/>
      <c r="AX11" s="34"/>
      <c r="AY11" s="35" t="str">
        <f t="shared" si="18"/>
        <v/>
      </c>
      <c r="AZ11" s="36" t="str">
        <f t="shared" si="19"/>
        <v/>
      </c>
      <c r="BA11" s="37"/>
      <c r="BB11" s="33"/>
      <c r="BC11" s="34"/>
      <c r="BD11" s="35" t="str">
        <f t="shared" si="20"/>
        <v/>
      </c>
      <c r="BE11" s="36" t="str">
        <f t="shared" si="21"/>
        <v/>
      </c>
      <c r="BF11" s="37"/>
      <c r="BG11" s="33"/>
      <c r="BH11" s="34"/>
      <c r="BI11" s="35" t="str">
        <f t="shared" si="22"/>
        <v/>
      </c>
      <c r="BJ11" s="36" t="str">
        <f t="shared" si="23"/>
        <v/>
      </c>
      <c r="BK11" s="37"/>
      <c r="BL11" s="33"/>
      <c r="BM11" s="34"/>
      <c r="BN11" s="35" t="str">
        <f t="shared" si="24"/>
        <v/>
      </c>
      <c r="BO11" s="36" t="str">
        <f t="shared" si="25"/>
        <v/>
      </c>
      <c r="BP11" s="37"/>
      <c r="BQ11" s="33"/>
      <c r="BR11" s="34"/>
      <c r="BS11" s="35" t="str">
        <f t="shared" si="26"/>
        <v/>
      </c>
      <c r="BT11" s="36" t="str">
        <f t="shared" si="27"/>
        <v/>
      </c>
      <c r="BU11" s="37"/>
      <c r="BV11" s="33"/>
      <c r="BW11" s="34"/>
      <c r="BX11" s="35" t="str">
        <f t="shared" si="28"/>
        <v/>
      </c>
      <c r="BY11" s="36" t="str">
        <f t="shared" si="29"/>
        <v/>
      </c>
      <c r="BZ11" s="37"/>
      <c r="CA11" s="33"/>
      <c r="CB11" s="34"/>
      <c r="CC11" s="35" t="str">
        <f t="shared" si="30"/>
        <v/>
      </c>
      <c r="CD11" s="36" t="str">
        <f t="shared" si="31"/>
        <v/>
      </c>
      <c r="CE11" s="37"/>
      <c r="CF11" s="33"/>
      <c r="CG11" s="34"/>
      <c r="CH11" s="35" t="str">
        <f t="shared" si="32"/>
        <v/>
      </c>
      <c r="CI11" s="36" t="str">
        <f t="shared" si="33"/>
        <v/>
      </c>
      <c r="CJ11" s="37"/>
      <c r="CK11" s="33"/>
      <c r="CL11" s="34"/>
      <c r="CM11" s="35" t="str">
        <f t="shared" si="34"/>
        <v/>
      </c>
      <c r="CN11" s="36" t="str">
        <f t="shared" si="35"/>
        <v/>
      </c>
      <c r="CO11" s="37"/>
      <c r="CP11" s="33"/>
      <c r="CQ11" s="34"/>
      <c r="CR11" s="35" t="str">
        <f t="shared" si="36"/>
        <v/>
      </c>
      <c r="CS11" s="36" t="str">
        <f t="shared" si="37"/>
        <v/>
      </c>
      <c r="CT11" s="37"/>
      <c r="CU11" s="33"/>
      <c r="CV11" s="34"/>
      <c r="CW11" s="35" t="str">
        <f t="shared" si="38"/>
        <v/>
      </c>
      <c r="CX11" s="36" t="str">
        <f t="shared" si="39"/>
        <v/>
      </c>
      <c r="CY11" s="37"/>
      <c r="CZ11" s="33"/>
      <c r="DA11" s="34"/>
      <c r="DB11" s="35" t="str">
        <f t="shared" si="40"/>
        <v/>
      </c>
      <c r="DC11" s="36" t="str">
        <f t="shared" si="41"/>
        <v/>
      </c>
      <c r="DD11" s="37"/>
      <c r="DE11" s="33"/>
      <c r="DF11" s="34"/>
      <c r="DG11" s="35" t="str">
        <f t="shared" si="42"/>
        <v/>
      </c>
      <c r="DH11" s="36" t="str">
        <f t="shared" si="43"/>
        <v/>
      </c>
      <c r="DI11" s="37"/>
      <c r="DJ11" s="33"/>
      <c r="DK11" s="34"/>
      <c r="DL11" s="35" t="str">
        <f t="shared" si="44"/>
        <v/>
      </c>
      <c r="DM11" s="36" t="str">
        <f t="shared" si="45"/>
        <v/>
      </c>
      <c r="DN11" s="37"/>
      <c r="DO11" s="33"/>
      <c r="DP11" s="34"/>
      <c r="DQ11" s="35" t="str">
        <f t="shared" si="46"/>
        <v/>
      </c>
      <c r="DR11" s="36" t="str">
        <f t="shared" si="47"/>
        <v/>
      </c>
      <c r="DS11" s="37"/>
      <c r="DT11" s="33"/>
      <c r="DU11" s="34"/>
      <c r="DV11" s="35" t="str">
        <f t="shared" si="48"/>
        <v/>
      </c>
      <c r="DW11" s="36" t="str">
        <f t="shared" si="49"/>
        <v/>
      </c>
      <c r="DX11" s="37"/>
      <c r="DY11" s="33"/>
      <c r="DZ11" s="34"/>
      <c r="EA11" s="35" t="str">
        <f t="shared" si="50"/>
        <v/>
      </c>
      <c r="EB11" s="36" t="str">
        <f t="shared" si="51"/>
        <v/>
      </c>
      <c r="EC11" s="37"/>
      <c r="ED11" s="33"/>
      <c r="EE11" s="34"/>
      <c r="EF11" s="35" t="str">
        <f t="shared" si="52"/>
        <v/>
      </c>
      <c r="EG11" s="36" t="str">
        <f t="shared" si="53"/>
        <v/>
      </c>
      <c r="EH11" s="37"/>
      <c r="EI11" s="33"/>
      <c r="EJ11" s="34"/>
      <c r="EK11" s="35" t="str">
        <f t="shared" si="54"/>
        <v/>
      </c>
      <c r="EL11" s="36" t="str">
        <f t="shared" si="55"/>
        <v/>
      </c>
      <c r="EM11" s="37"/>
      <c r="EN11" s="33"/>
      <c r="EO11" s="34"/>
      <c r="EP11" s="35" t="str">
        <f t="shared" si="56"/>
        <v/>
      </c>
      <c r="EQ11" s="36" t="str">
        <f t="shared" si="57"/>
        <v/>
      </c>
      <c r="ER11" s="37"/>
      <c r="ES11" s="33"/>
      <c r="ET11" s="34"/>
      <c r="EU11" s="35" t="str">
        <f t="shared" si="58"/>
        <v/>
      </c>
      <c r="EV11" s="36" t="str">
        <f t="shared" si="59"/>
        <v/>
      </c>
      <c r="EW11" s="37"/>
    </row>
    <row r="12" spans="1:153" ht="19.5" customHeight="1">
      <c r="A12" s="32">
        <f>IF(DAY(DATE(対象年度,6,9))&lt;&gt;9,"",9)</f>
        <v>9</v>
      </c>
      <c r="B12" s="32" t="str">
        <f>IF(DAY(DATE(対象年度,6,9))&lt;&gt;9,"",CHOOSE(WEEKDAY(DATE(対象年度,6,9),2),"月","火","水","木","金","土","日"))</f>
        <v>火</v>
      </c>
      <c r="C12" s="32" t="str">
        <f>IF(DAY(DATE(対象年度,6,9))&lt;&gt;9,"",IF(ISNUMBER(MATCH(DATE(対象年度,6,9),祝日リスト,0)),"祝",""))</f>
        <v/>
      </c>
      <c r="D12" s="33"/>
      <c r="E12" s="34"/>
      <c r="F12" s="35" t="str">
        <f t="shared" si="0"/>
        <v/>
      </c>
      <c r="G12" s="36" t="str">
        <f t="shared" si="1"/>
        <v/>
      </c>
      <c r="H12" s="37"/>
      <c r="I12" s="33"/>
      <c r="J12" s="34"/>
      <c r="K12" s="35" t="str">
        <f t="shared" si="2"/>
        <v/>
      </c>
      <c r="L12" s="36" t="str">
        <f t="shared" si="3"/>
        <v/>
      </c>
      <c r="M12" s="37"/>
      <c r="N12" s="33"/>
      <c r="O12" s="34"/>
      <c r="P12" s="35" t="str">
        <f t="shared" si="4"/>
        <v/>
      </c>
      <c r="Q12" s="36" t="str">
        <f t="shared" si="5"/>
        <v/>
      </c>
      <c r="R12" s="37"/>
      <c r="S12" s="33"/>
      <c r="T12" s="34"/>
      <c r="U12" s="35" t="str">
        <f t="shared" si="6"/>
        <v/>
      </c>
      <c r="V12" s="36" t="str">
        <f t="shared" si="7"/>
        <v/>
      </c>
      <c r="W12" s="37"/>
      <c r="X12" s="33"/>
      <c r="Y12" s="34"/>
      <c r="Z12" s="35" t="str">
        <f t="shared" si="8"/>
        <v/>
      </c>
      <c r="AA12" s="36" t="str">
        <f t="shared" si="9"/>
        <v/>
      </c>
      <c r="AB12" s="37"/>
      <c r="AC12" s="33"/>
      <c r="AD12" s="34"/>
      <c r="AE12" s="35" t="str">
        <f t="shared" si="10"/>
        <v/>
      </c>
      <c r="AF12" s="36" t="str">
        <f t="shared" si="11"/>
        <v/>
      </c>
      <c r="AG12" s="37"/>
      <c r="AH12" s="33"/>
      <c r="AI12" s="34"/>
      <c r="AJ12" s="35" t="str">
        <f t="shared" si="12"/>
        <v/>
      </c>
      <c r="AK12" s="36" t="str">
        <f t="shared" si="13"/>
        <v/>
      </c>
      <c r="AL12" s="37"/>
      <c r="AM12" s="33"/>
      <c r="AN12" s="34"/>
      <c r="AO12" s="35" t="str">
        <f t="shared" si="14"/>
        <v/>
      </c>
      <c r="AP12" s="36" t="str">
        <f t="shared" si="15"/>
        <v/>
      </c>
      <c r="AQ12" s="37"/>
      <c r="AR12" s="33"/>
      <c r="AS12" s="34"/>
      <c r="AT12" s="35" t="str">
        <f t="shared" si="16"/>
        <v/>
      </c>
      <c r="AU12" s="36" t="str">
        <f t="shared" si="17"/>
        <v/>
      </c>
      <c r="AV12" s="37"/>
      <c r="AW12" s="33"/>
      <c r="AX12" s="34"/>
      <c r="AY12" s="35" t="str">
        <f t="shared" si="18"/>
        <v/>
      </c>
      <c r="AZ12" s="36" t="str">
        <f t="shared" si="19"/>
        <v/>
      </c>
      <c r="BA12" s="37"/>
      <c r="BB12" s="33"/>
      <c r="BC12" s="34"/>
      <c r="BD12" s="35" t="str">
        <f t="shared" si="20"/>
        <v/>
      </c>
      <c r="BE12" s="36" t="str">
        <f t="shared" si="21"/>
        <v/>
      </c>
      <c r="BF12" s="37"/>
      <c r="BG12" s="33"/>
      <c r="BH12" s="34"/>
      <c r="BI12" s="35" t="str">
        <f t="shared" si="22"/>
        <v/>
      </c>
      <c r="BJ12" s="36" t="str">
        <f t="shared" si="23"/>
        <v/>
      </c>
      <c r="BK12" s="37"/>
      <c r="BL12" s="33"/>
      <c r="BM12" s="34"/>
      <c r="BN12" s="35" t="str">
        <f t="shared" si="24"/>
        <v/>
      </c>
      <c r="BO12" s="36" t="str">
        <f t="shared" si="25"/>
        <v/>
      </c>
      <c r="BP12" s="37"/>
      <c r="BQ12" s="33"/>
      <c r="BR12" s="34"/>
      <c r="BS12" s="35" t="str">
        <f t="shared" si="26"/>
        <v/>
      </c>
      <c r="BT12" s="36" t="str">
        <f t="shared" si="27"/>
        <v/>
      </c>
      <c r="BU12" s="37"/>
      <c r="BV12" s="33"/>
      <c r="BW12" s="34"/>
      <c r="BX12" s="35" t="str">
        <f t="shared" si="28"/>
        <v/>
      </c>
      <c r="BY12" s="36" t="str">
        <f t="shared" si="29"/>
        <v/>
      </c>
      <c r="BZ12" s="37"/>
      <c r="CA12" s="33"/>
      <c r="CB12" s="34"/>
      <c r="CC12" s="35" t="str">
        <f t="shared" si="30"/>
        <v/>
      </c>
      <c r="CD12" s="36" t="str">
        <f t="shared" si="31"/>
        <v/>
      </c>
      <c r="CE12" s="37"/>
      <c r="CF12" s="33"/>
      <c r="CG12" s="34"/>
      <c r="CH12" s="35" t="str">
        <f t="shared" si="32"/>
        <v/>
      </c>
      <c r="CI12" s="36" t="str">
        <f t="shared" si="33"/>
        <v/>
      </c>
      <c r="CJ12" s="37"/>
      <c r="CK12" s="33"/>
      <c r="CL12" s="34"/>
      <c r="CM12" s="35" t="str">
        <f t="shared" si="34"/>
        <v/>
      </c>
      <c r="CN12" s="36" t="str">
        <f t="shared" si="35"/>
        <v/>
      </c>
      <c r="CO12" s="37"/>
      <c r="CP12" s="33"/>
      <c r="CQ12" s="34"/>
      <c r="CR12" s="35" t="str">
        <f t="shared" si="36"/>
        <v/>
      </c>
      <c r="CS12" s="36" t="str">
        <f t="shared" si="37"/>
        <v/>
      </c>
      <c r="CT12" s="37"/>
      <c r="CU12" s="33"/>
      <c r="CV12" s="34"/>
      <c r="CW12" s="35" t="str">
        <f t="shared" si="38"/>
        <v/>
      </c>
      <c r="CX12" s="36" t="str">
        <f t="shared" si="39"/>
        <v/>
      </c>
      <c r="CY12" s="37"/>
      <c r="CZ12" s="33"/>
      <c r="DA12" s="34"/>
      <c r="DB12" s="35" t="str">
        <f t="shared" si="40"/>
        <v/>
      </c>
      <c r="DC12" s="36" t="str">
        <f t="shared" si="41"/>
        <v/>
      </c>
      <c r="DD12" s="37"/>
      <c r="DE12" s="33"/>
      <c r="DF12" s="34"/>
      <c r="DG12" s="35" t="str">
        <f t="shared" si="42"/>
        <v/>
      </c>
      <c r="DH12" s="36" t="str">
        <f t="shared" si="43"/>
        <v/>
      </c>
      <c r="DI12" s="37"/>
      <c r="DJ12" s="33"/>
      <c r="DK12" s="34"/>
      <c r="DL12" s="35" t="str">
        <f t="shared" si="44"/>
        <v/>
      </c>
      <c r="DM12" s="36" t="str">
        <f t="shared" si="45"/>
        <v/>
      </c>
      <c r="DN12" s="37"/>
      <c r="DO12" s="33"/>
      <c r="DP12" s="34"/>
      <c r="DQ12" s="35" t="str">
        <f t="shared" si="46"/>
        <v/>
      </c>
      <c r="DR12" s="36" t="str">
        <f t="shared" si="47"/>
        <v/>
      </c>
      <c r="DS12" s="37"/>
      <c r="DT12" s="33"/>
      <c r="DU12" s="34"/>
      <c r="DV12" s="35" t="str">
        <f t="shared" si="48"/>
        <v/>
      </c>
      <c r="DW12" s="36" t="str">
        <f t="shared" si="49"/>
        <v/>
      </c>
      <c r="DX12" s="37"/>
      <c r="DY12" s="33"/>
      <c r="DZ12" s="34"/>
      <c r="EA12" s="35" t="str">
        <f t="shared" si="50"/>
        <v/>
      </c>
      <c r="EB12" s="36" t="str">
        <f t="shared" si="51"/>
        <v/>
      </c>
      <c r="EC12" s="37"/>
      <c r="ED12" s="33"/>
      <c r="EE12" s="34"/>
      <c r="EF12" s="35" t="str">
        <f t="shared" si="52"/>
        <v/>
      </c>
      <c r="EG12" s="36" t="str">
        <f t="shared" si="53"/>
        <v/>
      </c>
      <c r="EH12" s="37"/>
      <c r="EI12" s="33"/>
      <c r="EJ12" s="34"/>
      <c r="EK12" s="35" t="str">
        <f t="shared" si="54"/>
        <v/>
      </c>
      <c r="EL12" s="36" t="str">
        <f t="shared" si="55"/>
        <v/>
      </c>
      <c r="EM12" s="37"/>
      <c r="EN12" s="33"/>
      <c r="EO12" s="34"/>
      <c r="EP12" s="35" t="str">
        <f t="shared" si="56"/>
        <v/>
      </c>
      <c r="EQ12" s="36" t="str">
        <f t="shared" si="57"/>
        <v/>
      </c>
      <c r="ER12" s="37"/>
      <c r="ES12" s="33"/>
      <c r="ET12" s="34"/>
      <c r="EU12" s="35" t="str">
        <f t="shared" si="58"/>
        <v/>
      </c>
      <c r="EV12" s="36" t="str">
        <f t="shared" si="59"/>
        <v/>
      </c>
      <c r="EW12" s="37"/>
    </row>
    <row r="13" spans="1:153" ht="19.5" customHeight="1">
      <c r="A13" s="32">
        <f>IF(DAY(DATE(対象年度,6,10))&lt;&gt;10,"",10)</f>
        <v>10</v>
      </c>
      <c r="B13" s="32" t="str">
        <f>IF(DAY(DATE(対象年度,6,10))&lt;&gt;10,"",CHOOSE(WEEKDAY(DATE(対象年度,6,10),2),"月","火","水","木","金","土","日"))</f>
        <v>水</v>
      </c>
      <c r="C13" s="32" t="str">
        <f>IF(DAY(DATE(対象年度,6,10))&lt;&gt;10,"",IF(ISNUMBER(MATCH(DATE(対象年度,6,10),祝日リスト,0)),"祝",""))</f>
        <v/>
      </c>
      <c r="D13" s="33"/>
      <c r="E13" s="34"/>
      <c r="F13" s="35" t="str">
        <f t="shared" si="0"/>
        <v/>
      </c>
      <c r="G13" s="36" t="str">
        <f t="shared" si="1"/>
        <v/>
      </c>
      <c r="H13" s="37"/>
      <c r="I13" s="33"/>
      <c r="J13" s="34"/>
      <c r="K13" s="35" t="str">
        <f t="shared" si="2"/>
        <v/>
      </c>
      <c r="L13" s="36" t="str">
        <f t="shared" si="3"/>
        <v/>
      </c>
      <c r="M13" s="37"/>
      <c r="N13" s="33"/>
      <c r="O13" s="34"/>
      <c r="P13" s="35" t="str">
        <f t="shared" si="4"/>
        <v/>
      </c>
      <c r="Q13" s="36" t="str">
        <f t="shared" si="5"/>
        <v/>
      </c>
      <c r="R13" s="37"/>
      <c r="S13" s="33"/>
      <c r="T13" s="34"/>
      <c r="U13" s="35" t="str">
        <f t="shared" si="6"/>
        <v/>
      </c>
      <c r="V13" s="36" t="str">
        <f t="shared" si="7"/>
        <v/>
      </c>
      <c r="W13" s="37"/>
      <c r="X13" s="33"/>
      <c r="Y13" s="34"/>
      <c r="Z13" s="35" t="str">
        <f t="shared" si="8"/>
        <v/>
      </c>
      <c r="AA13" s="36" t="str">
        <f t="shared" si="9"/>
        <v/>
      </c>
      <c r="AB13" s="37"/>
      <c r="AC13" s="33"/>
      <c r="AD13" s="34"/>
      <c r="AE13" s="35" t="str">
        <f t="shared" si="10"/>
        <v/>
      </c>
      <c r="AF13" s="36" t="str">
        <f t="shared" si="11"/>
        <v/>
      </c>
      <c r="AG13" s="37"/>
      <c r="AH13" s="33"/>
      <c r="AI13" s="34"/>
      <c r="AJ13" s="35" t="str">
        <f t="shared" si="12"/>
        <v/>
      </c>
      <c r="AK13" s="36" t="str">
        <f t="shared" si="13"/>
        <v/>
      </c>
      <c r="AL13" s="37"/>
      <c r="AM13" s="33"/>
      <c r="AN13" s="34"/>
      <c r="AO13" s="35" t="str">
        <f t="shared" si="14"/>
        <v/>
      </c>
      <c r="AP13" s="36" t="str">
        <f t="shared" si="15"/>
        <v/>
      </c>
      <c r="AQ13" s="37"/>
      <c r="AR13" s="33"/>
      <c r="AS13" s="34"/>
      <c r="AT13" s="35" t="str">
        <f t="shared" si="16"/>
        <v/>
      </c>
      <c r="AU13" s="36" t="str">
        <f t="shared" si="17"/>
        <v/>
      </c>
      <c r="AV13" s="37"/>
      <c r="AW13" s="33"/>
      <c r="AX13" s="34"/>
      <c r="AY13" s="35" t="str">
        <f t="shared" si="18"/>
        <v/>
      </c>
      <c r="AZ13" s="36" t="str">
        <f t="shared" si="19"/>
        <v/>
      </c>
      <c r="BA13" s="37"/>
      <c r="BB13" s="33"/>
      <c r="BC13" s="34"/>
      <c r="BD13" s="35" t="str">
        <f t="shared" si="20"/>
        <v/>
      </c>
      <c r="BE13" s="36" t="str">
        <f t="shared" si="21"/>
        <v/>
      </c>
      <c r="BF13" s="37"/>
      <c r="BG13" s="33"/>
      <c r="BH13" s="34"/>
      <c r="BI13" s="35" t="str">
        <f t="shared" si="22"/>
        <v/>
      </c>
      <c r="BJ13" s="36" t="str">
        <f t="shared" si="23"/>
        <v/>
      </c>
      <c r="BK13" s="37"/>
      <c r="BL13" s="33"/>
      <c r="BM13" s="34"/>
      <c r="BN13" s="35" t="str">
        <f t="shared" si="24"/>
        <v/>
      </c>
      <c r="BO13" s="36" t="str">
        <f t="shared" si="25"/>
        <v/>
      </c>
      <c r="BP13" s="37"/>
      <c r="BQ13" s="33"/>
      <c r="BR13" s="34"/>
      <c r="BS13" s="35" t="str">
        <f t="shared" si="26"/>
        <v/>
      </c>
      <c r="BT13" s="36" t="str">
        <f t="shared" si="27"/>
        <v/>
      </c>
      <c r="BU13" s="37"/>
      <c r="BV13" s="33"/>
      <c r="BW13" s="34"/>
      <c r="BX13" s="35" t="str">
        <f t="shared" si="28"/>
        <v/>
      </c>
      <c r="BY13" s="36" t="str">
        <f t="shared" si="29"/>
        <v/>
      </c>
      <c r="BZ13" s="37"/>
      <c r="CA13" s="33"/>
      <c r="CB13" s="34"/>
      <c r="CC13" s="35" t="str">
        <f t="shared" si="30"/>
        <v/>
      </c>
      <c r="CD13" s="36" t="str">
        <f t="shared" si="31"/>
        <v/>
      </c>
      <c r="CE13" s="37"/>
      <c r="CF13" s="33"/>
      <c r="CG13" s="34"/>
      <c r="CH13" s="35" t="str">
        <f t="shared" si="32"/>
        <v/>
      </c>
      <c r="CI13" s="36" t="str">
        <f t="shared" si="33"/>
        <v/>
      </c>
      <c r="CJ13" s="37"/>
      <c r="CK13" s="33"/>
      <c r="CL13" s="34"/>
      <c r="CM13" s="35" t="str">
        <f t="shared" si="34"/>
        <v/>
      </c>
      <c r="CN13" s="36" t="str">
        <f t="shared" si="35"/>
        <v/>
      </c>
      <c r="CO13" s="37"/>
      <c r="CP13" s="33"/>
      <c r="CQ13" s="34"/>
      <c r="CR13" s="35" t="str">
        <f t="shared" si="36"/>
        <v/>
      </c>
      <c r="CS13" s="36" t="str">
        <f t="shared" si="37"/>
        <v/>
      </c>
      <c r="CT13" s="37"/>
      <c r="CU13" s="33"/>
      <c r="CV13" s="34"/>
      <c r="CW13" s="35" t="str">
        <f t="shared" si="38"/>
        <v/>
      </c>
      <c r="CX13" s="36" t="str">
        <f t="shared" si="39"/>
        <v/>
      </c>
      <c r="CY13" s="37"/>
      <c r="CZ13" s="33"/>
      <c r="DA13" s="34"/>
      <c r="DB13" s="35" t="str">
        <f t="shared" si="40"/>
        <v/>
      </c>
      <c r="DC13" s="36" t="str">
        <f t="shared" si="41"/>
        <v/>
      </c>
      <c r="DD13" s="37"/>
      <c r="DE13" s="33"/>
      <c r="DF13" s="34"/>
      <c r="DG13" s="35" t="str">
        <f t="shared" si="42"/>
        <v/>
      </c>
      <c r="DH13" s="36" t="str">
        <f t="shared" si="43"/>
        <v/>
      </c>
      <c r="DI13" s="37"/>
      <c r="DJ13" s="33"/>
      <c r="DK13" s="34"/>
      <c r="DL13" s="35" t="str">
        <f t="shared" si="44"/>
        <v/>
      </c>
      <c r="DM13" s="36" t="str">
        <f t="shared" si="45"/>
        <v/>
      </c>
      <c r="DN13" s="37"/>
      <c r="DO13" s="33"/>
      <c r="DP13" s="34"/>
      <c r="DQ13" s="35" t="str">
        <f t="shared" si="46"/>
        <v/>
      </c>
      <c r="DR13" s="36" t="str">
        <f t="shared" si="47"/>
        <v/>
      </c>
      <c r="DS13" s="37"/>
      <c r="DT13" s="33"/>
      <c r="DU13" s="34"/>
      <c r="DV13" s="35" t="str">
        <f t="shared" si="48"/>
        <v/>
      </c>
      <c r="DW13" s="36" t="str">
        <f t="shared" si="49"/>
        <v/>
      </c>
      <c r="DX13" s="37"/>
      <c r="DY13" s="33"/>
      <c r="DZ13" s="34"/>
      <c r="EA13" s="35" t="str">
        <f t="shared" si="50"/>
        <v/>
      </c>
      <c r="EB13" s="36" t="str">
        <f t="shared" si="51"/>
        <v/>
      </c>
      <c r="EC13" s="37"/>
      <c r="ED13" s="33"/>
      <c r="EE13" s="34"/>
      <c r="EF13" s="35" t="str">
        <f t="shared" si="52"/>
        <v/>
      </c>
      <c r="EG13" s="36" t="str">
        <f t="shared" si="53"/>
        <v/>
      </c>
      <c r="EH13" s="37"/>
      <c r="EI13" s="33"/>
      <c r="EJ13" s="34"/>
      <c r="EK13" s="35" t="str">
        <f t="shared" si="54"/>
        <v/>
      </c>
      <c r="EL13" s="36" t="str">
        <f t="shared" si="55"/>
        <v/>
      </c>
      <c r="EM13" s="37"/>
      <c r="EN13" s="33"/>
      <c r="EO13" s="34"/>
      <c r="EP13" s="35" t="str">
        <f t="shared" si="56"/>
        <v/>
      </c>
      <c r="EQ13" s="36" t="str">
        <f t="shared" si="57"/>
        <v/>
      </c>
      <c r="ER13" s="37"/>
      <c r="ES13" s="33"/>
      <c r="ET13" s="34"/>
      <c r="EU13" s="35" t="str">
        <f t="shared" si="58"/>
        <v/>
      </c>
      <c r="EV13" s="36" t="str">
        <f t="shared" si="59"/>
        <v/>
      </c>
      <c r="EW13" s="37"/>
    </row>
    <row r="14" spans="1:153" ht="19.5" customHeight="1">
      <c r="A14" s="32">
        <f>IF(DAY(DATE(対象年度,6,11))&lt;&gt;11,"",11)</f>
        <v>11</v>
      </c>
      <c r="B14" s="32" t="str">
        <f>IF(DAY(DATE(対象年度,6,11))&lt;&gt;11,"",CHOOSE(WEEKDAY(DATE(対象年度,6,11),2),"月","火","水","木","金","土","日"))</f>
        <v>木</v>
      </c>
      <c r="C14" s="32" t="str">
        <f>IF(DAY(DATE(対象年度,6,11))&lt;&gt;11,"",IF(ISNUMBER(MATCH(DATE(対象年度,6,11),祝日リスト,0)),"祝",""))</f>
        <v/>
      </c>
      <c r="D14" s="33"/>
      <c r="E14" s="34"/>
      <c r="F14" s="35" t="str">
        <f t="shared" si="0"/>
        <v/>
      </c>
      <c r="G14" s="36" t="str">
        <f t="shared" si="1"/>
        <v/>
      </c>
      <c r="H14" s="37"/>
      <c r="I14" s="33"/>
      <c r="J14" s="34"/>
      <c r="K14" s="35" t="str">
        <f t="shared" si="2"/>
        <v/>
      </c>
      <c r="L14" s="36" t="str">
        <f t="shared" si="3"/>
        <v/>
      </c>
      <c r="M14" s="37"/>
      <c r="N14" s="33"/>
      <c r="O14" s="34"/>
      <c r="P14" s="35" t="str">
        <f t="shared" si="4"/>
        <v/>
      </c>
      <c r="Q14" s="36" t="str">
        <f t="shared" si="5"/>
        <v/>
      </c>
      <c r="R14" s="37"/>
      <c r="S14" s="33"/>
      <c r="T14" s="34"/>
      <c r="U14" s="35" t="str">
        <f t="shared" si="6"/>
        <v/>
      </c>
      <c r="V14" s="36" t="str">
        <f t="shared" si="7"/>
        <v/>
      </c>
      <c r="W14" s="37"/>
      <c r="X14" s="33"/>
      <c r="Y14" s="34"/>
      <c r="Z14" s="35" t="str">
        <f t="shared" si="8"/>
        <v/>
      </c>
      <c r="AA14" s="36" t="str">
        <f t="shared" si="9"/>
        <v/>
      </c>
      <c r="AB14" s="37"/>
      <c r="AC14" s="33"/>
      <c r="AD14" s="34"/>
      <c r="AE14" s="35" t="str">
        <f t="shared" si="10"/>
        <v/>
      </c>
      <c r="AF14" s="36" t="str">
        <f t="shared" si="11"/>
        <v/>
      </c>
      <c r="AG14" s="37"/>
      <c r="AH14" s="33"/>
      <c r="AI14" s="34"/>
      <c r="AJ14" s="35" t="str">
        <f t="shared" si="12"/>
        <v/>
      </c>
      <c r="AK14" s="36" t="str">
        <f t="shared" si="13"/>
        <v/>
      </c>
      <c r="AL14" s="37"/>
      <c r="AM14" s="33"/>
      <c r="AN14" s="34"/>
      <c r="AO14" s="35" t="str">
        <f t="shared" si="14"/>
        <v/>
      </c>
      <c r="AP14" s="36" t="str">
        <f t="shared" si="15"/>
        <v/>
      </c>
      <c r="AQ14" s="37"/>
      <c r="AR14" s="33"/>
      <c r="AS14" s="34"/>
      <c r="AT14" s="35" t="str">
        <f t="shared" si="16"/>
        <v/>
      </c>
      <c r="AU14" s="36" t="str">
        <f t="shared" si="17"/>
        <v/>
      </c>
      <c r="AV14" s="37"/>
      <c r="AW14" s="33"/>
      <c r="AX14" s="34"/>
      <c r="AY14" s="35" t="str">
        <f t="shared" si="18"/>
        <v/>
      </c>
      <c r="AZ14" s="36" t="str">
        <f t="shared" si="19"/>
        <v/>
      </c>
      <c r="BA14" s="37"/>
      <c r="BB14" s="33"/>
      <c r="BC14" s="34"/>
      <c r="BD14" s="35" t="str">
        <f t="shared" si="20"/>
        <v/>
      </c>
      <c r="BE14" s="36" t="str">
        <f t="shared" si="21"/>
        <v/>
      </c>
      <c r="BF14" s="37"/>
      <c r="BG14" s="33"/>
      <c r="BH14" s="34"/>
      <c r="BI14" s="35" t="str">
        <f t="shared" si="22"/>
        <v/>
      </c>
      <c r="BJ14" s="36" t="str">
        <f t="shared" si="23"/>
        <v/>
      </c>
      <c r="BK14" s="37"/>
      <c r="BL14" s="33"/>
      <c r="BM14" s="34"/>
      <c r="BN14" s="35" t="str">
        <f t="shared" si="24"/>
        <v/>
      </c>
      <c r="BO14" s="36" t="str">
        <f t="shared" si="25"/>
        <v/>
      </c>
      <c r="BP14" s="37"/>
      <c r="BQ14" s="33"/>
      <c r="BR14" s="34"/>
      <c r="BS14" s="35" t="str">
        <f t="shared" si="26"/>
        <v/>
      </c>
      <c r="BT14" s="36" t="str">
        <f t="shared" si="27"/>
        <v/>
      </c>
      <c r="BU14" s="37"/>
      <c r="BV14" s="33"/>
      <c r="BW14" s="34"/>
      <c r="BX14" s="35" t="str">
        <f t="shared" si="28"/>
        <v/>
      </c>
      <c r="BY14" s="36" t="str">
        <f t="shared" si="29"/>
        <v/>
      </c>
      <c r="BZ14" s="37"/>
      <c r="CA14" s="33"/>
      <c r="CB14" s="34"/>
      <c r="CC14" s="35" t="str">
        <f t="shared" si="30"/>
        <v/>
      </c>
      <c r="CD14" s="36" t="str">
        <f t="shared" si="31"/>
        <v/>
      </c>
      <c r="CE14" s="37"/>
      <c r="CF14" s="33"/>
      <c r="CG14" s="34"/>
      <c r="CH14" s="35" t="str">
        <f t="shared" si="32"/>
        <v/>
      </c>
      <c r="CI14" s="36" t="str">
        <f t="shared" si="33"/>
        <v/>
      </c>
      <c r="CJ14" s="37"/>
      <c r="CK14" s="33"/>
      <c r="CL14" s="34"/>
      <c r="CM14" s="35" t="str">
        <f t="shared" si="34"/>
        <v/>
      </c>
      <c r="CN14" s="36" t="str">
        <f t="shared" si="35"/>
        <v/>
      </c>
      <c r="CO14" s="37"/>
      <c r="CP14" s="33"/>
      <c r="CQ14" s="34"/>
      <c r="CR14" s="35" t="str">
        <f t="shared" si="36"/>
        <v/>
      </c>
      <c r="CS14" s="36" t="str">
        <f t="shared" si="37"/>
        <v/>
      </c>
      <c r="CT14" s="37"/>
      <c r="CU14" s="33"/>
      <c r="CV14" s="34"/>
      <c r="CW14" s="35" t="str">
        <f t="shared" si="38"/>
        <v/>
      </c>
      <c r="CX14" s="36" t="str">
        <f t="shared" si="39"/>
        <v/>
      </c>
      <c r="CY14" s="37"/>
      <c r="CZ14" s="33"/>
      <c r="DA14" s="34"/>
      <c r="DB14" s="35" t="str">
        <f t="shared" si="40"/>
        <v/>
      </c>
      <c r="DC14" s="36" t="str">
        <f t="shared" si="41"/>
        <v/>
      </c>
      <c r="DD14" s="37"/>
      <c r="DE14" s="33"/>
      <c r="DF14" s="34"/>
      <c r="DG14" s="35" t="str">
        <f t="shared" si="42"/>
        <v/>
      </c>
      <c r="DH14" s="36" t="str">
        <f t="shared" si="43"/>
        <v/>
      </c>
      <c r="DI14" s="37"/>
      <c r="DJ14" s="33"/>
      <c r="DK14" s="34"/>
      <c r="DL14" s="35" t="str">
        <f t="shared" si="44"/>
        <v/>
      </c>
      <c r="DM14" s="36" t="str">
        <f t="shared" si="45"/>
        <v/>
      </c>
      <c r="DN14" s="37"/>
      <c r="DO14" s="33"/>
      <c r="DP14" s="34"/>
      <c r="DQ14" s="35" t="str">
        <f t="shared" si="46"/>
        <v/>
      </c>
      <c r="DR14" s="36" t="str">
        <f t="shared" si="47"/>
        <v/>
      </c>
      <c r="DS14" s="37"/>
      <c r="DT14" s="33"/>
      <c r="DU14" s="34"/>
      <c r="DV14" s="35" t="str">
        <f t="shared" si="48"/>
        <v/>
      </c>
      <c r="DW14" s="36" t="str">
        <f t="shared" si="49"/>
        <v/>
      </c>
      <c r="DX14" s="37"/>
      <c r="DY14" s="33"/>
      <c r="DZ14" s="34"/>
      <c r="EA14" s="35" t="str">
        <f t="shared" si="50"/>
        <v/>
      </c>
      <c r="EB14" s="36" t="str">
        <f t="shared" si="51"/>
        <v/>
      </c>
      <c r="EC14" s="37"/>
      <c r="ED14" s="33"/>
      <c r="EE14" s="34"/>
      <c r="EF14" s="35" t="str">
        <f t="shared" si="52"/>
        <v/>
      </c>
      <c r="EG14" s="36" t="str">
        <f t="shared" si="53"/>
        <v/>
      </c>
      <c r="EH14" s="37"/>
      <c r="EI14" s="33"/>
      <c r="EJ14" s="34"/>
      <c r="EK14" s="35" t="str">
        <f t="shared" si="54"/>
        <v/>
      </c>
      <c r="EL14" s="36" t="str">
        <f t="shared" si="55"/>
        <v/>
      </c>
      <c r="EM14" s="37"/>
      <c r="EN14" s="33"/>
      <c r="EO14" s="34"/>
      <c r="EP14" s="35" t="str">
        <f t="shared" si="56"/>
        <v/>
      </c>
      <c r="EQ14" s="36" t="str">
        <f t="shared" si="57"/>
        <v/>
      </c>
      <c r="ER14" s="37"/>
      <c r="ES14" s="33"/>
      <c r="ET14" s="34"/>
      <c r="EU14" s="35" t="str">
        <f t="shared" si="58"/>
        <v/>
      </c>
      <c r="EV14" s="36" t="str">
        <f t="shared" si="59"/>
        <v/>
      </c>
      <c r="EW14" s="37"/>
    </row>
    <row r="15" spans="1:153" ht="19.5" customHeight="1">
      <c r="A15" s="32">
        <f>IF(DAY(DATE(対象年度,6,12))&lt;&gt;12,"",12)</f>
        <v>12</v>
      </c>
      <c r="B15" s="32" t="str">
        <f>IF(DAY(DATE(対象年度,6,12))&lt;&gt;12,"",CHOOSE(WEEKDAY(DATE(対象年度,6,12),2),"月","火","水","木","金","土","日"))</f>
        <v>金</v>
      </c>
      <c r="C15" s="32" t="str">
        <f>IF(DAY(DATE(対象年度,6,12))&lt;&gt;12,"",IF(ISNUMBER(MATCH(DATE(対象年度,6,12),祝日リスト,0)),"祝",""))</f>
        <v/>
      </c>
      <c r="D15" s="33"/>
      <c r="E15" s="34"/>
      <c r="F15" s="35" t="str">
        <f t="shared" si="0"/>
        <v/>
      </c>
      <c r="G15" s="36" t="str">
        <f t="shared" si="1"/>
        <v/>
      </c>
      <c r="H15" s="37"/>
      <c r="I15" s="33"/>
      <c r="J15" s="34"/>
      <c r="K15" s="35" t="str">
        <f t="shared" si="2"/>
        <v/>
      </c>
      <c r="L15" s="36" t="str">
        <f t="shared" si="3"/>
        <v/>
      </c>
      <c r="M15" s="37"/>
      <c r="N15" s="33"/>
      <c r="O15" s="34"/>
      <c r="P15" s="35" t="str">
        <f t="shared" si="4"/>
        <v/>
      </c>
      <c r="Q15" s="36" t="str">
        <f t="shared" si="5"/>
        <v/>
      </c>
      <c r="R15" s="37"/>
      <c r="S15" s="33"/>
      <c r="T15" s="34"/>
      <c r="U15" s="35" t="str">
        <f t="shared" si="6"/>
        <v/>
      </c>
      <c r="V15" s="36" t="str">
        <f t="shared" si="7"/>
        <v/>
      </c>
      <c r="W15" s="37"/>
      <c r="X15" s="33"/>
      <c r="Y15" s="34"/>
      <c r="Z15" s="35" t="str">
        <f t="shared" si="8"/>
        <v/>
      </c>
      <c r="AA15" s="36" t="str">
        <f t="shared" si="9"/>
        <v/>
      </c>
      <c r="AB15" s="37"/>
      <c r="AC15" s="33"/>
      <c r="AD15" s="34"/>
      <c r="AE15" s="35" t="str">
        <f t="shared" si="10"/>
        <v/>
      </c>
      <c r="AF15" s="36" t="str">
        <f t="shared" si="11"/>
        <v/>
      </c>
      <c r="AG15" s="37"/>
      <c r="AH15" s="33"/>
      <c r="AI15" s="34"/>
      <c r="AJ15" s="35" t="str">
        <f t="shared" si="12"/>
        <v/>
      </c>
      <c r="AK15" s="36" t="str">
        <f t="shared" si="13"/>
        <v/>
      </c>
      <c r="AL15" s="37"/>
      <c r="AM15" s="33"/>
      <c r="AN15" s="34"/>
      <c r="AO15" s="35" t="str">
        <f t="shared" si="14"/>
        <v/>
      </c>
      <c r="AP15" s="36" t="str">
        <f t="shared" si="15"/>
        <v/>
      </c>
      <c r="AQ15" s="37"/>
      <c r="AR15" s="33"/>
      <c r="AS15" s="34"/>
      <c r="AT15" s="35" t="str">
        <f t="shared" si="16"/>
        <v/>
      </c>
      <c r="AU15" s="36" t="str">
        <f t="shared" si="17"/>
        <v/>
      </c>
      <c r="AV15" s="37"/>
      <c r="AW15" s="33"/>
      <c r="AX15" s="34"/>
      <c r="AY15" s="35" t="str">
        <f t="shared" si="18"/>
        <v/>
      </c>
      <c r="AZ15" s="36" t="str">
        <f t="shared" si="19"/>
        <v/>
      </c>
      <c r="BA15" s="37"/>
      <c r="BB15" s="33"/>
      <c r="BC15" s="34"/>
      <c r="BD15" s="35" t="str">
        <f t="shared" si="20"/>
        <v/>
      </c>
      <c r="BE15" s="36" t="str">
        <f t="shared" si="21"/>
        <v/>
      </c>
      <c r="BF15" s="37"/>
      <c r="BG15" s="33"/>
      <c r="BH15" s="34"/>
      <c r="BI15" s="35" t="str">
        <f t="shared" si="22"/>
        <v/>
      </c>
      <c r="BJ15" s="36" t="str">
        <f t="shared" si="23"/>
        <v/>
      </c>
      <c r="BK15" s="37"/>
      <c r="BL15" s="33"/>
      <c r="BM15" s="34"/>
      <c r="BN15" s="35" t="str">
        <f t="shared" si="24"/>
        <v/>
      </c>
      <c r="BO15" s="36" t="str">
        <f t="shared" si="25"/>
        <v/>
      </c>
      <c r="BP15" s="37"/>
      <c r="BQ15" s="33"/>
      <c r="BR15" s="34"/>
      <c r="BS15" s="35" t="str">
        <f t="shared" si="26"/>
        <v/>
      </c>
      <c r="BT15" s="36" t="str">
        <f t="shared" si="27"/>
        <v/>
      </c>
      <c r="BU15" s="37"/>
      <c r="BV15" s="33"/>
      <c r="BW15" s="34"/>
      <c r="BX15" s="35" t="str">
        <f t="shared" si="28"/>
        <v/>
      </c>
      <c r="BY15" s="36" t="str">
        <f t="shared" si="29"/>
        <v/>
      </c>
      <c r="BZ15" s="37"/>
      <c r="CA15" s="33"/>
      <c r="CB15" s="34"/>
      <c r="CC15" s="35" t="str">
        <f t="shared" si="30"/>
        <v/>
      </c>
      <c r="CD15" s="36" t="str">
        <f t="shared" si="31"/>
        <v/>
      </c>
      <c r="CE15" s="37"/>
      <c r="CF15" s="33"/>
      <c r="CG15" s="34"/>
      <c r="CH15" s="35" t="str">
        <f t="shared" si="32"/>
        <v/>
      </c>
      <c r="CI15" s="36" t="str">
        <f t="shared" si="33"/>
        <v/>
      </c>
      <c r="CJ15" s="37"/>
      <c r="CK15" s="33"/>
      <c r="CL15" s="34"/>
      <c r="CM15" s="35" t="str">
        <f t="shared" si="34"/>
        <v/>
      </c>
      <c r="CN15" s="36" t="str">
        <f t="shared" si="35"/>
        <v/>
      </c>
      <c r="CO15" s="37"/>
      <c r="CP15" s="33"/>
      <c r="CQ15" s="34"/>
      <c r="CR15" s="35" t="str">
        <f t="shared" si="36"/>
        <v/>
      </c>
      <c r="CS15" s="36" t="str">
        <f t="shared" si="37"/>
        <v/>
      </c>
      <c r="CT15" s="37"/>
      <c r="CU15" s="33"/>
      <c r="CV15" s="34"/>
      <c r="CW15" s="35" t="str">
        <f t="shared" si="38"/>
        <v/>
      </c>
      <c r="CX15" s="36" t="str">
        <f t="shared" si="39"/>
        <v/>
      </c>
      <c r="CY15" s="37"/>
      <c r="CZ15" s="33"/>
      <c r="DA15" s="34"/>
      <c r="DB15" s="35" t="str">
        <f t="shared" si="40"/>
        <v/>
      </c>
      <c r="DC15" s="36" t="str">
        <f t="shared" si="41"/>
        <v/>
      </c>
      <c r="DD15" s="37"/>
      <c r="DE15" s="33"/>
      <c r="DF15" s="34"/>
      <c r="DG15" s="35" t="str">
        <f t="shared" si="42"/>
        <v/>
      </c>
      <c r="DH15" s="36" t="str">
        <f t="shared" si="43"/>
        <v/>
      </c>
      <c r="DI15" s="37"/>
      <c r="DJ15" s="33"/>
      <c r="DK15" s="34"/>
      <c r="DL15" s="35" t="str">
        <f t="shared" si="44"/>
        <v/>
      </c>
      <c r="DM15" s="36" t="str">
        <f t="shared" si="45"/>
        <v/>
      </c>
      <c r="DN15" s="37"/>
      <c r="DO15" s="33"/>
      <c r="DP15" s="34"/>
      <c r="DQ15" s="35" t="str">
        <f t="shared" si="46"/>
        <v/>
      </c>
      <c r="DR15" s="36" t="str">
        <f t="shared" si="47"/>
        <v/>
      </c>
      <c r="DS15" s="37"/>
      <c r="DT15" s="33"/>
      <c r="DU15" s="34"/>
      <c r="DV15" s="35" t="str">
        <f t="shared" si="48"/>
        <v/>
      </c>
      <c r="DW15" s="36" t="str">
        <f t="shared" si="49"/>
        <v/>
      </c>
      <c r="DX15" s="37"/>
      <c r="DY15" s="33"/>
      <c r="DZ15" s="34"/>
      <c r="EA15" s="35" t="str">
        <f t="shared" si="50"/>
        <v/>
      </c>
      <c r="EB15" s="36" t="str">
        <f t="shared" si="51"/>
        <v/>
      </c>
      <c r="EC15" s="37"/>
      <c r="ED15" s="33"/>
      <c r="EE15" s="34"/>
      <c r="EF15" s="35" t="str">
        <f t="shared" si="52"/>
        <v/>
      </c>
      <c r="EG15" s="36" t="str">
        <f t="shared" si="53"/>
        <v/>
      </c>
      <c r="EH15" s="37"/>
      <c r="EI15" s="33"/>
      <c r="EJ15" s="34"/>
      <c r="EK15" s="35" t="str">
        <f t="shared" si="54"/>
        <v/>
      </c>
      <c r="EL15" s="36" t="str">
        <f t="shared" si="55"/>
        <v/>
      </c>
      <c r="EM15" s="37"/>
      <c r="EN15" s="33"/>
      <c r="EO15" s="34"/>
      <c r="EP15" s="35" t="str">
        <f t="shared" si="56"/>
        <v/>
      </c>
      <c r="EQ15" s="36" t="str">
        <f t="shared" si="57"/>
        <v/>
      </c>
      <c r="ER15" s="37"/>
      <c r="ES15" s="33"/>
      <c r="ET15" s="34"/>
      <c r="EU15" s="35" t="str">
        <f t="shared" si="58"/>
        <v/>
      </c>
      <c r="EV15" s="36" t="str">
        <f t="shared" si="59"/>
        <v/>
      </c>
      <c r="EW15" s="37"/>
    </row>
    <row r="16" spans="1:153" ht="19.5" customHeight="1">
      <c r="A16" s="32">
        <f>IF(DAY(DATE(対象年度,6,13))&lt;&gt;13,"",13)</f>
        <v>13</v>
      </c>
      <c r="B16" s="32" t="str">
        <f>IF(DAY(DATE(対象年度,6,13))&lt;&gt;13,"",CHOOSE(WEEKDAY(DATE(対象年度,6,13),2),"月","火","水","木","金","土","日"))</f>
        <v>土</v>
      </c>
      <c r="C16" s="32" t="str">
        <f>IF(DAY(DATE(対象年度,6,13))&lt;&gt;13,"",IF(ISNUMBER(MATCH(DATE(対象年度,6,13),祝日リスト,0)),"祝",""))</f>
        <v/>
      </c>
      <c r="D16" s="33"/>
      <c r="E16" s="34"/>
      <c r="F16" s="35" t="str">
        <f t="shared" si="0"/>
        <v/>
      </c>
      <c r="G16" s="36" t="str">
        <f t="shared" si="1"/>
        <v/>
      </c>
      <c r="H16" s="37"/>
      <c r="I16" s="33"/>
      <c r="J16" s="34"/>
      <c r="K16" s="35" t="str">
        <f t="shared" si="2"/>
        <v/>
      </c>
      <c r="L16" s="36" t="str">
        <f t="shared" si="3"/>
        <v/>
      </c>
      <c r="M16" s="37"/>
      <c r="N16" s="33"/>
      <c r="O16" s="34"/>
      <c r="P16" s="35" t="str">
        <f t="shared" si="4"/>
        <v/>
      </c>
      <c r="Q16" s="36" t="str">
        <f t="shared" si="5"/>
        <v/>
      </c>
      <c r="R16" s="37"/>
      <c r="S16" s="33"/>
      <c r="T16" s="34"/>
      <c r="U16" s="35" t="str">
        <f t="shared" si="6"/>
        <v/>
      </c>
      <c r="V16" s="36" t="str">
        <f t="shared" si="7"/>
        <v/>
      </c>
      <c r="W16" s="37"/>
      <c r="X16" s="33"/>
      <c r="Y16" s="34"/>
      <c r="Z16" s="35" t="str">
        <f t="shared" si="8"/>
        <v/>
      </c>
      <c r="AA16" s="36" t="str">
        <f t="shared" si="9"/>
        <v/>
      </c>
      <c r="AB16" s="37"/>
      <c r="AC16" s="33"/>
      <c r="AD16" s="34"/>
      <c r="AE16" s="35" t="str">
        <f t="shared" si="10"/>
        <v/>
      </c>
      <c r="AF16" s="36" t="str">
        <f t="shared" si="11"/>
        <v/>
      </c>
      <c r="AG16" s="37"/>
      <c r="AH16" s="33"/>
      <c r="AI16" s="34"/>
      <c r="AJ16" s="35" t="str">
        <f t="shared" si="12"/>
        <v/>
      </c>
      <c r="AK16" s="36" t="str">
        <f t="shared" si="13"/>
        <v/>
      </c>
      <c r="AL16" s="37"/>
      <c r="AM16" s="33"/>
      <c r="AN16" s="34"/>
      <c r="AO16" s="35" t="str">
        <f t="shared" si="14"/>
        <v/>
      </c>
      <c r="AP16" s="36" t="str">
        <f t="shared" si="15"/>
        <v/>
      </c>
      <c r="AQ16" s="37"/>
      <c r="AR16" s="33"/>
      <c r="AS16" s="34"/>
      <c r="AT16" s="35" t="str">
        <f t="shared" si="16"/>
        <v/>
      </c>
      <c r="AU16" s="36" t="str">
        <f t="shared" si="17"/>
        <v/>
      </c>
      <c r="AV16" s="37"/>
      <c r="AW16" s="33"/>
      <c r="AX16" s="34"/>
      <c r="AY16" s="35" t="str">
        <f t="shared" si="18"/>
        <v/>
      </c>
      <c r="AZ16" s="36" t="str">
        <f t="shared" si="19"/>
        <v/>
      </c>
      <c r="BA16" s="37"/>
      <c r="BB16" s="33"/>
      <c r="BC16" s="34"/>
      <c r="BD16" s="35" t="str">
        <f t="shared" si="20"/>
        <v/>
      </c>
      <c r="BE16" s="36" t="str">
        <f t="shared" si="21"/>
        <v/>
      </c>
      <c r="BF16" s="37"/>
      <c r="BG16" s="33"/>
      <c r="BH16" s="34"/>
      <c r="BI16" s="35" t="str">
        <f t="shared" si="22"/>
        <v/>
      </c>
      <c r="BJ16" s="36" t="str">
        <f t="shared" si="23"/>
        <v/>
      </c>
      <c r="BK16" s="37"/>
      <c r="BL16" s="33"/>
      <c r="BM16" s="34"/>
      <c r="BN16" s="35" t="str">
        <f t="shared" si="24"/>
        <v/>
      </c>
      <c r="BO16" s="36" t="str">
        <f t="shared" si="25"/>
        <v/>
      </c>
      <c r="BP16" s="37"/>
      <c r="BQ16" s="33"/>
      <c r="BR16" s="34"/>
      <c r="BS16" s="35" t="str">
        <f t="shared" si="26"/>
        <v/>
      </c>
      <c r="BT16" s="36" t="str">
        <f t="shared" si="27"/>
        <v/>
      </c>
      <c r="BU16" s="37"/>
      <c r="BV16" s="33"/>
      <c r="BW16" s="34"/>
      <c r="BX16" s="35" t="str">
        <f t="shared" si="28"/>
        <v/>
      </c>
      <c r="BY16" s="36" t="str">
        <f t="shared" si="29"/>
        <v/>
      </c>
      <c r="BZ16" s="37"/>
      <c r="CA16" s="33"/>
      <c r="CB16" s="34"/>
      <c r="CC16" s="35" t="str">
        <f t="shared" si="30"/>
        <v/>
      </c>
      <c r="CD16" s="36" t="str">
        <f t="shared" si="31"/>
        <v/>
      </c>
      <c r="CE16" s="37"/>
      <c r="CF16" s="33"/>
      <c r="CG16" s="34"/>
      <c r="CH16" s="35" t="str">
        <f t="shared" si="32"/>
        <v/>
      </c>
      <c r="CI16" s="36" t="str">
        <f t="shared" si="33"/>
        <v/>
      </c>
      <c r="CJ16" s="37"/>
      <c r="CK16" s="33"/>
      <c r="CL16" s="34"/>
      <c r="CM16" s="35" t="str">
        <f t="shared" si="34"/>
        <v/>
      </c>
      <c r="CN16" s="36" t="str">
        <f t="shared" si="35"/>
        <v/>
      </c>
      <c r="CO16" s="37"/>
      <c r="CP16" s="33"/>
      <c r="CQ16" s="34"/>
      <c r="CR16" s="35" t="str">
        <f t="shared" si="36"/>
        <v/>
      </c>
      <c r="CS16" s="36" t="str">
        <f t="shared" si="37"/>
        <v/>
      </c>
      <c r="CT16" s="37"/>
      <c r="CU16" s="33"/>
      <c r="CV16" s="34"/>
      <c r="CW16" s="35" t="str">
        <f t="shared" si="38"/>
        <v/>
      </c>
      <c r="CX16" s="36" t="str">
        <f t="shared" si="39"/>
        <v/>
      </c>
      <c r="CY16" s="37"/>
      <c r="CZ16" s="33"/>
      <c r="DA16" s="34"/>
      <c r="DB16" s="35" t="str">
        <f t="shared" si="40"/>
        <v/>
      </c>
      <c r="DC16" s="36" t="str">
        <f t="shared" si="41"/>
        <v/>
      </c>
      <c r="DD16" s="37"/>
      <c r="DE16" s="33"/>
      <c r="DF16" s="34"/>
      <c r="DG16" s="35" t="str">
        <f t="shared" si="42"/>
        <v/>
      </c>
      <c r="DH16" s="36" t="str">
        <f t="shared" si="43"/>
        <v/>
      </c>
      <c r="DI16" s="37"/>
      <c r="DJ16" s="33"/>
      <c r="DK16" s="34"/>
      <c r="DL16" s="35" t="str">
        <f t="shared" si="44"/>
        <v/>
      </c>
      <c r="DM16" s="36" t="str">
        <f t="shared" si="45"/>
        <v/>
      </c>
      <c r="DN16" s="37"/>
      <c r="DO16" s="33"/>
      <c r="DP16" s="34"/>
      <c r="DQ16" s="35" t="str">
        <f t="shared" si="46"/>
        <v/>
      </c>
      <c r="DR16" s="36" t="str">
        <f t="shared" si="47"/>
        <v/>
      </c>
      <c r="DS16" s="37"/>
      <c r="DT16" s="33"/>
      <c r="DU16" s="34"/>
      <c r="DV16" s="35" t="str">
        <f t="shared" si="48"/>
        <v/>
      </c>
      <c r="DW16" s="36" t="str">
        <f t="shared" si="49"/>
        <v/>
      </c>
      <c r="DX16" s="37"/>
      <c r="DY16" s="33"/>
      <c r="DZ16" s="34"/>
      <c r="EA16" s="35" t="str">
        <f t="shared" si="50"/>
        <v/>
      </c>
      <c r="EB16" s="36" t="str">
        <f t="shared" si="51"/>
        <v/>
      </c>
      <c r="EC16" s="37"/>
      <c r="ED16" s="33"/>
      <c r="EE16" s="34"/>
      <c r="EF16" s="35" t="str">
        <f t="shared" si="52"/>
        <v/>
      </c>
      <c r="EG16" s="36" t="str">
        <f t="shared" si="53"/>
        <v/>
      </c>
      <c r="EH16" s="37"/>
      <c r="EI16" s="33"/>
      <c r="EJ16" s="34"/>
      <c r="EK16" s="35" t="str">
        <f t="shared" si="54"/>
        <v/>
      </c>
      <c r="EL16" s="36" t="str">
        <f t="shared" si="55"/>
        <v/>
      </c>
      <c r="EM16" s="37"/>
      <c r="EN16" s="33"/>
      <c r="EO16" s="34"/>
      <c r="EP16" s="35" t="str">
        <f t="shared" si="56"/>
        <v/>
      </c>
      <c r="EQ16" s="36" t="str">
        <f t="shared" si="57"/>
        <v/>
      </c>
      <c r="ER16" s="37"/>
      <c r="ES16" s="33"/>
      <c r="ET16" s="34"/>
      <c r="EU16" s="35" t="str">
        <f t="shared" si="58"/>
        <v/>
      </c>
      <c r="EV16" s="36" t="str">
        <f t="shared" si="59"/>
        <v/>
      </c>
      <c r="EW16" s="37"/>
    </row>
    <row r="17" spans="1:153" ht="19.5" customHeight="1">
      <c r="A17" s="32">
        <f>IF(DAY(DATE(対象年度,6,14))&lt;&gt;14,"",14)</f>
        <v>14</v>
      </c>
      <c r="B17" s="32" t="str">
        <f>IF(DAY(DATE(対象年度,6,14))&lt;&gt;14,"",CHOOSE(WEEKDAY(DATE(対象年度,6,14),2),"月","火","水","木","金","土","日"))</f>
        <v>日</v>
      </c>
      <c r="C17" s="32" t="str">
        <f>IF(DAY(DATE(対象年度,6,14))&lt;&gt;14,"",IF(ISNUMBER(MATCH(DATE(対象年度,6,14),祝日リスト,0)),"祝",""))</f>
        <v/>
      </c>
      <c r="D17" s="33"/>
      <c r="E17" s="34"/>
      <c r="F17" s="35" t="str">
        <f t="shared" si="0"/>
        <v/>
      </c>
      <c r="G17" s="36" t="str">
        <f t="shared" si="1"/>
        <v/>
      </c>
      <c r="H17" s="37"/>
      <c r="I17" s="33"/>
      <c r="J17" s="34"/>
      <c r="K17" s="35" t="str">
        <f t="shared" si="2"/>
        <v/>
      </c>
      <c r="L17" s="36" t="str">
        <f t="shared" si="3"/>
        <v/>
      </c>
      <c r="M17" s="37"/>
      <c r="N17" s="33"/>
      <c r="O17" s="34"/>
      <c r="P17" s="35" t="str">
        <f t="shared" si="4"/>
        <v/>
      </c>
      <c r="Q17" s="36" t="str">
        <f t="shared" si="5"/>
        <v/>
      </c>
      <c r="R17" s="37"/>
      <c r="S17" s="33"/>
      <c r="T17" s="34"/>
      <c r="U17" s="35" t="str">
        <f t="shared" si="6"/>
        <v/>
      </c>
      <c r="V17" s="36" t="str">
        <f t="shared" si="7"/>
        <v/>
      </c>
      <c r="W17" s="37"/>
      <c r="X17" s="33"/>
      <c r="Y17" s="34"/>
      <c r="Z17" s="35" t="str">
        <f t="shared" si="8"/>
        <v/>
      </c>
      <c r="AA17" s="36" t="str">
        <f t="shared" si="9"/>
        <v/>
      </c>
      <c r="AB17" s="37"/>
      <c r="AC17" s="33"/>
      <c r="AD17" s="34"/>
      <c r="AE17" s="35" t="str">
        <f t="shared" si="10"/>
        <v/>
      </c>
      <c r="AF17" s="36" t="str">
        <f t="shared" si="11"/>
        <v/>
      </c>
      <c r="AG17" s="37"/>
      <c r="AH17" s="33"/>
      <c r="AI17" s="34"/>
      <c r="AJ17" s="35" t="str">
        <f t="shared" si="12"/>
        <v/>
      </c>
      <c r="AK17" s="36" t="str">
        <f t="shared" si="13"/>
        <v/>
      </c>
      <c r="AL17" s="37"/>
      <c r="AM17" s="33"/>
      <c r="AN17" s="34"/>
      <c r="AO17" s="35" t="str">
        <f t="shared" si="14"/>
        <v/>
      </c>
      <c r="AP17" s="36" t="str">
        <f t="shared" si="15"/>
        <v/>
      </c>
      <c r="AQ17" s="37"/>
      <c r="AR17" s="33"/>
      <c r="AS17" s="34"/>
      <c r="AT17" s="35" t="str">
        <f t="shared" si="16"/>
        <v/>
      </c>
      <c r="AU17" s="36" t="str">
        <f t="shared" si="17"/>
        <v/>
      </c>
      <c r="AV17" s="37"/>
      <c r="AW17" s="33"/>
      <c r="AX17" s="34"/>
      <c r="AY17" s="35" t="str">
        <f t="shared" si="18"/>
        <v/>
      </c>
      <c r="AZ17" s="36" t="str">
        <f t="shared" si="19"/>
        <v/>
      </c>
      <c r="BA17" s="37"/>
      <c r="BB17" s="33"/>
      <c r="BC17" s="34"/>
      <c r="BD17" s="35" t="str">
        <f t="shared" si="20"/>
        <v/>
      </c>
      <c r="BE17" s="36" t="str">
        <f t="shared" si="21"/>
        <v/>
      </c>
      <c r="BF17" s="37"/>
      <c r="BG17" s="33"/>
      <c r="BH17" s="34"/>
      <c r="BI17" s="35" t="str">
        <f t="shared" si="22"/>
        <v/>
      </c>
      <c r="BJ17" s="36" t="str">
        <f t="shared" si="23"/>
        <v/>
      </c>
      <c r="BK17" s="37"/>
      <c r="BL17" s="33"/>
      <c r="BM17" s="34"/>
      <c r="BN17" s="35" t="str">
        <f t="shared" si="24"/>
        <v/>
      </c>
      <c r="BO17" s="36" t="str">
        <f t="shared" si="25"/>
        <v/>
      </c>
      <c r="BP17" s="37"/>
      <c r="BQ17" s="33"/>
      <c r="BR17" s="34"/>
      <c r="BS17" s="35" t="str">
        <f t="shared" si="26"/>
        <v/>
      </c>
      <c r="BT17" s="36" t="str">
        <f t="shared" si="27"/>
        <v/>
      </c>
      <c r="BU17" s="37"/>
      <c r="BV17" s="33"/>
      <c r="BW17" s="34"/>
      <c r="BX17" s="35" t="str">
        <f t="shared" si="28"/>
        <v/>
      </c>
      <c r="BY17" s="36" t="str">
        <f t="shared" si="29"/>
        <v/>
      </c>
      <c r="BZ17" s="37"/>
      <c r="CA17" s="33"/>
      <c r="CB17" s="34"/>
      <c r="CC17" s="35" t="str">
        <f t="shared" si="30"/>
        <v/>
      </c>
      <c r="CD17" s="36" t="str">
        <f t="shared" si="31"/>
        <v/>
      </c>
      <c r="CE17" s="37"/>
      <c r="CF17" s="33"/>
      <c r="CG17" s="34"/>
      <c r="CH17" s="35" t="str">
        <f t="shared" si="32"/>
        <v/>
      </c>
      <c r="CI17" s="36" t="str">
        <f t="shared" si="33"/>
        <v/>
      </c>
      <c r="CJ17" s="37"/>
      <c r="CK17" s="33"/>
      <c r="CL17" s="34"/>
      <c r="CM17" s="35" t="str">
        <f t="shared" si="34"/>
        <v/>
      </c>
      <c r="CN17" s="36" t="str">
        <f t="shared" si="35"/>
        <v/>
      </c>
      <c r="CO17" s="37"/>
      <c r="CP17" s="33"/>
      <c r="CQ17" s="34"/>
      <c r="CR17" s="35" t="str">
        <f t="shared" si="36"/>
        <v/>
      </c>
      <c r="CS17" s="36" t="str">
        <f t="shared" si="37"/>
        <v/>
      </c>
      <c r="CT17" s="37"/>
      <c r="CU17" s="33"/>
      <c r="CV17" s="34"/>
      <c r="CW17" s="35" t="str">
        <f t="shared" si="38"/>
        <v/>
      </c>
      <c r="CX17" s="36" t="str">
        <f t="shared" si="39"/>
        <v/>
      </c>
      <c r="CY17" s="37"/>
      <c r="CZ17" s="33"/>
      <c r="DA17" s="34"/>
      <c r="DB17" s="35" t="str">
        <f t="shared" si="40"/>
        <v/>
      </c>
      <c r="DC17" s="36" t="str">
        <f t="shared" si="41"/>
        <v/>
      </c>
      <c r="DD17" s="37"/>
      <c r="DE17" s="33"/>
      <c r="DF17" s="34"/>
      <c r="DG17" s="35" t="str">
        <f t="shared" si="42"/>
        <v/>
      </c>
      <c r="DH17" s="36" t="str">
        <f t="shared" si="43"/>
        <v/>
      </c>
      <c r="DI17" s="37"/>
      <c r="DJ17" s="33"/>
      <c r="DK17" s="34"/>
      <c r="DL17" s="35" t="str">
        <f t="shared" si="44"/>
        <v/>
      </c>
      <c r="DM17" s="36" t="str">
        <f t="shared" si="45"/>
        <v/>
      </c>
      <c r="DN17" s="37"/>
      <c r="DO17" s="33"/>
      <c r="DP17" s="34"/>
      <c r="DQ17" s="35" t="str">
        <f t="shared" si="46"/>
        <v/>
      </c>
      <c r="DR17" s="36" t="str">
        <f t="shared" si="47"/>
        <v/>
      </c>
      <c r="DS17" s="37"/>
      <c r="DT17" s="33"/>
      <c r="DU17" s="34"/>
      <c r="DV17" s="35" t="str">
        <f t="shared" si="48"/>
        <v/>
      </c>
      <c r="DW17" s="36" t="str">
        <f t="shared" si="49"/>
        <v/>
      </c>
      <c r="DX17" s="37"/>
      <c r="DY17" s="33"/>
      <c r="DZ17" s="34"/>
      <c r="EA17" s="35" t="str">
        <f t="shared" si="50"/>
        <v/>
      </c>
      <c r="EB17" s="36" t="str">
        <f t="shared" si="51"/>
        <v/>
      </c>
      <c r="EC17" s="37"/>
      <c r="ED17" s="33"/>
      <c r="EE17" s="34"/>
      <c r="EF17" s="35" t="str">
        <f t="shared" si="52"/>
        <v/>
      </c>
      <c r="EG17" s="36" t="str">
        <f t="shared" si="53"/>
        <v/>
      </c>
      <c r="EH17" s="37"/>
      <c r="EI17" s="33"/>
      <c r="EJ17" s="34"/>
      <c r="EK17" s="35" t="str">
        <f t="shared" si="54"/>
        <v/>
      </c>
      <c r="EL17" s="36" t="str">
        <f t="shared" si="55"/>
        <v/>
      </c>
      <c r="EM17" s="37"/>
      <c r="EN17" s="33"/>
      <c r="EO17" s="34"/>
      <c r="EP17" s="35" t="str">
        <f t="shared" si="56"/>
        <v/>
      </c>
      <c r="EQ17" s="36" t="str">
        <f t="shared" si="57"/>
        <v/>
      </c>
      <c r="ER17" s="37"/>
      <c r="ES17" s="33"/>
      <c r="ET17" s="34"/>
      <c r="EU17" s="35" t="str">
        <f t="shared" si="58"/>
        <v/>
      </c>
      <c r="EV17" s="36" t="str">
        <f t="shared" si="59"/>
        <v/>
      </c>
      <c r="EW17" s="37"/>
    </row>
    <row r="18" spans="1:153" ht="19.5" customHeight="1">
      <c r="A18" s="32">
        <f>IF(DAY(DATE(対象年度,6,15))&lt;&gt;15,"",15)</f>
        <v>15</v>
      </c>
      <c r="B18" s="32" t="str">
        <f>IF(DAY(DATE(対象年度,6,15))&lt;&gt;15,"",CHOOSE(WEEKDAY(DATE(対象年度,6,15),2),"月","火","水","木","金","土","日"))</f>
        <v>月</v>
      </c>
      <c r="C18" s="32" t="str">
        <f>IF(DAY(DATE(対象年度,6,15))&lt;&gt;15,"",IF(ISNUMBER(MATCH(DATE(対象年度,6,15),祝日リスト,0)),"祝",""))</f>
        <v/>
      </c>
      <c r="D18" s="33"/>
      <c r="E18" s="34"/>
      <c r="F18" s="35" t="str">
        <f t="shared" si="0"/>
        <v/>
      </c>
      <c r="G18" s="36" t="str">
        <f t="shared" si="1"/>
        <v/>
      </c>
      <c r="H18" s="37"/>
      <c r="I18" s="33"/>
      <c r="J18" s="34"/>
      <c r="K18" s="35" t="str">
        <f t="shared" si="2"/>
        <v/>
      </c>
      <c r="L18" s="36" t="str">
        <f t="shared" si="3"/>
        <v/>
      </c>
      <c r="M18" s="37"/>
      <c r="N18" s="33"/>
      <c r="O18" s="34"/>
      <c r="P18" s="35" t="str">
        <f t="shared" si="4"/>
        <v/>
      </c>
      <c r="Q18" s="36" t="str">
        <f t="shared" si="5"/>
        <v/>
      </c>
      <c r="R18" s="37"/>
      <c r="S18" s="33"/>
      <c r="T18" s="34"/>
      <c r="U18" s="35" t="str">
        <f t="shared" si="6"/>
        <v/>
      </c>
      <c r="V18" s="36" t="str">
        <f t="shared" si="7"/>
        <v/>
      </c>
      <c r="W18" s="37"/>
      <c r="X18" s="33"/>
      <c r="Y18" s="34"/>
      <c r="Z18" s="35" t="str">
        <f t="shared" si="8"/>
        <v/>
      </c>
      <c r="AA18" s="36" t="str">
        <f t="shared" si="9"/>
        <v/>
      </c>
      <c r="AB18" s="37"/>
      <c r="AC18" s="33"/>
      <c r="AD18" s="34"/>
      <c r="AE18" s="35" t="str">
        <f t="shared" si="10"/>
        <v/>
      </c>
      <c r="AF18" s="36" t="str">
        <f t="shared" si="11"/>
        <v/>
      </c>
      <c r="AG18" s="37"/>
      <c r="AH18" s="33"/>
      <c r="AI18" s="34"/>
      <c r="AJ18" s="35" t="str">
        <f t="shared" si="12"/>
        <v/>
      </c>
      <c r="AK18" s="36" t="str">
        <f t="shared" si="13"/>
        <v/>
      </c>
      <c r="AL18" s="37"/>
      <c r="AM18" s="33"/>
      <c r="AN18" s="34"/>
      <c r="AO18" s="35" t="str">
        <f t="shared" si="14"/>
        <v/>
      </c>
      <c r="AP18" s="36" t="str">
        <f t="shared" si="15"/>
        <v/>
      </c>
      <c r="AQ18" s="37"/>
      <c r="AR18" s="33"/>
      <c r="AS18" s="34"/>
      <c r="AT18" s="35" t="str">
        <f t="shared" si="16"/>
        <v/>
      </c>
      <c r="AU18" s="36" t="str">
        <f t="shared" si="17"/>
        <v/>
      </c>
      <c r="AV18" s="37"/>
      <c r="AW18" s="33"/>
      <c r="AX18" s="34"/>
      <c r="AY18" s="35" t="str">
        <f t="shared" si="18"/>
        <v/>
      </c>
      <c r="AZ18" s="36" t="str">
        <f t="shared" si="19"/>
        <v/>
      </c>
      <c r="BA18" s="37"/>
      <c r="BB18" s="33"/>
      <c r="BC18" s="34"/>
      <c r="BD18" s="35" t="str">
        <f t="shared" si="20"/>
        <v/>
      </c>
      <c r="BE18" s="36" t="str">
        <f t="shared" si="21"/>
        <v/>
      </c>
      <c r="BF18" s="37"/>
      <c r="BG18" s="33"/>
      <c r="BH18" s="34"/>
      <c r="BI18" s="35" t="str">
        <f t="shared" si="22"/>
        <v/>
      </c>
      <c r="BJ18" s="36" t="str">
        <f t="shared" si="23"/>
        <v/>
      </c>
      <c r="BK18" s="37"/>
      <c r="BL18" s="33"/>
      <c r="BM18" s="34"/>
      <c r="BN18" s="35" t="str">
        <f t="shared" si="24"/>
        <v/>
      </c>
      <c r="BO18" s="36" t="str">
        <f t="shared" si="25"/>
        <v/>
      </c>
      <c r="BP18" s="37"/>
      <c r="BQ18" s="33"/>
      <c r="BR18" s="34"/>
      <c r="BS18" s="35" t="str">
        <f t="shared" si="26"/>
        <v/>
      </c>
      <c r="BT18" s="36" t="str">
        <f t="shared" si="27"/>
        <v/>
      </c>
      <c r="BU18" s="37"/>
      <c r="BV18" s="33"/>
      <c r="BW18" s="34"/>
      <c r="BX18" s="35" t="str">
        <f t="shared" si="28"/>
        <v/>
      </c>
      <c r="BY18" s="36" t="str">
        <f t="shared" si="29"/>
        <v/>
      </c>
      <c r="BZ18" s="37"/>
      <c r="CA18" s="33"/>
      <c r="CB18" s="34"/>
      <c r="CC18" s="35" t="str">
        <f t="shared" si="30"/>
        <v/>
      </c>
      <c r="CD18" s="36" t="str">
        <f t="shared" si="31"/>
        <v/>
      </c>
      <c r="CE18" s="37"/>
      <c r="CF18" s="33"/>
      <c r="CG18" s="34"/>
      <c r="CH18" s="35" t="str">
        <f t="shared" si="32"/>
        <v/>
      </c>
      <c r="CI18" s="36" t="str">
        <f t="shared" si="33"/>
        <v/>
      </c>
      <c r="CJ18" s="37"/>
      <c r="CK18" s="33"/>
      <c r="CL18" s="34"/>
      <c r="CM18" s="35" t="str">
        <f t="shared" si="34"/>
        <v/>
      </c>
      <c r="CN18" s="36" t="str">
        <f t="shared" si="35"/>
        <v/>
      </c>
      <c r="CO18" s="37"/>
      <c r="CP18" s="33"/>
      <c r="CQ18" s="34"/>
      <c r="CR18" s="35" t="str">
        <f t="shared" si="36"/>
        <v/>
      </c>
      <c r="CS18" s="36" t="str">
        <f t="shared" si="37"/>
        <v/>
      </c>
      <c r="CT18" s="37"/>
      <c r="CU18" s="33"/>
      <c r="CV18" s="34"/>
      <c r="CW18" s="35" t="str">
        <f t="shared" si="38"/>
        <v/>
      </c>
      <c r="CX18" s="36" t="str">
        <f t="shared" si="39"/>
        <v/>
      </c>
      <c r="CY18" s="37"/>
      <c r="CZ18" s="33"/>
      <c r="DA18" s="34"/>
      <c r="DB18" s="35" t="str">
        <f t="shared" si="40"/>
        <v/>
      </c>
      <c r="DC18" s="36" t="str">
        <f t="shared" si="41"/>
        <v/>
      </c>
      <c r="DD18" s="37"/>
      <c r="DE18" s="33"/>
      <c r="DF18" s="34"/>
      <c r="DG18" s="35" t="str">
        <f t="shared" si="42"/>
        <v/>
      </c>
      <c r="DH18" s="36" t="str">
        <f t="shared" si="43"/>
        <v/>
      </c>
      <c r="DI18" s="37"/>
      <c r="DJ18" s="33"/>
      <c r="DK18" s="34"/>
      <c r="DL18" s="35" t="str">
        <f t="shared" si="44"/>
        <v/>
      </c>
      <c r="DM18" s="36" t="str">
        <f t="shared" si="45"/>
        <v/>
      </c>
      <c r="DN18" s="37"/>
      <c r="DO18" s="33"/>
      <c r="DP18" s="34"/>
      <c r="DQ18" s="35" t="str">
        <f t="shared" si="46"/>
        <v/>
      </c>
      <c r="DR18" s="36" t="str">
        <f t="shared" si="47"/>
        <v/>
      </c>
      <c r="DS18" s="37"/>
      <c r="DT18" s="33"/>
      <c r="DU18" s="34"/>
      <c r="DV18" s="35" t="str">
        <f t="shared" si="48"/>
        <v/>
      </c>
      <c r="DW18" s="36" t="str">
        <f t="shared" si="49"/>
        <v/>
      </c>
      <c r="DX18" s="37"/>
      <c r="DY18" s="33"/>
      <c r="DZ18" s="34"/>
      <c r="EA18" s="35" t="str">
        <f t="shared" si="50"/>
        <v/>
      </c>
      <c r="EB18" s="36" t="str">
        <f t="shared" si="51"/>
        <v/>
      </c>
      <c r="EC18" s="37"/>
      <c r="ED18" s="33"/>
      <c r="EE18" s="34"/>
      <c r="EF18" s="35" t="str">
        <f t="shared" si="52"/>
        <v/>
      </c>
      <c r="EG18" s="36" t="str">
        <f t="shared" si="53"/>
        <v/>
      </c>
      <c r="EH18" s="37"/>
      <c r="EI18" s="33"/>
      <c r="EJ18" s="34"/>
      <c r="EK18" s="35" t="str">
        <f t="shared" si="54"/>
        <v/>
      </c>
      <c r="EL18" s="36" t="str">
        <f t="shared" si="55"/>
        <v/>
      </c>
      <c r="EM18" s="37"/>
      <c r="EN18" s="33"/>
      <c r="EO18" s="34"/>
      <c r="EP18" s="35" t="str">
        <f t="shared" si="56"/>
        <v/>
      </c>
      <c r="EQ18" s="36" t="str">
        <f t="shared" si="57"/>
        <v/>
      </c>
      <c r="ER18" s="37"/>
      <c r="ES18" s="33"/>
      <c r="ET18" s="34"/>
      <c r="EU18" s="35" t="str">
        <f t="shared" si="58"/>
        <v/>
      </c>
      <c r="EV18" s="36" t="str">
        <f t="shared" si="59"/>
        <v/>
      </c>
      <c r="EW18" s="37"/>
    </row>
    <row r="19" spans="1:153" ht="19.5" customHeight="1">
      <c r="A19" s="32">
        <f>IF(DAY(DATE(対象年度,6,16))&lt;&gt;16,"",16)</f>
        <v>16</v>
      </c>
      <c r="B19" s="32" t="str">
        <f>IF(DAY(DATE(対象年度,6,16))&lt;&gt;16,"",CHOOSE(WEEKDAY(DATE(対象年度,6,16),2),"月","火","水","木","金","土","日"))</f>
        <v>火</v>
      </c>
      <c r="C19" s="32" t="str">
        <f>IF(DAY(DATE(対象年度,6,16))&lt;&gt;16,"",IF(ISNUMBER(MATCH(DATE(対象年度,6,16),祝日リスト,0)),"祝",""))</f>
        <v/>
      </c>
      <c r="D19" s="33"/>
      <c r="E19" s="34"/>
      <c r="F19" s="35" t="str">
        <f t="shared" si="0"/>
        <v/>
      </c>
      <c r="G19" s="36" t="str">
        <f t="shared" si="1"/>
        <v/>
      </c>
      <c r="H19" s="37"/>
      <c r="I19" s="33"/>
      <c r="J19" s="34"/>
      <c r="K19" s="35" t="str">
        <f t="shared" si="2"/>
        <v/>
      </c>
      <c r="L19" s="36" t="str">
        <f t="shared" si="3"/>
        <v/>
      </c>
      <c r="M19" s="37"/>
      <c r="N19" s="33"/>
      <c r="O19" s="34"/>
      <c r="P19" s="35" t="str">
        <f t="shared" si="4"/>
        <v/>
      </c>
      <c r="Q19" s="36" t="str">
        <f t="shared" si="5"/>
        <v/>
      </c>
      <c r="R19" s="37"/>
      <c r="S19" s="33"/>
      <c r="T19" s="34"/>
      <c r="U19" s="35" t="str">
        <f t="shared" si="6"/>
        <v/>
      </c>
      <c r="V19" s="36" t="str">
        <f t="shared" si="7"/>
        <v/>
      </c>
      <c r="W19" s="37"/>
      <c r="X19" s="33"/>
      <c r="Y19" s="34"/>
      <c r="Z19" s="35" t="str">
        <f t="shared" si="8"/>
        <v/>
      </c>
      <c r="AA19" s="36" t="str">
        <f t="shared" si="9"/>
        <v/>
      </c>
      <c r="AB19" s="37"/>
      <c r="AC19" s="33"/>
      <c r="AD19" s="34"/>
      <c r="AE19" s="35" t="str">
        <f t="shared" si="10"/>
        <v/>
      </c>
      <c r="AF19" s="36" t="str">
        <f t="shared" si="11"/>
        <v/>
      </c>
      <c r="AG19" s="37"/>
      <c r="AH19" s="33"/>
      <c r="AI19" s="34"/>
      <c r="AJ19" s="35" t="str">
        <f t="shared" si="12"/>
        <v/>
      </c>
      <c r="AK19" s="36" t="str">
        <f t="shared" si="13"/>
        <v/>
      </c>
      <c r="AL19" s="37"/>
      <c r="AM19" s="33"/>
      <c r="AN19" s="34"/>
      <c r="AO19" s="35" t="str">
        <f t="shared" si="14"/>
        <v/>
      </c>
      <c r="AP19" s="36" t="str">
        <f t="shared" si="15"/>
        <v/>
      </c>
      <c r="AQ19" s="37"/>
      <c r="AR19" s="33"/>
      <c r="AS19" s="34"/>
      <c r="AT19" s="35" t="str">
        <f t="shared" si="16"/>
        <v/>
      </c>
      <c r="AU19" s="36" t="str">
        <f t="shared" si="17"/>
        <v/>
      </c>
      <c r="AV19" s="37"/>
      <c r="AW19" s="33"/>
      <c r="AX19" s="34"/>
      <c r="AY19" s="35" t="str">
        <f t="shared" si="18"/>
        <v/>
      </c>
      <c r="AZ19" s="36" t="str">
        <f t="shared" si="19"/>
        <v/>
      </c>
      <c r="BA19" s="37"/>
      <c r="BB19" s="33"/>
      <c r="BC19" s="34"/>
      <c r="BD19" s="35" t="str">
        <f t="shared" si="20"/>
        <v/>
      </c>
      <c r="BE19" s="36" t="str">
        <f t="shared" si="21"/>
        <v/>
      </c>
      <c r="BF19" s="37"/>
      <c r="BG19" s="33"/>
      <c r="BH19" s="34"/>
      <c r="BI19" s="35" t="str">
        <f t="shared" si="22"/>
        <v/>
      </c>
      <c r="BJ19" s="36" t="str">
        <f t="shared" si="23"/>
        <v/>
      </c>
      <c r="BK19" s="37"/>
      <c r="BL19" s="33"/>
      <c r="BM19" s="34"/>
      <c r="BN19" s="35" t="str">
        <f t="shared" si="24"/>
        <v/>
      </c>
      <c r="BO19" s="36" t="str">
        <f t="shared" si="25"/>
        <v/>
      </c>
      <c r="BP19" s="37"/>
      <c r="BQ19" s="33"/>
      <c r="BR19" s="34"/>
      <c r="BS19" s="35" t="str">
        <f t="shared" si="26"/>
        <v/>
      </c>
      <c r="BT19" s="36" t="str">
        <f t="shared" si="27"/>
        <v/>
      </c>
      <c r="BU19" s="37"/>
      <c r="BV19" s="33"/>
      <c r="BW19" s="34"/>
      <c r="BX19" s="35" t="str">
        <f t="shared" si="28"/>
        <v/>
      </c>
      <c r="BY19" s="36" t="str">
        <f t="shared" si="29"/>
        <v/>
      </c>
      <c r="BZ19" s="37"/>
      <c r="CA19" s="33"/>
      <c r="CB19" s="34"/>
      <c r="CC19" s="35" t="str">
        <f t="shared" si="30"/>
        <v/>
      </c>
      <c r="CD19" s="36" t="str">
        <f t="shared" si="31"/>
        <v/>
      </c>
      <c r="CE19" s="37"/>
      <c r="CF19" s="33"/>
      <c r="CG19" s="34"/>
      <c r="CH19" s="35" t="str">
        <f t="shared" si="32"/>
        <v/>
      </c>
      <c r="CI19" s="36" t="str">
        <f t="shared" si="33"/>
        <v/>
      </c>
      <c r="CJ19" s="37"/>
      <c r="CK19" s="33"/>
      <c r="CL19" s="34"/>
      <c r="CM19" s="35" t="str">
        <f t="shared" si="34"/>
        <v/>
      </c>
      <c r="CN19" s="36" t="str">
        <f t="shared" si="35"/>
        <v/>
      </c>
      <c r="CO19" s="37"/>
      <c r="CP19" s="33"/>
      <c r="CQ19" s="34"/>
      <c r="CR19" s="35" t="str">
        <f t="shared" si="36"/>
        <v/>
      </c>
      <c r="CS19" s="36" t="str">
        <f t="shared" si="37"/>
        <v/>
      </c>
      <c r="CT19" s="37"/>
      <c r="CU19" s="33"/>
      <c r="CV19" s="34"/>
      <c r="CW19" s="35" t="str">
        <f t="shared" si="38"/>
        <v/>
      </c>
      <c r="CX19" s="36" t="str">
        <f t="shared" si="39"/>
        <v/>
      </c>
      <c r="CY19" s="37"/>
      <c r="CZ19" s="33"/>
      <c r="DA19" s="34"/>
      <c r="DB19" s="35" t="str">
        <f t="shared" si="40"/>
        <v/>
      </c>
      <c r="DC19" s="36" t="str">
        <f t="shared" si="41"/>
        <v/>
      </c>
      <c r="DD19" s="37"/>
      <c r="DE19" s="33"/>
      <c r="DF19" s="34"/>
      <c r="DG19" s="35" t="str">
        <f t="shared" si="42"/>
        <v/>
      </c>
      <c r="DH19" s="36" t="str">
        <f t="shared" si="43"/>
        <v/>
      </c>
      <c r="DI19" s="37"/>
      <c r="DJ19" s="33"/>
      <c r="DK19" s="34"/>
      <c r="DL19" s="35" t="str">
        <f t="shared" si="44"/>
        <v/>
      </c>
      <c r="DM19" s="36" t="str">
        <f t="shared" si="45"/>
        <v/>
      </c>
      <c r="DN19" s="37"/>
      <c r="DO19" s="33"/>
      <c r="DP19" s="34"/>
      <c r="DQ19" s="35" t="str">
        <f t="shared" si="46"/>
        <v/>
      </c>
      <c r="DR19" s="36" t="str">
        <f t="shared" si="47"/>
        <v/>
      </c>
      <c r="DS19" s="37"/>
      <c r="DT19" s="33"/>
      <c r="DU19" s="34"/>
      <c r="DV19" s="35" t="str">
        <f t="shared" si="48"/>
        <v/>
      </c>
      <c r="DW19" s="36" t="str">
        <f t="shared" si="49"/>
        <v/>
      </c>
      <c r="DX19" s="37"/>
      <c r="DY19" s="33"/>
      <c r="DZ19" s="34"/>
      <c r="EA19" s="35" t="str">
        <f t="shared" si="50"/>
        <v/>
      </c>
      <c r="EB19" s="36" t="str">
        <f t="shared" si="51"/>
        <v/>
      </c>
      <c r="EC19" s="37"/>
      <c r="ED19" s="33"/>
      <c r="EE19" s="34"/>
      <c r="EF19" s="35" t="str">
        <f t="shared" si="52"/>
        <v/>
      </c>
      <c r="EG19" s="36" t="str">
        <f t="shared" si="53"/>
        <v/>
      </c>
      <c r="EH19" s="37"/>
      <c r="EI19" s="33"/>
      <c r="EJ19" s="34"/>
      <c r="EK19" s="35" t="str">
        <f t="shared" si="54"/>
        <v/>
      </c>
      <c r="EL19" s="36" t="str">
        <f t="shared" si="55"/>
        <v/>
      </c>
      <c r="EM19" s="37"/>
      <c r="EN19" s="33"/>
      <c r="EO19" s="34"/>
      <c r="EP19" s="35" t="str">
        <f t="shared" si="56"/>
        <v/>
      </c>
      <c r="EQ19" s="36" t="str">
        <f t="shared" si="57"/>
        <v/>
      </c>
      <c r="ER19" s="37"/>
      <c r="ES19" s="33"/>
      <c r="ET19" s="34"/>
      <c r="EU19" s="35" t="str">
        <f t="shared" si="58"/>
        <v/>
      </c>
      <c r="EV19" s="36" t="str">
        <f t="shared" si="59"/>
        <v/>
      </c>
      <c r="EW19" s="37"/>
    </row>
    <row r="20" spans="1:153" ht="19.5" customHeight="1">
      <c r="A20" s="32">
        <f>IF(DAY(DATE(対象年度,6,17))&lt;&gt;17,"",17)</f>
        <v>17</v>
      </c>
      <c r="B20" s="32" t="str">
        <f>IF(DAY(DATE(対象年度,6,17))&lt;&gt;17,"",CHOOSE(WEEKDAY(DATE(対象年度,6,17),2),"月","火","水","木","金","土","日"))</f>
        <v>水</v>
      </c>
      <c r="C20" s="32" t="str">
        <f>IF(DAY(DATE(対象年度,6,17))&lt;&gt;17,"",IF(ISNUMBER(MATCH(DATE(対象年度,6,17),祝日リスト,0)),"祝",""))</f>
        <v/>
      </c>
      <c r="D20" s="33"/>
      <c r="E20" s="34"/>
      <c r="F20" s="35" t="str">
        <f t="shared" si="0"/>
        <v/>
      </c>
      <c r="G20" s="36" t="str">
        <f t="shared" si="1"/>
        <v/>
      </c>
      <c r="H20" s="37"/>
      <c r="I20" s="33"/>
      <c r="J20" s="34"/>
      <c r="K20" s="35" t="str">
        <f t="shared" si="2"/>
        <v/>
      </c>
      <c r="L20" s="36" t="str">
        <f t="shared" si="3"/>
        <v/>
      </c>
      <c r="M20" s="37"/>
      <c r="N20" s="33"/>
      <c r="O20" s="34"/>
      <c r="P20" s="35" t="str">
        <f t="shared" si="4"/>
        <v/>
      </c>
      <c r="Q20" s="36" t="str">
        <f t="shared" si="5"/>
        <v/>
      </c>
      <c r="R20" s="37"/>
      <c r="S20" s="33"/>
      <c r="T20" s="34"/>
      <c r="U20" s="35" t="str">
        <f t="shared" si="6"/>
        <v/>
      </c>
      <c r="V20" s="36" t="str">
        <f t="shared" si="7"/>
        <v/>
      </c>
      <c r="W20" s="37"/>
      <c r="X20" s="33"/>
      <c r="Y20" s="34"/>
      <c r="Z20" s="35" t="str">
        <f t="shared" si="8"/>
        <v/>
      </c>
      <c r="AA20" s="36" t="str">
        <f t="shared" si="9"/>
        <v/>
      </c>
      <c r="AB20" s="37"/>
      <c r="AC20" s="33"/>
      <c r="AD20" s="34"/>
      <c r="AE20" s="35" t="str">
        <f t="shared" si="10"/>
        <v/>
      </c>
      <c r="AF20" s="36" t="str">
        <f t="shared" si="11"/>
        <v/>
      </c>
      <c r="AG20" s="37"/>
      <c r="AH20" s="33"/>
      <c r="AI20" s="34"/>
      <c r="AJ20" s="35" t="str">
        <f t="shared" si="12"/>
        <v/>
      </c>
      <c r="AK20" s="36" t="str">
        <f t="shared" si="13"/>
        <v/>
      </c>
      <c r="AL20" s="37"/>
      <c r="AM20" s="33"/>
      <c r="AN20" s="34"/>
      <c r="AO20" s="35" t="str">
        <f t="shared" si="14"/>
        <v/>
      </c>
      <c r="AP20" s="36" t="str">
        <f t="shared" si="15"/>
        <v/>
      </c>
      <c r="AQ20" s="37"/>
      <c r="AR20" s="33"/>
      <c r="AS20" s="34"/>
      <c r="AT20" s="35" t="str">
        <f t="shared" si="16"/>
        <v/>
      </c>
      <c r="AU20" s="36" t="str">
        <f t="shared" si="17"/>
        <v/>
      </c>
      <c r="AV20" s="37"/>
      <c r="AW20" s="33"/>
      <c r="AX20" s="34"/>
      <c r="AY20" s="35" t="str">
        <f t="shared" si="18"/>
        <v/>
      </c>
      <c r="AZ20" s="36" t="str">
        <f t="shared" si="19"/>
        <v/>
      </c>
      <c r="BA20" s="37"/>
      <c r="BB20" s="33"/>
      <c r="BC20" s="34"/>
      <c r="BD20" s="35" t="str">
        <f t="shared" si="20"/>
        <v/>
      </c>
      <c r="BE20" s="36" t="str">
        <f t="shared" si="21"/>
        <v/>
      </c>
      <c r="BF20" s="37"/>
      <c r="BG20" s="33"/>
      <c r="BH20" s="34"/>
      <c r="BI20" s="35" t="str">
        <f t="shared" si="22"/>
        <v/>
      </c>
      <c r="BJ20" s="36" t="str">
        <f t="shared" si="23"/>
        <v/>
      </c>
      <c r="BK20" s="37"/>
      <c r="BL20" s="33"/>
      <c r="BM20" s="34"/>
      <c r="BN20" s="35" t="str">
        <f t="shared" si="24"/>
        <v/>
      </c>
      <c r="BO20" s="36" t="str">
        <f t="shared" si="25"/>
        <v/>
      </c>
      <c r="BP20" s="37"/>
      <c r="BQ20" s="33"/>
      <c r="BR20" s="34"/>
      <c r="BS20" s="35" t="str">
        <f t="shared" si="26"/>
        <v/>
      </c>
      <c r="BT20" s="36" t="str">
        <f t="shared" si="27"/>
        <v/>
      </c>
      <c r="BU20" s="37"/>
      <c r="BV20" s="33"/>
      <c r="BW20" s="34"/>
      <c r="BX20" s="35" t="str">
        <f t="shared" si="28"/>
        <v/>
      </c>
      <c r="BY20" s="36" t="str">
        <f t="shared" si="29"/>
        <v/>
      </c>
      <c r="BZ20" s="37"/>
      <c r="CA20" s="33"/>
      <c r="CB20" s="34"/>
      <c r="CC20" s="35" t="str">
        <f t="shared" si="30"/>
        <v/>
      </c>
      <c r="CD20" s="36" t="str">
        <f t="shared" si="31"/>
        <v/>
      </c>
      <c r="CE20" s="37"/>
      <c r="CF20" s="33"/>
      <c r="CG20" s="34"/>
      <c r="CH20" s="35" t="str">
        <f t="shared" si="32"/>
        <v/>
      </c>
      <c r="CI20" s="36" t="str">
        <f t="shared" si="33"/>
        <v/>
      </c>
      <c r="CJ20" s="37"/>
      <c r="CK20" s="33"/>
      <c r="CL20" s="34"/>
      <c r="CM20" s="35" t="str">
        <f t="shared" si="34"/>
        <v/>
      </c>
      <c r="CN20" s="36" t="str">
        <f t="shared" si="35"/>
        <v/>
      </c>
      <c r="CO20" s="37"/>
      <c r="CP20" s="33"/>
      <c r="CQ20" s="34"/>
      <c r="CR20" s="35" t="str">
        <f t="shared" si="36"/>
        <v/>
      </c>
      <c r="CS20" s="36" t="str">
        <f t="shared" si="37"/>
        <v/>
      </c>
      <c r="CT20" s="37"/>
      <c r="CU20" s="33"/>
      <c r="CV20" s="34"/>
      <c r="CW20" s="35" t="str">
        <f t="shared" si="38"/>
        <v/>
      </c>
      <c r="CX20" s="36" t="str">
        <f t="shared" si="39"/>
        <v/>
      </c>
      <c r="CY20" s="37"/>
      <c r="CZ20" s="33"/>
      <c r="DA20" s="34"/>
      <c r="DB20" s="35" t="str">
        <f t="shared" si="40"/>
        <v/>
      </c>
      <c r="DC20" s="36" t="str">
        <f t="shared" si="41"/>
        <v/>
      </c>
      <c r="DD20" s="37"/>
      <c r="DE20" s="33"/>
      <c r="DF20" s="34"/>
      <c r="DG20" s="35" t="str">
        <f t="shared" si="42"/>
        <v/>
      </c>
      <c r="DH20" s="36" t="str">
        <f t="shared" si="43"/>
        <v/>
      </c>
      <c r="DI20" s="37"/>
      <c r="DJ20" s="33"/>
      <c r="DK20" s="34"/>
      <c r="DL20" s="35" t="str">
        <f t="shared" si="44"/>
        <v/>
      </c>
      <c r="DM20" s="36" t="str">
        <f t="shared" si="45"/>
        <v/>
      </c>
      <c r="DN20" s="37"/>
      <c r="DO20" s="33"/>
      <c r="DP20" s="34"/>
      <c r="DQ20" s="35" t="str">
        <f t="shared" si="46"/>
        <v/>
      </c>
      <c r="DR20" s="36" t="str">
        <f t="shared" si="47"/>
        <v/>
      </c>
      <c r="DS20" s="37"/>
      <c r="DT20" s="33"/>
      <c r="DU20" s="34"/>
      <c r="DV20" s="35" t="str">
        <f t="shared" si="48"/>
        <v/>
      </c>
      <c r="DW20" s="36" t="str">
        <f t="shared" si="49"/>
        <v/>
      </c>
      <c r="DX20" s="37"/>
      <c r="DY20" s="33"/>
      <c r="DZ20" s="34"/>
      <c r="EA20" s="35" t="str">
        <f t="shared" si="50"/>
        <v/>
      </c>
      <c r="EB20" s="36" t="str">
        <f t="shared" si="51"/>
        <v/>
      </c>
      <c r="EC20" s="37"/>
      <c r="ED20" s="33"/>
      <c r="EE20" s="34"/>
      <c r="EF20" s="35" t="str">
        <f t="shared" si="52"/>
        <v/>
      </c>
      <c r="EG20" s="36" t="str">
        <f t="shared" si="53"/>
        <v/>
      </c>
      <c r="EH20" s="37"/>
      <c r="EI20" s="33"/>
      <c r="EJ20" s="34"/>
      <c r="EK20" s="35" t="str">
        <f t="shared" si="54"/>
        <v/>
      </c>
      <c r="EL20" s="36" t="str">
        <f t="shared" si="55"/>
        <v/>
      </c>
      <c r="EM20" s="37"/>
      <c r="EN20" s="33"/>
      <c r="EO20" s="34"/>
      <c r="EP20" s="35" t="str">
        <f t="shared" si="56"/>
        <v/>
      </c>
      <c r="EQ20" s="36" t="str">
        <f t="shared" si="57"/>
        <v/>
      </c>
      <c r="ER20" s="37"/>
      <c r="ES20" s="33"/>
      <c r="ET20" s="34"/>
      <c r="EU20" s="35" t="str">
        <f t="shared" si="58"/>
        <v/>
      </c>
      <c r="EV20" s="36" t="str">
        <f t="shared" si="59"/>
        <v/>
      </c>
      <c r="EW20" s="37"/>
    </row>
    <row r="21" spans="1:153" ht="19.5" customHeight="1">
      <c r="A21" s="32">
        <f>IF(DAY(DATE(対象年度,6,18))&lt;&gt;18,"",18)</f>
        <v>18</v>
      </c>
      <c r="B21" s="32" t="str">
        <f>IF(DAY(DATE(対象年度,6,18))&lt;&gt;18,"",CHOOSE(WEEKDAY(DATE(対象年度,6,18),2),"月","火","水","木","金","土","日"))</f>
        <v>木</v>
      </c>
      <c r="C21" s="32" t="str">
        <f>IF(DAY(DATE(対象年度,6,18))&lt;&gt;18,"",IF(ISNUMBER(MATCH(DATE(対象年度,6,18),祝日リスト,0)),"祝",""))</f>
        <v/>
      </c>
      <c r="D21" s="33"/>
      <c r="E21" s="34"/>
      <c r="F21" s="35" t="str">
        <f t="shared" si="0"/>
        <v/>
      </c>
      <c r="G21" s="36" t="str">
        <f t="shared" si="1"/>
        <v/>
      </c>
      <c r="H21" s="37"/>
      <c r="I21" s="33"/>
      <c r="J21" s="34"/>
      <c r="K21" s="35" t="str">
        <f t="shared" si="2"/>
        <v/>
      </c>
      <c r="L21" s="36" t="str">
        <f t="shared" si="3"/>
        <v/>
      </c>
      <c r="M21" s="37"/>
      <c r="N21" s="33"/>
      <c r="O21" s="34"/>
      <c r="P21" s="35" t="str">
        <f t="shared" si="4"/>
        <v/>
      </c>
      <c r="Q21" s="36" t="str">
        <f t="shared" si="5"/>
        <v/>
      </c>
      <c r="R21" s="37"/>
      <c r="S21" s="33"/>
      <c r="T21" s="34"/>
      <c r="U21" s="35" t="str">
        <f t="shared" si="6"/>
        <v/>
      </c>
      <c r="V21" s="36" t="str">
        <f t="shared" si="7"/>
        <v/>
      </c>
      <c r="W21" s="37"/>
      <c r="X21" s="33"/>
      <c r="Y21" s="34"/>
      <c r="Z21" s="35" t="str">
        <f t="shared" si="8"/>
        <v/>
      </c>
      <c r="AA21" s="36" t="str">
        <f t="shared" si="9"/>
        <v/>
      </c>
      <c r="AB21" s="37"/>
      <c r="AC21" s="33"/>
      <c r="AD21" s="34"/>
      <c r="AE21" s="35" t="str">
        <f t="shared" si="10"/>
        <v/>
      </c>
      <c r="AF21" s="36" t="str">
        <f t="shared" si="11"/>
        <v/>
      </c>
      <c r="AG21" s="37"/>
      <c r="AH21" s="33"/>
      <c r="AI21" s="34"/>
      <c r="AJ21" s="35" t="str">
        <f t="shared" si="12"/>
        <v/>
      </c>
      <c r="AK21" s="36" t="str">
        <f t="shared" si="13"/>
        <v/>
      </c>
      <c r="AL21" s="37"/>
      <c r="AM21" s="33"/>
      <c r="AN21" s="34"/>
      <c r="AO21" s="35" t="str">
        <f t="shared" si="14"/>
        <v/>
      </c>
      <c r="AP21" s="36" t="str">
        <f t="shared" si="15"/>
        <v/>
      </c>
      <c r="AQ21" s="37"/>
      <c r="AR21" s="33"/>
      <c r="AS21" s="34"/>
      <c r="AT21" s="35" t="str">
        <f t="shared" si="16"/>
        <v/>
      </c>
      <c r="AU21" s="36" t="str">
        <f t="shared" si="17"/>
        <v/>
      </c>
      <c r="AV21" s="37"/>
      <c r="AW21" s="33"/>
      <c r="AX21" s="34"/>
      <c r="AY21" s="35" t="str">
        <f t="shared" si="18"/>
        <v/>
      </c>
      <c r="AZ21" s="36" t="str">
        <f t="shared" si="19"/>
        <v/>
      </c>
      <c r="BA21" s="37"/>
      <c r="BB21" s="33"/>
      <c r="BC21" s="34"/>
      <c r="BD21" s="35" t="str">
        <f t="shared" si="20"/>
        <v/>
      </c>
      <c r="BE21" s="36" t="str">
        <f t="shared" si="21"/>
        <v/>
      </c>
      <c r="BF21" s="37"/>
      <c r="BG21" s="33"/>
      <c r="BH21" s="34"/>
      <c r="BI21" s="35" t="str">
        <f t="shared" si="22"/>
        <v/>
      </c>
      <c r="BJ21" s="36" t="str">
        <f t="shared" si="23"/>
        <v/>
      </c>
      <c r="BK21" s="37"/>
      <c r="BL21" s="33"/>
      <c r="BM21" s="34"/>
      <c r="BN21" s="35" t="str">
        <f t="shared" si="24"/>
        <v/>
      </c>
      <c r="BO21" s="36" t="str">
        <f t="shared" si="25"/>
        <v/>
      </c>
      <c r="BP21" s="37"/>
      <c r="BQ21" s="33"/>
      <c r="BR21" s="34"/>
      <c r="BS21" s="35" t="str">
        <f t="shared" si="26"/>
        <v/>
      </c>
      <c r="BT21" s="36" t="str">
        <f t="shared" si="27"/>
        <v/>
      </c>
      <c r="BU21" s="37"/>
      <c r="BV21" s="33"/>
      <c r="BW21" s="34"/>
      <c r="BX21" s="35" t="str">
        <f t="shared" si="28"/>
        <v/>
      </c>
      <c r="BY21" s="36" t="str">
        <f t="shared" si="29"/>
        <v/>
      </c>
      <c r="BZ21" s="37"/>
      <c r="CA21" s="33"/>
      <c r="CB21" s="34"/>
      <c r="CC21" s="35" t="str">
        <f t="shared" si="30"/>
        <v/>
      </c>
      <c r="CD21" s="36" t="str">
        <f t="shared" si="31"/>
        <v/>
      </c>
      <c r="CE21" s="37"/>
      <c r="CF21" s="33"/>
      <c r="CG21" s="34"/>
      <c r="CH21" s="35" t="str">
        <f t="shared" si="32"/>
        <v/>
      </c>
      <c r="CI21" s="36" t="str">
        <f t="shared" si="33"/>
        <v/>
      </c>
      <c r="CJ21" s="37"/>
      <c r="CK21" s="33"/>
      <c r="CL21" s="34"/>
      <c r="CM21" s="35" t="str">
        <f t="shared" si="34"/>
        <v/>
      </c>
      <c r="CN21" s="36" t="str">
        <f t="shared" si="35"/>
        <v/>
      </c>
      <c r="CO21" s="37"/>
      <c r="CP21" s="33"/>
      <c r="CQ21" s="34"/>
      <c r="CR21" s="35" t="str">
        <f t="shared" si="36"/>
        <v/>
      </c>
      <c r="CS21" s="36" t="str">
        <f t="shared" si="37"/>
        <v/>
      </c>
      <c r="CT21" s="37"/>
      <c r="CU21" s="33"/>
      <c r="CV21" s="34"/>
      <c r="CW21" s="35" t="str">
        <f t="shared" si="38"/>
        <v/>
      </c>
      <c r="CX21" s="36" t="str">
        <f t="shared" si="39"/>
        <v/>
      </c>
      <c r="CY21" s="37"/>
      <c r="CZ21" s="33"/>
      <c r="DA21" s="34"/>
      <c r="DB21" s="35" t="str">
        <f t="shared" si="40"/>
        <v/>
      </c>
      <c r="DC21" s="36" t="str">
        <f t="shared" si="41"/>
        <v/>
      </c>
      <c r="DD21" s="37"/>
      <c r="DE21" s="33"/>
      <c r="DF21" s="34"/>
      <c r="DG21" s="35" t="str">
        <f t="shared" si="42"/>
        <v/>
      </c>
      <c r="DH21" s="36" t="str">
        <f t="shared" si="43"/>
        <v/>
      </c>
      <c r="DI21" s="37"/>
      <c r="DJ21" s="33"/>
      <c r="DK21" s="34"/>
      <c r="DL21" s="35" t="str">
        <f t="shared" si="44"/>
        <v/>
      </c>
      <c r="DM21" s="36" t="str">
        <f t="shared" si="45"/>
        <v/>
      </c>
      <c r="DN21" s="37"/>
      <c r="DO21" s="33"/>
      <c r="DP21" s="34"/>
      <c r="DQ21" s="35" t="str">
        <f t="shared" si="46"/>
        <v/>
      </c>
      <c r="DR21" s="36" t="str">
        <f t="shared" si="47"/>
        <v/>
      </c>
      <c r="DS21" s="37"/>
      <c r="DT21" s="33"/>
      <c r="DU21" s="34"/>
      <c r="DV21" s="35" t="str">
        <f t="shared" si="48"/>
        <v/>
      </c>
      <c r="DW21" s="36" t="str">
        <f t="shared" si="49"/>
        <v/>
      </c>
      <c r="DX21" s="37"/>
      <c r="DY21" s="33"/>
      <c r="DZ21" s="34"/>
      <c r="EA21" s="35" t="str">
        <f t="shared" si="50"/>
        <v/>
      </c>
      <c r="EB21" s="36" t="str">
        <f t="shared" si="51"/>
        <v/>
      </c>
      <c r="EC21" s="37"/>
      <c r="ED21" s="33"/>
      <c r="EE21" s="34"/>
      <c r="EF21" s="35" t="str">
        <f t="shared" si="52"/>
        <v/>
      </c>
      <c r="EG21" s="36" t="str">
        <f t="shared" si="53"/>
        <v/>
      </c>
      <c r="EH21" s="37"/>
      <c r="EI21" s="33"/>
      <c r="EJ21" s="34"/>
      <c r="EK21" s="35" t="str">
        <f t="shared" si="54"/>
        <v/>
      </c>
      <c r="EL21" s="36" t="str">
        <f t="shared" si="55"/>
        <v/>
      </c>
      <c r="EM21" s="37"/>
      <c r="EN21" s="33"/>
      <c r="EO21" s="34"/>
      <c r="EP21" s="35" t="str">
        <f t="shared" si="56"/>
        <v/>
      </c>
      <c r="EQ21" s="36" t="str">
        <f t="shared" si="57"/>
        <v/>
      </c>
      <c r="ER21" s="37"/>
      <c r="ES21" s="33"/>
      <c r="ET21" s="34"/>
      <c r="EU21" s="35" t="str">
        <f t="shared" si="58"/>
        <v/>
      </c>
      <c r="EV21" s="36" t="str">
        <f t="shared" si="59"/>
        <v/>
      </c>
      <c r="EW21" s="37"/>
    </row>
    <row r="22" spans="1:153" ht="19.5" customHeight="1">
      <c r="A22" s="32">
        <f>IF(DAY(DATE(対象年度,6,19))&lt;&gt;19,"",19)</f>
        <v>19</v>
      </c>
      <c r="B22" s="32" t="str">
        <f>IF(DAY(DATE(対象年度,6,19))&lt;&gt;19,"",CHOOSE(WEEKDAY(DATE(対象年度,6,19),2),"月","火","水","木","金","土","日"))</f>
        <v>金</v>
      </c>
      <c r="C22" s="32" t="str">
        <f>IF(DAY(DATE(対象年度,6,19))&lt;&gt;19,"",IF(ISNUMBER(MATCH(DATE(対象年度,6,19),祝日リスト,0)),"祝",""))</f>
        <v/>
      </c>
      <c r="D22" s="33"/>
      <c r="E22" s="34"/>
      <c r="F22" s="35" t="str">
        <f t="shared" si="0"/>
        <v/>
      </c>
      <c r="G22" s="36" t="str">
        <f t="shared" si="1"/>
        <v/>
      </c>
      <c r="H22" s="37"/>
      <c r="I22" s="33"/>
      <c r="J22" s="34"/>
      <c r="K22" s="35" t="str">
        <f t="shared" si="2"/>
        <v/>
      </c>
      <c r="L22" s="36" t="str">
        <f t="shared" si="3"/>
        <v/>
      </c>
      <c r="M22" s="37"/>
      <c r="N22" s="33"/>
      <c r="O22" s="34"/>
      <c r="P22" s="35" t="str">
        <f t="shared" si="4"/>
        <v/>
      </c>
      <c r="Q22" s="36" t="str">
        <f t="shared" si="5"/>
        <v/>
      </c>
      <c r="R22" s="37"/>
      <c r="S22" s="33"/>
      <c r="T22" s="34"/>
      <c r="U22" s="35" t="str">
        <f t="shared" si="6"/>
        <v/>
      </c>
      <c r="V22" s="36" t="str">
        <f t="shared" si="7"/>
        <v/>
      </c>
      <c r="W22" s="37"/>
      <c r="X22" s="33"/>
      <c r="Y22" s="34"/>
      <c r="Z22" s="35" t="str">
        <f t="shared" si="8"/>
        <v/>
      </c>
      <c r="AA22" s="36" t="str">
        <f t="shared" si="9"/>
        <v/>
      </c>
      <c r="AB22" s="37"/>
      <c r="AC22" s="33"/>
      <c r="AD22" s="34"/>
      <c r="AE22" s="35" t="str">
        <f t="shared" si="10"/>
        <v/>
      </c>
      <c r="AF22" s="36" t="str">
        <f t="shared" si="11"/>
        <v/>
      </c>
      <c r="AG22" s="37"/>
      <c r="AH22" s="33"/>
      <c r="AI22" s="34"/>
      <c r="AJ22" s="35" t="str">
        <f t="shared" si="12"/>
        <v/>
      </c>
      <c r="AK22" s="36" t="str">
        <f t="shared" si="13"/>
        <v/>
      </c>
      <c r="AL22" s="37"/>
      <c r="AM22" s="33"/>
      <c r="AN22" s="34"/>
      <c r="AO22" s="35" t="str">
        <f t="shared" si="14"/>
        <v/>
      </c>
      <c r="AP22" s="36" t="str">
        <f t="shared" si="15"/>
        <v/>
      </c>
      <c r="AQ22" s="37"/>
      <c r="AR22" s="33"/>
      <c r="AS22" s="34"/>
      <c r="AT22" s="35" t="str">
        <f t="shared" si="16"/>
        <v/>
      </c>
      <c r="AU22" s="36" t="str">
        <f t="shared" si="17"/>
        <v/>
      </c>
      <c r="AV22" s="37"/>
      <c r="AW22" s="33"/>
      <c r="AX22" s="34"/>
      <c r="AY22" s="35" t="str">
        <f t="shared" si="18"/>
        <v/>
      </c>
      <c r="AZ22" s="36" t="str">
        <f t="shared" si="19"/>
        <v/>
      </c>
      <c r="BA22" s="37"/>
      <c r="BB22" s="33"/>
      <c r="BC22" s="34"/>
      <c r="BD22" s="35" t="str">
        <f t="shared" si="20"/>
        <v/>
      </c>
      <c r="BE22" s="36" t="str">
        <f t="shared" si="21"/>
        <v/>
      </c>
      <c r="BF22" s="37"/>
      <c r="BG22" s="33"/>
      <c r="BH22" s="34"/>
      <c r="BI22" s="35" t="str">
        <f t="shared" si="22"/>
        <v/>
      </c>
      <c r="BJ22" s="36" t="str">
        <f t="shared" si="23"/>
        <v/>
      </c>
      <c r="BK22" s="37"/>
      <c r="BL22" s="33"/>
      <c r="BM22" s="34"/>
      <c r="BN22" s="35" t="str">
        <f t="shared" si="24"/>
        <v/>
      </c>
      <c r="BO22" s="36" t="str">
        <f t="shared" si="25"/>
        <v/>
      </c>
      <c r="BP22" s="37"/>
      <c r="BQ22" s="33"/>
      <c r="BR22" s="34"/>
      <c r="BS22" s="35" t="str">
        <f t="shared" si="26"/>
        <v/>
      </c>
      <c r="BT22" s="36" t="str">
        <f t="shared" si="27"/>
        <v/>
      </c>
      <c r="BU22" s="37"/>
      <c r="BV22" s="33"/>
      <c r="BW22" s="34"/>
      <c r="BX22" s="35" t="str">
        <f t="shared" si="28"/>
        <v/>
      </c>
      <c r="BY22" s="36" t="str">
        <f t="shared" si="29"/>
        <v/>
      </c>
      <c r="BZ22" s="37"/>
      <c r="CA22" s="33"/>
      <c r="CB22" s="34"/>
      <c r="CC22" s="35" t="str">
        <f t="shared" si="30"/>
        <v/>
      </c>
      <c r="CD22" s="36" t="str">
        <f t="shared" si="31"/>
        <v/>
      </c>
      <c r="CE22" s="37"/>
      <c r="CF22" s="33"/>
      <c r="CG22" s="34"/>
      <c r="CH22" s="35" t="str">
        <f t="shared" si="32"/>
        <v/>
      </c>
      <c r="CI22" s="36" t="str">
        <f t="shared" si="33"/>
        <v/>
      </c>
      <c r="CJ22" s="37"/>
      <c r="CK22" s="33"/>
      <c r="CL22" s="34"/>
      <c r="CM22" s="35" t="str">
        <f t="shared" si="34"/>
        <v/>
      </c>
      <c r="CN22" s="36" t="str">
        <f t="shared" si="35"/>
        <v/>
      </c>
      <c r="CO22" s="37"/>
      <c r="CP22" s="33"/>
      <c r="CQ22" s="34"/>
      <c r="CR22" s="35" t="str">
        <f t="shared" si="36"/>
        <v/>
      </c>
      <c r="CS22" s="36" t="str">
        <f t="shared" si="37"/>
        <v/>
      </c>
      <c r="CT22" s="37"/>
      <c r="CU22" s="33"/>
      <c r="CV22" s="34"/>
      <c r="CW22" s="35" t="str">
        <f t="shared" si="38"/>
        <v/>
      </c>
      <c r="CX22" s="36" t="str">
        <f t="shared" si="39"/>
        <v/>
      </c>
      <c r="CY22" s="37"/>
      <c r="CZ22" s="33"/>
      <c r="DA22" s="34"/>
      <c r="DB22" s="35" t="str">
        <f t="shared" si="40"/>
        <v/>
      </c>
      <c r="DC22" s="36" t="str">
        <f t="shared" si="41"/>
        <v/>
      </c>
      <c r="DD22" s="37"/>
      <c r="DE22" s="33"/>
      <c r="DF22" s="34"/>
      <c r="DG22" s="35" t="str">
        <f t="shared" si="42"/>
        <v/>
      </c>
      <c r="DH22" s="36" t="str">
        <f t="shared" si="43"/>
        <v/>
      </c>
      <c r="DI22" s="37"/>
      <c r="DJ22" s="33"/>
      <c r="DK22" s="34"/>
      <c r="DL22" s="35" t="str">
        <f t="shared" si="44"/>
        <v/>
      </c>
      <c r="DM22" s="36" t="str">
        <f t="shared" si="45"/>
        <v/>
      </c>
      <c r="DN22" s="37"/>
      <c r="DO22" s="33"/>
      <c r="DP22" s="34"/>
      <c r="DQ22" s="35" t="str">
        <f t="shared" si="46"/>
        <v/>
      </c>
      <c r="DR22" s="36" t="str">
        <f t="shared" si="47"/>
        <v/>
      </c>
      <c r="DS22" s="37"/>
      <c r="DT22" s="33"/>
      <c r="DU22" s="34"/>
      <c r="DV22" s="35" t="str">
        <f t="shared" si="48"/>
        <v/>
      </c>
      <c r="DW22" s="36" t="str">
        <f t="shared" si="49"/>
        <v/>
      </c>
      <c r="DX22" s="37"/>
      <c r="DY22" s="33"/>
      <c r="DZ22" s="34"/>
      <c r="EA22" s="35" t="str">
        <f t="shared" si="50"/>
        <v/>
      </c>
      <c r="EB22" s="36" t="str">
        <f t="shared" si="51"/>
        <v/>
      </c>
      <c r="EC22" s="37"/>
      <c r="ED22" s="33"/>
      <c r="EE22" s="34"/>
      <c r="EF22" s="35" t="str">
        <f t="shared" si="52"/>
        <v/>
      </c>
      <c r="EG22" s="36" t="str">
        <f t="shared" si="53"/>
        <v/>
      </c>
      <c r="EH22" s="37"/>
      <c r="EI22" s="33"/>
      <c r="EJ22" s="34"/>
      <c r="EK22" s="35" t="str">
        <f t="shared" si="54"/>
        <v/>
      </c>
      <c r="EL22" s="36" t="str">
        <f t="shared" si="55"/>
        <v/>
      </c>
      <c r="EM22" s="37"/>
      <c r="EN22" s="33"/>
      <c r="EO22" s="34"/>
      <c r="EP22" s="35" t="str">
        <f t="shared" si="56"/>
        <v/>
      </c>
      <c r="EQ22" s="36" t="str">
        <f t="shared" si="57"/>
        <v/>
      </c>
      <c r="ER22" s="37"/>
      <c r="ES22" s="33"/>
      <c r="ET22" s="34"/>
      <c r="EU22" s="35" t="str">
        <f t="shared" si="58"/>
        <v/>
      </c>
      <c r="EV22" s="36" t="str">
        <f t="shared" si="59"/>
        <v/>
      </c>
      <c r="EW22" s="37"/>
    </row>
    <row r="23" spans="1:153" ht="19.5" customHeight="1">
      <c r="A23" s="32">
        <f>IF(DAY(DATE(対象年度,6,20))&lt;&gt;20,"",20)</f>
        <v>20</v>
      </c>
      <c r="B23" s="32" t="str">
        <f>IF(DAY(DATE(対象年度,6,20))&lt;&gt;20,"",CHOOSE(WEEKDAY(DATE(対象年度,6,20),2),"月","火","水","木","金","土","日"))</f>
        <v>土</v>
      </c>
      <c r="C23" s="32" t="str">
        <f>IF(DAY(DATE(対象年度,6,20))&lt;&gt;20,"",IF(ISNUMBER(MATCH(DATE(対象年度,6,20),祝日リスト,0)),"祝",""))</f>
        <v/>
      </c>
      <c r="D23" s="33"/>
      <c r="E23" s="34"/>
      <c r="F23" s="35" t="str">
        <f t="shared" si="0"/>
        <v/>
      </c>
      <c r="G23" s="36" t="str">
        <f t="shared" si="1"/>
        <v/>
      </c>
      <c r="H23" s="37"/>
      <c r="I23" s="33"/>
      <c r="J23" s="34"/>
      <c r="K23" s="35" t="str">
        <f t="shared" si="2"/>
        <v/>
      </c>
      <c r="L23" s="36" t="str">
        <f t="shared" si="3"/>
        <v/>
      </c>
      <c r="M23" s="37"/>
      <c r="N23" s="33"/>
      <c r="O23" s="34"/>
      <c r="P23" s="35" t="str">
        <f t="shared" si="4"/>
        <v/>
      </c>
      <c r="Q23" s="36" t="str">
        <f t="shared" si="5"/>
        <v/>
      </c>
      <c r="R23" s="37"/>
      <c r="S23" s="33"/>
      <c r="T23" s="34"/>
      <c r="U23" s="35" t="str">
        <f t="shared" si="6"/>
        <v/>
      </c>
      <c r="V23" s="36" t="str">
        <f t="shared" si="7"/>
        <v/>
      </c>
      <c r="W23" s="37"/>
      <c r="X23" s="33"/>
      <c r="Y23" s="34"/>
      <c r="Z23" s="35" t="str">
        <f t="shared" si="8"/>
        <v/>
      </c>
      <c r="AA23" s="36" t="str">
        <f t="shared" si="9"/>
        <v/>
      </c>
      <c r="AB23" s="37"/>
      <c r="AC23" s="33"/>
      <c r="AD23" s="34"/>
      <c r="AE23" s="35" t="str">
        <f t="shared" si="10"/>
        <v/>
      </c>
      <c r="AF23" s="36" t="str">
        <f t="shared" si="11"/>
        <v/>
      </c>
      <c r="AG23" s="37"/>
      <c r="AH23" s="33"/>
      <c r="AI23" s="34"/>
      <c r="AJ23" s="35" t="str">
        <f t="shared" si="12"/>
        <v/>
      </c>
      <c r="AK23" s="36" t="str">
        <f t="shared" si="13"/>
        <v/>
      </c>
      <c r="AL23" s="37"/>
      <c r="AM23" s="33"/>
      <c r="AN23" s="34"/>
      <c r="AO23" s="35" t="str">
        <f t="shared" si="14"/>
        <v/>
      </c>
      <c r="AP23" s="36" t="str">
        <f t="shared" si="15"/>
        <v/>
      </c>
      <c r="AQ23" s="37"/>
      <c r="AR23" s="33"/>
      <c r="AS23" s="34"/>
      <c r="AT23" s="35" t="str">
        <f t="shared" si="16"/>
        <v/>
      </c>
      <c r="AU23" s="36" t="str">
        <f t="shared" si="17"/>
        <v/>
      </c>
      <c r="AV23" s="37"/>
      <c r="AW23" s="33"/>
      <c r="AX23" s="34"/>
      <c r="AY23" s="35" t="str">
        <f t="shared" si="18"/>
        <v/>
      </c>
      <c r="AZ23" s="36" t="str">
        <f t="shared" si="19"/>
        <v/>
      </c>
      <c r="BA23" s="37"/>
      <c r="BB23" s="33"/>
      <c r="BC23" s="34"/>
      <c r="BD23" s="35" t="str">
        <f t="shared" si="20"/>
        <v/>
      </c>
      <c r="BE23" s="36" t="str">
        <f t="shared" si="21"/>
        <v/>
      </c>
      <c r="BF23" s="37"/>
      <c r="BG23" s="33"/>
      <c r="BH23" s="34"/>
      <c r="BI23" s="35" t="str">
        <f t="shared" si="22"/>
        <v/>
      </c>
      <c r="BJ23" s="36" t="str">
        <f t="shared" si="23"/>
        <v/>
      </c>
      <c r="BK23" s="37"/>
      <c r="BL23" s="33"/>
      <c r="BM23" s="34"/>
      <c r="BN23" s="35" t="str">
        <f t="shared" si="24"/>
        <v/>
      </c>
      <c r="BO23" s="36" t="str">
        <f t="shared" si="25"/>
        <v/>
      </c>
      <c r="BP23" s="37"/>
      <c r="BQ23" s="33"/>
      <c r="BR23" s="34"/>
      <c r="BS23" s="35" t="str">
        <f t="shared" si="26"/>
        <v/>
      </c>
      <c r="BT23" s="36" t="str">
        <f t="shared" si="27"/>
        <v/>
      </c>
      <c r="BU23" s="37"/>
      <c r="BV23" s="33"/>
      <c r="BW23" s="34"/>
      <c r="BX23" s="35" t="str">
        <f t="shared" si="28"/>
        <v/>
      </c>
      <c r="BY23" s="36" t="str">
        <f t="shared" si="29"/>
        <v/>
      </c>
      <c r="BZ23" s="37"/>
      <c r="CA23" s="33"/>
      <c r="CB23" s="34"/>
      <c r="CC23" s="35" t="str">
        <f t="shared" si="30"/>
        <v/>
      </c>
      <c r="CD23" s="36" t="str">
        <f t="shared" si="31"/>
        <v/>
      </c>
      <c r="CE23" s="37"/>
      <c r="CF23" s="33"/>
      <c r="CG23" s="34"/>
      <c r="CH23" s="35" t="str">
        <f t="shared" si="32"/>
        <v/>
      </c>
      <c r="CI23" s="36" t="str">
        <f t="shared" si="33"/>
        <v/>
      </c>
      <c r="CJ23" s="37"/>
      <c r="CK23" s="33"/>
      <c r="CL23" s="34"/>
      <c r="CM23" s="35" t="str">
        <f t="shared" si="34"/>
        <v/>
      </c>
      <c r="CN23" s="36" t="str">
        <f t="shared" si="35"/>
        <v/>
      </c>
      <c r="CO23" s="37"/>
      <c r="CP23" s="33"/>
      <c r="CQ23" s="34"/>
      <c r="CR23" s="35" t="str">
        <f t="shared" si="36"/>
        <v/>
      </c>
      <c r="CS23" s="36" t="str">
        <f t="shared" si="37"/>
        <v/>
      </c>
      <c r="CT23" s="37"/>
      <c r="CU23" s="33"/>
      <c r="CV23" s="34"/>
      <c r="CW23" s="35" t="str">
        <f t="shared" si="38"/>
        <v/>
      </c>
      <c r="CX23" s="36" t="str">
        <f t="shared" si="39"/>
        <v/>
      </c>
      <c r="CY23" s="37"/>
      <c r="CZ23" s="33"/>
      <c r="DA23" s="34"/>
      <c r="DB23" s="35" t="str">
        <f t="shared" si="40"/>
        <v/>
      </c>
      <c r="DC23" s="36" t="str">
        <f t="shared" si="41"/>
        <v/>
      </c>
      <c r="DD23" s="37"/>
      <c r="DE23" s="33"/>
      <c r="DF23" s="34"/>
      <c r="DG23" s="35" t="str">
        <f t="shared" si="42"/>
        <v/>
      </c>
      <c r="DH23" s="36" t="str">
        <f t="shared" si="43"/>
        <v/>
      </c>
      <c r="DI23" s="37"/>
      <c r="DJ23" s="33"/>
      <c r="DK23" s="34"/>
      <c r="DL23" s="35" t="str">
        <f t="shared" si="44"/>
        <v/>
      </c>
      <c r="DM23" s="36" t="str">
        <f t="shared" si="45"/>
        <v/>
      </c>
      <c r="DN23" s="37"/>
      <c r="DO23" s="33"/>
      <c r="DP23" s="34"/>
      <c r="DQ23" s="35" t="str">
        <f t="shared" si="46"/>
        <v/>
      </c>
      <c r="DR23" s="36" t="str">
        <f t="shared" si="47"/>
        <v/>
      </c>
      <c r="DS23" s="37"/>
      <c r="DT23" s="33"/>
      <c r="DU23" s="34"/>
      <c r="DV23" s="35" t="str">
        <f t="shared" si="48"/>
        <v/>
      </c>
      <c r="DW23" s="36" t="str">
        <f t="shared" si="49"/>
        <v/>
      </c>
      <c r="DX23" s="37"/>
      <c r="DY23" s="33"/>
      <c r="DZ23" s="34"/>
      <c r="EA23" s="35" t="str">
        <f t="shared" si="50"/>
        <v/>
      </c>
      <c r="EB23" s="36" t="str">
        <f t="shared" si="51"/>
        <v/>
      </c>
      <c r="EC23" s="37"/>
      <c r="ED23" s="33"/>
      <c r="EE23" s="34"/>
      <c r="EF23" s="35" t="str">
        <f t="shared" si="52"/>
        <v/>
      </c>
      <c r="EG23" s="36" t="str">
        <f t="shared" si="53"/>
        <v/>
      </c>
      <c r="EH23" s="37"/>
      <c r="EI23" s="33"/>
      <c r="EJ23" s="34"/>
      <c r="EK23" s="35" t="str">
        <f t="shared" si="54"/>
        <v/>
      </c>
      <c r="EL23" s="36" t="str">
        <f t="shared" si="55"/>
        <v/>
      </c>
      <c r="EM23" s="37"/>
      <c r="EN23" s="33"/>
      <c r="EO23" s="34"/>
      <c r="EP23" s="35" t="str">
        <f t="shared" si="56"/>
        <v/>
      </c>
      <c r="EQ23" s="36" t="str">
        <f t="shared" si="57"/>
        <v/>
      </c>
      <c r="ER23" s="37"/>
      <c r="ES23" s="33"/>
      <c r="ET23" s="34"/>
      <c r="EU23" s="35" t="str">
        <f t="shared" si="58"/>
        <v/>
      </c>
      <c r="EV23" s="36" t="str">
        <f t="shared" si="59"/>
        <v/>
      </c>
      <c r="EW23" s="37"/>
    </row>
    <row r="24" spans="1:153" ht="19.5" customHeight="1">
      <c r="A24" s="32">
        <f>IF(DAY(DATE(対象年度,6,21))&lt;&gt;21,"",21)</f>
        <v>21</v>
      </c>
      <c r="B24" s="32" t="str">
        <f>IF(DAY(DATE(対象年度,6,21))&lt;&gt;21,"",CHOOSE(WEEKDAY(DATE(対象年度,6,21),2),"月","火","水","木","金","土","日"))</f>
        <v>日</v>
      </c>
      <c r="C24" s="32" t="str">
        <f>IF(DAY(DATE(対象年度,6,21))&lt;&gt;21,"",IF(ISNUMBER(MATCH(DATE(対象年度,6,21),祝日リスト,0)),"祝",""))</f>
        <v/>
      </c>
      <c r="D24" s="33"/>
      <c r="E24" s="34"/>
      <c r="F24" s="35" t="str">
        <f t="shared" si="0"/>
        <v/>
      </c>
      <c r="G24" s="36" t="str">
        <f t="shared" si="1"/>
        <v/>
      </c>
      <c r="H24" s="37"/>
      <c r="I24" s="33"/>
      <c r="J24" s="34"/>
      <c r="K24" s="35" t="str">
        <f t="shared" si="2"/>
        <v/>
      </c>
      <c r="L24" s="36" t="str">
        <f t="shared" si="3"/>
        <v/>
      </c>
      <c r="M24" s="37"/>
      <c r="N24" s="33"/>
      <c r="O24" s="34"/>
      <c r="P24" s="35" t="str">
        <f t="shared" si="4"/>
        <v/>
      </c>
      <c r="Q24" s="36" t="str">
        <f t="shared" si="5"/>
        <v/>
      </c>
      <c r="R24" s="37"/>
      <c r="S24" s="33"/>
      <c r="T24" s="34"/>
      <c r="U24" s="35" t="str">
        <f t="shared" si="6"/>
        <v/>
      </c>
      <c r="V24" s="36" t="str">
        <f t="shared" si="7"/>
        <v/>
      </c>
      <c r="W24" s="37"/>
      <c r="X24" s="33"/>
      <c r="Y24" s="34"/>
      <c r="Z24" s="35" t="str">
        <f t="shared" si="8"/>
        <v/>
      </c>
      <c r="AA24" s="36" t="str">
        <f t="shared" si="9"/>
        <v/>
      </c>
      <c r="AB24" s="37"/>
      <c r="AC24" s="33"/>
      <c r="AD24" s="34"/>
      <c r="AE24" s="35" t="str">
        <f t="shared" si="10"/>
        <v/>
      </c>
      <c r="AF24" s="36" t="str">
        <f t="shared" si="11"/>
        <v/>
      </c>
      <c r="AG24" s="37"/>
      <c r="AH24" s="33"/>
      <c r="AI24" s="34"/>
      <c r="AJ24" s="35" t="str">
        <f t="shared" si="12"/>
        <v/>
      </c>
      <c r="AK24" s="36" t="str">
        <f t="shared" si="13"/>
        <v/>
      </c>
      <c r="AL24" s="37"/>
      <c r="AM24" s="33"/>
      <c r="AN24" s="34"/>
      <c r="AO24" s="35" t="str">
        <f t="shared" si="14"/>
        <v/>
      </c>
      <c r="AP24" s="36" t="str">
        <f t="shared" si="15"/>
        <v/>
      </c>
      <c r="AQ24" s="37"/>
      <c r="AR24" s="33"/>
      <c r="AS24" s="34"/>
      <c r="AT24" s="35" t="str">
        <f t="shared" si="16"/>
        <v/>
      </c>
      <c r="AU24" s="36" t="str">
        <f t="shared" si="17"/>
        <v/>
      </c>
      <c r="AV24" s="37"/>
      <c r="AW24" s="33"/>
      <c r="AX24" s="34"/>
      <c r="AY24" s="35" t="str">
        <f t="shared" si="18"/>
        <v/>
      </c>
      <c r="AZ24" s="36" t="str">
        <f t="shared" si="19"/>
        <v/>
      </c>
      <c r="BA24" s="37"/>
      <c r="BB24" s="33"/>
      <c r="BC24" s="34"/>
      <c r="BD24" s="35" t="str">
        <f t="shared" si="20"/>
        <v/>
      </c>
      <c r="BE24" s="36" t="str">
        <f t="shared" si="21"/>
        <v/>
      </c>
      <c r="BF24" s="37"/>
      <c r="BG24" s="33"/>
      <c r="BH24" s="34"/>
      <c r="BI24" s="35" t="str">
        <f t="shared" si="22"/>
        <v/>
      </c>
      <c r="BJ24" s="36" t="str">
        <f t="shared" si="23"/>
        <v/>
      </c>
      <c r="BK24" s="37"/>
      <c r="BL24" s="33"/>
      <c r="BM24" s="34"/>
      <c r="BN24" s="35" t="str">
        <f t="shared" si="24"/>
        <v/>
      </c>
      <c r="BO24" s="36" t="str">
        <f t="shared" si="25"/>
        <v/>
      </c>
      <c r="BP24" s="37"/>
      <c r="BQ24" s="33"/>
      <c r="BR24" s="34"/>
      <c r="BS24" s="35" t="str">
        <f t="shared" si="26"/>
        <v/>
      </c>
      <c r="BT24" s="36" t="str">
        <f t="shared" si="27"/>
        <v/>
      </c>
      <c r="BU24" s="37"/>
      <c r="BV24" s="33"/>
      <c r="BW24" s="34"/>
      <c r="BX24" s="35" t="str">
        <f t="shared" si="28"/>
        <v/>
      </c>
      <c r="BY24" s="36" t="str">
        <f t="shared" si="29"/>
        <v/>
      </c>
      <c r="BZ24" s="37"/>
      <c r="CA24" s="33"/>
      <c r="CB24" s="34"/>
      <c r="CC24" s="35" t="str">
        <f t="shared" si="30"/>
        <v/>
      </c>
      <c r="CD24" s="36" t="str">
        <f t="shared" si="31"/>
        <v/>
      </c>
      <c r="CE24" s="37"/>
      <c r="CF24" s="33"/>
      <c r="CG24" s="34"/>
      <c r="CH24" s="35" t="str">
        <f t="shared" si="32"/>
        <v/>
      </c>
      <c r="CI24" s="36" t="str">
        <f t="shared" si="33"/>
        <v/>
      </c>
      <c r="CJ24" s="37"/>
      <c r="CK24" s="33"/>
      <c r="CL24" s="34"/>
      <c r="CM24" s="35" t="str">
        <f t="shared" si="34"/>
        <v/>
      </c>
      <c r="CN24" s="36" t="str">
        <f t="shared" si="35"/>
        <v/>
      </c>
      <c r="CO24" s="37"/>
      <c r="CP24" s="33"/>
      <c r="CQ24" s="34"/>
      <c r="CR24" s="35" t="str">
        <f t="shared" si="36"/>
        <v/>
      </c>
      <c r="CS24" s="36" t="str">
        <f t="shared" si="37"/>
        <v/>
      </c>
      <c r="CT24" s="37"/>
      <c r="CU24" s="33"/>
      <c r="CV24" s="34"/>
      <c r="CW24" s="35" t="str">
        <f t="shared" si="38"/>
        <v/>
      </c>
      <c r="CX24" s="36" t="str">
        <f t="shared" si="39"/>
        <v/>
      </c>
      <c r="CY24" s="37"/>
      <c r="CZ24" s="33"/>
      <c r="DA24" s="34"/>
      <c r="DB24" s="35" t="str">
        <f t="shared" si="40"/>
        <v/>
      </c>
      <c r="DC24" s="36" t="str">
        <f t="shared" si="41"/>
        <v/>
      </c>
      <c r="DD24" s="37"/>
      <c r="DE24" s="33"/>
      <c r="DF24" s="34"/>
      <c r="DG24" s="35" t="str">
        <f t="shared" si="42"/>
        <v/>
      </c>
      <c r="DH24" s="36" t="str">
        <f t="shared" si="43"/>
        <v/>
      </c>
      <c r="DI24" s="37"/>
      <c r="DJ24" s="33"/>
      <c r="DK24" s="34"/>
      <c r="DL24" s="35" t="str">
        <f t="shared" si="44"/>
        <v/>
      </c>
      <c r="DM24" s="36" t="str">
        <f t="shared" si="45"/>
        <v/>
      </c>
      <c r="DN24" s="37"/>
      <c r="DO24" s="33"/>
      <c r="DP24" s="34"/>
      <c r="DQ24" s="35" t="str">
        <f t="shared" si="46"/>
        <v/>
      </c>
      <c r="DR24" s="36" t="str">
        <f t="shared" si="47"/>
        <v/>
      </c>
      <c r="DS24" s="37"/>
      <c r="DT24" s="33"/>
      <c r="DU24" s="34"/>
      <c r="DV24" s="35" t="str">
        <f t="shared" si="48"/>
        <v/>
      </c>
      <c r="DW24" s="36" t="str">
        <f t="shared" si="49"/>
        <v/>
      </c>
      <c r="DX24" s="37"/>
      <c r="DY24" s="33"/>
      <c r="DZ24" s="34"/>
      <c r="EA24" s="35" t="str">
        <f t="shared" si="50"/>
        <v/>
      </c>
      <c r="EB24" s="36" t="str">
        <f t="shared" si="51"/>
        <v/>
      </c>
      <c r="EC24" s="37"/>
      <c r="ED24" s="33"/>
      <c r="EE24" s="34"/>
      <c r="EF24" s="35" t="str">
        <f t="shared" si="52"/>
        <v/>
      </c>
      <c r="EG24" s="36" t="str">
        <f t="shared" si="53"/>
        <v/>
      </c>
      <c r="EH24" s="37"/>
      <c r="EI24" s="33"/>
      <c r="EJ24" s="34"/>
      <c r="EK24" s="35" t="str">
        <f t="shared" si="54"/>
        <v/>
      </c>
      <c r="EL24" s="36" t="str">
        <f t="shared" si="55"/>
        <v/>
      </c>
      <c r="EM24" s="37"/>
      <c r="EN24" s="33"/>
      <c r="EO24" s="34"/>
      <c r="EP24" s="35" t="str">
        <f t="shared" si="56"/>
        <v/>
      </c>
      <c r="EQ24" s="36" t="str">
        <f t="shared" si="57"/>
        <v/>
      </c>
      <c r="ER24" s="37"/>
      <c r="ES24" s="33"/>
      <c r="ET24" s="34"/>
      <c r="EU24" s="35" t="str">
        <f t="shared" si="58"/>
        <v/>
      </c>
      <c r="EV24" s="36" t="str">
        <f t="shared" si="59"/>
        <v/>
      </c>
      <c r="EW24" s="37"/>
    </row>
    <row r="25" spans="1:153" ht="19.5" customHeight="1">
      <c r="A25" s="32">
        <f>IF(DAY(DATE(対象年度,6,22))&lt;&gt;22,"",22)</f>
        <v>22</v>
      </c>
      <c r="B25" s="32" t="str">
        <f>IF(DAY(DATE(対象年度,6,22))&lt;&gt;22,"",CHOOSE(WEEKDAY(DATE(対象年度,6,22),2),"月","火","水","木","金","土","日"))</f>
        <v>月</v>
      </c>
      <c r="C25" s="32" t="str">
        <f>IF(DAY(DATE(対象年度,6,22))&lt;&gt;22,"",IF(ISNUMBER(MATCH(DATE(対象年度,6,22),祝日リスト,0)),"祝",""))</f>
        <v/>
      </c>
      <c r="D25" s="33"/>
      <c r="E25" s="34"/>
      <c r="F25" s="35" t="str">
        <f t="shared" si="0"/>
        <v/>
      </c>
      <c r="G25" s="36" t="str">
        <f t="shared" si="1"/>
        <v/>
      </c>
      <c r="H25" s="37"/>
      <c r="I25" s="33"/>
      <c r="J25" s="34"/>
      <c r="K25" s="35" t="str">
        <f t="shared" si="2"/>
        <v/>
      </c>
      <c r="L25" s="36" t="str">
        <f t="shared" si="3"/>
        <v/>
      </c>
      <c r="M25" s="37"/>
      <c r="N25" s="33"/>
      <c r="O25" s="34"/>
      <c r="P25" s="35" t="str">
        <f t="shared" si="4"/>
        <v/>
      </c>
      <c r="Q25" s="36" t="str">
        <f t="shared" si="5"/>
        <v/>
      </c>
      <c r="R25" s="37"/>
      <c r="S25" s="33"/>
      <c r="T25" s="34"/>
      <c r="U25" s="35" t="str">
        <f t="shared" si="6"/>
        <v/>
      </c>
      <c r="V25" s="36" t="str">
        <f t="shared" si="7"/>
        <v/>
      </c>
      <c r="W25" s="37"/>
      <c r="X25" s="33"/>
      <c r="Y25" s="34"/>
      <c r="Z25" s="35" t="str">
        <f t="shared" si="8"/>
        <v/>
      </c>
      <c r="AA25" s="36" t="str">
        <f t="shared" si="9"/>
        <v/>
      </c>
      <c r="AB25" s="37"/>
      <c r="AC25" s="33"/>
      <c r="AD25" s="34"/>
      <c r="AE25" s="35" t="str">
        <f t="shared" si="10"/>
        <v/>
      </c>
      <c r="AF25" s="36" t="str">
        <f t="shared" si="11"/>
        <v/>
      </c>
      <c r="AG25" s="37"/>
      <c r="AH25" s="33"/>
      <c r="AI25" s="34"/>
      <c r="AJ25" s="35" t="str">
        <f t="shared" si="12"/>
        <v/>
      </c>
      <c r="AK25" s="36" t="str">
        <f t="shared" si="13"/>
        <v/>
      </c>
      <c r="AL25" s="37"/>
      <c r="AM25" s="33"/>
      <c r="AN25" s="34"/>
      <c r="AO25" s="35" t="str">
        <f t="shared" si="14"/>
        <v/>
      </c>
      <c r="AP25" s="36" t="str">
        <f t="shared" si="15"/>
        <v/>
      </c>
      <c r="AQ25" s="37"/>
      <c r="AR25" s="33"/>
      <c r="AS25" s="34"/>
      <c r="AT25" s="35" t="str">
        <f t="shared" si="16"/>
        <v/>
      </c>
      <c r="AU25" s="36" t="str">
        <f t="shared" si="17"/>
        <v/>
      </c>
      <c r="AV25" s="37"/>
      <c r="AW25" s="33"/>
      <c r="AX25" s="34"/>
      <c r="AY25" s="35" t="str">
        <f t="shared" si="18"/>
        <v/>
      </c>
      <c r="AZ25" s="36" t="str">
        <f t="shared" si="19"/>
        <v/>
      </c>
      <c r="BA25" s="37"/>
      <c r="BB25" s="33"/>
      <c r="BC25" s="34"/>
      <c r="BD25" s="35" t="str">
        <f t="shared" si="20"/>
        <v/>
      </c>
      <c r="BE25" s="36" t="str">
        <f t="shared" si="21"/>
        <v/>
      </c>
      <c r="BF25" s="37"/>
      <c r="BG25" s="33"/>
      <c r="BH25" s="34"/>
      <c r="BI25" s="35" t="str">
        <f t="shared" si="22"/>
        <v/>
      </c>
      <c r="BJ25" s="36" t="str">
        <f t="shared" si="23"/>
        <v/>
      </c>
      <c r="BK25" s="37"/>
      <c r="BL25" s="33"/>
      <c r="BM25" s="34"/>
      <c r="BN25" s="35" t="str">
        <f t="shared" si="24"/>
        <v/>
      </c>
      <c r="BO25" s="36" t="str">
        <f t="shared" si="25"/>
        <v/>
      </c>
      <c r="BP25" s="37"/>
      <c r="BQ25" s="33"/>
      <c r="BR25" s="34"/>
      <c r="BS25" s="35" t="str">
        <f t="shared" si="26"/>
        <v/>
      </c>
      <c r="BT25" s="36" t="str">
        <f t="shared" si="27"/>
        <v/>
      </c>
      <c r="BU25" s="37"/>
      <c r="BV25" s="33"/>
      <c r="BW25" s="34"/>
      <c r="BX25" s="35" t="str">
        <f t="shared" si="28"/>
        <v/>
      </c>
      <c r="BY25" s="36" t="str">
        <f t="shared" si="29"/>
        <v/>
      </c>
      <c r="BZ25" s="37"/>
      <c r="CA25" s="33"/>
      <c r="CB25" s="34"/>
      <c r="CC25" s="35" t="str">
        <f t="shared" si="30"/>
        <v/>
      </c>
      <c r="CD25" s="36" t="str">
        <f t="shared" si="31"/>
        <v/>
      </c>
      <c r="CE25" s="37"/>
      <c r="CF25" s="33"/>
      <c r="CG25" s="34"/>
      <c r="CH25" s="35" t="str">
        <f t="shared" si="32"/>
        <v/>
      </c>
      <c r="CI25" s="36" t="str">
        <f t="shared" si="33"/>
        <v/>
      </c>
      <c r="CJ25" s="37"/>
      <c r="CK25" s="33"/>
      <c r="CL25" s="34"/>
      <c r="CM25" s="35" t="str">
        <f t="shared" si="34"/>
        <v/>
      </c>
      <c r="CN25" s="36" t="str">
        <f t="shared" si="35"/>
        <v/>
      </c>
      <c r="CO25" s="37"/>
      <c r="CP25" s="33"/>
      <c r="CQ25" s="34"/>
      <c r="CR25" s="35" t="str">
        <f t="shared" si="36"/>
        <v/>
      </c>
      <c r="CS25" s="36" t="str">
        <f t="shared" si="37"/>
        <v/>
      </c>
      <c r="CT25" s="37"/>
      <c r="CU25" s="33"/>
      <c r="CV25" s="34"/>
      <c r="CW25" s="35" t="str">
        <f t="shared" si="38"/>
        <v/>
      </c>
      <c r="CX25" s="36" t="str">
        <f t="shared" si="39"/>
        <v/>
      </c>
      <c r="CY25" s="37"/>
      <c r="CZ25" s="33"/>
      <c r="DA25" s="34"/>
      <c r="DB25" s="35" t="str">
        <f t="shared" si="40"/>
        <v/>
      </c>
      <c r="DC25" s="36" t="str">
        <f t="shared" si="41"/>
        <v/>
      </c>
      <c r="DD25" s="37"/>
      <c r="DE25" s="33"/>
      <c r="DF25" s="34"/>
      <c r="DG25" s="35" t="str">
        <f t="shared" si="42"/>
        <v/>
      </c>
      <c r="DH25" s="36" t="str">
        <f t="shared" si="43"/>
        <v/>
      </c>
      <c r="DI25" s="37"/>
      <c r="DJ25" s="33"/>
      <c r="DK25" s="34"/>
      <c r="DL25" s="35" t="str">
        <f t="shared" si="44"/>
        <v/>
      </c>
      <c r="DM25" s="36" t="str">
        <f t="shared" si="45"/>
        <v/>
      </c>
      <c r="DN25" s="37"/>
      <c r="DO25" s="33"/>
      <c r="DP25" s="34"/>
      <c r="DQ25" s="35" t="str">
        <f t="shared" si="46"/>
        <v/>
      </c>
      <c r="DR25" s="36" t="str">
        <f t="shared" si="47"/>
        <v/>
      </c>
      <c r="DS25" s="37"/>
      <c r="DT25" s="33"/>
      <c r="DU25" s="34"/>
      <c r="DV25" s="35" t="str">
        <f t="shared" si="48"/>
        <v/>
      </c>
      <c r="DW25" s="36" t="str">
        <f t="shared" si="49"/>
        <v/>
      </c>
      <c r="DX25" s="37"/>
      <c r="DY25" s="33"/>
      <c r="DZ25" s="34"/>
      <c r="EA25" s="35" t="str">
        <f t="shared" si="50"/>
        <v/>
      </c>
      <c r="EB25" s="36" t="str">
        <f t="shared" si="51"/>
        <v/>
      </c>
      <c r="EC25" s="37"/>
      <c r="ED25" s="33"/>
      <c r="EE25" s="34"/>
      <c r="EF25" s="35" t="str">
        <f t="shared" si="52"/>
        <v/>
      </c>
      <c r="EG25" s="36" t="str">
        <f t="shared" si="53"/>
        <v/>
      </c>
      <c r="EH25" s="37"/>
      <c r="EI25" s="33"/>
      <c r="EJ25" s="34"/>
      <c r="EK25" s="35" t="str">
        <f t="shared" si="54"/>
        <v/>
      </c>
      <c r="EL25" s="36" t="str">
        <f t="shared" si="55"/>
        <v/>
      </c>
      <c r="EM25" s="37"/>
      <c r="EN25" s="33"/>
      <c r="EO25" s="34"/>
      <c r="EP25" s="35" t="str">
        <f t="shared" si="56"/>
        <v/>
      </c>
      <c r="EQ25" s="36" t="str">
        <f t="shared" si="57"/>
        <v/>
      </c>
      <c r="ER25" s="37"/>
      <c r="ES25" s="33"/>
      <c r="ET25" s="34"/>
      <c r="EU25" s="35" t="str">
        <f t="shared" si="58"/>
        <v/>
      </c>
      <c r="EV25" s="36" t="str">
        <f t="shared" si="59"/>
        <v/>
      </c>
      <c r="EW25" s="37"/>
    </row>
    <row r="26" spans="1:153" ht="19.5" customHeight="1">
      <c r="A26" s="32">
        <f>IF(DAY(DATE(対象年度,6,23))&lt;&gt;23,"",23)</f>
        <v>23</v>
      </c>
      <c r="B26" s="32" t="str">
        <f>IF(DAY(DATE(対象年度,6,23))&lt;&gt;23,"",CHOOSE(WEEKDAY(DATE(対象年度,6,23),2),"月","火","水","木","金","土","日"))</f>
        <v>火</v>
      </c>
      <c r="C26" s="32" t="str">
        <f>IF(DAY(DATE(対象年度,6,23))&lt;&gt;23,"",IF(ISNUMBER(MATCH(DATE(対象年度,6,23),祝日リスト,0)),"祝",""))</f>
        <v/>
      </c>
      <c r="D26" s="33"/>
      <c r="E26" s="34"/>
      <c r="F26" s="35" t="str">
        <f t="shared" si="0"/>
        <v/>
      </c>
      <c r="G26" s="36" t="str">
        <f t="shared" si="1"/>
        <v/>
      </c>
      <c r="H26" s="37"/>
      <c r="I26" s="33"/>
      <c r="J26" s="34"/>
      <c r="K26" s="35" t="str">
        <f t="shared" si="2"/>
        <v/>
      </c>
      <c r="L26" s="36" t="str">
        <f t="shared" si="3"/>
        <v/>
      </c>
      <c r="M26" s="37"/>
      <c r="N26" s="33"/>
      <c r="O26" s="34"/>
      <c r="P26" s="35" t="str">
        <f t="shared" si="4"/>
        <v/>
      </c>
      <c r="Q26" s="36" t="str">
        <f t="shared" si="5"/>
        <v/>
      </c>
      <c r="R26" s="37"/>
      <c r="S26" s="33"/>
      <c r="T26" s="34"/>
      <c r="U26" s="35" t="str">
        <f t="shared" si="6"/>
        <v/>
      </c>
      <c r="V26" s="36" t="str">
        <f t="shared" si="7"/>
        <v/>
      </c>
      <c r="W26" s="37"/>
      <c r="X26" s="33"/>
      <c r="Y26" s="34"/>
      <c r="Z26" s="35" t="str">
        <f t="shared" si="8"/>
        <v/>
      </c>
      <c r="AA26" s="36" t="str">
        <f t="shared" si="9"/>
        <v/>
      </c>
      <c r="AB26" s="37"/>
      <c r="AC26" s="33"/>
      <c r="AD26" s="34"/>
      <c r="AE26" s="35" t="str">
        <f t="shared" si="10"/>
        <v/>
      </c>
      <c r="AF26" s="36" t="str">
        <f t="shared" si="11"/>
        <v/>
      </c>
      <c r="AG26" s="37"/>
      <c r="AH26" s="33"/>
      <c r="AI26" s="34"/>
      <c r="AJ26" s="35" t="str">
        <f t="shared" si="12"/>
        <v/>
      </c>
      <c r="AK26" s="36" t="str">
        <f t="shared" si="13"/>
        <v/>
      </c>
      <c r="AL26" s="37"/>
      <c r="AM26" s="33"/>
      <c r="AN26" s="34"/>
      <c r="AO26" s="35" t="str">
        <f t="shared" si="14"/>
        <v/>
      </c>
      <c r="AP26" s="36" t="str">
        <f t="shared" si="15"/>
        <v/>
      </c>
      <c r="AQ26" s="37"/>
      <c r="AR26" s="33"/>
      <c r="AS26" s="34"/>
      <c r="AT26" s="35" t="str">
        <f t="shared" si="16"/>
        <v/>
      </c>
      <c r="AU26" s="36" t="str">
        <f t="shared" si="17"/>
        <v/>
      </c>
      <c r="AV26" s="37"/>
      <c r="AW26" s="33"/>
      <c r="AX26" s="34"/>
      <c r="AY26" s="35" t="str">
        <f t="shared" si="18"/>
        <v/>
      </c>
      <c r="AZ26" s="36" t="str">
        <f t="shared" si="19"/>
        <v/>
      </c>
      <c r="BA26" s="37"/>
      <c r="BB26" s="33"/>
      <c r="BC26" s="34"/>
      <c r="BD26" s="35" t="str">
        <f t="shared" si="20"/>
        <v/>
      </c>
      <c r="BE26" s="36" t="str">
        <f t="shared" si="21"/>
        <v/>
      </c>
      <c r="BF26" s="37"/>
      <c r="BG26" s="33"/>
      <c r="BH26" s="34"/>
      <c r="BI26" s="35" t="str">
        <f t="shared" si="22"/>
        <v/>
      </c>
      <c r="BJ26" s="36" t="str">
        <f t="shared" si="23"/>
        <v/>
      </c>
      <c r="BK26" s="37"/>
      <c r="BL26" s="33"/>
      <c r="BM26" s="34"/>
      <c r="BN26" s="35" t="str">
        <f t="shared" si="24"/>
        <v/>
      </c>
      <c r="BO26" s="36" t="str">
        <f t="shared" si="25"/>
        <v/>
      </c>
      <c r="BP26" s="37"/>
      <c r="BQ26" s="33"/>
      <c r="BR26" s="34"/>
      <c r="BS26" s="35" t="str">
        <f t="shared" si="26"/>
        <v/>
      </c>
      <c r="BT26" s="36" t="str">
        <f t="shared" si="27"/>
        <v/>
      </c>
      <c r="BU26" s="37"/>
      <c r="BV26" s="33"/>
      <c r="BW26" s="34"/>
      <c r="BX26" s="35" t="str">
        <f t="shared" si="28"/>
        <v/>
      </c>
      <c r="BY26" s="36" t="str">
        <f t="shared" si="29"/>
        <v/>
      </c>
      <c r="BZ26" s="37"/>
      <c r="CA26" s="33"/>
      <c r="CB26" s="34"/>
      <c r="CC26" s="35" t="str">
        <f t="shared" si="30"/>
        <v/>
      </c>
      <c r="CD26" s="36" t="str">
        <f t="shared" si="31"/>
        <v/>
      </c>
      <c r="CE26" s="37"/>
      <c r="CF26" s="33"/>
      <c r="CG26" s="34"/>
      <c r="CH26" s="35" t="str">
        <f t="shared" si="32"/>
        <v/>
      </c>
      <c r="CI26" s="36" t="str">
        <f t="shared" si="33"/>
        <v/>
      </c>
      <c r="CJ26" s="37"/>
      <c r="CK26" s="33"/>
      <c r="CL26" s="34"/>
      <c r="CM26" s="35" t="str">
        <f t="shared" si="34"/>
        <v/>
      </c>
      <c r="CN26" s="36" t="str">
        <f t="shared" si="35"/>
        <v/>
      </c>
      <c r="CO26" s="37"/>
      <c r="CP26" s="33"/>
      <c r="CQ26" s="34"/>
      <c r="CR26" s="35" t="str">
        <f t="shared" si="36"/>
        <v/>
      </c>
      <c r="CS26" s="36" t="str">
        <f t="shared" si="37"/>
        <v/>
      </c>
      <c r="CT26" s="37"/>
      <c r="CU26" s="33"/>
      <c r="CV26" s="34"/>
      <c r="CW26" s="35" t="str">
        <f t="shared" si="38"/>
        <v/>
      </c>
      <c r="CX26" s="36" t="str">
        <f t="shared" si="39"/>
        <v/>
      </c>
      <c r="CY26" s="37"/>
      <c r="CZ26" s="33"/>
      <c r="DA26" s="34"/>
      <c r="DB26" s="35" t="str">
        <f t="shared" si="40"/>
        <v/>
      </c>
      <c r="DC26" s="36" t="str">
        <f t="shared" si="41"/>
        <v/>
      </c>
      <c r="DD26" s="37"/>
      <c r="DE26" s="33"/>
      <c r="DF26" s="34"/>
      <c r="DG26" s="35" t="str">
        <f t="shared" si="42"/>
        <v/>
      </c>
      <c r="DH26" s="36" t="str">
        <f t="shared" si="43"/>
        <v/>
      </c>
      <c r="DI26" s="37"/>
      <c r="DJ26" s="33"/>
      <c r="DK26" s="34"/>
      <c r="DL26" s="35" t="str">
        <f t="shared" si="44"/>
        <v/>
      </c>
      <c r="DM26" s="36" t="str">
        <f t="shared" si="45"/>
        <v/>
      </c>
      <c r="DN26" s="37"/>
      <c r="DO26" s="33"/>
      <c r="DP26" s="34"/>
      <c r="DQ26" s="35" t="str">
        <f t="shared" si="46"/>
        <v/>
      </c>
      <c r="DR26" s="36" t="str">
        <f t="shared" si="47"/>
        <v/>
      </c>
      <c r="DS26" s="37"/>
      <c r="DT26" s="33"/>
      <c r="DU26" s="34"/>
      <c r="DV26" s="35" t="str">
        <f t="shared" si="48"/>
        <v/>
      </c>
      <c r="DW26" s="36" t="str">
        <f t="shared" si="49"/>
        <v/>
      </c>
      <c r="DX26" s="37"/>
      <c r="DY26" s="33"/>
      <c r="DZ26" s="34"/>
      <c r="EA26" s="35" t="str">
        <f t="shared" si="50"/>
        <v/>
      </c>
      <c r="EB26" s="36" t="str">
        <f t="shared" si="51"/>
        <v/>
      </c>
      <c r="EC26" s="37"/>
      <c r="ED26" s="33"/>
      <c r="EE26" s="34"/>
      <c r="EF26" s="35" t="str">
        <f t="shared" si="52"/>
        <v/>
      </c>
      <c r="EG26" s="36" t="str">
        <f t="shared" si="53"/>
        <v/>
      </c>
      <c r="EH26" s="37"/>
      <c r="EI26" s="33"/>
      <c r="EJ26" s="34"/>
      <c r="EK26" s="35" t="str">
        <f t="shared" si="54"/>
        <v/>
      </c>
      <c r="EL26" s="36" t="str">
        <f t="shared" si="55"/>
        <v/>
      </c>
      <c r="EM26" s="37"/>
      <c r="EN26" s="33"/>
      <c r="EO26" s="34"/>
      <c r="EP26" s="35" t="str">
        <f t="shared" si="56"/>
        <v/>
      </c>
      <c r="EQ26" s="36" t="str">
        <f t="shared" si="57"/>
        <v/>
      </c>
      <c r="ER26" s="37"/>
      <c r="ES26" s="33"/>
      <c r="ET26" s="34"/>
      <c r="EU26" s="35" t="str">
        <f t="shared" si="58"/>
        <v/>
      </c>
      <c r="EV26" s="36" t="str">
        <f t="shared" si="59"/>
        <v/>
      </c>
      <c r="EW26" s="37"/>
    </row>
    <row r="27" spans="1:153" ht="19.5" customHeight="1">
      <c r="A27" s="32">
        <f>IF(DAY(DATE(対象年度,6,24))&lt;&gt;24,"",24)</f>
        <v>24</v>
      </c>
      <c r="B27" s="32" t="str">
        <f>IF(DAY(DATE(対象年度,6,24))&lt;&gt;24,"",CHOOSE(WEEKDAY(DATE(対象年度,6,24),2),"月","火","水","木","金","土","日"))</f>
        <v>水</v>
      </c>
      <c r="C27" s="32" t="str">
        <f>IF(DAY(DATE(対象年度,6,24))&lt;&gt;24,"",IF(ISNUMBER(MATCH(DATE(対象年度,6,24),祝日リスト,0)),"祝",""))</f>
        <v/>
      </c>
      <c r="D27" s="33"/>
      <c r="E27" s="34"/>
      <c r="F27" s="35" t="str">
        <f t="shared" si="0"/>
        <v/>
      </c>
      <c r="G27" s="36" t="str">
        <f t="shared" si="1"/>
        <v/>
      </c>
      <c r="H27" s="37"/>
      <c r="I27" s="33"/>
      <c r="J27" s="34"/>
      <c r="K27" s="35" t="str">
        <f t="shared" si="2"/>
        <v/>
      </c>
      <c r="L27" s="36" t="str">
        <f t="shared" si="3"/>
        <v/>
      </c>
      <c r="M27" s="37"/>
      <c r="N27" s="33"/>
      <c r="O27" s="34"/>
      <c r="P27" s="35" t="str">
        <f t="shared" si="4"/>
        <v/>
      </c>
      <c r="Q27" s="36" t="str">
        <f t="shared" si="5"/>
        <v/>
      </c>
      <c r="R27" s="37"/>
      <c r="S27" s="33"/>
      <c r="T27" s="34"/>
      <c r="U27" s="35" t="str">
        <f t="shared" si="6"/>
        <v/>
      </c>
      <c r="V27" s="36" t="str">
        <f t="shared" si="7"/>
        <v/>
      </c>
      <c r="W27" s="37"/>
      <c r="X27" s="33"/>
      <c r="Y27" s="34"/>
      <c r="Z27" s="35" t="str">
        <f t="shared" si="8"/>
        <v/>
      </c>
      <c r="AA27" s="36" t="str">
        <f t="shared" si="9"/>
        <v/>
      </c>
      <c r="AB27" s="37"/>
      <c r="AC27" s="33"/>
      <c r="AD27" s="34"/>
      <c r="AE27" s="35" t="str">
        <f t="shared" si="10"/>
        <v/>
      </c>
      <c r="AF27" s="36" t="str">
        <f t="shared" si="11"/>
        <v/>
      </c>
      <c r="AG27" s="37"/>
      <c r="AH27" s="33"/>
      <c r="AI27" s="34"/>
      <c r="AJ27" s="35" t="str">
        <f t="shared" si="12"/>
        <v/>
      </c>
      <c r="AK27" s="36" t="str">
        <f t="shared" si="13"/>
        <v/>
      </c>
      <c r="AL27" s="37"/>
      <c r="AM27" s="33"/>
      <c r="AN27" s="34"/>
      <c r="AO27" s="35" t="str">
        <f t="shared" si="14"/>
        <v/>
      </c>
      <c r="AP27" s="36" t="str">
        <f t="shared" si="15"/>
        <v/>
      </c>
      <c r="AQ27" s="37"/>
      <c r="AR27" s="33"/>
      <c r="AS27" s="34"/>
      <c r="AT27" s="35" t="str">
        <f t="shared" si="16"/>
        <v/>
      </c>
      <c r="AU27" s="36" t="str">
        <f t="shared" si="17"/>
        <v/>
      </c>
      <c r="AV27" s="37"/>
      <c r="AW27" s="33"/>
      <c r="AX27" s="34"/>
      <c r="AY27" s="35" t="str">
        <f t="shared" si="18"/>
        <v/>
      </c>
      <c r="AZ27" s="36" t="str">
        <f t="shared" si="19"/>
        <v/>
      </c>
      <c r="BA27" s="37"/>
      <c r="BB27" s="33"/>
      <c r="BC27" s="34"/>
      <c r="BD27" s="35" t="str">
        <f t="shared" si="20"/>
        <v/>
      </c>
      <c r="BE27" s="36" t="str">
        <f t="shared" si="21"/>
        <v/>
      </c>
      <c r="BF27" s="37"/>
      <c r="BG27" s="33"/>
      <c r="BH27" s="34"/>
      <c r="BI27" s="35" t="str">
        <f t="shared" si="22"/>
        <v/>
      </c>
      <c r="BJ27" s="36" t="str">
        <f t="shared" si="23"/>
        <v/>
      </c>
      <c r="BK27" s="37"/>
      <c r="BL27" s="33"/>
      <c r="BM27" s="34"/>
      <c r="BN27" s="35" t="str">
        <f t="shared" si="24"/>
        <v/>
      </c>
      <c r="BO27" s="36" t="str">
        <f t="shared" si="25"/>
        <v/>
      </c>
      <c r="BP27" s="37"/>
      <c r="BQ27" s="33"/>
      <c r="BR27" s="34"/>
      <c r="BS27" s="35" t="str">
        <f t="shared" si="26"/>
        <v/>
      </c>
      <c r="BT27" s="36" t="str">
        <f t="shared" si="27"/>
        <v/>
      </c>
      <c r="BU27" s="37"/>
      <c r="BV27" s="33"/>
      <c r="BW27" s="34"/>
      <c r="BX27" s="35" t="str">
        <f t="shared" si="28"/>
        <v/>
      </c>
      <c r="BY27" s="36" t="str">
        <f t="shared" si="29"/>
        <v/>
      </c>
      <c r="BZ27" s="37"/>
      <c r="CA27" s="33"/>
      <c r="CB27" s="34"/>
      <c r="CC27" s="35" t="str">
        <f t="shared" si="30"/>
        <v/>
      </c>
      <c r="CD27" s="36" t="str">
        <f t="shared" si="31"/>
        <v/>
      </c>
      <c r="CE27" s="37"/>
      <c r="CF27" s="33"/>
      <c r="CG27" s="34"/>
      <c r="CH27" s="35" t="str">
        <f t="shared" si="32"/>
        <v/>
      </c>
      <c r="CI27" s="36" t="str">
        <f t="shared" si="33"/>
        <v/>
      </c>
      <c r="CJ27" s="37"/>
      <c r="CK27" s="33"/>
      <c r="CL27" s="34"/>
      <c r="CM27" s="35" t="str">
        <f t="shared" si="34"/>
        <v/>
      </c>
      <c r="CN27" s="36" t="str">
        <f t="shared" si="35"/>
        <v/>
      </c>
      <c r="CO27" s="37"/>
      <c r="CP27" s="33"/>
      <c r="CQ27" s="34"/>
      <c r="CR27" s="35" t="str">
        <f t="shared" si="36"/>
        <v/>
      </c>
      <c r="CS27" s="36" t="str">
        <f t="shared" si="37"/>
        <v/>
      </c>
      <c r="CT27" s="37"/>
      <c r="CU27" s="33"/>
      <c r="CV27" s="34"/>
      <c r="CW27" s="35" t="str">
        <f t="shared" si="38"/>
        <v/>
      </c>
      <c r="CX27" s="36" t="str">
        <f t="shared" si="39"/>
        <v/>
      </c>
      <c r="CY27" s="37"/>
      <c r="CZ27" s="33"/>
      <c r="DA27" s="34"/>
      <c r="DB27" s="35" t="str">
        <f t="shared" si="40"/>
        <v/>
      </c>
      <c r="DC27" s="36" t="str">
        <f t="shared" si="41"/>
        <v/>
      </c>
      <c r="DD27" s="37"/>
      <c r="DE27" s="33"/>
      <c r="DF27" s="34"/>
      <c r="DG27" s="35" t="str">
        <f t="shared" si="42"/>
        <v/>
      </c>
      <c r="DH27" s="36" t="str">
        <f t="shared" si="43"/>
        <v/>
      </c>
      <c r="DI27" s="37"/>
      <c r="DJ27" s="33"/>
      <c r="DK27" s="34"/>
      <c r="DL27" s="35" t="str">
        <f t="shared" si="44"/>
        <v/>
      </c>
      <c r="DM27" s="36" t="str">
        <f t="shared" si="45"/>
        <v/>
      </c>
      <c r="DN27" s="37"/>
      <c r="DO27" s="33"/>
      <c r="DP27" s="34"/>
      <c r="DQ27" s="35" t="str">
        <f t="shared" si="46"/>
        <v/>
      </c>
      <c r="DR27" s="36" t="str">
        <f t="shared" si="47"/>
        <v/>
      </c>
      <c r="DS27" s="37"/>
      <c r="DT27" s="33"/>
      <c r="DU27" s="34"/>
      <c r="DV27" s="35" t="str">
        <f t="shared" si="48"/>
        <v/>
      </c>
      <c r="DW27" s="36" t="str">
        <f t="shared" si="49"/>
        <v/>
      </c>
      <c r="DX27" s="37"/>
      <c r="DY27" s="33"/>
      <c r="DZ27" s="34"/>
      <c r="EA27" s="35" t="str">
        <f t="shared" si="50"/>
        <v/>
      </c>
      <c r="EB27" s="36" t="str">
        <f t="shared" si="51"/>
        <v/>
      </c>
      <c r="EC27" s="37"/>
      <c r="ED27" s="33"/>
      <c r="EE27" s="34"/>
      <c r="EF27" s="35" t="str">
        <f t="shared" si="52"/>
        <v/>
      </c>
      <c r="EG27" s="36" t="str">
        <f t="shared" si="53"/>
        <v/>
      </c>
      <c r="EH27" s="37"/>
      <c r="EI27" s="33"/>
      <c r="EJ27" s="34"/>
      <c r="EK27" s="35" t="str">
        <f t="shared" si="54"/>
        <v/>
      </c>
      <c r="EL27" s="36" t="str">
        <f t="shared" si="55"/>
        <v/>
      </c>
      <c r="EM27" s="37"/>
      <c r="EN27" s="33"/>
      <c r="EO27" s="34"/>
      <c r="EP27" s="35" t="str">
        <f t="shared" si="56"/>
        <v/>
      </c>
      <c r="EQ27" s="36" t="str">
        <f t="shared" si="57"/>
        <v/>
      </c>
      <c r="ER27" s="37"/>
      <c r="ES27" s="33"/>
      <c r="ET27" s="34"/>
      <c r="EU27" s="35" t="str">
        <f t="shared" si="58"/>
        <v/>
      </c>
      <c r="EV27" s="36" t="str">
        <f t="shared" si="59"/>
        <v/>
      </c>
      <c r="EW27" s="37"/>
    </row>
    <row r="28" spans="1:153" ht="19.5" customHeight="1">
      <c r="A28" s="32">
        <f>IF(DAY(DATE(対象年度,6,25))&lt;&gt;25,"",25)</f>
        <v>25</v>
      </c>
      <c r="B28" s="32" t="str">
        <f>IF(DAY(DATE(対象年度,6,25))&lt;&gt;25,"",CHOOSE(WEEKDAY(DATE(対象年度,6,25),2),"月","火","水","木","金","土","日"))</f>
        <v>木</v>
      </c>
      <c r="C28" s="32" t="str">
        <f>IF(DAY(DATE(対象年度,6,25))&lt;&gt;25,"",IF(ISNUMBER(MATCH(DATE(対象年度,6,25),祝日リスト,0)),"祝",""))</f>
        <v/>
      </c>
      <c r="D28" s="33"/>
      <c r="E28" s="34"/>
      <c r="F28" s="35" t="str">
        <f t="shared" si="0"/>
        <v/>
      </c>
      <c r="G28" s="36" t="str">
        <f t="shared" si="1"/>
        <v/>
      </c>
      <c r="H28" s="37"/>
      <c r="I28" s="33"/>
      <c r="J28" s="34"/>
      <c r="K28" s="35" t="str">
        <f t="shared" si="2"/>
        <v/>
      </c>
      <c r="L28" s="36" t="str">
        <f t="shared" si="3"/>
        <v/>
      </c>
      <c r="M28" s="37"/>
      <c r="N28" s="33"/>
      <c r="O28" s="34"/>
      <c r="P28" s="35" t="str">
        <f t="shared" si="4"/>
        <v/>
      </c>
      <c r="Q28" s="36" t="str">
        <f t="shared" si="5"/>
        <v/>
      </c>
      <c r="R28" s="37"/>
      <c r="S28" s="33"/>
      <c r="T28" s="34"/>
      <c r="U28" s="35" t="str">
        <f t="shared" si="6"/>
        <v/>
      </c>
      <c r="V28" s="36" t="str">
        <f t="shared" si="7"/>
        <v/>
      </c>
      <c r="W28" s="37"/>
      <c r="X28" s="33"/>
      <c r="Y28" s="34"/>
      <c r="Z28" s="35" t="str">
        <f t="shared" si="8"/>
        <v/>
      </c>
      <c r="AA28" s="36" t="str">
        <f t="shared" si="9"/>
        <v/>
      </c>
      <c r="AB28" s="37"/>
      <c r="AC28" s="33"/>
      <c r="AD28" s="34"/>
      <c r="AE28" s="35" t="str">
        <f t="shared" si="10"/>
        <v/>
      </c>
      <c r="AF28" s="36" t="str">
        <f t="shared" si="11"/>
        <v/>
      </c>
      <c r="AG28" s="37"/>
      <c r="AH28" s="33"/>
      <c r="AI28" s="34"/>
      <c r="AJ28" s="35" t="str">
        <f t="shared" si="12"/>
        <v/>
      </c>
      <c r="AK28" s="36" t="str">
        <f t="shared" si="13"/>
        <v/>
      </c>
      <c r="AL28" s="37"/>
      <c r="AM28" s="33"/>
      <c r="AN28" s="34"/>
      <c r="AO28" s="35" t="str">
        <f t="shared" si="14"/>
        <v/>
      </c>
      <c r="AP28" s="36" t="str">
        <f t="shared" si="15"/>
        <v/>
      </c>
      <c r="AQ28" s="37"/>
      <c r="AR28" s="33"/>
      <c r="AS28" s="34"/>
      <c r="AT28" s="35" t="str">
        <f t="shared" si="16"/>
        <v/>
      </c>
      <c r="AU28" s="36" t="str">
        <f t="shared" si="17"/>
        <v/>
      </c>
      <c r="AV28" s="37"/>
      <c r="AW28" s="33"/>
      <c r="AX28" s="34"/>
      <c r="AY28" s="35" t="str">
        <f t="shared" si="18"/>
        <v/>
      </c>
      <c r="AZ28" s="36" t="str">
        <f t="shared" si="19"/>
        <v/>
      </c>
      <c r="BA28" s="37"/>
      <c r="BB28" s="33"/>
      <c r="BC28" s="34"/>
      <c r="BD28" s="35" t="str">
        <f t="shared" si="20"/>
        <v/>
      </c>
      <c r="BE28" s="36" t="str">
        <f t="shared" si="21"/>
        <v/>
      </c>
      <c r="BF28" s="37"/>
      <c r="BG28" s="33"/>
      <c r="BH28" s="34"/>
      <c r="BI28" s="35" t="str">
        <f t="shared" si="22"/>
        <v/>
      </c>
      <c r="BJ28" s="36" t="str">
        <f t="shared" si="23"/>
        <v/>
      </c>
      <c r="BK28" s="37"/>
      <c r="BL28" s="33"/>
      <c r="BM28" s="34"/>
      <c r="BN28" s="35" t="str">
        <f t="shared" si="24"/>
        <v/>
      </c>
      <c r="BO28" s="36" t="str">
        <f t="shared" si="25"/>
        <v/>
      </c>
      <c r="BP28" s="37"/>
      <c r="BQ28" s="33"/>
      <c r="BR28" s="34"/>
      <c r="BS28" s="35" t="str">
        <f t="shared" si="26"/>
        <v/>
      </c>
      <c r="BT28" s="36" t="str">
        <f t="shared" si="27"/>
        <v/>
      </c>
      <c r="BU28" s="37"/>
      <c r="BV28" s="33"/>
      <c r="BW28" s="34"/>
      <c r="BX28" s="35" t="str">
        <f t="shared" si="28"/>
        <v/>
      </c>
      <c r="BY28" s="36" t="str">
        <f t="shared" si="29"/>
        <v/>
      </c>
      <c r="BZ28" s="37"/>
      <c r="CA28" s="33"/>
      <c r="CB28" s="34"/>
      <c r="CC28" s="35" t="str">
        <f t="shared" si="30"/>
        <v/>
      </c>
      <c r="CD28" s="36" t="str">
        <f t="shared" si="31"/>
        <v/>
      </c>
      <c r="CE28" s="37"/>
      <c r="CF28" s="33"/>
      <c r="CG28" s="34"/>
      <c r="CH28" s="35" t="str">
        <f t="shared" si="32"/>
        <v/>
      </c>
      <c r="CI28" s="36" t="str">
        <f t="shared" si="33"/>
        <v/>
      </c>
      <c r="CJ28" s="37"/>
      <c r="CK28" s="33"/>
      <c r="CL28" s="34"/>
      <c r="CM28" s="35" t="str">
        <f t="shared" si="34"/>
        <v/>
      </c>
      <c r="CN28" s="36" t="str">
        <f t="shared" si="35"/>
        <v/>
      </c>
      <c r="CO28" s="37"/>
      <c r="CP28" s="33"/>
      <c r="CQ28" s="34"/>
      <c r="CR28" s="35" t="str">
        <f t="shared" si="36"/>
        <v/>
      </c>
      <c r="CS28" s="36" t="str">
        <f t="shared" si="37"/>
        <v/>
      </c>
      <c r="CT28" s="37"/>
      <c r="CU28" s="33"/>
      <c r="CV28" s="34"/>
      <c r="CW28" s="35" t="str">
        <f t="shared" si="38"/>
        <v/>
      </c>
      <c r="CX28" s="36" t="str">
        <f t="shared" si="39"/>
        <v/>
      </c>
      <c r="CY28" s="37"/>
      <c r="CZ28" s="33"/>
      <c r="DA28" s="34"/>
      <c r="DB28" s="35" t="str">
        <f t="shared" si="40"/>
        <v/>
      </c>
      <c r="DC28" s="36" t="str">
        <f t="shared" si="41"/>
        <v/>
      </c>
      <c r="DD28" s="37"/>
      <c r="DE28" s="33"/>
      <c r="DF28" s="34"/>
      <c r="DG28" s="35" t="str">
        <f t="shared" si="42"/>
        <v/>
      </c>
      <c r="DH28" s="36" t="str">
        <f t="shared" si="43"/>
        <v/>
      </c>
      <c r="DI28" s="37"/>
      <c r="DJ28" s="33"/>
      <c r="DK28" s="34"/>
      <c r="DL28" s="35" t="str">
        <f t="shared" si="44"/>
        <v/>
      </c>
      <c r="DM28" s="36" t="str">
        <f t="shared" si="45"/>
        <v/>
      </c>
      <c r="DN28" s="37"/>
      <c r="DO28" s="33"/>
      <c r="DP28" s="34"/>
      <c r="DQ28" s="35" t="str">
        <f t="shared" si="46"/>
        <v/>
      </c>
      <c r="DR28" s="36" t="str">
        <f t="shared" si="47"/>
        <v/>
      </c>
      <c r="DS28" s="37"/>
      <c r="DT28" s="33"/>
      <c r="DU28" s="34"/>
      <c r="DV28" s="35" t="str">
        <f t="shared" si="48"/>
        <v/>
      </c>
      <c r="DW28" s="36" t="str">
        <f t="shared" si="49"/>
        <v/>
      </c>
      <c r="DX28" s="37"/>
      <c r="DY28" s="33"/>
      <c r="DZ28" s="34"/>
      <c r="EA28" s="35" t="str">
        <f t="shared" si="50"/>
        <v/>
      </c>
      <c r="EB28" s="36" t="str">
        <f t="shared" si="51"/>
        <v/>
      </c>
      <c r="EC28" s="37"/>
      <c r="ED28" s="33"/>
      <c r="EE28" s="34"/>
      <c r="EF28" s="35" t="str">
        <f t="shared" si="52"/>
        <v/>
      </c>
      <c r="EG28" s="36" t="str">
        <f t="shared" si="53"/>
        <v/>
      </c>
      <c r="EH28" s="37"/>
      <c r="EI28" s="33"/>
      <c r="EJ28" s="34"/>
      <c r="EK28" s="35" t="str">
        <f t="shared" si="54"/>
        <v/>
      </c>
      <c r="EL28" s="36" t="str">
        <f t="shared" si="55"/>
        <v/>
      </c>
      <c r="EM28" s="37"/>
      <c r="EN28" s="33"/>
      <c r="EO28" s="34"/>
      <c r="EP28" s="35" t="str">
        <f t="shared" si="56"/>
        <v/>
      </c>
      <c r="EQ28" s="36" t="str">
        <f t="shared" si="57"/>
        <v/>
      </c>
      <c r="ER28" s="37"/>
      <c r="ES28" s="33"/>
      <c r="ET28" s="34"/>
      <c r="EU28" s="35" t="str">
        <f t="shared" si="58"/>
        <v/>
      </c>
      <c r="EV28" s="36" t="str">
        <f t="shared" si="59"/>
        <v/>
      </c>
      <c r="EW28" s="37"/>
    </row>
    <row r="29" spans="1:153" ht="19.5" customHeight="1">
      <c r="A29" s="32">
        <f>IF(DAY(DATE(対象年度,6,26))&lt;&gt;26,"",26)</f>
        <v>26</v>
      </c>
      <c r="B29" s="32" t="str">
        <f>IF(DAY(DATE(対象年度,6,26))&lt;&gt;26,"",CHOOSE(WEEKDAY(DATE(対象年度,6,26),2),"月","火","水","木","金","土","日"))</f>
        <v>金</v>
      </c>
      <c r="C29" s="32" t="str">
        <f>IF(DAY(DATE(対象年度,6,26))&lt;&gt;26,"",IF(ISNUMBER(MATCH(DATE(対象年度,6,26),祝日リスト,0)),"祝",""))</f>
        <v/>
      </c>
      <c r="D29" s="33"/>
      <c r="E29" s="34"/>
      <c r="F29" s="35" t="str">
        <f t="shared" si="0"/>
        <v/>
      </c>
      <c r="G29" s="36" t="str">
        <f t="shared" si="1"/>
        <v/>
      </c>
      <c r="H29" s="37"/>
      <c r="I29" s="33"/>
      <c r="J29" s="34"/>
      <c r="K29" s="35" t="str">
        <f t="shared" si="2"/>
        <v/>
      </c>
      <c r="L29" s="36" t="str">
        <f t="shared" si="3"/>
        <v/>
      </c>
      <c r="M29" s="37"/>
      <c r="N29" s="33"/>
      <c r="O29" s="34"/>
      <c r="P29" s="35" t="str">
        <f t="shared" si="4"/>
        <v/>
      </c>
      <c r="Q29" s="36" t="str">
        <f t="shared" si="5"/>
        <v/>
      </c>
      <c r="R29" s="37"/>
      <c r="S29" s="33"/>
      <c r="T29" s="34"/>
      <c r="U29" s="35" t="str">
        <f t="shared" si="6"/>
        <v/>
      </c>
      <c r="V29" s="36" t="str">
        <f t="shared" si="7"/>
        <v/>
      </c>
      <c r="W29" s="37"/>
      <c r="X29" s="33"/>
      <c r="Y29" s="34"/>
      <c r="Z29" s="35" t="str">
        <f t="shared" si="8"/>
        <v/>
      </c>
      <c r="AA29" s="36" t="str">
        <f t="shared" si="9"/>
        <v/>
      </c>
      <c r="AB29" s="37"/>
      <c r="AC29" s="33"/>
      <c r="AD29" s="34"/>
      <c r="AE29" s="35" t="str">
        <f t="shared" si="10"/>
        <v/>
      </c>
      <c r="AF29" s="36" t="str">
        <f t="shared" si="11"/>
        <v/>
      </c>
      <c r="AG29" s="37"/>
      <c r="AH29" s="33"/>
      <c r="AI29" s="34"/>
      <c r="AJ29" s="35" t="str">
        <f t="shared" si="12"/>
        <v/>
      </c>
      <c r="AK29" s="36" t="str">
        <f t="shared" si="13"/>
        <v/>
      </c>
      <c r="AL29" s="37"/>
      <c r="AM29" s="33"/>
      <c r="AN29" s="34"/>
      <c r="AO29" s="35" t="str">
        <f t="shared" si="14"/>
        <v/>
      </c>
      <c r="AP29" s="36" t="str">
        <f t="shared" si="15"/>
        <v/>
      </c>
      <c r="AQ29" s="37"/>
      <c r="AR29" s="33"/>
      <c r="AS29" s="34"/>
      <c r="AT29" s="35" t="str">
        <f t="shared" si="16"/>
        <v/>
      </c>
      <c r="AU29" s="36" t="str">
        <f t="shared" si="17"/>
        <v/>
      </c>
      <c r="AV29" s="37"/>
      <c r="AW29" s="33"/>
      <c r="AX29" s="34"/>
      <c r="AY29" s="35" t="str">
        <f t="shared" si="18"/>
        <v/>
      </c>
      <c r="AZ29" s="36" t="str">
        <f t="shared" si="19"/>
        <v/>
      </c>
      <c r="BA29" s="37"/>
      <c r="BB29" s="33"/>
      <c r="BC29" s="34"/>
      <c r="BD29" s="35" t="str">
        <f t="shared" si="20"/>
        <v/>
      </c>
      <c r="BE29" s="36" t="str">
        <f t="shared" si="21"/>
        <v/>
      </c>
      <c r="BF29" s="37"/>
      <c r="BG29" s="33"/>
      <c r="BH29" s="34"/>
      <c r="BI29" s="35" t="str">
        <f t="shared" si="22"/>
        <v/>
      </c>
      <c r="BJ29" s="36" t="str">
        <f t="shared" si="23"/>
        <v/>
      </c>
      <c r="BK29" s="37"/>
      <c r="BL29" s="33"/>
      <c r="BM29" s="34"/>
      <c r="BN29" s="35" t="str">
        <f t="shared" si="24"/>
        <v/>
      </c>
      <c r="BO29" s="36" t="str">
        <f t="shared" si="25"/>
        <v/>
      </c>
      <c r="BP29" s="37"/>
      <c r="BQ29" s="33"/>
      <c r="BR29" s="34"/>
      <c r="BS29" s="35" t="str">
        <f t="shared" si="26"/>
        <v/>
      </c>
      <c r="BT29" s="36" t="str">
        <f t="shared" si="27"/>
        <v/>
      </c>
      <c r="BU29" s="37"/>
      <c r="BV29" s="33"/>
      <c r="BW29" s="34"/>
      <c r="BX29" s="35" t="str">
        <f t="shared" si="28"/>
        <v/>
      </c>
      <c r="BY29" s="36" t="str">
        <f t="shared" si="29"/>
        <v/>
      </c>
      <c r="BZ29" s="37"/>
      <c r="CA29" s="33"/>
      <c r="CB29" s="34"/>
      <c r="CC29" s="35" t="str">
        <f t="shared" si="30"/>
        <v/>
      </c>
      <c r="CD29" s="36" t="str">
        <f t="shared" si="31"/>
        <v/>
      </c>
      <c r="CE29" s="37"/>
      <c r="CF29" s="33"/>
      <c r="CG29" s="34"/>
      <c r="CH29" s="35" t="str">
        <f t="shared" si="32"/>
        <v/>
      </c>
      <c r="CI29" s="36" t="str">
        <f t="shared" si="33"/>
        <v/>
      </c>
      <c r="CJ29" s="37"/>
      <c r="CK29" s="33"/>
      <c r="CL29" s="34"/>
      <c r="CM29" s="35" t="str">
        <f t="shared" si="34"/>
        <v/>
      </c>
      <c r="CN29" s="36" t="str">
        <f t="shared" si="35"/>
        <v/>
      </c>
      <c r="CO29" s="37"/>
      <c r="CP29" s="33"/>
      <c r="CQ29" s="34"/>
      <c r="CR29" s="35" t="str">
        <f t="shared" si="36"/>
        <v/>
      </c>
      <c r="CS29" s="36" t="str">
        <f t="shared" si="37"/>
        <v/>
      </c>
      <c r="CT29" s="37"/>
      <c r="CU29" s="33"/>
      <c r="CV29" s="34"/>
      <c r="CW29" s="35" t="str">
        <f t="shared" si="38"/>
        <v/>
      </c>
      <c r="CX29" s="36" t="str">
        <f t="shared" si="39"/>
        <v/>
      </c>
      <c r="CY29" s="37"/>
      <c r="CZ29" s="33"/>
      <c r="DA29" s="34"/>
      <c r="DB29" s="35" t="str">
        <f t="shared" si="40"/>
        <v/>
      </c>
      <c r="DC29" s="36" t="str">
        <f t="shared" si="41"/>
        <v/>
      </c>
      <c r="DD29" s="37"/>
      <c r="DE29" s="33"/>
      <c r="DF29" s="34"/>
      <c r="DG29" s="35" t="str">
        <f t="shared" si="42"/>
        <v/>
      </c>
      <c r="DH29" s="36" t="str">
        <f t="shared" si="43"/>
        <v/>
      </c>
      <c r="DI29" s="37"/>
      <c r="DJ29" s="33"/>
      <c r="DK29" s="34"/>
      <c r="DL29" s="35" t="str">
        <f t="shared" si="44"/>
        <v/>
      </c>
      <c r="DM29" s="36" t="str">
        <f t="shared" si="45"/>
        <v/>
      </c>
      <c r="DN29" s="37"/>
      <c r="DO29" s="33"/>
      <c r="DP29" s="34"/>
      <c r="DQ29" s="35" t="str">
        <f t="shared" si="46"/>
        <v/>
      </c>
      <c r="DR29" s="36" t="str">
        <f t="shared" si="47"/>
        <v/>
      </c>
      <c r="DS29" s="37"/>
      <c r="DT29" s="33"/>
      <c r="DU29" s="34"/>
      <c r="DV29" s="35" t="str">
        <f t="shared" si="48"/>
        <v/>
      </c>
      <c r="DW29" s="36" t="str">
        <f t="shared" si="49"/>
        <v/>
      </c>
      <c r="DX29" s="37"/>
      <c r="DY29" s="33"/>
      <c r="DZ29" s="34"/>
      <c r="EA29" s="35" t="str">
        <f t="shared" si="50"/>
        <v/>
      </c>
      <c r="EB29" s="36" t="str">
        <f t="shared" si="51"/>
        <v/>
      </c>
      <c r="EC29" s="37"/>
      <c r="ED29" s="33"/>
      <c r="EE29" s="34"/>
      <c r="EF29" s="35" t="str">
        <f t="shared" si="52"/>
        <v/>
      </c>
      <c r="EG29" s="36" t="str">
        <f t="shared" si="53"/>
        <v/>
      </c>
      <c r="EH29" s="37"/>
      <c r="EI29" s="33"/>
      <c r="EJ29" s="34"/>
      <c r="EK29" s="35" t="str">
        <f t="shared" si="54"/>
        <v/>
      </c>
      <c r="EL29" s="36" t="str">
        <f t="shared" si="55"/>
        <v/>
      </c>
      <c r="EM29" s="37"/>
      <c r="EN29" s="33"/>
      <c r="EO29" s="34"/>
      <c r="EP29" s="35" t="str">
        <f t="shared" si="56"/>
        <v/>
      </c>
      <c r="EQ29" s="36" t="str">
        <f t="shared" si="57"/>
        <v/>
      </c>
      <c r="ER29" s="37"/>
      <c r="ES29" s="33"/>
      <c r="ET29" s="34"/>
      <c r="EU29" s="35" t="str">
        <f t="shared" si="58"/>
        <v/>
      </c>
      <c r="EV29" s="36" t="str">
        <f t="shared" si="59"/>
        <v/>
      </c>
      <c r="EW29" s="37"/>
    </row>
    <row r="30" spans="1:153" ht="19.5" customHeight="1">
      <c r="A30" s="32">
        <f>IF(DAY(DATE(対象年度,6,27))&lt;&gt;27,"",27)</f>
        <v>27</v>
      </c>
      <c r="B30" s="32" t="str">
        <f>IF(DAY(DATE(対象年度,6,27))&lt;&gt;27,"",CHOOSE(WEEKDAY(DATE(対象年度,6,27),2),"月","火","水","木","金","土","日"))</f>
        <v>土</v>
      </c>
      <c r="C30" s="32" t="str">
        <f>IF(DAY(DATE(対象年度,6,27))&lt;&gt;27,"",IF(ISNUMBER(MATCH(DATE(対象年度,6,27),祝日リスト,0)),"祝",""))</f>
        <v/>
      </c>
      <c r="D30" s="33"/>
      <c r="E30" s="34"/>
      <c r="F30" s="35" t="str">
        <f t="shared" si="0"/>
        <v/>
      </c>
      <c r="G30" s="36" t="str">
        <f t="shared" si="1"/>
        <v/>
      </c>
      <c r="H30" s="37"/>
      <c r="I30" s="33"/>
      <c r="J30" s="34"/>
      <c r="K30" s="35" t="str">
        <f t="shared" si="2"/>
        <v/>
      </c>
      <c r="L30" s="36" t="str">
        <f t="shared" si="3"/>
        <v/>
      </c>
      <c r="M30" s="37"/>
      <c r="N30" s="33"/>
      <c r="O30" s="34"/>
      <c r="P30" s="35" t="str">
        <f t="shared" si="4"/>
        <v/>
      </c>
      <c r="Q30" s="36" t="str">
        <f t="shared" si="5"/>
        <v/>
      </c>
      <c r="R30" s="37"/>
      <c r="S30" s="33"/>
      <c r="T30" s="34"/>
      <c r="U30" s="35" t="str">
        <f t="shared" si="6"/>
        <v/>
      </c>
      <c r="V30" s="36" t="str">
        <f t="shared" si="7"/>
        <v/>
      </c>
      <c r="W30" s="37"/>
      <c r="X30" s="33"/>
      <c r="Y30" s="34"/>
      <c r="Z30" s="35" t="str">
        <f t="shared" si="8"/>
        <v/>
      </c>
      <c r="AA30" s="36" t="str">
        <f t="shared" si="9"/>
        <v/>
      </c>
      <c r="AB30" s="37"/>
      <c r="AC30" s="33"/>
      <c r="AD30" s="34"/>
      <c r="AE30" s="35" t="str">
        <f t="shared" si="10"/>
        <v/>
      </c>
      <c r="AF30" s="36" t="str">
        <f t="shared" si="11"/>
        <v/>
      </c>
      <c r="AG30" s="37"/>
      <c r="AH30" s="33"/>
      <c r="AI30" s="34"/>
      <c r="AJ30" s="35" t="str">
        <f t="shared" si="12"/>
        <v/>
      </c>
      <c r="AK30" s="36" t="str">
        <f t="shared" si="13"/>
        <v/>
      </c>
      <c r="AL30" s="37"/>
      <c r="AM30" s="33"/>
      <c r="AN30" s="34"/>
      <c r="AO30" s="35" t="str">
        <f t="shared" si="14"/>
        <v/>
      </c>
      <c r="AP30" s="36" t="str">
        <f t="shared" si="15"/>
        <v/>
      </c>
      <c r="AQ30" s="37"/>
      <c r="AR30" s="33"/>
      <c r="AS30" s="34"/>
      <c r="AT30" s="35" t="str">
        <f t="shared" si="16"/>
        <v/>
      </c>
      <c r="AU30" s="36" t="str">
        <f t="shared" si="17"/>
        <v/>
      </c>
      <c r="AV30" s="37"/>
      <c r="AW30" s="33"/>
      <c r="AX30" s="34"/>
      <c r="AY30" s="35" t="str">
        <f t="shared" si="18"/>
        <v/>
      </c>
      <c r="AZ30" s="36" t="str">
        <f t="shared" si="19"/>
        <v/>
      </c>
      <c r="BA30" s="37"/>
      <c r="BB30" s="33"/>
      <c r="BC30" s="34"/>
      <c r="BD30" s="35" t="str">
        <f t="shared" si="20"/>
        <v/>
      </c>
      <c r="BE30" s="36" t="str">
        <f t="shared" si="21"/>
        <v/>
      </c>
      <c r="BF30" s="37"/>
      <c r="BG30" s="33"/>
      <c r="BH30" s="34"/>
      <c r="BI30" s="35" t="str">
        <f t="shared" si="22"/>
        <v/>
      </c>
      <c r="BJ30" s="36" t="str">
        <f t="shared" si="23"/>
        <v/>
      </c>
      <c r="BK30" s="37"/>
      <c r="BL30" s="33"/>
      <c r="BM30" s="34"/>
      <c r="BN30" s="35" t="str">
        <f t="shared" si="24"/>
        <v/>
      </c>
      <c r="BO30" s="36" t="str">
        <f t="shared" si="25"/>
        <v/>
      </c>
      <c r="BP30" s="37"/>
      <c r="BQ30" s="33"/>
      <c r="BR30" s="34"/>
      <c r="BS30" s="35" t="str">
        <f t="shared" si="26"/>
        <v/>
      </c>
      <c r="BT30" s="36" t="str">
        <f t="shared" si="27"/>
        <v/>
      </c>
      <c r="BU30" s="37"/>
      <c r="BV30" s="33"/>
      <c r="BW30" s="34"/>
      <c r="BX30" s="35" t="str">
        <f t="shared" si="28"/>
        <v/>
      </c>
      <c r="BY30" s="36" t="str">
        <f t="shared" si="29"/>
        <v/>
      </c>
      <c r="BZ30" s="37"/>
      <c r="CA30" s="33"/>
      <c r="CB30" s="34"/>
      <c r="CC30" s="35" t="str">
        <f t="shared" si="30"/>
        <v/>
      </c>
      <c r="CD30" s="36" t="str">
        <f t="shared" si="31"/>
        <v/>
      </c>
      <c r="CE30" s="37"/>
      <c r="CF30" s="33"/>
      <c r="CG30" s="34"/>
      <c r="CH30" s="35" t="str">
        <f t="shared" si="32"/>
        <v/>
      </c>
      <c r="CI30" s="36" t="str">
        <f t="shared" si="33"/>
        <v/>
      </c>
      <c r="CJ30" s="37"/>
      <c r="CK30" s="33"/>
      <c r="CL30" s="34"/>
      <c r="CM30" s="35" t="str">
        <f t="shared" si="34"/>
        <v/>
      </c>
      <c r="CN30" s="36" t="str">
        <f t="shared" si="35"/>
        <v/>
      </c>
      <c r="CO30" s="37"/>
      <c r="CP30" s="33"/>
      <c r="CQ30" s="34"/>
      <c r="CR30" s="35" t="str">
        <f t="shared" si="36"/>
        <v/>
      </c>
      <c r="CS30" s="36" t="str">
        <f t="shared" si="37"/>
        <v/>
      </c>
      <c r="CT30" s="37"/>
      <c r="CU30" s="33"/>
      <c r="CV30" s="34"/>
      <c r="CW30" s="35" t="str">
        <f t="shared" si="38"/>
        <v/>
      </c>
      <c r="CX30" s="36" t="str">
        <f t="shared" si="39"/>
        <v/>
      </c>
      <c r="CY30" s="37"/>
      <c r="CZ30" s="33"/>
      <c r="DA30" s="34"/>
      <c r="DB30" s="35" t="str">
        <f t="shared" si="40"/>
        <v/>
      </c>
      <c r="DC30" s="36" t="str">
        <f t="shared" si="41"/>
        <v/>
      </c>
      <c r="DD30" s="37"/>
      <c r="DE30" s="33"/>
      <c r="DF30" s="34"/>
      <c r="DG30" s="35" t="str">
        <f t="shared" si="42"/>
        <v/>
      </c>
      <c r="DH30" s="36" t="str">
        <f t="shared" si="43"/>
        <v/>
      </c>
      <c r="DI30" s="37"/>
      <c r="DJ30" s="33"/>
      <c r="DK30" s="34"/>
      <c r="DL30" s="35" t="str">
        <f t="shared" si="44"/>
        <v/>
      </c>
      <c r="DM30" s="36" t="str">
        <f t="shared" si="45"/>
        <v/>
      </c>
      <c r="DN30" s="37"/>
      <c r="DO30" s="33"/>
      <c r="DP30" s="34"/>
      <c r="DQ30" s="35" t="str">
        <f t="shared" si="46"/>
        <v/>
      </c>
      <c r="DR30" s="36" t="str">
        <f t="shared" si="47"/>
        <v/>
      </c>
      <c r="DS30" s="37"/>
      <c r="DT30" s="33"/>
      <c r="DU30" s="34"/>
      <c r="DV30" s="35" t="str">
        <f t="shared" si="48"/>
        <v/>
      </c>
      <c r="DW30" s="36" t="str">
        <f t="shared" si="49"/>
        <v/>
      </c>
      <c r="DX30" s="37"/>
      <c r="DY30" s="33"/>
      <c r="DZ30" s="34"/>
      <c r="EA30" s="35" t="str">
        <f t="shared" si="50"/>
        <v/>
      </c>
      <c r="EB30" s="36" t="str">
        <f t="shared" si="51"/>
        <v/>
      </c>
      <c r="EC30" s="37"/>
      <c r="ED30" s="33"/>
      <c r="EE30" s="34"/>
      <c r="EF30" s="35" t="str">
        <f t="shared" si="52"/>
        <v/>
      </c>
      <c r="EG30" s="36" t="str">
        <f t="shared" si="53"/>
        <v/>
      </c>
      <c r="EH30" s="37"/>
      <c r="EI30" s="33"/>
      <c r="EJ30" s="34"/>
      <c r="EK30" s="35" t="str">
        <f t="shared" si="54"/>
        <v/>
      </c>
      <c r="EL30" s="36" t="str">
        <f t="shared" si="55"/>
        <v/>
      </c>
      <c r="EM30" s="37"/>
      <c r="EN30" s="33"/>
      <c r="EO30" s="34"/>
      <c r="EP30" s="35" t="str">
        <f t="shared" si="56"/>
        <v/>
      </c>
      <c r="EQ30" s="36" t="str">
        <f t="shared" si="57"/>
        <v/>
      </c>
      <c r="ER30" s="37"/>
      <c r="ES30" s="33"/>
      <c r="ET30" s="34"/>
      <c r="EU30" s="35" t="str">
        <f t="shared" si="58"/>
        <v/>
      </c>
      <c r="EV30" s="36" t="str">
        <f t="shared" si="59"/>
        <v/>
      </c>
      <c r="EW30" s="37"/>
    </row>
    <row r="31" spans="1:153" ht="19.5" customHeight="1">
      <c r="A31" s="32">
        <f>IF(DAY(DATE(対象年度,6,28))&lt;&gt;28,"",28)</f>
        <v>28</v>
      </c>
      <c r="B31" s="32" t="str">
        <f>IF(DAY(DATE(対象年度,6,28))&lt;&gt;28,"",CHOOSE(WEEKDAY(DATE(対象年度,6,28),2),"月","火","水","木","金","土","日"))</f>
        <v>日</v>
      </c>
      <c r="C31" s="32" t="str">
        <f>IF(DAY(DATE(対象年度,6,28))&lt;&gt;28,"",IF(ISNUMBER(MATCH(DATE(対象年度,6,28),祝日リスト,0)),"祝",""))</f>
        <v/>
      </c>
      <c r="D31" s="33"/>
      <c r="E31" s="34"/>
      <c r="F31" s="35" t="str">
        <f t="shared" si="0"/>
        <v/>
      </c>
      <c r="G31" s="36" t="str">
        <f t="shared" si="1"/>
        <v/>
      </c>
      <c r="H31" s="37"/>
      <c r="I31" s="33"/>
      <c r="J31" s="34"/>
      <c r="K31" s="35" t="str">
        <f t="shared" si="2"/>
        <v/>
      </c>
      <c r="L31" s="36" t="str">
        <f t="shared" si="3"/>
        <v/>
      </c>
      <c r="M31" s="37"/>
      <c r="N31" s="33"/>
      <c r="O31" s="34"/>
      <c r="P31" s="35" t="str">
        <f t="shared" si="4"/>
        <v/>
      </c>
      <c r="Q31" s="36" t="str">
        <f t="shared" si="5"/>
        <v/>
      </c>
      <c r="R31" s="37"/>
      <c r="S31" s="33"/>
      <c r="T31" s="34"/>
      <c r="U31" s="35" t="str">
        <f t="shared" si="6"/>
        <v/>
      </c>
      <c r="V31" s="36" t="str">
        <f t="shared" si="7"/>
        <v/>
      </c>
      <c r="W31" s="37"/>
      <c r="X31" s="33"/>
      <c r="Y31" s="34"/>
      <c r="Z31" s="35" t="str">
        <f t="shared" si="8"/>
        <v/>
      </c>
      <c r="AA31" s="36" t="str">
        <f t="shared" si="9"/>
        <v/>
      </c>
      <c r="AB31" s="37"/>
      <c r="AC31" s="33"/>
      <c r="AD31" s="34"/>
      <c r="AE31" s="35" t="str">
        <f t="shared" si="10"/>
        <v/>
      </c>
      <c r="AF31" s="36" t="str">
        <f t="shared" si="11"/>
        <v/>
      </c>
      <c r="AG31" s="37"/>
      <c r="AH31" s="33"/>
      <c r="AI31" s="34"/>
      <c r="AJ31" s="35" t="str">
        <f t="shared" si="12"/>
        <v/>
      </c>
      <c r="AK31" s="36" t="str">
        <f t="shared" si="13"/>
        <v/>
      </c>
      <c r="AL31" s="37"/>
      <c r="AM31" s="33"/>
      <c r="AN31" s="34"/>
      <c r="AO31" s="35" t="str">
        <f t="shared" si="14"/>
        <v/>
      </c>
      <c r="AP31" s="36" t="str">
        <f t="shared" si="15"/>
        <v/>
      </c>
      <c r="AQ31" s="37"/>
      <c r="AR31" s="33"/>
      <c r="AS31" s="34"/>
      <c r="AT31" s="35" t="str">
        <f t="shared" si="16"/>
        <v/>
      </c>
      <c r="AU31" s="36" t="str">
        <f t="shared" si="17"/>
        <v/>
      </c>
      <c r="AV31" s="37"/>
      <c r="AW31" s="33"/>
      <c r="AX31" s="34"/>
      <c r="AY31" s="35" t="str">
        <f t="shared" si="18"/>
        <v/>
      </c>
      <c r="AZ31" s="36" t="str">
        <f t="shared" si="19"/>
        <v/>
      </c>
      <c r="BA31" s="37"/>
      <c r="BB31" s="33"/>
      <c r="BC31" s="34"/>
      <c r="BD31" s="35" t="str">
        <f t="shared" si="20"/>
        <v/>
      </c>
      <c r="BE31" s="36" t="str">
        <f t="shared" si="21"/>
        <v/>
      </c>
      <c r="BF31" s="37"/>
      <c r="BG31" s="33"/>
      <c r="BH31" s="34"/>
      <c r="BI31" s="35" t="str">
        <f t="shared" si="22"/>
        <v/>
      </c>
      <c r="BJ31" s="36" t="str">
        <f t="shared" si="23"/>
        <v/>
      </c>
      <c r="BK31" s="37"/>
      <c r="BL31" s="33"/>
      <c r="BM31" s="34"/>
      <c r="BN31" s="35" t="str">
        <f t="shared" si="24"/>
        <v/>
      </c>
      <c r="BO31" s="36" t="str">
        <f t="shared" si="25"/>
        <v/>
      </c>
      <c r="BP31" s="37"/>
      <c r="BQ31" s="33"/>
      <c r="BR31" s="34"/>
      <c r="BS31" s="35" t="str">
        <f t="shared" si="26"/>
        <v/>
      </c>
      <c r="BT31" s="36" t="str">
        <f t="shared" si="27"/>
        <v/>
      </c>
      <c r="BU31" s="37"/>
      <c r="BV31" s="33"/>
      <c r="BW31" s="34"/>
      <c r="BX31" s="35" t="str">
        <f t="shared" si="28"/>
        <v/>
      </c>
      <c r="BY31" s="36" t="str">
        <f t="shared" si="29"/>
        <v/>
      </c>
      <c r="BZ31" s="37"/>
      <c r="CA31" s="33"/>
      <c r="CB31" s="34"/>
      <c r="CC31" s="35" t="str">
        <f t="shared" si="30"/>
        <v/>
      </c>
      <c r="CD31" s="36" t="str">
        <f t="shared" si="31"/>
        <v/>
      </c>
      <c r="CE31" s="37"/>
      <c r="CF31" s="33"/>
      <c r="CG31" s="34"/>
      <c r="CH31" s="35" t="str">
        <f t="shared" si="32"/>
        <v/>
      </c>
      <c r="CI31" s="36" t="str">
        <f t="shared" si="33"/>
        <v/>
      </c>
      <c r="CJ31" s="37"/>
      <c r="CK31" s="33"/>
      <c r="CL31" s="34"/>
      <c r="CM31" s="35" t="str">
        <f t="shared" si="34"/>
        <v/>
      </c>
      <c r="CN31" s="36" t="str">
        <f t="shared" si="35"/>
        <v/>
      </c>
      <c r="CO31" s="37"/>
      <c r="CP31" s="33"/>
      <c r="CQ31" s="34"/>
      <c r="CR31" s="35" t="str">
        <f t="shared" si="36"/>
        <v/>
      </c>
      <c r="CS31" s="36" t="str">
        <f t="shared" si="37"/>
        <v/>
      </c>
      <c r="CT31" s="37"/>
      <c r="CU31" s="33"/>
      <c r="CV31" s="34"/>
      <c r="CW31" s="35" t="str">
        <f t="shared" si="38"/>
        <v/>
      </c>
      <c r="CX31" s="36" t="str">
        <f t="shared" si="39"/>
        <v/>
      </c>
      <c r="CY31" s="37"/>
      <c r="CZ31" s="33"/>
      <c r="DA31" s="34"/>
      <c r="DB31" s="35" t="str">
        <f t="shared" si="40"/>
        <v/>
      </c>
      <c r="DC31" s="36" t="str">
        <f t="shared" si="41"/>
        <v/>
      </c>
      <c r="DD31" s="37"/>
      <c r="DE31" s="33"/>
      <c r="DF31" s="34"/>
      <c r="DG31" s="35" t="str">
        <f t="shared" si="42"/>
        <v/>
      </c>
      <c r="DH31" s="36" t="str">
        <f t="shared" si="43"/>
        <v/>
      </c>
      <c r="DI31" s="37"/>
      <c r="DJ31" s="33"/>
      <c r="DK31" s="34"/>
      <c r="DL31" s="35" t="str">
        <f t="shared" si="44"/>
        <v/>
      </c>
      <c r="DM31" s="36" t="str">
        <f t="shared" si="45"/>
        <v/>
      </c>
      <c r="DN31" s="37"/>
      <c r="DO31" s="33"/>
      <c r="DP31" s="34"/>
      <c r="DQ31" s="35" t="str">
        <f t="shared" si="46"/>
        <v/>
      </c>
      <c r="DR31" s="36" t="str">
        <f t="shared" si="47"/>
        <v/>
      </c>
      <c r="DS31" s="37"/>
      <c r="DT31" s="33"/>
      <c r="DU31" s="34"/>
      <c r="DV31" s="35" t="str">
        <f t="shared" si="48"/>
        <v/>
      </c>
      <c r="DW31" s="36" t="str">
        <f t="shared" si="49"/>
        <v/>
      </c>
      <c r="DX31" s="37"/>
      <c r="DY31" s="33"/>
      <c r="DZ31" s="34"/>
      <c r="EA31" s="35" t="str">
        <f t="shared" si="50"/>
        <v/>
      </c>
      <c r="EB31" s="36" t="str">
        <f t="shared" si="51"/>
        <v/>
      </c>
      <c r="EC31" s="37"/>
      <c r="ED31" s="33"/>
      <c r="EE31" s="34"/>
      <c r="EF31" s="35" t="str">
        <f t="shared" si="52"/>
        <v/>
      </c>
      <c r="EG31" s="36" t="str">
        <f t="shared" si="53"/>
        <v/>
      </c>
      <c r="EH31" s="37"/>
      <c r="EI31" s="33"/>
      <c r="EJ31" s="34"/>
      <c r="EK31" s="35" t="str">
        <f t="shared" si="54"/>
        <v/>
      </c>
      <c r="EL31" s="36" t="str">
        <f t="shared" si="55"/>
        <v/>
      </c>
      <c r="EM31" s="37"/>
      <c r="EN31" s="33"/>
      <c r="EO31" s="34"/>
      <c r="EP31" s="35" t="str">
        <f t="shared" si="56"/>
        <v/>
      </c>
      <c r="EQ31" s="36" t="str">
        <f t="shared" si="57"/>
        <v/>
      </c>
      <c r="ER31" s="37"/>
      <c r="ES31" s="33"/>
      <c r="ET31" s="34"/>
      <c r="EU31" s="35" t="str">
        <f t="shared" si="58"/>
        <v/>
      </c>
      <c r="EV31" s="36" t="str">
        <f t="shared" si="59"/>
        <v/>
      </c>
      <c r="EW31" s="37"/>
    </row>
    <row r="32" spans="1:153" ht="19.5" customHeight="1">
      <c r="A32" s="32">
        <f>IF(DAY(DATE(対象年度,6,29))&lt;&gt;29,"",29)</f>
        <v>29</v>
      </c>
      <c r="B32" s="32" t="str">
        <f>IF(DAY(DATE(対象年度,6,29))&lt;&gt;29,"",CHOOSE(WEEKDAY(DATE(対象年度,6,29),2),"月","火","水","木","金","土","日"))</f>
        <v>月</v>
      </c>
      <c r="C32" s="32" t="str">
        <f>IF(DAY(DATE(対象年度,6,29))&lt;&gt;29,"",IF(ISNUMBER(MATCH(DATE(対象年度,6,29),祝日リスト,0)),"祝",""))</f>
        <v/>
      </c>
      <c r="D32" s="33"/>
      <c r="E32" s="34"/>
      <c r="F32" s="35" t="str">
        <f t="shared" si="0"/>
        <v/>
      </c>
      <c r="G32" s="36" t="str">
        <f t="shared" si="1"/>
        <v/>
      </c>
      <c r="H32" s="37"/>
      <c r="I32" s="33"/>
      <c r="J32" s="34"/>
      <c r="K32" s="35" t="str">
        <f t="shared" si="2"/>
        <v/>
      </c>
      <c r="L32" s="36" t="str">
        <f t="shared" si="3"/>
        <v/>
      </c>
      <c r="M32" s="37"/>
      <c r="N32" s="33"/>
      <c r="O32" s="34"/>
      <c r="P32" s="35" t="str">
        <f t="shared" si="4"/>
        <v/>
      </c>
      <c r="Q32" s="36" t="str">
        <f t="shared" si="5"/>
        <v/>
      </c>
      <c r="R32" s="37"/>
      <c r="S32" s="33"/>
      <c r="T32" s="34"/>
      <c r="U32" s="35" t="str">
        <f t="shared" si="6"/>
        <v/>
      </c>
      <c r="V32" s="36" t="str">
        <f t="shared" si="7"/>
        <v/>
      </c>
      <c r="W32" s="37"/>
      <c r="X32" s="33"/>
      <c r="Y32" s="34"/>
      <c r="Z32" s="35" t="str">
        <f t="shared" si="8"/>
        <v/>
      </c>
      <c r="AA32" s="36" t="str">
        <f t="shared" si="9"/>
        <v/>
      </c>
      <c r="AB32" s="37"/>
      <c r="AC32" s="33"/>
      <c r="AD32" s="34"/>
      <c r="AE32" s="35" t="str">
        <f t="shared" si="10"/>
        <v/>
      </c>
      <c r="AF32" s="36" t="str">
        <f t="shared" si="11"/>
        <v/>
      </c>
      <c r="AG32" s="37"/>
      <c r="AH32" s="33"/>
      <c r="AI32" s="34"/>
      <c r="AJ32" s="35" t="str">
        <f t="shared" si="12"/>
        <v/>
      </c>
      <c r="AK32" s="36" t="str">
        <f t="shared" si="13"/>
        <v/>
      </c>
      <c r="AL32" s="37"/>
      <c r="AM32" s="33"/>
      <c r="AN32" s="34"/>
      <c r="AO32" s="35" t="str">
        <f t="shared" si="14"/>
        <v/>
      </c>
      <c r="AP32" s="36" t="str">
        <f t="shared" si="15"/>
        <v/>
      </c>
      <c r="AQ32" s="37"/>
      <c r="AR32" s="33"/>
      <c r="AS32" s="34"/>
      <c r="AT32" s="35" t="str">
        <f t="shared" si="16"/>
        <v/>
      </c>
      <c r="AU32" s="36" t="str">
        <f t="shared" si="17"/>
        <v/>
      </c>
      <c r="AV32" s="37"/>
      <c r="AW32" s="33"/>
      <c r="AX32" s="34"/>
      <c r="AY32" s="35" t="str">
        <f t="shared" si="18"/>
        <v/>
      </c>
      <c r="AZ32" s="36" t="str">
        <f t="shared" si="19"/>
        <v/>
      </c>
      <c r="BA32" s="37"/>
      <c r="BB32" s="33"/>
      <c r="BC32" s="34"/>
      <c r="BD32" s="35" t="str">
        <f t="shared" si="20"/>
        <v/>
      </c>
      <c r="BE32" s="36" t="str">
        <f t="shared" si="21"/>
        <v/>
      </c>
      <c r="BF32" s="37"/>
      <c r="BG32" s="33"/>
      <c r="BH32" s="34"/>
      <c r="BI32" s="35" t="str">
        <f t="shared" si="22"/>
        <v/>
      </c>
      <c r="BJ32" s="36" t="str">
        <f t="shared" si="23"/>
        <v/>
      </c>
      <c r="BK32" s="37"/>
      <c r="BL32" s="33"/>
      <c r="BM32" s="34"/>
      <c r="BN32" s="35" t="str">
        <f t="shared" si="24"/>
        <v/>
      </c>
      <c r="BO32" s="36" t="str">
        <f t="shared" si="25"/>
        <v/>
      </c>
      <c r="BP32" s="37"/>
      <c r="BQ32" s="33"/>
      <c r="BR32" s="34"/>
      <c r="BS32" s="35" t="str">
        <f t="shared" si="26"/>
        <v/>
      </c>
      <c r="BT32" s="36" t="str">
        <f t="shared" si="27"/>
        <v/>
      </c>
      <c r="BU32" s="37"/>
      <c r="BV32" s="33"/>
      <c r="BW32" s="34"/>
      <c r="BX32" s="35" t="str">
        <f t="shared" si="28"/>
        <v/>
      </c>
      <c r="BY32" s="36" t="str">
        <f t="shared" si="29"/>
        <v/>
      </c>
      <c r="BZ32" s="37"/>
      <c r="CA32" s="33"/>
      <c r="CB32" s="34"/>
      <c r="CC32" s="35" t="str">
        <f t="shared" si="30"/>
        <v/>
      </c>
      <c r="CD32" s="36" t="str">
        <f t="shared" si="31"/>
        <v/>
      </c>
      <c r="CE32" s="37"/>
      <c r="CF32" s="33"/>
      <c r="CG32" s="34"/>
      <c r="CH32" s="35" t="str">
        <f t="shared" si="32"/>
        <v/>
      </c>
      <c r="CI32" s="36" t="str">
        <f t="shared" si="33"/>
        <v/>
      </c>
      <c r="CJ32" s="37"/>
      <c r="CK32" s="33"/>
      <c r="CL32" s="34"/>
      <c r="CM32" s="35" t="str">
        <f t="shared" si="34"/>
        <v/>
      </c>
      <c r="CN32" s="36" t="str">
        <f t="shared" si="35"/>
        <v/>
      </c>
      <c r="CO32" s="37"/>
      <c r="CP32" s="33"/>
      <c r="CQ32" s="34"/>
      <c r="CR32" s="35" t="str">
        <f t="shared" si="36"/>
        <v/>
      </c>
      <c r="CS32" s="36" t="str">
        <f t="shared" si="37"/>
        <v/>
      </c>
      <c r="CT32" s="37"/>
      <c r="CU32" s="33"/>
      <c r="CV32" s="34"/>
      <c r="CW32" s="35" t="str">
        <f t="shared" si="38"/>
        <v/>
      </c>
      <c r="CX32" s="36" t="str">
        <f t="shared" si="39"/>
        <v/>
      </c>
      <c r="CY32" s="37"/>
      <c r="CZ32" s="33"/>
      <c r="DA32" s="34"/>
      <c r="DB32" s="35" t="str">
        <f t="shared" si="40"/>
        <v/>
      </c>
      <c r="DC32" s="36" t="str">
        <f t="shared" si="41"/>
        <v/>
      </c>
      <c r="DD32" s="37"/>
      <c r="DE32" s="33"/>
      <c r="DF32" s="34"/>
      <c r="DG32" s="35" t="str">
        <f t="shared" si="42"/>
        <v/>
      </c>
      <c r="DH32" s="36" t="str">
        <f t="shared" si="43"/>
        <v/>
      </c>
      <c r="DI32" s="37"/>
      <c r="DJ32" s="33"/>
      <c r="DK32" s="34"/>
      <c r="DL32" s="35" t="str">
        <f t="shared" si="44"/>
        <v/>
      </c>
      <c r="DM32" s="36" t="str">
        <f t="shared" si="45"/>
        <v/>
      </c>
      <c r="DN32" s="37"/>
      <c r="DO32" s="33"/>
      <c r="DP32" s="34"/>
      <c r="DQ32" s="35" t="str">
        <f t="shared" si="46"/>
        <v/>
      </c>
      <c r="DR32" s="36" t="str">
        <f t="shared" si="47"/>
        <v/>
      </c>
      <c r="DS32" s="37"/>
      <c r="DT32" s="33"/>
      <c r="DU32" s="34"/>
      <c r="DV32" s="35" t="str">
        <f t="shared" si="48"/>
        <v/>
      </c>
      <c r="DW32" s="36" t="str">
        <f t="shared" si="49"/>
        <v/>
      </c>
      <c r="DX32" s="37"/>
      <c r="DY32" s="33"/>
      <c r="DZ32" s="34"/>
      <c r="EA32" s="35" t="str">
        <f t="shared" si="50"/>
        <v/>
      </c>
      <c r="EB32" s="36" t="str">
        <f t="shared" si="51"/>
        <v/>
      </c>
      <c r="EC32" s="37"/>
      <c r="ED32" s="33"/>
      <c r="EE32" s="34"/>
      <c r="EF32" s="35" t="str">
        <f t="shared" si="52"/>
        <v/>
      </c>
      <c r="EG32" s="36" t="str">
        <f t="shared" si="53"/>
        <v/>
      </c>
      <c r="EH32" s="37"/>
      <c r="EI32" s="33"/>
      <c r="EJ32" s="34"/>
      <c r="EK32" s="35" t="str">
        <f t="shared" si="54"/>
        <v/>
      </c>
      <c r="EL32" s="36" t="str">
        <f t="shared" si="55"/>
        <v/>
      </c>
      <c r="EM32" s="37"/>
      <c r="EN32" s="33"/>
      <c r="EO32" s="34"/>
      <c r="EP32" s="35" t="str">
        <f t="shared" si="56"/>
        <v/>
      </c>
      <c r="EQ32" s="36" t="str">
        <f t="shared" si="57"/>
        <v/>
      </c>
      <c r="ER32" s="37"/>
      <c r="ES32" s="33"/>
      <c r="ET32" s="34"/>
      <c r="EU32" s="35" t="str">
        <f t="shared" si="58"/>
        <v/>
      </c>
      <c r="EV32" s="36" t="str">
        <f t="shared" si="59"/>
        <v/>
      </c>
      <c r="EW32" s="37"/>
    </row>
    <row r="33" spans="1:153" ht="19.5" customHeight="1">
      <c r="A33" s="32">
        <f>IF(DAY(DATE(対象年度,6,30))&lt;&gt;30,"",30)</f>
        <v>30</v>
      </c>
      <c r="B33" s="32" t="str">
        <f>IF(DAY(DATE(対象年度,6,30))&lt;&gt;30,"",CHOOSE(WEEKDAY(DATE(対象年度,6,30),2),"月","火","水","木","金","土","日"))</f>
        <v>火</v>
      </c>
      <c r="C33" s="32" t="str">
        <f>IF(DAY(DATE(対象年度,6,30))&lt;&gt;30,"",IF(ISNUMBER(MATCH(DATE(対象年度,6,30),祝日リスト,0)),"祝",""))</f>
        <v/>
      </c>
      <c r="D33" s="33"/>
      <c r="E33" s="34"/>
      <c r="F33" s="35" t="str">
        <f t="shared" si="0"/>
        <v/>
      </c>
      <c r="G33" s="36" t="str">
        <f t="shared" si="1"/>
        <v/>
      </c>
      <c r="H33" s="37"/>
      <c r="I33" s="33"/>
      <c r="J33" s="34"/>
      <c r="K33" s="35" t="str">
        <f t="shared" si="2"/>
        <v/>
      </c>
      <c r="L33" s="36" t="str">
        <f t="shared" si="3"/>
        <v/>
      </c>
      <c r="M33" s="37"/>
      <c r="N33" s="33"/>
      <c r="O33" s="34"/>
      <c r="P33" s="35" t="str">
        <f t="shared" si="4"/>
        <v/>
      </c>
      <c r="Q33" s="36" t="str">
        <f t="shared" si="5"/>
        <v/>
      </c>
      <c r="R33" s="37"/>
      <c r="S33" s="33"/>
      <c r="T33" s="34"/>
      <c r="U33" s="35" t="str">
        <f t="shared" si="6"/>
        <v/>
      </c>
      <c r="V33" s="36" t="str">
        <f t="shared" si="7"/>
        <v/>
      </c>
      <c r="W33" s="37"/>
      <c r="X33" s="33"/>
      <c r="Y33" s="34"/>
      <c r="Z33" s="35" t="str">
        <f t="shared" si="8"/>
        <v/>
      </c>
      <c r="AA33" s="36" t="str">
        <f t="shared" si="9"/>
        <v/>
      </c>
      <c r="AB33" s="37"/>
      <c r="AC33" s="33"/>
      <c r="AD33" s="34"/>
      <c r="AE33" s="35" t="str">
        <f t="shared" si="10"/>
        <v/>
      </c>
      <c r="AF33" s="36" t="str">
        <f t="shared" si="11"/>
        <v/>
      </c>
      <c r="AG33" s="37"/>
      <c r="AH33" s="33"/>
      <c r="AI33" s="34"/>
      <c r="AJ33" s="35" t="str">
        <f t="shared" si="12"/>
        <v/>
      </c>
      <c r="AK33" s="36" t="str">
        <f t="shared" si="13"/>
        <v/>
      </c>
      <c r="AL33" s="37"/>
      <c r="AM33" s="33"/>
      <c r="AN33" s="34"/>
      <c r="AO33" s="35" t="str">
        <f t="shared" si="14"/>
        <v/>
      </c>
      <c r="AP33" s="36" t="str">
        <f t="shared" si="15"/>
        <v/>
      </c>
      <c r="AQ33" s="37"/>
      <c r="AR33" s="33"/>
      <c r="AS33" s="34"/>
      <c r="AT33" s="35" t="str">
        <f t="shared" si="16"/>
        <v/>
      </c>
      <c r="AU33" s="36" t="str">
        <f t="shared" si="17"/>
        <v/>
      </c>
      <c r="AV33" s="37"/>
      <c r="AW33" s="33"/>
      <c r="AX33" s="34"/>
      <c r="AY33" s="35" t="str">
        <f t="shared" si="18"/>
        <v/>
      </c>
      <c r="AZ33" s="36" t="str">
        <f t="shared" si="19"/>
        <v/>
      </c>
      <c r="BA33" s="37"/>
      <c r="BB33" s="33"/>
      <c r="BC33" s="34"/>
      <c r="BD33" s="35" t="str">
        <f t="shared" si="20"/>
        <v/>
      </c>
      <c r="BE33" s="36" t="str">
        <f t="shared" si="21"/>
        <v/>
      </c>
      <c r="BF33" s="37"/>
      <c r="BG33" s="33"/>
      <c r="BH33" s="34"/>
      <c r="BI33" s="35" t="str">
        <f t="shared" si="22"/>
        <v/>
      </c>
      <c r="BJ33" s="36" t="str">
        <f t="shared" si="23"/>
        <v/>
      </c>
      <c r="BK33" s="37"/>
      <c r="BL33" s="33"/>
      <c r="BM33" s="34"/>
      <c r="BN33" s="35" t="str">
        <f t="shared" si="24"/>
        <v/>
      </c>
      <c r="BO33" s="36" t="str">
        <f t="shared" si="25"/>
        <v/>
      </c>
      <c r="BP33" s="37"/>
      <c r="BQ33" s="33"/>
      <c r="BR33" s="34"/>
      <c r="BS33" s="35" t="str">
        <f t="shared" si="26"/>
        <v/>
      </c>
      <c r="BT33" s="36" t="str">
        <f t="shared" si="27"/>
        <v/>
      </c>
      <c r="BU33" s="37"/>
      <c r="BV33" s="33"/>
      <c r="BW33" s="34"/>
      <c r="BX33" s="35" t="str">
        <f t="shared" si="28"/>
        <v/>
      </c>
      <c r="BY33" s="36" t="str">
        <f t="shared" si="29"/>
        <v/>
      </c>
      <c r="BZ33" s="37"/>
      <c r="CA33" s="33"/>
      <c r="CB33" s="34"/>
      <c r="CC33" s="35" t="str">
        <f t="shared" si="30"/>
        <v/>
      </c>
      <c r="CD33" s="36" t="str">
        <f t="shared" si="31"/>
        <v/>
      </c>
      <c r="CE33" s="37"/>
      <c r="CF33" s="33"/>
      <c r="CG33" s="34"/>
      <c r="CH33" s="35" t="str">
        <f t="shared" si="32"/>
        <v/>
      </c>
      <c r="CI33" s="36" t="str">
        <f t="shared" si="33"/>
        <v/>
      </c>
      <c r="CJ33" s="37"/>
      <c r="CK33" s="33"/>
      <c r="CL33" s="34"/>
      <c r="CM33" s="35" t="str">
        <f t="shared" si="34"/>
        <v/>
      </c>
      <c r="CN33" s="36" t="str">
        <f t="shared" si="35"/>
        <v/>
      </c>
      <c r="CO33" s="37"/>
      <c r="CP33" s="33"/>
      <c r="CQ33" s="34"/>
      <c r="CR33" s="35" t="str">
        <f t="shared" si="36"/>
        <v/>
      </c>
      <c r="CS33" s="36" t="str">
        <f t="shared" si="37"/>
        <v/>
      </c>
      <c r="CT33" s="37"/>
      <c r="CU33" s="33"/>
      <c r="CV33" s="34"/>
      <c r="CW33" s="35" t="str">
        <f t="shared" si="38"/>
        <v/>
      </c>
      <c r="CX33" s="36" t="str">
        <f t="shared" si="39"/>
        <v/>
      </c>
      <c r="CY33" s="37"/>
      <c r="CZ33" s="33"/>
      <c r="DA33" s="34"/>
      <c r="DB33" s="35" t="str">
        <f t="shared" si="40"/>
        <v/>
      </c>
      <c r="DC33" s="36" t="str">
        <f t="shared" si="41"/>
        <v/>
      </c>
      <c r="DD33" s="37"/>
      <c r="DE33" s="33"/>
      <c r="DF33" s="34"/>
      <c r="DG33" s="35" t="str">
        <f t="shared" si="42"/>
        <v/>
      </c>
      <c r="DH33" s="36" t="str">
        <f t="shared" si="43"/>
        <v/>
      </c>
      <c r="DI33" s="37"/>
      <c r="DJ33" s="33"/>
      <c r="DK33" s="34"/>
      <c r="DL33" s="35" t="str">
        <f t="shared" si="44"/>
        <v/>
      </c>
      <c r="DM33" s="36" t="str">
        <f t="shared" si="45"/>
        <v/>
      </c>
      <c r="DN33" s="37"/>
      <c r="DO33" s="33"/>
      <c r="DP33" s="34"/>
      <c r="DQ33" s="35" t="str">
        <f t="shared" si="46"/>
        <v/>
      </c>
      <c r="DR33" s="36" t="str">
        <f t="shared" si="47"/>
        <v/>
      </c>
      <c r="DS33" s="37"/>
      <c r="DT33" s="33"/>
      <c r="DU33" s="34"/>
      <c r="DV33" s="35" t="str">
        <f t="shared" si="48"/>
        <v/>
      </c>
      <c r="DW33" s="36" t="str">
        <f t="shared" si="49"/>
        <v/>
      </c>
      <c r="DX33" s="37"/>
      <c r="DY33" s="33"/>
      <c r="DZ33" s="34"/>
      <c r="EA33" s="35" t="str">
        <f t="shared" si="50"/>
        <v/>
      </c>
      <c r="EB33" s="36" t="str">
        <f t="shared" si="51"/>
        <v/>
      </c>
      <c r="EC33" s="37"/>
      <c r="ED33" s="33"/>
      <c r="EE33" s="34"/>
      <c r="EF33" s="35" t="str">
        <f t="shared" si="52"/>
        <v/>
      </c>
      <c r="EG33" s="36" t="str">
        <f t="shared" si="53"/>
        <v/>
      </c>
      <c r="EH33" s="37"/>
      <c r="EI33" s="33"/>
      <c r="EJ33" s="34"/>
      <c r="EK33" s="35" t="str">
        <f t="shared" si="54"/>
        <v/>
      </c>
      <c r="EL33" s="36" t="str">
        <f t="shared" si="55"/>
        <v/>
      </c>
      <c r="EM33" s="37"/>
      <c r="EN33" s="33"/>
      <c r="EO33" s="34"/>
      <c r="EP33" s="35" t="str">
        <f t="shared" si="56"/>
        <v/>
      </c>
      <c r="EQ33" s="36" t="str">
        <f t="shared" si="57"/>
        <v/>
      </c>
      <c r="ER33" s="37"/>
      <c r="ES33" s="33"/>
      <c r="ET33" s="34"/>
      <c r="EU33" s="35" t="str">
        <f t="shared" si="58"/>
        <v/>
      </c>
      <c r="EV33" s="36" t="str">
        <f t="shared" si="59"/>
        <v/>
      </c>
      <c r="EW33" s="37"/>
    </row>
    <row r="34" spans="1:153" ht="19.5" customHeight="1">
      <c r="A34" s="39" t="str">
        <f>IF(DAY(DATE(対象年度,6,31))&lt;&gt;31,"",31)</f>
        <v/>
      </c>
      <c r="B34" s="39" t="str">
        <f>IF(DAY(DATE(対象年度,6,31))&lt;&gt;31,"",CHOOSE(WEEKDAY(DATE(対象年度,6,31),2),"月","火","水","木","金","土","日"))</f>
        <v/>
      </c>
      <c r="C34" s="39" t="str">
        <f>IF(DAY(DATE(対象年度,6,31))&lt;&gt;31,"",IF(ISNUMBER(MATCH(DATE(対象年度,6,31),祝日リスト,0)),"祝",""))</f>
        <v/>
      </c>
      <c r="D34" s="40"/>
      <c r="E34" s="41"/>
      <c r="F34" s="42" t="str">
        <f t="shared" si="0"/>
        <v/>
      </c>
      <c r="G34" s="43" t="str">
        <f t="shared" si="1"/>
        <v/>
      </c>
      <c r="H34" s="44"/>
      <c r="I34" s="40"/>
      <c r="J34" s="41"/>
      <c r="K34" s="42" t="str">
        <f t="shared" si="2"/>
        <v/>
      </c>
      <c r="L34" s="43" t="str">
        <f t="shared" si="3"/>
        <v/>
      </c>
      <c r="M34" s="44"/>
      <c r="N34" s="40"/>
      <c r="O34" s="41"/>
      <c r="P34" s="42" t="str">
        <f t="shared" si="4"/>
        <v/>
      </c>
      <c r="Q34" s="43" t="str">
        <f t="shared" si="5"/>
        <v/>
      </c>
      <c r="R34" s="44"/>
      <c r="S34" s="40"/>
      <c r="T34" s="41"/>
      <c r="U34" s="42" t="str">
        <f t="shared" si="6"/>
        <v/>
      </c>
      <c r="V34" s="43" t="str">
        <f t="shared" si="7"/>
        <v/>
      </c>
      <c r="W34" s="44"/>
      <c r="X34" s="40"/>
      <c r="Y34" s="41"/>
      <c r="Z34" s="42" t="str">
        <f t="shared" si="8"/>
        <v/>
      </c>
      <c r="AA34" s="43" t="str">
        <f t="shared" si="9"/>
        <v/>
      </c>
      <c r="AB34" s="44"/>
      <c r="AC34" s="40"/>
      <c r="AD34" s="41"/>
      <c r="AE34" s="42" t="str">
        <f t="shared" si="10"/>
        <v/>
      </c>
      <c r="AF34" s="43" t="str">
        <f t="shared" si="11"/>
        <v/>
      </c>
      <c r="AG34" s="44"/>
      <c r="AH34" s="40"/>
      <c r="AI34" s="41"/>
      <c r="AJ34" s="42" t="str">
        <f t="shared" si="12"/>
        <v/>
      </c>
      <c r="AK34" s="43" t="str">
        <f t="shared" si="13"/>
        <v/>
      </c>
      <c r="AL34" s="44"/>
      <c r="AM34" s="40"/>
      <c r="AN34" s="41"/>
      <c r="AO34" s="42" t="str">
        <f t="shared" si="14"/>
        <v/>
      </c>
      <c r="AP34" s="43" t="str">
        <f t="shared" si="15"/>
        <v/>
      </c>
      <c r="AQ34" s="44"/>
      <c r="AR34" s="40"/>
      <c r="AS34" s="41"/>
      <c r="AT34" s="42" t="str">
        <f t="shared" si="16"/>
        <v/>
      </c>
      <c r="AU34" s="43" t="str">
        <f t="shared" si="17"/>
        <v/>
      </c>
      <c r="AV34" s="44"/>
      <c r="AW34" s="40"/>
      <c r="AX34" s="41"/>
      <c r="AY34" s="42" t="str">
        <f t="shared" si="18"/>
        <v/>
      </c>
      <c r="AZ34" s="43" t="str">
        <f t="shared" si="19"/>
        <v/>
      </c>
      <c r="BA34" s="44"/>
      <c r="BB34" s="40"/>
      <c r="BC34" s="41"/>
      <c r="BD34" s="42" t="str">
        <f t="shared" si="20"/>
        <v/>
      </c>
      <c r="BE34" s="43" t="str">
        <f t="shared" si="21"/>
        <v/>
      </c>
      <c r="BF34" s="44"/>
      <c r="BG34" s="40"/>
      <c r="BH34" s="41"/>
      <c r="BI34" s="42" t="str">
        <f t="shared" si="22"/>
        <v/>
      </c>
      <c r="BJ34" s="43" t="str">
        <f t="shared" si="23"/>
        <v/>
      </c>
      <c r="BK34" s="44"/>
      <c r="BL34" s="40"/>
      <c r="BM34" s="41"/>
      <c r="BN34" s="42" t="str">
        <f t="shared" si="24"/>
        <v/>
      </c>
      <c r="BO34" s="43" t="str">
        <f t="shared" si="25"/>
        <v/>
      </c>
      <c r="BP34" s="44"/>
      <c r="BQ34" s="40"/>
      <c r="BR34" s="41"/>
      <c r="BS34" s="42" t="str">
        <f t="shared" si="26"/>
        <v/>
      </c>
      <c r="BT34" s="43" t="str">
        <f t="shared" si="27"/>
        <v/>
      </c>
      <c r="BU34" s="44"/>
      <c r="BV34" s="40"/>
      <c r="BW34" s="41"/>
      <c r="BX34" s="42" t="str">
        <f t="shared" si="28"/>
        <v/>
      </c>
      <c r="BY34" s="43" t="str">
        <f t="shared" si="29"/>
        <v/>
      </c>
      <c r="BZ34" s="44"/>
      <c r="CA34" s="40"/>
      <c r="CB34" s="41"/>
      <c r="CC34" s="42" t="str">
        <f t="shared" si="30"/>
        <v/>
      </c>
      <c r="CD34" s="43" t="str">
        <f t="shared" si="31"/>
        <v/>
      </c>
      <c r="CE34" s="44"/>
      <c r="CF34" s="40"/>
      <c r="CG34" s="41"/>
      <c r="CH34" s="42" t="str">
        <f t="shared" si="32"/>
        <v/>
      </c>
      <c r="CI34" s="43" t="str">
        <f t="shared" si="33"/>
        <v/>
      </c>
      <c r="CJ34" s="44"/>
      <c r="CK34" s="40"/>
      <c r="CL34" s="41"/>
      <c r="CM34" s="42" t="str">
        <f t="shared" si="34"/>
        <v/>
      </c>
      <c r="CN34" s="43" t="str">
        <f t="shared" si="35"/>
        <v/>
      </c>
      <c r="CO34" s="44"/>
      <c r="CP34" s="40"/>
      <c r="CQ34" s="41"/>
      <c r="CR34" s="42" t="str">
        <f t="shared" si="36"/>
        <v/>
      </c>
      <c r="CS34" s="43" t="str">
        <f t="shared" si="37"/>
        <v/>
      </c>
      <c r="CT34" s="44"/>
      <c r="CU34" s="40"/>
      <c r="CV34" s="41"/>
      <c r="CW34" s="42" t="str">
        <f t="shared" si="38"/>
        <v/>
      </c>
      <c r="CX34" s="43" t="str">
        <f t="shared" si="39"/>
        <v/>
      </c>
      <c r="CY34" s="44"/>
      <c r="CZ34" s="40"/>
      <c r="DA34" s="41"/>
      <c r="DB34" s="42" t="str">
        <f t="shared" si="40"/>
        <v/>
      </c>
      <c r="DC34" s="43" t="str">
        <f t="shared" si="41"/>
        <v/>
      </c>
      <c r="DD34" s="44"/>
      <c r="DE34" s="40"/>
      <c r="DF34" s="41"/>
      <c r="DG34" s="42" t="str">
        <f t="shared" si="42"/>
        <v/>
      </c>
      <c r="DH34" s="43" t="str">
        <f t="shared" si="43"/>
        <v/>
      </c>
      <c r="DI34" s="44"/>
      <c r="DJ34" s="40"/>
      <c r="DK34" s="41"/>
      <c r="DL34" s="42" t="str">
        <f t="shared" si="44"/>
        <v/>
      </c>
      <c r="DM34" s="43" t="str">
        <f t="shared" si="45"/>
        <v/>
      </c>
      <c r="DN34" s="44"/>
      <c r="DO34" s="40"/>
      <c r="DP34" s="41"/>
      <c r="DQ34" s="42" t="str">
        <f t="shared" si="46"/>
        <v/>
      </c>
      <c r="DR34" s="43" t="str">
        <f t="shared" si="47"/>
        <v/>
      </c>
      <c r="DS34" s="44"/>
      <c r="DT34" s="40"/>
      <c r="DU34" s="41"/>
      <c r="DV34" s="42" t="str">
        <f t="shared" si="48"/>
        <v/>
      </c>
      <c r="DW34" s="43" t="str">
        <f t="shared" si="49"/>
        <v/>
      </c>
      <c r="DX34" s="44"/>
      <c r="DY34" s="40"/>
      <c r="DZ34" s="41"/>
      <c r="EA34" s="42" t="str">
        <f t="shared" si="50"/>
        <v/>
      </c>
      <c r="EB34" s="43" t="str">
        <f t="shared" si="51"/>
        <v/>
      </c>
      <c r="EC34" s="44"/>
      <c r="ED34" s="40"/>
      <c r="EE34" s="41"/>
      <c r="EF34" s="42" t="str">
        <f t="shared" si="52"/>
        <v/>
      </c>
      <c r="EG34" s="43" t="str">
        <f t="shared" si="53"/>
        <v/>
      </c>
      <c r="EH34" s="44"/>
      <c r="EI34" s="40"/>
      <c r="EJ34" s="41"/>
      <c r="EK34" s="42" t="str">
        <f t="shared" si="54"/>
        <v/>
      </c>
      <c r="EL34" s="43" t="str">
        <f t="shared" si="55"/>
        <v/>
      </c>
      <c r="EM34" s="44"/>
      <c r="EN34" s="40"/>
      <c r="EO34" s="41"/>
      <c r="EP34" s="42" t="str">
        <f t="shared" si="56"/>
        <v/>
      </c>
      <c r="EQ34" s="43" t="str">
        <f t="shared" si="57"/>
        <v/>
      </c>
      <c r="ER34" s="44"/>
      <c r="ES34" s="40"/>
      <c r="ET34" s="41"/>
      <c r="EU34" s="42" t="str">
        <f t="shared" si="58"/>
        <v/>
      </c>
      <c r="EV34" s="43" t="str">
        <f t="shared" si="59"/>
        <v/>
      </c>
      <c r="EW34" s="44"/>
    </row>
    <row r="35" spans="1:153" ht="21.75" customHeight="1">
      <c r="A35" s="93" t="s">
        <v>74</v>
      </c>
      <c r="B35" s="93"/>
      <c r="C35" s="93"/>
      <c r="D35" s="94">
        <f>COUNTIF(F4:F34,"○")</f>
        <v>0</v>
      </c>
      <c r="E35" s="94"/>
      <c r="F35" s="94"/>
      <c r="G35" s="94"/>
      <c r="H35" s="94"/>
      <c r="I35" s="94">
        <f>COUNTIF(K4:K34,"○")</f>
        <v>0</v>
      </c>
      <c r="J35" s="94"/>
      <c r="K35" s="94"/>
      <c r="L35" s="94"/>
      <c r="M35" s="94"/>
      <c r="N35" s="94">
        <f>COUNTIF(P4:P34,"○")</f>
        <v>0</v>
      </c>
      <c r="O35" s="94"/>
      <c r="P35" s="94"/>
      <c r="Q35" s="94"/>
      <c r="R35" s="94"/>
      <c r="S35" s="94">
        <f>COUNTIF(U4:U34,"○")</f>
        <v>0</v>
      </c>
      <c r="T35" s="94"/>
      <c r="U35" s="94"/>
      <c r="V35" s="94"/>
      <c r="W35" s="94"/>
      <c r="X35" s="94">
        <f>COUNTIF(Z4:Z34,"○")</f>
        <v>0</v>
      </c>
      <c r="Y35" s="94"/>
      <c r="Z35" s="94"/>
      <c r="AA35" s="94"/>
      <c r="AB35" s="94"/>
      <c r="AC35" s="94">
        <f>COUNTIF(AE4:AE34,"○")</f>
        <v>0</v>
      </c>
      <c r="AD35" s="94"/>
      <c r="AE35" s="94"/>
      <c r="AF35" s="94"/>
      <c r="AG35" s="94"/>
      <c r="AH35" s="94">
        <f>COUNTIF(AJ4:AJ34,"○")</f>
        <v>0</v>
      </c>
      <c r="AI35" s="94"/>
      <c r="AJ35" s="94"/>
      <c r="AK35" s="94"/>
      <c r="AL35" s="94"/>
      <c r="AM35" s="94">
        <f>COUNTIF(AO4:AO34,"○")</f>
        <v>0</v>
      </c>
      <c r="AN35" s="94"/>
      <c r="AO35" s="94"/>
      <c r="AP35" s="94"/>
      <c r="AQ35" s="94"/>
      <c r="AR35" s="94">
        <f>COUNTIF(AT4:AT34,"○")</f>
        <v>0</v>
      </c>
      <c r="AS35" s="94"/>
      <c r="AT35" s="94"/>
      <c r="AU35" s="94"/>
      <c r="AV35" s="94"/>
      <c r="AW35" s="94">
        <f>COUNTIF(AY4:AY34,"○")</f>
        <v>0</v>
      </c>
      <c r="AX35" s="94"/>
      <c r="AY35" s="94"/>
      <c r="AZ35" s="94"/>
      <c r="BA35" s="94"/>
      <c r="BB35" s="94">
        <f>COUNTIF(BD4:BD34,"○")</f>
        <v>0</v>
      </c>
      <c r="BC35" s="94"/>
      <c r="BD35" s="94"/>
      <c r="BE35" s="94"/>
      <c r="BF35" s="94"/>
      <c r="BG35" s="94">
        <f>COUNTIF(BI4:BI34,"○")</f>
        <v>0</v>
      </c>
      <c r="BH35" s="94"/>
      <c r="BI35" s="94"/>
      <c r="BJ35" s="94"/>
      <c r="BK35" s="94"/>
      <c r="BL35" s="94">
        <f>COUNTIF(BN4:BN34,"○")</f>
        <v>0</v>
      </c>
      <c r="BM35" s="94"/>
      <c r="BN35" s="94"/>
      <c r="BO35" s="94"/>
      <c r="BP35" s="94"/>
      <c r="BQ35" s="94">
        <f>COUNTIF(BS4:BS34,"○")</f>
        <v>0</v>
      </c>
      <c r="BR35" s="94"/>
      <c r="BS35" s="94"/>
      <c r="BT35" s="94"/>
      <c r="BU35" s="94"/>
      <c r="BV35" s="94">
        <f>COUNTIF(BX4:BX34,"○")</f>
        <v>0</v>
      </c>
      <c r="BW35" s="94"/>
      <c r="BX35" s="94"/>
      <c r="BY35" s="94"/>
      <c r="BZ35" s="94"/>
      <c r="CA35" s="94">
        <f>COUNTIF(CC4:CC34,"○")</f>
        <v>0</v>
      </c>
      <c r="CB35" s="94"/>
      <c r="CC35" s="94"/>
      <c r="CD35" s="94"/>
      <c r="CE35" s="94"/>
      <c r="CF35" s="94">
        <f>COUNTIF(CH4:CH34,"○")</f>
        <v>0</v>
      </c>
      <c r="CG35" s="94"/>
      <c r="CH35" s="94"/>
      <c r="CI35" s="94"/>
      <c r="CJ35" s="94"/>
      <c r="CK35" s="94">
        <f>COUNTIF(CM4:CM34,"○")</f>
        <v>0</v>
      </c>
      <c r="CL35" s="94"/>
      <c r="CM35" s="94"/>
      <c r="CN35" s="94"/>
      <c r="CO35" s="94"/>
      <c r="CP35" s="94">
        <f>COUNTIF(CR4:CR34,"○")</f>
        <v>0</v>
      </c>
      <c r="CQ35" s="94"/>
      <c r="CR35" s="94"/>
      <c r="CS35" s="94"/>
      <c r="CT35" s="94"/>
      <c r="CU35" s="94">
        <f>COUNTIF(CW4:CW34,"○")</f>
        <v>0</v>
      </c>
      <c r="CV35" s="94"/>
      <c r="CW35" s="94"/>
      <c r="CX35" s="94"/>
      <c r="CY35" s="94"/>
      <c r="CZ35" s="94">
        <f>COUNTIF(DB4:DB34,"○")</f>
        <v>0</v>
      </c>
      <c r="DA35" s="94"/>
      <c r="DB35" s="94"/>
      <c r="DC35" s="94"/>
      <c r="DD35" s="94"/>
      <c r="DE35" s="94">
        <f>COUNTIF(DG4:DG34,"○")</f>
        <v>0</v>
      </c>
      <c r="DF35" s="94"/>
      <c r="DG35" s="94"/>
      <c r="DH35" s="94"/>
      <c r="DI35" s="94"/>
      <c r="DJ35" s="94">
        <f>COUNTIF(DL4:DL34,"○")</f>
        <v>0</v>
      </c>
      <c r="DK35" s="94"/>
      <c r="DL35" s="94"/>
      <c r="DM35" s="94"/>
      <c r="DN35" s="94"/>
      <c r="DO35" s="94">
        <f>COUNTIF(DQ4:DQ34,"○")</f>
        <v>0</v>
      </c>
      <c r="DP35" s="94"/>
      <c r="DQ35" s="94"/>
      <c r="DR35" s="94"/>
      <c r="DS35" s="94"/>
      <c r="DT35" s="94">
        <f>COUNTIF(DV4:DV34,"○")</f>
        <v>0</v>
      </c>
      <c r="DU35" s="94"/>
      <c r="DV35" s="94"/>
      <c r="DW35" s="94"/>
      <c r="DX35" s="94"/>
      <c r="DY35" s="94">
        <f>COUNTIF(EA4:EA34,"○")</f>
        <v>0</v>
      </c>
      <c r="DZ35" s="94"/>
      <c r="EA35" s="94"/>
      <c r="EB35" s="94"/>
      <c r="EC35" s="94"/>
      <c r="ED35" s="94">
        <f>COUNTIF(EF4:EF34,"○")</f>
        <v>0</v>
      </c>
      <c r="EE35" s="94"/>
      <c r="EF35" s="94"/>
      <c r="EG35" s="94"/>
      <c r="EH35" s="94"/>
      <c r="EI35" s="94">
        <f>COUNTIF(EK4:EK34,"○")</f>
        <v>0</v>
      </c>
      <c r="EJ35" s="94"/>
      <c r="EK35" s="94"/>
      <c r="EL35" s="94"/>
      <c r="EM35" s="94"/>
      <c r="EN35" s="94">
        <f>COUNTIF(EP4:EP34,"○")</f>
        <v>0</v>
      </c>
      <c r="EO35" s="94"/>
      <c r="EP35" s="94"/>
      <c r="EQ35" s="94"/>
      <c r="ER35" s="94"/>
      <c r="ES35" s="94">
        <f>COUNTIF(EU4:EU34,"○")</f>
        <v>0</v>
      </c>
      <c r="ET35" s="94"/>
      <c r="EU35" s="94"/>
      <c r="EV35" s="94"/>
      <c r="EW35" s="94"/>
    </row>
    <row r="36" spans="1:153" ht="21.75" customHeight="1">
      <c r="A36" s="95" t="s">
        <v>75</v>
      </c>
      <c r="B36" s="95"/>
      <c r="C36" s="95"/>
      <c r="D36" s="96">
        <f>COUNTIF(G4:G34,"○")</f>
        <v>0</v>
      </c>
      <c r="E36" s="96"/>
      <c r="F36" s="96"/>
      <c r="G36" s="96"/>
      <c r="H36" s="96"/>
      <c r="I36" s="96">
        <f>COUNTIF(L4:L34,"○")</f>
        <v>0</v>
      </c>
      <c r="J36" s="96"/>
      <c r="K36" s="96"/>
      <c r="L36" s="96"/>
      <c r="M36" s="96"/>
      <c r="N36" s="96">
        <f>COUNTIF(Q4:Q34,"○")</f>
        <v>0</v>
      </c>
      <c r="O36" s="96"/>
      <c r="P36" s="96"/>
      <c r="Q36" s="96"/>
      <c r="R36" s="96"/>
      <c r="S36" s="96">
        <f>COUNTIF(V4:V34,"○")</f>
        <v>0</v>
      </c>
      <c r="T36" s="96"/>
      <c r="U36" s="96"/>
      <c r="V36" s="96"/>
      <c r="W36" s="96"/>
      <c r="X36" s="96">
        <f>COUNTIF(AA4:AA34,"○")</f>
        <v>0</v>
      </c>
      <c r="Y36" s="96"/>
      <c r="Z36" s="96"/>
      <c r="AA36" s="96"/>
      <c r="AB36" s="96"/>
      <c r="AC36" s="96">
        <f>COUNTIF(AF4:AF34,"○")</f>
        <v>0</v>
      </c>
      <c r="AD36" s="96"/>
      <c r="AE36" s="96"/>
      <c r="AF36" s="96"/>
      <c r="AG36" s="96"/>
      <c r="AH36" s="96">
        <f>COUNTIF(AK4:AK34,"○")</f>
        <v>0</v>
      </c>
      <c r="AI36" s="96"/>
      <c r="AJ36" s="96"/>
      <c r="AK36" s="96"/>
      <c r="AL36" s="96"/>
      <c r="AM36" s="96">
        <f>COUNTIF(AP4:AP34,"○")</f>
        <v>0</v>
      </c>
      <c r="AN36" s="96"/>
      <c r="AO36" s="96"/>
      <c r="AP36" s="96"/>
      <c r="AQ36" s="96"/>
      <c r="AR36" s="96">
        <f>COUNTIF(AU4:AU34,"○")</f>
        <v>0</v>
      </c>
      <c r="AS36" s="96"/>
      <c r="AT36" s="96"/>
      <c r="AU36" s="96"/>
      <c r="AV36" s="96"/>
      <c r="AW36" s="96">
        <f>COUNTIF(AZ4:AZ34,"○")</f>
        <v>0</v>
      </c>
      <c r="AX36" s="96"/>
      <c r="AY36" s="96"/>
      <c r="AZ36" s="96"/>
      <c r="BA36" s="96"/>
      <c r="BB36" s="96">
        <f>COUNTIF(BE4:BE34,"○")</f>
        <v>0</v>
      </c>
      <c r="BC36" s="96"/>
      <c r="BD36" s="96"/>
      <c r="BE36" s="96"/>
      <c r="BF36" s="96"/>
      <c r="BG36" s="96">
        <f>COUNTIF(BJ4:BJ34,"○")</f>
        <v>0</v>
      </c>
      <c r="BH36" s="96"/>
      <c r="BI36" s="96"/>
      <c r="BJ36" s="96"/>
      <c r="BK36" s="96"/>
      <c r="BL36" s="96">
        <f>COUNTIF(BO4:BO34,"○")</f>
        <v>0</v>
      </c>
      <c r="BM36" s="96"/>
      <c r="BN36" s="96"/>
      <c r="BO36" s="96"/>
      <c r="BP36" s="96"/>
      <c r="BQ36" s="96">
        <f>COUNTIF(BT4:BT34,"○")</f>
        <v>0</v>
      </c>
      <c r="BR36" s="96"/>
      <c r="BS36" s="96"/>
      <c r="BT36" s="96"/>
      <c r="BU36" s="96"/>
      <c r="BV36" s="96">
        <f>COUNTIF(BY4:BY34,"○")</f>
        <v>0</v>
      </c>
      <c r="BW36" s="96"/>
      <c r="BX36" s="96"/>
      <c r="BY36" s="96"/>
      <c r="BZ36" s="96"/>
      <c r="CA36" s="96">
        <f>COUNTIF(CD4:CD34,"○")</f>
        <v>0</v>
      </c>
      <c r="CB36" s="96"/>
      <c r="CC36" s="96"/>
      <c r="CD36" s="96"/>
      <c r="CE36" s="96"/>
      <c r="CF36" s="96">
        <f>COUNTIF(CI4:CI34,"○")</f>
        <v>0</v>
      </c>
      <c r="CG36" s="96"/>
      <c r="CH36" s="96"/>
      <c r="CI36" s="96"/>
      <c r="CJ36" s="96"/>
      <c r="CK36" s="96">
        <f>COUNTIF(CN4:CN34,"○")</f>
        <v>0</v>
      </c>
      <c r="CL36" s="96"/>
      <c r="CM36" s="96"/>
      <c r="CN36" s="96"/>
      <c r="CO36" s="96"/>
      <c r="CP36" s="96">
        <f>COUNTIF(CS4:CS34,"○")</f>
        <v>0</v>
      </c>
      <c r="CQ36" s="96"/>
      <c r="CR36" s="96"/>
      <c r="CS36" s="96"/>
      <c r="CT36" s="96"/>
      <c r="CU36" s="96">
        <f>COUNTIF(CX4:CX34,"○")</f>
        <v>0</v>
      </c>
      <c r="CV36" s="96"/>
      <c r="CW36" s="96"/>
      <c r="CX36" s="96"/>
      <c r="CY36" s="96"/>
      <c r="CZ36" s="96">
        <f>COUNTIF(DC4:DC34,"○")</f>
        <v>0</v>
      </c>
      <c r="DA36" s="96"/>
      <c r="DB36" s="96"/>
      <c r="DC36" s="96"/>
      <c r="DD36" s="96"/>
      <c r="DE36" s="96">
        <f>COUNTIF(DH4:DH34,"○")</f>
        <v>0</v>
      </c>
      <c r="DF36" s="96"/>
      <c r="DG36" s="96"/>
      <c r="DH36" s="96"/>
      <c r="DI36" s="96"/>
      <c r="DJ36" s="96">
        <f>COUNTIF(DM4:DM34,"○")</f>
        <v>0</v>
      </c>
      <c r="DK36" s="96"/>
      <c r="DL36" s="96"/>
      <c r="DM36" s="96"/>
      <c r="DN36" s="96"/>
      <c r="DO36" s="96">
        <f>COUNTIF(DR4:DR34,"○")</f>
        <v>0</v>
      </c>
      <c r="DP36" s="96"/>
      <c r="DQ36" s="96"/>
      <c r="DR36" s="96"/>
      <c r="DS36" s="96"/>
      <c r="DT36" s="96">
        <f>COUNTIF(DW4:DW34,"○")</f>
        <v>0</v>
      </c>
      <c r="DU36" s="96"/>
      <c r="DV36" s="96"/>
      <c r="DW36" s="96"/>
      <c r="DX36" s="96"/>
      <c r="DY36" s="96">
        <f>COUNTIF(EB4:EB34,"○")</f>
        <v>0</v>
      </c>
      <c r="DZ36" s="96"/>
      <c r="EA36" s="96"/>
      <c r="EB36" s="96"/>
      <c r="EC36" s="96"/>
      <c r="ED36" s="96">
        <f>COUNTIF(EG4:EG34,"○")</f>
        <v>0</v>
      </c>
      <c r="EE36" s="96"/>
      <c r="EF36" s="96"/>
      <c r="EG36" s="96"/>
      <c r="EH36" s="96"/>
      <c r="EI36" s="96">
        <f>COUNTIF(EL4:EL34,"○")</f>
        <v>0</v>
      </c>
      <c r="EJ36" s="96"/>
      <c r="EK36" s="96"/>
      <c r="EL36" s="96"/>
      <c r="EM36" s="96"/>
      <c r="EN36" s="96">
        <f>COUNTIF(EQ4:EQ34,"○")</f>
        <v>0</v>
      </c>
      <c r="EO36" s="96"/>
      <c r="EP36" s="96"/>
      <c r="EQ36" s="96"/>
      <c r="ER36" s="96"/>
      <c r="ES36" s="96">
        <f>COUNTIF(EV4:EV34,"○")</f>
        <v>0</v>
      </c>
      <c r="ET36" s="96"/>
      <c r="EU36" s="96"/>
      <c r="EV36" s="96"/>
      <c r="EW36" s="96"/>
    </row>
    <row r="37" spans="1:153" ht="21.75" customHeight="1">
      <c r="A37" s="97" t="s">
        <v>76</v>
      </c>
      <c r="B37" s="97"/>
      <c r="C37" s="97"/>
      <c r="D37" s="98">
        <f>D35+D36</f>
        <v>0</v>
      </c>
      <c r="E37" s="98"/>
      <c r="F37" s="98"/>
      <c r="G37" s="98"/>
      <c r="H37" s="98"/>
      <c r="I37" s="98">
        <f>I35+I36</f>
        <v>0</v>
      </c>
      <c r="J37" s="98"/>
      <c r="K37" s="98"/>
      <c r="L37" s="98"/>
      <c r="M37" s="98"/>
      <c r="N37" s="98">
        <f>N35+N36</f>
        <v>0</v>
      </c>
      <c r="O37" s="98"/>
      <c r="P37" s="98"/>
      <c r="Q37" s="98"/>
      <c r="R37" s="98"/>
      <c r="S37" s="98">
        <f>S35+S36</f>
        <v>0</v>
      </c>
      <c r="T37" s="98"/>
      <c r="U37" s="98"/>
      <c r="V37" s="98"/>
      <c r="W37" s="98"/>
      <c r="X37" s="98">
        <f>X35+X36</f>
        <v>0</v>
      </c>
      <c r="Y37" s="98"/>
      <c r="Z37" s="98"/>
      <c r="AA37" s="98"/>
      <c r="AB37" s="98"/>
      <c r="AC37" s="98">
        <f>AC35+AC36</f>
        <v>0</v>
      </c>
      <c r="AD37" s="98"/>
      <c r="AE37" s="98"/>
      <c r="AF37" s="98"/>
      <c r="AG37" s="98"/>
      <c r="AH37" s="98">
        <f>AH35+AH36</f>
        <v>0</v>
      </c>
      <c r="AI37" s="98"/>
      <c r="AJ37" s="98"/>
      <c r="AK37" s="98"/>
      <c r="AL37" s="98"/>
      <c r="AM37" s="98">
        <f>AM35+AM36</f>
        <v>0</v>
      </c>
      <c r="AN37" s="98"/>
      <c r="AO37" s="98"/>
      <c r="AP37" s="98"/>
      <c r="AQ37" s="98"/>
      <c r="AR37" s="98">
        <f>AR35+AR36</f>
        <v>0</v>
      </c>
      <c r="AS37" s="98"/>
      <c r="AT37" s="98"/>
      <c r="AU37" s="98"/>
      <c r="AV37" s="98"/>
      <c r="AW37" s="98">
        <f>AW35+AW36</f>
        <v>0</v>
      </c>
      <c r="AX37" s="98"/>
      <c r="AY37" s="98"/>
      <c r="AZ37" s="98"/>
      <c r="BA37" s="98"/>
      <c r="BB37" s="98">
        <f>BB35+BB36</f>
        <v>0</v>
      </c>
      <c r="BC37" s="98"/>
      <c r="BD37" s="98"/>
      <c r="BE37" s="98"/>
      <c r="BF37" s="98"/>
      <c r="BG37" s="98">
        <f>BG35+BG36</f>
        <v>0</v>
      </c>
      <c r="BH37" s="98"/>
      <c r="BI37" s="98"/>
      <c r="BJ37" s="98"/>
      <c r="BK37" s="98"/>
      <c r="BL37" s="98">
        <f>BL35+BL36</f>
        <v>0</v>
      </c>
      <c r="BM37" s="98"/>
      <c r="BN37" s="98"/>
      <c r="BO37" s="98"/>
      <c r="BP37" s="98"/>
      <c r="BQ37" s="98">
        <f>BQ35+BQ36</f>
        <v>0</v>
      </c>
      <c r="BR37" s="98"/>
      <c r="BS37" s="98"/>
      <c r="BT37" s="98"/>
      <c r="BU37" s="98"/>
      <c r="BV37" s="98">
        <f>BV35+BV36</f>
        <v>0</v>
      </c>
      <c r="BW37" s="98"/>
      <c r="BX37" s="98"/>
      <c r="BY37" s="98"/>
      <c r="BZ37" s="98"/>
      <c r="CA37" s="98">
        <f>CA35+CA36</f>
        <v>0</v>
      </c>
      <c r="CB37" s="98"/>
      <c r="CC37" s="98"/>
      <c r="CD37" s="98"/>
      <c r="CE37" s="98"/>
      <c r="CF37" s="98">
        <f>CF35+CF36</f>
        <v>0</v>
      </c>
      <c r="CG37" s="98"/>
      <c r="CH37" s="98"/>
      <c r="CI37" s="98"/>
      <c r="CJ37" s="98"/>
      <c r="CK37" s="98">
        <f>CK35+CK36</f>
        <v>0</v>
      </c>
      <c r="CL37" s="98"/>
      <c r="CM37" s="98"/>
      <c r="CN37" s="98"/>
      <c r="CO37" s="98"/>
      <c r="CP37" s="98">
        <f>CP35+CP36</f>
        <v>0</v>
      </c>
      <c r="CQ37" s="98"/>
      <c r="CR37" s="98"/>
      <c r="CS37" s="98"/>
      <c r="CT37" s="98"/>
      <c r="CU37" s="98">
        <f>CU35+CU36</f>
        <v>0</v>
      </c>
      <c r="CV37" s="98"/>
      <c r="CW37" s="98"/>
      <c r="CX37" s="98"/>
      <c r="CY37" s="98"/>
      <c r="CZ37" s="98">
        <f>CZ35+CZ36</f>
        <v>0</v>
      </c>
      <c r="DA37" s="98"/>
      <c r="DB37" s="98"/>
      <c r="DC37" s="98"/>
      <c r="DD37" s="98"/>
      <c r="DE37" s="98">
        <f>DE35+DE36</f>
        <v>0</v>
      </c>
      <c r="DF37" s="98"/>
      <c r="DG37" s="98"/>
      <c r="DH37" s="98"/>
      <c r="DI37" s="98"/>
      <c r="DJ37" s="98">
        <f>DJ35+DJ36</f>
        <v>0</v>
      </c>
      <c r="DK37" s="98"/>
      <c r="DL37" s="98"/>
      <c r="DM37" s="98"/>
      <c r="DN37" s="98"/>
      <c r="DO37" s="98">
        <f>DO35+DO36</f>
        <v>0</v>
      </c>
      <c r="DP37" s="98"/>
      <c r="DQ37" s="98"/>
      <c r="DR37" s="98"/>
      <c r="DS37" s="98"/>
      <c r="DT37" s="98">
        <f>DT35+DT36</f>
        <v>0</v>
      </c>
      <c r="DU37" s="98"/>
      <c r="DV37" s="98"/>
      <c r="DW37" s="98"/>
      <c r="DX37" s="98"/>
      <c r="DY37" s="98">
        <f>DY35+DY36</f>
        <v>0</v>
      </c>
      <c r="DZ37" s="98"/>
      <c r="EA37" s="98"/>
      <c r="EB37" s="98"/>
      <c r="EC37" s="98"/>
      <c r="ED37" s="98">
        <f>ED35+ED36</f>
        <v>0</v>
      </c>
      <c r="EE37" s="98"/>
      <c r="EF37" s="98"/>
      <c r="EG37" s="98"/>
      <c r="EH37" s="98"/>
      <c r="EI37" s="98">
        <f>EI35+EI36</f>
        <v>0</v>
      </c>
      <c r="EJ37" s="98"/>
      <c r="EK37" s="98"/>
      <c r="EL37" s="98"/>
      <c r="EM37" s="98"/>
      <c r="EN37" s="98">
        <f>EN35+EN36</f>
        <v>0</v>
      </c>
      <c r="EO37" s="98"/>
      <c r="EP37" s="98"/>
      <c r="EQ37" s="98"/>
      <c r="ER37" s="98"/>
      <c r="ES37" s="98">
        <f>ES35+ES36</f>
        <v>0</v>
      </c>
      <c r="ET37" s="98"/>
      <c r="EU37" s="98"/>
      <c r="EV37" s="98"/>
      <c r="EW37" s="98"/>
    </row>
    <row r="38" spans="1:153" ht="21.75" customHeight="1">
      <c r="A38" s="99" t="s">
        <v>77</v>
      </c>
      <c r="B38" s="99"/>
      <c r="C38" s="99"/>
      <c r="D38" s="100">
        <f>SUM(H4:H34)</f>
        <v>0</v>
      </c>
      <c r="E38" s="100"/>
      <c r="F38" s="100"/>
      <c r="G38" s="100"/>
      <c r="H38" s="100"/>
      <c r="I38" s="100">
        <f>SUM(M4:M34)</f>
        <v>0</v>
      </c>
      <c r="J38" s="100"/>
      <c r="K38" s="100"/>
      <c r="L38" s="100"/>
      <c r="M38" s="100"/>
      <c r="N38" s="100">
        <f>SUM(R4:R34)</f>
        <v>0</v>
      </c>
      <c r="O38" s="100"/>
      <c r="P38" s="100"/>
      <c r="Q38" s="100"/>
      <c r="R38" s="100"/>
      <c r="S38" s="100">
        <f>SUM(W4:W34)</f>
        <v>0</v>
      </c>
      <c r="T38" s="100"/>
      <c r="U38" s="100"/>
      <c r="V38" s="100"/>
      <c r="W38" s="100"/>
      <c r="X38" s="100">
        <f>SUM(AB4:AB34)</f>
        <v>0</v>
      </c>
      <c r="Y38" s="100"/>
      <c r="Z38" s="100"/>
      <c r="AA38" s="100"/>
      <c r="AB38" s="100"/>
      <c r="AC38" s="100">
        <f>SUM(AG4:AG34)</f>
        <v>0</v>
      </c>
      <c r="AD38" s="100"/>
      <c r="AE38" s="100"/>
      <c r="AF38" s="100"/>
      <c r="AG38" s="100"/>
      <c r="AH38" s="100">
        <f>SUM(AL4:AL34)</f>
        <v>0</v>
      </c>
      <c r="AI38" s="100"/>
      <c r="AJ38" s="100"/>
      <c r="AK38" s="100"/>
      <c r="AL38" s="100"/>
      <c r="AM38" s="100">
        <f>SUM(AQ4:AQ34)</f>
        <v>0</v>
      </c>
      <c r="AN38" s="100"/>
      <c r="AO38" s="100"/>
      <c r="AP38" s="100"/>
      <c r="AQ38" s="100"/>
      <c r="AR38" s="100">
        <f>SUM(AV4:AV34)</f>
        <v>0</v>
      </c>
      <c r="AS38" s="100"/>
      <c r="AT38" s="100"/>
      <c r="AU38" s="100"/>
      <c r="AV38" s="100"/>
      <c r="AW38" s="100">
        <f>SUM(BA4:BA34)</f>
        <v>0</v>
      </c>
      <c r="AX38" s="100"/>
      <c r="AY38" s="100"/>
      <c r="AZ38" s="100"/>
      <c r="BA38" s="100"/>
      <c r="BB38" s="100">
        <f>SUM(BF4:BF34)</f>
        <v>0</v>
      </c>
      <c r="BC38" s="100"/>
      <c r="BD38" s="100"/>
      <c r="BE38" s="100"/>
      <c r="BF38" s="100"/>
      <c r="BG38" s="100">
        <f>SUM(BK4:BK34)</f>
        <v>0</v>
      </c>
      <c r="BH38" s="100"/>
      <c r="BI38" s="100"/>
      <c r="BJ38" s="100"/>
      <c r="BK38" s="100"/>
      <c r="BL38" s="100">
        <f>SUM(BP4:BP34)</f>
        <v>0</v>
      </c>
      <c r="BM38" s="100"/>
      <c r="BN38" s="100"/>
      <c r="BO38" s="100"/>
      <c r="BP38" s="100"/>
      <c r="BQ38" s="100">
        <f>SUM(BU4:BU34)</f>
        <v>0</v>
      </c>
      <c r="BR38" s="100"/>
      <c r="BS38" s="100"/>
      <c r="BT38" s="100"/>
      <c r="BU38" s="100"/>
      <c r="BV38" s="100">
        <f>SUM(BZ4:BZ34)</f>
        <v>0</v>
      </c>
      <c r="BW38" s="100"/>
      <c r="BX38" s="100"/>
      <c r="BY38" s="100"/>
      <c r="BZ38" s="100"/>
      <c r="CA38" s="100">
        <f>SUM(CE4:CE34)</f>
        <v>0</v>
      </c>
      <c r="CB38" s="100"/>
      <c r="CC38" s="100"/>
      <c r="CD38" s="100"/>
      <c r="CE38" s="100"/>
      <c r="CF38" s="100">
        <f>SUM(CJ4:CJ34)</f>
        <v>0</v>
      </c>
      <c r="CG38" s="100"/>
      <c r="CH38" s="100"/>
      <c r="CI38" s="100"/>
      <c r="CJ38" s="100"/>
      <c r="CK38" s="100">
        <f>SUM(CO4:CO34)</f>
        <v>0</v>
      </c>
      <c r="CL38" s="100"/>
      <c r="CM38" s="100"/>
      <c r="CN38" s="100"/>
      <c r="CO38" s="100"/>
      <c r="CP38" s="100">
        <f>SUM(CT4:CT34)</f>
        <v>0</v>
      </c>
      <c r="CQ38" s="100"/>
      <c r="CR38" s="100"/>
      <c r="CS38" s="100"/>
      <c r="CT38" s="100"/>
      <c r="CU38" s="100">
        <f>SUM(CY4:CY34)</f>
        <v>0</v>
      </c>
      <c r="CV38" s="100"/>
      <c r="CW38" s="100"/>
      <c r="CX38" s="100"/>
      <c r="CY38" s="100"/>
      <c r="CZ38" s="100">
        <f>SUM(DD4:DD34)</f>
        <v>0</v>
      </c>
      <c r="DA38" s="100"/>
      <c r="DB38" s="100"/>
      <c r="DC38" s="100"/>
      <c r="DD38" s="100"/>
      <c r="DE38" s="100">
        <f>SUM(DI4:DI34)</f>
        <v>0</v>
      </c>
      <c r="DF38" s="100"/>
      <c r="DG38" s="100"/>
      <c r="DH38" s="100"/>
      <c r="DI38" s="100"/>
      <c r="DJ38" s="100">
        <f>SUM(DN4:DN34)</f>
        <v>0</v>
      </c>
      <c r="DK38" s="100"/>
      <c r="DL38" s="100"/>
      <c r="DM38" s="100"/>
      <c r="DN38" s="100"/>
      <c r="DO38" s="100">
        <f>SUM(DS4:DS34)</f>
        <v>0</v>
      </c>
      <c r="DP38" s="100"/>
      <c r="DQ38" s="100"/>
      <c r="DR38" s="100"/>
      <c r="DS38" s="100"/>
      <c r="DT38" s="100">
        <f>SUM(DX4:DX34)</f>
        <v>0</v>
      </c>
      <c r="DU38" s="100"/>
      <c r="DV38" s="100"/>
      <c r="DW38" s="100"/>
      <c r="DX38" s="100"/>
      <c r="DY38" s="100">
        <f>SUM(EC4:EC34)</f>
        <v>0</v>
      </c>
      <c r="DZ38" s="100"/>
      <c r="EA38" s="100"/>
      <c r="EB38" s="100"/>
      <c r="EC38" s="100"/>
      <c r="ED38" s="100">
        <f>SUM(EH4:EH34)</f>
        <v>0</v>
      </c>
      <c r="EE38" s="100"/>
      <c r="EF38" s="100"/>
      <c r="EG38" s="100"/>
      <c r="EH38" s="100"/>
      <c r="EI38" s="100">
        <f>SUM(EM4:EM34)</f>
        <v>0</v>
      </c>
      <c r="EJ38" s="100"/>
      <c r="EK38" s="100"/>
      <c r="EL38" s="100"/>
      <c r="EM38" s="100"/>
      <c r="EN38" s="100">
        <f>SUM(ER4:ER34)</f>
        <v>0</v>
      </c>
      <c r="EO38" s="100"/>
      <c r="EP38" s="100"/>
      <c r="EQ38" s="100"/>
      <c r="ER38" s="100"/>
      <c r="ES38" s="100">
        <f>SUM(EW4:EW34)</f>
        <v>0</v>
      </c>
      <c r="ET38" s="100"/>
      <c r="EU38" s="100"/>
      <c r="EV38" s="100"/>
      <c r="EW38" s="100"/>
    </row>
    <row r="39" spans="1:153" ht="21.75" customHeight="1">
      <c r="A39" s="101" t="s">
        <v>64</v>
      </c>
      <c r="B39" s="101"/>
      <c r="C39" s="101"/>
      <c r="D39" s="102">
        <f>COUNTIF(D4:D34,"有給")</f>
        <v>0</v>
      </c>
      <c r="E39" s="102"/>
      <c r="F39" s="102"/>
      <c r="G39" s="102"/>
      <c r="H39" s="102"/>
      <c r="I39" s="102">
        <f>COUNTIF(I4:I34,"有給")</f>
        <v>0</v>
      </c>
      <c r="J39" s="102"/>
      <c r="K39" s="102"/>
      <c r="L39" s="102"/>
      <c r="M39" s="102"/>
      <c r="N39" s="102">
        <f>COUNTIF(N4:N34,"有給")</f>
        <v>0</v>
      </c>
      <c r="O39" s="102"/>
      <c r="P39" s="102"/>
      <c r="Q39" s="102"/>
      <c r="R39" s="102"/>
      <c r="S39" s="102">
        <f>COUNTIF(S4:S34,"有給")</f>
        <v>0</v>
      </c>
      <c r="T39" s="102"/>
      <c r="U39" s="102"/>
      <c r="V39" s="102"/>
      <c r="W39" s="102"/>
      <c r="X39" s="102">
        <f>COUNTIF(X4:X34,"有給")</f>
        <v>0</v>
      </c>
      <c r="Y39" s="102"/>
      <c r="Z39" s="102"/>
      <c r="AA39" s="102"/>
      <c r="AB39" s="102"/>
      <c r="AC39" s="102">
        <f>COUNTIF(AC4:AC34,"有給")</f>
        <v>0</v>
      </c>
      <c r="AD39" s="102"/>
      <c r="AE39" s="102"/>
      <c r="AF39" s="102"/>
      <c r="AG39" s="102"/>
      <c r="AH39" s="102">
        <f>COUNTIF(AH4:AH34,"有給")</f>
        <v>0</v>
      </c>
      <c r="AI39" s="102"/>
      <c r="AJ39" s="102"/>
      <c r="AK39" s="102"/>
      <c r="AL39" s="102"/>
      <c r="AM39" s="102">
        <f>COUNTIF(AM4:AM34,"有給")</f>
        <v>0</v>
      </c>
      <c r="AN39" s="102"/>
      <c r="AO39" s="102"/>
      <c r="AP39" s="102"/>
      <c r="AQ39" s="102"/>
      <c r="AR39" s="102">
        <f>COUNTIF(AR4:AR34,"有給")</f>
        <v>0</v>
      </c>
      <c r="AS39" s="102"/>
      <c r="AT39" s="102"/>
      <c r="AU39" s="102"/>
      <c r="AV39" s="102"/>
      <c r="AW39" s="102">
        <f>COUNTIF(AW4:AW34,"有給")</f>
        <v>0</v>
      </c>
      <c r="AX39" s="102"/>
      <c r="AY39" s="102"/>
      <c r="AZ39" s="102"/>
      <c r="BA39" s="102"/>
      <c r="BB39" s="102">
        <f>COUNTIF(BB4:BB34,"有給")</f>
        <v>0</v>
      </c>
      <c r="BC39" s="102"/>
      <c r="BD39" s="102"/>
      <c r="BE39" s="102"/>
      <c r="BF39" s="102"/>
      <c r="BG39" s="102">
        <f>COUNTIF(BG4:BG34,"有給")</f>
        <v>0</v>
      </c>
      <c r="BH39" s="102"/>
      <c r="BI39" s="102"/>
      <c r="BJ39" s="102"/>
      <c r="BK39" s="102"/>
      <c r="BL39" s="102">
        <f>COUNTIF(BL4:BL34,"有給")</f>
        <v>0</v>
      </c>
      <c r="BM39" s="102"/>
      <c r="BN39" s="102"/>
      <c r="BO39" s="102"/>
      <c r="BP39" s="102"/>
      <c r="BQ39" s="102">
        <f>COUNTIF(BQ4:BQ34,"有給")</f>
        <v>0</v>
      </c>
      <c r="BR39" s="102"/>
      <c r="BS39" s="102"/>
      <c r="BT39" s="102"/>
      <c r="BU39" s="102"/>
      <c r="BV39" s="102">
        <f>COUNTIF(BV4:BV34,"有給")</f>
        <v>0</v>
      </c>
      <c r="BW39" s="102"/>
      <c r="BX39" s="102"/>
      <c r="BY39" s="102"/>
      <c r="BZ39" s="102"/>
      <c r="CA39" s="102">
        <f>COUNTIF(CA4:CA34,"有給")</f>
        <v>0</v>
      </c>
      <c r="CB39" s="102"/>
      <c r="CC39" s="102"/>
      <c r="CD39" s="102"/>
      <c r="CE39" s="102"/>
      <c r="CF39" s="102">
        <f>COUNTIF(CF4:CF34,"有給")</f>
        <v>0</v>
      </c>
      <c r="CG39" s="102"/>
      <c r="CH39" s="102"/>
      <c r="CI39" s="102"/>
      <c r="CJ39" s="102"/>
      <c r="CK39" s="102">
        <f>COUNTIF(CK4:CK34,"有給")</f>
        <v>0</v>
      </c>
      <c r="CL39" s="102"/>
      <c r="CM39" s="102"/>
      <c r="CN39" s="102"/>
      <c r="CO39" s="102"/>
      <c r="CP39" s="102">
        <f>COUNTIF(CP4:CP34,"有給")</f>
        <v>0</v>
      </c>
      <c r="CQ39" s="102"/>
      <c r="CR39" s="102"/>
      <c r="CS39" s="102"/>
      <c r="CT39" s="102"/>
      <c r="CU39" s="102">
        <f>COUNTIF(CU4:CU34,"有給")</f>
        <v>0</v>
      </c>
      <c r="CV39" s="102"/>
      <c r="CW39" s="102"/>
      <c r="CX39" s="102"/>
      <c r="CY39" s="102"/>
      <c r="CZ39" s="102">
        <f>COUNTIF(CZ4:CZ34,"有給")</f>
        <v>0</v>
      </c>
      <c r="DA39" s="102"/>
      <c r="DB39" s="102"/>
      <c r="DC39" s="102"/>
      <c r="DD39" s="102"/>
      <c r="DE39" s="102">
        <f>COUNTIF(DE4:DE34,"有給")</f>
        <v>0</v>
      </c>
      <c r="DF39" s="102"/>
      <c r="DG39" s="102"/>
      <c r="DH39" s="102"/>
      <c r="DI39" s="102"/>
      <c r="DJ39" s="102">
        <f>COUNTIF(DJ4:DJ34,"有給")</f>
        <v>0</v>
      </c>
      <c r="DK39" s="102"/>
      <c r="DL39" s="102"/>
      <c r="DM39" s="102"/>
      <c r="DN39" s="102"/>
      <c r="DO39" s="102">
        <f>COUNTIF(DO4:DO34,"有給")</f>
        <v>0</v>
      </c>
      <c r="DP39" s="102"/>
      <c r="DQ39" s="102"/>
      <c r="DR39" s="102"/>
      <c r="DS39" s="102"/>
      <c r="DT39" s="102">
        <f>COUNTIF(DT4:DT34,"有給")</f>
        <v>0</v>
      </c>
      <c r="DU39" s="102"/>
      <c r="DV39" s="102"/>
      <c r="DW39" s="102"/>
      <c r="DX39" s="102"/>
      <c r="DY39" s="102">
        <f>COUNTIF(DY4:DY34,"有給")</f>
        <v>0</v>
      </c>
      <c r="DZ39" s="102"/>
      <c r="EA39" s="102"/>
      <c r="EB39" s="102"/>
      <c r="EC39" s="102"/>
      <c r="ED39" s="102">
        <f>COUNTIF(ED4:ED34,"有給")</f>
        <v>0</v>
      </c>
      <c r="EE39" s="102"/>
      <c r="EF39" s="102"/>
      <c r="EG39" s="102"/>
      <c r="EH39" s="102"/>
      <c r="EI39" s="102">
        <f>COUNTIF(EI4:EI34,"有給")</f>
        <v>0</v>
      </c>
      <c r="EJ39" s="102"/>
      <c r="EK39" s="102"/>
      <c r="EL39" s="102"/>
      <c r="EM39" s="102"/>
      <c r="EN39" s="102">
        <f>COUNTIF(EN4:EN34,"有給")</f>
        <v>0</v>
      </c>
      <c r="EO39" s="102"/>
      <c r="EP39" s="102"/>
      <c r="EQ39" s="102"/>
      <c r="ER39" s="102"/>
      <c r="ES39" s="102">
        <f>COUNTIF(ES4:ES34,"有給")</f>
        <v>0</v>
      </c>
      <c r="ET39" s="102"/>
      <c r="EU39" s="102"/>
      <c r="EV39" s="102"/>
      <c r="EW39" s="102"/>
    </row>
    <row r="40" spans="1:153" ht="21.75" customHeight="1">
      <c r="A40" s="103" t="s">
        <v>65</v>
      </c>
      <c r="B40" s="103"/>
      <c r="C40" s="103"/>
      <c r="D40" s="104">
        <f>COUNTIF(D4:D34,"休業")</f>
        <v>0</v>
      </c>
      <c r="E40" s="104"/>
      <c r="F40" s="104"/>
      <c r="G40" s="104"/>
      <c r="H40" s="104"/>
      <c r="I40" s="104">
        <f>COUNTIF(I4:I34,"休業")</f>
        <v>0</v>
      </c>
      <c r="J40" s="104"/>
      <c r="K40" s="104"/>
      <c r="L40" s="104"/>
      <c r="M40" s="104"/>
      <c r="N40" s="104">
        <f>COUNTIF(N4:N34,"休業")</f>
        <v>0</v>
      </c>
      <c r="O40" s="104"/>
      <c r="P40" s="104"/>
      <c r="Q40" s="104"/>
      <c r="R40" s="104"/>
      <c r="S40" s="104">
        <f>COUNTIF(S4:S34,"休業")</f>
        <v>0</v>
      </c>
      <c r="T40" s="104"/>
      <c r="U40" s="104"/>
      <c r="V40" s="104"/>
      <c r="W40" s="104"/>
      <c r="X40" s="104">
        <f>COUNTIF(X4:X34,"休業")</f>
        <v>0</v>
      </c>
      <c r="Y40" s="104"/>
      <c r="Z40" s="104"/>
      <c r="AA40" s="104"/>
      <c r="AB40" s="104"/>
      <c r="AC40" s="104">
        <f>COUNTIF(AC4:AC34,"休業")</f>
        <v>0</v>
      </c>
      <c r="AD40" s="104"/>
      <c r="AE40" s="104"/>
      <c r="AF40" s="104"/>
      <c r="AG40" s="104"/>
      <c r="AH40" s="104">
        <f>COUNTIF(AH4:AH34,"休業")</f>
        <v>0</v>
      </c>
      <c r="AI40" s="104"/>
      <c r="AJ40" s="104"/>
      <c r="AK40" s="104"/>
      <c r="AL40" s="104"/>
      <c r="AM40" s="104">
        <f>COUNTIF(AM4:AM34,"休業")</f>
        <v>0</v>
      </c>
      <c r="AN40" s="104"/>
      <c r="AO40" s="104"/>
      <c r="AP40" s="104"/>
      <c r="AQ40" s="104"/>
      <c r="AR40" s="104">
        <f>COUNTIF(AR4:AR34,"休業")</f>
        <v>0</v>
      </c>
      <c r="AS40" s="104"/>
      <c r="AT40" s="104"/>
      <c r="AU40" s="104"/>
      <c r="AV40" s="104"/>
      <c r="AW40" s="104">
        <f>COUNTIF(AW4:AW34,"休業")</f>
        <v>0</v>
      </c>
      <c r="AX40" s="104"/>
      <c r="AY40" s="104"/>
      <c r="AZ40" s="104"/>
      <c r="BA40" s="104"/>
      <c r="BB40" s="104">
        <f>COUNTIF(BB4:BB34,"休業")</f>
        <v>0</v>
      </c>
      <c r="BC40" s="104"/>
      <c r="BD40" s="104"/>
      <c r="BE40" s="104"/>
      <c r="BF40" s="104"/>
      <c r="BG40" s="104">
        <f>COUNTIF(BG4:BG34,"休業")</f>
        <v>0</v>
      </c>
      <c r="BH40" s="104"/>
      <c r="BI40" s="104"/>
      <c r="BJ40" s="104"/>
      <c r="BK40" s="104"/>
      <c r="BL40" s="104">
        <f>COUNTIF(BL4:BL34,"休業")</f>
        <v>0</v>
      </c>
      <c r="BM40" s="104"/>
      <c r="BN40" s="104"/>
      <c r="BO40" s="104"/>
      <c r="BP40" s="104"/>
      <c r="BQ40" s="104">
        <f>COUNTIF(BQ4:BQ34,"休業")</f>
        <v>0</v>
      </c>
      <c r="BR40" s="104"/>
      <c r="BS40" s="104"/>
      <c r="BT40" s="104"/>
      <c r="BU40" s="104"/>
      <c r="BV40" s="104">
        <f>COUNTIF(BV4:BV34,"休業")</f>
        <v>0</v>
      </c>
      <c r="BW40" s="104"/>
      <c r="BX40" s="104"/>
      <c r="BY40" s="104"/>
      <c r="BZ40" s="104"/>
      <c r="CA40" s="104">
        <f>COUNTIF(CA4:CA34,"休業")</f>
        <v>0</v>
      </c>
      <c r="CB40" s="104"/>
      <c r="CC40" s="104"/>
      <c r="CD40" s="104"/>
      <c r="CE40" s="104"/>
      <c r="CF40" s="104">
        <f>COUNTIF(CF4:CF34,"休業")</f>
        <v>0</v>
      </c>
      <c r="CG40" s="104"/>
      <c r="CH40" s="104"/>
      <c r="CI40" s="104"/>
      <c r="CJ40" s="104"/>
      <c r="CK40" s="104">
        <f>COUNTIF(CK4:CK34,"休業")</f>
        <v>0</v>
      </c>
      <c r="CL40" s="104"/>
      <c r="CM40" s="104"/>
      <c r="CN40" s="104"/>
      <c r="CO40" s="104"/>
      <c r="CP40" s="104">
        <f>COUNTIF(CP4:CP34,"休業")</f>
        <v>0</v>
      </c>
      <c r="CQ40" s="104"/>
      <c r="CR40" s="104"/>
      <c r="CS40" s="104"/>
      <c r="CT40" s="104"/>
      <c r="CU40" s="104">
        <f>COUNTIF(CU4:CU34,"休業")</f>
        <v>0</v>
      </c>
      <c r="CV40" s="104"/>
      <c r="CW40" s="104"/>
      <c r="CX40" s="104"/>
      <c r="CY40" s="104"/>
      <c r="CZ40" s="104">
        <f>COUNTIF(CZ4:CZ34,"休業")</f>
        <v>0</v>
      </c>
      <c r="DA40" s="104"/>
      <c r="DB40" s="104"/>
      <c r="DC40" s="104"/>
      <c r="DD40" s="104"/>
      <c r="DE40" s="104">
        <f>COUNTIF(DE4:DE34,"休業")</f>
        <v>0</v>
      </c>
      <c r="DF40" s="104"/>
      <c r="DG40" s="104"/>
      <c r="DH40" s="104"/>
      <c r="DI40" s="104"/>
      <c r="DJ40" s="104">
        <f>COUNTIF(DJ4:DJ34,"休業")</f>
        <v>0</v>
      </c>
      <c r="DK40" s="104"/>
      <c r="DL40" s="104"/>
      <c r="DM40" s="104"/>
      <c r="DN40" s="104"/>
      <c r="DO40" s="104">
        <f>COUNTIF(DO4:DO34,"休業")</f>
        <v>0</v>
      </c>
      <c r="DP40" s="104"/>
      <c r="DQ40" s="104"/>
      <c r="DR40" s="104"/>
      <c r="DS40" s="104"/>
      <c r="DT40" s="104">
        <f>COUNTIF(DT4:DT34,"休業")</f>
        <v>0</v>
      </c>
      <c r="DU40" s="104"/>
      <c r="DV40" s="104"/>
      <c r="DW40" s="104"/>
      <c r="DX40" s="104"/>
      <c r="DY40" s="104">
        <f>COUNTIF(DY4:DY34,"休業")</f>
        <v>0</v>
      </c>
      <c r="DZ40" s="104"/>
      <c r="EA40" s="104"/>
      <c r="EB40" s="104"/>
      <c r="EC40" s="104"/>
      <c r="ED40" s="104">
        <f>COUNTIF(ED4:ED34,"休業")</f>
        <v>0</v>
      </c>
      <c r="EE40" s="104"/>
      <c r="EF40" s="104"/>
      <c r="EG40" s="104"/>
      <c r="EH40" s="104"/>
      <c r="EI40" s="104">
        <f>COUNTIF(EI4:EI34,"休業")</f>
        <v>0</v>
      </c>
      <c r="EJ40" s="104"/>
      <c r="EK40" s="104"/>
      <c r="EL40" s="104"/>
      <c r="EM40" s="104"/>
      <c r="EN40" s="104">
        <f>COUNTIF(EN4:EN34,"休業")</f>
        <v>0</v>
      </c>
      <c r="EO40" s="104"/>
      <c r="EP40" s="104"/>
      <c r="EQ40" s="104"/>
      <c r="ER40" s="104"/>
      <c r="ES40" s="104">
        <f>COUNTIF(ES4:ES34,"休業")</f>
        <v>0</v>
      </c>
      <c r="ET40" s="104"/>
      <c r="EU40" s="104"/>
      <c r="EV40" s="104"/>
      <c r="EW40" s="104"/>
    </row>
  </sheetData>
  <mergeCells count="217">
    <mergeCell ref="ED40:EH40"/>
    <mergeCell ref="EI40:EM40"/>
    <mergeCell ref="EN40:ER40"/>
    <mergeCell ref="ES40:EW40"/>
    <mergeCell ref="CK40:CO40"/>
    <mergeCell ref="CP40:CT40"/>
    <mergeCell ref="CU40:CY40"/>
    <mergeCell ref="CZ40:DD40"/>
    <mergeCell ref="DE40:DI40"/>
    <mergeCell ref="DJ40:DN40"/>
    <mergeCell ref="DO40:DS40"/>
    <mergeCell ref="DT40:DX40"/>
    <mergeCell ref="DY40:EC40"/>
    <mergeCell ref="DT39:DX39"/>
    <mergeCell ref="DY39:EC39"/>
    <mergeCell ref="ED39:EH39"/>
    <mergeCell ref="EI39:EM39"/>
    <mergeCell ref="EN39:ER39"/>
    <mergeCell ref="ES39:EW39"/>
    <mergeCell ref="A40:C40"/>
    <mergeCell ref="D40:H40"/>
    <mergeCell ref="I40:M40"/>
    <mergeCell ref="N40:R40"/>
    <mergeCell ref="S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BL40:BP40"/>
    <mergeCell ref="BQ40:BU40"/>
    <mergeCell ref="BV40:BZ40"/>
    <mergeCell ref="CA40:CE40"/>
    <mergeCell ref="CF40:CJ40"/>
    <mergeCell ref="CA39:CE39"/>
    <mergeCell ref="CF39:CJ39"/>
    <mergeCell ref="CK39:CO39"/>
    <mergeCell ref="CP39:CT39"/>
    <mergeCell ref="CU39:CY39"/>
    <mergeCell ref="CZ39:DD39"/>
    <mergeCell ref="DE39:DI39"/>
    <mergeCell ref="DJ39:DN39"/>
    <mergeCell ref="DO39:DS39"/>
    <mergeCell ref="DJ38:DN38"/>
    <mergeCell ref="DO38:DS38"/>
    <mergeCell ref="DT38:DX38"/>
    <mergeCell ref="DY38:EC38"/>
    <mergeCell ref="ED38:EH38"/>
    <mergeCell ref="EI38:EM38"/>
    <mergeCell ref="EN38:ER38"/>
    <mergeCell ref="ES38:EW38"/>
    <mergeCell ref="A39:C39"/>
    <mergeCell ref="D39:H39"/>
    <mergeCell ref="I39:M39"/>
    <mergeCell ref="N39:R39"/>
    <mergeCell ref="S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BL39:BP39"/>
    <mergeCell ref="BQ39:BU39"/>
    <mergeCell ref="BV39:BZ39"/>
    <mergeCell ref="ES37:EW37"/>
    <mergeCell ref="A38:C38"/>
    <mergeCell ref="D38:H38"/>
    <mergeCell ref="I38:M38"/>
    <mergeCell ref="N38:R38"/>
    <mergeCell ref="S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BL38:BP38"/>
    <mergeCell ref="BQ38:BU38"/>
    <mergeCell ref="BV38:BZ38"/>
    <mergeCell ref="CA38:CE38"/>
    <mergeCell ref="CF38:CJ38"/>
    <mergeCell ref="CK38:CO38"/>
    <mergeCell ref="CP38:CT38"/>
    <mergeCell ref="CU38:CY38"/>
    <mergeCell ref="CZ38:DD38"/>
    <mergeCell ref="DE38:DI38"/>
    <mergeCell ref="CZ37:DD37"/>
    <mergeCell ref="DE37:DI37"/>
    <mergeCell ref="DJ37:DN37"/>
    <mergeCell ref="DO37:DS37"/>
    <mergeCell ref="DT37:DX37"/>
    <mergeCell ref="DY37:EC37"/>
    <mergeCell ref="ED37:EH37"/>
    <mergeCell ref="EI37:EM37"/>
    <mergeCell ref="EN37:ER37"/>
    <mergeCell ref="EI36:EM36"/>
    <mergeCell ref="EN36:ER36"/>
    <mergeCell ref="ES36:EW36"/>
    <mergeCell ref="A37:C37"/>
    <mergeCell ref="D37:H37"/>
    <mergeCell ref="I37:M37"/>
    <mergeCell ref="N37:R37"/>
    <mergeCell ref="S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BL37:BP37"/>
    <mergeCell ref="BQ37:BU37"/>
    <mergeCell ref="BV37:BZ37"/>
    <mergeCell ref="CA37:CE37"/>
    <mergeCell ref="CF37:CJ37"/>
    <mergeCell ref="CK37:CO37"/>
    <mergeCell ref="CP37:CT37"/>
    <mergeCell ref="CU37:CY37"/>
    <mergeCell ref="CP36:CT36"/>
    <mergeCell ref="CU36:CY36"/>
    <mergeCell ref="CZ36:DD36"/>
    <mergeCell ref="DE36:DI36"/>
    <mergeCell ref="DJ36:DN36"/>
    <mergeCell ref="DO36:DS36"/>
    <mergeCell ref="DT36:DX36"/>
    <mergeCell ref="DY36:EC36"/>
    <mergeCell ref="ED36:EH36"/>
    <mergeCell ref="DY35:EC35"/>
    <mergeCell ref="ED35:EH35"/>
    <mergeCell ref="EI35:EM35"/>
    <mergeCell ref="EN35:ER35"/>
    <mergeCell ref="ES35:EW35"/>
    <mergeCell ref="A36:C36"/>
    <mergeCell ref="D36:H36"/>
    <mergeCell ref="I36:M36"/>
    <mergeCell ref="N36:R36"/>
    <mergeCell ref="S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BL36:BP36"/>
    <mergeCell ref="BQ36:BU36"/>
    <mergeCell ref="BV36:BZ36"/>
    <mergeCell ref="CA36:CE36"/>
    <mergeCell ref="CF36:CJ36"/>
    <mergeCell ref="CK36:CO36"/>
    <mergeCell ref="CF35:CJ35"/>
    <mergeCell ref="CK35:CO35"/>
    <mergeCell ref="CP35:CT35"/>
    <mergeCell ref="CU35:CY35"/>
    <mergeCell ref="CZ35:DD35"/>
    <mergeCell ref="DE35:DI35"/>
    <mergeCell ref="DJ35:DN35"/>
    <mergeCell ref="DO35:DS35"/>
    <mergeCell ref="DT35:DX35"/>
    <mergeCell ref="DO2:DS2"/>
    <mergeCell ref="DT2:DX2"/>
    <mergeCell ref="DY2:EC2"/>
    <mergeCell ref="ED2:EH2"/>
    <mergeCell ref="EI2:EM2"/>
    <mergeCell ref="EN2:ER2"/>
    <mergeCell ref="ES2:EW2"/>
    <mergeCell ref="A35:C35"/>
    <mergeCell ref="D35:H35"/>
    <mergeCell ref="I35:M35"/>
    <mergeCell ref="N35:R35"/>
    <mergeCell ref="S35:W35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BL35:BP35"/>
    <mergeCell ref="BQ35:BU35"/>
    <mergeCell ref="BV35:BZ35"/>
    <mergeCell ref="CA35:CE35"/>
    <mergeCell ref="A1:EW1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BB2:BF2"/>
    <mergeCell ref="BG2:BK2"/>
    <mergeCell ref="BL2:BP2"/>
    <mergeCell ref="BQ2:BU2"/>
    <mergeCell ref="BV2:BZ2"/>
    <mergeCell ref="CA2:CE2"/>
    <mergeCell ref="CF2:CJ2"/>
    <mergeCell ref="CK2:CO2"/>
    <mergeCell ref="CP2:CT2"/>
    <mergeCell ref="CU2:CY2"/>
    <mergeCell ref="CZ2:DD2"/>
    <mergeCell ref="DE2:DI2"/>
    <mergeCell ref="DJ2:DN2"/>
  </mergeCells>
  <phoneticPr fontId="43"/>
  <conditionalFormatting sqref="A4:EW34">
    <cfRule type="expression" dxfId="505" priority="63">
      <formula>$B4="日"</formula>
    </cfRule>
    <cfRule type="expression" dxfId="504" priority="64">
      <formula>$B4="土"</formula>
    </cfRule>
    <cfRule type="expression" dxfId="503" priority="62">
      <formula>AND($A4&lt;&gt;"",ISNUMBER(MATCH(DATE(対象年度,6,$A4),祝日リスト,0)))</formula>
    </cfRule>
  </conditionalFormatting>
  <conditionalFormatting sqref="D4:D34">
    <cfRule type="expression" dxfId="502" priority="3">
      <formula>$D4="休業"</formula>
    </cfRule>
    <cfRule type="expression" dxfId="501" priority="2">
      <formula>$D4="有給"</formula>
    </cfRule>
  </conditionalFormatting>
  <conditionalFormatting sqref="I4:I34">
    <cfRule type="expression" dxfId="500" priority="4">
      <formula>$I4="有給"</formula>
    </cfRule>
    <cfRule type="expression" dxfId="499" priority="5">
      <formula>$I4="休業"</formula>
    </cfRule>
  </conditionalFormatting>
  <conditionalFormatting sqref="N4:N34">
    <cfRule type="expression" dxfId="498" priority="6">
      <formula>$N4="有給"</formula>
    </cfRule>
    <cfRule type="expression" dxfId="497" priority="7">
      <formula>$N4="休業"</formula>
    </cfRule>
  </conditionalFormatting>
  <conditionalFormatting sqref="S4:S34">
    <cfRule type="expression" dxfId="496" priority="8">
      <formula>$S4="有給"</formula>
    </cfRule>
    <cfRule type="expression" dxfId="495" priority="9">
      <formula>$S4="休業"</formula>
    </cfRule>
  </conditionalFormatting>
  <conditionalFormatting sqref="X4:X34">
    <cfRule type="expression" dxfId="494" priority="10">
      <formula>$X4="有給"</formula>
    </cfRule>
    <cfRule type="expression" dxfId="493" priority="11">
      <formula>$X4="休業"</formula>
    </cfRule>
  </conditionalFormatting>
  <conditionalFormatting sqref="AC4:AC34">
    <cfRule type="expression" dxfId="492" priority="12">
      <formula>$AC4="有給"</formula>
    </cfRule>
    <cfRule type="expression" dxfId="491" priority="13">
      <formula>$AC4="休業"</formula>
    </cfRule>
  </conditionalFormatting>
  <conditionalFormatting sqref="AH4:AH34">
    <cfRule type="expression" dxfId="490" priority="14">
      <formula>$AH4="有給"</formula>
    </cfRule>
    <cfRule type="expression" dxfId="489" priority="15">
      <formula>$AH4="休業"</formula>
    </cfRule>
  </conditionalFormatting>
  <conditionalFormatting sqref="AM4:AM34">
    <cfRule type="expression" dxfId="488" priority="17">
      <formula>$AM4="休業"</formula>
    </cfRule>
    <cfRule type="expression" dxfId="487" priority="16">
      <formula>$AM4="有給"</formula>
    </cfRule>
  </conditionalFormatting>
  <conditionalFormatting sqref="AR4:AR34">
    <cfRule type="expression" dxfId="486" priority="19">
      <formula>$AR4="休業"</formula>
    </cfRule>
    <cfRule type="expression" dxfId="485" priority="18">
      <formula>$AR4="有給"</formula>
    </cfRule>
  </conditionalFormatting>
  <conditionalFormatting sqref="AW4:AW34">
    <cfRule type="expression" dxfId="484" priority="20">
      <formula>$AW4="有給"</formula>
    </cfRule>
    <cfRule type="expression" dxfId="483" priority="21">
      <formula>$AW4="休業"</formula>
    </cfRule>
  </conditionalFormatting>
  <conditionalFormatting sqref="BB4:BB34">
    <cfRule type="expression" dxfId="482" priority="22">
      <formula>$BB4="有給"</formula>
    </cfRule>
    <cfRule type="expression" dxfId="481" priority="23">
      <formula>$BB4="休業"</formula>
    </cfRule>
  </conditionalFormatting>
  <conditionalFormatting sqref="BG4:BG34">
    <cfRule type="expression" dxfId="480" priority="24">
      <formula>$BG4="有給"</formula>
    </cfRule>
    <cfRule type="expression" dxfId="479" priority="25">
      <formula>$BG4="休業"</formula>
    </cfRule>
  </conditionalFormatting>
  <conditionalFormatting sqref="BL4:BL34">
    <cfRule type="expression" dxfId="478" priority="26">
      <formula>$BL4="有給"</formula>
    </cfRule>
    <cfRule type="expression" dxfId="477" priority="27">
      <formula>$BL4="休業"</formula>
    </cfRule>
  </conditionalFormatting>
  <conditionalFormatting sqref="BQ4:BQ34">
    <cfRule type="expression" dxfId="476" priority="28">
      <formula>$BQ4="有給"</formula>
    </cfRule>
    <cfRule type="expression" dxfId="475" priority="29">
      <formula>$BQ4="休業"</formula>
    </cfRule>
  </conditionalFormatting>
  <conditionalFormatting sqref="BV4:BV34">
    <cfRule type="expression" dxfId="474" priority="30">
      <formula>$BV4="有給"</formula>
    </cfRule>
    <cfRule type="expression" dxfId="473" priority="31">
      <formula>$BV4="休業"</formula>
    </cfRule>
  </conditionalFormatting>
  <conditionalFormatting sqref="CA4:CA34">
    <cfRule type="expression" dxfId="472" priority="33">
      <formula>$CA4="休業"</formula>
    </cfRule>
    <cfRule type="expression" dxfId="471" priority="32">
      <formula>$CA4="有給"</formula>
    </cfRule>
  </conditionalFormatting>
  <conditionalFormatting sqref="CF4:CF34">
    <cfRule type="expression" dxfId="470" priority="34">
      <formula>$CF4="有給"</formula>
    </cfRule>
    <cfRule type="expression" dxfId="469" priority="35">
      <formula>$CF4="休業"</formula>
    </cfRule>
  </conditionalFormatting>
  <conditionalFormatting sqref="CK4:CK34">
    <cfRule type="expression" dxfId="468" priority="37">
      <formula>$CK4="休業"</formula>
    </cfRule>
    <cfRule type="expression" dxfId="467" priority="36">
      <formula>$CK4="有給"</formula>
    </cfRule>
  </conditionalFormatting>
  <conditionalFormatting sqref="CP4:CP34">
    <cfRule type="expression" dxfId="466" priority="38">
      <formula>$CP4="有給"</formula>
    </cfRule>
    <cfRule type="expression" dxfId="465" priority="39">
      <formula>$CP4="休業"</formula>
    </cfRule>
  </conditionalFormatting>
  <conditionalFormatting sqref="CU4:CU34">
    <cfRule type="expression" dxfId="464" priority="40">
      <formula>$CU4="有給"</formula>
    </cfRule>
    <cfRule type="expression" dxfId="463" priority="41">
      <formula>$CU4="休業"</formula>
    </cfRule>
  </conditionalFormatting>
  <conditionalFormatting sqref="CZ4:CZ34">
    <cfRule type="expression" dxfId="462" priority="42">
      <formula>$CZ4="有給"</formula>
    </cfRule>
    <cfRule type="expression" dxfId="461" priority="43">
      <formula>$CZ4="休業"</formula>
    </cfRule>
  </conditionalFormatting>
  <conditionalFormatting sqref="DE4:DE34">
    <cfRule type="expression" dxfId="460" priority="44">
      <formula>$DE4="有給"</formula>
    </cfRule>
    <cfRule type="expression" dxfId="459" priority="45">
      <formula>$DE4="休業"</formula>
    </cfRule>
  </conditionalFormatting>
  <conditionalFormatting sqref="DJ4:DJ34">
    <cfRule type="expression" dxfId="458" priority="46">
      <formula>$DJ4="有給"</formula>
    </cfRule>
    <cfRule type="expression" dxfId="457" priority="47">
      <formula>$DJ4="休業"</formula>
    </cfRule>
  </conditionalFormatting>
  <conditionalFormatting sqref="DO4:DO34">
    <cfRule type="expression" dxfId="456" priority="48">
      <formula>$DO4="有給"</formula>
    </cfRule>
    <cfRule type="expression" dxfId="455" priority="49">
      <formula>$DO4="休業"</formula>
    </cfRule>
  </conditionalFormatting>
  <conditionalFormatting sqref="DT4:DT34">
    <cfRule type="expression" dxfId="454" priority="51">
      <formula>$DT4="休業"</formula>
    </cfRule>
    <cfRule type="expression" dxfId="453" priority="50">
      <formula>$DT4="有給"</formula>
    </cfRule>
  </conditionalFormatting>
  <conditionalFormatting sqref="DY4:DY34">
    <cfRule type="expression" dxfId="452" priority="52">
      <formula>$DY4="有給"</formula>
    </cfRule>
    <cfRule type="expression" dxfId="451" priority="53">
      <formula>$DY4="休業"</formula>
    </cfRule>
  </conditionalFormatting>
  <conditionalFormatting sqref="ED4:ED34">
    <cfRule type="expression" dxfId="450" priority="54">
      <formula>$ED4="有給"</formula>
    </cfRule>
    <cfRule type="expression" dxfId="449" priority="55">
      <formula>$ED4="休業"</formula>
    </cfRule>
  </conditionalFormatting>
  <conditionalFormatting sqref="EI4:EI34">
    <cfRule type="expression" dxfId="448" priority="56">
      <formula>$EI4="有給"</formula>
    </cfRule>
    <cfRule type="expression" dxfId="447" priority="57">
      <formula>$EI4="休業"</formula>
    </cfRule>
  </conditionalFormatting>
  <conditionalFormatting sqref="EN4:EN34">
    <cfRule type="expression" dxfId="446" priority="58">
      <formula>$EN4="有給"</formula>
    </cfRule>
    <cfRule type="expression" dxfId="445" priority="59">
      <formula>$EN4="休業"</formula>
    </cfRule>
  </conditionalFormatting>
  <conditionalFormatting sqref="ES4:ES34">
    <cfRule type="expression" dxfId="444" priority="60">
      <formula>$ES4="有給"</formula>
    </cfRule>
    <cfRule type="expression" dxfId="443" priority="61">
      <formula>$ES4="休業"</formula>
    </cfRule>
  </conditionalFormatting>
  <pageMargins left="0.3" right="0.3" top="1" bottom="1" header="0.511811023622047" footer="0.511811023622047"/>
  <pageSetup paperSize="8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800-000000000000}">
          <x14:formula1>
            <xm:f>現場マスタ!$C$4:$C$43</xm:f>
          </x14:formula1>
          <x14:formula2>
            <xm:f>0</xm:f>
          </x14:formula2>
          <xm:sqref>D4:E34 I4:J34 N4:O34 S4:T34 X4:Y34 AC4:AD34 AH4:AI34 AM4:AN34 AR4:AS34 AW4:AX34 BB4:BC34 BG4:BH34 BL4:BM34 BQ4:BR34 BV4:BW34 CA4:CB34 CF4:CG34 CK4:CL34 CP4:CQ34 CU4:CV34 CZ4:DA34 DE4:DF34 DJ4:DK34 DO4:DP34 DT4:DU34 DY4:DZ34 ED4:EE34 EI4:EJ34 EN4:EO34 ES4:ET34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17</vt:i4>
      </vt:variant>
    </vt:vector>
  </HeadingPairs>
  <TitlesOfParts>
    <vt:vector size="38" baseType="lpstr">
      <vt:lpstr>設定</vt:lpstr>
      <vt:lpstr>従業員マスタ</vt:lpstr>
      <vt:lpstr>現場マスタ</vt:lpstr>
      <vt:lpstr>1月</vt:lpstr>
      <vt:lpstr>2月</vt:lpstr>
      <vt:lpstr>3月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個人別出勤簿</vt:lpstr>
      <vt:lpstr>全社員一括印刷</vt:lpstr>
      <vt:lpstr>年間集計</vt:lpstr>
      <vt:lpstr>現場別集計</vt:lpstr>
      <vt:lpstr>月別現場集計</vt:lpstr>
      <vt:lpstr>現場人工表</vt:lpstr>
      <vt:lpstr>個人別出勤簿!Print_Area</vt:lpstr>
      <vt:lpstr>'10月'!Print_Titles</vt:lpstr>
      <vt:lpstr>'11月'!Print_Titles</vt:lpstr>
      <vt:lpstr>'12月'!Print_Titles</vt:lpstr>
      <vt:lpstr>'1月'!Print_Titles</vt:lpstr>
      <vt:lpstr>'2月'!Print_Titles</vt:lpstr>
      <vt:lpstr>'3月'!Print_Titles</vt:lpstr>
      <vt:lpstr>'4月'!Print_Titles</vt:lpstr>
      <vt:lpstr>'5月'!Print_Titles</vt:lpstr>
      <vt:lpstr>'6月'!Print_Titles</vt:lpstr>
      <vt:lpstr>'7月'!Print_Titles</vt:lpstr>
      <vt:lpstr>'8月'!Print_Titles</vt:lpstr>
      <vt:lpstr>'9月'!Print_Titles</vt:lpstr>
      <vt:lpstr>現場別集計!Print_Titles</vt:lpstr>
      <vt:lpstr>年間集計!Print_Titles</vt:lpstr>
      <vt:lpstr>祝日リスト</vt:lpstr>
      <vt:lpstr>対象年度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dc:description/>
  <cp:lastModifiedBy>水越誠</cp:lastModifiedBy>
  <cp:revision>0</cp:revision>
  <dcterms:created xsi:type="dcterms:W3CDTF">2026-04-23T21:11:59Z</dcterms:created>
  <dcterms:modified xsi:type="dcterms:W3CDTF">2026-05-03T22:40:07Z</dcterms:modified>
  <dc:language>en-US</dc:language>
</cp:coreProperties>
</file>